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hidePivotFieldList="1" defaultThemeVersion="124226"/>
  <mc:AlternateContent xmlns:mc="http://schemas.openxmlformats.org/markup-compatibility/2006">
    <mc:Choice Requires="x15">
      <x15ac:absPath xmlns:x15ac="http://schemas.microsoft.com/office/spreadsheetml/2010/11/ac" url="C:\Users\Carolina Avila\Documents\2 Transparencia\8_2 Publicacion ejecucion contratos\"/>
    </mc:Choice>
  </mc:AlternateContent>
  <xr:revisionPtr revIDLastSave="0" documentId="13_ncr:1_{597479E4-8708-401B-AED0-71E08080392C}" xr6:coauthVersionLast="46" xr6:coauthVersionMax="46" xr10:uidLastSave="{00000000-0000-0000-0000-000000000000}"/>
  <bookViews>
    <workbookView xWindow="-108" yWindow="-108" windowWidth="23256" windowHeight="12576" tabRatio="588" activeTab="4" xr2:uid="{00000000-000D-0000-FFFF-FFFF00000000}"/>
  </bookViews>
  <sheets>
    <sheet name="Inicio" sheetId="1" r:id="rId1"/>
    <sheet name="Tiempo de ejecución" sheetId="18" state="hidden" r:id="rId2"/>
    <sheet name="Estado de Giros" sheetId="19" state="hidden" r:id="rId3"/>
    <sheet name="Giros Vs Tiempo" sheetId="20" state="hidden" r:id="rId4"/>
    <sheet name="Base de Datos" sheetId="2" r:id="rId5"/>
    <sheet name="Hoja1" sheetId="6" state="hidden" r:id="rId6"/>
    <sheet name="Instructivo" sheetId="14" state="hidden" r:id="rId7"/>
    <sheet name="Modificaciones" sheetId="17" r:id="rId8"/>
    <sheet name="Gráficos" sheetId="22" state="hidden" r:id="rId9"/>
    <sheet name="Hoja2" sheetId="21" state="hidden"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state="hidden" r:id="rId17"/>
    <sheet name="Presupuesto - PAA 2018" sheetId="32" state="hidden" r:id="rId18"/>
    <sheet name="liquidaciones " sheetId="31" r:id="rId19"/>
    <sheet name="Hoja3" sheetId="33"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11" hidden="1">'Actualizada - presupuesto'!$B$6:$AZ$111</definedName>
    <definedName name="_xlnm._FilterDatabase" localSheetId="4" hidden="1">'Base de Datos'!$A$6:$BD$1000</definedName>
    <definedName name="_xlnm._FilterDatabase" localSheetId="9" hidden="1">Hoja2!$B$2:$AY$261</definedName>
    <definedName name="_xlnm._FilterDatabase" localSheetId="18" hidden="1">'liquidaciones '!$A$1:$K$1031</definedName>
    <definedName name="_xlnm._FilterDatabase" localSheetId="7" hidden="1">Modificaciones!$A$6:$BG$1072</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_xlnm.Print_Area" localSheetId="4">'Base de Datos'!$A$1:$AX$1004</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91029"/>
  <pivotCaches>
    <pivotCache cacheId="0" r:id="rId29"/>
    <pivotCache cacheId="1" r:id="rId30"/>
    <pivotCache cacheId="13" r:id="rId31"/>
    <pivotCache cacheId="16" r:id="rId32"/>
    <pivotCache cacheId="19" r:id="rId33"/>
    <pivotCache cacheId="22" r:id="rId34"/>
    <pivotCache cacheId="30" r:id="rId35"/>
  </pivotCaches>
  <extLst>
    <ext xmlns:x14="http://schemas.microsoft.com/office/spreadsheetml/2009/9/main" uri="{BBE1A952-AA13-448e-AADC-164F8A28A991}">
      <x14:slicerCaches>
        <x14:slicerCache r:id="rId36"/>
        <x14:slicerCache r:id="rId37"/>
        <x14:slicerCache r:id="rId3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C705" i="17" l="1"/>
  <c r="AL963" i="17" l="1"/>
  <c r="AN937" i="17" l="1"/>
  <c r="AM937" i="17"/>
  <c r="AW823" i="17" l="1"/>
  <c r="BC738" i="17"/>
  <c r="AN866" i="17" l="1"/>
  <c r="BC793" i="17" l="1"/>
  <c r="O1001" i="2" l="1"/>
  <c r="P1001" i="2"/>
  <c r="R1001" i="2"/>
  <c r="S1001" i="2"/>
  <c r="AQ1001" i="2"/>
  <c r="AR1001" i="2"/>
  <c r="O1002" i="2"/>
  <c r="P1002" i="2"/>
  <c r="R1002" i="2"/>
  <c r="S1002" i="2"/>
  <c r="AQ1002" i="2"/>
  <c r="AR1002" i="2"/>
  <c r="O1003" i="2"/>
  <c r="P1003" i="2"/>
  <c r="R1003" i="2"/>
  <c r="S1003" i="2"/>
  <c r="AQ1003" i="2"/>
  <c r="AR1003" i="2"/>
  <c r="O1004" i="2"/>
  <c r="P1004" i="2"/>
  <c r="R1004" i="2"/>
  <c r="S1004" i="2"/>
  <c r="AQ1004" i="2"/>
  <c r="AR1004" i="2"/>
  <c r="O1005" i="2"/>
  <c r="P1005" i="2"/>
  <c r="R1005" i="2"/>
  <c r="S1005" i="2"/>
  <c r="AQ1005" i="2"/>
  <c r="AR1005" i="2"/>
  <c r="O1006" i="2"/>
  <c r="P1006" i="2"/>
  <c r="R1006" i="2"/>
  <c r="S1006" i="2"/>
  <c r="AQ1006" i="2"/>
  <c r="AR1006" i="2"/>
  <c r="O1007" i="2"/>
  <c r="P1007" i="2"/>
  <c r="R1007" i="2"/>
  <c r="S1007" i="2"/>
  <c r="AQ1007" i="2"/>
  <c r="AR1007" i="2"/>
  <c r="O1008" i="2"/>
  <c r="P1008" i="2"/>
  <c r="R1008" i="2"/>
  <c r="S1008" i="2"/>
  <c r="AQ1008" i="2"/>
  <c r="AR1008" i="2"/>
  <c r="O1009" i="2"/>
  <c r="P1009" i="2"/>
  <c r="R1009" i="2"/>
  <c r="S1009" i="2"/>
  <c r="AQ1009" i="2"/>
  <c r="AR1009" i="2"/>
  <c r="O1010" i="2"/>
  <c r="P1010" i="2"/>
  <c r="R1010" i="2"/>
  <c r="S1010" i="2"/>
  <c r="AQ1010" i="2"/>
  <c r="AR1010" i="2"/>
  <c r="O1011" i="2"/>
  <c r="P1011" i="2"/>
  <c r="R1011" i="2"/>
  <c r="S1011" i="2"/>
  <c r="AQ1011" i="2"/>
  <c r="AR1011" i="2"/>
  <c r="O1012" i="2"/>
  <c r="P1012" i="2"/>
  <c r="R1012" i="2"/>
  <c r="S1012" i="2"/>
  <c r="AQ1012" i="2"/>
  <c r="AR1012" i="2"/>
  <c r="O1013" i="2"/>
  <c r="P1013" i="2"/>
  <c r="R1013" i="2"/>
  <c r="S1013" i="2"/>
  <c r="AQ1013" i="2"/>
  <c r="AR1013" i="2"/>
  <c r="O1014" i="2"/>
  <c r="P1014" i="2"/>
  <c r="R1014" i="2"/>
  <c r="S1014" i="2"/>
  <c r="AQ1014" i="2"/>
  <c r="AR1014" i="2"/>
  <c r="O1015" i="2"/>
  <c r="P1015" i="2"/>
  <c r="R1015" i="2"/>
  <c r="S1015" i="2"/>
  <c r="AQ1015" i="2"/>
  <c r="AR1015" i="2"/>
  <c r="O1016" i="2"/>
  <c r="P1016" i="2"/>
  <c r="R1016" i="2"/>
  <c r="S1016" i="2"/>
  <c r="AQ1016" i="2"/>
  <c r="AR1016" i="2"/>
  <c r="O1017" i="2"/>
  <c r="P1017" i="2"/>
  <c r="R1017" i="2"/>
  <c r="S1017" i="2"/>
  <c r="AQ1017" i="2"/>
  <c r="AR1017" i="2"/>
  <c r="O1018" i="2"/>
  <c r="P1018" i="2"/>
  <c r="R1018" i="2"/>
  <c r="S1018" i="2"/>
  <c r="AQ1018" i="2"/>
  <c r="AR1018" i="2"/>
  <c r="O1019" i="2"/>
  <c r="P1019" i="2"/>
  <c r="R1019" i="2"/>
  <c r="S1019" i="2"/>
  <c r="AQ1019" i="2"/>
  <c r="AR1019" i="2"/>
  <c r="O1020" i="2"/>
  <c r="P1020" i="2"/>
  <c r="R1020" i="2"/>
  <c r="S1020" i="2"/>
  <c r="AQ1020" i="2"/>
  <c r="AR1020" i="2"/>
  <c r="O1021" i="2"/>
  <c r="P1021" i="2"/>
  <c r="R1021" i="2"/>
  <c r="S1021" i="2"/>
  <c r="AQ1021" i="2"/>
  <c r="AR1021" i="2"/>
  <c r="O1022" i="2"/>
  <c r="P1022" i="2"/>
  <c r="R1022" i="2"/>
  <c r="S1022" i="2"/>
  <c r="AQ1022" i="2"/>
  <c r="AR1022" i="2"/>
  <c r="O1023" i="2"/>
  <c r="P1023" i="2"/>
  <c r="R1023" i="2"/>
  <c r="S1023" i="2"/>
  <c r="AQ1023" i="2"/>
  <c r="AR1023" i="2"/>
  <c r="O1024" i="2"/>
  <c r="P1024" i="2"/>
  <c r="R1024" i="2"/>
  <c r="S1024" i="2"/>
  <c r="AQ1024" i="2"/>
  <c r="AR1024" i="2"/>
  <c r="O1025" i="2"/>
  <c r="P1025" i="2"/>
  <c r="R1025" i="2"/>
  <c r="S1025" i="2"/>
  <c r="AQ1025" i="2"/>
  <c r="AR1025" i="2"/>
  <c r="O1026" i="2"/>
  <c r="P1026" i="2"/>
  <c r="R1026" i="2"/>
  <c r="S1026" i="2"/>
  <c r="AQ1026" i="2"/>
  <c r="AR1026" i="2"/>
  <c r="O1027" i="2"/>
  <c r="P1027" i="2"/>
  <c r="R1027" i="2"/>
  <c r="S1027" i="2"/>
  <c r="AQ1027" i="2"/>
  <c r="AR1027" i="2"/>
  <c r="O1028" i="2"/>
  <c r="P1028" i="2"/>
  <c r="R1028" i="2"/>
  <c r="S1028" i="2"/>
  <c r="AQ1028" i="2"/>
  <c r="AR1028" i="2"/>
  <c r="O1029" i="2"/>
  <c r="P1029" i="2"/>
  <c r="R1029" i="2"/>
  <c r="S1029" i="2"/>
  <c r="AQ1029" i="2"/>
  <c r="AR1029" i="2"/>
  <c r="O1030" i="2"/>
  <c r="P1030" i="2"/>
  <c r="R1030" i="2"/>
  <c r="S1030" i="2"/>
  <c r="AQ1030" i="2"/>
  <c r="AR1030" i="2"/>
  <c r="O1031" i="2"/>
  <c r="P1031" i="2"/>
  <c r="R1031" i="2"/>
  <c r="S1031" i="2"/>
  <c r="AQ1031" i="2"/>
  <c r="AR1031" i="2"/>
  <c r="O1032" i="2"/>
  <c r="P1032" i="2"/>
  <c r="R1032" i="2"/>
  <c r="S1032" i="2"/>
  <c r="AQ1032" i="2"/>
  <c r="AR1032" i="2"/>
  <c r="O1033" i="2"/>
  <c r="P1033" i="2"/>
  <c r="R1033" i="2"/>
  <c r="S1033" i="2"/>
  <c r="AQ1033" i="2"/>
  <c r="AR1033" i="2"/>
  <c r="O1034" i="2"/>
  <c r="P1034" i="2"/>
  <c r="R1034" i="2"/>
  <c r="S1034" i="2"/>
  <c r="AQ1034" i="2"/>
  <c r="AR1034" i="2"/>
  <c r="O1035" i="2"/>
  <c r="P1035" i="2"/>
  <c r="R1035" i="2"/>
  <c r="S1035" i="2"/>
  <c r="AQ1035" i="2"/>
  <c r="AR1035" i="2"/>
  <c r="O1036" i="2"/>
  <c r="P1036" i="2"/>
  <c r="R1036" i="2"/>
  <c r="S1036" i="2"/>
  <c r="AQ1036" i="2"/>
  <c r="AR1036" i="2"/>
  <c r="O1037" i="2"/>
  <c r="P1037" i="2"/>
  <c r="R1037" i="2"/>
  <c r="S1037" i="2"/>
  <c r="AQ1037" i="2"/>
  <c r="AR1037" i="2"/>
  <c r="O1038" i="2"/>
  <c r="P1038" i="2"/>
  <c r="R1038" i="2"/>
  <c r="S1038" i="2"/>
  <c r="AQ1038" i="2"/>
  <c r="AR1038" i="2"/>
  <c r="O1039" i="2"/>
  <c r="P1039" i="2"/>
  <c r="R1039" i="2"/>
  <c r="S1039" i="2"/>
  <c r="AQ1039" i="2"/>
  <c r="AR1039" i="2"/>
  <c r="O1040" i="2"/>
  <c r="P1040" i="2"/>
  <c r="R1040" i="2"/>
  <c r="S1040" i="2"/>
  <c r="AQ1040" i="2"/>
  <c r="AR1040" i="2"/>
  <c r="O1041" i="2"/>
  <c r="P1041" i="2"/>
  <c r="R1041" i="2"/>
  <c r="S1041" i="2"/>
  <c r="AQ1041" i="2"/>
  <c r="AR1041" i="2"/>
  <c r="O1042" i="2"/>
  <c r="P1042" i="2"/>
  <c r="R1042" i="2"/>
  <c r="S1042" i="2"/>
  <c r="AQ1042" i="2"/>
  <c r="AR1042" i="2"/>
  <c r="O1043" i="2"/>
  <c r="P1043" i="2"/>
  <c r="R1043" i="2"/>
  <c r="S1043" i="2"/>
  <c r="AQ1043" i="2"/>
  <c r="AR1043" i="2"/>
  <c r="O1044" i="2"/>
  <c r="P1044" i="2"/>
  <c r="R1044" i="2"/>
  <c r="S1044" i="2"/>
  <c r="AQ1044" i="2"/>
  <c r="AR1044" i="2"/>
  <c r="O1045" i="2"/>
  <c r="P1045" i="2"/>
  <c r="R1045" i="2"/>
  <c r="S1045" i="2"/>
  <c r="AQ1045" i="2"/>
  <c r="AR1045" i="2"/>
  <c r="O1046" i="2"/>
  <c r="P1046" i="2"/>
  <c r="R1046" i="2"/>
  <c r="S1046" i="2"/>
  <c r="AQ1046" i="2"/>
  <c r="AR1046" i="2"/>
  <c r="O1047" i="2"/>
  <c r="P1047" i="2"/>
  <c r="R1047" i="2"/>
  <c r="S1047" i="2"/>
  <c r="AQ1047" i="2"/>
  <c r="AR1047" i="2"/>
  <c r="O1048" i="2"/>
  <c r="P1048" i="2"/>
  <c r="R1048" i="2"/>
  <c r="S1048" i="2"/>
  <c r="AQ1048" i="2"/>
  <c r="AR1048" i="2"/>
  <c r="O1049" i="2"/>
  <c r="P1049" i="2"/>
  <c r="R1049" i="2"/>
  <c r="S1049" i="2"/>
  <c r="AQ1049" i="2"/>
  <c r="AR1049" i="2"/>
  <c r="O1050" i="2"/>
  <c r="P1050" i="2"/>
  <c r="R1050" i="2"/>
  <c r="S1050" i="2"/>
  <c r="AQ1050" i="2"/>
  <c r="AR1050" i="2"/>
  <c r="O1051" i="2"/>
  <c r="P1051" i="2"/>
  <c r="R1051" i="2"/>
  <c r="S1051" i="2"/>
  <c r="AQ1051" i="2"/>
  <c r="AR1051" i="2"/>
  <c r="O1052" i="2"/>
  <c r="P1052" i="2"/>
  <c r="R1052" i="2"/>
  <c r="S1052" i="2"/>
  <c r="AQ1052" i="2"/>
  <c r="AR1052" i="2"/>
  <c r="O1053" i="2"/>
  <c r="P1053" i="2"/>
  <c r="R1053" i="2"/>
  <c r="S1053" i="2"/>
  <c r="AQ1053" i="2"/>
  <c r="AR1053" i="2"/>
  <c r="O1054" i="2"/>
  <c r="P1054" i="2"/>
  <c r="R1054" i="2"/>
  <c r="S1054" i="2"/>
  <c r="AQ1054" i="2"/>
  <c r="AR1054" i="2"/>
  <c r="O1055" i="2"/>
  <c r="P1055" i="2"/>
  <c r="R1055" i="2"/>
  <c r="S1055" i="2"/>
  <c r="AQ1055" i="2"/>
  <c r="AR1055" i="2"/>
  <c r="O1056" i="2"/>
  <c r="P1056" i="2"/>
  <c r="R1056" i="2"/>
  <c r="S1056" i="2"/>
  <c r="AQ1056" i="2"/>
  <c r="AR1056" i="2"/>
  <c r="O1057" i="2"/>
  <c r="P1057" i="2"/>
  <c r="R1057" i="2"/>
  <c r="S1057" i="2"/>
  <c r="AQ1057" i="2"/>
  <c r="AR1057" i="2"/>
  <c r="O1058" i="2"/>
  <c r="P1058" i="2"/>
  <c r="R1058" i="2"/>
  <c r="S1058" i="2"/>
  <c r="AQ1058" i="2"/>
  <c r="AR1058" i="2"/>
  <c r="O1059" i="2"/>
  <c r="P1059" i="2"/>
  <c r="R1059" i="2"/>
  <c r="S1059" i="2"/>
  <c r="AQ1059" i="2"/>
  <c r="AR1059" i="2"/>
  <c r="O1060" i="2"/>
  <c r="P1060" i="2"/>
  <c r="R1060" i="2"/>
  <c r="S1060" i="2"/>
  <c r="AQ1060" i="2"/>
  <c r="AR1060" i="2"/>
  <c r="O1061" i="2"/>
  <c r="P1061" i="2"/>
  <c r="R1061" i="2"/>
  <c r="S1061" i="2"/>
  <c r="AQ1061" i="2"/>
  <c r="AR1061" i="2"/>
  <c r="O1062" i="2"/>
  <c r="P1062" i="2"/>
  <c r="R1062" i="2"/>
  <c r="S1062" i="2"/>
  <c r="AQ1062" i="2"/>
  <c r="AR1062" i="2"/>
  <c r="O1063" i="2"/>
  <c r="P1063" i="2"/>
  <c r="R1063" i="2"/>
  <c r="S1063" i="2"/>
  <c r="AQ1063" i="2"/>
  <c r="AR1063" i="2"/>
  <c r="O1064" i="2"/>
  <c r="P1064" i="2"/>
  <c r="R1064" i="2"/>
  <c r="S1064" i="2"/>
  <c r="AQ1064" i="2"/>
  <c r="AR1064" i="2"/>
  <c r="O1065" i="2"/>
  <c r="P1065" i="2"/>
  <c r="R1065" i="2"/>
  <c r="S1065" i="2"/>
  <c r="AQ1065" i="2"/>
  <c r="AR1065" i="2"/>
  <c r="O1066" i="2"/>
  <c r="P1066" i="2"/>
  <c r="R1066" i="2"/>
  <c r="S1066" i="2"/>
  <c r="AQ1066" i="2"/>
  <c r="AR1066" i="2"/>
  <c r="O1067" i="2"/>
  <c r="P1067" i="2"/>
  <c r="R1067" i="2"/>
  <c r="S1067" i="2"/>
  <c r="AQ1067" i="2"/>
  <c r="AR1067" i="2"/>
  <c r="O1068" i="2"/>
  <c r="P1068" i="2"/>
  <c r="R1068" i="2"/>
  <c r="S1068" i="2"/>
  <c r="AQ1068" i="2"/>
  <c r="AR1068" i="2"/>
  <c r="O1069" i="2"/>
  <c r="P1069" i="2"/>
  <c r="R1069" i="2"/>
  <c r="S1069" i="2"/>
  <c r="AQ1069" i="2"/>
  <c r="AR1069" i="2"/>
  <c r="O1070" i="2"/>
  <c r="P1070" i="2"/>
  <c r="R1070" i="2"/>
  <c r="S1070" i="2"/>
  <c r="AQ1070" i="2"/>
  <c r="AR1070" i="2"/>
  <c r="O1071" i="2"/>
  <c r="P1071" i="2"/>
  <c r="R1071" i="2"/>
  <c r="S1071" i="2"/>
  <c r="AQ1071" i="2"/>
  <c r="AR1071" i="2"/>
  <c r="O1072" i="2"/>
  <c r="P1072" i="2"/>
  <c r="R1072" i="2"/>
  <c r="S1072" i="2"/>
  <c r="T1072" i="2"/>
  <c r="U1072" i="2"/>
  <c r="V1072" i="2"/>
  <c r="AQ1072" i="2"/>
  <c r="AR1072" i="2"/>
  <c r="O1073" i="2"/>
  <c r="P1073" i="2"/>
  <c r="R1073" i="2"/>
  <c r="S1073" i="2"/>
  <c r="T1073" i="2"/>
  <c r="U1073" i="2"/>
  <c r="V1073" i="2"/>
  <c r="AQ1073" i="2"/>
  <c r="AR1073" i="2"/>
  <c r="O1074" i="2"/>
  <c r="P1074" i="2"/>
  <c r="R1074" i="2"/>
  <c r="S1074" i="2"/>
  <c r="T1074" i="2"/>
  <c r="U1074" i="2"/>
  <c r="V1074" i="2"/>
  <c r="AQ1074" i="2"/>
  <c r="AR1074" i="2"/>
  <c r="O1075" i="2"/>
  <c r="P1075" i="2"/>
  <c r="R1075" i="2"/>
  <c r="S1075" i="2"/>
  <c r="T1075" i="2"/>
  <c r="U1075" i="2"/>
  <c r="V1075" i="2"/>
  <c r="AQ1075" i="2"/>
  <c r="AR1075" i="2"/>
  <c r="O1076" i="2"/>
  <c r="P1076" i="2"/>
  <c r="R1076" i="2"/>
  <c r="S1076" i="2"/>
  <c r="T1076" i="2"/>
  <c r="U1076" i="2"/>
  <c r="V1076" i="2"/>
  <c r="AQ1076" i="2"/>
  <c r="AR1076" i="2"/>
  <c r="O1077" i="2"/>
  <c r="P1077" i="2"/>
  <c r="R1077" i="2"/>
  <c r="S1077" i="2"/>
  <c r="T1077" i="2"/>
  <c r="U1077" i="2"/>
  <c r="V1077" i="2"/>
  <c r="AQ1077" i="2"/>
  <c r="AR1077" i="2"/>
  <c r="O1078" i="2"/>
  <c r="P1078" i="2"/>
  <c r="R1078" i="2"/>
  <c r="S1078" i="2"/>
  <c r="T1078" i="2"/>
  <c r="U1078" i="2"/>
  <c r="V1078" i="2"/>
  <c r="AQ1078" i="2"/>
  <c r="AR1078" i="2"/>
  <c r="O1079" i="2"/>
  <c r="P1079" i="2"/>
  <c r="R1079" i="2"/>
  <c r="S1079" i="2"/>
  <c r="T1079" i="2"/>
  <c r="U1079" i="2"/>
  <c r="V1079" i="2"/>
  <c r="AQ1079" i="2"/>
  <c r="AR1079" i="2"/>
  <c r="O1080" i="2"/>
  <c r="P1080" i="2"/>
  <c r="R1080" i="2"/>
  <c r="S1080" i="2"/>
  <c r="T1080" i="2"/>
  <c r="U1080" i="2"/>
  <c r="V1080" i="2"/>
  <c r="AQ1080" i="2"/>
  <c r="AR1080" i="2"/>
  <c r="O1081" i="2"/>
  <c r="P1081" i="2"/>
  <c r="R1081" i="2"/>
  <c r="S1081" i="2"/>
  <c r="T1081" i="2"/>
  <c r="U1081" i="2"/>
  <c r="V1081" i="2"/>
  <c r="AQ1081" i="2"/>
  <c r="AR1081" i="2"/>
  <c r="O1082" i="2"/>
  <c r="P1082" i="2"/>
  <c r="R1082" i="2"/>
  <c r="S1082" i="2"/>
  <c r="T1082" i="2"/>
  <c r="U1082" i="2"/>
  <c r="V1082" i="2"/>
  <c r="AQ1082" i="2"/>
  <c r="AR1082" i="2"/>
  <c r="O1083" i="2"/>
  <c r="P1083" i="2"/>
  <c r="R1083" i="2"/>
  <c r="S1083" i="2"/>
  <c r="T1083" i="2"/>
  <c r="U1083" i="2"/>
  <c r="V1083" i="2"/>
  <c r="AQ1083" i="2"/>
  <c r="AR1083" i="2"/>
  <c r="O1084" i="2"/>
  <c r="P1084" i="2"/>
  <c r="R1084" i="2"/>
  <c r="S1084" i="2"/>
  <c r="T1084" i="2"/>
  <c r="U1084" i="2"/>
  <c r="V1084" i="2"/>
  <c r="AQ1084" i="2"/>
  <c r="AR1084" i="2"/>
  <c r="O1085" i="2"/>
  <c r="P1085" i="2"/>
  <c r="R1085" i="2"/>
  <c r="S1085" i="2"/>
  <c r="T1085" i="2"/>
  <c r="U1085" i="2"/>
  <c r="V1085" i="2"/>
  <c r="AQ1085" i="2"/>
  <c r="AR1085" i="2"/>
  <c r="O1086" i="2"/>
  <c r="P1086" i="2"/>
  <c r="R1086" i="2"/>
  <c r="S1086" i="2"/>
  <c r="T1086" i="2"/>
  <c r="U1086" i="2"/>
  <c r="V1086" i="2"/>
  <c r="AQ1086" i="2"/>
  <c r="AR1086" i="2"/>
  <c r="O1087" i="2"/>
  <c r="P1087" i="2"/>
  <c r="R1087" i="2"/>
  <c r="S1087" i="2"/>
  <c r="T1087" i="2"/>
  <c r="U1087" i="2"/>
  <c r="V1087" i="2"/>
  <c r="AQ1087" i="2"/>
  <c r="AR1087" i="2"/>
  <c r="O1088" i="2"/>
  <c r="P1088" i="2"/>
  <c r="R1088" i="2"/>
  <c r="S1088" i="2"/>
  <c r="T1088" i="2"/>
  <c r="U1088" i="2"/>
  <c r="V1088" i="2"/>
  <c r="AQ1088" i="2"/>
  <c r="AR1088" i="2"/>
  <c r="O1089" i="2"/>
  <c r="P1089" i="2"/>
  <c r="R1089" i="2"/>
  <c r="S1089" i="2"/>
  <c r="T1089" i="2"/>
  <c r="U1089" i="2"/>
  <c r="V1089" i="2"/>
  <c r="AQ1089" i="2"/>
  <c r="AR1089" i="2"/>
  <c r="O1090" i="2"/>
  <c r="P1090" i="2"/>
  <c r="R1090" i="2"/>
  <c r="S1090" i="2"/>
  <c r="T1090" i="2"/>
  <c r="U1090" i="2"/>
  <c r="V1090" i="2"/>
  <c r="AQ1090" i="2"/>
  <c r="AR1090" i="2"/>
  <c r="O1091" i="2"/>
  <c r="P1091" i="2"/>
  <c r="R1091" i="2"/>
  <c r="S1091" i="2"/>
  <c r="T1091" i="2"/>
  <c r="U1091" i="2"/>
  <c r="V1091" i="2"/>
  <c r="AQ1091" i="2"/>
  <c r="AR1091" i="2"/>
  <c r="O1092" i="2"/>
  <c r="P1092" i="2"/>
  <c r="R1092" i="2"/>
  <c r="S1092" i="2"/>
  <c r="T1092" i="2"/>
  <c r="U1092" i="2"/>
  <c r="V1092" i="2"/>
  <c r="AQ1092" i="2"/>
  <c r="AR1092" i="2"/>
  <c r="O1093" i="2"/>
  <c r="P1093" i="2"/>
  <c r="R1093" i="2"/>
  <c r="S1093" i="2"/>
  <c r="T1093" i="2"/>
  <c r="U1093" i="2"/>
  <c r="V1093" i="2"/>
  <c r="AQ1093" i="2"/>
  <c r="AR1093" i="2"/>
  <c r="O1094" i="2"/>
  <c r="P1094" i="2"/>
  <c r="R1094" i="2"/>
  <c r="S1094" i="2"/>
  <c r="T1094" i="2"/>
  <c r="U1094" i="2"/>
  <c r="V1094" i="2"/>
  <c r="AQ1094" i="2"/>
  <c r="AR1094" i="2"/>
  <c r="O1095" i="2"/>
  <c r="P1095" i="2"/>
  <c r="R1095" i="2"/>
  <c r="S1095" i="2"/>
  <c r="T1095" i="2"/>
  <c r="U1095" i="2"/>
  <c r="V1095" i="2"/>
  <c r="AQ1095" i="2"/>
  <c r="AR1095" i="2"/>
  <c r="O1096" i="2"/>
  <c r="P1096" i="2"/>
  <c r="R1096" i="2"/>
  <c r="S1096" i="2"/>
  <c r="T1096" i="2"/>
  <c r="U1096" i="2"/>
  <c r="V1096" i="2"/>
  <c r="AQ1096" i="2"/>
  <c r="AR1096" i="2"/>
  <c r="O1097" i="2"/>
  <c r="P1097" i="2"/>
  <c r="R1097" i="2"/>
  <c r="S1097" i="2"/>
  <c r="T1097" i="2"/>
  <c r="U1097" i="2"/>
  <c r="V1097" i="2"/>
  <c r="AQ1097" i="2"/>
  <c r="AR1097" i="2"/>
  <c r="O1098" i="2"/>
  <c r="P1098" i="2"/>
  <c r="R1098" i="2"/>
  <c r="S1098" i="2"/>
  <c r="T1098" i="2"/>
  <c r="U1098" i="2"/>
  <c r="V1098" i="2"/>
  <c r="AQ1098" i="2"/>
  <c r="AR1098" i="2"/>
  <c r="O1099" i="2"/>
  <c r="P1099" i="2"/>
  <c r="R1099" i="2"/>
  <c r="S1099" i="2"/>
  <c r="T1099" i="2"/>
  <c r="U1099" i="2"/>
  <c r="V1099" i="2"/>
  <c r="AQ1099" i="2"/>
  <c r="AR1099" i="2"/>
  <c r="O1100" i="2"/>
  <c r="P1100" i="2"/>
  <c r="R1100" i="2"/>
  <c r="S1100" i="2"/>
  <c r="T1100" i="2"/>
  <c r="U1100" i="2"/>
  <c r="V1100" i="2"/>
  <c r="AQ1100" i="2"/>
  <c r="AR1100" i="2"/>
  <c r="O1101" i="2"/>
  <c r="P1101" i="2"/>
  <c r="R1101" i="2"/>
  <c r="S1101" i="2"/>
  <c r="T1101" i="2"/>
  <c r="U1101" i="2"/>
  <c r="V1101" i="2"/>
  <c r="AQ1101" i="2"/>
  <c r="AR1101" i="2"/>
  <c r="O1102" i="2"/>
  <c r="P1102" i="2"/>
  <c r="R1102" i="2"/>
  <c r="S1102" i="2"/>
  <c r="T1102" i="2"/>
  <c r="U1102" i="2"/>
  <c r="V1102" i="2"/>
  <c r="AQ1102" i="2"/>
  <c r="AR1102" i="2"/>
  <c r="O1103" i="2"/>
  <c r="P1103" i="2"/>
  <c r="R1103" i="2"/>
  <c r="S1103" i="2"/>
  <c r="T1103" i="2"/>
  <c r="U1103" i="2"/>
  <c r="V1103" i="2"/>
  <c r="AQ1103" i="2"/>
  <c r="AR1103" i="2"/>
  <c r="O1104" i="2"/>
  <c r="P1104" i="2"/>
  <c r="R1104" i="2"/>
  <c r="S1104" i="2"/>
  <c r="T1104" i="2"/>
  <c r="U1104" i="2"/>
  <c r="V1104" i="2"/>
  <c r="AQ1104" i="2"/>
  <c r="AR1104" i="2"/>
  <c r="O1105" i="2"/>
  <c r="P1105" i="2"/>
  <c r="R1105" i="2"/>
  <c r="S1105" i="2"/>
  <c r="T1105" i="2"/>
  <c r="U1105" i="2"/>
  <c r="V1105" i="2"/>
  <c r="AQ1105" i="2"/>
  <c r="AR1105" i="2"/>
  <c r="O1106" i="2"/>
  <c r="P1106" i="2"/>
  <c r="R1106" i="2"/>
  <c r="S1106" i="2"/>
  <c r="T1106" i="2"/>
  <c r="U1106" i="2"/>
  <c r="V1106" i="2"/>
  <c r="AQ1106" i="2"/>
  <c r="AR1106" i="2"/>
  <c r="O1107" i="2"/>
  <c r="P1107" i="2"/>
  <c r="R1107" i="2"/>
  <c r="S1107" i="2"/>
  <c r="T1107" i="2"/>
  <c r="U1107" i="2"/>
  <c r="V1107" i="2"/>
  <c r="AQ1107" i="2"/>
  <c r="AR1107" i="2"/>
  <c r="O1108" i="2"/>
  <c r="P1108" i="2"/>
  <c r="R1108" i="2"/>
  <c r="S1108" i="2"/>
  <c r="T1108" i="2"/>
  <c r="U1108" i="2"/>
  <c r="V1108" i="2"/>
  <c r="AQ1108" i="2"/>
  <c r="AR1108" i="2"/>
  <c r="O1109" i="2"/>
  <c r="P1109" i="2"/>
  <c r="R1109" i="2"/>
  <c r="S1109" i="2"/>
  <c r="T1109" i="2"/>
  <c r="U1109" i="2"/>
  <c r="V1109" i="2"/>
  <c r="AQ1109" i="2"/>
  <c r="AR1109" i="2"/>
  <c r="O1110" i="2"/>
  <c r="P1110" i="2"/>
  <c r="R1110" i="2"/>
  <c r="S1110" i="2"/>
  <c r="T1110" i="2"/>
  <c r="U1110" i="2"/>
  <c r="V1110" i="2"/>
  <c r="AQ1110" i="2"/>
  <c r="AR1110" i="2"/>
  <c r="O1111" i="2"/>
  <c r="P1111" i="2"/>
  <c r="R1111" i="2"/>
  <c r="S1111" i="2"/>
  <c r="T1111" i="2"/>
  <c r="U1111" i="2"/>
  <c r="V1111" i="2"/>
  <c r="AQ1111" i="2"/>
  <c r="AR1111" i="2"/>
  <c r="O1112" i="2"/>
  <c r="P1112" i="2"/>
  <c r="R1112" i="2"/>
  <c r="S1112" i="2"/>
  <c r="T1112" i="2"/>
  <c r="U1112" i="2"/>
  <c r="V1112" i="2"/>
  <c r="AQ1112" i="2"/>
  <c r="AR1112" i="2"/>
  <c r="O1113" i="2"/>
  <c r="P1113" i="2"/>
  <c r="R1113" i="2"/>
  <c r="S1113" i="2"/>
  <c r="T1113" i="2"/>
  <c r="U1113" i="2"/>
  <c r="V1113" i="2"/>
  <c r="AQ1113" i="2"/>
  <c r="AR1113" i="2"/>
  <c r="O1114" i="2"/>
  <c r="P1114" i="2"/>
  <c r="R1114" i="2"/>
  <c r="S1114" i="2"/>
  <c r="T1114" i="2"/>
  <c r="U1114" i="2"/>
  <c r="V1114" i="2"/>
  <c r="AQ1114" i="2"/>
  <c r="AR1114" i="2"/>
  <c r="O1115" i="2"/>
  <c r="P1115" i="2"/>
  <c r="R1115" i="2"/>
  <c r="S1115" i="2"/>
  <c r="T1115" i="2"/>
  <c r="U1115" i="2"/>
  <c r="V1115" i="2"/>
  <c r="AQ1115" i="2"/>
  <c r="AR1115" i="2"/>
  <c r="O1116" i="2"/>
  <c r="P1116" i="2"/>
  <c r="R1116" i="2"/>
  <c r="S1116" i="2"/>
  <c r="T1116" i="2"/>
  <c r="U1116" i="2"/>
  <c r="V1116" i="2"/>
  <c r="AQ1116" i="2"/>
  <c r="AR1116" i="2"/>
  <c r="O1117" i="2"/>
  <c r="P1117" i="2"/>
  <c r="R1117" i="2"/>
  <c r="S1117" i="2"/>
  <c r="T1117" i="2"/>
  <c r="U1117" i="2"/>
  <c r="V1117" i="2"/>
  <c r="AQ1117" i="2"/>
  <c r="AR1117" i="2"/>
  <c r="O1118" i="2"/>
  <c r="P1118" i="2"/>
  <c r="R1118" i="2"/>
  <c r="S1118" i="2"/>
  <c r="T1118" i="2"/>
  <c r="U1118" i="2"/>
  <c r="V1118" i="2"/>
  <c r="AQ1118" i="2"/>
  <c r="AR1118" i="2"/>
  <c r="O1119" i="2"/>
  <c r="P1119" i="2"/>
  <c r="R1119" i="2"/>
  <c r="S1119" i="2"/>
  <c r="T1119" i="2"/>
  <c r="U1119" i="2"/>
  <c r="V1119" i="2"/>
  <c r="AQ1119" i="2"/>
  <c r="AR1119" i="2"/>
  <c r="O1120" i="2"/>
  <c r="P1120" i="2"/>
  <c r="R1120" i="2"/>
  <c r="S1120" i="2"/>
  <c r="T1120" i="2"/>
  <c r="U1120" i="2"/>
  <c r="V1120" i="2"/>
  <c r="AQ1120" i="2"/>
  <c r="AR1120" i="2"/>
  <c r="O1121" i="2"/>
  <c r="P1121" i="2"/>
  <c r="R1121" i="2"/>
  <c r="S1121" i="2"/>
  <c r="T1121" i="2"/>
  <c r="U1121" i="2"/>
  <c r="V1121" i="2"/>
  <c r="AQ1121" i="2"/>
  <c r="AR1121" i="2"/>
  <c r="O1122" i="2"/>
  <c r="P1122" i="2"/>
  <c r="R1122" i="2"/>
  <c r="S1122" i="2"/>
  <c r="T1122" i="2"/>
  <c r="U1122" i="2"/>
  <c r="V1122" i="2"/>
  <c r="AQ1122" i="2"/>
  <c r="AR1122" i="2"/>
  <c r="O1123" i="2"/>
  <c r="P1123" i="2"/>
  <c r="R1123" i="2"/>
  <c r="S1123" i="2"/>
  <c r="T1123" i="2"/>
  <c r="U1123" i="2"/>
  <c r="V1123" i="2"/>
  <c r="AQ1123" i="2"/>
  <c r="AR1123" i="2"/>
  <c r="O1124" i="2"/>
  <c r="P1124" i="2"/>
  <c r="R1124" i="2"/>
  <c r="S1124" i="2"/>
  <c r="T1124" i="2"/>
  <c r="U1124" i="2"/>
  <c r="V1124" i="2"/>
  <c r="AQ1124" i="2"/>
  <c r="AR1124" i="2"/>
  <c r="O1125" i="2"/>
  <c r="P1125" i="2"/>
  <c r="R1125" i="2"/>
  <c r="S1125" i="2"/>
  <c r="T1125" i="2"/>
  <c r="U1125" i="2"/>
  <c r="V1125" i="2"/>
  <c r="AQ1125" i="2"/>
  <c r="AR1125" i="2"/>
  <c r="O1126" i="2"/>
  <c r="P1126" i="2"/>
  <c r="R1126" i="2"/>
  <c r="S1126" i="2"/>
  <c r="T1126" i="2"/>
  <c r="U1126" i="2"/>
  <c r="V1126" i="2"/>
  <c r="AQ1126" i="2"/>
  <c r="AR1126" i="2"/>
  <c r="O1127" i="2"/>
  <c r="P1127" i="2"/>
  <c r="R1127" i="2"/>
  <c r="S1127" i="2"/>
  <c r="T1127" i="2"/>
  <c r="U1127" i="2"/>
  <c r="V1127" i="2"/>
  <c r="AQ1127" i="2"/>
  <c r="AR1127" i="2"/>
  <c r="O1128" i="2"/>
  <c r="P1128" i="2"/>
  <c r="R1128" i="2"/>
  <c r="S1128" i="2"/>
  <c r="T1128" i="2"/>
  <c r="U1128" i="2"/>
  <c r="V1128" i="2"/>
  <c r="AQ1128" i="2"/>
  <c r="AR1128" i="2"/>
  <c r="O1129" i="2"/>
  <c r="P1129" i="2"/>
  <c r="R1129" i="2"/>
  <c r="S1129" i="2"/>
  <c r="T1129" i="2"/>
  <c r="U1129" i="2"/>
  <c r="V1129" i="2"/>
  <c r="AQ1129" i="2"/>
  <c r="AR1129" i="2"/>
  <c r="O1130" i="2"/>
  <c r="P1130" i="2"/>
  <c r="R1130" i="2"/>
  <c r="S1130" i="2"/>
  <c r="T1130" i="2"/>
  <c r="U1130" i="2"/>
  <c r="V1130" i="2"/>
  <c r="AQ1130" i="2"/>
  <c r="AR1130" i="2"/>
  <c r="O1131" i="2"/>
  <c r="P1131" i="2"/>
  <c r="R1131" i="2"/>
  <c r="S1131" i="2"/>
  <c r="T1131" i="2"/>
  <c r="U1131" i="2"/>
  <c r="V1131" i="2"/>
  <c r="AQ1131" i="2"/>
  <c r="AR1131" i="2"/>
  <c r="O1132" i="2"/>
  <c r="P1132" i="2"/>
  <c r="R1132" i="2"/>
  <c r="S1132" i="2"/>
  <c r="T1132" i="2"/>
  <c r="U1132" i="2"/>
  <c r="V1132" i="2"/>
  <c r="AQ1132" i="2"/>
  <c r="AR1132" i="2"/>
  <c r="O1133" i="2"/>
  <c r="P1133" i="2"/>
  <c r="R1133" i="2"/>
  <c r="S1133" i="2"/>
  <c r="T1133" i="2"/>
  <c r="U1133" i="2"/>
  <c r="V1133" i="2"/>
  <c r="AQ1133" i="2"/>
  <c r="AR1133" i="2"/>
  <c r="O1134" i="2"/>
  <c r="P1134" i="2"/>
  <c r="R1134" i="2"/>
  <c r="S1134" i="2"/>
  <c r="T1134" i="2"/>
  <c r="U1134" i="2"/>
  <c r="V1134" i="2"/>
  <c r="AQ1134" i="2"/>
  <c r="AR1134" i="2"/>
  <c r="O1135" i="2"/>
  <c r="P1135" i="2"/>
  <c r="R1135" i="2"/>
  <c r="S1135" i="2"/>
  <c r="T1135" i="2"/>
  <c r="U1135" i="2"/>
  <c r="V1135" i="2"/>
  <c r="AQ1135" i="2"/>
  <c r="AR1135" i="2"/>
  <c r="O1136" i="2"/>
  <c r="P1136" i="2"/>
  <c r="R1136" i="2"/>
  <c r="S1136" i="2"/>
  <c r="T1136" i="2"/>
  <c r="U1136" i="2"/>
  <c r="V1136" i="2"/>
  <c r="AQ1136" i="2"/>
  <c r="AR1136" i="2"/>
  <c r="O1137" i="2"/>
  <c r="P1137" i="2"/>
  <c r="R1137" i="2"/>
  <c r="S1137" i="2"/>
  <c r="T1137" i="2"/>
  <c r="U1137" i="2"/>
  <c r="V1137" i="2"/>
  <c r="AQ1137" i="2"/>
  <c r="AR1137" i="2"/>
  <c r="O1138" i="2"/>
  <c r="P1138" i="2"/>
  <c r="R1138" i="2"/>
  <c r="S1138" i="2"/>
  <c r="T1138" i="2"/>
  <c r="U1138" i="2"/>
  <c r="V1138" i="2"/>
  <c r="AQ1138" i="2"/>
  <c r="AR1138" i="2"/>
  <c r="O1139" i="2"/>
  <c r="P1139" i="2"/>
  <c r="R1139" i="2"/>
  <c r="S1139" i="2"/>
  <c r="T1139" i="2"/>
  <c r="U1139" i="2"/>
  <c r="V1139" i="2"/>
  <c r="AQ1139" i="2"/>
  <c r="AR1139" i="2"/>
  <c r="O1140" i="2"/>
  <c r="P1140" i="2"/>
  <c r="R1140" i="2"/>
  <c r="S1140" i="2"/>
  <c r="T1140" i="2"/>
  <c r="U1140" i="2"/>
  <c r="V1140" i="2"/>
  <c r="AQ1140" i="2"/>
  <c r="AR1140" i="2"/>
  <c r="O1141" i="2"/>
  <c r="P1141" i="2"/>
  <c r="R1141" i="2"/>
  <c r="S1141" i="2"/>
  <c r="T1141" i="2"/>
  <c r="U1141" i="2"/>
  <c r="V1141" i="2"/>
  <c r="AQ1141" i="2"/>
  <c r="AR1141" i="2"/>
  <c r="O1142" i="2"/>
  <c r="P1142" i="2"/>
  <c r="R1142" i="2"/>
  <c r="S1142" i="2"/>
  <c r="T1142" i="2"/>
  <c r="U1142" i="2"/>
  <c r="V1142" i="2"/>
  <c r="AQ1142" i="2"/>
  <c r="AR1142" i="2"/>
  <c r="O1143" i="2"/>
  <c r="P1143" i="2"/>
  <c r="R1143" i="2"/>
  <c r="S1143" i="2"/>
  <c r="T1143" i="2"/>
  <c r="U1143" i="2"/>
  <c r="V1143" i="2"/>
  <c r="AQ1143" i="2"/>
  <c r="AR1143" i="2"/>
  <c r="O1144" i="2"/>
  <c r="P1144" i="2"/>
  <c r="R1144" i="2"/>
  <c r="S1144" i="2"/>
  <c r="T1144" i="2"/>
  <c r="U1144" i="2"/>
  <c r="V1144" i="2"/>
  <c r="AQ1144" i="2"/>
  <c r="AR1144" i="2"/>
  <c r="O1145" i="2"/>
  <c r="P1145" i="2"/>
  <c r="R1145" i="2"/>
  <c r="S1145" i="2"/>
  <c r="T1145" i="2"/>
  <c r="U1145" i="2"/>
  <c r="V1145" i="2"/>
  <c r="AQ1145" i="2"/>
  <c r="AR1145" i="2"/>
  <c r="O1146" i="2"/>
  <c r="P1146" i="2"/>
  <c r="R1146" i="2"/>
  <c r="S1146" i="2"/>
  <c r="T1146" i="2"/>
  <c r="U1146" i="2"/>
  <c r="V1146" i="2"/>
  <c r="AQ1146" i="2"/>
  <c r="AR1146" i="2"/>
  <c r="O1147" i="2"/>
  <c r="P1147" i="2"/>
  <c r="R1147" i="2"/>
  <c r="S1147" i="2"/>
  <c r="T1147" i="2"/>
  <c r="U1147" i="2"/>
  <c r="V1147" i="2"/>
  <c r="AQ1147" i="2"/>
  <c r="AR1147" i="2"/>
  <c r="O1148" i="2"/>
  <c r="P1148" i="2"/>
  <c r="R1148" i="2"/>
  <c r="S1148" i="2"/>
  <c r="T1148" i="2"/>
  <c r="U1148" i="2"/>
  <c r="V1148" i="2"/>
  <c r="AQ1148" i="2"/>
  <c r="AR1148" i="2"/>
  <c r="O1149" i="2"/>
  <c r="P1149" i="2"/>
  <c r="R1149" i="2"/>
  <c r="S1149" i="2"/>
  <c r="T1149" i="2"/>
  <c r="U1149" i="2"/>
  <c r="V1149" i="2"/>
  <c r="AQ1149" i="2"/>
  <c r="AR1149" i="2"/>
  <c r="O1150" i="2"/>
  <c r="P1150" i="2"/>
  <c r="R1150" i="2"/>
  <c r="S1150" i="2"/>
  <c r="T1150" i="2"/>
  <c r="U1150" i="2"/>
  <c r="V1150" i="2"/>
  <c r="AQ1150" i="2"/>
  <c r="AR1150" i="2"/>
  <c r="O1151" i="2"/>
  <c r="P1151" i="2"/>
  <c r="R1151" i="2"/>
  <c r="S1151" i="2"/>
  <c r="T1151" i="2"/>
  <c r="U1151" i="2"/>
  <c r="V1151" i="2"/>
  <c r="AQ1151" i="2"/>
  <c r="AR1151" i="2"/>
  <c r="O1152" i="2"/>
  <c r="P1152" i="2"/>
  <c r="R1152" i="2"/>
  <c r="S1152" i="2"/>
  <c r="T1152" i="2"/>
  <c r="U1152" i="2"/>
  <c r="V1152" i="2"/>
  <c r="AQ1152" i="2"/>
  <c r="AR1152" i="2"/>
  <c r="O1153" i="2"/>
  <c r="P1153" i="2"/>
  <c r="R1153" i="2"/>
  <c r="S1153" i="2"/>
  <c r="T1153" i="2"/>
  <c r="U1153" i="2"/>
  <c r="V1153" i="2"/>
  <c r="AQ1153" i="2"/>
  <c r="AR1153" i="2"/>
  <c r="O1154" i="2"/>
  <c r="P1154" i="2"/>
  <c r="R1154" i="2"/>
  <c r="S1154" i="2"/>
  <c r="T1154" i="2"/>
  <c r="U1154" i="2"/>
  <c r="V1154" i="2"/>
  <c r="AQ1154" i="2"/>
  <c r="AR1154" i="2"/>
  <c r="O1155" i="2"/>
  <c r="P1155" i="2"/>
  <c r="R1155" i="2"/>
  <c r="S1155" i="2"/>
  <c r="T1155" i="2"/>
  <c r="U1155" i="2"/>
  <c r="V1155" i="2"/>
  <c r="AQ1155" i="2"/>
  <c r="AR1155" i="2"/>
  <c r="O1156" i="2"/>
  <c r="P1156" i="2"/>
  <c r="R1156" i="2"/>
  <c r="S1156" i="2"/>
  <c r="T1156" i="2"/>
  <c r="U1156" i="2"/>
  <c r="V1156" i="2"/>
  <c r="AQ1156" i="2"/>
  <c r="AR1156" i="2"/>
  <c r="O1157" i="2"/>
  <c r="P1157" i="2"/>
  <c r="R1157" i="2"/>
  <c r="S1157" i="2"/>
  <c r="T1157" i="2"/>
  <c r="U1157" i="2"/>
  <c r="V1157" i="2"/>
  <c r="AQ1157" i="2"/>
  <c r="AR1157" i="2"/>
  <c r="O1158" i="2"/>
  <c r="P1158" i="2"/>
  <c r="R1158" i="2"/>
  <c r="S1158" i="2"/>
  <c r="T1158" i="2"/>
  <c r="U1158" i="2"/>
  <c r="V1158" i="2"/>
  <c r="AQ1158" i="2"/>
  <c r="AR1158" i="2"/>
  <c r="O1159" i="2"/>
  <c r="P1159" i="2"/>
  <c r="R1159" i="2"/>
  <c r="S1159" i="2"/>
  <c r="T1159" i="2"/>
  <c r="U1159" i="2"/>
  <c r="V1159" i="2"/>
  <c r="AQ1159" i="2"/>
  <c r="AR1159" i="2"/>
  <c r="O1160" i="2"/>
  <c r="P1160" i="2"/>
  <c r="R1160" i="2"/>
  <c r="S1160" i="2"/>
  <c r="T1160" i="2"/>
  <c r="U1160" i="2"/>
  <c r="V1160" i="2"/>
  <c r="AQ1160" i="2"/>
  <c r="AR1160" i="2"/>
  <c r="O1161" i="2"/>
  <c r="P1161" i="2"/>
  <c r="R1161" i="2"/>
  <c r="S1161" i="2"/>
  <c r="T1161" i="2"/>
  <c r="U1161" i="2"/>
  <c r="V1161" i="2"/>
  <c r="AQ1161" i="2"/>
  <c r="AR1161" i="2"/>
  <c r="O1162" i="2"/>
  <c r="P1162" i="2"/>
  <c r="R1162" i="2"/>
  <c r="S1162" i="2"/>
  <c r="T1162" i="2"/>
  <c r="U1162" i="2"/>
  <c r="V1162" i="2"/>
  <c r="AQ1162" i="2"/>
  <c r="AR1162" i="2"/>
  <c r="O1163" i="2"/>
  <c r="P1163" i="2"/>
  <c r="R1163" i="2"/>
  <c r="S1163" i="2"/>
  <c r="T1163" i="2"/>
  <c r="U1163" i="2"/>
  <c r="V1163" i="2"/>
  <c r="AQ1163" i="2"/>
  <c r="AR1163" i="2"/>
  <c r="O1164" i="2"/>
  <c r="P1164" i="2"/>
  <c r="R1164" i="2"/>
  <c r="S1164" i="2"/>
  <c r="T1164" i="2"/>
  <c r="U1164" i="2"/>
  <c r="V1164" i="2"/>
  <c r="AQ1164" i="2"/>
  <c r="AR1164" i="2"/>
  <c r="O1165" i="2"/>
  <c r="P1165" i="2"/>
  <c r="R1165" i="2"/>
  <c r="S1165" i="2"/>
  <c r="T1165" i="2"/>
  <c r="U1165" i="2"/>
  <c r="V1165" i="2"/>
  <c r="AQ1165" i="2"/>
  <c r="AR1165" i="2"/>
  <c r="O1166" i="2"/>
  <c r="P1166" i="2"/>
  <c r="R1166" i="2"/>
  <c r="S1166" i="2"/>
  <c r="T1166" i="2"/>
  <c r="U1166" i="2"/>
  <c r="V1166" i="2"/>
  <c r="AQ1166" i="2"/>
  <c r="AR1166" i="2"/>
  <c r="O1167" i="2"/>
  <c r="P1167" i="2"/>
  <c r="R1167" i="2"/>
  <c r="S1167" i="2"/>
  <c r="T1167" i="2"/>
  <c r="U1167" i="2"/>
  <c r="V1167" i="2"/>
  <c r="AQ1167" i="2"/>
  <c r="AR1167" i="2"/>
  <c r="O1168" i="2"/>
  <c r="P1168" i="2"/>
  <c r="R1168" i="2"/>
  <c r="S1168" i="2"/>
  <c r="T1168" i="2"/>
  <c r="U1168" i="2"/>
  <c r="V1168" i="2"/>
  <c r="AQ1168" i="2"/>
  <c r="AR1168" i="2"/>
  <c r="O1169" i="2"/>
  <c r="P1169" i="2"/>
  <c r="R1169" i="2"/>
  <c r="S1169" i="2"/>
  <c r="T1169" i="2"/>
  <c r="U1169" i="2"/>
  <c r="V1169" i="2"/>
  <c r="AQ1169" i="2"/>
  <c r="AR1169" i="2"/>
  <c r="O1170" i="2"/>
  <c r="P1170" i="2"/>
  <c r="R1170" i="2"/>
  <c r="S1170" i="2"/>
  <c r="T1170" i="2"/>
  <c r="U1170" i="2"/>
  <c r="V1170" i="2"/>
  <c r="AQ1170" i="2"/>
  <c r="AR1170" i="2"/>
  <c r="O1171" i="2"/>
  <c r="P1171" i="2"/>
  <c r="R1171" i="2"/>
  <c r="S1171" i="2"/>
  <c r="T1171" i="2"/>
  <c r="U1171" i="2"/>
  <c r="V1171" i="2"/>
  <c r="AQ1171" i="2"/>
  <c r="AR1171" i="2"/>
  <c r="O1172" i="2"/>
  <c r="P1172" i="2"/>
  <c r="R1172" i="2"/>
  <c r="S1172" i="2"/>
  <c r="T1172" i="2"/>
  <c r="U1172" i="2"/>
  <c r="V1172" i="2"/>
  <c r="AQ1172" i="2"/>
  <c r="AR1172" i="2"/>
  <c r="O1173" i="2"/>
  <c r="P1173" i="2"/>
  <c r="R1173" i="2"/>
  <c r="S1173" i="2"/>
  <c r="T1173" i="2"/>
  <c r="U1173" i="2"/>
  <c r="V1173" i="2"/>
  <c r="AQ1173" i="2"/>
  <c r="AR1173" i="2"/>
  <c r="O1174" i="2"/>
  <c r="P1174" i="2"/>
  <c r="R1174" i="2"/>
  <c r="S1174" i="2"/>
  <c r="T1174" i="2"/>
  <c r="U1174" i="2"/>
  <c r="V1174" i="2"/>
  <c r="AQ1174" i="2"/>
  <c r="AR1174" i="2"/>
  <c r="O1175" i="2"/>
  <c r="P1175" i="2"/>
  <c r="R1175" i="2"/>
  <c r="S1175" i="2"/>
  <c r="T1175" i="2"/>
  <c r="U1175" i="2"/>
  <c r="V1175" i="2"/>
  <c r="AQ1175" i="2"/>
  <c r="AR1175" i="2"/>
  <c r="O1176" i="2"/>
  <c r="P1176" i="2"/>
  <c r="R1176" i="2"/>
  <c r="S1176" i="2"/>
  <c r="T1176" i="2"/>
  <c r="U1176" i="2"/>
  <c r="V1176" i="2"/>
  <c r="AQ1176" i="2"/>
  <c r="AR1176" i="2"/>
  <c r="O1177" i="2"/>
  <c r="P1177" i="2"/>
  <c r="R1177" i="2"/>
  <c r="S1177" i="2"/>
  <c r="T1177" i="2"/>
  <c r="U1177" i="2"/>
  <c r="V1177" i="2"/>
  <c r="AQ1177" i="2"/>
  <c r="AR1177" i="2"/>
  <c r="O1178" i="2"/>
  <c r="P1178" i="2"/>
  <c r="R1178" i="2"/>
  <c r="S1178" i="2"/>
  <c r="T1178" i="2"/>
  <c r="U1178" i="2"/>
  <c r="V1178" i="2"/>
  <c r="AQ1178" i="2"/>
  <c r="AR1178" i="2"/>
  <c r="W1106" i="2" l="1"/>
  <c r="AT1106" i="2" s="1"/>
  <c r="W1074" i="2"/>
  <c r="AT1074" i="2" s="1"/>
  <c r="W1096" i="2"/>
  <c r="AT1096" i="2" s="1"/>
  <c r="W1127" i="2"/>
  <c r="AT1127" i="2" s="1"/>
  <c r="W1123" i="2"/>
  <c r="AT1123" i="2" s="1"/>
  <c r="W1119" i="2"/>
  <c r="AT1119" i="2" s="1"/>
  <c r="W1111" i="2"/>
  <c r="AT1111" i="2" s="1"/>
  <c r="W1099" i="2"/>
  <c r="AT1099" i="2" s="1"/>
  <c r="W1087" i="2"/>
  <c r="AT1087" i="2" s="1"/>
  <c r="W1083" i="2"/>
  <c r="AT1083" i="2" s="1"/>
  <c r="W1115" i="2"/>
  <c r="AT1115" i="2" s="1"/>
  <c r="W1143" i="2"/>
  <c r="AT1143" i="2" s="1"/>
  <c r="W1177" i="2"/>
  <c r="AT1177" i="2" s="1"/>
  <c r="W1173" i="2"/>
  <c r="AT1173" i="2" s="1"/>
  <c r="W1165" i="2"/>
  <c r="AT1165" i="2" s="1"/>
  <c r="W1161" i="2"/>
  <c r="AT1161" i="2" s="1"/>
  <c r="W1157" i="2"/>
  <c r="AT1157" i="2" s="1"/>
  <c r="W1149" i="2"/>
  <c r="AT1149" i="2" s="1"/>
  <c r="W1125" i="2"/>
  <c r="AT1125" i="2" s="1"/>
  <c r="W1121" i="2"/>
  <c r="AT1121" i="2" s="1"/>
  <c r="W1117" i="2"/>
  <c r="AT1117" i="2" s="1"/>
  <c r="W1113" i="2"/>
  <c r="AT1113" i="2" s="1"/>
  <c r="W1109" i="2"/>
  <c r="AT1109" i="2" s="1"/>
  <c r="W1105" i="2"/>
  <c r="AT1105" i="2" s="1"/>
  <c r="W1089" i="2"/>
  <c r="AT1089" i="2" s="1"/>
  <c r="W1085" i="2"/>
  <c r="AT1085" i="2" s="1"/>
  <c r="W1077" i="2"/>
  <c r="AT1077" i="2" s="1"/>
  <c r="W1140" i="2"/>
  <c r="AT1140" i="2" s="1"/>
  <c r="W1132" i="2"/>
  <c r="AT1132" i="2" s="1"/>
  <c r="W1116" i="2"/>
  <c r="AT1116" i="2" s="1"/>
  <c r="W1112" i="2"/>
  <c r="AT1112" i="2" s="1"/>
  <c r="W1136" i="2"/>
  <c r="AT1136" i="2" s="1"/>
  <c r="W1128" i="2"/>
  <c r="AT1128" i="2" s="1"/>
  <c r="W1124" i="2"/>
  <c r="AT1124" i="2" s="1"/>
  <c r="W1142" i="2"/>
  <c r="AT1142" i="2" s="1"/>
  <c r="W1126" i="2"/>
  <c r="AT1126" i="2" s="1"/>
  <c r="W1138" i="2"/>
  <c r="AT1138" i="2" s="1"/>
  <c r="W1130" i="2"/>
  <c r="AT1130" i="2" s="1"/>
  <c r="W1101" i="2"/>
  <c r="AT1101" i="2" s="1"/>
  <c r="W1093" i="2"/>
  <c r="AT1093" i="2" s="1"/>
  <c r="W1080" i="2"/>
  <c r="AT1080" i="2" s="1"/>
  <c r="W1167" i="2"/>
  <c r="AT1167" i="2" s="1"/>
  <c r="W1135" i="2"/>
  <c r="AT1135" i="2" s="1"/>
  <c r="W1131" i="2"/>
  <c r="AT1131" i="2" s="1"/>
  <c r="W1118" i="2"/>
  <c r="AT1118" i="2" s="1"/>
  <c r="W1075" i="2"/>
  <c r="AT1075" i="2" s="1"/>
  <c r="W1082" i="2"/>
  <c r="AT1082" i="2" s="1"/>
  <c r="W1110" i="2"/>
  <c r="AT1110" i="2" s="1"/>
  <c r="W1076" i="2"/>
  <c r="AT1076" i="2" s="1"/>
  <c r="W1090" i="2"/>
  <c r="AT1090" i="2" s="1"/>
  <c r="W1170" i="2"/>
  <c r="AT1170" i="2" s="1"/>
  <c r="W1154" i="2"/>
  <c r="AT1154" i="2" s="1"/>
  <c r="W1084" i="2"/>
  <c r="AT1084" i="2" s="1"/>
  <c r="W1091" i="2"/>
  <c r="AT1091" i="2" s="1"/>
  <c r="W1171" i="2"/>
  <c r="AT1171" i="2" s="1"/>
  <c r="W1164" i="2"/>
  <c r="AT1164" i="2" s="1"/>
  <c r="W1155" i="2"/>
  <c r="AT1155" i="2" s="1"/>
  <c r="W1148" i="2"/>
  <c r="AT1148" i="2" s="1"/>
  <c r="W1122" i="2"/>
  <c r="AT1122" i="2" s="1"/>
  <c r="W1081" i="2"/>
  <c r="AT1081" i="2" s="1"/>
  <c r="W1079" i="2"/>
  <c r="AT1079" i="2" s="1"/>
  <c r="W1073" i="2"/>
  <c r="AT1073" i="2" s="1"/>
  <c r="W1174" i="2"/>
  <c r="AT1174" i="2" s="1"/>
  <c r="W1158" i="2"/>
  <c r="AT1158" i="2" s="1"/>
  <c r="W1137" i="2"/>
  <c r="AT1137" i="2" s="1"/>
  <c r="W1120" i="2"/>
  <c r="AT1120" i="2" s="1"/>
  <c r="W1086" i="2"/>
  <c r="AT1086" i="2" s="1"/>
  <c r="W1168" i="2"/>
  <c r="AT1168" i="2" s="1"/>
  <c r="W1159" i="2"/>
  <c r="AT1159" i="2" s="1"/>
  <c r="W1152" i="2"/>
  <c r="AT1152" i="2" s="1"/>
  <c r="W1141" i="2"/>
  <c r="AT1141" i="2" s="1"/>
  <c r="W1139" i="2"/>
  <c r="AT1139" i="2" s="1"/>
  <c r="W1104" i="2"/>
  <c r="AT1104" i="2" s="1"/>
  <c r="W1175" i="2"/>
  <c r="AT1175" i="2" s="1"/>
  <c r="W1108" i="2"/>
  <c r="AT1108" i="2" s="1"/>
  <c r="W1178" i="2"/>
  <c r="AT1178" i="2" s="1"/>
  <c r="W1162" i="2"/>
  <c r="AT1162" i="2" s="1"/>
  <c r="W1146" i="2"/>
  <c r="AT1146" i="2" s="1"/>
  <c r="W1145" i="2"/>
  <c r="AT1145" i="2" s="1"/>
  <c r="W1100" i="2"/>
  <c r="AT1100" i="2" s="1"/>
  <c r="W1098" i="2"/>
  <c r="AT1098" i="2" s="1"/>
  <c r="W1095" i="2"/>
  <c r="AT1095" i="2" s="1"/>
  <c r="W1094" i="2"/>
  <c r="AT1094" i="2" s="1"/>
  <c r="W1133" i="2"/>
  <c r="AT1133" i="2" s="1"/>
  <c r="W1172" i="2"/>
  <c r="AT1172" i="2" s="1"/>
  <c r="W1169" i="2"/>
  <c r="AT1169" i="2" s="1"/>
  <c r="W1163" i="2"/>
  <c r="AT1163" i="2" s="1"/>
  <c r="W1156" i="2"/>
  <c r="AT1156" i="2" s="1"/>
  <c r="W1153" i="2"/>
  <c r="AT1153" i="2" s="1"/>
  <c r="W1147" i="2"/>
  <c r="AT1147" i="2" s="1"/>
  <c r="W1114" i="2"/>
  <c r="AT1114" i="2" s="1"/>
  <c r="W1097" i="2"/>
  <c r="AT1097" i="2" s="1"/>
  <c r="W1072" i="2"/>
  <c r="AT1072" i="2" s="1"/>
  <c r="W1103" i="2"/>
  <c r="AT1103" i="2" s="1"/>
  <c r="W1166" i="2"/>
  <c r="AT1166" i="2" s="1"/>
  <c r="W1150" i="2"/>
  <c r="AT1150" i="2" s="1"/>
  <c r="W1129" i="2"/>
  <c r="AT1129" i="2" s="1"/>
  <c r="W1107" i="2"/>
  <c r="AT1107" i="2" s="1"/>
  <c r="W1102" i="2"/>
  <c r="AT1102" i="2" s="1"/>
  <c r="W1176" i="2"/>
  <c r="AT1176" i="2" s="1"/>
  <c r="W1160" i="2"/>
  <c r="AT1160" i="2" s="1"/>
  <c r="W1151" i="2"/>
  <c r="AT1151" i="2" s="1"/>
  <c r="W1144" i="2"/>
  <c r="AT1144" i="2" s="1"/>
  <c r="W1092" i="2"/>
  <c r="AT1092" i="2" s="1"/>
  <c r="W1088" i="2"/>
  <c r="AT1088" i="2" s="1"/>
  <c r="W1134" i="2"/>
  <c r="W1078" i="2"/>
  <c r="AT1078" i="2" l="1"/>
  <c r="AT1134" i="2"/>
  <c r="AY736" i="17" l="1"/>
  <c r="AR852" i="17" l="1"/>
  <c r="AQ892" i="17" l="1"/>
  <c r="AL929" i="17" l="1"/>
  <c r="AL925" i="17" l="1"/>
  <c r="AX736" i="17" l="1"/>
  <c r="F4" i="2" l="1"/>
  <c r="BC792" i="17" l="1"/>
  <c r="BE792" i="17" s="1"/>
  <c r="BE208" i="17" l="1"/>
  <c r="BE209" i="17"/>
  <c r="BE210" i="17"/>
  <c r="BE211" i="17"/>
  <c r="BE213" i="17"/>
  <c r="BE214" i="17"/>
  <c r="BE215" i="17"/>
  <c r="BE216" i="17"/>
  <c r="BE217" i="17"/>
  <c r="BE218" i="17"/>
  <c r="BE219" i="17"/>
  <c r="BE220" i="17"/>
  <c r="BE221" i="17"/>
  <c r="BE222" i="17"/>
  <c r="BE223" i="17"/>
  <c r="BE224" i="17"/>
  <c r="BE225" i="17"/>
  <c r="BE226" i="17"/>
  <c r="BE227" i="17"/>
  <c r="BE228" i="17"/>
  <c r="BE229" i="17"/>
  <c r="BE230" i="17"/>
  <c r="BE231" i="17"/>
  <c r="BE232" i="17"/>
  <c r="BE233" i="17"/>
  <c r="BE234" i="17"/>
  <c r="BE235" i="17"/>
  <c r="BE236" i="17"/>
  <c r="BE237" i="17"/>
  <c r="BE238" i="17"/>
  <c r="BE239" i="17"/>
  <c r="BE240" i="17"/>
  <c r="BE241" i="17"/>
  <c r="BE242" i="17"/>
  <c r="BE243" i="17"/>
  <c r="BE244" i="17"/>
  <c r="BE245" i="17"/>
  <c r="BE246" i="17"/>
  <c r="BE247" i="17"/>
  <c r="BE248" i="17"/>
  <c r="BE249" i="17"/>
  <c r="BE250" i="17"/>
  <c r="BE251" i="17"/>
  <c r="BE252" i="17"/>
  <c r="BE253" i="17"/>
  <c r="BE254" i="17"/>
  <c r="BE255" i="17"/>
  <c r="BE256" i="17"/>
  <c r="BE257" i="17"/>
  <c r="BE258" i="17"/>
  <c r="BE259" i="17"/>
  <c r="BE260" i="17"/>
  <c r="BE261" i="17"/>
  <c r="BE262" i="17"/>
  <c r="BE263" i="17"/>
  <c r="BE264" i="17"/>
  <c r="BE265" i="17"/>
  <c r="BE266" i="17"/>
  <c r="BE267" i="17"/>
  <c r="BE268" i="17"/>
  <c r="BE269" i="17"/>
  <c r="BE270" i="17"/>
  <c r="BE271" i="17"/>
  <c r="BE272" i="17"/>
  <c r="BE273" i="17"/>
  <c r="BE274" i="17"/>
  <c r="BE275" i="17"/>
  <c r="BE276" i="17"/>
  <c r="BE277" i="17"/>
  <c r="BE278" i="17"/>
  <c r="BE279" i="17"/>
  <c r="BE280" i="17"/>
  <c r="BE281" i="17"/>
  <c r="BE282" i="17"/>
  <c r="BE283" i="17"/>
  <c r="BE284" i="17"/>
  <c r="BE285" i="17"/>
  <c r="BE286" i="17"/>
  <c r="BE287" i="17"/>
  <c r="BE288" i="17"/>
  <c r="BE289" i="17"/>
  <c r="BE290" i="17"/>
  <c r="BE291" i="17"/>
  <c r="BE292" i="17"/>
  <c r="BE293" i="17"/>
  <c r="BE294" i="17"/>
  <c r="BE295" i="17"/>
  <c r="BE298" i="17"/>
  <c r="BE299" i="17"/>
  <c r="BE300" i="17"/>
  <c r="BE301" i="17"/>
  <c r="BE303" i="17"/>
  <c r="BE304" i="17"/>
  <c r="BE305" i="17"/>
  <c r="BE306" i="17"/>
  <c r="BE307" i="17"/>
  <c r="BE308" i="17"/>
  <c r="BE309" i="17"/>
  <c r="BE310" i="17"/>
  <c r="BE311" i="17"/>
  <c r="BE312" i="17"/>
  <c r="BE313" i="17"/>
  <c r="BE314" i="17"/>
  <c r="BE315" i="17"/>
  <c r="BE317" i="17"/>
  <c r="BE318" i="17"/>
  <c r="BE319" i="17"/>
  <c r="BE320" i="17"/>
  <c r="BE321" i="17"/>
  <c r="BE322" i="17"/>
  <c r="BE323" i="17"/>
  <c r="BE324" i="17"/>
  <c r="BE325" i="17"/>
  <c r="BE327" i="17"/>
  <c r="BE328" i="17"/>
  <c r="BE329" i="17"/>
  <c r="BE330" i="17"/>
  <c r="BE331" i="17"/>
  <c r="BE332" i="17"/>
  <c r="BE333" i="17"/>
  <c r="BE334" i="17"/>
  <c r="BE335" i="17"/>
  <c r="BE336" i="17"/>
  <c r="BE337" i="17"/>
  <c r="BE338" i="17"/>
  <c r="BE339" i="17"/>
  <c r="BE340" i="17"/>
  <c r="BE341" i="17"/>
  <c r="BE342" i="17"/>
  <c r="BE343" i="17"/>
  <c r="BE344" i="17"/>
  <c r="BE345" i="17"/>
  <c r="BE346" i="17"/>
  <c r="BE347" i="17"/>
  <c r="BE348" i="17"/>
  <c r="BE349" i="17"/>
  <c r="BE350" i="17"/>
  <c r="BE351" i="17"/>
  <c r="BE352" i="17"/>
  <c r="BE353" i="17"/>
  <c r="BE354" i="17"/>
  <c r="BE355" i="17"/>
  <c r="BE357" i="17"/>
  <c r="BE358" i="17"/>
  <c r="BE359" i="17"/>
  <c r="BE360" i="17"/>
  <c r="BE362" i="17"/>
  <c r="BE363" i="17"/>
  <c r="BE364" i="17"/>
  <c r="BE365" i="17"/>
  <c r="BE366" i="17"/>
  <c r="BE367" i="17"/>
  <c r="BE368" i="17"/>
  <c r="BE369" i="17"/>
  <c r="BE370" i="17"/>
  <c r="BE371" i="17"/>
  <c r="BE372" i="17"/>
  <c r="BE373" i="17"/>
  <c r="BE374" i="17"/>
  <c r="BE375" i="17"/>
  <c r="BE376" i="17"/>
  <c r="BE377" i="17"/>
  <c r="BE378" i="17"/>
  <c r="BE379" i="17"/>
  <c r="BE380" i="17"/>
  <c r="BE381" i="17"/>
  <c r="BE382" i="17"/>
  <c r="BE383" i="17"/>
  <c r="BE384" i="17"/>
  <c r="BE385" i="17"/>
  <c r="BE386" i="17"/>
  <c r="BE387" i="17"/>
  <c r="BE388" i="17"/>
  <c r="BE389" i="17"/>
  <c r="BE390" i="17"/>
  <c r="BE391" i="17"/>
  <c r="BE392" i="17"/>
  <c r="BE393" i="17"/>
  <c r="BE394" i="17"/>
  <c r="BE395" i="17"/>
  <c r="BE396" i="17"/>
  <c r="BE397" i="17"/>
  <c r="BE398" i="17"/>
  <c r="BE399" i="17"/>
  <c r="BE400" i="17"/>
  <c r="BE401" i="17"/>
  <c r="BE402" i="17"/>
  <c r="BE403" i="17"/>
  <c r="BE404" i="17"/>
  <c r="BE405" i="17"/>
  <c r="BE406" i="17"/>
  <c r="BE407" i="17"/>
  <c r="BE408" i="17"/>
  <c r="BE409" i="17"/>
  <c r="BE410" i="17"/>
  <c r="BE411" i="17"/>
  <c r="BE412" i="17"/>
  <c r="BE413" i="17"/>
  <c r="BE414" i="17"/>
  <c r="BE415" i="17"/>
  <c r="BE416" i="17"/>
  <c r="BE417" i="17"/>
  <c r="BE418" i="17"/>
  <c r="BE419" i="17"/>
  <c r="BE420" i="17"/>
  <c r="BE421" i="17"/>
  <c r="BE422" i="17"/>
  <c r="BE423" i="17"/>
  <c r="BE424" i="17"/>
  <c r="BE425" i="17"/>
  <c r="BE426" i="17"/>
  <c r="BE427" i="17"/>
  <c r="BE428" i="17"/>
  <c r="BE430" i="17"/>
  <c r="BE431" i="17"/>
  <c r="BE432" i="17"/>
  <c r="BE433" i="17"/>
  <c r="BE434" i="17"/>
  <c r="BE435" i="17"/>
  <c r="BE436" i="17"/>
  <c r="BE437" i="17"/>
  <c r="BE438" i="17"/>
  <c r="BE439" i="17"/>
  <c r="BE440" i="17"/>
  <c r="BE441" i="17"/>
  <c r="BE442" i="17"/>
  <c r="BE443" i="17"/>
  <c r="BE444" i="17"/>
  <c r="BE445" i="17"/>
  <c r="BE446" i="17"/>
  <c r="BE447" i="17"/>
  <c r="BE448" i="17"/>
  <c r="BE449" i="17"/>
  <c r="BE450" i="17"/>
  <c r="BE451" i="17"/>
  <c r="BE452" i="17"/>
  <c r="BE453" i="17"/>
  <c r="BE454" i="17"/>
  <c r="BE455" i="17"/>
  <c r="BE456" i="17"/>
  <c r="BE457" i="17"/>
  <c r="BE458" i="17"/>
  <c r="BE459" i="17"/>
  <c r="BE460" i="17"/>
  <c r="BE461" i="17"/>
  <c r="BE462" i="17"/>
  <c r="BE463" i="17"/>
  <c r="BE464" i="17"/>
  <c r="BE465" i="17"/>
  <c r="BE466" i="17"/>
  <c r="BE467" i="17"/>
  <c r="BE468" i="17"/>
  <c r="BE469" i="17"/>
  <c r="BE470" i="17"/>
  <c r="BE471" i="17"/>
  <c r="BE472" i="17"/>
  <c r="BE473" i="17"/>
  <c r="BE474" i="17"/>
  <c r="BE475" i="17"/>
  <c r="BE476" i="17"/>
  <c r="BE477" i="17"/>
  <c r="BE478" i="17"/>
  <c r="BE479" i="17"/>
  <c r="BE480" i="17"/>
  <c r="BE481" i="17"/>
  <c r="BE482" i="17"/>
  <c r="BE484" i="17"/>
  <c r="BE485" i="17"/>
  <c r="BE486" i="17"/>
  <c r="BE487" i="17"/>
  <c r="BE488" i="17"/>
  <c r="BE489" i="17"/>
  <c r="BE490" i="17"/>
  <c r="BE491" i="17"/>
  <c r="BE492" i="17"/>
  <c r="BE493" i="17"/>
  <c r="BE494" i="17"/>
  <c r="BE495" i="17"/>
  <c r="BE496" i="17"/>
  <c r="BE497" i="17"/>
  <c r="BE498" i="17"/>
  <c r="BE499" i="17"/>
  <c r="BE500" i="17"/>
  <c r="BE501" i="17"/>
  <c r="BE502" i="17"/>
  <c r="BE503" i="17"/>
  <c r="BE504" i="17"/>
  <c r="BE505" i="17"/>
  <c r="BE506" i="17"/>
  <c r="BE507" i="17"/>
  <c r="BE508" i="17"/>
  <c r="BE509" i="17"/>
  <c r="BE510" i="17"/>
  <c r="BE511" i="17"/>
  <c r="BE512" i="17"/>
  <c r="BE513" i="17"/>
  <c r="BE514" i="17"/>
  <c r="BE515" i="17"/>
  <c r="BE517" i="17"/>
  <c r="BE518" i="17"/>
  <c r="BE519" i="17"/>
  <c r="BE520" i="17"/>
  <c r="BE521" i="17"/>
  <c r="BE522" i="17"/>
  <c r="BE523" i="17"/>
  <c r="BE524" i="17"/>
  <c r="BE525" i="17"/>
  <c r="BE526" i="17"/>
  <c r="BE527" i="17"/>
  <c r="BE528" i="17"/>
  <c r="BE529" i="17"/>
  <c r="BE530" i="17"/>
  <c r="BE531" i="17"/>
  <c r="BE532" i="17"/>
  <c r="BE533" i="17"/>
  <c r="BE534" i="17"/>
  <c r="BE535" i="17"/>
  <c r="BE536" i="17"/>
  <c r="BE537" i="17"/>
  <c r="BE538" i="17"/>
  <c r="BE539" i="17"/>
  <c r="BE540" i="17"/>
  <c r="BE541" i="17"/>
  <c r="BE542" i="17"/>
  <c r="BE543" i="17"/>
  <c r="BE544" i="17"/>
  <c r="BE545" i="17"/>
  <c r="BE546" i="17"/>
  <c r="BE547" i="17"/>
  <c r="BE548" i="17"/>
  <c r="BE549" i="17"/>
  <c r="BE550" i="17"/>
  <c r="BE551" i="17"/>
  <c r="BE552" i="17"/>
  <c r="BE553" i="17"/>
  <c r="BE554" i="17"/>
  <c r="BE555" i="17"/>
  <c r="BE556" i="17"/>
  <c r="BE557" i="17"/>
  <c r="BE558" i="17"/>
  <c r="BE559" i="17"/>
  <c r="BE560" i="17"/>
  <c r="BE561" i="17"/>
  <c r="BE562" i="17"/>
  <c r="BE563" i="17"/>
  <c r="BE564" i="17"/>
  <c r="BE565" i="17"/>
  <c r="BE566" i="17"/>
  <c r="BE567" i="17"/>
  <c r="BE568" i="17"/>
  <c r="BE569" i="17"/>
  <c r="BE570" i="17"/>
  <c r="BE571" i="17"/>
  <c r="BE572" i="17"/>
  <c r="BE573" i="17"/>
  <c r="BE574" i="17"/>
  <c r="BE575" i="17"/>
  <c r="BE576" i="17"/>
  <c r="BE577" i="17"/>
  <c r="BE578" i="17"/>
  <c r="BE579" i="17"/>
  <c r="BE580" i="17"/>
  <c r="BE581" i="17"/>
  <c r="BE582" i="17"/>
  <c r="BE583" i="17"/>
  <c r="BE584" i="17"/>
  <c r="BE585" i="17"/>
  <c r="BE586" i="17"/>
  <c r="BE587" i="17"/>
  <c r="BE588" i="17"/>
  <c r="BE589" i="17"/>
  <c r="BE590" i="17"/>
  <c r="BE591" i="17"/>
  <c r="BE592" i="17"/>
  <c r="BE593" i="17"/>
  <c r="BE594" i="17"/>
  <c r="BE595" i="17"/>
  <c r="BE596" i="17"/>
  <c r="BE597" i="17"/>
  <c r="BE598" i="17"/>
  <c r="BE599" i="17"/>
  <c r="BE600" i="17"/>
  <c r="BE601" i="17"/>
  <c r="BE602" i="17"/>
  <c r="BE603" i="17"/>
  <c r="BE604" i="17"/>
  <c r="BE605" i="17"/>
  <c r="BE606" i="17"/>
  <c r="BE607" i="17"/>
  <c r="BE608" i="17"/>
  <c r="BE609" i="17"/>
  <c r="BE610" i="17"/>
  <c r="BE611" i="17"/>
  <c r="BE612" i="17"/>
  <c r="BE613" i="17"/>
  <c r="BE614" i="17"/>
  <c r="BE615" i="17"/>
  <c r="BE616" i="17"/>
  <c r="BE617" i="17"/>
  <c r="BE618" i="17"/>
  <c r="BE619" i="17"/>
  <c r="BE620" i="17"/>
  <c r="BE621" i="17"/>
  <c r="BE622" i="17"/>
  <c r="BE623" i="17"/>
  <c r="BE624" i="17"/>
  <c r="BE625" i="17"/>
  <c r="BE626" i="17"/>
  <c r="BE627" i="17"/>
  <c r="BE628" i="17"/>
  <c r="BE629" i="17"/>
  <c r="BE630" i="17"/>
  <c r="BE631" i="17"/>
  <c r="BE632" i="17"/>
  <c r="BE633" i="17"/>
  <c r="BE634" i="17"/>
  <c r="BE635" i="17"/>
  <c r="BE636" i="17"/>
  <c r="BE637" i="17"/>
  <c r="BE638" i="17"/>
  <c r="BE639" i="17"/>
  <c r="BE640" i="17"/>
  <c r="BE641" i="17"/>
  <c r="BE642" i="17"/>
  <c r="BE643" i="17"/>
  <c r="BE644" i="17"/>
  <c r="BE645" i="17"/>
  <c r="BE646" i="17"/>
  <c r="BE647" i="17"/>
  <c r="BE648" i="17"/>
  <c r="BE649" i="17"/>
  <c r="BE650" i="17"/>
  <c r="BE651" i="17"/>
  <c r="BE652" i="17"/>
  <c r="BE653" i="17"/>
  <c r="BE654" i="17"/>
  <c r="BE655" i="17"/>
  <c r="BE656" i="17"/>
  <c r="BE657" i="17"/>
  <c r="BE658" i="17"/>
  <c r="BE659" i="17"/>
  <c r="BE660" i="17"/>
  <c r="BE661" i="17"/>
  <c r="BE662" i="17"/>
  <c r="BE663" i="17"/>
  <c r="BE664" i="17"/>
  <c r="BE665" i="17"/>
  <c r="BE666" i="17"/>
  <c r="BE667" i="17"/>
  <c r="BE668" i="17"/>
  <c r="BE669" i="17"/>
  <c r="BE670" i="17"/>
  <c r="BE671" i="17"/>
  <c r="BE672" i="17"/>
  <c r="BE673" i="17"/>
  <c r="BE674" i="17"/>
  <c r="BE675" i="17"/>
  <c r="BE676" i="17"/>
  <c r="BE677" i="17"/>
  <c r="BE678" i="17"/>
  <c r="BE679" i="17"/>
  <c r="BE680" i="17"/>
  <c r="BE681" i="17"/>
  <c r="BE682" i="17"/>
  <c r="BE683" i="17"/>
  <c r="BE684" i="17"/>
  <c r="BE685" i="17"/>
  <c r="BE686" i="17"/>
  <c r="BE687" i="17"/>
  <c r="BE688" i="17"/>
  <c r="BE689" i="17"/>
  <c r="BE690" i="17"/>
  <c r="BE691" i="17"/>
  <c r="BE692" i="17"/>
  <c r="BE693" i="17"/>
  <c r="BE694" i="17"/>
  <c r="BE695" i="17"/>
  <c r="BE696" i="17"/>
  <c r="BE697" i="17"/>
  <c r="BE698" i="17"/>
  <c r="BE699" i="17"/>
  <c r="BE700" i="17"/>
  <c r="BE701" i="17"/>
  <c r="BE702" i="17"/>
  <c r="BE703" i="17"/>
  <c r="BE704" i="17"/>
  <c r="BE705" i="17"/>
  <c r="BE706" i="17"/>
  <c r="BE707" i="17"/>
  <c r="BE708" i="17"/>
  <c r="BE709" i="17"/>
  <c r="BE710" i="17"/>
  <c r="BE711" i="17"/>
  <c r="BE712" i="17"/>
  <c r="BE713" i="17"/>
  <c r="BE714" i="17"/>
  <c r="BE715" i="17"/>
  <c r="BE716" i="17"/>
  <c r="BE717" i="17"/>
  <c r="BE718" i="17"/>
  <c r="BE719" i="17"/>
  <c r="BE720" i="17"/>
  <c r="BE721" i="17"/>
  <c r="BE722" i="17"/>
  <c r="BE723" i="17"/>
  <c r="BE724" i="17"/>
  <c r="BE725" i="17"/>
  <c r="BE726" i="17"/>
  <c r="BE727" i="17"/>
  <c r="BE728" i="17"/>
  <c r="BE729" i="17"/>
  <c r="BE730" i="17"/>
  <c r="BE731" i="17"/>
  <c r="BE732" i="17"/>
  <c r="BE733" i="17"/>
  <c r="BE734" i="17"/>
  <c r="BE735" i="17"/>
  <c r="BE736" i="17"/>
  <c r="BE737" i="17"/>
  <c r="BE738" i="17"/>
  <c r="BE739" i="17"/>
  <c r="BE740" i="17"/>
  <c r="BE741" i="17"/>
  <c r="BE742" i="17"/>
  <c r="BE743" i="17"/>
  <c r="BE744" i="17"/>
  <c r="BE745" i="17"/>
  <c r="BE746" i="17"/>
  <c r="BE747" i="17"/>
  <c r="BE748" i="17"/>
  <c r="BE749" i="17"/>
  <c r="BE750" i="17"/>
  <c r="BE751" i="17"/>
  <c r="BE752" i="17"/>
  <c r="BE753" i="17"/>
  <c r="BE754" i="17"/>
  <c r="BE755" i="17"/>
  <c r="BE756" i="17"/>
  <c r="BE757" i="17"/>
  <c r="BE758" i="17"/>
  <c r="BE759" i="17"/>
  <c r="BE760" i="17"/>
  <c r="BE761" i="17"/>
  <c r="BE762" i="17"/>
  <c r="BE763" i="17"/>
  <c r="BE764" i="17"/>
  <c r="BE765" i="17"/>
  <c r="BE766" i="17"/>
  <c r="BE767" i="17"/>
  <c r="BE768" i="17"/>
  <c r="BE769" i="17"/>
  <c r="BE771" i="17"/>
  <c r="BE772" i="17"/>
  <c r="BE773" i="17"/>
  <c r="BE774" i="17"/>
  <c r="BE775" i="17"/>
  <c r="BE776" i="17"/>
  <c r="BE777" i="17"/>
  <c r="BE778" i="17"/>
  <c r="BE779" i="17"/>
  <c r="BE780" i="17"/>
  <c r="BE781" i="17"/>
  <c r="BE782" i="17"/>
  <c r="BE783" i="17"/>
  <c r="BE785" i="17"/>
  <c r="BE786" i="17"/>
  <c r="BE787" i="17"/>
  <c r="BE788" i="17"/>
  <c r="BE789" i="17"/>
  <c r="BE790" i="17"/>
  <c r="BE791" i="17"/>
  <c r="BE793" i="17"/>
  <c r="BE794" i="17"/>
  <c r="BE795" i="17"/>
  <c r="BE796" i="17"/>
  <c r="BE797" i="17"/>
  <c r="BE798" i="17"/>
  <c r="BE799" i="17"/>
  <c r="BE800" i="17"/>
  <c r="BE801" i="17"/>
  <c r="BE802" i="17"/>
  <c r="BE803" i="17"/>
  <c r="BE804" i="17"/>
  <c r="BE805" i="17"/>
  <c r="BE806" i="17"/>
  <c r="BE807" i="17"/>
  <c r="BE808" i="17"/>
  <c r="BE809" i="17"/>
  <c r="BE810" i="17"/>
  <c r="BE811" i="17"/>
  <c r="BE812" i="17"/>
  <c r="BE813" i="17"/>
  <c r="BE814" i="17"/>
  <c r="BE815" i="17"/>
  <c r="BE816" i="17"/>
  <c r="BE817" i="17"/>
  <c r="BE818" i="17"/>
  <c r="BE819" i="17"/>
  <c r="BE820" i="17"/>
  <c r="BE821" i="17"/>
  <c r="BE822" i="17"/>
  <c r="BE823" i="17"/>
  <c r="BE824" i="17"/>
  <c r="BE825" i="17"/>
  <c r="BE826" i="17"/>
  <c r="BE827" i="17"/>
  <c r="BE828" i="17"/>
  <c r="BE829" i="17"/>
  <c r="BE830" i="17"/>
  <c r="BE831" i="17"/>
  <c r="BE832" i="17"/>
  <c r="BE833" i="17"/>
  <c r="BE834" i="17"/>
  <c r="BE835" i="17"/>
  <c r="BE836" i="17"/>
  <c r="BE837" i="17"/>
  <c r="BE838" i="17"/>
  <c r="BE839" i="17"/>
  <c r="BE840" i="17"/>
  <c r="BE841" i="17"/>
  <c r="BE842" i="17"/>
  <c r="BE843" i="17"/>
  <c r="BE844" i="17"/>
  <c r="BE845" i="17"/>
  <c r="BE846" i="17"/>
  <c r="BE847" i="17"/>
  <c r="BE848" i="17"/>
  <c r="BE849" i="17"/>
  <c r="BE850" i="17"/>
  <c r="BE851" i="17"/>
  <c r="BE852" i="17"/>
  <c r="BE853" i="17"/>
  <c r="BE854" i="17"/>
  <c r="BE856" i="17"/>
  <c r="BE857" i="17"/>
  <c r="BE858" i="17"/>
  <c r="BE859" i="17"/>
  <c r="BE860" i="17"/>
  <c r="BE861" i="17"/>
  <c r="BE862" i="17"/>
  <c r="BE863" i="17"/>
  <c r="BE864" i="17"/>
  <c r="BE865" i="17"/>
  <c r="BE866" i="17"/>
  <c r="BE867" i="17"/>
  <c r="BE868" i="17"/>
  <c r="BE869" i="17"/>
  <c r="BE870" i="17"/>
  <c r="BE871" i="17"/>
  <c r="BE872" i="17"/>
  <c r="BE873" i="17"/>
  <c r="BE874" i="17"/>
  <c r="BE875" i="17"/>
  <c r="BE876" i="17"/>
  <c r="BE877" i="17"/>
  <c r="BE878" i="17"/>
  <c r="BE879" i="17"/>
  <c r="BE880" i="17"/>
  <c r="BE881" i="17"/>
  <c r="BE882" i="17"/>
  <c r="BE883" i="17"/>
  <c r="BE884" i="17"/>
  <c r="BE885" i="17"/>
  <c r="BE886" i="17"/>
  <c r="BE887" i="17"/>
  <c r="BE888" i="17"/>
  <c r="BE889" i="17"/>
  <c r="BE890" i="17"/>
  <c r="BE891" i="17"/>
  <c r="BE892" i="17"/>
  <c r="BE893" i="17"/>
  <c r="BE894" i="17"/>
  <c r="BE895" i="17"/>
  <c r="BE896" i="17"/>
  <c r="BE897" i="17"/>
  <c r="BE898" i="17"/>
  <c r="BE899" i="17"/>
  <c r="BE900" i="17"/>
  <c r="BE901" i="17"/>
  <c r="BE902" i="17"/>
  <c r="BE903" i="17"/>
  <c r="BE904" i="17"/>
  <c r="BE905" i="17"/>
  <c r="BE906" i="17"/>
  <c r="BE907" i="17"/>
  <c r="BE908" i="17"/>
  <c r="BE909" i="17"/>
  <c r="BE910" i="17"/>
  <c r="BE911" i="17"/>
  <c r="BE912" i="17"/>
  <c r="BE913" i="17"/>
  <c r="BE914" i="17"/>
  <c r="BE915" i="17"/>
  <c r="BE916" i="17"/>
  <c r="BE917" i="17"/>
  <c r="BE918" i="17"/>
  <c r="BE919" i="17"/>
  <c r="BE920" i="17"/>
  <c r="BE921" i="17"/>
  <c r="BE922" i="17"/>
  <c r="BE923" i="17"/>
  <c r="BE924" i="17"/>
  <c r="BE925" i="17"/>
  <c r="BE926" i="17"/>
  <c r="BE927" i="17"/>
  <c r="BE928" i="17"/>
  <c r="BE929" i="17"/>
  <c r="BE930" i="17"/>
  <c r="BE931" i="17"/>
  <c r="BE932" i="17"/>
  <c r="BE933" i="17"/>
  <c r="BE934" i="17"/>
  <c r="BE935" i="17"/>
  <c r="BE936" i="17"/>
  <c r="BE937" i="17"/>
  <c r="BE938" i="17"/>
  <c r="BE939" i="17"/>
  <c r="BE940" i="17"/>
  <c r="BE941" i="17"/>
  <c r="BE942" i="17"/>
  <c r="BE943" i="17"/>
  <c r="BE944" i="17"/>
  <c r="BE945" i="17"/>
  <c r="BE946" i="17"/>
  <c r="BE947" i="17"/>
  <c r="BE948" i="17"/>
  <c r="BE949" i="17"/>
  <c r="BE950" i="17"/>
  <c r="BE951" i="17"/>
  <c r="BE952" i="17"/>
  <c r="BE953" i="17"/>
  <c r="BE954" i="17"/>
  <c r="BE955" i="17"/>
  <c r="BE956" i="17"/>
  <c r="BE957" i="17"/>
  <c r="BE958" i="17"/>
  <c r="BE959" i="17"/>
  <c r="BE960" i="17"/>
  <c r="BE961" i="17"/>
  <c r="BE962" i="17"/>
  <c r="BE963" i="17"/>
  <c r="BE964" i="17"/>
  <c r="BE965" i="17"/>
  <c r="BE966" i="17"/>
  <c r="BE967" i="17"/>
  <c r="BE968" i="17"/>
  <c r="BE969" i="17"/>
  <c r="BE970" i="17"/>
  <c r="BE971" i="17"/>
  <c r="BE972" i="17"/>
  <c r="BE973" i="17"/>
  <c r="BE974" i="17"/>
  <c r="BE975" i="17"/>
  <c r="BE976" i="17"/>
  <c r="BE977" i="17"/>
  <c r="BE978" i="17"/>
  <c r="BE979" i="17"/>
  <c r="BE980" i="17"/>
  <c r="BE981" i="17"/>
  <c r="BE982" i="17"/>
  <c r="BE983" i="17"/>
  <c r="BE984" i="17"/>
  <c r="BE985" i="17"/>
  <c r="BE986" i="17"/>
  <c r="BE987" i="17"/>
  <c r="BE988" i="17"/>
  <c r="BE989" i="17"/>
  <c r="BE990" i="17"/>
  <c r="BE991" i="17"/>
  <c r="BE992" i="17"/>
  <c r="BE993" i="17"/>
  <c r="BE994" i="17"/>
  <c r="BE995" i="17"/>
  <c r="BE996" i="17"/>
  <c r="BE997" i="17"/>
  <c r="BE998" i="17"/>
  <c r="BE999" i="17"/>
  <c r="BE1000" i="17"/>
  <c r="BE1001" i="17"/>
  <c r="BE1002" i="17"/>
  <c r="BE1003" i="17"/>
  <c r="BE1004" i="17"/>
  <c r="BE1005" i="17"/>
  <c r="BE1006" i="17"/>
  <c r="BE1007" i="17"/>
  <c r="BE1008" i="17"/>
  <c r="BE1009" i="17"/>
  <c r="BE1010" i="17"/>
  <c r="BE1011" i="17"/>
  <c r="BE1012" i="17"/>
  <c r="BE1013" i="17"/>
  <c r="BE1014" i="17"/>
  <c r="BE1015" i="17"/>
  <c r="BE1016" i="17"/>
  <c r="BE1017" i="17"/>
  <c r="BE1018" i="17"/>
  <c r="BE1019" i="17"/>
  <c r="BE1020" i="17"/>
  <c r="BE1021" i="17"/>
  <c r="BE1022" i="17"/>
  <c r="BE1023" i="17"/>
  <c r="BE1024" i="17"/>
  <c r="BE1025" i="17"/>
  <c r="BE1026" i="17"/>
  <c r="BE1027" i="17"/>
  <c r="BE1028" i="17"/>
  <c r="BE1029" i="17"/>
  <c r="BE1030" i="17"/>
  <c r="BE1031" i="17"/>
  <c r="BE1032" i="17"/>
  <c r="BE1033" i="17"/>
  <c r="BE1034" i="17"/>
  <c r="BE1035" i="17"/>
  <c r="BE1036" i="17"/>
  <c r="BE1037" i="17"/>
  <c r="BE1038" i="17"/>
  <c r="BE1039" i="17"/>
  <c r="BE1040" i="17"/>
  <c r="BE1041" i="17"/>
  <c r="BE1042" i="17"/>
  <c r="BE1043" i="17"/>
  <c r="BE1044" i="17"/>
  <c r="BE1045" i="17"/>
  <c r="BE1046" i="17"/>
  <c r="BE1047" i="17"/>
  <c r="BE1048" i="17"/>
  <c r="BE1049" i="17"/>
  <c r="BE1050" i="17"/>
  <c r="BE1051" i="17"/>
  <c r="BE1052" i="17"/>
  <c r="BE1053" i="17"/>
  <c r="BE1054" i="17"/>
  <c r="BE1055" i="17"/>
  <c r="BE1056" i="17"/>
  <c r="BE1057" i="17"/>
  <c r="BE1058" i="17"/>
  <c r="BE1059" i="17"/>
  <c r="BE1060" i="17"/>
  <c r="BE1061" i="17"/>
  <c r="BE1062" i="17"/>
  <c r="BE1063" i="17"/>
  <c r="BE1064" i="17"/>
  <c r="BE1065" i="17"/>
  <c r="BE1066" i="17"/>
  <c r="BE1067" i="17"/>
  <c r="BE1068" i="17"/>
  <c r="BE1069" i="17"/>
  <c r="BE1070" i="17"/>
  <c r="BE1071" i="17"/>
  <c r="BE207" i="17"/>
  <c r="BE151" i="17"/>
  <c r="BE152" i="17"/>
  <c r="BE153" i="17"/>
  <c r="BE154" i="17"/>
  <c r="BE155" i="17"/>
  <c r="BE156" i="17"/>
  <c r="BE157" i="17"/>
  <c r="BE158" i="17"/>
  <c r="BE159" i="17"/>
  <c r="BE160" i="17"/>
  <c r="BE161" i="17"/>
  <c r="BE162" i="17"/>
  <c r="BE163" i="17"/>
  <c r="BE164" i="17"/>
  <c r="BE165" i="17"/>
  <c r="BE166" i="17"/>
  <c r="BE167" i="17"/>
  <c r="BE168" i="17"/>
  <c r="BE169" i="17"/>
  <c r="BE170" i="17"/>
  <c r="BE171" i="17"/>
  <c r="BE172" i="17"/>
  <c r="BE173" i="17"/>
  <c r="BE174" i="17"/>
  <c r="BE175" i="17"/>
  <c r="BE176" i="17"/>
  <c r="BE177" i="17"/>
  <c r="BE178" i="17"/>
  <c r="BE179" i="17"/>
  <c r="BE180" i="17"/>
  <c r="BE181" i="17"/>
  <c r="BE182" i="17"/>
  <c r="BE183" i="17"/>
  <c r="BE184" i="17"/>
  <c r="BE185" i="17"/>
  <c r="BE186" i="17"/>
  <c r="BE187" i="17"/>
  <c r="BE188" i="17"/>
  <c r="BE189" i="17"/>
  <c r="BE190" i="17"/>
  <c r="BE191" i="17"/>
  <c r="BE192" i="17"/>
  <c r="BE193" i="17"/>
  <c r="BE194" i="17"/>
  <c r="BE195" i="17"/>
  <c r="BE196" i="17"/>
  <c r="BE197" i="17"/>
  <c r="BE198" i="17"/>
  <c r="BE199" i="17"/>
  <c r="BE200" i="17"/>
  <c r="BE201" i="17"/>
  <c r="BE202" i="17"/>
  <c r="BE203" i="17"/>
  <c r="BE204" i="17"/>
  <c r="BE205" i="17"/>
  <c r="BE206" i="17"/>
  <c r="BE150" i="17"/>
  <c r="BE27" i="17"/>
  <c r="BE28" i="17"/>
  <c r="BE29" i="17"/>
  <c r="BE30" i="17"/>
  <c r="BE31" i="17"/>
  <c r="BE32" i="17"/>
  <c r="BE33" i="17"/>
  <c r="BE34" i="17"/>
  <c r="BE35" i="17"/>
  <c r="BE36" i="17"/>
  <c r="BE37" i="17"/>
  <c r="BE38" i="17"/>
  <c r="BE39" i="17"/>
  <c r="BE40" i="17"/>
  <c r="BE41" i="17"/>
  <c r="BE42" i="17"/>
  <c r="BE43" i="17"/>
  <c r="BE44" i="17"/>
  <c r="BE45" i="17"/>
  <c r="BE46" i="17"/>
  <c r="BE47" i="17"/>
  <c r="BE48" i="17"/>
  <c r="BE49" i="17"/>
  <c r="BE50" i="17"/>
  <c r="BE51" i="17"/>
  <c r="BE52" i="17"/>
  <c r="BE53" i="17"/>
  <c r="BE54" i="17"/>
  <c r="BE55" i="17"/>
  <c r="BE56" i="17"/>
  <c r="BE57" i="17"/>
  <c r="BE58" i="17"/>
  <c r="BE59" i="17"/>
  <c r="BE60" i="17"/>
  <c r="BE61" i="17"/>
  <c r="BE62" i="17"/>
  <c r="BE63" i="17"/>
  <c r="BE64" i="17"/>
  <c r="BE65" i="17"/>
  <c r="BE66" i="17"/>
  <c r="BE67" i="17"/>
  <c r="BE68" i="17"/>
  <c r="BE69" i="17"/>
  <c r="BE70" i="17"/>
  <c r="BE71" i="17"/>
  <c r="BE72" i="17"/>
  <c r="BE73" i="17"/>
  <c r="BE74" i="17"/>
  <c r="BE75" i="17"/>
  <c r="BE76" i="17"/>
  <c r="BE77" i="17"/>
  <c r="BE78" i="17"/>
  <c r="BE79" i="17"/>
  <c r="BE80" i="17"/>
  <c r="BE81" i="17"/>
  <c r="BE82" i="17"/>
  <c r="BE83" i="17"/>
  <c r="BE84" i="17"/>
  <c r="BE85" i="17"/>
  <c r="BE86" i="17"/>
  <c r="BE87" i="17"/>
  <c r="BE88" i="17"/>
  <c r="BE89" i="17"/>
  <c r="BE90" i="17"/>
  <c r="BE91" i="17"/>
  <c r="BE92" i="17"/>
  <c r="BE93" i="17"/>
  <c r="BE94" i="17"/>
  <c r="BE95" i="17"/>
  <c r="BE96" i="17"/>
  <c r="BE97" i="17"/>
  <c r="BE98" i="17"/>
  <c r="BE99" i="17"/>
  <c r="BE100" i="17"/>
  <c r="BE101" i="17"/>
  <c r="BE102" i="17"/>
  <c r="BE103" i="17"/>
  <c r="BE104" i="17"/>
  <c r="BE105" i="17"/>
  <c r="BE106" i="17"/>
  <c r="BE107" i="17"/>
  <c r="BE108" i="17"/>
  <c r="BE109" i="17"/>
  <c r="BE110" i="17"/>
  <c r="BE111" i="17"/>
  <c r="BE112" i="17"/>
  <c r="BE113" i="17"/>
  <c r="BE114" i="17"/>
  <c r="BE115" i="17"/>
  <c r="BE116" i="17"/>
  <c r="BE117" i="17"/>
  <c r="BE118" i="17"/>
  <c r="BE119" i="17"/>
  <c r="BE120" i="17"/>
  <c r="BE121" i="17"/>
  <c r="BE122" i="17"/>
  <c r="BE123" i="17"/>
  <c r="BE124" i="17"/>
  <c r="BE125" i="17"/>
  <c r="BE126" i="17"/>
  <c r="BE127" i="17"/>
  <c r="BE128" i="17"/>
  <c r="BE129" i="17"/>
  <c r="BE130" i="17"/>
  <c r="BE131" i="17"/>
  <c r="BE132" i="17"/>
  <c r="BE133" i="17"/>
  <c r="BE134" i="17"/>
  <c r="BE135" i="17"/>
  <c r="BE136" i="17"/>
  <c r="BE137" i="17"/>
  <c r="BE138" i="17"/>
  <c r="BE139" i="17"/>
  <c r="BE140" i="17"/>
  <c r="BE141" i="17"/>
  <c r="BE142" i="17"/>
  <c r="BE143" i="17"/>
  <c r="BE144" i="17"/>
  <c r="BE145" i="17"/>
  <c r="BE146" i="17"/>
  <c r="BE147" i="17"/>
  <c r="BE148" i="17"/>
  <c r="BE149" i="17"/>
  <c r="BE10" i="17"/>
  <c r="BE11" i="17"/>
  <c r="BE12" i="17"/>
  <c r="BE13" i="17"/>
  <c r="BE14" i="17"/>
  <c r="BE15" i="17"/>
  <c r="BE16" i="17"/>
  <c r="BE17" i="17"/>
  <c r="BE18" i="17"/>
  <c r="BE19" i="17"/>
  <c r="BE20" i="17"/>
  <c r="BE21" i="17"/>
  <c r="BE22" i="17"/>
  <c r="BE23" i="17"/>
  <c r="BE24" i="17"/>
  <c r="BE25" i="17"/>
  <c r="BE26" i="17"/>
  <c r="BE9" i="17"/>
  <c r="BE8" i="17"/>
  <c r="O892" i="2" l="1"/>
  <c r="BC855" i="17" l="1"/>
  <c r="BE855" i="17" s="1"/>
  <c r="BC784" i="17" l="1"/>
  <c r="BE784" i="17" s="1"/>
  <c r="AB874" i="17" l="1"/>
  <c r="AR885" i="2" l="1"/>
  <c r="O804" i="2" l="1"/>
  <c r="D879" i="17" l="1"/>
  <c r="AQ911" i="2" l="1"/>
  <c r="O887" i="2" l="1"/>
  <c r="O888" i="2"/>
  <c r="O889" i="2"/>
  <c r="O890" i="2"/>
  <c r="O891" i="2"/>
  <c r="O8" i="2" l="1"/>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8" i="2"/>
  <c r="O790" i="2"/>
  <c r="O791" i="2"/>
  <c r="O792" i="2"/>
  <c r="O793" i="2"/>
  <c r="O794" i="2"/>
  <c r="O795" i="2"/>
  <c r="O796" i="2"/>
  <c r="O798" i="2"/>
  <c r="O799" i="2"/>
  <c r="O800" i="2"/>
  <c r="O801" i="2"/>
  <c r="O802" i="2"/>
  <c r="O803" i="2"/>
  <c r="O805" i="2"/>
  <c r="O806" i="2"/>
  <c r="O807" i="2"/>
  <c r="O808" i="2"/>
  <c r="O809" i="2"/>
  <c r="O810" i="2"/>
  <c r="O811" i="2"/>
  <c r="O820" i="2"/>
  <c r="O821" i="2"/>
  <c r="O822" i="2"/>
  <c r="O823" i="2"/>
  <c r="O825" i="2"/>
  <c r="O827" i="2"/>
  <c r="O828" i="2"/>
  <c r="O829" i="2"/>
  <c r="O830" i="2"/>
  <c r="O831" i="2"/>
  <c r="O834" i="2"/>
  <c r="O835" i="2"/>
  <c r="O836" i="2"/>
  <c r="O837" i="2"/>
  <c r="O838" i="2"/>
  <c r="O839" i="2"/>
  <c r="O840" i="2"/>
  <c r="O841" i="2"/>
  <c r="O842" i="2"/>
  <c r="O843" i="2"/>
  <c r="O845" i="2"/>
  <c r="O846" i="2"/>
  <c r="O847" i="2"/>
  <c r="O849" i="2"/>
  <c r="O850" i="2"/>
  <c r="O851" i="2"/>
  <c r="O852" i="2"/>
  <c r="O853" i="2"/>
  <c r="O854" i="2"/>
  <c r="O855" i="2"/>
  <c r="O856" i="2"/>
  <c r="O857"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93" i="2"/>
  <c r="O894" i="2"/>
  <c r="O895" i="2"/>
  <c r="O896" i="2"/>
  <c r="O897" i="2"/>
  <c r="O898" i="2"/>
  <c r="O899"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6" i="2"/>
  <c r="O927" i="2"/>
  <c r="O928" i="2"/>
  <c r="O929" i="2"/>
  <c r="O930" i="2"/>
  <c r="O931" i="2"/>
  <c r="O932" i="2"/>
  <c r="O933" i="2"/>
  <c r="O934" i="2"/>
  <c r="O935" i="2"/>
  <c r="O936" i="2"/>
  <c r="O937" i="2"/>
  <c r="O938" i="2"/>
  <c r="O939" i="2"/>
  <c r="O940" i="2"/>
  <c r="O941" i="2"/>
  <c r="O942" i="2"/>
  <c r="O943" i="2"/>
  <c r="O944" i="2"/>
  <c r="O945" i="2"/>
  <c r="O946" i="2"/>
  <c r="O947" i="2"/>
  <c r="O948" i="2"/>
  <c r="O949" i="2"/>
  <c r="O950" i="2"/>
  <c r="O951" i="2"/>
  <c r="O952" i="2"/>
  <c r="O953" i="2"/>
  <c r="O954" i="2"/>
  <c r="O955" i="2"/>
  <c r="O956" i="2"/>
  <c r="O957" i="2"/>
  <c r="O958" i="2"/>
  <c r="O959" i="2"/>
  <c r="O960" i="2"/>
  <c r="O961" i="2"/>
  <c r="O962" i="2"/>
  <c r="O963" i="2"/>
  <c r="O964" i="2"/>
  <c r="O965" i="2"/>
  <c r="O966" i="2"/>
  <c r="O967" i="2"/>
  <c r="O968" i="2"/>
  <c r="O969" i="2"/>
  <c r="O970" i="2"/>
  <c r="O971" i="2"/>
  <c r="O972" i="2"/>
  <c r="O973" i="2"/>
  <c r="O974" i="2"/>
  <c r="O975" i="2"/>
  <c r="O976" i="2"/>
  <c r="O977" i="2"/>
  <c r="O978" i="2"/>
  <c r="O979" i="2"/>
  <c r="O980" i="2"/>
  <c r="O981" i="2"/>
  <c r="O982" i="2"/>
  <c r="O983" i="2"/>
  <c r="O984" i="2"/>
  <c r="O985" i="2"/>
  <c r="O986" i="2"/>
  <c r="O987" i="2"/>
  <c r="O988" i="2"/>
  <c r="O989" i="2"/>
  <c r="O990" i="2"/>
  <c r="O991" i="2"/>
  <c r="O992" i="2"/>
  <c r="O993" i="2"/>
  <c r="O994" i="2"/>
  <c r="O995" i="2"/>
  <c r="O996" i="2"/>
  <c r="O997" i="2"/>
  <c r="O998" i="2"/>
  <c r="O999" i="2"/>
  <c r="O1000" i="2"/>
  <c r="O7" i="2"/>
  <c r="S7" i="2"/>
  <c r="AC770" i="17" l="1"/>
  <c r="B921" i="17" l="1"/>
  <c r="C921" i="17"/>
  <c r="D921" i="17"/>
  <c r="E921" i="17"/>
  <c r="F921" i="17"/>
  <c r="G921" i="17"/>
  <c r="H921" i="17"/>
  <c r="R921" i="17"/>
  <c r="AB921" i="17"/>
  <c r="AC921" i="17"/>
  <c r="U921" i="2" s="1"/>
  <c r="AG921" i="17"/>
  <c r="B922" i="17"/>
  <c r="C922" i="17"/>
  <c r="D922" i="17"/>
  <c r="E922" i="17"/>
  <c r="F922" i="17"/>
  <c r="G922" i="17"/>
  <c r="H922" i="17"/>
  <c r="R922" i="17"/>
  <c r="AB922" i="17"/>
  <c r="AC922" i="17"/>
  <c r="U922" i="2" s="1"/>
  <c r="AG922" i="17"/>
  <c r="B923" i="17"/>
  <c r="C923" i="17"/>
  <c r="D923" i="17"/>
  <c r="E923" i="17"/>
  <c r="F923" i="17"/>
  <c r="G923" i="17"/>
  <c r="H923" i="17"/>
  <c r="R923" i="17"/>
  <c r="AB923" i="17"/>
  <c r="AC923" i="17"/>
  <c r="U923" i="2" s="1"/>
  <c r="AG923" i="17"/>
  <c r="B924" i="17"/>
  <c r="C924" i="17"/>
  <c r="D924" i="17"/>
  <c r="E924" i="17"/>
  <c r="F924" i="17"/>
  <c r="G924" i="17"/>
  <c r="H924" i="17"/>
  <c r="R924" i="17"/>
  <c r="AB924" i="17"/>
  <c r="AC924" i="17"/>
  <c r="AG924" i="17"/>
  <c r="B925" i="17"/>
  <c r="C925" i="17"/>
  <c r="D925" i="17"/>
  <c r="E925" i="17"/>
  <c r="F925" i="17"/>
  <c r="G925" i="17"/>
  <c r="H925" i="17"/>
  <c r="R925" i="17"/>
  <c r="AB925" i="17"/>
  <c r="AC925" i="17"/>
  <c r="U925" i="2" s="1"/>
  <c r="AG925" i="17"/>
  <c r="B926" i="17"/>
  <c r="C926" i="17"/>
  <c r="D926" i="17"/>
  <c r="E926" i="17"/>
  <c r="F926" i="17"/>
  <c r="G926" i="17"/>
  <c r="H926" i="17"/>
  <c r="R926" i="17"/>
  <c r="AB926" i="17"/>
  <c r="AC926" i="17"/>
  <c r="U926" i="2" s="1"/>
  <c r="AG926" i="17"/>
  <c r="B927" i="17"/>
  <c r="C927" i="17"/>
  <c r="D927" i="17"/>
  <c r="E927" i="17"/>
  <c r="F927" i="17"/>
  <c r="G927" i="17"/>
  <c r="H927" i="17"/>
  <c r="R927" i="17"/>
  <c r="AB927" i="17"/>
  <c r="AC927" i="17"/>
  <c r="U927" i="2" s="1"/>
  <c r="AG927" i="17"/>
  <c r="B928" i="17"/>
  <c r="C928" i="17"/>
  <c r="D928" i="17"/>
  <c r="E928" i="17"/>
  <c r="F928" i="17"/>
  <c r="G928" i="17"/>
  <c r="H928" i="17"/>
  <c r="R928" i="17"/>
  <c r="AB928" i="17"/>
  <c r="AC928" i="17"/>
  <c r="AG928" i="17"/>
  <c r="B929" i="17"/>
  <c r="C929" i="17"/>
  <c r="D929" i="17"/>
  <c r="E929" i="17"/>
  <c r="F929" i="17"/>
  <c r="G929" i="17"/>
  <c r="H929" i="17"/>
  <c r="R929" i="17"/>
  <c r="AB929" i="17"/>
  <c r="AC929" i="17"/>
  <c r="U929" i="2" s="1"/>
  <c r="AG929" i="17"/>
  <c r="B930" i="17"/>
  <c r="C930" i="17"/>
  <c r="D930" i="17"/>
  <c r="E930" i="17"/>
  <c r="F930" i="17"/>
  <c r="G930" i="17"/>
  <c r="H930" i="17"/>
  <c r="R930" i="17"/>
  <c r="AB930" i="17"/>
  <c r="AC930" i="17"/>
  <c r="U930" i="2" s="1"/>
  <c r="AG930" i="17"/>
  <c r="B931" i="17"/>
  <c r="C931" i="17"/>
  <c r="D931" i="17"/>
  <c r="E931" i="17"/>
  <c r="F931" i="17"/>
  <c r="G931" i="17"/>
  <c r="H931" i="17"/>
  <c r="R931" i="17"/>
  <c r="AB931" i="17"/>
  <c r="AC931" i="17"/>
  <c r="U931" i="2" s="1"/>
  <c r="AG931" i="17"/>
  <c r="B932" i="17"/>
  <c r="C932" i="17"/>
  <c r="D932" i="17"/>
  <c r="E932" i="17"/>
  <c r="F932" i="17"/>
  <c r="G932" i="17"/>
  <c r="H932" i="17"/>
  <c r="R932" i="17"/>
  <c r="AB932" i="17"/>
  <c r="AC932" i="17"/>
  <c r="U932" i="2" s="1"/>
  <c r="AG932" i="17"/>
  <c r="B933" i="17"/>
  <c r="C933" i="17"/>
  <c r="D933" i="17"/>
  <c r="E933" i="17"/>
  <c r="F933" i="17"/>
  <c r="G933" i="17"/>
  <c r="H933" i="17"/>
  <c r="R933" i="17"/>
  <c r="AB933" i="17"/>
  <c r="AC933" i="17"/>
  <c r="U933" i="2" s="1"/>
  <c r="AG933" i="17"/>
  <c r="B934" i="17"/>
  <c r="C934" i="17"/>
  <c r="D934" i="17"/>
  <c r="E934" i="17"/>
  <c r="F934" i="17"/>
  <c r="G934" i="17"/>
  <c r="H934" i="17"/>
  <c r="R934" i="17"/>
  <c r="AB934" i="17"/>
  <c r="AC934" i="17"/>
  <c r="U934" i="2" s="1"/>
  <c r="AG934" i="17"/>
  <c r="B935" i="17"/>
  <c r="C935" i="17"/>
  <c r="D935" i="17"/>
  <c r="E935" i="17"/>
  <c r="F935" i="17"/>
  <c r="G935" i="17"/>
  <c r="H935" i="17"/>
  <c r="R935" i="17"/>
  <c r="AB935" i="17"/>
  <c r="AC935" i="17"/>
  <c r="U935" i="2" s="1"/>
  <c r="AG935" i="17"/>
  <c r="B936" i="17"/>
  <c r="C936" i="17"/>
  <c r="D936" i="17"/>
  <c r="E936" i="17"/>
  <c r="F936" i="17"/>
  <c r="G936" i="17"/>
  <c r="H936" i="17"/>
  <c r="R936" i="17"/>
  <c r="AB936" i="17"/>
  <c r="AC936" i="17"/>
  <c r="AG936" i="17"/>
  <c r="B937" i="17"/>
  <c r="C937" i="17"/>
  <c r="D937" i="17"/>
  <c r="E937" i="17"/>
  <c r="F937" i="17"/>
  <c r="G937" i="17"/>
  <c r="H937" i="17"/>
  <c r="R937" i="17"/>
  <c r="AB937" i="17"/>
  <c r="AC937" i="17"/>
  <c r="U937" i="2" s="1"/>
  <c r="AG937" i="17"/>
  <c r="B938" i="17"/>
  <c r="C938" i="17"/>
  <c r="D938" i="17"/>
  <c r="E938" i="17"/>
  <c r="F938" i="17"/>
  <c r="G938" i="17"/>
  <c r="H938" i="17"/>
  <c r="R938" i="17"/>
  <c r="AB938" i="17"/>
  <c r="AC938" i="17"/>
  <c r="U938" i="2" s="1"/>
  <c r="AG938" i="17"/>
  <c r="B939" i="17"/>
  <c r="C939" i="17"/>
  <c r="D939" i="17"/>
  <c r="E939" i="17"/>
  <c r="F939" i="17"/>
  <c r="G939" i="17"/>
  <c r="H939" i="17"/>
  <c r="R939" i="17"/>
  <c r="AB939" i="17"/>
  <c r="AC939" i="17"/>
  <c r="U939" i="2" s="1"/>
  <c r="AG939" i="17"/>
  <c r="B940" i="17"/>
  <c r="C940" i="17"/>
  <c r="D940" i="17"/>
  <c r="E940" i="17"/>
  <c r="F940" i="17"/>
  <c r="G940" i="17"/>
  <c r="H940" i="17"/>
  <c r="R940" i="17"/>
  <c r="AB940" i="17"/>
  <c r="AC940" i="17"/>
  <c r="AG940" i="17"/>
  <c r="B941" i="17"/>
  <c r="C941" i="17"/>
  <c r="D941" i="17"/>
  <c r="E941" i="17"/>
  <c r="F941" i="17"/>
  <c r="G941" i="17"/>
  <c r="H941" i="17"/>
  <c r="R941" i="17"/>
  <c r="AB941" i="17"/>
  <c r="AC941" i="17"/>
  <c r="U941" i="2" s="1"/>
  <c r="AG941" i="17"/>
  <c r="B942" i="17"/>
  <c r="C942" i="17"/>
  <c r="D942" i="17"/>
  <c r="E942" i="17"/>
  <c r="F942" i="17"/>
  <c r="G942" i="17"/>
  <c r="H942" i="17"/>
  <c r="R942" i="17"/>
  <c r="AB942" i="17"/>
  <c r="AC942" i="17"/>
  <c r="U942" i="2" s="1"/>
  <c r="AG942" i="17"/>
  <c r="B943" i="17"/>
  <c r="C943" i="17"/>
  <c r="D943" i="17"/>
  <c r="E943" i="17"/>
  <c r="F943" i="17"/>
  <c r="G943" i="17"/>
  <c r="H943" i="17"/>
  <c r="R943" i="17"/>
  <c r="AB943" i="17"/>
  <c r="AC943" i="17"/>
  <c r="U943" i="2" s="1"/>
  <c r="AG943" i="17"/>
  <c r="B944" i="17"/>
  <c r="C944" i="17"/>
  <c r="D944" i="17"/>
  <c r="E944" i="17"/>
  <c r="F944" i="17"/>
  <c r="G944" i="17"/>
  <c r="H944" i="17"/>
  <c r="R944" i="17"/>
  <c r="AB944" i="17"/>
  <c r="AC944" i="17"/>
  <c r="U944" i="2" s="1"/>
  <c r="AG944" i="17"/>
  <c r="B945" i="17"/>
  <c r="C945" i="17"/>
  <c r="D945" i="17"/>
  <c r="E945" i="17"/>
  <c r="F945" i="17"/>
  <c r="G945" i="17"/>
  <c r="H945" i="17"/>
  <c r="R945" i="17"/>
  <c r="AB945" i="17"/>
  <c r="AC945" i="17"/>
  <c r="U945" i="2" s="1"/>
  <c r="AG945" i="17"/>
  <c r="B946" i="17"/>
  <c r="C946" i="17"/>
  <c r="D946" i="17"/>
  <c r="E946" i="17"/>
  <c r="F946" i="17"/>
  <c r="G946" i="17"/>
  <c r="H946" i="17"/>
  <c r="R946" i="17"/>
  <c r="AB946" i="17"/>
  <c r="AC946" i="17"/>
  <c r="U946" i="2" s="1"/>
  <c r="AG946" i="17"/>
  <c r="B947" i="17"/>
  <c r="C947" i="17"/>
  <c r="D947" i="17"/>
  <c r="E947" i="17"/>
  <c r="F947" i="17"/>
  <c r="G947" i="17"/>
  <c r="H947" i="17"/>
  <c r="R947" i="17"/>
  <c r="AB947" i="17"/>
  <c r="AC947" i="17"/>
  <c r="U947" i="2" s="1"/>
  <c r="AG947" i="17"/>
  <c r="B948" i="17"/>
  <c r="C948" i="17"/>
  <c r="D948" i="17"/>
  <c r="E948" i="17"/>
  <c r="F948" i="17"/>
  <c r="G948" i="17"/>
  <c r="H948" i="17"/>
  <c r="R948" i="17"/>
  <c r="AB948" i="17"/>
  <c r="AC948" i="17"/>
  <c r="AG948" i="17"/>
  <c r="B949" i="17"/>
  <c r="C949" i="17"/>
  <c r="D949" i="17"/>
  <c r="E949" i="17"/>
  <c r="F949" i="17"/>
  <c r="G949" i="17"/>
  <c r="H949" i="17"/>
  <c r="R949" i="17"/>
  <c r="AB949" i="17"/>
  <c r="AC949" i="17"/>
  <c r="U949" i="2" s="1"/>
  <c r="AG949" i="17"/>
  <c r="B950" i="17"/>
  <c r="C950" i="17"/>
  <c r="D950" i="17"/>
  <c r="E950" i="17"/>
  <c r="F950" i="17"/>
  <c r="G950" i="17"/>
  <c r="H950" i="17"/>
  <c r="R950" i="17"/>
  <c r="AB950" i="17"/>
  <c r="AC950" i="17"/>
  <c r="U950" i="2" s="1"/>
  <c r="AG950" i="17"/>
  <c r="B951" i="17"/>
  <c r="C951" i="17"/>
  <c r="D951" i="17"/>
  <c r="E951" i="17"/>
  <c r="F951" i="17"/>
  <c r="G951" i="17"/>
  <c r="H951" i="17"/>
  <c r="R951" i="17"/>
  <c r="AB951" i="17"/>
  <c r="AC951" i="17"/>
  <c r="U951" i="2" s="1"/>
  <c r="AG951" i="17"/>
  <c r="B952" i="17"/>
  <c r="C952" i="17"/>
  <c r="D952" i="17"/>
  <c r="E952" i="17"/>
  <c r="F952" i="17"/>
  <c r="G952" i="17"/>
  <c r="H952" i="17"/>
  <c r="R952" i="17"/>
  <c r="AB952" i="17"/>
  <c r="AC952" i="17"/>
  <c r="AG952" i="17"/>
  <c r="B953" i="17"/>
  <c r="C953" i="17"/>
  <c r="D953" i="17"/>
  <c r="E953" i="17"/>
  <c r="F953" i="17"/>
  <c r="G953" i="17"/>
  <c r="H953" i="17"/>
  <c r="R953" i="17"/>
  <c r="AB953" i="17"/>
  <c r="AC953" i="17"/>
  <c r="U953" i="2" s="1"/>
  <c r="AG953" i="17"/>
  <c r="B954" i="17"/>
  <c r="C954" i="17"/>
  <c r="D954" i="17"/>
  <c r="E954" i="17"/>
  <c r="F954" i="17"/>
  <c r="G954" i="17"/>
  <c r="H954" i="17"/>
  <c r="R954" i="17"/>
  <c r="AB954" i="17"/>
  <c r="AC954" i="17"/>
  <c r="U954" i="2" s="1"/>
  <c r="AG954" i="17"/>
  <c r="B955" i="17"/>
  <c r="C955" i="17"/>
  <c r="D955" i="17"/>
  <c r="E955" i="17"/>
  <c r="F955" i="17"/>
  <c r="G955" i="17"/>
  <c r="H955" i="17"/>
  <c r="R955" i="17"/>
  <c r="AB955" i="17"/>
  <c r="AC955" i="17"/>
  <c r="U955" i="2" s="1"/>
  <c r="AG955" i="17"/>
  <c r="B956" i="17"/>
  <c r="C956" i="17"/>
  <c r="D956" i="17"/>
  <c r="E956" i="17"/>
  <c r="F956" i="17"/>
  <c r="G956" i="17"/>
  <c r="H956" i="17"/>
  <c r="R956" i="17"/>
  <c r="AB956" i="17"/>
  <c r="AC956" i="17"/>
  <c r="AG956" i="17"/>
  <c r="B957" i="17"/>
  <c r="C957" i="17"/>
  <c r="D957" i="17"/>
  <c r="E957" i="17"/>
  <c r="F957" i="17"/>
  <c r="G957" i="17"/>
  <c r="H957" i="17"/>
  <c r="R957" i="17"/>
  <c r="AB957" i="17"/>
  <c r="AC957" i="17"/>
  <c r="U957" i="2" s="1"/>
  <c r="AG957" i="17"/>
  <c r="B958" i="17"/>
  <c r="C958" i="17"/>
  <c r="D958" i="17"/>
  <c r="E958" i="17"/>
  <c r="F958" i="17"/>
  <c r="G958" i="17"/>
  <c r="H958" i="17"/>
  <c r="R958" i="17"/>
  <c r="AB958" i="17"/>
  <c r="AC958" i="17"/>
  <c r="U958" i="2" s="1"/>
  <c r="AG958" i="17"/>
  <c r="B959" i="17"/>
  <c r="C959" i="17"/>
  <c r="D959" i="17"/>
  <c r="E959" i="17"/>
  <c r="F959" i="17"/>
  <c r="G959" i="17"/>
  <c r="H959" i="17"/>
  <c r="R959" i="17"/>
  <c r="AB959" i="17"/>
  <c r="AC959" i="17"/>
  <c r="U959" i="2" s="1"/>
  <c r="AG959" i="17"/>
  <c r="B960" i="17"/>
  <c r="C960" i="17"/>
  <c r="D960" i="17"/>
  <c r="E960" i="17"/>
  <c r="F960" i="17"/>
  <c r="G960" i="17"/>
  <c r="H960" i="17"/>
  <c r="R960" i="17"/>
  <c r="AB960" i="17"/>
  <c r="AC960" i="17"/>
  <c r="AG960" i="17"/>
  <c r="B961" i="17"/>
  <c r="C961" i="17"/>
  <c r="D961" i="17"/>
  <c r="E961" i="17"/>
  <c r="F961" i="17"/>
  <c r="G961" i="17"/>
  <c r="H961" i="17"/>
  <c r="R961" i="17"/>
  <c r="AB961" i="17"/>
  <c r="AC961" i="17"/>
  <c r="U961" i="2" s="1"/>
  <c r="AG961" i="17"/>
  <c r="B962" i="17"/>
  <c r="C962" i="17"/>
  <c r="D962" i="17"/>
  <c r="E962" i="17"/>
  <c r="F962" i="17"/>
  <c r="G962" i="17"/>
  <c r="H962" i="17"/>
  <c r="R962" i="17"/>
  <c r="AB962" i="17"/>
  <c r="AC962" i="17"/>
  <c r="U962" i="2" s="1"/>
  <c r="AG962" i="17"/>
  <c r="B963" i="17"/>
  <c r="C963" i="17"/>
  <c r="D963" i="17"/>
  <c r="E963" i="17"/>
  <c r="F963" i="17"/>
  <c r="G963" i="17"/>
  <c r="H963" i="17"/>
  <c r="R963" i="17"/>
  <c r="AB963" i="17"/>
  <c r="AC963" i="17"/>
  <c r="U963" i="2" s="1"/>
  <c r="AG963" i="17"/>
  <c r="B964" i="17"/>
  <c r="C964" i="17"/>
  <c r="D964" i="17"/>
  <c r="E964" i="17"/>
  <c r="F964" i="17"/>
  <c r="G964" i="17"/>
  <c r="H964" i="17"/>
  <c r="R964" i="17"/>
  <c r="AB964" i="17"/>
  <c r="AC964" i="17"/>
  <c r="AG964" i="17"/>
  <c r="B965" i="17"/>
  <c r="C965" i="17"/>
  <c r="D965" i="17"/>
  <c r="E965" i="17"/>
  <c r="F965" i="17"/>
  <c r="G965" i="17"/>
  <c r="H965" i="17"/>
  <c r="R965" i="17"/>
  <c r="AB965" i="17"/>
  <c r="AC965" i="17"/>
  <c r="U965" i="2" s="1"/>
  <c r="AG965" i="17"/>
  <c r="B966" i="17"/>
  <c r="C966" i="17"/>
  <c r="D966" i="17"/>
  <c r="E966" i="17"/>
  <c r="F966" i="17"/>
  <c r="G966" i="17"/>
  <c r="H966" i="17"/>
  <c r="R966" i="17"/>
  <c r="AB966" i="17"/>
  <c r="AC966" i="17"/>
  <c r="U966" i="2" s="1"/>
  <c r="AG966" i="17"/>
  <c r="B967" i="17"/>
  <c r="C967" i="17"/>
  <c r="D967" i="17"/>
  <c r="E967" i="17"/>
  <c r="F967" i="17"/>
  <c r="G967" i="17"/>
  <c r="H967" i="17"/>
  <c r="R967" i="17"/>
  <c r="AB967" i="17"/>
  <c r="AC967" i="17"/>
  <c r="U967" i="2" s="1"/>
  <c r="AG967" i="17"/>
  <c r="B968" i="17"/>
  <c r="C968" i="17"/>
  <c r="D968" i="17"/>
  <c r="E968" i="17"/>
  <c r="F968" i="17"/>
  <c r="G968" i="17"/>
  <c r="H968" i="17"/>
  <c r="R968" i="17"/>
  <c r="AB968" i="17"/>
  <c r="AC968" i="17"/>
  <c r="AG968" i="17"/>
  <c r="B969" i="17"/>
  <c r="C969" i="17"/>
  <c r="D969" i="17"/>
  <c r="E969" i="17"/>
  <c r="F969" i="17"/>
  <c r="G969" i="17"/>
  <c r="H969" i="17"/>
  <c r="R969" i="17"/>
  <c r="AB969" i="17"/>
  <c r="AC969" i="17"/>
  <c r="U969" i="2" s="1"/>
  <c r="AG969" i="17"/>
  <c r="B970" i="17"/>
  <c r="C970" i="17"/>
  <c r="D970" i="17"/>
  <c r="E970" i="17"/>
  <c r="F970" i="17"/>
  <c r="G970" i="17"/>
  <c r="H970" i="17"/>
  <c r="R970" i="17"/>
  <c r="AB970" i="17"/>
  <c r="AC970" i="17"/>
  <c r="U970" i="2" s="1"/>
  <c r="AG970" i="17"/>
  <c r="B971" i="17"/>
  <c r="C971" i="17"/>
  <c r="D971" i="17"/>
  <c r="E971" i="17"/>
  <c r="F971" i="17"/>
  <c r="G971" i="17"/>
  <c r="H971" i="17"/>
  <c r="R971" i="17"/>
  <c r="AB971" i="17"/>
  <c r="AC971" i="17"/>
  <c r="U971" i="2" s="1"/>
  <c r="AG971" i="17"/>
  <c r="B972" i="17"/>
  <c r="C972" i="17"/>
  <c r="D972" i="17"/>
  <c r="E972" i="17"/>
  <c r="F972" i="17"/>
  <c r="G972" i="17"/>
  <c r="H972" i="17"/>
  <c r="R972" i="17"/>
  <c r="AB972" i="17"/>
  <c r="AC972" i="17"/>
  <c r="AG972" i="17"/>
  <c r="B973" i="17"/>
  <c r="C973" i="17"/>
  <c r="D973" i="17"/>
  <c r="E973" i="17"/>
  <c r="F973" i="17"/>
  <c r="G973" i="17"/>
  <c r="H973" i="17"/>
  <c r="R973" i="17"/>
  <c r="AB973" i="17"/>
  <c r="AC973" i="17"/>
  <c r="U973" i="2" s="1"/>
  <c r="AG973" i="17"/>
  <c r="B974" i="17"/>
  <c r="C974" i="17"/>
  <c r="D974" i="17"/>
  <c r="E974" i="17"/>
  <c r="F974" i="17"/>
  <c r="G974" i="17"/>
  <c r="H974" i="17"/>
  <c r="R974" i="17"/>
  <c r="AB974" i="17"/>
  <c r="AC974" i="17"/>
  <c r="U974" i="2" s="1"/>
  <c r="AG974" i="17"/>
  <c r="B975" i="17"/>
  <c r="C975" i="17"/>
  <c r="D975" i="17"/>
  <c r="E975" i="17"/>
  <c r="F975" i="17"/>
  <c r="G975" i="17"/>
  <c r="H975" i="17"/>
  <c r="R975" i="17"/>
  <c r="AB975" i="17"/>
  <c r="AC975" i="17"/>
  <c r="U975" i="2" s="1"/>
  <c r="AG975" i="17"/>
  <c r="B976" i="17"/>
  <c r="C976" i="17"/>
  <c r="D976" i="17"/>
  <c r="E976" i="17"/>
  <c r="F976" i="17"/>
  <c r="G976" i="17"/>
  <c r="H976" i="17"/>
  <c r="R976" i="17"/>
  <c r="AB976" i="17"/>
  <c r="AC976" i="17"/>
  <c r="AG976" i="17"/>
  <c r="B977" i="17"/>
  <c r="C977" i="17"/>
  <c r="D977" i="17"/>
  <c r="E977" i="17"/>
  <c r="F977" i="17"/>
  <c r="G977" i="17"/>
  <c r="H977" i="17"/>
  <c r="R977" i="17"/>
  <c r="AB977" i="17"/>
  <c r="AC977" i="17"/>
  <c r="U977" i="2" s="1"/>
  <c r="AG977" i="17"/>
  <c r="B978" i="17"/>
  <c r="C978" i="17"/>
  <c r="D978" i="17"/>
  <c r="E978" i="17"/>
  <c r="F978" i="17"/>
  <c r="G978" i="17"/>
  <c r="H978" i="17"/>
  <c r="R978" i="17"/>
  <c r="AB978" i="17"/>
  <c r="AC978" i="17"/>
  <c r="U978" i="2" s="1"/>
  <c r="AG978" i="17"/>
  <c r="B979" i="17"/>
  <c r="C979" i="17"/>
  <c r="D979" i="17"/>
  <c r="E979" i="17"/>
  <c r="F979" i="17"/>
  <c r="G979" i="17"/>
  <c r="H979" i="17"/>
  <c r="R979" i="17"/>
  <c r="AB979" i="17"/>
  <c r="AC979" i="17"/>
  <c r="U979" i="2" s="1"/>
  <c r="AG979" i="17"/>
  <c r="B980" i="17"/>
  <c r="C980" i="17"/>
  <c r="D980" i="17"/>
  <c r="E980" i="17"/>
  <c r="F980" i="17"/>
  <c r="G980" i="17"/>
  <c r="H980" i="17"/>
  <c r="R980" i="17"/>
  <c r="AB980" i="17"/>
  <c r="AC980" i="17"/>
  <c r="AG980" i="17"/>
  <c r="B981" i="17"/>
  <c r="C981" i="17"/>
  <c r="D981" i="17"/>
  <c r="E981" i="17"/>
  <c r="F981" i="17"/>
  <c r="G981" i="17"/>
  <c r="H981" i="17"/>
  <c r="R981" i="17"/>
  <c r="AB981" i="17"/>
  <c r="AC981" i="17"/>
  <c r="U981" i="2" s="1"/>
  <c r="AG981" i="17"/>
  <c r="B982" i="17"/>
  <c r="C982" i="17"/>
  <c r="D982" i="17"/>
  <c r="E982" i="17"/>
  <c r="F982" i="17"/>
  <c r="G982" i="17"/>
  <c r="H982" i="17"/>
  <c r="R982" i="17"/>
  <c r="AB982" i="17"/>
  <c r="AC982" i="17"/>
  <c r="U982" i="2" s="1"/>
  <c r="AG982" i="17"/>
  <c r="B983" i="17"/>
  <c r="C983" i="17"/>
  <c r="D983" i="17"/>
  <c r="E983" i="17"/>
  <c r="F983" i="17"/>
  <c r="G983" i="17"/>
  <c r="H983" i="17"/>
  <c r="R983" i="17"/>
  <c r="AB983" i="17"/>
  <c r="AC983" i="17"/>
  <c r="U983" i="2" s="1"/>
  <c r="AG983" i="17"/>
  <c r="B984" i="17"/>
  <c r="C984" i="17"/>
  <c r="D984" i="17"/>
  <c r="E984" i="17"/>
  <c r="F984" i="17"/>
  <c r="G984" i="17"/>
  <c r="H984" i="17"/>
  <c r="R984" i="17"/>
  <c r="AB984" i="17"/>
  <c r="AC984" i="17"/>
  <c r="AG984" i="17"/>
  <c r="B985" i="17"/>
  <c r="C985" i="17"/>
  <c r="D985" i="17"/>
  <c r="E985" i="17"/>
  <c r="F985" i="17"/>
  <c r="G985" i="17"/>
  <c r="H985" i="17"/>
  <c r="R985" i="17"/>
  <c r="AB985" i="17"/>
  <c r="AC985" i="17"/>
  <c r="U985" i="2" s="1"/>
  <c r="AG985" i="17"/>
  <c r="B986" i="17"/>
  <c r="C986" i="17"/>
  <c r="D986" i="17"/>
  <c r="E986" i="17"/>
  <c r="F986" i="17"/>
  <c r="G986" i="17"/>
  <c r="H986" i="17"/>
  <c r="R986" i="17"/>
  <c r="AB986" i="17"/>
  <c r="AC986" i="17"/>
  <c r="U986" i="2" s="1"/>
  <c r="AG986" i="17"/>
  <c r="B987" i="17"/>
  <c r="C987" i="17"/>
  <c r="D987" i="17"/>
  <c r="E987" i="17"/>
  <c r="F987" i="17"/>
  <c r="G987" i="17"/>
  <c r="H987" i="17"/>
  <c r="R987" i="17"/>
  <c r="AB987" i="17"/>
  <c r="AC987" i="17"/>
  <c r="U987" i="2" s="1"/>
  <c r="AG987" i="17"/>
  <c r="B988" i="17"/>
  <c r="C988" i="17"/>
  <c r="D988" i="17"/>
  <c r="E988" i="17"/>
  <c r="F988" i="17"/>
  <c r="G988" i="17"/>
  <c r="H988" i="17"/>
  <c r="R988" i="17"/>
  <c r="AB988" i="17"/>
  <c r="AC988" i="17"/>
  <c r="AG988" i="17"/>
  <c r="B989" i="17"/>
  <c r="C989" i="17"/>
  <c r="D989" i="17"/>
  <c r="E989" i="17"/>
  <c r="F989" i="17"/>
  <c r="G989" i="17"/>
  <c r="H989" i="17"/>
  <c r="R989" i="17"/>
  <c r="AB989" i="17"/>
  <c r="AC989" i="17"/>
  <c r="U989" i="2" s="1"/>
  <c r="AG989" i="17"/>
  <c r="B990" i="17"/>
  <c r="C990" i="17"/>
  <c r="D990" i="17"/>
  <c r="E990" i="17"/>
  <c r="F990" i="17"/>
  <c r="G990" i="17"/>
  <c r="H990" i="17"/>
  <c r="R990" i="17"/>
  <c r="AB990" i="17"/>
  <c r="AC990" i="17"/>
  <c r="U990" i="2" s="1"/>
  <c r="AG990" i="17"/>
  <c r="B991" i="17"/>
  <c r="C991" i="17"/>
  <c r="D991" i="17"/>
  <c r="E991" i="17"/>
  <c r="F991" i="17"/>
  <c r="G991" i="17"/>
  <c r="H991" i="17"/>
  <c r="R991" i="17"/>
  <c r="AB991" i="17"/>
  <c r="AC991" i="17"/>
  <c r="U991" i="2" s="1"/>
  <c r="AG991" i="17"/>
  <c r="B992" i="17"/>
  <c r="C992" i="17"/>
  <c r="D992" i="17"/>
  <c r="E992" i="17"/>
  <c r="F992" i="17"/>
  <c r="G992" i="17"/>
  <c r="H992" i="17"/>
  <c r="R992" i="17"/>
  <c r="AB992" i="17"/>
  <c r="AC992" i="17"/>
  <c r="AG992" i="17"/>
  <c r="B993" i="17"/>
  <c r="C993" i="17"/>
  <c r="D993" i="17"/>
  <c r="E993" i="17"/>
  <c r="F993" i="17"/>
  <c r="G993" i="17"/>
  <c r="H993" i="17"/>
  <c r="R993" i="17"/>
  <c r="AB993" i="17"/>
  <c r="AC993" i="17"/>
  <c r="U993" i="2" s="1"/>
  <c r="AG993" i="17"/>
  <c r="B994" i="17"/>
  <c r="C994" i="17"/>
  <c r="D994" i="17"/>
  <c r="E994" i="17"/>
  <c r="F994" i="17"/>
  <c r="G994" i="17"/>
  <c r="H994" i="17"/>
  <c r="R994" i="17"/>
  <c r="AB994" i="17"/>
  <c r="AC994" i="17"/>
  <c r="U994" i="2" s="1"/>
  <c r="AG994" i="17"/>
  <c r="B995" i="17"/>
  <c r="C995" i="17"/>
  <c r="D995" i="17"/>
  <c r="E995" i="17"/>
  <c r="F995" i="17"/>
  <c r="G995" i="17"/>
  <c r="H995" i="17"/>
  <c r="R995" i="17"/>
  <c r="AB995" i="17"/>
  <c r="AC995" i="17"/>
  <c r="U995" i="2" s="1"/>
  <c r="AG995" i="17"/>
  <c r="B996" i="17"/>
  <c r="C996" i="17"/>
  <c r="D996" i="17"/>
  <c r="E996" i="17"/>
  <c r="F996" i="17"/>
  <c r="G996" i="17"/>
  <c r="H996" i="17"/>
  <c r="R996" i="17"/>
  <c r="AB996" i="17"/>
  <c r="AC996" i="17"/>
  <c r="U996" i="2" s="1"/>
  <c r="AG996" i="17"/>
  <c r="B997" i="17"/>
  <c r="C997" i="17"/>
  <c r="D997" i="17"/>
  <c r="E997" i="17"/>
  <c r="F997" i="17"/>
  <c r="G997" i="17"/>
  <c r="H997" i="17"/>
  <c r="R997" i="17"/>
  <c r="AB997" i="17"/>
  <c r="AC997" i="17"/>
  <c r="U997" i="2" s="1"/>
  <c r="AG997" i="17"/>
  <c r="B998" i="17"/>
  <c r="C998" i="17"/>
  <c r="D998" i="17"/>
  <c r="E998" i="17"/>
  <c r="F998" i="17"/>
  <c r="G998" i="17"/>
  <c r="H998" i="17"/>
  <c r="R998" i="17"/>
  <c r="AB998" i="17"/>
  <c r="AC998" i="17"/>
  <c r="U998" i="2" s="1"/>
  <c r="AG998" i="17"/>
  <c r="B999" i="17"/>
  <c r="C999" i="17"/>
  <c r="D999" i="17"/>
  <c r="E999" i="17"/>
  <c r="F999" i="17"/>
  <c r="G999" i="17"/>
  <c r="H999" i="17"/>
  <c r="R999" i="17"/>
  <c r="AB999" i="17"/>
  <c r="AC999" i="17"/>
  <c r="U999" i="2" s="1"/>
  <c r="AG999" i="17"/>
  <c r="B1000" i="17"/>
  <c r="C1000" i="17"/>
  <c r="D1000" i="17"/>
  <c r="E1000" i="17"/>
  <c r="F1000" i="17"/>
  <c r="G1000" i="17"/>
  <c r="H1000" i="17"/>
  <c r="R1000" i="17"/>
  <c r="AB1000" i="17"/>
  <c r="AC1000" i="17"/>
  <c r="AG1000" i="17"/>
  <c r="B1001" i="17"/>
  <c r="C1001" i="17"/>
  <c r="D1001" i="17"/>
  <c r="E1001" i="17"/>
  <c r="F1001" i="17"/>
  <c r="G1001" i="17"/>
  <c r="H1001" i="17"/>
  <c r="R1001" i="17"/>
  <c r="AB1001" i="17"/>
  <c r="AC1001" i="17"/>
  <c r="U1001" i="2" s="1"/>
  <c r="AG1001" i="17"/>
  <c r="B1002" i="17"/>
  <c r="C1002" i="17"/>
  <c r="D1002" i="17"/>
  <c r="E1002" i="17"/>
  <c r="F1002" i="17"/>
  <c r="G1002" i="17"/>
  <c r="H1002" i="17"/>
  <c r="R1002" i="17"/>
  <c r="AB1002" i="17"/>
  <c r="AC1002" i="17"/>
  <c r="U1002" i="2" s="1"/>
  <c r="AG1002" i="17"/>
  <c r="B1003" i="17"/>
  <c r="C1003" i="17"/>
  <c r="D1003" i="17"/>
  <c r="E1003" i="17"/>
  <c r="F1003" i="17"/>
  <c r="G1003" i="17"/>
  <c r="H1003" i="17"/>
  <c r="R1003" i="17"/>
  <c r="AB1003" i="17"/>
  <c r="AC1003" i="17"/>
  <c r="U1003" i="2" s="1"/>
  <c r="AG1003" i="17"/>
  <c r="B1004" i="17"/>
  <c r="C1004" i="17"/>
  <c r="D1004" i="17"/>
  <c r="E1004" i="17"/>
  <c r="F1004" i="17"/>
  <c r="G1004" i="17"/>
  <c r="H1004" i="17"/>
  <c r="R1004" i="17"/>
  <c r="AB1004" i="17"/>
  <c r="AC1004" i="17"/>
  <c r="U1004" i="2" s="1"/>
  <c r="AG1004" i="17"/>
  <c r="B1005" i="17"/>
  <c r="C1005" i="17"/>
  <c r="D1005" i="17"/>
  <c r="E1005" i="17"/>
  <c r="F1005" i="17"/>
  <c r="G1005" i="17"/>
  <c r="H1005" i="17"/>
  <c r="R1005" i="17"/>
  <c r="AB1005" i="17"/>
  <c r="AC1005" i="17"/>
  <c r="U1005" i="2" s="1"/>
  <c r="AG1005" i="17"/>
  <c r="B1006" i="17"/>
  <c r="C1006" i="17"/>
  <c r="D1006" i="17"/>
  <c r="E1006" i="17"/>
  <c r="F1006" i="17"/>
  <c r="G1006" i="17"/>
  <c r="H1006" i="17"/>
  <c r="R1006" i="17"/>
  <c r="AB1006" i="17"/>
  <c r="AC1006" i="17"/>
  <c r="U1006" i="2" s="1"/>
  <c r="AG1006" i="17"/>
  <c r="B1007" i="17"/>
  <c r="C1007" i="17"/>
  <c r="D1007" i="17"/>
  <c r="E1007" i="17"/>
  <c r="F1007" i="17"/>
  <c r="G1007" i="17"/>
  <c r="H1007" i="17"/>
  <c r="R1007" i="17"/>
  <c r="AB1007" i="17"/>
  <c r="AC1007" i="17"/>
  <c r="U1007" i="2" s="1"/>
  <c r="AG1007" i="17"/>
  <c r="B1008" i="17"/>
  <c r="C1008" i="17"/>
  <c r="D1008" i="17"/>
  <c r="E1008" i="17"/>
  <c r="F1008" i="17"/>
  <c r="G1008" i="17"/>
  <c r="H1008" i="17"/>
  <c r="R1008" i="17"/>
  <c r="AB1008" i="17"/>
  <c r="AC1008" i="17"/>
  <c r="U1008" i="2" s="1"/>
  <c r="AG1008" i="17"/>
  <c r="B1009" i="17"/>
  <c r="C1009" i="17"/>
  <c r="D1009" i="17"/>
  <c r="E1009" i="17"/>
  <c r="F1009" i="17"/>
  <c r="G1009" i="17"/>
  <c r="H1009" i="17"/>
  <c r="R1009" i="17"/>
  <c r="AB1009" i="17"/>
  <c r="AC1009" i="17"/>
  <c r="U1009" i="2" s="1"/>
  <c r="AG1009" i="17"/>
  <c r="B1010" i="17"/>
  <c r="C1010" i="17"/>
  <c r="D1010" i="17"/>
  <c r="E1010" i="17"/>
  <c r="F1010" i="17"/>
  <c r="G1010" i="17"/>
  <c r="H1010" i="17"/>
  <c r="R1010" i="17"/>
  <c r="AB1010" i="17"/>
  <c r="AC1010" i="17"/>
  <c r="U1010" i="2" s="1"/>
  <c r="AG1010" i="17"/>
  <c r="B1011" i="17"/>
  <c r="C1011" i="17"/>
  <c r="D1011" i="17"/>
  <c r="E1011" i="17"/>
  <c r="F1011" i="17"/>
  <c r="G1011" i="17"/>
  <c r="H1011" i="17"/>
  <c r="R1011" i="17"/>
  <c r="AB1011" i="17"/>
  <c r="AC1011" i="17"/>
  <c r="U1011" i="2" s="1"/>
  <c r="AG1011" i="17"/>
  <c r="B1012" i="17"/>
  <c r="C1012" i="17"/>
  <c r="D1012" i="17"/>
  <c r="E1012" i="17"/>
  <c r="F1012" i="17"/>
  <c r="G1012" i="17"/>
  <c r="H1012" i="17"/>
  <c r="R1012" i="17"/>
  <c r="AB1012" i="17"/>
  <c r="AC1012" i="17"/>
  <c r="U1012" i="2" s="1"/>
  <c r="AG1012" i="17"/>
  <c r="B1013" i="17"/>
  <c r="C1013" i="17"/>
  <c r="D1013" i="17"/>
  <c r="E1013" i="17"/>
  <c r="F1013" i="17"/>
  <c r="G1013" i="17"/>
  <c r="H1013" i="17"/>
  <c r="R1013" i="17"/>
  <c r="AB1013" i="17"/>
  <c r="AC1013" i="17"/>
  <c r="U1013" i="2" s="1"/>
  <c r="AG1013" i="17"/>
  <c r="B1014" i="17"/>
  <c r="C1014" i="17"/>
  <c r="D1014" i="17"/>
  <c r="E1014" i="17"/>
  <c r="F1014" i="17"/>
  <c r="G1014" i="17"/>
  <c r="H1014" i="17"/>
  <c r="R1014" i="17"/>
  <c r="AB1014" i="17"/>
  <c r="AC1014" i="17"/>
  <c r="U1014" i="2" s="1"/>
  <c r="AG1014" i="17"/>
  <c r="B1015" i="17"/>
  <c r="C1015" i="17"/>
  <c r="D1015" i="17"/>
  <c r="E1015" i="17"/>
  <c r="F1015" i="17"/>
  <c r="G1015" i="17"/>
  <c r="H1015" i="17"/>
  <c r="R1015" i="17"/>
  <c r="AB1015" i="17"/>
  <c r="AC1015" i="17"/>
  <c r="U1015" i="2" s="1"/>
  <c r="AG1015" i="17"/>
  <c r="B1016" i="17"/>
  <c r="C1016" i="17"/>
  <c r="D1016" i="17"/>
  <c r="E1016" i="17"/>
  <c r="F1016" i="17"/>
  <c r="G1016" i="17"/>
  <c r="H1016" i="17"/>
  <c r="R1016" i="17"/>
  <c r="AB1016" i="17"/>
  <c r="AC1016" i="17"/>
  <c r="U1016" i="2" s="1"/>
  <c r="AG1016" i="17"/>
  <c r="B1017" i="17"/>
  <c r="C1017" i="17"/>
  <c r="D1017" i="17"/>
  <c r="E1017" i="17"/>
  <c r="F1017" i="17"/>
  <c r="G1017" i="17"/>
  <c r="H1017" i="17"/>
  <c r="R1017" i="17"/>
  <c r="AB1017" i="17"/>
  <c r="AC1017" i="17"/>
  <c r="U1017" i="2" s="1"/>
  <c r="AG1017" i="17"/>
  <c r="B1018" i="17"/>
  <c r="C1018" i="17"/>
  <c r="D1018" i="17"/>
  <c r="E1018" i="17"/>
  <c r="F1018" i="17"/>
  <c r="G1018" i="17"/>
  <c r="H1018" i="17"/>
  <c r="R1018" i="17"/>
  <c r="AB1018" i="17"/>
  <c r="AC1018" i="17"/>
  <c r="U1018" i="2" s="1"/>
  <c r="AG1018" i="17"/>
  <c r="B1019" i="17"/>
  <c r="C1019" i="17"/>
  <c r="D1019" i="17"/>
  <c r="E1019" i="17"/>
  <c r="F1019" i="17"/>
  <c r="G1019" i="17"/>
  <c r="H1019" i="17"/>
  <c r="R1019" i="17"/>
  <c r="AB1019" i="17"/>
  <c r="AC1019" i="17"/>
  <c r="U1019" i="2" s="1"/>
  <c r="AG1019" i="17"/>
  <c r="B1020" i="17"/>
  <c r="C1020" i="17"/>
  <c r="D1020" i="17"/>
  <c r="E1020" i="17"/>
  <c r="F1020" i="17"/>
  <c r="G1020" i="17"/>
  <c r="H1020" i="17"/>
  <c r="R1020" i="17"/>
  <c r="AB1020" i="17"/>
  <c r="AC1020" i="17"/>
  <c r="U1020" i="2" s="1"/>
  <c r="AG1020" i="17"/>
  <c r="B1021" i="17"/>
  <c r="C1021" i="17"/>
  <c r="D1021" i="17"/>
  <c r="E1021" i="17"/>
  <c r="F1021" i="17"/>
  <c r="G1021" i="17"/>
  <c r="H1021" i="17"/>
  <c r="R1021" i="17"/>
  <c r="AB1021" i="17"/>
  <c r="AC1021" i="17"/>
  <c r="U1021" i="2" s="1"/>
  <c r="AG1021" i="17"/>
  <c r="B1022" i="17"/>
  <c r="C1022" i="17"/>
  <c r="D1022" i="17"/>
  <c r="E1022" i="17"/>
  <c r="F1022" i="17"/>
  <c r="G1022" i="17"/>
  <c r="H1022" i="17"/>
  <c r="R1022" i="17"/>
  <c r="AB1022" i="17"/>
  <c r="AC1022" i="17"/>
  <c r="U1022" i="2" s="1"/>
  <c r="AG1022" i="17"/>
  <c r="B1023" i="17"/>
  <c r="C1023" i="17"/>
  <c r="D1023" i="17"/>
  <c r="E1023" i="17"/>
  <c r="F1023" i="17"/>
  <c r="G1023" i="17"/>
  <c r="H1023" i="17"/>
  <c r="R1023" i="17"/>
  <c r="AB1023" i="17"/>
  <c r="AC1023" i="17"/>
  <c r="U1023" i="2" s="1"/>
  <c r="AG1023" i="17"/>
  <c r="B1024" i="17"/>
  <c r="C1024" i="17"/>
  <c r="D1024" i="17"/>
  <c r="E1024" i="17"/>
  <c r="F1024" i="17"/>
  <c r="G1024" i="17"/>
  <c r="H1024" i="17"/>
  <c r="R1024" i="17"/>
  <c r="AB1024" i="17"/>
  <c r="AC1024" i="17"/>
  <c r="U1024" i="2" s="1"/>
  <c r="AG1024" i="17"/>
  <c r="B1025" i="17"/>
  <c r="C1025" i="17"/>
  <c r="D1025" i="17"/>
  <c r="E1025" i="17"/>
  <c r="F1025" i="17"/>
  <c r="G1025" i="17"/>
  <c r="H1025" i="17"/>
  <c r="R1025" i="17"/>
  <c r="AB1025" i="17"/>
  <c r="AC1025" i="17"/>
  <c r="U1025" i="2" s="1"/>
  <c r="AG1025" i="17"/>
  <c r="B1026" i="17"/>
  <c r="C1026" i="17"/>
  <c r="D1026" i="17"/>
  <c r="E1026" i="17"/>
  <c r="F1026" i="17"/>
  <c r="G1026" i="17"/>
  <c r="H1026" i="17"/>
  <c r="R1026" i="17"/>
  <c r="AB1026" i="17"/>
  <c r="AC1026" i="17"/>
  <c r="U1026" i="2" s="1"/>
  <c r="AG1026" i="17"/>
  <c r="B1027" i="17"/>
  <c r="C1027" i="17"/>
  <c r="D1027" i="17"/>
  <c r="E1027" i="17"/>
  <c r="F1027" i="17"/>
  <c r="G1027" i="17"/>
  <c r="H1027" i="17"/>
  <c r="R1027" i="17"/>
  <c r="AB1027" i="17"/>
  <c r="AC1027" i="17"/>
  <c r="U1027" i="2" s="1"/>
  <c r="AG1027" i="17"/>
  <c r="B1028" i="17"/>
  <c r="C1028" i="17"/>
  <c r="D1028" i="17"/>
  <c r="E1028" i="17"/>
  <c r="F1028" i="17"/>
  <c r="G1028" i="17"/>
  <c r="H1028" i="17"/>
  <c r="R1028" i="17"/>
  <c r="AB1028" i="17"/>
  <c r="AC1028" i="17"/>
  <c r="U1028" i="2" s="1"/>
  <c r="AG1028" i="17"/>
  <c r="B1029" i="17"/>
  <c r="C1029" i="17"/>
  <c r="D1029" i="17"/>
  <c r="E1029" i="17"/>
  <c r="F1029" i="17"/>
  <c r="G1029" i="17"/>
  <c r="H1029" i="17"/>
  <c r="R1029" i="17"/>
  <c r="AB1029" i="17"/>
  <c r="AC1029" i="17"/>
  <c r="U1029" i="2" s="1"/>
  <c r="AG1029" i="17"/>
  <c r="B1030" i="17"/>
  <c r="C1030" i="17"/>
  <c r="D1030" i="17"/>
  <c r="E1030" i="17"/>
  <c r="F1030" i="17"/>
  <c r="G1030" i="17"/>
  <c r="H1030" i="17"/>
  <c r="R1030" i="17"/>
  <c r="AB1030" i="17"/>
  <c r="AC1030" i="17"/>
  <c r="U1030" i="2" s="1"/>
  <c r="AG1030" i="17"/>
  <c r="B1031" i="17"/>
  <c r="C1031" i="17"/>
  <c r="D1031" i="17"/>
  <c r="E1031" i="17"/>
  <c r="F1031" i="17"/>
  <c r="G1031" i="17"/>
  <c r="H1031" i="17"/>
  <c r="R1031" i="17"/>
  <c r="AB1031" i="17"/>
  <c r="AC1031" i="17"/>
  <c r="U1031" i="2" s="1"/>
  <c r="AG1031" i="17"/>
  <c r="B1032" i="17"/>
  <c r="C1032" i="17"/>
  <c r="D1032" i="17"/>
  <c r="E1032" i="17"/>
  <c r="F1032" i="17"/>
  <c r="G1032" i="17"/>
  <c r="H1032" i="17"/>
  <c r="R1032" i="17"/>
  <c r="AB1032" i="17"/>
  <c r="AC1032" i="17"/>
  <c r="U1032" i="2" s="1"/>
  <c r="AG1032" i="17"/>
  <c r="B1033" i="17"/>
  <c r="C1033" i="17"/>
  <c r="D1033" i="17"/>
  <c r="E1033" i="17"/>
  <c r="F1033" i="17"/>
  <c r="G1033" i="17"/>
  <c r="H1033" i="17"/>
  <c r="R1033" i="17"/>
  <c r="AB1033" i="17"/>
  <c r="AC1033" i="17"/>
  <c r="U1033" i="2" s="1"/>
  <c r="AG1033" i="17"/>
  <c r="B1034" i="17"/>
  <c r="C1034" i="17"/>
  <c r="D1034" i="17"/>
  <c r="E1034" i="17"/>
  <c r="F1034" i="17"/>
  <c r="G1034" i="17"/>
  <c r="H1034" i="17"/>
  <c r="R1034" i="17"/>
  <c r="AB1034" i="17"/>
  <c r="AC1034" i="17"/>
  <c r="U1034" i="2" s="1"/>
  <c r="AG1034" i="17"/>
  <c r="B1035" i="17"/>
  <c r="C1035" i="17"/>
  <c r="D1035" i="17"/>
  <c r="E1035" i="17"/>
  <c r="F1035" i="17"/>
  <c r="G1035" i="17"/>
  <c r="H1035" i="17"/>
  <c r="R1035" i="17"/>
  <c r="AB1035" i="17"/>
  <c r="AC1035" i="17"/>
  <c r="U1035" i="2" s="1"/>
  <c r="AG1035" i="17"/>
  <c r="B1036" i="17"/>
  <c r="C1036" i="17"/>
  <c r="D1036" i="17"/>
  <c r="E1036" i="17"/>
  <c r="F1036" i="17"/>
  <c r="G1036" i="17"/>
  <c r="H1036" i="17"/>
  <c r="R1036" i="17"/>
  <c r="AB1036" i="17"/>
  <c r="AC1036" i="17"/>
  <c r="U1036" i="2" s="1"/>
  <c r="AG1036" i="17"/>
  <c r="B1037" i="17"/>
  <c r="C1037" i="17"/>
  <c r="D1037" i="17"/>
  <c r="E1037" i="17"/>
  <c r="F1037" i="17"/>
  <c r="G1037" i="17"/>
  <c r="H1037" i="17"/>
  <c r="R1037" i="17"/>
  <c r="AB1037" i="17"/>
  <c r="AC1037" i="17"/>
  <c r="U1037" i="2" s="1"/>
  <c r="AG1037" i="17"/>
  <c r="B1038" i="17"/>
  <c r="C1038" i="17"/>
  <c r="D1038" i="17"/>
  <c r="E1038" i="17"/>
  <c r="F1038" i="17"/>
  <c r="G1038" i="17"/>
  <c r="H1038" i="17"/>
  <c r="R1038" i="17"/>
  <c r="AB1038" i="17"/>
  <c r="AC1038" i="17"/>
  <c r="U1038" i="2" s="1"/>
  <c r="AG1038" i="17"/>
  <c r="B1039" i="17"/>
  <c r="C1039" i="17"/>
  <c r="D1039" i="17"/>
  <c r="E1039" i="17"/>
  <c r="F1039" i="17"/>
  <c r="G1039" i="17"/>
  <c r="H1039" i="17"/>
  <c r="R1039" i="17"/>
  <c r="AB1039" i="17"/>
  <c r="AC1039" i="17"/>
  <c r="U1039" i="2" s="1"/>
  <c r="AG1039" i="17"/>
  <c r="B1040" i="17"/>
  <c r="C1040" i="17"/>
  <c r="D1040" i="17"/>
  <c r="E1040" i="17"/>
  <c r="F1040" i="17"/>
  <c r="G1040" i="17"/>
  <c r="H1040" i="17"/>
  <c r="R1040" i="17"/>
  <c r="AB1040" i="17"/>
  <c r="AC1040" i="17"/>
  <c r="U1040" i="2" s="1"/>
  <c r="AG1040" i="17"/>
  <c r="B1041" i="17"/>
  <c r="C1041" i="17"/>
  <c r="D1041" i="17"/>
  <c r="E1041" i="17"/>
  <c r="F1041" i="17"/>
  <c r="G1041" i="17"/>
  <c r="H1041" i="17"/>
  <c r="R1041" i="17"/>
  <c r="AB1041" i="17"/>
  <c r="AC1041" i="17"/>
  <c r="U1041" i="2" s="1"/>
  <c r="AG1041" i="17"/>
  <c r="B1042" i="17"/>
  <c r="C1042" i="17"/>
  <c r="D1042" i="17"/>
  <c r="E1042" i="17"/>
  <c r="F1042" i="17"/>
  <c r="G1042" i="17"/>
  <c r="H1042" i="17"/>
  <c r="R1042" i="17"/>
  <c r="AB1042" i="17"/>
  <c r="AC1042" i="17"/>
  <c r="U1042" i="2" s="1"/>
  <c r="AG1042" i="17"/>
  <c r="B1043" i="17"/>
  <c r="C1043" i="17"/>
  <c r="D1043" i="17"/>
  <c r="E1043" i="17"/>
  <c r="F1043" i="17"/>
  <c r="G1043" i="17"/>
  <c r="H1043" i="17"/>
  <c r="R1043" i="17"/>
  <c r="AB1043" i="17"/>
  <c r="AC1043" i="17"/>
  <c r="U1043" i="2" s="1"/>
  <c r="AG1043" i="17"/>
  <c r="B1044" i="17"/>
  <c r="C1044" i="17"/>
  <c r="D1044" i="17"/>
  <c r="E1044" i="17"/>
  <c r="F1044" i="17"/>
  <c r="G1044" i="17"/>
  <c r="H1044" i="17"/>
  <c r="R1044" i="17"/>
  <c r="AB1044" i="17"/>
  <c r="AC1044" i="17"/>
  <c r="U1044" i="2" s="1"/>
  <c r="AG1044" i="17"/>
  <c r="B1045" i="17"/>
  <c r="C1045" i="17"/>
  <c r="D1045" i="17"/>
  <c r="E1045" i="17"/>
  <c r="F1045" i="17"/>
  <c r="G1045" i="17"/>
  <c r="H1045" i="17"/>
  <c r="R1045" i="17"/>
  <c r="AB1045" i="17"/>
  <c r="AC1045" i="17"/>
  <c r="U1045" i="2" s="1"/>
  <c r="AG1045" i="17"/>
  <c r="B1046" i="17"/>
  <c r="C1046" i="17"/>
  <c r="D1046" i="17"/>
  <c r="E1046" i="17"/>
  <c r="F1046" i="17"/>
  <c r="G1046" i="17"/>
  <c r="H1046" i="17"/>
  <c r="R1046" i="17"/>
  <c r="AB1046" i="17"/>
  <c r="AC1046" i="17"/>
  <c r="U1046" i="2" s="1"/>
  <c r="AG1046" i="17"/>
  <c r="B1047" i="17"/>
  <c r="C1047" i="17"/>
  <c r="D1047" i="17"/>
  <c r="E1047" i="17"/>
  <c r="F1047" i="17"/>
  <c r="G1047" i="17"/>
  <c r="H1047" i="17"/>
  <c r="R1047" i="17"/>
  <c r="AB1047" i="17"/>
  <c r="AC1047" i="17"/>
  <c r="U1047" i="2" s="1"/>
  <c r="AG1047" i="17"/>
  <c r="B1048" i="17"/>
  <c r="C1048" i="17"/>
  <c r="D1048" i="17"/>
  <c r="E1048" i="17"/>
  <c r="F1048" i="17"/>
  <c r="G1048" i="17"/>
  <c r="H1048" i="17"/>
  <c r="R1048" i="17"/>
  <c r="AB1048" i="17"/>
  <c r="AC1048" i="17"/>
  <c r="U1048" i="2" s="1"/>
  <c r="AG1048" i="17"/>
  <c r="B1049" i="17"/>
  <c r="C1049" i="17"/>
  <c r="D1049" i="17"/>
  <c r="E1049" i="17"/>
  <c r="F1049" i="17"/>
  <c r="G1049" i="17"/>
  <c r="H1049" i="17"/>
  <c r="R1049" i="17"/>
  <c r="AB1049" i="17"/>
  <c r="AC1049" i="17"/>
  <c r="U1049" i="2" s="1"/>
  <c r="AG1049" i="17"/>
  <c r="B1050" i="17"/>
  <c r="C1050" i="17"/>
  <c r="D1050" i="17"/>
  <c r="E1050" i="17"/>
  <c r="F1050" i="17"/>
  <c r="G1050" i="17"/>
  <c r="H1050" i="17"/>
  <c r="R1050" i="17"/>
  <c r="AB1050" i="17"/>
  <c r="AC1050" i="17"/>
  <c r="U1050" i="2" s="1"/>
  <c r="AG1050" i="17"/>
  <c r="B1051" i="17"/>
  <c r="C1051" i="17"/>
  <c r="D1051" i="17"/>
  <c r="E1051" i="17"/>
  <c r="F1051" i="17"/>
  <c r="G1051" i="17"/>
  <c r="H1051" i="17"/>
  <c r="R1051" i="17"/>
  <c r="AB1051" i="17"/>
  <c r="AC1051" i="17"/>
  <c r="U1051" i="2" s="1"/>
  <c r="AG1051" i="17"/>
  <c r="B1052" i="17"/>
  <c r="C1052" i="17"/>
  <c r="D1052" i="17"/>
  <c r="E1052" i="17"/>
  <c r="F1052" i="17"/>
  <c r="G1052" i="17"/>
  <c r="H1052" i="17"/>
  <c r="R1052" i="17"/>
  <c r="AB1052" i="17"/>
  <c r="AC1052" i="17"/>
  <c r="U1052" i="2" s="1"/>
  <c r="AG1052" i="17"/>
  <c r="B1053" i="17"/>
  <c r="C1053" i="17"/>
  <c r="D1053" i="17"/>
  <c r="E1053" i="17"/>
  <c r="F1053" i="17"/>
  <c r="G1053" i="17"/>
  <c r="H1053" i="17"/>
  <c r="R1053" i="17"/>
  <c r="AB1053" i="17"/>
  <c r="AC1053" i="17"/>
  <c r="U1053" i="2" s="1"/>
  <c r="AG1053" i="17"/>
  <c r="B1054" i="17"/>
  <c r="C1054" i="17"/>
  <c r="D1054" i="17"/>
  <c r="E1054" i="17"/>
  <c r="F1054" i="17"/>
  <c r="G1054" i="17"/>
  <c r="H1054" i="17"/>
  <c r="R1054" i="17"/>
  <c r="AB1054" i="17"/>
  <c r="AC1054" i="17"/>
  <c r="U1054" i="2" s="1"/>
  <c r="AG1054" i="17"/>
  <c r="B1055" i="17"/>
  <c r="C1055" i="17"/>
  <c r="D1055" i="17"/>
  <c r="E1055" i="17"/>
  <c r="F1055" i="17"/>
  <c r="G1055" i="17"/>
  <c r="H1055" i="17"/>
  <c r="R1055" i="17"/>
  <c r="AB1055" i="17"/>
  <c r="AC1055" i="17"/>
  <c r="U1055" i="2" s="1"/>
  <c r="AG1055" i="17"/>
  <c r="B1056" i="17"/>
  <c r="C1056" i="17"/>
  <c r="D1056" i="17"/>
  <c r="E1056" i="17"/>
  <c r="F1056" i="17"/>
  <c r="G1056" i="17"/>
  <c r="H1056" i="17"/>
  <c r="R1056" i="17"/>
  <c r="AB1056" i="17"/>
  <c r="AC1056" i="17"/>
  <c r="U1056" i="2" s="1"/>
  <c r="AG1056" i="17"/>
  <c r="B1057" i="17"/>
  <c r="C1057" i="17"/>
  <c r="D1057" i="17"/>
  <c r="E1057" i="17"/>
  <c r="F1057" i="17"/>
  <c r="G1057" i="17"/>
  <c r="H1057" i="17"/>
  <c r="R1057" i="17"/>
  <c r="AB1057" i="17"/>
  <c r="AC1057" i="17"/>
  <c r="U1057" i="2" s="1"/>
  <c r="AG1057" i="17"/>
  <c r="B1058" i="17"/>
  <c r="C1058" i="17"/>
  <c r="D1058" i="17"/>
  <c r="E1058" i="17"/>
  <c r="F1058" i="17"/>
  <c r="G1058" i="17"/>
  <c r="H1058" i="17"/>
  <c r="R1058" i="17"/>
  <c r="AB1058" i="17"/>
  <c r="AC1058" i="17"/>
  <c r="U1058" i="2" s="1"/>
  <c r="AG1058" i="17"/>
  <c r="B1059" i="17"/>
  <c r="C1059" i="17"/>
  <c r="D1059" i="17"/>
  <c r="E1059" i="17"/>
  <c r="F1059" i="17"/>
  <c r="G1059" i="17"/>
  <c r="H1059" i="17"/>
  <c r="R1059" i="17"/>
  <c r="AB1059" i="17"/>
  <c r="AC1059" i="17"/>
  <c r="U1059" i="2" s="1"/>
  <c r="AG1059" i="17"/>
  <c r="B1060" i="17"/>
  <c r="C1060" i="17"/>
  <c r="D1060" i="17"/>
  <c r="E1060" i="17"/>
  <c r="F1060" i="17"/>
  <c r="G1060" i="17"/>
  <c r="H1060" i="17"/>
  <c r="R1060" i="17"/>
  <c r="AB1060" i="17"/>
  <c r="AC1060" i="17"/>
  <c r="U1060" i="2" s="1"/>
  <c r="AG1060" i="17"/>
  <c r="B1061" i="17"/>
  <c r="C1061" i="17"/>
  <c r="D1061" i="17"/>
  <c r="E1061" i="17"/>
  <c r="F1061" i="17"/>
  <c r="G1061" i="17"/>
  <c r="H1061" i="17"/>
  <c r="R1061" i="17"/>
  <c r="AB1061" i="17"/>
  <c r="AC1061" i="17"/>
  <c r="U1061" i="2" s="1"/>
  <c r="AG1061" i="17"/>
  <c r="B1062" i="17"/>
  <c r="C1062" i="17"/>
  <c r="D1062" i="17"/>
  <c r="E1062" i="17"/>
  <c r="F1062" i="17"/>
  <c r="G1062" i="17"/>
  <c r="H1062" i="17"/>
  <c r="R1062" i="17"/>
  <c r="AB1062" i="17"/>
  <c r="AC1062" i="17"/>
  <c r="U1062" i="2" s="1"/>
  <c r="AG1062" i="17"/>
  <c r="B1063" i="17"/>
  <c r="C1063" i="17"/>
  <c r="D1063" i="17"/>
  <c r="E1063" i="17"/>
  <c r="F1063" i="17"/>
  <c r="G1063" i="17"/>
  <c r="H1063" i="17"/>
  <c r="R1063" i="17"/>
  <c r="AB1063" i="17"/>
  <c r="AC1063" i="17"/>
  <c r="U1063" i="2" s="1"/>
  <c r="AG1063" i="17"/>
  <c r="B1064" i="17"/>
  <c r="C1064" i="17"/>
  <c r="D1064" i="17"/>
  <c r="E1064" i="17"/>
  <c r="F1064" i="17"/>
  <c r="G1064" i="17"/>
  <c r="H1064" i="17"/>
  <c r="R1064" i="17"/>
  <c r="AB1064" i="17"/>
  <c r="AC1064" i="17"/>
  <c r="U1064" i="2" s="1"/>
  <c r="AG1064" i="17"/>
  <c r="B1065" i="17"/>
  <c r="C1065" i="17"/>
  <c r="D1065" i="17"/>
  <c r="E1065" i="17"/>
  <c r="F1065" i="17"/>
  <c r="G1065" i="17"/>
  <c r="H1065" i="17"/>
  <c r="R1065" i="17"/>
  <c r="AB1065" i="17"/>
  <c r="AC1065" i="17"/>
  <c r="U1065" i="2" s="1"/>
  <c r="AG1065" i="17"/>
  <c r="B1066" i="17"/>
  <c r="C1066" i="17"/>
  <c r="D1066" i="17"/>
  <c r="E1066" i="17"/>
  <c r="F1066" i="17"/>
  <c r="G1066" i="17"/>
  <c r="H1066" i="17"/>
  <c r="R1066" i="17"/>
  <c r="AB1066" i="17"/>
  <c r="AC1066" i="17"/>
  <c r="U1066" i="2" s="1"/>
  <c r="AG1066" i="17"/>
  <c r="B1067" i="17"/>
  <c r="C1067" i="17"/>
  <c r="D1067" i="17"/>
  <c r="E1067" i="17"/>
  <c r="F1067" i="17"/>
  <c r="G1067" i="17"/>
  <c r="H1067" i="17"/>
  <c r="R1067" i="17"/>
  <c r="AB1067" i="17"/>
  <c r="AC1067" i="17"/>
  <c r="U1067" i="2" s="1"/>
  <c r="AG1067" i="17"/>
  <c r="B1068" i="17"/>
  <c r="C1068" i="17"/>
  <c r="D1068" i="17"/>
  <c r="E1068" i="17"/>
  <c r="F1068" i="17"/>
  <c r="G1068" i="17"/>
  <c r="H1068" i="17"/>
  <c r="R1068" i="17"/>
  <c r="AB1068" i="17"/>
  <c r="AC1068" i="17"/>
  <c r="U1068" i="2" s="1"/>
  <c r="AG1068" i="17"/>
  <c r="B1069" i="17"/>
  <c r="C1069" i="17"/>
  <c r="D1069" i="17"/>
  <c r="E1069" i="17"/>
  <c r="F1069" i="17"/>
  <c r="G1069" i="17"/>
  <c r="H1069" i="17"/>
  <c r="R1069" i="17"/>
  <c r="AB1069" i="17"/>
  <c r="AC1069" i="17"/>
  <c r="U1069" i="2" s="1"/>
  <c r="AG1069" i="17"/>
  <c r="B1070" i="17"/>
  <c r="C1070" i="17"/>
  <c r="D1070" i="17"/>
  <c r="E1070" i="17"/>
  <c r="F1070" i="17"/>
  <c r="G1070" i="17"/>
  <c r="H1070" i="17"/>
  <c r="R1070" i="17"/>
  <c r="AB1070" i="17"/>
  <c r="AC1070" i="17"/>
  <c r="U1070" i="2" s="1"/>
  <c r="AG1070" i="17"/>
  <c r="B1071" i="17"/>
  <c r="C1071" i="17"/>
  <c r="D1071" i="17"/>
  <c r="E1071" i="17"/>
  <c r="F1071" i="17"/>
  <c r="G1071" i="17"/>
  <c r="H1071" i="17"/>
  <c r="R1071" i="17"/>
  <c r="AB1071" i="17"/>
  <c r="AC1071" i="17"/>
  <c r="U1071" i="2" s="1"/>
  <c r="AG1071" i="17"/>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P1000" i="2"/>
  <c r="S393" i="2"/>
  <c r="S394" i="2"/>
  <c r="S395" i="2"/>
  <c r="S396" i="2"/>
  <c r="S398" i="2"/>
  <c r="S399" i="2"/>
  <c r="S400" i="2"/>
  <c r="S401" i="2"/>
  <c r="S405" i="2"/>
  <c r="S406" i="2"/>
  <c r="S407" i="2"/>
  <c r="S408" i="2"/>
  <c r="S409" i="2"/>
  <c r="S410" i="2"/>
  <c r="S411" i="2"/>
  <c r="S412" i="2"/>
  <c r="S413" i="2"/>
  <c r="S414" i="2"/>
  <c r="S416" i="2"/>
  <c r="S417" i="2"/>
  <c r="S418" i="2"/>
  <c r="S422" i="2"/>
  <c r="S423" i="2"/>
  <c r="S424" i="2"/>
  <c r="S426" i="2"/>
  <c r="S427" i="2"/>
  <c r="S428" i="2"/>
  <c r="S431" i="2"/>
  <c r="S432" i="2"/>
  <c r="S433" i="2"/>
  <c r="S437" i="2"/>
  <c r="S438" i="2"/>
  <c r="S439" i="2"/>
  <c r="S441" i="2"/>
  <c r="S442" i="2"/>
  <c r="S443" i="2"/>
  <c r="S444" i="2"/>
  <c r="S445" i="2"/>
  <c r="S446" i="2"/>
  <c r="S447" i="2"/>
  <c r="S448" i="2"/>
  <c r="S450" i="2"/>
  <c r="S451" i="2"/>
  <c r="S453" i="2"/>
  <c r="S454" i="2"/>
  <c r="S455" i="2"/>
  <c r="S456" i="2"/>
  <c r="S457" i="2"/>
  <c r="S458" i="2"/>
  <c r="S459" i="2"/>
  <c r="S460" i="2"/>
  <c r="S462" i="2"/>
  <c r="S463" i="2"/>
  <c r="S465" i="2"/>
  <c r="S467" i="2"/>
  <c r="S468" i="2"/>
  <c r="S469" i="2"/>
  <c r="S470" i="2"/>
  <c r="S471" i="2"/>
  <c r="S472" i="2"/>
  <c r="S473" i="2"/>
  <c r="S474" i="2"/>
  <c r="S477" i="2"/>
  <c r="S478" i="2"/>
  <c r="S479" i="2"/>
  <c r="S480" i="2"/>
  <c r="S481" i="2"/>
  <c r="S482" i="2"/>
  <c r="S483" i="2"/>
  <c r="S486" i="2"/>
  <c r="S490" i="2"/>
  <c r="S491" i="2"/>
  <c r="S492" i="2"/>
  <c r="S493" i="2"/>
  <c r="S495" i="2"/>
  <c r="S496" i="2"/>
  <c r="S500" i="2"/>
  <c r="S501" i="2"/>
  <c r="S502" i="2"/>
  <c r="S505" i="2"/>
  <c r="S510" i="2"/>
  <c r="S517" i="2"/>
  <c r="S522" i="2"/>
  <c r="S523" i="2"/>
  <c r="S530" i="2"/>
  <c r="S534" i="2"/>
  <c r="S536" i="2"/>
  <c r="S537" i="2"/>
  <c r="S538" i="2"/>
  <c r="S540" i="2"/>
  <c r="S544" i="2"/>
  <c r="S545" i="2"/>
  <c r="S547" i="2"/>
  <c r="S549" i="2"/>
  <c r="S551" i="2"/>
  <c r="S552" i="2"/>
  <c r="S553" i="2"/>
  <c r="S554" i="2"/>
  <c r="S556" i="2"/>
  <c r="S558" i="2"/>
  <c r="S559" i="2"/>
  <c r="S560" i="2"/>
  <c r="S561" i="2"/>
  <c r="S564" i="2"/>
  <c r="S566" i="2"/>
  <c r="S567" i="2"/>
  <c r="S568" i="2"/>
  <c r="S569" i="2"/>
  <c r="S570" i="2"/>
  <c r="S572" i="2"/>
  <c r="S573" i="2"/>
  <c r="S574" i="2"/>
  <c r="S577" i="2"/>
  <c r="S578" i="2"/>
  <c r="S579" i="2"/>
  <c r="S580" i="2"/>
  <c r="S583" i="2"/>
  <c r="S586" i="2"/>
  <c r="S589" i="2"/>
  <c r="S590" i="2"/>
  <c r="S592" i="2"/>
  <c r="S593" i="2"/>
  <c r="S594" i="2"/>
  <c r="S595" i="2"/>
  <c r="S597" i="2"/>
  <c r="S598" i="2"/>
  <c r="S600" i="2"/>
  <c r="S601" i="2"/>
  <c r="S602" i="2"/>
  <c r="S604" i="2"/>
  <c r="S605" i="2"/>
  <c r="S606" i="2"/>
  <c r="S607" i="2"/>
  <c r="S608" i="2"/>
  <c r="S609" i="2"/>
  <c r="S611" i="2"/>
  <c r="S612" i="2"/>
  <c r="S613" i="2"/>
  <c r="S614" i="2"/>
  <c r="S616" i="2"/>
  <c r="S617" i="2"/>
  <c r="S618" i="2"/>
  <c r="S619" i="2"/>
  <c r="S620" i="2"/>
  <c r="S622" i="2"/>
  <c r="S624" i="2"/>
  <c r="S625" i="2"/>
  <c r="S626" i="2"/>
  <c r="S627" i="2"/>
  <c r="S629" i="2"/>
  <c r="S631" i="2"/>
  <c r="S632" i="2"/>
  <c r="S633" i="2"/>
  <c r="S634" i="2"/>
  <c r="S636" i="2"/>
  <c r="S639" i="2"/>
  <c r="S640" i="2"/>
  <c r="S641" i="2"/>
  <c r="S643" i="2"/>
  <c r="S644" i="2"/>
  <c r="S646" i="2"/>
  <c r="S647" i="2"/>
  <c r="S658" i="2"/>
  <c r="S662" i="2"/>
  <c r="S663" i="2"/>
  <c r="S665" i="2"/>
  <c r="S666" i="2"/>
  <c r="S668" i="2"/>
  <c r="S670" i="2"/>
  <c r="S672" i="2"/>
  <c r="S673" i="2"/>
  <c r="S675" i="2"/>
  <c r="S676" i="2"/>
  <c r="S677" i="2"/>
  <c r="S679" i="2"/>
  <c r="S680" i="2"/>
  <c r="S682" i="2"/>
  <c r="S683" i="2"/>
  <c r="S684" i="2"/>
  <c r="S685" i="2"/>
  <c r="S686" i="2"/>
  <c r="S687" i="2"/>
  <c r="S688" i="2"/>
  <c r="S689" i="2"/>
  <c r="S691" i="2"/>
  <c r="S693" i="2"/>
  <c r="S694" i="2"/>
  <c r="S695" i="2"/>
  <c r="S697" i="2"/>
  <c r="S698" i="2"/>
  <c r="S700" i="2"/>
  <c r="S701" i="2"/>
  <c r="S702" i="2"/>
  <c r="S706" i="2"/>
  <c r="S708" i="2"/>
  <c r="S709" i="2"/>
  <c r="S711" i="2"/>
  <c r="S713" i="2"/>
  <c r="S714" i="2"/>
  <c r="S715" i="2"/>
  <c r="S717" i="2"/>
  <c r="S719" i="2"/>
  <c r="S720" i="2"/>
  <c r="S721" i="2"/>
  <c r="S722" i="2"/>
  <c r="S723" i="2"/>
  <c r="S724" i="2"/>
  <c r="S725" i="2"/>
  <c r="S726" i="2"/>
  <c r="S727" i="2"/>
  <c r="S728" i="2"/>
  <c r="S729" i="2"/>
  <c r="S731" i="2"/>
  <c r="S732" i="2"/>
  <c r="S733" i="2"/>
  <c r="S735" i="2"/>
  <c r="S739" i="2"/>
  <c r="S740" i="2"/>
  <c r="S743" i="2"/>
  <c r="S744" i="2"/>
  <c r="S745" i="2"/>
  <c r="S747" i="2"/>
  <c r="S751" i="2"/>
  <c r="S752" i="2"/>
  <c r="S754" i="2"/>
  <c r="S755" i="2"/>
  <c r="S757" i="2"/>
  <c r="S759" i="2"/>
  <c r="S760" i="2"/>
  <c r="S761" i="2"/>
  <c r="S762" i="2"/>
  <c r="S769" i="2"/>
  <c r="S776" i="2"/>
  <c r="S778" i="2"/>
  <c r="S779" i="2"/>
  <c r="S782" i="2"/>
  <c r="S783" i="2"/>
  <c r="S785" i="2"/>
  <c r="S786" i="2"/>
  <c r="S787" i="2"/>
  <c r="S788" i="2"/>
  <c r="S789" i="2"/>
  <c r="S797" i="2"/>
  <c r="S798" i="2"/>
  <c r="S803" i="2"/>
  <c r="S808" i="2"/>
  <c r="S809" i="2"/>
  <c r="S810" i="2"/>
  <c r="S812" i="2"/>
  <c r="S813" i="2"/>
  <c r="S814" i="2"/>
  <c r="S815" i="2"/>
  <c r="S816" i="2"/>
  <c r="S817" i="2"/>
  <c r="S818" i="2"/>
  <c r="S819" i="2"/>
  <c r="S820" i="2"/>
  <c r="S821" i="2"/>
  <c r="S822" i="2"/>
  <c r="S824" i="2"/>
  <c r="S826" i="2"/>
  <c r="S827" i="2"/>
  <c r="S831" i="2"/>
  <c r="S832" i="2"/>
  <c r="S833" i="2"/>
  <c r="S834" i="2"/>
  <c r="S835" i="2"/>
  <c r="S836" i="2"/>
  <c r="S837" i="2"/>
  <c r="S838" i="2"/>
  <c r="S841" i="2"/>
  <c r="S843" i="2"/>
  <c r="S844" i="2"/>
  <c r="S845" i="2"/>
  <c r="S846" i="2"/>
  <c r="S847" i="2"/>
  <c r="S848" i="2"/>
  <c r="S849" i="2"/>
  <c r="S850" i="2"/>
  <c r="S851" i="2"/>
  <c r="S853" i="2"/>
  <c r="S857" i="2"/>
  <c r="S858" i="2"/>
  <c r="S859" i="2"/>
  <c r="S860" i="2"/>
  <c r="S861" i="2"/>
  <c r="S862" i="2"/>
  <c r="S863" i="2"/>
  <c r="S864" i="2"/>
  <c r="S865" i="2"/>
  <c r="S867" i="2"/>
  <c r="S869" i="2"/>
  <c r="S872" i="2"/>
  <c r="S875" i="2"/>
  <c r="S876" i="2"/>
  <c r="S877" i="2"/>
  <c r="S879" i="2"/>
  <c r="S880" i="2"/>
  <c r="S881" i="2"/>
  <c r="S882" i="2"/>
  <c r="S883" i="2"/>
  <c r="S884" i="2"/>
  <c r="S885" i="2"/>
  <c r="S886" i="2"/>
  <c r="S887" i="2"/>
  <c r="S888" i="2"/>
  <c r="S889" i="2"/>
  <c r="S890" i="2"/>
  <c r="S891"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7" i="2"/>
  <c r="S948" i="2"/>
  <c r="S949" i="2"/>
  <c r="S951" i="2"/>
  <c r="S952" i="2"/>
  <c r="S953" i="2"/>
  <c r="S954" i="2"/>
  <c r="S955" i="2"/>
  <c r="S956" i="2"/>
  <c r="S957" i="2"/>
  <c r="S958" i="2"/>
  <c r="S959" i="2"/>
  <c r="S960" i="2"/>
  <c r="S961" i="2"/>
  <c r="S962" i="2"/>
  <c r="S963" i="2"/>
  <c r="S964" i="2"/>
  <c r="S965" i="2"/>
  <c r="S966" i="2"/>
  <c r="S967" i="2"/>
  <c r="S968" i="2"/>
  <c r="S969" i="2"/>
  <c r="S970" i="2"/>
  <c r="S971" i="2"/>
  <c r="S972" i="2"/>
  <c r="S973" i="2"/>
  <c r="S974"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392" i="2"/>
  <c r="S8" i="2"/>
  <c r="S9" i="2"/>
  <c r="S10" i="2"/>
  <c r="S11" i="2"/>
  <c r="S12" i="2"/>
  <c r="S14" i="2"/>
  <c r="S16" i="2"/>
  <c r="S17" i="2"/>
  <c r="S18" i="2"/>
  <c r="S19" i="2"/>
  <c r="S21" i="2"/>
  <c r="S23" i="2"/>
  <c r="S24" i="2"/>
  <c r="S26" i="2"/>
  <c r="S27" i="2"/>
  <c r="S28" i="2"/>
  <c r="S29" i="2"/>
  <c r="S30" i="2"/>
  <c r="S31" i="2"/>
  <c r="S32" i="2"/>
  <c r="S34" i="2"/>
  <c r="S35" i="2"/>
  <c r="S36" i="2"/>
  <c r="S37" i="2"/>
  <c r="S38" i="2"/>
  <c r="S39" i="2"/>
  <c r="S40" i="2"/>
  <c r="S42" i="2"/>
  <c r="S44" i="2"/>
  <c r="S45" i="2"/>
  <c r="S46" i="2"/>
  <c r="S47" i="2"/>
  <c r="S48" i="2"/>
  <c r="S49" i="2"/>
  <c r="S53" i="2"/>
  <c r="S60" i="2"/>
  <c r="S61" i="2"/>
  <c r="S63" i="2"/>
  <c r="S64" i="2"/>
  <c r="S65" i="2"/>
  <c r="S66" i="2"/>
  <c r="S67" i="2"/>
  <c r="S69" i="2"/>
  <c r="S72" i="2"/>
  <c r="S75" i="2"/>
  <c r="S80" i="2"/>
  <c r="S84" i="2"/>
  <c r="S85" i="2"/>
  <c r="S86" i="2"/>
  <c r="S87" i="2"/>
  <c r="S88" i="2"/>
  <c r="S89" i="2"/>
  <c r="S90" i="2"/>
  <c r="S91" i="2"/>
  <c r="S92" i="2"/>
  <c r="S93" i="2"/>
  <c r="S94" i="2"/>
  <c r="S95" i="2"/>
  <c r="S99" i="2"/>
  <c r="S100" i="2"/>
  <c r="S101" i="2"/>
  <c r="S102" i="2"/>
  <c r="S103" i="2"/>
  <c r="S105" i="2"/>
  <c r="S107" i="2"/>
  <c r="S110" i="2"/>
  <c r="S111" i="2"/>
  <c r="S112" i="2"/>
  <c r="S113" i="2"/>
  <c r="S114" i="2"/>
  <c r="S119" i="2"/>
  <c r="S120" i="2"/>
  <c r="S121" i="2"/>
  <c r="S122" i="2"/>
  <c r="S124" i="2"/>
  <c r="S127" i="2"/>
  <c r="S128" i="2"/>
  <c r="S129" i="2"/>
  <c r="S130" i="2"/>
  <c r="S136" i="2"/>
  <c r="S138" i="2"/>
  <c r="S140" i="2"/>
  <c r="S141" i="2"/>
  <c r="S142" i="2"/>
  <c r="S143" i="2"/>
  <c r="S144" i="2"/>
  <c r="S145" i="2"/>
  <c r="S146" i="2"/>
  <c r="S147" i="2"/>
  <c r="S148" i="2"/>
  <c r="S150" i="2"/>
  <c r="S151" i="2"/>
  <c r="S153" i="2"/>
  <c r="S154" i="2"/>
  <c r="S155" i="2"/>
  <c r="S156" i="2"/>
  <c r="S157" i="2"/>
  <c r="S159" i="2"/>
  <c r="S160" i="2"/>
  <c r="S161" i="2"/>
  <c r="S163" i="2"/>
  <c r="S164" i="2"/>
  <c r="S165" i="2"/>
  <c r="S166" i="2"/>
  <c r="S167" i="2"/>
  <c r="S168" i="2"/>
  <c r="S169" i="2"/>
  <c r="S170" i="2"/>
  <c r="S171" i="2"/>
  <c r="S172" i="2"/>
  <c r="S173" i="2"/>
  <c r="S176" i="2"/>
  <c r="S177" i="2"/>
  <c r="S178" i="2"/>
  <c r="S179" i="2"/>
  <c r="S180" i="2"/>
  <c r="S181" i="2"/>
  <c r="S182" i="2"/>
  <c r="S183" i="2"/>
  <c r="S184" i="2"/>
  <c r="S185" i="2"/>
  <c r="S186" i="2"/>
  <c r="S187" i="2"/>
  <c r="S188" i="2"/>
  <c r="S189" i="2"/>
  <c r="S190" i="2"/>
  <c r="S191" i="2"/>
  <c r="S192" i="2"/>
  <c r="S194" i="2"/>
  <c r="S195" i="2"/>
  <c r="S196" i="2"/>
  <c r="S197" i="2"/>
  <c r="S198" i="2"/>
  <c r="S199" i="2"/>
  <c r="S200" i="2"/>
  <c r="S201" i="2"/>
  <c r="S204" i="2"/>
  <c r="S205" i="2"/>
  <c r="S208" i="2"/>
  <c r="S209" i="2"/>
  <c r="S211" i="2"/>
  <c r="S214" i="2"/>
  <c r="S215" i="2"/>
  <c r="S216" i="2"/>
  <c r="S217" i="2"/>
  <c r="S220" i="2"/>
  <c r="S221" i="2"/>
  <c r="S222" i="2"/>
  <c r="S223" i="2"/>
  <c r="S225" i="2"/>
  <c r="S227" i="2"/>
  <c r="S228" i="2"/>
  <c r="S230" i="2"/>
  <c r="S231" i="2"/>
  <c r="S232" i="2"/>
  <c r="S233" i="2"/>
  <c r="S234" i="2"/>
  <c r="S235" i="2"/>
  <c r="S236" i="2"/>
  <c r="S237" i="2"/>
  <c r="S238" i="2"/>
  <c r="S239" i="2"/>
  <c r="S240" i="2"/>
  <c r="S241" i="2"/>
  <c r="S242" i="2"/>
  <c r="S243" i="2"/>
  <c r="S244" i="2"/>
  <c r="S248" i="2"/>
  <c r="S249" i="2"/>
  <c r="S250" i="2"/>
  <c r="S252" i="2"/>
  <c r="S254" i="2"/>
  <c r="S255" i="2"/>
  <c r="S256" i="2"/>
  <c r="S257" i="2"/>
  <c r="S258" i="2"/>
  <c r="S260" i="2"/>
  <c r="S261" i="2"/>
  <c r="S262" i="2"/>
  <c r="S263" i="2"/>
  <c r="S264" i="2"/>
  <c r="S265" i="2"/>
  <c r="S266" i="2"/>
  <c r="S269" i="2"/>
  <c r="S271" i="2"/>
  <c r="S272" i="2"/>
  <c r="S273" i="2"/>
  <c r="S274" i="2"/>
  <c r="S275" i="2"/>
  <c r="S276" i="2"/>
  <c r="S278" i="2"/>
  <c r="S279" i="2"/>
  <c r="S280" i="2"/>
  <c r="S281" i="2"/>
  <c r="S283" i="2"/>
  <c r="S284" i="2"/>
  <c r="S285" i="2"/>
  <c r="S286" i="2"/>
  <c r="S287" i="2"/>
  <c r="S288" i="2"/>
  <c r="S289" i="2"/>
  <c r="S290" i="2"/>
  <c r="S291" i="2"/>
  <c r="S293" i="2"/>
  <c r="S295" i="2"/>
  <c r="S296" i="2"/>
  <c r="S297" i="2"/>
  <c r="S298" i="2"/>
  <c r="S301" i="2"/>
  <c r="S303" i="2"/>
  <c r="S304" i="2"/>
  <c r="S305" i="2"/>
  <c r="S306" i="2"/>
  <c r="S308" i="2"/>
  <c r="S310" i="2"/>
  <c r="S312" i="2"/>
  <c r="S313" i="2"/>
  <c r="S314" i="2"/>
  <c r="S315" i="2"/>
  <c r="S318" i="2"/>
  <c r="S320" i="2"/>
  <c r="S322" i="2"/>
  <c r="S324" i="2"/>
  <c r="S328" i="2"/>
  <c r="S329" i="2"/>
  <c r="S330" i="2"/>
  <c r="S331" i="2"/>
  <c r="S332" i="2"/>
  <c r="S333" i="2"/>
  <c r="S334" i="2"/>
  <c r="S335" i="2"/>
  <c r="S336" i="2"/>
  <c r="S337" i="2"/>
  <c r="S338" i="2"/>
  <c r="S339" i="2"/>
  <c r="S340" i="2"/>
  <c r="S341" i="2"/>
  <c r="S342" i="2"/>
  <c r="S343" i="2"/>
  <c r="S344" i="2"/>
  <c r="S345" i="2"/>
  <c r="S346" i="2"/>
  <c r="S347" i="2"/>
  <c r="S348" i="2"/>
  <c r="S349" i="2"/>
  <c r="S350" i="2"/>
  <c r="S351" i="2"/>
  <c r="S353" i="2"/>
  <c r="S355" i="2"/>
  <c r="S357" i="2"/>
  <c r="S358" i="2"/>
  <c r="S359" i="2"/>
  <c r="S362" i="2"/>
  <c r="S363" i="2"/>
  <c r="S364" i="2"/>
  <c r="S367" i="2"/>
  <c r="S368" i="2"/>
  <c r="S370" i="2"/>
  <c r="S371" i="2"/>
  <c r="S372" i="2"/>
  <c r="S373" i="2"/>
  <c r="S374" i="2"/>
  <c r="S376" i="2"/>
  <c r="S377" i="2"/>
  <c r="S379" i="2"/>
  <c r="S380" i="2"/>
  <c r="S382" i="2"/>
  <c r="S383" i="2"/>
  <c r="S384" i="2"/>
  <c r="S385" i="2"/>
  <c r="S386" i="2"/>
  <c r="S387" i="2"/>
  <c r="S388" i="2"/>
  <c r="S389" i="2"/>
  <c r="AF1068" i="17" l="1"/>
  <c r="AK1068" i="17" s="1"/>
  <c r="V1068" i="2" s="1"/>
  <c r="AF1064" i="17"/>
  <c r="AK1064" i="17" s="1"/>
  <c r="V1064" i="2" s="1"/>
  <c r="AF1060" i="17"/>
  <c r="AK1060" i="17" s="1"/>
  <c r="V1060" i="2" s="1"/>
  <c r="AF1056" i="17"/>
  <c r="AK1056" i="17" s="1"/>
  <c r="V1056" i="2" s="1"/>
  <c r="AF1052" i="17"/>
  <c r="AK1052" i="17" s="1"/>
  <c r="V1052" i="2" s="1"/>
  <c r="AF1048" i="17"/>
  <c r="AJ1048" i="17" s="1"/>
  <c r="AF1044" i="17"/>
  <c r="AK1044" i="17" s="1"/>
  <c r="V1044" i="2" s="1"/>
  <c r="AF1040" i="17"/>
  <c r="AK1040" i="17" s="1"/>
  <c r="V1040" i="2" s="1"/>
  <c r="AF1036" i="17"/>
  <c r="AK1036" i="17" s="1"/>
  <c r="V1036" i="2" s="1"/>
  <c r="AF1032" i="17"/>
  <c r="AK1032" i="17" s="1"/>
  <c r="V1032" i="2" s="1"/>
  <c r="AF1028" i="17"/>
  <c r="AK1028" i="17" s="1"/>
  <c r="V1028" i="2" s="1"/>
  <c r="AF1024" i="17"/>
  <c r="AK1024" i="17" s="1"/>
  <c r="V1024" i="2" s="1"/>
  <c r="AF1020" i="17"/>
  <c r="AK1020" i="17" s="1"/>
  <c r="V1020" i="2" s="1"/>
  <c r="AF1016" i="17"/>
  <c r="AK1016" i="17" s="1"/>
  <c r="V1016" i="2" s="1"/>
  <c r="AF1012" i="17"/>
  <c r="AK1012" i="17" s="1"/>
  <c r="V1012" i="2" s="1"/>
  <c r="AF1008" i="17"/>
  <c r="AK1008" i="17" s="1"/>
  <c r="V1008" i="2" s="1"/>
  <c r="AF1004" i="17"/>
  <c r="AK1004" i="17" s="1"/>
  <c r="V1004" i="2" s="1"/>
  <c r="AF1000" i="17"/>
  <c r="AJ1000" i="17" s="1"/>
  <c r="AF992" i="17"/>
  <c r="AK992" i="17" s="1"/>
  <c r="AF988" i="17"/>
  <c r="AK988" i="17" s="1"/>
  <c r="AF984" i="17"/>
  <c r="AK984" i="17" s="1"/>
  <c r="AF980" i="17"/>
  <c r="AK980" i="17" s="1"/>
  <c r="AF976" i="17"/>
  <c r="AJ976" i="17" s="1"/>
  <c r="AF972" i="17"/>
  <c r="AK972" i="17" s="1"/>
  <c r="AF968" i="17"/>
  <c r="AJ968" i="17" s="1"/>
  <c r="AF964" i="17"/>
  <c r="AJ964" i="17" s="1"/>
  <c r="AF960" i="17"/>
  <c r="AK960" i="17" s="1"/>
  <c r="AF956" i="17"/>
  <c r="AK956" i="17" s="1"/>
  <c r="AF952" i="17"/>
  <c r="AK952" i="17" s="1"/>
  <c r="AF948" i="17"/>
  <c r="AK948" i="17" s="1"/>
  <c r="AF940" i="17"/>
  <c r="AJ940" i="17" s="1"/>
  <c r="AF936" i="17"/>
  <c r="AJ936" i="17" s="1"/>
  <c r="AF928" i="17"/>
  <c r="AK928" i="17" s="1"/>
  <c r="AF924" i="17"/>
  <c r="AK924" i="17" s="1"/>
  <c r="U948" i="2"/>
  <c r="U940" i="2"/>
  <c r="AF1051" i="17"/>
  <c r="AJ1051" i="17" s="1"/>
  <c r="AF1050" i="17"/>
  <c r="AJ1050" i="17" s="1"/>
  <c r="AF1039" i="17"/>
  <c r="AK1039" i="17" s="1"/>
  <c r="V1039" i="2" s="1"/>
  <c r="AF1038" i="17"/>
  <c r="AK1038" i="17" s="1"/>
  <c r="V1038" i="2" s="1"/>
  <c r="AF1037" i="17"/>
  <c r="AJ1037" i="17" s="1"/>
  <c r="AF1035" i="17"/>
  <c r="AJ1035" i="17" s="1"/>
  <c r="AF1034" i="17"/>
  <c r="AJ1034" i="17" s="1"/>
  <c r="AF1027" i="17"/>
  <c r="AJ1027" i="17" s="1"/>
  <c r="AF1026" i="17"/>
  <c r="AK1026" i="17" s="1"/>
  <c r="V1026" i="2" s="1"/>
  <c r="AF1015" i="17"/>
  <c r="AK1015" i="17" s="1"/>
  <c r="V1015" i="2" s="1"/>
  <c r="AF1014" i="17"/>
  <c r="AJ1014" i="17" s="1"/>
  <c r="AF1013" i="17"/>
  <c r="AJ1013" i="17" s="1"/>
  <c r="U988" i="2"/>
  <c r="U936" i="2"/>
  <c r="U984" i="2"/>
  <c r="U968" i="2"/>
  <c r="AF944" i="17"/>
  <c r="AK944" i="17" s="1"/>
  <c r="U964" i="2"/>
  <c r="AF967" i="17"/>
  <c r="AJ967" i="17" s="1"/>
  <c r="AF966" i="17"/>
  <c r="AJ966" i="17" s="1"/>
  <c r="AF965" i="17"/>
  <c r="AK965" i="17" s="1"/>
  <c r="AF963" i="17"/>
  <c r="AJ963" i="17" s="1"/>
  <c r="AF962" i="17"/>
  <c r="AK962" i="17" s="1"/>
  <c r="AF961" i="17"/>
  <c r="AJ961" i="17" s="1"/>
  <c r="AF955" i="17"/>
  <c r="AJ955" i="17" s="1"/>
  <c r="AF954" i="17"/>
  <c r="AK954" i="17" s="1"/>
  <c r="AF953" i="17"/>
  <c r="AJ953" i="17" s="1"/>
  <c r="U980" i="2"/>
  <c r="U960" i="2"/>
  <c r="U972" i="2"/>
  <c r="U956" i="2"/>
  <c r="AF996" i="17"/>
  <c r="AK996" i="17" s="1"/>
  <c r="AF932" i="17"/>
  <c r="AK932" i="17" s="1"/>
  <c r="AF1011" i="17"/>
  <c r="AJ1011" i="17" s="1"/>
  <c r="AF1010" i="17"/>
  <c r="AJ1010" i="17" s="1"/>
  <c r="AF1003" i="17"/>
  <c r="AJ1003" i="17" s="1"/>
  <c r="AF1002" i="17"/>
  <c r="AK1002" i="17" s="1"/>
  <c r="V1002" i="2" s="1"/>
  <c r="AF943" i="17"/>
  <c r="AJ943" i="17" s="1"/>
  <c r="AF942" i="17"/>
  <c r="AK942" i="17" s="1"/>
  <c r="AF941" i="17"/>
  <c r="AK941" i="17" s="1"/>
  <c r="AF939" i="17"/>
  <c r="AK939" i="17" s="1"/>
  <c r="AF938" i="17"/>
  <c r="AK938" i="17" s="1"/>
  <c r="AF937" i="17"/>
  <c r="AJ937" i="17" s="1"/>
  <c r="AF991" i="17"/>
  <c r="AK991" i="17" s="1"/>
  <c r="AF990" i="17"/>
  <c r="AK990" i="17" s="1"/>
  <c r="AF989" i="17"/>
  <c r="AJ989" i="17" s="1"/>
  <c r="AF931" i="17"/>
  <c r="AK931" i="17" s="1"/>
  <c r="AF930" i="17"/>
  <c r="AJ930" i="17" s="1"/>
  <c r="AF929" i="17"/>
  <c r="AJ929" i="17" s="1"/>
  <c r="AF987" i="17"/>
  <c r="AJ987" i="17" s="1"/>
  <c r="AF986" i="17"/>
  <c r="AJ986" i="17" s="1"/>
  <c r="AF1063" i="17"/>
  <c r="AJ1063" i="17" s="1"/>
  <c r="AF1062" i="17"/>
  <c r="AK1062" i="17" s="1"/>
  <c r="V1062" i="2" s="1"/>
  <c r="AF1061" i="17"/>
  <c r="AJ1061" i="17" s="1"/>
  <c r="AF979" i="17"/>
  <c r="AK979" i="17" s="1"/>
  <c r="AF978" i="17"/>
  <c r="AK978" i="17" s="1"/>
  <c r="AF977" i="17"/>
  <c r="AJ977" i="17" s="1"/>
  <c r="U992" i="2"/>
  <c r="U924" i="2"/>
  <c r="AF1059" i="17"/>
  <c r="AJ1059" i="17" s="1"/>
  <c r="AF1058" i="17"/>
  <c r="AJ1058" i="17" s="1"/>
  <c r="U928" i="2"/>
  <c r="U1000" i="2"/>
  <c r="AF1071" i="17"/>
  <c r="AF1070" i="17"/>
  <c r="AJ1070" i="17" s="1"/>
  <c r="AF1069" i="17"/>
  <c r="AK1069" i="17" s="1"/>
  <c r="V1069" i="2" s="1"/>
  <c r="AF1047" i="17"/>
  <c r="AJ1047" i="17" s="1"/>
  <c r="AF1046" i="17"/>
  <c r="AK1046" i="17" s="1"/>
  <c r="V1046" i="2" s="1"/>
  <c r="AF1045" i="17"/>
  <c r="AJ1045" i="17" s="1"/>
  <c r="AF1023" i="17"/>
  <c r="AF1022" i="17"/>
  <c r="AJ1022" i="17" s="1"/>
  <c r="AF1021" i="17"/>
  <c r="AJ1021" i="17" s="1"/>
  <c r="AF999" i="17"/>
  <c r="AJ999" i="17" s="1"/>
  <c r="AF998" i="17"/>
  <c r="AJ998" i="17" s="1"/>
  <c r="AF997" i="17"/>
  <c r="AJ997" i="17" s="1"/>
  <c r="AF975" i="17"/>
  <c r="AJ975" i="17" s="1"/>
  <c r="AF974" i="17"/>
  <c r="AJ974" i="17" s="1"/>
  <c r="AF951" i="17"/>
  <c r="AJ951" i="17" s="1"/>
  <c r="AF950" i="17"/>
  <c r="AK950" i="17" s="1"/>
  <c r="AF927" i="17"/>
  <c r="AJ927" i="17" s="1"/>
  <c r="AF926" i="17"/>
  <c r="AJ926" i="17" s="1"/>
  <c r="AF1067" i="17"/>
  <c r="AF1066" i="17"/>
  <c r="AK1066" i="17" s="1"/>
  <c r="V1066" i="2" s="1"/>
  <c r="AF1043" i="17"/>
  <c r="AF1042" i="17"/>
  <c r="AJ1042" i="17" s="1"/>
  <c r="AF1019" i="17"/>
  <c r="AF1018" i="17"/>
  <c r="AJ1018" i="17" s="1"/>
  <c r="AF995" i="17"/>
  <c r="AF994" i="17"/>
  <c r="AJ994" i="17" s="1"/>
  <c r="AF971" i="17"/>
  <c r="AJ971" i="17" s="1"/>
  <c r="AF970" i="17"/>
  <c r="AJ970" i="17" s="1"/>
  <c r="AF969" i="17"/>
  <c r="AK969" i="17" s="1"/>
  <c r="AF947" i="17"/>
  <c r="AK947" i="17" s="1"/>
  <c r="AF946" i="17"/>
  <c r="AJ946" i="17" s="1"/>
  <c r="AF945" i="17"/>
  <c r="AK945" i="17" s="1"/>
  <c r="AF923" i="17"/>
  <c r="AK923" i="17" s="1"/>
  <c r="AF922" i="17"/>
  <c r="AJ922" i="17" s="1"/>
  <c r="U952" i="2"/>
  <c r="U976" i="2"/>
  <c r="AF1055" i="17"/>
  <c r="AF1054" i="17"/>
  <c r="AJ1054" i="17" s="1"/>
  <c r="AF1053" i="17"/>
  <c r="AJ1053" i="17" s="1"/>
  <c r="AF1031" i="17"/>
  <c r="AJ1031" i="17" s="1"/>
  <c r="AF1030" i="17"/>
  <c r="AJ1030" i="17" s="1"/>
  <c r="AF1029" i="17"/>
  <c r="AJ1029" i="17" s="1"/>
  <c r="AF1007" i="17"/>
  <c r="AF1006" i="17"/>
  <c r="AJ1006" i="17" s="1"/>
  <c r="AF1005" i="17"/>
  <c r="AK1005" i="17" s="1"/>
  <c r="V1005" i="2" s="1"/>
  <c r="AF983" i="17"/>
  <c r="AJ983" i="17" s="1"/>
  <c r="AF982" i="17"/>
  <c r="AJ982" i="17" s="1"/>
  <c r="AF981" i="17"/>
  <c r="AJ981" i="17" s="1"/>
  <c r="AF959" i="17"/>
  <c r="AJ959" i="17" s="1"/>
  <c r="AF958" i="17"/>
  <c r="AJ958" i="17" s="1"/>
  <c r="AF957" i="17"/>
  <c r="AJ957" i="17" s="1"/>
  <c r="AF935" i="17"/>
  <c r="AJ935" i="17" s="1"/>
  <c r="AF934" i="17"/>
  <c r="AJ934" i="17" s="1"/>
  <c r="AF933" i="17"/>
  <c r="AK933" i="17" s="1"/>
  <c r="AF1057" i="17"/>
  <c r="AF1041" i="17"/>
  <c r="AF1025" i="17"/>
  <c r="AF1009" i="17"/>
  <c r="AF993" i="17"/>
  <c r="AF973" i="17"/>
  <c r="AF949" i="17"/>
  <c r="AF925" i="17"/>
  <c r="AF921" i="17"/>
  <c r="AF1065" i="17"/>
  <c r="AF1049" i="17"/>
  <c r="AF1033" i="17"/>
  <c r="AF1017" i="17"/>
  <c r="AF1001" i="17"/>
  <c r="AF985" i="17"/>
  <c r="V923" i="2" l="1"/>
  <c r="V990" i="2"/>
  <c r="V960" i="2"/>
  <c r="V945" i="2"/>
  <c r="V931" i="2"/>
  <c r="V962" i="2"/>
  <c r="V933" i="2"/>
  <c r="V991" i="2"/>
  <c r="V996" i="2"/>
  <c r="V988" i="2"/>
  <c r="V980" i="2"/>
  <c r="V984" i="2"/>
  <c r="V978" i="2"/>
  <c r="V950" i="2"/>
  <c r="V992" i="2"/>
  <c r="V938" i="2"/>
  <c r="V948" i="2"/>
  <c r="V928" i="2"/>
  <c r="V969" i="2"/>
  <c r="V939" i="2"/>
  <c r="V944" i="2"/>
  <c r="V952" i="2"/>
  <c r="V932" i="2"/>
  <c r="V941" i="2"/>
  <c r="V956" i="2"/>
  <c r="V924" i="2"/>
  <c r="V965" i="2"/>
  <c r="V942" i="2"/>
  <c r="V954" i="2"/>
  <c r="V947" i="2"/>
  <c r="AJ1044" i="17"/>
  <c r="AJ1056" i="17"/>
  <c r="AK1048" i="17"/>
  <c r="V1048" i="2" s="1"/>
  <c r="AJ1052" i="17"/>
  <c r="AJ1008" i="17"/>
  <c r="AJ1040" i="17"/>
  <c r="AJ1068" i="17"/>
  <c r="AJ1024" i="17"/>
  <c r="AJ1012" i="17"/>
  <c r="AJ1004" i="17"/>
  <c r="AJ1064" i="17"/>
  <c r="AJ1020" i="17"/>
  <c r="AJ1028" i="17"/>
  <c r="AJ1032" i="17"/>
  <c r="AJ1060" i="17"/>
  <c r="AJ1036" i="17"/>
  <c r="AJ1016" i="17"/>
  <c r="V972" i="2"/>
  <c r="AK940" i="17"/>
  <c r="AK968" i="17"/>
  <c r="AK1000" i="17"/>
  <c r="AK976" i="17"/>
  <c r="AJ984" i="17"/>
  <c r="AJ992" i="17"/>
  <c r="AJ928" i="17"/>
  <c r="AJ980" i="17"/>
  <c r="AK964" i="17"/>
  <c r="AJ988" i="17"/>
  <c r="AK936" i="17"/>
  <c r="AJ952" i="17"/>
  <c r="AJ960" i="17"/>
  <c r="AJ972" i="17"/>
  <c r="AJ956" i="17"/>
  <c r="AJ948" i="17"/>
  <c r="AJ924" i="17"/>
  <c r="AJ1038" i="17"/>
  <c r="AK1014" i="17"/>
  <c r="V1014" i="2" s="1"/>
  <c r="AJ962" i="17"/>
  <c r="AJ932" i="17"/>
  <c r="AJ1002" i="17"/>
  <c r="AK971" i="17"/>
  <c r="AK1070" i="17"/>
  <c r="V1070" i="2" s="1"/>
  <c r="AK1027" i="17"/>
  <c r="V1027" i="2" s="1"/>
  <c r="AK953" i="17"/>
  <c r="AJ1039" i="17"/>
  <c r="AK977" i="17"/>
  <c r="AJ942" i="17"/>
  <c r="AK1058" i="17"/>
  <c r="V1058" i="2" s="1"/>
  <c r="AJ933" i="17"/>
  <c r="AK1050" i="17"/>
  <c r="V1050" i="2" s="1"/>
  <c r="AJ969" i="17"/>
  <c r="AK1030" i="17"/>
  <c r="V1030" i="2" s="1"/>
  <c r="AK1051" i="17"/>
  <c r="V1051" i="2" s="1"/>
  <c r="AJ1026" i="17"/>
  <c r="AK1037" i="17"/>
  <c r="V1037" i="2" s="1"/>
  <c r="AJ990" i="17"/>
  <c r="AJ965" i="17"/>
  <c r="AK934" i="17"/>
  <c r="AK1047" i="17"/>
  <c r="V1047" i="2" s="1"/>
  <c r="AK959" i="17"/>
  <c r="AK963" i="17"/>
  <c r="AK997" i="17"/>
  <c r="AK1013" i="17"/>
  <c r="V1013" i="2" s="1"/>
  <c r="AJ1069" i="17"/>
  <c r="AK922" i="17"/>
  <c r="AJ1062" i="17"/>
  <c r="AK1021" i="17"/>
  <c r="V1021" i="2" s="1"/>
  <c r="AK951" i="17"/>
  <c r="AJ931" i="17"/>
  <c r="AK1022" i="17"/>
  <c r="V1022" i="2" s="1"/>
  <c r="AJ991" i="17"/>
  <c r="AJ1015" i="17"/>
  <c r="AK935" i="17"/>
  <c r="AJ978" i="17"/>
  <c r="AK1010" i="17"/>
  <c r="V1010" i="2" s="1"/>
  <c r="AJ944" i="17"/>
  <c r="AJ941" i="17"/>
  <c r="AJ923" i="17"/>
  <c r="AJ996" i="17"/>
  <c r="AJ954" i="17"/>
  <c r="AJ1066" i="17"/>
  <c r="AK989" i="17"/>
  <c r="AK955" i="17"/>
  <c r="AK1011" i="17"/>
  <c r="V1011" i="2" s="1"/>
  <c r="AK983" i="17"/>
  <c r="AK1035" i="17"/>
  <c r="V1035" i="2" s="1"/>
  <c r="AK1061" i="17"/>
  <c r="V1061" i="2" s="1"/>
  <c r="AJ938" i="17"/>
  <c r="AK929" i="17"/>
  <c r="AK1034" i="17"/>
  <c r="V1034" i="2" s="1"/>
  <c r="AK966" i="17"/>
  <c r="AK961" i="17"/>
  <c r="AK967" i="17"/>
  <c r="AJ947" i="17"/>
  <c r="AK937" i="17"/>
  <c r="AJ945" i="17"/>
  <c r="AJ950" i="17"/>
  <c r="AJ939" i="17"/>
  <c r="AK943" i="17"/>
  <c r="AK999" i="17"/>
  <c r="AK975" i="17"/>
  <c r="AK957" i="17"/>
  <c r="AK1054" i="17"/>
  <c r="V1054" i="2" s="1"/>
  <c r="AK1063" i="17"/>
  <c r="V1063" i="2" s="1"/>
  <c r="AK930" i="17"/>
  <c r="AJ979" i="17"/>
  <c r="AK982" i="17"/>
  <c r="AK1006" i="17"/>
  <c r="V1006" i="2" s="1"/>
  <c r="AK1003" i="17"/>
  <c r="V1003" i="2" s="1"/>
  <c r="AK998" i="17"/>
  <c r="AK1018" i="17"/>
  <c r="V1018" i="2" s="1"/>
  <c r="AK974" i="17"/>
  <c r="AK926" i="17"/>
  <c r="AK987" i="17"/>
  <c r="AK1045" i="17"/>
  <c r="V1045" i="2" s="1"/>
  <c r="AK986" i="17"/>
  <c r="AK927" i="17"/>
  <c r="AK1059" i="17"/>
  <c r="V1059" i="2" s="1"/>
  <c r="AJ1005" i="17"/>
  <c r="AJ1071" i="17"/>
  <c r="AK1071" i="17"/>
  <c r="V1071" i="2" s="1"/>
  <c r="AK1042" i="17"/>
  <c r="V1042" i="2" s="1"/>
  <c r="AJ1055" i="17"/>
  <c r="AK1055" i="17"/>
  <c r="V1055" i="2" s="1"/>
  <c r="AK946" i="17"/>
  <c r="AJ995" i="17"/>
  <c r="AK995" i="17"/>
  <c r="AJ1046" i="17"/>
  <c r="AK1031" i="17"/>
  <c r="V1031" i="2" s="1"/>
  <c r="AK1053" i="17"/>
  <c r="V1053" i="2" s="1"/>
  <c r="AK994" i="17"/>
  <c r="AK958" i="17"/>
  <c r="AJ1019" i="17"/>
  <c r="AK1019" i="17"/>
  <c r="V1019" i="2" s="1"/>
  <c r="AJ1023" i="17"/>
  <c r="AK1023" i="17"/>
  <c r="V1023" i="2" s="1"/>
  <c r="AJ1007" i="17"/>
  <c r="AK1007" i="17"/>
  <c r="V1007" i="2" s="1"/>
  <c r="AJ1043" i="17"/>
  <c r="AK1043" i="17"/>
  <c r="V1043" i="2" s="1"/>
  <c r="AK970" i="17"/>
  <c r="AK981" i="17"/>
  <c r="AK1029" i="17"/>
  <c r="V1029" i="2" s="1"/>
  <c r="AJ1067" i="17"/>
  <c r="AK1067" i="17"/>
  <c r="V1067" i="2" s="1"/>
  <c r="AJ1009" i="17"/>
  <c r="AK1009" i="17"/>
  <c r="V1009" i="2" s="1"/>
  <c r="AJ921" i="17"/>
  <c r="AK921" i="17"/>
  <c r="AJ1001" i="17"/>
  <c r="AK1001" i="17"/>
  <c r="V1001" i="2" s="1"/>
  <c r="AJ1017" i="17"/>
  <c r="AK1017" i="17"/>
  <c r="V1017" i="2" s="1"/>
  <c r="AJ1025" i="17"/>
  <c r="AK1025" i="17"/>
  <c r="V1025" i="2" s="1"/>
  <c r="AJ973" i="17"/>
  <c r="AK973" i="17"/>
  <c r="AJ985" i="17"/>
  <c r="AK985" i="17"/>
  <c r="AJ1033" i="17"/>
  <c r="AK1033" i="17"/>
  <c r="V1033" i="2" s="1"/>
  <c r="AJ925" i="17"/>
  <c r="AK925" i="17"/>
  <c r="AJ1041" i="17"/>
  <c r="AK1041" i="17"/>
  <c r="V1041" i="2" s="1"/>
  <c r="AJ1049" i="17"/>
  <c r="AK1049" i="17"/>
  <c r="V1049" i="2" s="1"/>
  <c r="AJ993" i="17"/>
  <c r="AK993" i="17"/>
  <c r="AJ1057" i="17"/>
  <c r="AK1057" i="17"/>
  <c r="V1057" i="2" s="1"/>
  <c r="AJ1065" i="17"/>
  <c r="AK1065" i="17"/>
  <c r="V1065" i="2" s="1"/>
  <c r="AJ949" i="17"/>
  <c r="AK949" i="17"/>
  <c r="AG7" i="17"/>
  <c r="AG8" i="17"/>
  <c r="AG9" i="17"/>
  <c r="AG10" i="17"/>
  <c r="AG11" i="17"/>
  <c r="AG12" i="17"/>
  <c r="AG13" i="17"/>
  <c r="AG14"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G137" i="17"/>
  <c r="AG138" i="17"/>
  <c r="AG139" i="17"/>
  <c r="AG140" i="17"/>
  <c r="AG141" i="17"/>
  <c r="AG142" i="17"/>
  <c r="AG143" i="17"/>
  <c r="AG144" i="17"/>
  <c r="AG145" i="17"/>
  <c r="AG146" i="17"/>
  <c r="AG147" i="17"/>
  <c r="AG148" i="17"/>
  <c r="AG149" i="17"/>
  <c r="AG150" i="17"/>
  <c r="AG151" i="17"/>
  <c r="AG152" i="17"/>
  <c r="AG153" i="17"/>
  <c r="AG154" i="17"/>
  <c r="AG155" i="17"/>
  <c r="AG156" i="17"/>
  <c r="AG157" i="17"/>
  <c r="AG158" i="17"/>
  <c r="AG159" i="17"/>
  <c r="AG160" i="17"/>
  <c r="AG161" i="17"/>
  <c r="AG162" i="17"/>
  <c r="AG163" i="17"/>
  <c r="AG164" i="17"/>
  <c r="AG165" i="17"/>
  <c r="AG166" i="17"/>
  <c r="AG167" i="17"/>
  <c r="AG168" i="17"/>
  <c r="AG169" i="17"/>
  <c r="AG170" i="17"/>
  <c r="AG171" i="17"/>
  <c r="AG172" i="17"/>
  <c r="AG173" i="17"/>
  <c r="AG174" i="17"/>
  <c r="AG175" i="17"/>
  <c r="AG176" i="17"/>
  <c r="AG177" i="17"/>
  <c r="AG178" i="17"/>
  <c r="AG179" i="17"/>
  <c r="AG180" i="17"/>
  <c r="AG181" i="17"/>
  <c r="AG182" i="17"/>
  <c r="AG183" i="17"/>
  <c r="AG184" i="17"/>
  <c r="AG185" i="17"/>
  <c r="AG186" i="17"/>
  <c r="AG187" i="17"/>
  <c r="AG188" i="17"/>
  <c r="AG189" i="17"/>
  <c r="AG190" i="17"/>
  <c r="AG191" i="17"/>
  <c r="AG192" i="17"/>
  <c r="AG193" i="17"/>
  <c r="AG194" i="17"/>
  <c r="AG195" i="17"/>
  <c r="AG196" i="17"/>
  <c r="AG197" i="17"/>
  <c r="AG198" i="17"/>
  <c r="AG199" i="17"/>
  <c r="AG200" i="17"/>
  <c r="AG201" i="17"/>
  <c r="AG202" i="17"/>
  <c r="AG203" i="17"/>
  <c r="AG204" i="17"/>
  <c r="AG205" i="17"/>
  <c r="AG206" i="17"/>
  <c r="AG207" i="17"/>
  <c r="AG208" i="17"/>
  <c r="AG209" i="17"/>
  <c r="AG210" i="17"/>
  <c r="AG211" i="17"/>
  <c r="AG212" i="17"/>
  <c r="AG213" i="17"/>
  <c r="AG214" i="17"/>
  <c r="AG215" i="17"/>
  <c r="AG216" i="17"/>
  <c r="AG217" i="17"/>
  <c r="AG218" i="17"/>
  <c r="AG219" i="17"/>
  <c r="AG220" i="17"/>
  <c r="AG221" i="17"/>
  <c r="AG222" i="17"/>
  <c r="AG223" i="17"/>
  <c r="AG224" i="17"/>
  <c r="AG225" i="17"/>
  <c r="AG226" i="17"/>
  <c r="AG227" i="17"/>
  <c r="AG228" i="17"/>
  <c r="AG229" i="17"/>
  <c r="AG230" i="17"/>
  <c r="AG231" i="17"/>
  <c r="AG232" i="17"/>
  <c r="AG233" i="17"/>
  <c r="AG234" i="17"/>
  <c r="AG235" i="17"/>
  <c r="AG236" i="17"/>
  <c r="AG237" i="17"/>
  <c r="AG238" i="17"/>
  <c r="AG239" i="17"/>
  <c r="AG240" i="17"/>
  <c r="AG241" i="17"/>
  <c r="AG242" i="17"/>
  <c r="AG243" i="17"/>
  <c r="AG244" i="17"/>
  <c r="AG245" i="17"/>
  <c r="AG246" i="17"/>
  <c r="AG247" i="17"/>
  <c r="AG248" i="17"/>
  <c r="AG249" i="17"/>
  <c r="AG250" i="17"/>
  <c r="AG251" i="17"/>
  <c r="AG252" i="17"/>
  <c r="AG253" i="17"/>
  <c r="AG254" i="17"/>
  <c r="AG255" i="17"/>
  <c r="AG256" i="17"/>
  <c r="AG257" i="17"/>
  <c r="AG258" i="17"/>
  <c r="AG259" i="17"/>
  <c r="AG260" i="17"/>
  <c r="AG261" i="17"/>
  <c r="AG262" i="17"/>
  <c r="AG263" i="17"/>
  <c r="AG264" i="17"/>
  <c r="AG265" i="17"/>
  <c r="AG266" i="17"/>
  <c r="AG267" i="17"/>
  <c r="AG268" i="17"/>
  <c r="AG269" i="17"/>
  <c r="AG270" i="17"/>
  <c r="AG271" i="17"/>
  <c r="AG272" i="17"/>
  <c r="AG273" i="17"/>
  <c r="AG274" i="17"/>
  <c r="AG275" i="17"/>
  <c r="AG276" i="17"/>
  <c r="AG277" i="17"/>
  <c r="AG278" i="17"/>
  <c r="AG279" i="17"/>
  <c r="AG280" i="17"/>
  <c r="AG281" i="17"/>
  <c r="AG282" i="17"/>
  <c r="AG283" i="17"/>
  <c r="AG284" i="17"/>
  <c r="AG285" i="17"/>
  <c r="AG286" i="17"/>
  <c r="AG287" i="17"/>
  <c r="AG288" i="17"/>
  <c r="AG289" i="17"/>
  <c r="AG290" i="17"/>
  <c r="AG291" i="17"/>
  <c r="AG292" i="17"/>
  <c r="AG293" i="17"/>
  <c r="AG294" i="17"/>
  <c r="AG295" i="17"/>
  <c r="AG296" i="17"/>
  <c r="AG297" i="17"/>
  <c r="AG298" i="17"/>
  <c r="AG299" i="17"/>
  <c r="AG300" i="17"/>
  <c r="AG301" i="17"/>
  <c r="AG302" i="17"/>
  <c r="AG303" i="17"/>
  <c r="AG304" i="17"/>
  <c r="AG305" i="17"/>
  <c r="AG306" i="17"/>
  <c r="AG307" i="17"/>
  <c r="AG308" i="17"/>
  <c r="AG309" i="17"/>
  <c r="AG310" i="17"/>
  <c r="AG311" i="17"/>
  <c r="AG312" i="17"/>
  <c r="AG313" i="17"/>
  <c r="AG314" i="17"/>
  <c r="AG315" i="17"/>
  <c r="AG316" i="17"/>
  <c r="AG317" i="17"/>
  <c r="AG318" i="17"/>
  <c r="AG319" i="17"/>
  <c r="AG320" i="17"/>
  <c r="AG321" i="17"/>
  <c r="AG322" i="17"/>
  <c r="AG323" i="17"/>
  <c r="AG324" i="17"/>
  <c r="AG325" i="17"/>
  <c r="AG326" i="17"/>
  <c r="AG327" i="17"/>
  <c r="AG328" i="17"/>
  <c r="AG329" i="17"/>
  <c r="AG330" i="17"/>
  <c r="AG331" i="17"/>
  <c r="AG332" i="17"/>
  <c r="AG333" i="17"/>
  <c r="AG334" i="17"/>
  <c r="AG335" i="17"/>
  <c r="AG336" i="17"/>
  <c r="AG337" i="17"/>
  <c r="AG338" i="17"/>
  <c r="AG339" i="17"/>
  <c r="AG340" i="17"/>
  <c r="AG341" i="17"/>
  <c r="AG342" i="17"/>
  <c r="AG343" i="17"/>
  <c r="AG344" i="17"/>
  <c r="AG345" i="17"/>
  <c r="AG346" i="17"/>
  <c r="AG347" i="17"/>
  <c r="AG348" i="17"/>
  <c r="AG349" i="17"/>
  <c r="AG350" i="17"/>
  <c r="AG351" i="17"/>
  <c r="AG352" i="17"/>
  <c r="AG353" i="17"/>
  <c r="AG354" i="17"/>
  <c r="AG355" i="17"/>
  <c r="AG356" i="17"/>
  <c r="AG357" i="17"/>
  <c r="AG358" i="17"/>
  <c r="AG359" i="17"/>
  <c r="AG360" i="17"/>
  <c r="AG361" i="17"/>
  <c r="AG362" i="17"/>
  <c r="AG363" i="17"/>
  <c r="AG364" i="17"/>
  <c r="AG365" i="17"/>
  <c r="AG366" i="17"/>
  <c r="AG367" i="17"/>
  <c r="AG368" i="17"/>
  <c r="AG369" i="17"/>
  <c r="AG370" i="17"/>
  <c r="AG371" i="17"/>
  <c r="AG372" i="17"/>
  <c r="AG373" i="17"/>
  <c r="AG374" i="17"/>
  <c r="AG375" i="17"/>
  <c r="AG376" i="17"/>
  <c r="AG377" i="17"/>
  <c r="AG378" i="17"/>
  <c r="AG379" i="17"/>
  <c r="AG380" i="17"/>
  <c r="AG381" i="17"/>
  <c r="AG382" i="17"/>
  <c r="AG383" i="17"/>
  <c r="AG384" i="17"/>
  <c r="AG385" i="17"/>
  <c r="AG386" i="17"/>
  <c r="AG387" i="17"/>
  <c r="AG388" i="17"/>
  <c r="AG389" i="17"/>
  <c r="AG390" i="17"/>
  <c r="AG391" i="17"/>
  <c r="AG392" i="17"/>
  <c r="AG393" i="17"/>
  <c r="AG394" i="17"/>
  <c r="AG395" i="17"/>
  <c r="AG396" i="17"/>
  <c r="AG397" i="17"/>
  <c r="AG398" i="17"/>
  <c r="AG399" i="17"/>
  <c r="AG400" i="17"/>
  <c r="AG401" i="17"/>
  <c r="AG402" i="17"/>
  <c r="AG403" i="17"/>
  <c r="AG404" i="17"/>
  <c r="AG405" i="17"/>
  <c r="AG406" i="17"/>
  <c r="AG407" i="17"/>
  <c r="AG408" i="17"/>
  <c r="AG409" i="17"/>
  <c r="AG410" i="17"/>
  <c r="AG411" i="17"/>
  <c r="AG412" i="17"/>
  <c r="AG413" i="17"/>
  <c r="AG414" i="17"/>
  <c r="AG415" i="17"/>
  <c r="AG416" i="17"/>
  <c r="AG417" i="17"/>
  <c r="AG418" i="17"/>
  <c r="AG419" i="17"/>
  <c r="AG420" i="17"/>
  <c r="AG421" i="17"/>
  <c r="AG422" i="17"/>
  <c r="AG423" i="17"/>
  <c r="AG424" i="17"/>
  <c r="AG425" i="17"/>
  <c r="AG426" i="17"/>
  <c r="AG427" i="17"/>
  <c r="AG428" i="17"/>
  <c r="AG429" i="17"/>
  <c r="AG430" i="17"/>
  <c r="AG431" i="17"/>
  <c r="AG432" i="17"/>
  <c r="AG433" i="17"/>
  <c r="AG434" i="17"/>
  <c r="AG435" i="17"/>
  <c r="AG436" i="17"/>
  <c r="AG437" i="17"/>
  <c r="AG438" i="17"/>
  <c r="AG439" i="17"/>
  <c r="AG440" i="17"/>
  <c r="AG441" i="17"/>
  <c r="AG442" i="17"/>
  <c r="AG443" i="17"/>
  <c r="AG444" i="17"/>
  <c r="AG445" i="17"/>
  <c r="AG446" i="17"/>
  <c r="AG447" i="17"/>
  <c r="AG448" i="17"/>
  <c r="AG449" i="17"/>
  <c r="AG450" i="17"/>
  <c r="AG451" i="17"/>
  <c r="AG452" i="17"/>
  <c r="AG453" i="17"/>
  <c r="AG454" i="17"/>
  <c r="AG455" i="17"/>
  <c r="AG456" i="17"/>
  <c r="AG457" i="17"/>
  <c r="AG458" i="17"/>
  <c r="AG459" i="17"/>
  <c r="AG460" i="17"/>
  <c r="AG461" i="17"/>
  <c r="AG462" i="17"/>
  <c r="AG463" i="17"/>
  <c r="AG464" i="17"/>
  <c r="AG465" i="17"/>
  <c r="AG466" i="17"/>
  <c r="AG467" i="17"/>
  <c r="AG468" i="17"/>
  <c r="AG469" i="17"/>
  <c r="AG470" i="17"/>
  <c r="AG471" i="17"/>
  <c r="AG472" i="17"/>
  <c r="AG473" i="17"/>
  <c r="AG474" i="17"/>
  <c r="AG475" i="17"/>
  <c r="AG476" i="17"/>
  <c r="AG477" i="17"/>
  <c r="AG478" i="17"/>
  <c r="AG479" i="17"/>
  <c r="AG480" i="17"/>
  <c r="AG481" i="17"/>
  <c r="AG482" i="17"/>
  <c r="AG483" i="17"/>
  <c r="AG484" i="17"/>
  <c r="AG485" i="17"/>
  <c r="AG486" i="17"/>
  <c r="AG487" i="17"/>
  <c r="AG488" i="17"/>
  <c r="AG489" i="17"/>
  <c r="AG490" i="17"/>
  <c r="AG491" i="17"/>
  <c r="AG492" i="17"/>
  <c r="AG493" i="17"/>
  <c r="AG494" i="17"/>
  <c r="AG495" i="17"/>
  <c r="AG496" i="17"/>
  <c r="AG497" i="17"/>
  <c r="AG498" i="17"/>
  <c r="AG499" i="17"/>
  <c r="AG500" i="17"/>
  <c r="AG501" i="17"/>
  <c r="AG502" i="17"/>
  <c r="AG503" i="17"/>
  <c r="AG504" i="17"/>
  <c r="AG505" i="17"/>
  <c r="AG506" i="17"/>
  <c r="AG507" i="17"/>
  <c r="AG508" i="17"/>
  <c r="AG509" i="17"/>
  <c r="AG510" i="17"/>
  <c r="AG511" i="17"/>
  <c r="AG512" i="17"/>
  <c r="AG513" i="17"/>
  <c r="AG514" i="17"/>
  <c r="AG515" i="17"/>
  <c r="AG516" i="17"/>
  <c r="AG517" i="17"/>
  <c r="AG518" i="17"/>
  <c r="AG519" i="17"/>
  <c r="AG520" i="17"/>
  <c r="AG521" i="17"/>
  <c r="AG522" i="17"/>
  <c r="AG523" i="17"/>
  <c r="AG524" i="17"/>
  <c r="AG525" i="17"/>
  <c r="AG526" i="17"/>
  <c r="AG527" i="17"/>
  <c r="AG528" i="17"/>
  <c r="AG529" i="17"/>
  <c r="AG530" i="17"/>
  <c r="AG531" i="17"/>
  <c r="AG532" i="17"/>
  <c r="AG533" i="17"/>
  <c r="AG534" i="17"/>
  <c r="AG535" i="17"/>
  <c r="AG536" i="17"/>
  <c r="AG537" i="17"/>
  <c r="AG538" i="17"/>
  <c r="AG539" i="17"/>
  <c r="AG540" i="17"/>
  <c r="AG541" i="17"/>
  <c r="AG542" i="17"/>
  <c r="AG543" i="17"/>
  <c r="AG544" i="17"/>
  <c r="AG545" i="17"/>
  <c r="AG546" i="17"/>
  <c r="AG547" i="17"/>
  <c r="AG548" i="17"/>
  <c r="AG549" i="17"/>
  <c r="AG550" i="17"/>
  <c r="AG551" i="17"/>
  <c r="AG552" i="17"/>
  <c r="AG553" i="17"/>
  <c r="AG554" i="17"/>
  <c r="AG555" i="17"/>
  <c r="AG556" i="17"/>
  <c r="AG557" i="17"/>
  <c r="AG558" i="17"/>
  <c r="AG559" i="17"/>
  <c r="AG560" i="17"/>
  <c r="AG561" i="17"/>
  <c r="AG562" i="17"/>
  <c r="AG563" i="17"/>
  <c r="AG564" i="17"/>
  <c r="AG565" i="17"/>
  <c r="AG566" i="17"/>
  <c r="AG567" i="17"/>
  <c r="AG568" i="17"/>
  <c r="AG569" i="17"/>
  <c r="AG570" i="17"/>
  <c r="AG571" i="17"/>
  <c r="AG572" i="17"/>
  <c r="AG573" i="17"/>
  <c r="AG574" i="17"/>
  <c r="AG575" i="17"/>
  <c r="AG576" i="17"/>
  <c r="AG577" i="17"/>
  <c r="AG578" i="17"/>
  <c r="AG579" i="17"/>
  <c r="AG580" i="17"/>
  <c r="AG581" i="17"/>
  <c r="AG582" i="17"/>
  <c r="AG583" i="17"/>
  <c r="AG584" i="17"/>
  <c r="AG585" i="17"/>
  <c r="AG586" i="17"/>
  <c r="AG587" i="17"/>
  <c r="AG588" i="17"/>
  <c r="AG589" i="17"/>
  <c r="AG590" i="17"/>
  <c r="AG591" i="17"/>
  <c r="AG592" i="17"/>
  <c r="AG593" i="17"/>
  <c r="AG594" i="17"/>
  <c r="AG595" i="17"/>
  <c r="AG596" i="17"/>
  <c r="AG597" i="17"/>
  <c r="AG598" i="17"/>
  <c r="AG599" i="17"/>
  <c r="AG600" i="17"/>
  <c r="AG601" i="17"/>
  <c r="AG602" i="17"/>
  <c r="AG603" i="17"/>
  <c r="AG604" i="17"/>
  <c r="AG605" i="17"/>
  <c r="AG606" i="17"/>
  <c r="AG607" i="17"/>
  <c r="AG608" i="17"/>
  <c r="AG609" i="17"/>
  <c r="AG610" i="17"/>
  <c r="AG611" i="17"/>
  <c r="AG612" i="17"/>
  <c r="AG613" i="17"/>
  <c r="AG614" i="17"/>
  <c r="AG615" i="17"/>
  <c r="AG616" i="17"/>
  <c r="AG617" i="17"/>
  <c r="AG618" i="17"/>
  <c r="AG619" i="17"/>
  <c r="AG620" i="17"/>
  <c r="AG621" i="17"/>
  <c r="AG622" i="17"/>
  <c r="AG623" i="17"/>
  <c r="AG624" i="17"/>
  <c r="AG625" i="17"/>
  <c r="AG626" i="17"/>
  <c r="AG627" i="17"/>
  <c r="AG628" i="17"/>
  <c r="AG629" i="17"/>
  <c r="AG630" i="17"/>
  <c r="AG631" i="17"/>
  <c r="AG632" i="17"/>
  <c r="AG633" i="17"/>
  <c r="AG634" i="17"/>
  <c r="AG635" i="17"/>
  <c r="AG636" i="17"/>
  <c r="AG637" i="17"/>
  <c r="AG638" i="17"/>
  <c r="AG639" i="17"/>
  <c r="AG640" i="17"/>
  <c r="AG641" i="17"/>
  <c r="AG642" i="17"/>
  <c r="AG643" i="17"/>
  <c r="AG644" i="17"/>
  <c r="AG645" i="17"/>
  <c r="AG646" i="17"/>
  <c r="AG647" i="17"/>
  <c r="AG648" i="17"/>
  <c r="AG649" i="17"/>
  <c r="AG650" i="17"/>
  <c r="AG651" i="17"/>
  <c r="AG652" i="17"/>
  <c r="AG653" i="17"/>
  <c r="AG654" i="17"/>
  <c r="AG655" i="17"/>
  <c r="AG656" i="17"/>
  <c r="AG657" i="17"/>
  <c r="AG658" i="17"/>
  <c r="AG659" i="17"/>
  <c r="AG660" i="17"/>
  <c r="AG661" i="17"/>
  <c r="AG662" i="17"/>
  <c r="AG663" i="17"/>
  <c r="AG664" i="17"/>
  <c r="AG665" i="17"/>
  <c r="AG666" i="17"/>
  <c r="AG667" i="17"/>
  <c r="AG668" i="17"/>
  <c r="AG669" i="17"/>
  <c r="AG670" i="17"/>
  <c r="AG671" i="17"/>
  <c r="AG672" i="17"/>
  <c r="AG673" i="17"/>
  <c r="AG674" i="17"/>
  <c r="AG675" i="17"/>
  <c r="AG676" i="17"/>
  <c r="AG677" i="17"/>
  <c r="AG678" i="17"/>
  <c r="AG679" i="17"/>
  <c r="AG680" i="17"/>
  <c r="AG681" i="17"/>
  <c r="AG682" i="17"/>
  <c r="AG683" i="17"/>
  <c r="AG684" i="17"/>
  <c r="AG685" i="17"/>
  <c r="AG686" i="17"/>
  <c r="AG687" i="17"/>
  <c r="AG688" i="17"/>
  <c r="AG689" i="17"/>
  <c r="AG690" i="17"/>
  <c r="AG691" i="17"/>
  <c r="AG692" i="17"/>
  <c r="AG693" i="17"/>
  <c r="AG694" i="17"/>
  <c r="AG695" i="17"/>
  <c r="AG696" i="17"/>
  <c r="AG697" i="17"/>
  <c r="AG698" i="17"/>
  <c r="AG699" i="17"/>
  <c r="AG700" i="17"/>
  <c r="AG701" i="17"/>
  <c r="AG702" i="17"/>
  <c r="AG703" i="17"/>
  <c r="AG704" i="17"/>
  <c r="AG705" i="17"/>
  <c r="AG706" i="17"/>
  <c r="AG707" i="17"/>
  <c r="AG708" i="17"/>
  <c r="AG709" i="17"/>
  <c r="AG710" i="17"/>
  <c r="AG711" i="17"/>
  <c r="AG712" i="17"/>
  <c r="AG713" i="17"/>
  <c r="AG714" i="17"/>
  <c r="AG715" i="17"/>
  <c r="AG716" i="17"/>
  <c r="AG717" i="17"/>
  <c r="AG718" i="17"/>
  <c r="AG719" i="17"/>
  <c r="AG720" i="17"/>
  <c r="AG721" i="17"/>
  <c r="AG722" i="17"/>
  <c r="AG723" i="17"/>
  <c r="AG724" i="17"/>
  <c r="AG725" i="17"/>
  <c r="AG726" i="17"/>
  <c r="AG727" i="17"/>
  <c r="AG728" i="17"/>
  <c r="AG729" i="17"/>
  <c r="AG730" i="17"/>
  <c r="AG731" i="17"/>
  <c r="AG732" i="17"/>
  <c r="AG733" i="17"/>
  <c r="AG734" i="17"/>
  <c r="AG735" i="17"/>
  <c r="AG736" i="17"/>
  <c r="AG737" i="17"/>
  <c r="AG738" i="17"/>
  <c r="AG739" i="17"/>
  <c r="AG740" i="17"/>
  <c r="AG741" i="17"/>
  <c r="AG742" i="17"/>
  <c r="AG743" i="17"/>
  <c r="AG744" i="17"/>
  <c r="AG745" i="17"/>
  <c r="AG746" i="17"/>
  <c r="AG747" i="17"/>
  <c r="AG748" i="17"/>
  <c r="AG749" i="17"/>
  <c r="AG750" i="17"/>
  <c r="AG751" i="17"/>
  <c r="AG752" i="17"/>
  <c r="AG753" i="17"/>
  <c r="AG754" i="17"/>
  <c r="AG755" i="17"/>
  <c r="AG756" i="17"/>
  <c r="AG757" i="17"/>
  <c r="AG758" i="17"/>
  <c r="AG759" i="17"/>
  <c r="AG760" i="17"/>
  <c r="AG761" i="17"/>
  <c r="AG762" i="17"/>
  <c r="AG763" i="17"/>
  <c r="AG765" i="17"/>
  <c r="AG766" i="17"/>
  <c r="AG767" i="17"/>
  <c r="AG768" i="17"/>
  <c r="AG769" i="17"/>
  <c r="AG770" i="17"/>
  <c r="AG771" i="17"/>
  <c r="AG772" i="17"/>
  <c r="AG773" i="17"/>
  <c r="AG774" i="17"/>
  <c r="AG775" i="17"/>
  <c r="AG776" i="17"/>
  <c r="AG777" i="17"/>
  <c r="AG778" i="17"/>
  <c r="AG779" i="17"/>
  <c r="AG780" i="17"/>
  <c r="AG781" i="17"/>
  <c r="AG782" i="17"/>
  <c r="AG783" i="17"/>
  <c r="AG784" i="17"/>
  <c r="AG785" i="17"/>
  <c r="AG786" i="17"/>
  <c r="AG787" i="17"/>
  <c r="AG788" i="17"/>
  <c r="AG789" i="17"/>
  <c r="AG790" i="17"/>
  <c r="AG791" i="17"/>
  <c r="AG792" i="17"/>
  <c r="AG793" i="17"/>
  <c r="AG794" i="17"/>
  <c r="AG795" i="17"/>
  <c r="AG796" i="17"/>
  <c r="AG797" i="17"/>
  <c r="AG798" i="17"/>
  <c r="AG799" i="17"/>
  <c r="AG800" i="17"/>
  <c r="AG801" i="17"/>
  <c r="AG802" i="17"/>
  <c r="AG803" i="17"/>
  <c r="AG804" i="17"/>
  <c r="AG805" i="17"/>
  <c r="AG806" i="17"/>
  <c r="AG807" i="17"/>
  <c r="AG808" i="17"/>
  <c r="AG809" i="17"/>
  <c r="AG810" i="17"/>
  <c r="AG811" i="17"/>
  <c r="AG812" i="17"/>
  <c r="AG813" i="17"/>
  <c r="AG814" i="17"/>
  <c r="AG815" i="17"/>
  <c r="AG816" i="17"/>
  <c r="AG817" i="17"/>
  <c r="AG818" i="17"/>
  <c r="AG819" i="17"/>
  <c r="AG820" i="17"/>
  <c r="AG821" i="17"/>
  <c r="AG822" i="17"/>
  <c r="AG823" i="17"/>
  <c r="AG824" i="17"/>
  <c r="AG825" i="17"/>
  <c r="AG826" i="17"/>
  <c r="AG827" i="17"/>
  <c r="AG828" i="17"/>
  <c r="AG829" i="17"/>
  <c r="AG830" i="17"/>
  <c r="AG831" i="17"/>
  <c r="AG832" i="17"/>
  <c r="AG833" i="17"/>
  <c r="AG834" i="17"/>
  <c r="AG835" i="17"/>
  <c r="AG836" i="17"/>
  <c r="AG837" i="17"/>
  <c r="AG838" i="17"/>
  <c r="AG839" i="17"/>
  <c r="AG840" i="17"/>
  <c r="AG841" i="17"/>
  <c r="AG842" i="17"/>
  <c r="AG843" i="17"/>
  <c r="AG844" i="17"/>
  <c r="AG845" i="17"/>
  <c r="AG846" i="17"/>
  <c r="AG847" i="17"/>
  <c r="AG848" i="17"/>
  <c r="AG849" i="17"/>
  <c r="AG850" i="17"/>
  <c r="AG851" i="17"/>
  <c r="AG852" i="17"/>
  <c r="AG853" i="17"/>
  <c r="AG854" i="17"/>
  <c r="AG855" i="17"/>
  <c r="AG856" i="17"/>
  <c r="AG857" i="17"/>
  <c r="AG858" i="17"/>
  <c r="AG859" i="17"/>
  <c r="AG860" i="17"/>
  <c r="AG861" i="17"/>
  <c r="AG862" i="17"/>
  <c r="AG863" i="17"/>
  <c r="AG864" i="17"/>
  <c r="AG865" i="17"/>
  <c r="AG866" i="17"/>
  <c r="AG867" i="17"/>
  <c r="AG868" i="17"/>
  <c r="AG869" i="17"/>
  <c r="AG870" i="17"/>
  <c r="AG871" i="17"/>
  <c r="AG872" i="17"/>
  <c r="AG873" i="17"/>
  <c r="AG874" i="17"/>
  <c r="AG875" i="17"/>
  <c r="AG876" i="17"/>
  <c r="AG877" i="17"/>
  <c r="AG878" i="17"/>
  <c r="AG879" i="17"/>
  <c r="AG880" i="17"/>
  <c r="AG881" i="17"/>
  <c r="AG882" i="17"/>
  <c r="AG883" i="17"/>
  <c r="AG884" i="17"/>
  <c r="AG885" i="17"/>
  <c r="AG886" i="17"/>
  <c r="AG887" i="17"/>
  <c r="AG888" i="17"/>
  <c r="AG889" i="17"/>
  <c r="AG890" i="17"/>
  <c r="AG891" i="17"/>
  <c r="AG892" i="17"/>
  <c r="AG893" i="17"/>
  <c r="AG894" i="17"/>
  <c r="AG895" i="17"/>
  <c r="AG896" i="17"/>
  <c r="AG897" i="17"/>
  <c r="AG898" i="17"/>
  <c r="AG899" i="17"/>
  <c r="AG900" i="17"/>
  <c r="AG901" i="17"/>
  <c r="AG902" i="17"/>
  <c r="AG903" i="17"/>
  <c r="AG904" i="17"/>
  <c r="AG905" i="17"/>
  <c r="AG906" i="17"/>
  <c r="AG907" i="17"/>
  <c r="AG908" i="17"/>
  <c r="AG909" i="17"/>
  <c r="AG910" i="17"/>
  <c r="AG911" i="17"/>
  <c r="AG912" i="17"/>
  <c r="AG913" i="17"/>
  <c r="AG914" i="17"/>
  <c r="AG915" i="17"/>
  <c r="AG916" i="17"/>
  <c r="AG917" i="17"/>
  <c r="AG918" i="17"/>
  <c r="AG919" i="17"/>
  <c r="AG920" i="17"/>
  <c r="AC7" i="17"/>
  <c r="U7" i="2" s="1"/>
  <c r="AC8" i="17"/>
  <c r="AC9" i="17"/>
  <c r="AC10" i="17"/>
  <c r="AC11" i="17"/>
  <c r="AC12" i="17"/>
  <c r="AC13" i="17"/>
  <c r="AC14" i="17"/>
  <c r="AC15" i="17"/>
  <c r="AC16" i="17"/>
  <c r="AC17" i="17"/>
  <c r="AC18" i="17"/>
  <c r="AC19" i="17"/>
  <c r="AC20" i="17"/>
  <c r="AC21" i="17"/>
  <c r="AC22" i="17"/>
  <c r="AC23" i="17"/>
  <c r="AC24" i="17"/>
  <c r="AC25" i="17"/>
  <c r="AC26" i="17"/>
  <c r="AC27" i="17"/>
  <c r="AC28" i="17"/>
  <c r="AC29" i="17"/>
  <c r="AC30" i="17"/>
  <c r="AC31" i="17"/>
  <c r="AC32" i="17"/>
  <c r="AC33" i="17"/>
  <c r="AC34" i="17"/>
  <c r="AC35" i="17"/>
  <c r="AC36" i="17"/>
  <c r="AC37" i="17"/>
  <c r="AC38" i="17"/>
  <c r="AC39" i="17"/>
  <c r="AC40" i="17"/>
  <c r="AC41" i="17"/>
  <c r="AC42" i="17"/>
  <c r="AC43" i="17"/>
  <c r="AC44" i="17"/>
  <c r="AC45" i="17"/>
  <c r="AC46" i="17"/>
  <c r="AC47" i="17"/>
  <c r="AC48" i="17"/>
  <c r="AC49" i="17"/>
  <c r="AC50" i="17"/>
  <c r="AC51" i="17"/>
  <c r="AC52" i="17"/>
  <c r="AC53" i="17"/>
  <c r="AC54" i="17"/>
  <c r="AC55" i="17"/>
  <c r="AC56" i="17"/>
  <c r="AC57" i="17"/>
  <c r="AC58" i="17"/>
  <c r="AC59" i="17"/>
  <c r="AC60" i="17"/>
  <c r="AC61" i="17"/>
  <c r="AC62" i="17"/>
  <c r="AC63" i="17"/>
  <c r="AC64" i="17"/>
  <c r="AC65" i="17"/>
  <c r="AC66" i="17"/>
  <c r="AC67" i="17"/>
  <c r="AC68" i="17"/>
  <c r="AC69" i="17"/>
  <c r="AC70" i="17"/>
  <c r="AC71" i="17"/>
  <c r="AC72" i="17"/>
  <c r="AC73" i="17"/>
  <c r="AC74" i="17"/>
  <c r="AC75" i="17"/>
  <c r="AC76" i="17"/>
  <c r="AC77" i="17"/>
  <c r="AC78" i="17"/>
  <c r="AC79" i="17"/>
  <c r="AC80" i="17"/>
  <c r="AC81" i="17"/>
  <c r="AC82" i="17"/>
  <c r="AC83" i="17"/>
  <c r="AC84" i="17"/>
  <c r="AC85" i="17"/>
  <c r="AC86" i="17"/>
  <c r="AC87" i="17"/>
  <c r="AC88" i="17"/>
  <c r="AC89" i="17"/>
  <c r="AC90" i="17"/>
  <c r="AC91" i="17"/>
  <c r="AC92" i="17"/>
  <c r="AC93" i="17"/>
  <c r="AC94" i="17"/>
  <c r="AC95" i="17"/>
  <c r="AC96" i="17"/>
  <c r="AC97" i="17"/>
  <c r="AC98" i="17"/>
  <c r="AC99" i="17"/>
  <c r="AC100" i="17"/>
  <c r="AC101" i="17"/>
  <c r="AC102" i="17"/>
  <c r="AC103" i="17"/>
  <c r="AC104" i="17"/>
  <c r="AC105" i="17"/>
  <c r="AC106" i="17"/>
  <c r="AC107" i="17"/>
  <c r="AC108" i="17"/>
  <c r="AC109" i="17"/>
  <c r="AC110" i="17"/>
  <c r="AC111" i="17"/>
  <c r="AC112" i="17"/>
  <c r="AC113" i="17"/>
  <c r="AC114" i="17"/>
  <c r="AC115" i="17"/>
  <c r="AC116" i="17"/>
  <c r="AC117" i="17"/>
  <c r="AC118" i="17"/>
  <c r="AC119" i="17"/>
  <c r="AC120" i="17"/>
  <c r="AC121" i="17"/>
  <c r="AC122" i="17"/>
  <c r="AC123" i="17"/>
  <c r="AC124" i="17"/>
  <c r="AC125" i="17"/>
  <c r="AC126" i="17"/>
  <c r="AC127" i="17"/>
  <c r="AC128" i="17"/>
  <c r="AC129" i="17"/>
  <c r="AC130" i="17"/>
  <c r="AC131" i="17"/>
  <c r="AC132" i="17"/>
  <c r="AC133" i="17"/>
  <c r="AC134" i="17"/>
  <c r="AC135" i="17"/>
  <c r="AC136" i="17"/>
  <c r="AC137" i="17"/>
  <c r="AC138" i="17"/>
  <c r="AC139" i="17"/>
  <c r="AC140" i="17"/>
  <c r="AC141" i="17"/>
  <c r="AC142" i="17"/>
  <c r="AC143" i="17"/>
  <c r="AC144" i="17"/>
  <c r="AC145" i="17"/>
  <c r="AC146" i="17"/>
  <c r="AC147" i="17"/>
  <c r="AC148" i="17"/>
  <c r="AC149" i="17"/>
  <c r="AC150" i="17"/>
  <c r="AC151" i="17"/>
  <c r="AC152" i="17"/>
  <c r="AC153" i="17"/>
  <c r="AC154" i="17"/>
  <c r="AC155" i="17"/>
  <c r="AC156" i="17"/>
  <c r="AC157" i="17"/>
  <c r="AC158" i="17"/>
  <c r="AC159" i="17"/>
  <c r="AC160" i="17"/>
  <c r="AC161" i="17"/>
  <c r="AC162" i="17"/>
  <c r="AC163" i="17"/>
  <c r="AC164" i="17"/>
  <c r="AC165" i="17"/>
  <c r="AC166" i="17"/>
  <c r="AC167" i="17"/>
  <c r="AC168" i="17"/>
  <c r="AC169" i="17"/>
  <c r="AC170" i="17"/>
  <c r="AC171" i="17"/>
  <c r="AC172" i="17"/>
  <c r="AC173" i="17"/>
  <c r="AC174" i="17"/>
  <c r="AC175" i="17"/>
  <c r="AC176" i="17"/>
  <c r="AC177" i="17"/>
  <c r="AC178" i="17"/>
  <c r="AC179" i="17"/>
  <c r="AC180" i="17"/>
  <c r="AC181" i="17"/>
  <c r="AC182" i="17"/>
  <c r="AC183" i="17"/>
  <c r="AC184" i="17"/>
  <c r="AC185" i="17"/>
  <c r="AC186" i="17"/>
  <c r="AC187" i="17"/>
  <c r="AC188" i="17"/>
  <c r="AC189" i="17"/>
  <c r="AC190" i="17"/>
  <c r="AC191" i="17"/>
  <c r="AC192" i="17"/>
  <c r="AC193" i="17"/>
  <c r="AC194" i="17"/>
  <c r="AC195" i="17"/>
  <c r="AC196" i="17"/>
  <c r="AC197" i="17"/>
  <c r="AC198" i="17"/>
  <c r="AC199" i="17"/>
  <c r="AC200" i="17"/>
  <c r="AC201" i="17"/>
  <c r="AC202" i="17"/>
  <c r="AC203" i="17"/>
  <c r="AC204" i="17"/>
  <c r="AC205" i="17"/>
  <c r="AC206" i="17"/>
  <c r="AC207" i="17"/>
  <c r="AC208" i="17"/>
  <c r="AC209" i="17"/>
  <c r="AC210" i="17"/>
  <c r="AC211" i="17"/>
  <c r="AC212" i="17"/>
  <c r="AC213" i="17"/>
  <c r="AC214" i="17"/>
  <c r="AC215" i="17"/>
  <c r="AC216" i="17"/>
  <c r="AC217" i="17"/>
  <c r="AC218" i="17"/>
  <c r="AC219" i="17"/>
  <c r="AC220" i="17"/>
  <c r="AC221" i="17"/>
  <c r="AC222" i="17"/>
  <c r="AC223" i="17"/>
  <c r="AC224" i="17"/>
  <c r="AC225" i="17"/>
  <c r="AC226" i="17"/>
  <c r="AC227" i="17"/>
  <c r="AC228" i="17"/>
  <c r="AC229" i="17"/>
  <c r="AC230" i="17"/>
  <c r="AC231" i="17"/>
  <c r="AC232" i="17"/>
  <c r="AC233" i="17"/>
  <c r="AC234" i="17"/>
  <c r="AC235" i="17"/>
  <c r="AC236" i="17"/>
  <c r="AC237" i="17"/>
  <c r="AC238" i="17"/>
  <c r="AC239" i="17"/>
  <c r="AC240" i="17"/>
  <c r="AC241" i="17"/>
  <c r="U241" i="2" s="1"/>
  <c r="AC242" i="17"/>
  <c r="U242" i="2" s="1"/>
  <c r="AC243" i="17"/>
  <c r="U243" i="2" s="1"/>
  <c r="AC244" i="17"/>
  <c r="U244" i="2" s="1"/>
  <c r="AC245" i="17"/>
  <c r="AC246" i="17"/>
  <c r="U246" i="2" s="1"/>
  <c r="AC247" i="17"/>
  <c r="U247" i="2" s="1"/>
  <c r="AC248" i="17"/>
  <c r="U248" i="2" s="1"/>
  <c r="AC249" i="17"/>
  <c r="U249" i="2" s="1"/>
  <c r="AC250" i="17"/>
  <c r="U250" i="2" s="1"/>
  <c r="AC251" i="17"/>
  <c r="U251" i="2" s="1"/>
  <c r="AC252" i="17"/>
  <c r="U252" i="2" s="1"/>
  <c r="AC253" i="17"/>
  <c r="U253" i="2" s="1"/>
  <c r="AC254" i="17"/>
  <c r="U254" i="2" s="1"/>
  <c r="AC255" i="17"/>
  <c r="U255" i="2" s="1"/>
  <c r="AC256" i="17"/>
  <c r="U256" i="2" s="1"/>
  <c r="AC257" i="17"/>
  <c r="U257" i="2" s="1"/>
  <c r="AC258" i="17"/>
  <c r="U258" i="2" s="1"/>
  <c r="AC259" i="17"/>
  <c r="U259" i="2" s="1"/>
  <c r="AC260" i="17"/>
  <c r="U260" i="2" s="1"/>
  <c r="AC261" i="17"/>
  <c r="U261" i="2" s="1"/>
  <c r="AC262" i="17"/>
  <c r="U262" i="2" s="1"/>
  <c r="AC263" i="17"/>
  <c r="U263" i="2" s="1"/>
  <c r="AC264" i="17"/>
  <c r="U264" i="2" s="1"/>
  <c r="AC265" i="17"/>
  <c r="U265" i="2" s="1"/>
  <c r="AC266" i="17"/>
  <c r="U266" i="2" s="1"/>
  <c r="AC267" i="17"/>
  <c r="U267" i="2" s="1"/>
  <c r="AC268" i="17"/>
  <c r="U268" i="2" s="1"/>
  <c r="AC269" i="17"/>
  <c r="U269" i="2" s="1"/>
  <c r="AC270" i="17"/>
  <c r="U270" i="2" s="1"/>
  <c r="AC271" i="17"/>
  <c r="U271" i="2" s="1"/>
  <c r="AC272" i="17"/>
  <c r="U272" i="2" s="1"/>
  <c r="AC273" i="17"/>
  <c r="U273" i="2" s="1"/>
  <c r="AC274" i="17"/>
  <c r="U274" i="2" s="1"/>
  <c r="AC275" i="17"/>
  <c r="U275" i="2" s="1"/>
  <c r="AC276" i="17"/>
  <c r="U276" i="2" s="1"/>
  <c r="AC277" i="17"/>
  <c r="U277" i="2" s="1"/>
  <c r="AC278" i="17"/>
  <c r="U278" i="2" s="1"/>
  <c r="AC279" i="17"/>
  <c r="U279" i="2" s="1"/>
  <c r="AC280" i="17"/>
  <c r="U280" i="2" s="1"/>
  <c r="AC281" i="17"/>
  <c r="U281" i="2" s="1"/>
  <c r="AC282" i="17"/>
  <c r="U282" i="2" s="1"/>
  <c r="AC283" i="17"/>
  <c r="U283" i="2" s="1"/>
  <c r="AC284" i="17"/>
  <c r="U284" i="2" s="1"/>
  <c r="AC285" i="17"/>
  <c r="U285" i="2" s="1"/>
  <c r="AC286" i="17"/>
  <c r="U286" i="2" s="1"/>
  <c r="AC287" i="17"/>
  <c r="U287" i="2" s="1"/>
  <c r="AC288" i="17"/>
  <c r="U288" i="2" s="1"/>
  <c r="AC289" i="17"/>
  <c r="U289" i="2" s="1"/>
  <c r="AC290" i="17"/>
  <c r="U290" i="2" s="1"/>
  <c r="AC291" i="17"/>
  <c r="U291" i="2" s="1"/>
  <c r="AC292" i="17"/>
  <c r="U292" i="2" s="1"/>
  <c r="AC293" i="17"/>
  <c r="U293" i="2" s="1"/>
  <c r="AC294" i="17"/>
  <c r="U294" i="2" s="1"/>
  <c r="AC295" i="17"/>
  <c r="U295" i="2" s="1"/>
  <c r="AC296" i="17"/>
  <c r="U296" i="2" s="1"/>
  <c r="AC297" i="17"/>
  <c r="U297" i="2" s="1"/>
  <c r="AC298" i="17"/>
  <c r="U298" i="2" s="1"/>
  <c r="AC299" i="17"/>
  <c r="U299" i="2" s="1"/>
  <c r="AC300" i="17"/>
  <c r="U300" i="2" s="1"/>
  <c r="AC301" i="17"/>
  <c r="U301" i="2" s="1"/>
  <c r="AC302" i="17"/>
  <c r="U302" i="2" s="1"/>
  <c r="AC303" i="17"/>
  <c r="U303" i="2" s="1"/>
  <c r="AC304" i="17"/>
  <c r="U304" i="2" s="1"/>
  <c r="AC305" i="17"/>
  <c r="U305" i="2" s="1"/>
  <c r="AC306" i="17"/>
  <c r="U306" i="2" s="1"/>
  <c r="AC307" i="17"/>
  <c r="U307" i="2" s="1"/>
  <c r="AC308" i="17"/>
  <c r="U308" i="2" s="1"/>
  <c r="AC309" i="17"/>
  <c r="U309" i="2" s="1"/>
  <c r="AC310" i="17"/>
  <c r="U310" i="2" s="1"/>
  <c r="AC311" i="17"/>
  <c r="U311" i="2" s="1"/>
  <c r="AC312" i="17"/>
  <c r="U312" i="2" s="1"/>
  <c r="AC313" i="17"/>
  <c r="U313" i="2" s="1"/>
  <c r="AC314" i="17"/>
  <c r="U314" i="2" s="1"/>
  <c r="AC315" i="17"/>
  <c r="U315" i="2" s="1"/>
  <c r="AC316" i="17"/>
  <c r="U316" i="2" s="1"/>
  <c r="AC317" i="17"/>
  <c r="U317" i="2" s="1"/>
  <c r="AC318" i="17"/>
  <c r="U318" i="2" s="1"/>
  <c r="AC319" i="17"/>
  <c r="U319" i="2" s="1"/>
  <c r="AC320" i="17"/>
  <c r="U320" i="2" s="1"/>
  <c r="AC321" i="17"/>
  <c r="U321" i="2" s="1"/>
  <c r="AC322" i="17"/>
  <c r="U322" i="2" s="1"/>
  <c r="AC323" i="17"/>
  <c r="U323" i="2" s="1"/>
  <c r="AC324" i="17"/>
  <c r="U324" i="2" s="1"/>
  <c r="AC325" i="17"/>
  <c r="U325" i="2" s="1"/>
  <c r="AC326" i="17"/>
  <c r="U326" i="2" s="1"/>
  <c r="AC327" i="17"/>
  <c r="U327" i="2" s="1"/>
  <c r="AC328" i="17"/>
  <c r="U328" i="2" s="1"/>
  <c r="AC329" i="17"/>
  <c r="U329" i="2" s="1"/>
  <c r="AC330" i="17"/>
  <c r="U330" i="2" s="1"/>
  <c r="AC331" i="17"/>
  <c r="U331" i="2" s="1"/>
  <c r="AC332" i="17"/>
  <c r="U332" i="2" s="1"/>
  <c r="AC333" i="17"/>
  <c r="U333" i="2" s="1"/>
  <c r="AC334" i="17"/>
  <c r="U334" i="2" s="1"/>
  <c r="AC335" i="17"/>
  <c r="U335" i="2" s="1"/>
  <c r="AC336" i="17"/>
  <c r="U336" i="2" s="1"/>
  <c r="AC337" i="17"/>
  <c r="U337" i="2" s="1"/>
  <c r="AC338" i="17"/>
  <c r="U338" i="2" s="1"/>
  <c r="AC339" i="17"/>
  <c r="U339" i="2" s="1"/>
  <c r="AC340" i="17"/>
  <c r="U340" i="2" s="1"/>
  <c r="AC341" i="17"/>
  <c r="U341" i="2" s="1"/>
  <c r="AC342" i="17"/>
  <c r="U342" i="2" s="1"/>
  <c r="AC343" i="17"/>
  <c r="U343" i="2" s="1"/>
  <c r="AC344" i="17"/>
  <c r="U344" i="2" s="1"/>
  <c r="AC345" i="17"/>
  <c r="U345" i="2" s="1"/>
  <c r="AC346" i="17"/>
  <c r="U346" i="2" s="1"/>
  <c r="AC347" i="17"/>
  <c r="U347" i="2" s="1"/>
  <c r="AC348" i="17"/>
  <c r="U348" i="2" s="1"/>
  <c r="AC349" i="17"/>
  <c r="U349" i="2" s="1"/>
  <c r="AC350" i="17"/>
  <c r="U350" i="2" s="1"/>
  <c r="AC351" i="17"/>
  <c r="U351" i="2" s="1"/>
  <c r="AC352" i="17"/>
  <c r="U352" i="2" s="1"/>
  <c r="AC353" i="17"/>
  <c r="U353" i="2" s="1"/>
  <c r="AC354" i="17"/>
  <c r="U354" i="2" s="1"/>
  <c r="AC355" i="17"/>
  <c r="U355" i="2" s="1"/>
  <c r="AC356" i="17"/>
  <c r="U356" i="2" s="1"/>
  <c r="AC357" i="17"/>
  <c r="U357" i="2" s="1"/>
  <c r="AC358" i="17"/>
  <c r="U358" i="2" s="1"/>
  <c r="AC359" i="17"/>
  <c r="U359" i="2" s="1"/>
  <c r="AC360" i="17"/>
  <c r="U360" i="2" s="1"/>
  <c r="AC361" i="17"/>
  <c r="U361" i="2" s="1"/>
  <c r="AC362" i="17"/>
  <c r="U362" i="2" s="1"/>
  <c r="AC363" i="17"/>
  <c r="U363" i="2" s="1"/>
  <c r="AC364" i="17"/>
  <c r="U364" i="2" s="1"/>
  <c r="AC365" i="17"/>
  <c r="U365" i="2" s="1"/>
  <c r="AC366" i="17"/>
  <c r="U366" i="2" s="1"/>
  <c r="AC367" i="17"/>
  <c r="U367" i="2" s="1"/>
  <c r="AC368" i="17"/>
  <c r="U368" i="2" s="1"/>
  <c r="AC369" i="17"/>
  <c r="U369" i="2" s="1"/>
  <c r="AC370" i="17"/>
  <c r="U370" i="2" s="1"/>
  <c r="AC371" i="17"/>
  <c r="U371" i="2" s="1"/>
  <c r="AC372" i="17"/>
  <c r="U372" i="2" s="1"/>
  <c r="AC373" i="17"/>
  <c r="U373" i="2" s="1"/>
  <c r="AC374" i="17"/>
  <c r="U374" i="2" s="1"/>
  <c r="AC375" i="17"/>
  <c r="U375" i="2" s="1"/>
  <c r="AC376" i="17"/>
  <c r="U376" i="2" s="1"/>
  <c r="AC377" i="17"/>
  <c r="U377" i="2" s="1"/>
  <c r="AC378" i="17"/>
  <c r="U378" i="2" s="1"/>
  <c r="AC379" i="17"/>
  <c r="U379" i="2" s="1"/>
  <c r="AC380" i="17"/>
  <c r="U380" i="2" s="1"/>
  <c r="AC381" i="17"/>
  <c r="U381" i="2" s="1"/>
  <c r="AC382" i="17"/>
  <c r="U382" i="2" s="1"/>
  <c r="AC383" i="17"/>
  <c r="U383" i="2" s="1"/>
  <c r="AC384" i="17"/>
  <c r="U384" i="2" s="1"/>
  <c r="AC385" i="17"/>
  <c r="U385" i="2" s="1"/>
  <c r="AC386" i="17"/>
  <c r="U386" i="2" s="1"/>
  <c r="AC387" i="17"/>
  <c r="U387" i="2" s="1"/>
  <c r="AC388" i="17"/>
  <c r="U388" i="2" s="1"/>
  <c r="AC389" i="17"/>
  <c r="U389" i="2" s="1"/>
  <c r="AC390" i="17"/>
  <c r="U390" i="2" s="1"/>
  <c r="AC391" i="17"/>
  <c r="U391" i="2" s="1"/>
  <c r="AC392" i="17"/>
  <c r="U392" i="2" s="1"/>
  <c r="AC393" i="17"/>
  <c r="U393" i="2" s="1"/>
  <c r="AC394" i="17"/>
  <c r="U394" i="2" s="1"/>
  <c r="AC395" i="17"/>
  <c r="U395" i="2" s="1"/>
  <c r="AC396" i="17"/>
  <c r="U396" i="2" s="1"/>
  <c r="AC397" i="17"/>
  <c r="U397" i="2" s="1"/>
  <c r="AC398" i="17"/>
  <c r="U398" i="2" s="1"/>
  <c r="AC399" i="17"/>
  <c r="U399" i="2" s="1"/>
  <c r="AC400" i="17"/>
  <c r="U400" i="2" s="1"/>
  <c r="AC401" i="17"/>
  <c r="U401" i="2" s="1"/>
  <c r="AC402" i="17"/>
  <c r="U402" i="2" s="1"/>
  <c r="AC403" i="17"/>
  <c r="U403" i="2" s="1"/>
  <c r="AC404" i="17"/>
  <c r="U404" i="2" s="1"/>
  <c r="AC405" i="17"/>
  <c r="U405" i="2" s="1"/>
  <c r="AC406" i="17"/>
  <c r="U406" i="2" s="1"/>
  <c r="AC407" i="17"/>
  <c r="U407" i="2" s="1"/>
  <c r="AC408" i="17"/>
  <c r="U408" i="2" s="1"/>
  <c r="AC409" i="17"/>
  <c r="U409" i="2" s="1"/>
  <c r="AC410" i="17"/>
  <c r="U410" i="2" s="1"/>
  <c r="AC411" i="17"/>
  <c r="U411" i="2" s="1"/>
  <c r="AC412" i="17"/>
  <c r="U412" i="2" s="1"/>
  <c r="AC413" i="17"/>
  <c r="U413" i="2" s="1"/>
  <c r="AC414" i="17"/>
  <c r="U414" i="2" s="1"/>
  <c r="AC415" i="17"/>
  <c r="U415" i="2" s="1"/>
  <c r="AC416" i="17"/>
  <c r="U416" i="2" s="1"/>
  <c r="AC417" i="17"/>
  <c r="U417" i="2" s="1"/>
  <c r="AC418" i="17"/>
  <c r="U418" i="2" s="1"/>
  <c r="AC419" i="17"/>
  <c r="U419" i="2" s="1"/>
  <c r="AC420" i="17"/>
  <c r="U420" i="2" s="1"/>
  <c r="AC421" i="17"/>
  <c r="U421" i="2" s="1"/>
  <c r="AC422" i="17"/>
  <c r="U422" i="2" s="1"/>
  <c r="AC423" i="17"/>
  <c r="U423" i="2" s="1"/>
  <c r="AC424" i="17"/>
  <c r="U424" i="2" s="1"/>
  <c r="AC425" i="17"/>
  <c r="U425" i="2" s="1"/>
  <c r="AC426" i="17"/>
  <c r="U426" i="2" s="1"/>
  <c r="AC427" i="17"/>
  <c r="U427" i="2" s="1"/>
  <c r="AC428" i="17"/>
  <c r="U428" i="2" s="1"/>
  <c r="AC429" i="17"/>
  <c r="U429" i="2" s="1"/>
  <c r="AC430" i="17"/>
  <c r="U430" i="2" s="1"/>
  <c r="AC431" i="17"/>
  <c r="U431" i="2" s="1"/>
  <c r="AC432" i="17"/>
  <c r="U432" i="2" s="1"/>
  <c r="AC433" i="17"/>
  <c r="U433" i="2" s="1"/>
  <c r="AC434" i="17"/>
  <c r="U434" i="2" s="1"/>
  <c r="AC435" i="17"/>
  <c r="U435" i="2" s="1"/>
  <c r="AC436" i="17"/>
  <c r="U436" i="2" s="1"/>
  <c r="AC437" i="17"/>
  <c r="U437" i="2" s="1"/>
  <c r="AC438" i="17"/>
  <c r="U438" i="2" s="1"/>
  <c r="AC439" i="17"/>
  <c r="U439" i="2" s="1"/>
  <c r="AC440" i="17"/>
  <c r="U440" i="2" s="1"/>
  <c r="AC441" i="17"/>
  <c r="U441" i="2" s="1"/>
  <c r="AC442" i="17"/>
  <c r="U442" i="2" s="1"/>
  <c r="AC443" i="17"/>
  <c r="U443" i="2" s="1"/>
  <c r="AC444" i="17"/>
  <c r="U444" i="2" s="1"/>
  <c r="AC445" i="17"/>
  <c r="U445" i="2" s="1"/>
  <c r="AC446" i="17"/>
  <c r="U446" i="2" s="1"/>
  <c r="AC447" i="17"/>
  <c r="U447" i="2" s="1"/>
  <c r="AC448" i="17"/>
  <c r="U448" i="2" s="1"/>
  <c r="AC449" i="17"/>
  <c r="U449" i="2" s="1"/>
  <c r="AC450" i="17"/>
  <c r="U450" i="2" s="1"/>
  <c r="AC451" i="17"/>
  <c r="U451" i="2" s="1"/>
  <c r="AC452" i="17"/>
  <c r="U452" i="2" s="1"/>
  <c r="AC453" i="17"/>
  <c r="U453" i="2" s="1"/>
  <c r="AC454" i="17"/>
  <c r="U454" i="2" s="1"/>
  <c r="AC455" i="17"/>
  <c r="U455" i="2" s="1"/>
  <c r="AC456" i="17"/>
  <c r="U456" i="2" s="1"/>
  <c r="AC457" i="17"/>
  <c r="U457" i="2" s="1"/>
  <c r="AC458" i="17"/>
  <c r="U458" i="2" s="1"/>
  <c r="AC459" i="17"/>
  <c r="U459" i="2" s="1"/>
  <c r="AC460" i="17"/>
  <c r="U460" i="2" s="1"/>
  <c r="AC461" i="17"/>
  <c r="U461" i="2" s="1"/>
  <c r="AC462" i="17"/>
  <c r="U462" i="2" s="1"/>
  <c r="AC463" i="17"/>
  <c r="U463" i="2" s="1"/>
  <c r="AC464" i="17"/>
  <c r="U464" i="2" s="1"/>
  <c r="AC465" i="17"/>
  <c r="U465" i="2" s="1"/>
  <c r="AC466" i="17"/>
  <c r="U466" i="2" s="1"/>
  <c r="AC467" i="17"/>
  <c r="U467" i="2" s="1"/>
  <c r="AC468" i="17"/>
  <c r="U468" i="2" s="1"/>
  <c r="AC469" i="17"/>
  <c r="U469" i="2" s="1"/>
  <c r="AC470" i="17"/>
  <c r="U470" i="2" s="1"/>
  <c r="AC471" i="17"/>
  <c r="U471" i="2" s="1"/>
  <c r="AC472" i="17"/>
  <c r="U472" i="2" s="1"/>
  <c r="AC473" i="17"/>
  <c r="U473" i="2" s="1"/>
  <c r="AC474" i="17"/>
  <c r="U474" i="2" s="1"/>
  <c r="AC475" i="17"/>
  <c r="U475" i="2" s="1"/>
  <c r="AC476" i="17"/>
  <c r="U476" i="2" s="1"/>
  <c r="AC477" i="17"/>
  <c r="U477" i="2" s="1"/>
  <c r="AC478" i="17"/>
  <c r="U478" i="2" s="1"/>
  <c r="AC479" i="17"/>
  <c r="U479" i="2" s="1"/>
  <c r="AC480" i="17"/>
  <c r="U480" i="2" s="1"/>
  <c r="AC481" i="17"/>
  <c r="U481" i="2" s="1"/>
  <c r="AC482" i="17"/>
  <c r="U482" i="2" s="1"/>
  <c r="AC483" i="17"/>
  <c r="U483" i="2" s="1"/>
  <c r="AC484" i="17"/>
  <c r="U484" i="2" s="1"/>
  <c r="AC485" i="17"/>
  <c r="U485" i="2" s="1"/>
  <c r="AC486" i="17"/>
  <c r="U486" i="2" s="1"/>
  <c r="AC487" i="17"/>
  <c r="U487" i="2" s="1"/>
  <c r="AC488" i="17"/>
  <c r="U488" i="2" s="1"/>
  <c r="AC489" i="17"/>
  <c r="U489" i="2" s="1"/>
  <c r="AC490" i="17"/>
  <c r="U490" i="2" s="1"/>
  <c r="AC491" i="17"/>
  <c r="U491" i="2" s="1"/>
  <c r="AC492" i="17"/>
  <c r="U492" i="2" s="1"/>
  <c r="AC493" i="17"/>
  <c r="U493" i="2" s="1"/>
  <c r="AC494" i="17"/>
  <c r="U494" i="2" s="1"/>
  <c r="AC495" i="17"/>
  <c r="U495" i="2" s="1"/>
  <c r="AC496" i="17"/>
  <c r="U496" i="2" s="1"/>
  <c r="AC497" i="17"/>
  <c r="U497" i="2" s="1"/>
  <c r="AC498" i="17"/>
  <c r="U498" i="2" s="1"/>
  <c r="AC499" i="17"/>
  <c r="U499" i="2" s="1"/>
  <c r="AC500" i="17"/>
  <c r="U500" i="2" s="1"/>
  <c r="AC501" i="17"/>
  <c r="U501" i="2" s="1"/>
  <c r="AC502" i="17"/>
  <c r="U502" i="2" s="1"/>
  <c r="AC503" i="17"/>
  <c r="U503" i="2" s="1"/>
  <c r="AC504" i="17"/>
  <c r="U504" i="2" s="1"/>
  <c r="AC505" i="17"/>
  <c r="U505" i="2" s="1"/>
  <c r="AC506" i="17"/>
  <c r="U506" i="2" s="1"/>
  <c r="AC507" i="17"/>
  <c r="U507" i="2" s="1"/>
  <c r="AC508" i="17"/>
  <c r="U508" i="2" s="1"/>
  <c r="AC509" i="17"/>
  <c r="U509" i="2" s="1"/>
  <c r="AC510" i="17"/>
  <c r="U510" i="2" s="1"/>
  <c r="AC511" i="17"/>
  <c r="U511" i="2" s="1"/>
  <c r="AC512" i="17"/>
  <c r="U512" i="2" s="1"/>
  <c r="AC513" i="17"/>
  <c r="U513" i="2" s="1"/>
  <c r="AC514" i="17"/>
  <c r="U514" i="2" s="1"/>
  <c r="AC515" i="17"/>
  <c r="U515" i="2" s="1"/>
  <c r="AC516" i="17"/>
  <c r="U516" i="2" s="1"/>
  <c r="AC517" i="17"/>
  <c r="U517" i="2" s="1"/>
  <c r="AC518" i="17"/>
  <c r="U518" i="2" s="1"/>
  <c r="AC519" i="17"/>
  <c r="U519" i="2" s="1"/>
  <c r="AC520" i="17"/>
  <c r="U520" i="2" s="1"/>
  <c r="AC521" i="17"/>
  <c r="U521" i="2" s="1"/>
  <c r="AC522" i="17"/>
  <c r="U522" i="2" s="1"/>
  <c r="AC523" i="17"/>
  <c r="U523" i="2" s="1"/>
  <c r="AC524" i="17"/>
  <c r="U524" i="2" s="1"/>
  <c r="AC525" i="17"/>
  <c r="U525" i="2" s="1"/>
  <c r="AC526" i="17"/>
  <c r="U526" i="2" s="1"/>
  <c r="AC527" i="17"/>
  <c r="U527" i="2" s="1"/>
  <c r="AC528" i="17"/>
  <c r="U528" i="2" s="1"/>
  <c r="AC529" i="17"/>
  <c r="U529" i="2" s="1"/>
  <c r="AC530" i="17"/>
  <c r="U530" i="2" s="1"/>
  <c r="AC531" i="17"/>
  <c r="U531" i="2" s="1"/>
  <c r="AC532" i="17"/>
  <c r="U532" i="2" s="1"/>
  <c r="AC533" i="17"/>
  <c r="U533" i="2" s="1"/>
  <c r="AC534" i="17"/>
  <c r="U534" i="2" s="1"/>
  <c r="AC535" i="17"/>
  <c r="U535" i="2" s="1"/>
  <c r="AC536" i="17"/>
  <c r="U536" i="2" s="1"/>
  <c r="AC537" i="17"/>
  <c r="U537" i="2" s="1"/>
  <c r="AC538" i="17"/>
  <c r="U538" i="2" s="1"/>
  <c r="AC539" i="17"/>
  <c r="U539" i="2" s="1"/>
  <c r="AC540" i="17"/>
  <c r="U540" i="2" s="1"/>
  <c r="AC541" i="17"/>
  <c r="U541" i="2" s="1"/>
  <c r="AC542" i="17"/>
  <c r="U542" i="2" s="1"/>
  <c r="AC543" i="17"/>
  <c r="U543" i="2" s="1"/>
  <c r="AC544" i="17"/>
  <c r="U544" i="2" s="1"/>
  <c r="AC545" i="17"/>
  <c r="U545" i="2" s="1"/>
  <c r="AC546" i="17"/>
  <c r="U546" i="2" s="1"/>
  <c r="AC547" i="17"/>
  <c r="U547" i="2" s="1"/>
  <c r="AC548" i="17"/>
  <c r="U548" i="2" s="1"/>
  <c r="AC549" i="17"/>
  <c r="U549" i="2" s="1"/>
  <c r="AC550" i="17"/>
  <c r="U550" i="2" s="1"/>
  <c r="AC551" i="17"/>
  <c r="U551" i="2" s="1"/>
  <c r="AC552" i="17"/>
  <c r="U552" i="2" s="1"/>
  <c r="AC553" i="17"/>
  <c r="U553" i="2" s="1"/>
  <c r="AC554" i="17"/>
  <c r="U554" i="2" s="1"/>
  <c r="AC555" i="17"/>
  <c r="U555" i="2" s="1"/>
  <c r="AC556" i="17"/>
  <c r="U556" i="2" s="1"/>
  <c r="AC557" i="17"/>
  <c r="U557" i="2" s="1"/>
  <c r="AC558" i="17"/>
  <c r="U558" i="2" s="1"/>
  <c r="AC559" i="17"/>
  <c r="U559" i="2" s="1"/>
  <c r="AC560" i="17"/>
  <c r="U560" i="2" s="1"/>
  <c r="AC561" i="17"/>
  <c r="U561" i="2" s="1"/>
  <c r="AC562" i="17"/>
  <c r="U562" i="2" s="1"/>
  <c r="AC563" i="17"/>
  <c r="U563" i="2" s="1"/>
  <c r="AC564" i="17"/>
  <c r="U564" i="2" s="1"/>
  <c r="AC565" i="17"/>
  <c r="U565" i="2" s="1"/>
  <c r="AC566" i="17"/>
  <c r="U566" i="2" s="1"/>
  <c r="AC567" i="17"/>
  <c r="U567" i="2" s="1"/>
  <c r="AC568" i="17"/>
  <c r="U568" i="2" s="1"/>
  <c r="AC569" i="17"/>
  <c r="U569" i="2" s="1"/>
  <c r="AC570" i="17"/>
  <c r="U570" i="2" s="1"/>
  <c r="AC571" i="17"/>
  <c r="U571" i="2" s="1"/>
  <c r="AC572" i="17"/>
  <c r="U572" i="2" s="1"/>
  <c r="AC573" i="17"/>
  <c r="U573" i="2" s="1"/>
  <c r="AC574" i="17"/>
  <c r="U574" i="2" s="1"/>
  <c r="AC575" i="17"/>
  <c r="U575" i="2" s="1"/>
  <c r="AC576" i="17"/>
  <c r="U576" i="2" s="1"/>
  <c r="AC577" i="17"/>
  <c r="U577" i="2" s="1"/>
  <c r="AC578" i="17"/>
  <c r="U578" i="2" s="1"/>
  <c r="AC579" i="17"/>
  <c r="U579" i="2" s="1"/>
  <c r="AC580" i="17"/>
  <c r="U580" i="2" s="1"/>
  <c r="AC581" i="17"/>
  <c r="U581" i="2" s="1"/>
  <c r="AC582" i="17"/>
  <c r="U582" i="2" s="1"/>
  <c r="AC583" i="17"/>
  <c r="U583" i="2" s="1"/>
  <c r="AC584" i="17"/>
  <c r="U584" i="2" s="1"/>
  <c r="AC585" i="17"/>
  <c r="U585" i="2" s="1"/>
  <c r="AC586" i="17"/>
  <c r="U586" i="2" s="1"/>
  <c r="AC587" i="17"/>
  <c r="U587" i="2" s="1"/>
  <c r="AC588" i="17"/>
  <c r="U588" i="2" s="1"/>
  <c r="AC589" i="17"/>
  <c r="U589" i="2" s="1"/>
  <c r="AC590" i="17"/>
  <c r="U590" i="2" s="1"/>
  <c r="AC591" i="17"/>
  <c r="U591" i="2" s="1"/>
  <c r="AC592" i="17"/>
  <c r="U592" i="2" s="1"/>
  <c r="AC593" i="17"/>
  <c r="U593" i="2" s="1"/>
  <c r="AC594" i="17"/>
  <c r="U594" i="2" s="1"/>
  <c r="AC595" i="17"/>
  <c r="U595" i="2" s="1"/>
  <c r="AC596" i="17"/>
  <c r="U596" i="2" s="1"/>
  <c r="AC597" i="17"/>
  <c r="U597" i="2" s="1"/>
  <c r="AC598" i="17"/>
  <c r="U598" i="2" s="1"/>
  <c r="AC599" i="17"/>
  <c r="U599" i="2" s="1"/>
  <c r="AC600" i="17"/>
  <c r="U600" i="2" s="1"/>
  <c r="AC601" i="17"/>
  <c r="U601" i="2" s="1"/>
  <c r="AC602" i="17"/>
  <c r="U602" i="2" s="1"/>
  <c r="AC603" i="17"/>
  <c r="U603" i="2" s="1"/>
  <c r="AC604" i="17"/>
  <c r="U604" i="2" s="1"/>
  <c r="AC605" i="17"/>
  <c r="U605" i="2" s="1"/>
  <c r="AC606" i="17"/>
  <c r="U606" i="2" s="1"/>
  <c r="AC607" i="17"/>
  <c r="U607" i="2" s="1"/>
  <c r="AC608" i="17"/>
  <c r="U608" i="2" s="1"/>
  <c r="AC609" i="17"/>
  <c r="U609" i="2" s="1"/>
  <c r="AC610" i="17"/>
  <c r="U610" i="2" s="1"/>
  <c r="AC611" i="17"/>
  <c r="U611" i="2" s="1"/>
  <c r="AC612" i="17"/>
  <c r="U612" i="2" s="1"/>
  <c r="AC613" i="17"/>
  <c r="U613" i="2" s="1"/>
  <c r="AC614" i="17"/>
  <c r="U614" i="2" s="1"/>
  <c r="AC615" i="17"/>
  <c r="U615" i="2" s="1"/>
  <c r="AC616" i="17"/>
  <c r="U616" i="2" s="1"/>
  <c r="AC617" i="17"/>
  <c r="U617" i="2" s="1"/>
  <c r="AC618" i="17"/>
  <c r="U618" i="2" s="1"/>
  <c r="AC619" i="17"/>
  <c r="U619" i="2" s="1"/>
  <c r="AC620" i="17"/>
  <c r="U620" i="2" s="1"/>
  <c r="AC621" i="17"/>
  <c r="U621" i="2" s="1"/>
  <c r="AC622" i="17"/>
  <c r="U622" i="2" s="1"/>
  <c r="AC623" i="17"/>
  <c r="U623" i="2" s="1"/>
  <c r="AC624" i="17"/>
  <c r="U624" i="2" s="1"/>
  <c r="AC625" i="17"/>
  <c r="U625" i="2" s="1"/>
  <c r="AC626" i="17"/>
  <c r="U626" i="2" s="1"/>
  <c r="AC627" i="17"/>
  <c r="U627" i="2" s="1"/>
  <c r="AC628" i="17"/>
  <c r="U628" i="2" s="1"/>
  <c r="AC629" i="17"/>
  <c r="U629" i="2" s="1"/>
  <c r="AC630" i="17"/>
  <c r="U630" i="2" s="1"/>
  <c r="AC631" i="17"/>
  <c r="U631" i="2" s="1"/>
  <c r="AC632" i="17"/>
  <c r="U632" i="2" s="1"/>
  <c r="AC633" i="17"/>
  <c r="U633" i="2" s="1"/>
  <c r="AC634" i="17"/>
  <c r="U634" i="2" s="1"/>
  <c r="AC635" i="17"/>
  <c r="U635" i="2" s="1"/>
  <c r="AC636" i="17"/>
  <c r="U636" i="2" s="1"/>
  <c r="AC637" i="17"/>
  <c r="U637" i="2" s="1"/>
  <c r="AC638" i="17"/>
  <c r="U638" i="2" s="1"/>
  <c r="AC639" i="17"/>
  <c r="U639" i="2" s="1"/>
  <c r="AC640" i="17"/>
  <c r="U640" i="2" s="1"/>
  <c r="AC641" i="17"/>
  <c r="U641" i="2" s="1"/>
  <c r="AC642" i="17"/>
  <c r="U642" i="2" s="1"/>
  <c r="AC643" i="17"/>
  <c r="U643" i="2" s="1"/>
  <c r="AC644" i="17"/>
  <c r="U644" i="2" s="1"/>
  <c r="AC645" i="17"/>
  <c r="U645" i="2" s="1"/>
  <c r="AC646" i="17"/>
  <c r="U646" i="2" s="1"/>
  <c r="AC647" i="17"/>
  <c r="U647" i="2" s="1"/>
  <c r="AC648" i="17"/>
  <c r="U648" i="2" s="1"/>
  <c r="AC649" i="17"/>
  <c r="U649" i="2" s="1"/>
  <c r="AC650" i="17"/>
  <c r="U650" i="2" s="1"/>
  <c r="AC651" i="17"/>
  <c r="U651" i="2" s="1"/>
  <c r="AC652" i="17"/>
  <c r="U652" i="2" s="1"/>
  <c r="AC653" i="17"/>
  <c r="U653" i="2" s="1"/>
  <c r="AC654" i="17"/>
  <c r="U654" i="2" s="1"/>
  <c r="AC655" i="17"/>
  <c r="U655" i="2" s="1"/>
  <c r="AC656" i="17"/>
  <c r="U656" i="2" s="1"/>
  <c r="AC657" i="17"/>
  <c r="U657" i="2" s="1"/>
  <c r="AC658" i="17"/>
  <c r="U658" i="2" s="1"/>
  <c r="AC659" i="17"/>
  <c r="U659" i="2" s="1"/>
  <c r="AC660" i="17"/>
  <c r="U660" i="2" s="1"/>
  <c r="AC661" i="17"/>
  <c r="U661" i="2" s="1"/>
  <c r="AC662" i="17"/>
  <c r="U662" i="2" s="1"/>
  <c r="AC663" i="17"/>
  <c r="U663" i="2" s="1"/>
  <c r="AC664" i="17"/>
  <c r="U664" i="2" s="1"/>
  <c r="AC665" i="17"/>
  <c r="U665" i="2" s="1"/>
  <c r="AC666" i="17"/>
  <c r="U666" i="2" s="1"/>
  <c r="AC667" i="17"/>
  <c r="U667" i="2" s="1"/>
  <c r="AC668" i="17"/>
  <c r="U668" i="2" s="1"/>
  <c r="AC669" i="17"/>
  <c r="U669" i="2" s="1"/>
  <c r="AC670" i="17"/>
  <c r="U670" i="2" s="1"/>
  <c r="AC671" i="17"/>
  <c r="U671" i="2" s="1"/>
  <c r="AC672" i="17"/>
  <c r="U672" i="2" s="1"/>
  <c r="AC673" i="17"/>
  <c r="U673" i="2" s="1"/>
  <c r="AC674" i="17"/>
  <c r="U674" i="2" s="1"/>
  <c r="AC675" i="17"/>
  <c r="U675" i="2" s="1"/>
  <c r="AC676" i="17"/>
  <c r="U676" i="2" s="1"/>
  <c r="AC677" i="17"/>
  <c r="U677" i="2" s="1"/>
  <c r="AC678" i="17"/>
  <c r="U678" i="2" s="1"/>
  <c r="AC679" i="17"/>
  <c r="U679" i="2" s="1"/>
  <c r="AC680" i="17"/>
  <c r="U680" i="2" s="1"/>
  <c r="AC681" i="17"/>
  <c r="U681" i="2" s="1"/>
  <c r="AC682" i="17"/>
  <c r="U682" i="2" s="1"/>
  <c r="AC683" i="17"/>
  <c r="U683" i="2" s="1"/>
  <c r="AC684" i="17"/>
  <c r="U684" i="2" s="1"/>
  <c r="AC685" i="17"/>
  <c r="U685" i="2" s="1"/>
  <c r="AC686" i="17"/>
  <c r="U686" i="2" s="1"/>
  <c r="AC687" i="17"/>
  <c r="U687" i="2" s="1"/>
  <c r="AC688" i="17"/>
  <c r="U688" i="2" s="1"/>
  <c r="AC689" i="17"/>
  <c r="U689" i="2" s="1"/>
  <c r="AC690" i="17"/>
  <c r="U690" i="2" s="1"/>
  <c r="AC691" i="17"/>
  <c r="U691" i="2" s="1"/>
  <c r="AC692" i="17"/>
  <c r="U692" i="2" s="1"/>
  <c r="AC693" i="17"/>
  <c r="U693" i="2" s="1"/>
  <c r="AC694" i="17"/>
  <c r="U694" i="2" s="1"/>
  <c r="AC695" i="17"/>
  <c r="U695" i="2" s="1"/>
  <c r="AC696" i="17"/>
  <c r="U696" i="2" s="1"/>
  <c r="AC697" i="17"/>
  <c r="U697" i="2" s="1"/>
  <c r="AC698" i="17"/>
  <c r="U698" i="2" s="1"/>
  <c r="AC699" i="17"/>
  <c r="U699" i="2" s="1"/>
  <c r="AC700" i="17"/>
  <c r="U700" i="2" s="1"/>
  <c r="AC701" i="17"/>
  <c r="U701" i="2" s="1"/>
  <c r="AC702" i="17"/>
  <c r="U702" i="2" s="1"/>
  <c r="AC703" i="17"/>
  <c r="U703" i="2" s="1"/>
  <c r="AC704" i="17"/>
  <c r="U704" i="2" s="1"/>
  <c r="AC705" i="17"/>
  <c r="U705" i="2" s="1"/>
  <c r="AC706" i="17"/>
  <c r="U706" i="2" s="1"/>
  <c r="AC707" i="17"/>
  <c r="U707" i="2" s="1"/>
  <c r="AC708" i="17"/>
  <c r="U708" i="2" s="1"/>
  <c r="AC709" i="17"/>
  <c r="U709" i="2" s="1"/>
  <c r="AC710" i="17"/>
  <c r="U710" i="2" s="1"/>
  <c r="AC711" i="17"/>
  <c r="U711" i="2" s="1"/>
  <c r="AC712" i="17"/>
  <c r="U712" i="2" s="1"/>
  <c r="AC713" i="17"/>
  <c r="U713" i="2" s="1"/>
  <c r="AC714" i="17"/>
  <c r="U714" i="2" s="1"/>
  <c r="AC715" i="17"/>
  <c r="U715" i="2" s="1"/>
  <c r="AC716" i="17"/>
  <c r="U716" i="2" s="1"/>
  <c r="AC717" i="17"/>
  <c r="U717" i="2" s="1"/>
  <c r="AC718" i="17"/>
  <c r="U718" i="2" s="1"/>
  <c r="AC719" i="17"/>
  <c r="U719" i="2" s="1"/>
  <c r="AC720" i="17"/>
  <c r="U720" i="2" s="1"/>
  <c r="AC721" i="17"/>
  <c r="U721" i="2" s="1"/>
  <c r="AC722" i="17"/>
  <c r="U722" i="2" s="1"/>
  <c r="AC723" i="17"/>
  <c r="U723" i="2" s="1"/>
  <c r="AC724" i="17"/>
  <c r="U724" i="2" s="1"/>
  <c r="AC725" i="17"/>
  <c r="U725" i="2" s="1"/>
  <c r="AC726" i="17"/>
  <c r="U726" i="2" s="1"/>
  <c r="AC727" i="17"/>
  <c r="U727" i="2" s="1"/>
  <c r="AC728" i="17"/>
  <c r="U728" i="2" s="1"/>
  <c r="AC729" i="17"/>
  <c r="U729" i="2" s="1"/>
  <c r="AC730" i="17"/>
  <c r="U730" i="2" s="1"/>
  <c r="AC731" i="17"/>
  <c r="U731" i="2" s="1"/>
  <c r="AC732" i="17"/>
  <c r="U732" i="2" s="1"/>
  <c r="AC733" i="17"/>
  <c r="U733" i="2" s="1"/>
  <c r="AC734" i="17"/>
  <c r="U734" i="2" s="1"/>
  <c r="AC735" i="17"/>
  <c r="U735" i="2" s="1"/>
  <c r="AC736" i="17"/>
  <c r="U736" i="2" s="1"/>
  <c r="AC737" i="17"/>
  <c r="U737" i="2" s="1"/>
  <c r="AC738" i="17"/>
  <c r="U738" i="2" s="1"/>
  <c r="AC739" i="17"/>
  <c r="U739" i="2" s="1"/>
  <c r="AC740" i="17"/>
  <c r="U740" i="2" s="1"/>
  <c r="AC741" i="17"/>
  <c r="U741" i="2" s="1"/>
  <c r="AC742" i="17"/>
  <c r="U742" i="2" s="1"/>
  <c r="AC743" i="17"/>
  <c r="U743" i="2" s="1"/>
  <c r="AC744" i="17"/>
  <c r="U744" i="2" s="1"/>
  <c r="AC745" i="17"/>
  <c r="U745" i="2" s="1"/>
  <c r="AC746" i="17"/>
  <c r="U746" i="2" s="1"/>
  <c r="AC747" i="17"/>
  <c r="U747" i="2" s="1"/>
  <c r="AC748" i="17"/>
  <c r="U748" i="2" s="1"/>
  <c r="AC749" i="17"/>
  <c r="U749" i="2" s="1"/>
  <c r="AC750" i="17"/>
  <c r="U750" i="2" s="1"/>
  <c r="AC751" i="17"/>
  <c r="U751" i="2" s="1"/>
  <c r="AC752" i="17"/>
  <c r="U752" i="2" s="1"/>
  <c r="AC753" i="17"/>
  <c r="U753" i="2" s="1"/>
  <c r="AC754" i="17"/>
  <c r="U754" i="2" s="1"/>
  <c r="AC755" i="17"/>
  <c r="U755" i="2" s="1"/>
  <c r="AC756" i="17"/>
  <c r="U756" i="2" s="1"/>
  <c r="AC757" i="17"/>
  <c r="U757" i="2" s="1"/>
  <c r="AC758" i="17"/>
  <c r="U758" i="2" s="1"/>
  <c r="AC759" i="17"/>
  <c r="U759" i="2" s="1"/>
  <c r="AC760" i="17"/>
  <c r="U760" i="2" s="1"/>
  <c r="AC761" i="17"/>
  <c r="U761" i="2" s="1"/>
  <c r="AC762" i="17"/>
  <c r="U762" i="2" s="1"/>
  <c r="AC763" i="17"/>
  <c r="U763" i="2" s="1"/>
  <c r="AC765" i="17"/>
  <c r="U765" i="2" s="1"/>
  <c r="AC766" i="17"/>
  <c r="U766" i="2" s="1"/>
  <c r="AC767" i="17"/>
  <c r="U767" i="2" s="1"/>
  <c r="AC768" i="17"/>
  <c r="U768" i="2" s="1"/>
  <c r="AC769" i="17"/>
  <c r="U769" i="2" s="1"/>
  <c r="U770" i="2"/>
  <c r="AC771" i="17"/>
  <c r="U771" i="2" s="1"/>
  <c r="AC772" i="17"/>
  <c r="U772" i="2" s="1"/>
  <c r="AC773" i="17"/>
  <c r="U773" i="2" s="1"/>
  <c r="AC774" i="17"/>
  <c r="U774" i="2" s="1"/>
  <c r="AC775" i="17"/>
  <c r="U775" i="2" s="1"/>
  <c r="AC776" i="17"/>
  <c r="U776" i="2" s="1"/>
  <c r="AC777" i="17"/>
  <c r="U777" i="2" s="1"/>
  <c r="AC778" i="17"/>
  <c r="U778" i="2" s="1"/>
  <c r="AC779" i="17"/>
  <c r="U779" i="2" s="1"/>
  <c r="AC780" i="17"/>
  <c r="U780" i="2" s="1"/>
  <c r="AC781" i="17"/>
  <c r="U781" i="2" s="1"/>
  <c r="AC782" i="17"/>
  <c r="U782" i="2" s="1"/>
  <c r="AC783" i="17"/>
  <c r="U783" i="2" s="1"/>
  <c r="AC784" i="17"/>
  <c r="U784" i="2" s="1"/>
  <c r="AC785" i="17"/>
  <c r="U785" i="2" s="1"/>
  <c r="AC786" i="17"/>
  <c r="U786" i="2" s="1"/>
  <c r="AC787" i="17"/>
  <c r="U787" i="2" s="1"/>
  <c r="AC788" i="17"/>
  <c r="U788" i="2" s="1"/>
  <c r="AC789" i="17"/>
  <c r="U789" i="2" s="1"/>
  <c r="AC790" i="17"/>
  <c r="U790" i="2" s="1"/>
  <c r="AC791" i="17"/>
  <c r="U791" i="2" s="1"/>
  <c r="AC792" i="17"/>
  <c r="U792" i="2" s="1"/>
  <c r="AC793" i="17"/>
  <c r="U793" i="2" s="1"/>
  <c r="AC794" i="17"/>
  <c r="U794" i="2" s="1"/>
  <c r="AC795" i="17"/>
  <c r="U795" i="2" s="1"/>
  <c r="AC796" i="17"/>
  <c r="U796" i="2" s="1"/>
  <c r="AC797" i="17"/>
  <c r="U797" i="2" s="1"/>
  <c r="AC798" i="17"/>
  <c r="U798" i="2" s="1"/>
  <c r="AC799" i="17"/>
  <c r="U799" i="2" s="1"/>
  <c r="AC800" i="17"/>
  <c r="U800" i="2" s="1"/>
  <c r="AC801" i="17"/>
  <c r="U801" i="2" s="1"/>
  <c r="AC802" i="17"/>
  <c r="U802" i="2" s="1"/>
  <c r="AC803" i="17"/>
  <c r="U803" i="2" s="1"/>
  <c r="AC804" i="17"/>
  <c r="U804" i="2" s="1"/>
  <c r="AC805" i="17"/>
  <c r="U805" i="2" s="1"/>
  <c r="AC806" i="17"/>
  <c r="U806" i="2" s="1"/>
  <c r="AC807" i="17"/>
  <c r="U807" i="2" s="1"/>
  <c r="AC808" i="17"/>
  <c r="U808" i="2" s="1"/>
  <c r="AC809" i="17"/>
  <c r="U809" i="2" s="1"/>
  <c r="AC810" i="17"/>
  <c r="U810" i="2" s="1"/>
  <c r="AC811" i="17"/>
  <c r="U811" i="2" s="1"/>
  <c r="AC812" i="17"/>
  <c r="U812" i="2" s="1"/>
  <c r="AC813" i="17"/>
  <c r="U813" i="2" s="1"/>
  <c r="AC814" i="17"/>
  <c r="U814" i="2" s="1"/>
  <c r="AC815" i="17"/>
  <c r="U815" i="2" s="1"/>
  <c r="AC816" i="17"/>
  <c r="U816" i="2" s="1"/>
  <c r="AC817" i="17"/>
  <c r="U817" i="2" s="1"/>
  <c r="AC818" i="17"/>
  <c r="U818" i="2" s="1"/>
  <c r="AC819" i="17"/>
  <c r="U819" i="2" s="1"/>
  <c r="AC820" i="17"/>
  <c r="U820" i="2" s="1"/>
  <c r="AC821" i="17"/>
  <c r="U821" i="2" s="1"/>
  <c r="AC822" i="17"/>
  <c r="U822" i="2" s="1"/>
  <c r="AC823" i="17"/>
  <c r="U823" i="2" s="1"/>
  <c r="AC824" i="17"/>
  <c r="U824" i="2" s="1"/>
  <c r="AC825" i="17"/>
  <c r="U825" i="2" s="1"/>
  <c r="AC826" i="17"/>
  <c r="U826" i="2" s="1"/>
  <c r="AC827" i="17"/>
  <c r="U827" i="2" s="1"/>
  <c r="AC828" i="17"/>
  <c r="U828" i="2" s="1"/>
  <c r="AC829" i="17"/>
  <c r="U829" i="2" s="1"/>
  <c r="AC830" i="17"/>
  <c r="U830" i="2" s="1"/>
  <c r="AC831" i="17"/>
  <c r="U831" i="2" s="1"/>
  <c r="AC832" i="17"/>
  <c r="U832" i="2" s="1"/>
  <c r="AC833" i="17"/>
  <c r="U833" i="2" s="1"/>
  <c r="AC834" i="17"/>
  <c r="U834" i="2" s="1"/>
  <c r="AC835" i="17"/>
  <c r="U835" i="2" s="1"/>
  <c r="AC836" i="17"/>
  <c r="U836" i="2" s="1"/>
  <c r="AC837" i="17"/>
  <c r="U837" i="2" s="1"/>
  <c r="AC838" i="17"/>
  <c r="U838" i="2" s="1"/>
  <c r="AC839" i="17"/>
  <c r="U839" i="2" s="1"/>
  <c r="AC840" i="17"/>
  <c r="U840" i="2" s="1"/>
  <c r="AC841" i="17"/>
  <c r="U841" i="2" s="1"/>
  <c r="AC842" i="17"/>
  <c r="U842" i="2" s="1"/>
  <c r="AC843" i="17"/>
  <c r="U843" i="2" s="1"/>
  <c r="AC844" i="17"/>
  <c r="U844" i="2" s="1"/>
  <c r="AC845" i="17"/>
  <c r="U845" i="2" s="1"/>
  <c r="AC846" i="17"/>
  <c r="U846" i="2" s="1"/>
  <c r="AC847" i="17"/>
  <c r="U847" i="2" s="1"/>
  <c r="AC848" i="17"/>
  <c r="U848" i="2" s="1"/>
  <c r="AC849" i="17"/>
  <c r="U849" i="2" s="1"/>
  <c r="AC850" i="17"/>
  <c r="U850" i="2" s="1"/>
  <c r="AC851" i="17"/>
  <c r="U851" i="2" s="1"/>
  <c r="AC852" i="17"/>
  <c r="U852" i="2" s="1"/>
  <c r="AC853" i="17"/>
  <c r="U853" i="2" s="1"/>
  <c r="AC854" i="17"/>
  <c r="U854" i="2" s="1"/>
  <c r="AC855" i="17"/>
  <c r="U855" i="2" s="1"/>
  <c r="AC856" i="17"/>
  <c r="U856" i="2" s="1"/>
  <c r="AC857" i="17"/>
  <c r="U857" i="2" s="1"/>
  <c r="AC858" i="17"/>
  <c r="U858" i="2" s="1"/>
  <c r="AC859" i="17"/>
  <c r="U859" i="2" s="1"/>
  <c r="AC860" i="17"/>
  <c r="U860" i="2" s="1"/>
  <c r="AC861" i="17"/>
  <c r="U861" i="2" s="1"/>
  <c r="AC862" i="17"/>
  <c r="U862" i="2" s="1"/>
  <c r="AC863" i="17"/>
  <c r="U863" i="2" s="1"/>
  <c r="AC864" i="17"/>
  <c r="U864" i="2" s="1"/>
  <c r="AC865" i="17"/>
  <c r="U865" i="2" s="1"/>
  <c r="AC866" i="17"/>
  <c r="U866" i="2" s="1"/>
  <c r="AC867" i="17"/>
  <c r="U867" i="2" s="1"/>
  <c r="AC868" i="17"/>
  <c r="U868" i="2" s="1"/>
  <c r="AC869" i="17"/>
  <c r="U869" i="2" s="1"/>
  <c r="AC870" i="17"/>
  <c r="U870" i="2" s="1"/>
  <c r="AC871" i="17"/>
  <c r="U871" i="2" s="1"/>
  <c r="AC872" i="17"/>
  <c r="U872" i="2" s="1"/>
  <c r="AC873" i="17"/>
  <c r="U873" i="2" s="1"/>
  <c r="AC874" i="17"/>
  <c r="U874" i="2" s="1"/>
  <c r="AC875" i="17"/>
  <c r="U875" i="2" s="1"/>
  <c r="AC876" i="17"/>
  <c r="U876" i="2" s="1"/>
  <c r="AC877" i="17"/>
  <c r="U877" i="2" s="1"/>
  <c r="AC878" i="17"/>
  <c r="U878" i="2" s="1"/>
  <c r="AC879" i="17"/>
  <c r="U879" i="2" s="1"/>
  <c r="AC880" i="17"/>
  <c r="U880" i="2" s="1"/>
  <c r="AC881" i="17"/>
  <c r="U881" i="2" s="1"/>
  <c r="AC882" i="17"/>
  <c r="U882" i="2" s="1"/>
  <c r="AC883" i="17"/>
  <c r="U883" i="2" s="1"/>
  <c r="AC884" i="17"/>
  <c r="U884" i="2" s="1"/>
  <c r="AC885" i="17"/>
  <c r="U885" i="2" s="1"/>
  <c r="AC886" i="17"/>
  <c r="U886" i="2" s="1"/>
  <c r="AC887" i="17"/>
  <c r="U887" i="2" s="1"/>
  <c r="AC888" i="17"/>
  <c r="U888" i="2" s="1"/>
  <c r="AC889" i="17"/>
  <c r="U889" i="2" s="1"/>
  <c r="AC890" i="17"/>
  <c r="U890" i="2" s="1"/>
  <c r="AC891" i="17"/>
  <c r="U891" i="2" s="1"/>
  <c r="AC892" i="17"/>
  <c r="U892" i="2" s="1"/>
  <c r="AC893" i="17"/>
  <c r="U893" i="2" s="1"/>
  <c r="AC894" i="17"/>
  <c r="U894" i="2" s="1"/>
  <c r="AC895" i="17"/>
  <c r="U895" i="2" s="1"/>
  <c r="AC896" i="17"/>
  <c r="U896" i="2" s="1"/>
  <c r="AC897" i="17"/>
  <c r="U897" i="2" s="1"/>
  <c r="AC898" i="17"/>
  <c r="U898" i="2" s="1"/>
  <c r="AC899" i="17"/>
  <c r="U899" i="2" s="1"/>
  <c r="AC900" i="17"/>
  <c r="U900" i="2" s="1"/>
  <c r="AC901" i="17"/>
  <c r="U901" i="2" s="1"/>
  <c r="AC902" i="17"/>
  <c r="U902" i="2" s="1"/>
  <c r="AC903" i="17"/>
  <c r="U903" i="2" s="1"/>
  <c r="AC904" i="17"/>
  <c r="U904" i="2" s="1"/>
  <c r="AC905" i="17"/>
  <c r="U905" i="2" s="1"/>
  <c r="AC906" i="17"/>
  <c r="U906" i="2" s="1"/>
  <c r="AC907" i="17"/>
  <c r="U907" i="2" s="1"/>
  <c r="AC908" i="17"/>
  <c r="U908" i="2" s="1"/>
  <c r="AC909" i="17"/>
  <c r="U909" i="2" s="1"/>
  <c r="AC910" i="17"/>
  <c r="U910" i="2" s="1"/>
  <c r="AC911" i="17"/>
  <c r="U911" i="2" s="1"/>
  <c r="AC912" i="17"/>
  <c r="U912" i="2" s="1"/>
  <c r="AC913" i="17"/>
  <c r="U913" i="2" s="1"/>
  <c r="AC914" i="17"/>
  <c r="U914" i="2" s="1"/>
  <c r="AC915" i="17"/>
  <c r="U915" i="2" s="1"/>
  <c r="AC916" i="17"/>
  <c r="U916" i="2" s="1"/>
  <c r="AC917" i="17"/>
  <c r="U917" i="2" s="1"/>
  <c r="AC918" i="17"/>
  <c r="U918" i="2" s="1"/>
  <c r="AC919" i="17"/>
  <c r="U919" i="2" s="1"/>
  <c r="AC920" i="17"/>
  <c r="U920" i="2" s="1"/>
  <c r="AB765" i="17"/>
  <c r="AB766" i="17"/>
  <c r="AB767" i="17"/>
  <c r="AB768" i="17"/>
  <c r="AB769" i="17"/>
  <c r="AB770" i="17"/>
  <c r="AB771" i="17"/>
  <c r="AB772" i="17"/>
  <c r="AB773" i="17"/>
  <c r="AB774" i="17"/>
  <c r="AB775" i="17"/>
  <c r="AB776" i="17"/>
  <c r="AB777" i="17"/>
  <c r="AB778" i="17"/>
  <c r="AB779" i="17"/>
  <c r="AB780" i="17"/>
  <c r="AB781" i="17"/>
  <c r="AB782" i="17"/>
  <c r="AB783" i="17"/>
  <c r="AB784" i="17"/>
  <c r="AB785" i="17"/>
  <c r="AB786" i="17"/>
  <c r="AB787" i="17"/>
  <c r="AB788" i="17"/>
  <c r="AB789" i="17"/>
  <c r="AB790" i="17"/>
  <c r="AB791" i="17"/>
  <c r="AB792" i="17"/>
  <c r="AB793" i="17"/>
  <c r="AB794" i="17"/>
  <c r="AB795" i="17"/>
  <c r="AB796" i="17"/>
  <c r="AB797" i="17"/>
  <c r="AB798" i="17"/>
  <c r="AB799" i="17"/>
  <c r="AB800" i="17"/>
  <c r="AB801" i="17"/>
  <c r="AB802" i="17"/>
  <c r="AB803" i="17"/>
  <c r="AB804" i="17"/>
  <c r="AB805" i="17"/>
  <c r="AB806" i="17"/>
  <c r="AB807" i="17"/>
  <c r="AB808" i="17"/>
  <c r="AB809" i="17"/>
  <c r="AB810" i="17"/>
  <c r="AB811" i="17"/>
  <c r="AB812" i="17"/>
  <c r="AB813" i="17"/>
  <c r="AB814" i="17"/>
  <c r="AB815" i="17"/>
  <c r="AB816" i="17"/>
  <c r="AB817" i="17"/>
  <c r="AB818" i="17"/>
  <c r="AB819" i="17"/>
  <c r="AB820" i="17"/>
  <c r="AB821" i="17"/>
  <c r="AB822" i="17"/>
  <c r="AB823" i="17"/>
  <c r="AB824" i="17"/>
  <c r="AB825" i="17"/>
  <c r="AB826" i="17"/>
  <c r="AB827" i="17"/>
  <c r="AB828" i="17"/>
  <c r="AB829" i="17"/>
  <c r="AB830" i="17"/>
  <c r="AB831" i="17"/>
  <c r="AB832" i="17"/>
  <c r="AB833" i="17"/>
  <c r="AB834" i="17"/>
  <c r="AB835" i="17"/>
  <c r="AB836" i="17"/>
  <c r="AB837" i="17"/>
  <c r="AB838" i="17"/>
  <c r="AB839" i="17"/>
  <c r="AB840" i="17"/>
  <c r="AB841" i="17"/>
  <c r="AB842" i="17"/>
  <c r="AB843" i="17"/>
  <c r="AB844" i="17"/>
  <c r="AB845" i="17"/>
  <c r="AB846" i="17"/>
  <c r="AB847" i="17"/>
  <c r="AB848" i="17"/>
  <c r="AB849" i="17"/>
  <c r="AB850" i="17"/>
  <c r="AB851" i="17"/>
  <c r="AB852" i="17"/>
  <c r="AB853" i="17"/>
  <c r="AB854" i="17"/>
  <c r="AB855" i="17"/>
  <c r="AB856" i="17"/>
  <c r="AB857" i="17"/>
  <c r="AB858" i="17"/>
  <c r="AB859" i="17"/>
  <c r="AB860" i="17"/>
  <c r="AB861" i="17"/>
  <c r="AB862" i="17"/>
  <c r="AB863" i="17"/>
  <c r="AB864" i="17"/>
  <c r="AB865" i="17"/>
  <c r="AB866" i="17"/>
  <c r="AB867" i="17"/>
  <c r="AB868" i="17"/>
  <c r="AB869" i="17"/>
  <c r="AB870" i="17"/>
  <c r="AB871" i="17"/>
  <c r="AB872" i="17"/>
  <c r="AB873" i="17"/>
  <c r="AB875" i="17"/>
  <c r="AB876" i="17"/>
  <c r="AB877" i="17"/>
  <c r="AB878" i="17"/>
  <c r="AB879" i="17"/>
  <c r="AB880" i="17"/>
  <c r="AB881" i="17"/>
  <c r="AB882" i="17"/>
  <c r="AB883" i="17"/>
  <c r="AB884" i="17"/>
  <c r="AB885" i="17"/>
  <c r="AB886" i="17"/>
  <c r="AB887" i="17"/>
  <c r="AB888" i="17"/>
  <c r="AB889" i="17"/>
  <c r="AB890" i="17"/>
  <c r="AB891" i="17"/>
  <c r="AB892" i="17"/>
  <c r="AB893" i="17"/>
  <c r="AB894" i="17"/>
  <c r="AB895" i="17"/>
  <c r="AB896" i="17"/>
  <c r="AB897" i="17"/>
  <c r="AB898" i="17"/>
  <c r="AB899" i="17"/>
  <c r="AB900" i="17"/>
  <c r="AB901" i="17"/>
  <c r="AB902" i="17"/>
  <c r="AB903" i="17"/>
  <c r="AB904" i="17"/>
  <c r="AB905" i="17"/>
  <c r="AB906" i="17"/>
  <c r="AB907" i="17"/>
  <c r="AB908" i="17"/>
  <c r="AB909" i="17"/>
  <c r="AB910" i="17"/>
  <c r="AB911" i="17"/>
  <c r="AB912" i="17"/>
  <c r="AB913" i="17"/>
  <c r="AB914" i="17"/>
  <c r="AB915" i="17"/>
  <c r="AB916" i="17"/>
  <c r="AB917" i="17"/>
  <c r="AB918" i="17"/>
  <c r="AB919" i="17"/>
  <c r="AB920" i="17"/>
  <c r="AB7" i="17"/>
  <c r="AB8" i="17"/>
  <c r="AB9" i="17"/>
  <c r="AB10" i="17"/>
  <c r="AB11" i="17"/>
  <c r="AB12" i="17"/>
  <c r="AB13" i="17"/>
  <c r="AB14" i="17"/>
  <c r="AB15" i="17"/>
  <c r="AB16" i="17"/>
  <c r="AB17" i="17"/>
  <c r="AB18" i="17"/>
  <c r="AB19" i="17"/>
  <c r="AB20" i="17"/>
  <c r="AB21"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47" i="17"/>
  <c r="AB48" i="17"/>
  <c r="AB49" i="17"/>
  <c r="AB50" i="17"/>
  <c r="AB51" i="17"/>
  <c r="AB52" i="17"/>
  <c r="AB53" i="17"/>
  <c r="AB54" i="17"/>
  <c r="AB55" i="17"/>
  <c r="AB56" i="17"/>
  <c r="AB57" i="17"/>
  <c r="AB58" i="17"/>
  <c r="AB59" i="17"/>
  <c r="AB60" i="17"/>
  <c r="AB61" i="17"/>
  <c r="AB62" i="17"/>
  <c r="AB63" i="17"/>
  <c r="AB64" i="17"/>
  <c r="AB65" i="17"/>
  <c r="AB66" i="17"/>
  <c r="AB67" i="17"/>
  <c r="AB68" i="17"/>
  <c r="AB69" i="17"/>
  <c r="AB70" i="17"/>
  <c r="AB71" i="17"/>
  <c r="AB72" i="17"/>
  <c r="AB73" i="17"/>
  <c r="AB74" i="17"/>
  <c r="AB75" i="17"/>
  <c r="AB76" i="17"/>
  <c r="AB77" i="17"/>
  <c r="AB78" i="17"/>
  <c r="AB79" i="17"/>
  <c r="AB80" i="17"/>
  <c r="AB81" i="17"/>
  <c r="AB82" i="17"/>
  <c r="AB83" i="17"/>
  <c r="AB84" i="17"/>
  <c r="AB85" i="17"/>
  <c r="AB86" i="17"/>
  <c r="AB87" i="17"/>
  <c r="AB88" i="17"/>
  <c r="AB89" i="17"/>
  <c r="AB90" i="17"/>
  <c r="AB91" i="17"/>
  <c r="AB92" i="17"/>
  <c r="AB93" i="17"/>
  <c r="AB94" i="17"/>
  <c r="AB95" i="17"/>
  <c r="AB96" i="17"/>
  <c r="AB97" i="17"/>
  <c r="AB98" i="17"/>
  <c r="AB99" i="17"/>
  <c r="AB100" i="17"/>
  <c r="AB101" i="17"/>
  <c r="AB102" i="17"/>
  <c r="AB103" i="17"/>
  <c r="AB104" i="17"/>
  <c r="AB105" i="17"/>
  <c r="AB106" i="17"/>
  <c r="AB107" i="17"/>
  <c r="AB108" i="17"/>
  <c r="AB109" i="17"/>
  <c r="AB110" i="17"/>
  <c r="AB111" i="17"/>
  <c r="AB112" i="17"/>
  <c r="AB113" i="17"/>
  <c r="AB114" i="17"/>
  <c r="AB115" i="17"/>
  <c r="AB116" i="17"/>
  <c r="AB117" i="17"/>
  <c r="AB118" i="17"/>
  <c r="AB119" i="17"/>
  <c r="AB120" i="17"/>
  <c r="AB121" i="17"/>
  <c r="AB122" i="17"/>
  <c r="AB123" i="17"/>
  <c r="AB124" i="17"/>
  <c r="AB125" i="17"/>
  <c r="AB126" i="17"/>
  <c r="AB127" i="17"/>
  <c r="AB128" i="17"/>
  <c r="AB129" i="17"/>
  <c r="AB130" i="17"/>
  <c r="AB131" i="17"/>
  <c r="AB132" i="17"/>
  <c r="AB133" i="17"/>
  <c r="AB134" i="17"/>
  <c r="AB135" i="17"/>
  <c r="AB136" i="17"/>
  <c r="AB137" i="17"/>
  <c r="AB138" i="17"/>
  <c r="AB139" i="17"/>
  <c r="AB140" i="17"/>
  <c r="AB141" i="17"/>
  <c r="AB142" i="17"/>
  <c r="AB143" i="17"/>
  <c r="AB144" i="17"/>
  <c r="AB145" i="17"/>
  <c r="AB146" i="17"/>
  <c r="AB147" i="17"/>
  <c r="AB148" i="17"/>
  <c r="AB149" i="17"/>
  <c r="AB150" i="17"/>
  <c r="AB151" i="17"/>
  <c r="AB152" i="17"/>
  <c r="AB153" i="17"/>
  <c r="AB154" i="17"/>
  <c r="AB155" i="17"/>
  <c r="AB156" i="17"/>
  <c r="AB157" i="17"/>
  <c r="AB158" i="17"/>
  <c r="AB159" i="17"/>
  <c r="AB160" i="17"/>
  <c r="AB161" i="17"/>
  <c r="AB162" i="17"/>
  <c r="AB163" i="17"/>
  <c r="AB164" i="17"/>
  <c r="AB165" i="17"/>
  <c r="AB166" i="17"/>
  <c r="AB167" i="17"/>
  <c r="AB168" i="17"/>
  <c r="AB169" i="17"/>
  <c r="AB170" i="17"/>
  <c r="AB171" i="17"/>
  <c r="AB172" i="17"/>
  <c r="AB173" i="17"/>
  <c r="AB174" i="17"/>
  <c r="AB175" i="17"/>
  <c r="AB176" i="17"/>
  <c r="AB177" i="17"/>
  <c r="AB178" i="17"/>
  <c r="AB179" i="17"/>
  <c r="AB180" i="17"/>
  <c r="AB181" i="17"/>
  <c r="AB182" i="17"/>
  <c r="AB183" i="17"/>
  <c r="AB184" i="17"/>
  <c r="AB185" i="17"/>
  <c r="AB186" i="17"/>
  <c r="AB187" i="17"/>
  <c r="AB188" i="17"/>
  <c r="AB189" i="17"/>
  <c r="AB190" i="17"/>
  <c r="AB191" i="17"/>
  <c r="AB192" i="17"/>
  <c r="AB193" i="17"/>
  <c r="AB194" i="17"/>
  <c r="AB195" i="17"/>
  <c r="AB196" i="17"/>
  <c r="AB197" i="17"/>
  <c r="AB198" i="17"/>
  <c r="AB199" i="17"/>
  <c r="AB200" i="17"/>
  <c r="AB201" i="17"/>
  <c r="AB202" i="17"/>
  <c r="AB203" i="17"/>
  <c r="AB204" i="17"/>
  <c r="AB205" i="17"/>
  <c r="AB206" i="17"/>
  <c r="AB207" i="17"/>
  <c r="AB208" i="17"/>
  <c r="AB209" i="17"/>
  <c r="AB210" i="17"/>
  <c r="AB211" i="17"/>
  <c r="AB212" i="17"/>
  <c r="AB213" i="17"/>
  <c r="AB214" i="17"/>
  <c r="AB215" i="17"/>
  <c r="AB216" i="17"/>
  <c r="AB217" i="17"/>
  <c r="AB218" i="17"/>
  <c r="AB219" i="17"/>
  <c r="AB220" i="17"/>
  <c r="AB221" i="17"/>
  <c r="AB222" i="17"/>
  <c r="AB223" i="17"/>
  <c r="AB224" i="17"/>
  <c r="AB225" i="17"/>
  <c r="AB226" i="17"/>
  <c r="AB227" i="17"/>
  <c r="AB228" i="17"/>
  <c r="AB229" i="17"/>
  <c r="AB230" i="17"/>
  <c r="AB231" i="17"/>
  <c r="AB232" i="17"/>
  <c r="AB233" i="17"/>
  <c r="AB234" i="17"/>
  <c r="AB235" i="17"/>
  <c r="AB236" i="17"/>
  <c r="AB237" i="17"/>
  <c r="AB238" i="17"/>
  <c r="AB239" i="17"/>
  <c r="AB240" i="17"/>
  <c r="AB241" i="17"/>
  <c r="AB242" i="17"/>
  <c r="AB243" i="17"/>
  <c r="AB244" i="17"/>
  <c r="AB245" i="17"/>
  <c r="AB246" i="17"/>
  <c r="AB247" i="17"/>
  <c r="AB248" i="17"/>
  <c r="AB249" i="17"/>
  <c r="AB250" i="17"/>
  <c r="AB251" i="17"/>
  <c r="AB252" i="17"/>
  <c r="AB253" i="17"/>
  <c r="AB254" i="17"/>
  <c r="AB255" i="17"/>
  <c r="AB256" i="17"/>
  <c r="AB257" i="17"/>
  <c r="AB258" i="17"/>
  <c r="AB259" i="17"/>
  <c r="AB260" i="17"/>
  <c r="AB261" i="17"/>
  <c r="AB262" i="17"/>
  <c r="AB263" i="17"/>
  <c r="AB264" i="17"/>
  <c r="AB265" i="17"/>
  <c r="AB266" i="17"/>
  <c r="AB267" i="17"/>
  <c r="AB268" i="17"/>
  <c r="AB269" i="17"/>
  <c r="AB270" i="17"/>
  <c r="AB271" i="17"/>
  <c r="AB272" i="17"/>
  <c r="AB273" i="17"/>
  <c r="AB274" i="17"/>
  <c r="AB275" i="17"/>
  <c r="AB276" i="17"/>
  <c r="AB277" i="17"/>
  <c r="AB278" i="17"/>
  <c r="AB279" i="17"/>
  <c r="AB280" i="17"/>
  <c r="AB281" i="17"/>
  <c r="AB282" i="17"/>
  <c r="AB283" i="17"/>
  <c r="AB284" i="17"/>
  <c r="AB285" i="17"/>
  <c r="AB286" i="17"/>
  <c r="AB287" i="17"/>
  <c r="AB288" i="17"/>
  <c r="AB289" i="17"/>
  <c r="AB290" i="17"/>
  <c r="AB291" i="17"/>
  <c r="AB292" i="17"/>
  <c r="AB293" i="17"/>
  <c r="AB294" i="17"/>
  <c r="AB295" i="17"/>
  <c r="AB296" i="17"/>
  <c r="AB297" i="17"/>
  <c r="AB298" i="17"/>
  <c r="AB299" i="17"/>
  <c r="AB300" i="17"/>
  <c r="AB301" i="17"/>
  <c r="AB302" i="17"/>
  <c r="AB303" i="17"/>
  <c r="AB304" i="17"/>
  <c r="AB305" i="17"/>
  <c r="AB306" i="17"/>
  <c r="AB307" i="17"/>
  <c r="AB308" i="17"/>
  <c r="AB309" i="17"/>
  <c r="AB310" i="17"/>
  <c r="AB311" i="17"/>
  <c r="AB312" i="17"/>
  <c r="AB313" i="17"/>
  <c r="AB314" i="17"/>
  <c r="AB315" i="17"/>
  <c r="AB316" i="17"/>
  <c r="AB317" i="17"/>
  <c r="AB318" i="17"/>
  <c r="AB319" i="17"/>
  <c r="AB320" i="17"/>
  <c r="AB321" i="17"/>
  <c r="AB322" i="17"/>
  <c r="AB323" i="17"/>
  <c r="AB324" i="17"/>
  <c r="AB325" i="17"/>
  <c r="AB326" i="17"/>
  <c r="AB327" i="17"/>
  <c r="AB328" i="17"/>
  <c r="AB329" i="17"/>
  <c r="AB330" i="17"/>
  <c r="AB331" i="17"/>
  <c r="AB332" i="17"/>
  <c r="AB333" i="17"/>
  <c r="AB334" i="17"/>
  <c r="AB335" i="17"/>
  <c r="AB336" i="17"/>
  <c r="AB337" i="17"/>
  <c r="AB338" i="17"/>
  <c r="AB339" i="17"/>
  <c r="AB340" i="17"/>
  <c r="AB341" i="17"/>
  <c r="AB342" i="17"/>
  <c r="AB343" i="17"/>
  <c r="AB344" i="17"/>
  <c r="AB345" i="17"/>
  <c r="AB346" i="17"/>
  <c r="AB347" i="17"/>
  <c r="AB348" i="17"/>
  <c r="AB349" i="17"/>
  <c r="AB350" i="17"/>
  <c r="AB351" i="17"/>
  <c r="AB352" i="17"/>
  <c r="AB353" i="17"/>
  <c r="AB354" i="17"/>
  <c r="AB355" i="17"/>
  <c r="AB356" i="17"/>
  <c r="AB357" i="17"/>
  <c r="AB358" i="17"/>
  <c r="AB359" i="17"/>
  <c r="AB360" i="17"/>
  <c r="AB361" i="17"/>
  <c r="AB362" i="17"/>
  <c r="AB363" i="17"/>
  <c r="AB364" i="17"/>
  <c r="AB365" i="17"/>
  <c r="AB366" i="17"/>
  <c r="AB367" i="17"/>
  <c r="AB368" i="17"/>
  <c r="AB369" i="17"/>
  <c r="AB370" i="17"/>
  <c r="AB371" i="17"/>
  <c r="AB372" i="17"/>
  <c r="AB373" i="17"/>
  <c r="AB374" i="17"/>
  <c r="AB375" i="17"/>
  <c r="AB376" i="17"/>
  <c r="AB377" i="17"/>
  <c r="AB378" i="17"/>
  <c r="AB379" i="17"/>
  <c r="AB380" i="17"/>
  <c r="AB381" i="17"/>
  <c r="AB382" i="17"/>
  <c r="AB383" i="17"/>
  <c r="AB384" i="17"/>
  <c r="AB385" i="17"/>
  <c r="AB386" i="17"/>
  <c r="AB387" i="17"/>
  <c r="AB388" i="17"/>
  <c r="AB389" i="17"/>
  <c r="AB390" i="17"/>
  <c r="AB391" i="17"/>
  <c r="AB392" i="17"/>
  <c r="AB393" i="17"/>
  <c r="AB394" i="17"/>
  <c r="AB395" i="17"/>
  <c r="AB396" i="17"/>
  <c r="AB397" i="17"/>
  <c r="AB398" i="17"/>
  <c r="AB399" i="17"/>
  <c r="AB400" i="17"/>
  <c r="AB401" i="17"/>
  <c r="AB402" i="17"/>
  <c r="AB403" i="17"/>
  <c r="AB404" i="17"/>
  <c r="AB405" i="17"/>
  <c r="AB406" i="17"/>
  <c r="AB407" i="17"/>
  <c r="AB408" i="17"/>
  <c r="AB409" i="17"/>
  <c r="AB410" i="17"/>
  <c r="AB411" i="17"/>
  <c r="AB412" i="17"/>
  <c r="AB413" i="17"/>
  <c r="AB414" i="17"/>
  <c r="AB415" i="17"/>
  <c r="AB416" i="17"/>
  <c r="AB417" i="17"/>
  <c r="AB418" i="17"/>
  <c r="AB419" i="17"/>
  <c r="AB420" i="17"/>
  <c r="AB421" i="17"/>
  <c r="AB422" i="17"/>
  <c r="AB423" i="17"/>
  <c r="AB424" i="17"/>
  <c r="AB425" i="17"/>
  <c r="AB426" i="17"/>
  <c r="AB427" i="17"/>
  <c r="AB428" i="17"/>
  <c r="AB429" i="17"/>
  <c r="AB430" i="17"/>
  <c r="AB431" i="17"/>
  <c r="AB432" i="17"/>
  <c r="AB433" i="17"/>
  <c r="AB434" i="17"/>
  <c r="AB435" i="17"/>
  <c r="AB436" i="17"/>
  <c r="AB437" i="17"/>
  <c r="AB438" i="17"/>
  <c r="AB439" i="17"/>
  <c r="AB440" i="17"/>
  <c r="AB441" i="17"/>
  <c r="AB442" i="17"/>
  <c r="AB443" i="17"/>
  <c r="AB444" i="17"/>
  <c r="AB445" i="17"/>
  <c r="AB446" i="17"/>
  <c r="AB447" i="17"/>
  <c r="AB448" i="17"/>
  <c r="AB449" i="17"/>
  <c r="AB450" i="17"/>
  <c r="AB451" i="17"/>
  <c r="AB452" i="17"/>
  <c r="AB453" i="17"/>
  <c r="AB454" i="17"/>
  <c r="AB455" i="17"/>
  <c r="AB456" i="17"/>
  <c r="AB457" i="17"/>
  <c r="AB458" i="17"/>
  <c r="AB459" i="17"/>
  <c r="AB460" i="17"/>
  <c r="AB461" i="17"/>
  <c r="AB462" i="17"/>
  <c r="AB463" i="17"/>
  <c r="AB464" i="17"/>
  <c r="AB465" i="17"/>
  <c r="AB466" i="17"/>
  <c r="AB467" i="17"/>
  <c r="AB468" i="17"/>
  <c r="AB469" i="17"/>
  <c r="AB470" i="17"/>
  <c r="AB471" i="17"/>
  <c r="AB472" i="17"/>
  <c r="AB473" i="17"/>
  <c r="AB474" i="17"/>
  <c r="AB475" i="17"/>
  <c r="AB476" i="17"/>
  <c r="AB477" i="17"/>
  <c r="AB478" i="17"/>
  <c r="AB479" i="17"/>
  <c r="AB480" i="17"/>
  <c r="AB481" i="17"/>
  <c r="AB482" i="17"/>
  <c r="AB483" i="17"/>
  <c r="AB484" i="17"/>
  <c r="AB485" i="17"/>
  <c r="AB486" i="17"/>
  <c r="AB487" i="17"/>
  <c r="AB488" i="17"/>
  <c r="AB489" i="17"/>
  <c r="AB490" i="17"/>
  <c r="AB491" i="17"/>
  <c r="AB492" i="17"/>
  <c r="AB493" i="17"/>
  <c r="AB494" i="17"/>
  <c r="AB495" i="17"/>
  <c r="AB496" i="17"/>
  <c r="AB497" i="17"/>
  <c r="AB498" i="17"/>
  <c r="AB499" i="17"/>
  <c r="AB500" i="17"/>
  <c r="AB501" i="17"/>
  <c r="AB502" i="17"/>
  <c r="AB503" i="17"/>
  <c r="AB504" i="17"/>
  <c r="AB505" i="17"/>
  <c r="AB506" i="17"/>
  <c r="AB507" i="17"/>
  <c r="AB508" i="17"/>
  <c r="AB509" i="17"/>
  <c r="AB510" i="17"/>
  <c r="AB511" i="17"/>
  <c r="AB512" i="17"/>
  <c r="AB513" i="17"/>
  <c r="AB514" i="17"/>
  <c r="AB515" i="17"/>
  <c r="AB516" i="17"/>
  <c r="AB517" i="17"/>
  <c r="AB518" i="17"/>
  <c r="AB519" i="17"/>
  <c r="AB520" i="17"/>
  <c r="AB521" i="17"/>
  <c r="AB522" i="17"/>
  <c r="AB523" i="17"/>
  <c r="AB524" i="17"/>
  <c r="AB525" i="17"/>
  <c r="AB526" i="17"/>
  <c r="AB527" i="17"/>
  <c r="AB528" i="17"/>
  <c r="AB529" i="17"/>
  <c r="AB530" i="17"/>
  <c r="AB531" i="17"/>
  <c r="AB532" i="17"/>
  <c r="AB533" i="17"/>
  <c r="AB534" i="17"/>
  <c r="AB535" i="17"/>
  <c r="AB536" i="17"/>
  <c r="AB537" i="17"/>
  <c r="AB538" i="17"/>
  <c r="AB539" i="17"/>
  <c r="AB540" i="17"/>
  <c r="AB541" i="17"/>
  <c r="AB542" i="17"/>
  <c r="AB543" i="17"/>
  <c r="AB544" i="17"/>
  <c r="AB545" i="17"/>
  <c r="AB546" i="17"/>
  <c r="AB547" i="17"/>
  <c r="AB548" i="17"/>
  <c r="AB549" i="17"/>
  <c r="AB550" i="17"/>
  <c r="AB551" i="17"/>
  <c r="AB552" i="17"/>
  <c r="AB553" i="17"/>
  <c r="AB554" i="17"/>
  <c r="AB555" i="17"/>
  <c r="AB556" i="17"/>
  <c r="AB557" i="17"/>
  <c r="AB558" i="17"/>
  <c r="AB559" i="17"/>
  <c r="AB560" i="17"/>
  <c r="AB561" i="17"/>
  <c r="AB562" i="17"/>
  <c r="AB563" i="17"/>
  <c r="AB564" i="17"/>
  <c r="AB565" i="17"/>
  <c r="AB566" i="17"/>
  <c r="AB567" i="17"/>
  <c r="AB568" i="17"/>
  <c r="AB569" i="17"/>
  <c r="AB570" i="17"/>
  <c r="AB571" i="17"/>
  <c r="AB572" i="17"/>
  <c r="AB573" i="17"/>
  <c r="AB574" i="17"/>
  <c r="AB575" i="17"/>
  <c r="AB576" i="17"/>
  <c r="AB577" i="17"/>
  <c r="AB578" i="17"/>
  <c r="AB579" i="17"/>
  <c r="AB580" i="17"/>
  <c r="AB581" i="17"/>
  <c r="AB582" i="17"/>
  <c r="AB583" i="17"/>
  <c r="AB584" i="17"/>
  <c r="AB585" i="17"/>
  <c r="AB586" i="17"/>
  <c r="AB587" i="17"/>
  <c r="AB588" i="17"/>
  <c r="AB589" i="17"/>
  <c r="AB590" i="17"/>
  <c r="AB591" i="17"/>
  <c r="AB592" i="17"/>
  <c r="AB593" i="17"/>
  <c r="AB594" i="17"/>
  <c r="AB595" i="17"/>
  <c r="AB596" i="17"/>
  <c r="AB597" i="17"/>
  <c r="AB598" i="17"/>
  <c r="AB599" i="17"/>
  <c r="AB600" i="17"/>
  <c r="AB601" i="17"/>
  <c r="AB602" i="17"/>
  <c r="AB603" i="17"/>
  <c r="AB604" i="17"/>
  <c r="AB605" i="17"/>
  <c r="AB606" i="17"/>
  <c r="AB607" i="17"/>
  <c r="AB608" i="17"/>
  <c r="AB609" i="17"/>
  <c r="AB610" i="17"/>
  <c r="AB611" i="17"/>
  <c r="AB612" i="17"/>
  <c r="AB613" i="17"/>
  <c r="AB614" i="17"/>
  <c r="AB615" i="17"/>
  <c r="AB616" i="17"/>
  <c r="AB617" i="17"/>
  <c r="AB618" i="17"/>
  <c r="AB619" i="17"/>
  <c r="AB620" i="17"/>
  <c r="AB621" i="17"/>
  <c r="AB622" i="17"/>
  <c r="AB623" i="17"/>
  <c r="AB624" i="17"/>
  <c r="AB625" i="17"/>
  <c r="AB626" i="17"/>
  <c r="AB627" i="17"/>
  <c r="AB628" i="17"/>
  <c r="AB629" i="17"/>
  <c r="AB630" i="17"/>
  <c r="AB631" i="17"/>
  <c r="AB632" i="17"/>
  <c r="AB633" i="17"/>
  <c r="AB634" i="17"/>
  <c r="AB635" i="17"/>
  <c r="AB636" i="17"/>
  <c r="AB637" i="17"/>
  <c r="AB638" i="17"/>
  <c r="AB639" i="17"/>
  <c r="AB640" i="17"/>
  <c r="AB641" i="17"/>
  <c r="AB642" i="17"/>
  <c r="AB643" i="17"/>
  <c r="AB644" i="17"/>
  <c r="AB645" i="17"/>
  <c r="AB646" i="17"/>
  <c r="AB647" i="17"/>
  <c r="AB648" i="17"/>
  <c r="AB649" i="17"/>
  <c r="AB650" i="17"/>
  <c r="AB651" i="17"/>
  <c r="AB652" i="17"/>
  <c r="AB653" i="17"/>
  <c r="AB654" i="17"/>
  <c r="AB655" i="17"/>
  <c r="AB656" i="17"/>
  <c r="AB657" i="17"/>
  <c r="AB658" i="17"/>
  <c r="AB659" i="17"/>
  <c r="AB660" i="17"/>
  <c r="AB661" i="17"/>
  <c r="AB662" i="17"/>
  <c r="AB663" i="17"/>
  <c r="AB664" i="17"/>
  <c r="AB665" i="17"/>
  <c r="AB666" i="17"/>
  <c r="AB667" i="17"/>
  <c r="AB668" i="17"/>
  <c r="AB669" i="17"/>
  <c r="AB670" i="17"/>
  <c r="AB671" i="17"/>
  <c r="AB672" i="17"/>
  <c r="AB673" i="17"/>
  <c r="AB674" i="17"/>
  <c r="AB675" i="17"/>
  <c r="AB676" i="17"/>
  <c r="AB677" i="17"/>
  <c r="AB678" i="17"/>
  <c r="AB679" i="17"/>
  <c r="AB680" i="17"/>
  <c r="AB681" i="17"/>
  <c r="AB682" i="17"/>
  <c r="AB683" i="17"/>
  <c r="AB684" i="17"/>
  <c r="AB685" i="17"/>
  <c r="AB686" i="17"/>
  <c r="AB687" i="17"/>
  <c r="AB688" i="17"/>
  <c r="AB689" i="17"/>
  <c r="AB690" i="17"/>
  <c r="AB691" i="17"/>
  <c r="AB692" i="17"/>
  <c r="AB693" i="17"/>
  <c r="AB694" i="17"/>
  <c r="AB695" i="17"/>
  <c r="AB696" i="17"/>
  <c r="AB697" i="17"/>
  <c r="AB698" i="17"/>
  <c r="AB699" i="17"/>
  <c r="AB700" i="17"/>
  <c r="AB701" i="17"/>
  <c r="AB702" i="17"/>
  <c r="AB703" i="17"/>
  <c r="AB704" i="17"/>
  <c r="AB705" i="17"/>
  <c r="AB706" i="17"/>
  <c r="AB707" i="17"/>
  <c r="AB708" i="17"/>
  <c r="AB709" i="17"/>
  <c r="AB710" i="17"/>
  <c r="AB711" i="17"/>
  <c r="AB712" i="17"/>
  <c r="AB713" i="17"/>
  <c r="AB714" i="17"/>
  <c r="AB715" i="17"/>
  <c r="AB716" i="17"/>
  <c r="AB717" i="17"/>
  <c r="AB718" i="17"/>
  <c r="AB719" i="17"/>
  <c r="AB720" i="17"/>
  <c r="AB721" i="17"/>
  <c r="AB722" i="17"/>
  <c r="AB723" i="17"/>
  <c r="AB724" i="17"/>
  <c r="AB725" i="17"/>
  <c r="AB726" i="17"/>
  <c r="AB727" i="17"/>
  <c r="AB728" i="17"/>
  <c r="AB729" i="17"/>
  <c r="AB730" i="17"/>
  <c r="AB731" i="17"/>
  <c r="AB732" i="17"/>
  <c r="AB733" i="17"/>
  <c r="AB734" i="17"/>
  <c r="AB735" i="17"/>
  <c r="AB736" i="17"/>
  <c r="AB737" i="17"/>
  <c r="AB738" i="17"/>
  <c r="AB739" i="17"/>
  <c r="AB740" i="17"/>
  <c r="AB741" i="17"/>
  <c r="AB742" i="17"/>
  <c r="AB743" i="17"/>
  <c r="AB744" i="17"/>
  <c r="AB745" i="17"/>
  <c r="AB746" i="17"/>
  <c r="AB747" i="17"/>
  <c r="AB748" i="17"/>
  <c r="AB749" i="17"/>
  <c r="AB750" i="17"/>
  <c r="AB751" i="17"/>
  <c r="AB752" i="17"/>
  <c r="AB753" i="17"/>
  <c r="AB754" i="17"/>
  <c r="AB755" i="17"/>
  <c r="AB756" i="17"/>
  <c r="AB757" i="17"/>
  <c r="AB758" i="17"/>
  <c r="AB759" i="17"/>
  <c r="AB760" i="17"/>
  <c r="AB761" i="17"/>
  <c r="AB762" i="17"/>
  <c r="AB763" i="17"/>
  <c r="AB764" i="17"/>
  <c r="V981" i="2" l="1"/>
  <c r="V989" i="2"/>
  <c r="V934" i="2"/>
  <c r="V977" i="2"/>
  <c r="V976" i="2"/>
  <c r="V951" i="2"/>
  <c r="V970" i="2"/>
  <c r="V927" i="2"/>
  <c r="V930" i="2"/>
  <c r="V967" i="2"/>
  <c r="V1000" i="2"/>
  <c r="V949" i="2"/>
  <c r="V925" i="2"/>
  <c r="V995" i="2"/>
  <c r="V966" i="2"/>
  <c r="V940" i="2"/>
  <c r="V987" i="2"/>
  <c r="V957" i="2"/>
  <c r="V921" i="2"/>
  <c r="V946" i="2"/>
  <c r="V926" i="2"/>
  <c r="V975" i="2"/>
  <c r="V929" i="2"/>
  <c r="V922" i="2"/>
  <c r="V971" i="2"/>
  <c r="V936" i="2"/>
  <c r="V974" i="2"/>
  <c r="V999" i="2"/>
  <c r="V968" i="2"/>
  <c r="V985" i="2"/>
  <c r="V943" i="2"/>
  <c r="V964" i="2"/>
  <c r="V998" i="2"/>
  <c r="V997" i="2"/>
  <c r="V986" i="2"/>
  <c r="V993" i="2"/>
  <c r="V973" i="2"/>
  <c r="V983" i="2"/>
  <c r="V935" i="2"/>
  <c r="V963" i="2"/>
  <c r="V961" i="2"/>
  <c r="V953" i="2"/>
  <c r="V958" i="2"/>
  <c r="V959" i="2"/>
  <c r="V994" i="2"/>
  <c r="V982" i="2"/>
  <c r="V937" i="2"/>
  <c r="V955" i="2"/>
  <c r="AF245" i="17"/>
  <c r="AK245" i="17" s="1"/>
  <c r="V245" i="2" s="1"/>
  <c r="U245" i="2"/>
  <c r="AF221" i="17"/>
  <c r="AJ221" i="17" s="1"/>
  <c r="U221" i="2"/>
  <c r="AF185" i="17"/>
  <c r="AK185" i="17" s="1"/>
  <c r="V185" i="2" s="1"/>
  <c r="U185" i="2"/>
  <c r="AF161" i="17"/>
  <c r="AJ161" i="17" s="1"/>
  <c r="U161" i="2"/>
  <c r="AF137" i="17"/>
  <c r="AK137" i="17" s="1"/>
  <c r="V137" i="2" s="1"/>
  <c r="U137" i="2"/>
  <c r="AF125" i="17"/>
  <c r="AK125" i="17" s="1"/>
  <c r="V125" i="2" s="1"/>
  <c r="U125" i="2"/>
  <c r="AF101" i="17"/>
  <c r="AK101" i="17" s="1"/>
  <c r="V101" i="2" s="1"/>
  <c r="U101" i="2"/>
  <c r="AF89" i="17"/>
  <c r="AJ89" i="17" s="1"/>
  <c r="U89" i="2"/>
  <c r="AF65" i="17"/>
  <c r="AJ65" i="17" s="1"/>
  <c r="U65" i="2"/>
  <c r="AF53" i="17"/>
  <c r="AK53" i="17" s="1"/>
  <c r="V53" i="2" s="1"/>
  <c r="U53" i="2"/>
  <c r="AF41" i="17"/>
  <c r="AJ41" i="17" s="1"/>
  <c r="U41" i="2"/>
  <c r="AF29" i="17"/>
  <c r="AK29" i="17" s="1"/>
  <c r="V29" i="2" s="1"/>
  <c r="U29" i="2"/>
  <c r="AF17" i="17"/>
  <c r="AJ17" i="17" s="1"/>
  <c r="U17" i="2"/>
  <c r="AF232" i="17"/>
  <c r="AJ232" i="17" s="1"/>
  <c r="U232" i="2"/>
  <c r="AF220" i="17"/>
  <c r="AJ220" i="17" s="1"/>
  <c r="U220" i="2"/>
  <c r="AF208" i="17"/>
  <c r="AJ208" i="17" s="1"/>
  <c r="U208" i="2"/>
  <c r="AF196" i="17"/>
  <c r="AK196" i="17" s="1"/>
  <c r="V196" i="2" s="1"/>
  <c r="U196" i="2"/>
  <c r="AF184" i="17"/>
  <c r="AK184" i="17" s="1"/>
  <c r="V184" i="2" s="1"/>
  <c r="U184" i="2"/>
  <c r="AF172" i="17"/>
  <c r="AJ172" i="17" s="1"/>
  <c r="U172" i="2"/>
  <c r="AF160" i="17"/>
  <c r="AJ160" i="17" s="1"/>
  <c r="U160" i="2"/>
  <c r="AF148" i="17"/>
  <c r="AK148" i="17" s="1"/>
  <c r="V148" i="2" s="1"/>
  <c r="U148" i="2"/>
  <c r="AF136" i="17"/>
  <c r="AJ136" i="17" s="1"/>
  <c r="U136" i="2"/>
  <c r="AF124" i="17"/>
  <c r="AK124" i="17" s="1"/>
  <c r="V124" i="2" s="1"/>
  <c r="U124" i="2"/>
  <c r="AF112" i="17"/>
  <c r="AK112" i="17" s="1"/>
  <c r="V112" i="2" s="1"/>
  <c r="U112" i="2"/>
  <c r="AF100" i="17"/>
  <c r="AK100" i="17" s="1"/>
  <c r="V100" i="2" s="1"/>
  <c r="U100" i="2"/>
  <c r="AF88" i="17"/>
  <c r="AK88" i="17" s="1"/>
  <c r="V88" i="2" s="1"/>
  <c r="U88" i="2"/>
  <c r="AF76" i="17"/>
  <c r="AJ76" i="17" s="1"/>
  <c r="U76" i="2"/>
  <c r="AF64" i="17"/>
  <c r="AJ64" i="17" s="1"/>
  <c r="U64" i="2"/>
  <c r="AF52" i="17"/>
  <c r="AK52" i="17" s="1"/>
  <c r="V52" i="2" s="1"/>
  <c r="U52" i="2"/>
  <c r="AF40" i="17"/>
  <c r="AK40" i="17" s="1"/>
  <c r="V40" i="2" s="1"/>
  <c r="U40" i="2"/>
  <c r="AF28" i="17"/>
  <c r="AJ28" i="17" s="1"/>
  <c r="U28" i="2"/>
  <c r="AF16" i="17"/>
  <c r="AK16" i="17" s="1"/>
  <c r="V16" i="2" s="1"/>
  <c r="U16" i="2"/>
  <c r="AF231" i="17"/>
  <c r="AK231" i="17" s="1"/>
  <c r="V231" i="2" s="1"/>
  <c r="U231" i="2"/>
  <c r="AF219" i="17"/>
  <c r="AK219" i="17" s="1"/>
  <c r="V219" i="2" s="1"/>
  <c r="U219" i="2"/>
  <c r="AF207" i="17"/>
  <c r="AJ207" i="17" s="1"/>
  <c r="U207" i="2"/>
  <c r="AF195" i="17"/>
  <c r="AJ195" i="17" s="1"/>
  <c r="U195" i="2"/>
  <c r="AF183" i="17"/>
  <c r="AK183" i="17" s="1"/>
  <c r="V183" i="2" s="1"/>
  <c r="U183" i="2"/>
  <c r="AF171" i="17"/>
  <c r="AK171" i="17" s="1"/>
  <c r="V171" i="2" s="1"/>
  <c r="U171" i="2"/>
  <c r="AF159" i="17"/>
  <c r="AK159" i="17" s="1"/>
  <c r="V159" i="2" s="1"/>
  <c r="U159" i="2"/>
  <c r="AF147" i="17"/>
  <c r="AJ147" i="17" s="1"/>
  <c r="U147" i="2"/>
  <c r="AF135" i="17"/>
  <c r="AK135" i="17" s="1"/>
  <c r="V135" i="2" s="1"/>
  <c r="U135" i="2"/>
  <c r="AF123" i="17"/>
  <c r="AJ123" i="17" s="1"/>
  <c r="U123" i="2"/>
  <c r="AF111" i="17"/>
  <c r="AJ111" i="17" s="1"/>
  <c r="U111" i="2"/>
  <c r="AF99" i="17"/>
  <c r="AJ99" i="17" s="1"/>
  <c r="U99" i="2"/>
  <c r="AF87" i="17"/>
  <c r="AJ87" i="17" s="1"/>
  <c r="U87" i="2"/>
  <c r="AF75" i="17"/>
  <c r="AK75" i="17" s="1"/>
  <c r="V75" i="2" s="1"/>
  <c r="U75" i="2"/>
  <c r="AF63" i="17"/>
  <c r="AJ63" i="17" s="1"/>
  <c r="U63" i="2"/>
  <c r="AF51" i="17"/>
  <c r="AJ51" i="17" s="1"/>
  <c r="U51" i="2"/>
  <c r="AF39" i="17"/>
  <c r="AK39" i="17" s="1"/>
  <c r="V39" i="2" s="1"/>
  <c r="U39" i="2"/>
  <c r="AF27" i="17"/>
  <c r="AJ27" i="17" s="1"/>
  <c r="U27" i="2"/>
  <c r="AF15" i="17"/>
  <c r="AK15" i="17" s="1"/>
  <c r="V15" i="2" s="1"/>
  <c r="U15" i="2"/>
  <c r="AF233" i="17"/>
  <c r="AK233" i="17" s="1"/>
  <c r="V233" i="2" s="1"/>
  <c r="U233" i="2"/>
  <c r="AF209" i="17"/>
  <c r="AJ209" i="17" s="1"/>
  <c r="U209" i="2"/>
  <c r="AF197" i="17"/>
  <c r="AJ197" i="17" s="1"/>
  <c r="U197" i="2"/>
  <c r="AF173" i="17"/>
  <c r="AK173" i="17" s="1"/>
  <c r="V173" i="2" s="1"/>
  <c r="U173" i="2"/>
  <c r="AF149" i="17"/>
  <c r="AJ149" i="17" s="1"/>
  <c r="U149" i="2"/>
  <c r="AF113" i="17"/>
  <c r="AJ113" i="17" s="1"/>
  <c r="U113" i="2"/>
  <c r="AF77" i="17"/>
  <c r="AJ77" i="17" s="1"/>
  <c r="U77" i="2"/>
  <c r="AF230" i="17"/>
  <c r="AK230" i="17" s="1"/>
  <c r="V230" i="2" s="1"/>
  <c r="U230" i="2"/>
  <c r="AF218" i="17"/>
  <c r="AJ218" i="17" s="1"/>
  <c r="U218" i="2"/>
  <c r="AF206" i="17"/>
  <c r="AJ206" i="17" s="1"/>
  <c r="U206" i="2"/>
  <c r="AF194" i="17"/>
  <c r="AK194" i="17" s="1"/>
  <c r="V194" i="2" s="1"/>
  <c r="U194" i="2"/>
  <c r="AF182" i="17"/>
  <c r="AK182" i="17" s="1"/>
  <c r="V182" i="2" s="1"/>
  <c r="U182" i="2"/>
  <c r="AF170" i="17"/>
  <c r="AJ170" i="17" s="1"/>
  <c r="U170" i="2"/>
  <c r="AF158" i="17"/>
  <c r="AK158" i="17" s="1"/>
  <c r="V158" i="2" s="1"/>
  <c r="U158" i="2"/>
  <c r="AF146" i="17"/>
  <c r="AJ146" i="17" s="1"/>
  <c r="U146" i="2"/>
  <c r="AF134" i="17"/>
  <c r="AJ134" i="17" s="1"/>
  <c r="U134" i="2"/>
  <c r="AF122" i="17"/>
  <c r="AK122" i="17" s="1"/>
  <c r="V122" i="2" s="1"/>
  <c r="U122" i="2"/>
  <c r="AF110" i="17"/>
  <c r="AK110" i="17" s="1"/>
  <c r="V110" i="2" s="1"/>
  <c r="U110" i="2"/>
  <c r="AF98" i="17"/>
  <c r="AJ98" i="17" s="1"/>
  <c r="U98" i="2"/>
  <c r="AF86" i="17"/>
  <c r="AK86" i="17" s="1"/>
  <c r="V86" i="2" s="1"/>
  <c r="U86" i="2"/>
  <c r="AF74" i="17"/>
  <c r="AJ74" i="17" s="1"/>
  <c r="U74" i="2"/>
  <c r="AF62" i="17"/>
  <c r="AK62" i="17" s="1"/>
  <c r="V62" i="2" s="1"/>
  <c r="U62" i="2"/>
  <c r="AF50" i="17"/>
  <c r="AJ50" i="17" s="1"/>
  <c r="U50" i="2"/>
  <c r="AF38" i="17"/>
  <c r="AJ38" i="17" s="1"/>
  <c r="U38" i="2"/>
  <c r="AF26" i="17"/>
  <c r="AJ26" i="17" s="1"/>
  <c r="U26" i="2"/>
  <c r="AF14" i="17"/>
  <c r="AK14" i="17" s="1"/>
  <c r="V14" i="2" s="1"/>
  <c r="U14" i="2"/>
  <c r="AF229" i="17"/>
  <c r="AK229" i="17" s="1"/>
  <c r="V229" i="2" s="1"/>
  <c r="U229" i="2"/>
  <c r="AF217" i="17"/>
  <c r="AK217" i="17" s="1"/>
  <c r="V217" i="2" s="1"/>
  <c r="U217" i="2"/>
  <c r="AF205" i="17"/>
  <c r="AK205" i="17" s="1"/>
  <c r="V205" i="2" s="1"/>
  <c r="U205" i="2"/>
  <c r="AF193" i="17"/>
  <c r="AK193" i="17" s="1"/>
  <c r="V193" i="2" s="1"/>
  <c r="U193" i="2"/>
  <c r="AF181" i="17"/>
  <c r="AK181" i="17" s="1"/>
  <c r="V181" i="2" s="1"/>
  <c r="U181" i="2"/>
  <c r="AF169" i="17"/>
  <c r="AK169" i="17" s="1"/>
  <c r="V169" i="2" s="1"/>
  <c r="U169" i="2"/>
  <c r="AF157" i="17"/>
  <c r="AK157" i="17" s="1"/>
  <c r="V157" i="2" s="1"/>
  <c r="U157" i="2"/>
  <c r="AF145" i="17"/>
  <c r="AK145" i="17" s="1"/>
  <c r="V145" i="2" s="1"/>
  <c r="U145" i="2"/>
  <c r="AF133" i="17"/>
  <c r="AK133" i="17" s="1"/>
  <c r="V133" i="2" s="1"/>
  <c r="U133" i="2"/>
  <c r="AF121" i="17"/>
  <c r="AK121" i="17" s="1"/>
  <c r="V121" i="2" s="1"/>
  <c r="U121" i="2"/>
  <c r="AF109" i="17"/>
  <c r="AK109" i="17" s="1"/>
  <c r="V109" i="2" s="1"/>
  <c r="U109" i="2"/>
  <c r="AF97" i="17"/>
  <c r="AK97" i="17" s="1"/>
  <c r="V97" i="2" s="1"/>
  <c r="U97" i="2"/>
  <c r="AF85" i="17"/>
  <c r="AK85" i="17" s="1"/>
  <c r="V85" i="2" s="1"/>
  <c r="U85" i="2"/>
  <c r="AF73" i="17"/>
  <c r="AK73" i="17" s="1"/>
  <c r="V73" i="2" s="1"/>
  <c r="U73" i="2"/>
  <c r="AF61" i="17"/>
  <c r="AK61" i="17" s="1"/>
  <c r="V61" i="2" s="1"/>
  <c r="U61" i="2"/>
  <c r="AF49" i="17"/>
  <c r="AJ49" i="17" s="1"/>
  <c r="U49" i="2"/>
  <c r="AF37" i="17"/>
  <c r="AJ37" i="17" s="1"/>
  <c r="U37" i="2"/>
  <c r="AF25" i="17"/>
  <c r="AJ25" i="17" s="1"/>
  <c r="U25" i="2"/>
  <c r="AF13" i="17"/>
  <c r="AJ13" i="17" s="1"/>
  <c r="U13" i="2"/>
  <c r="AF240" i="17"/>
  <c r="AK240" i="17" s="1"/>
  <c r="V240" i="2" s="1"/>
  <c r="U240" i="2"/>
  <c r="AF228" i="17"/>
  <c r="AJ228" i="17" s="1"/>
  <c r="U228" i="2"/>
  <c r="AF216" i="17"/>
  <c r="AK216" i="17" s="1"/>
  <c r="V216" i="2" s="1"/>
  <c r="U216" i="2"/>
  <c r="AF204" i="17"/>
  <c r="AJ204" i="17" s="1"/>
  <c r="U204" i="2"/>
  <c r="AF192" i="17"/>
  <c r="AJ192" i="17" s="1"/>
  <c r="U192" i="2"/>
  <c r="AF180" i="17"/>
  <c r="AK180" i="17" s="1"/>
  <c r="V180" i="2" s="1"/>
  <c r="U180" i="2"/>
  <c r="AF168" i="17"/>
  <c r="AK168" i="17" s="1"/>
  <c r="V168" i="2" s="1"/>
  <c r="U168" i="2"/>
  <c r="AF156" i="17"/>
  <c r="AJ156" i="17" s="1"/>
  <c r="U156" i="2"/>
  <c r="AF144" i="17"/>
  <c r="AJ144" i="17" s="1"/>
  <c r="U144" i="2"/>
  <c r="AF132" i="17"/>
  <c r="AJ132" i="17" s="1"/>
  <c r="U132" i="2"/>
  <c r="AF120" i="17"/>
  <c r="AK120" i="17" s="1"/>
  <c r="V120" i="2" s="1"/>
  <c r="U120" i="2"/>
  <c r="AF108" i="17"/>
  <c r="AK108" i="17" s="1"/>
  <c r="V108" i="2" s="1"/>
  <c r="U108" i="2"/>
  <c r="AF96" i="17"/>
  <c r="AK96" i="17" s="1"/>
  <c r="V96" i="2" s="1"/>
  <c r="U96" i="2"/>
  <c r="AF84" i="17"/>
  <c r="AK84" i="17" s="1"/>
  <c r="V84" i="2" s="1"/>
  <c r="U84" i="2"/>
  <c r="AF72" i="17"/>
  <c r="AJ72" i="17" s="1"/>
  <c r="U72" i="2"/>
  <c r="AF60" i="17"/>
  <c r="AJ60" i="17" s="1"/>
  <c r="U60" i="2"/>
  <c r="AF48" i="17"/>
  <c r="AJ48" i="17" s="1"/>
  <c r="U48" i="2"/>
  <c r="AF36" i="17"/>
  <c r="AK36" i="17" s="1"/>
  <c r="V36" i="2" s="1"/>
  <c r="U36" i="2"/>
  <c r="AF24" i="17"/>
  <c r="AK24" i="17" s="1"/>
  <c r="V24" i="2" s="1"/>
  <c r="U24" i="2"/>
  <c r="AF12" i="17"/>
  <c r="AK12" i="17" s="1"/>
  <c r="V12" i="2" s="1"/>
  <c r="U12" i="2"/>
  <c r="AF239" i="17"/>
  <c r="AK239" i="17" s="1"/>
  <c r="V239" i="2" s="1"/>
  <c r="U239" i="2"/>
  <c r="AF227" i="17"/>
  <c r="AJ227" i="17" s="1"/>
  <c r="U227" i="2"/>
  <c r="AF215" i="17"/>
  <c r="AJ215" i="17" s="1"/>
  <c r="U215" i="2"/>
  <c r="AF203" i="17"/>
  <c r="AJ203" i="17" s="1"/>
  <c r="U203" i="2"/>
  <c r="AF191" i="17"/>
  <c r="AK191" i="17" s="1"/>
  <c r="V191" i="2" s="1"/>
  <c r="U191" i="2"/>
  <c r="AF179" i="17"/>
  <c r="AK179" i="17" s="1"/>
  <c r="V179" i="2" s="1"/>
  <c r="U179" i="2"/>
  <c r="AF167" i="17"/>
  <c r="AJ167" i="17" s="1"/>
  <c r="U167" i="2"/>
  <c r="AF155" i="17"/>
  <c r="AK155" i="17" s="1"/>
  <c r="V155" i="2" s="1"/>
  <c r="U155" i="2"/>
  <c r="AF143" i="17"/>
  <c r="AK143" i="17" s="1"/>
  <c r="V143" i="2" s="1"/>
  <c r="U143" i="2"/>
  <c r="AF131" i="17"/>
  <c r="AK131" i="17" s="1"/>
  <c r="V131" i="2" s="1"/>
  <c r="U131" i="2"/>
  <c r="AF119" i="17"/>
  <c r="AK119" i="17" s="1"/>
  <c r="V119" i="2" s="1"/>
  <c r="U119" i="2"/>
  <c r="AF107" i="17"/>
  <c r="AJ107" i="17" s="1"/>
  <c r="U107" i="2"/>
  <c r="AF95" i="17"/>
  <c r="AK95" i="17" s="1"/>
  <c r="V95" i="2" s="1"/>
  <c r="U95" i="2"/>
  <c r="AF83" i="17"/>
  <c r="AJ83" i="17" s="1"/>
  <c r="U83" i="2"/>
  <c r="AF71" i="17"/>
  <c r="AJ71" i="17" s="1"/>
  <c r="U71" i="2"/>
  <c r="AF59" i="17"/>
  <c r="AK59" i="17" s="1"/>
  <c r="V59" i="2" s="1"/>
  <c r="U59" i="2"/>
  <c r="AF47" i="17"/>
  <c r="AJ47" i="17" s="1"/>
  <c r="U47" i="2"/>
  <c r="AF35" i="17"/>
  <c r="AJ35" i="17" s="1"/>
  <c r="U35" i="2"/>
  <c r="AF23" i="17"/>
  <c r="AJ23" i="17" s="1"/>
  <c r="U23" i="2"/>
  <c r="AF11" i="17"/>
  <c r="AK11" i="17" s="1"/>
  <c r="V11" i="2" s="1"/>
  <c r="U11" i="2"/>
  <c r="AF238" i="17"/>
  <c r="AJ238" i="17" s="1"/>
  <c r="U238" i="2"/>
  <c r="AF226" i="17"/>
  <c r="AJ226" i="17" s="1"/>
  <c r="U226" i="2"/>
  <c r="AF214" i="17"/>
  <c r="AK214" i="17" s="1"/>
  <c r="V214" i="2" s="1"/>
  <c r="U214" i="2"/>
  <c r="AF202" i="17"/>
  <c r="AK202" i="17" s="1"/>
  <c r="V202" i="2" s="1"/>
  <c r="U202" i="2"/>
  <c r="AF190" i="17"/>
  <c r="AK190" i="17" s="1"/>
  <c r="V190" i="2" s="1"/>
  <c r="U190" i="2"/>
  <c r="AF178" i="17"/>
  <c r="AJ178" i="17" s="1"/>
  <c r="U178" i="2"/>
  <c r="AF166" i="17"/>
  <c r="AJ166" i="17" s="1"/>
  <c r="U166" i="2"/>
  <c r="AF154" i="17"/>
  <c r="AK154" i="17" s="1"/>
  <c r="V154" i="2" s="1"/>
  <c r="U154" i="2"/>
  <c r="AF142" i="17"/>
  <c r="AK142" i="17" s="1"/>
  <c r="V142" i="2" s="1"/>
  <c r="U142" i="2"/>
  <c r="AF130" i="17"/>
  <c r="AK130" i="17" s="1"/>
  <c r="V130" i="2" s="1"/>
  <c r="U130" i="2"/>
  <c r="AF118" i="17"/>
  <c r="AJ118" i="17" s="1"/>
  <c r="U118" i="2"/>
  <c r="AF106" i="17"/>
  <c r="AJ106" i="17" s="1"/>
  <c r="U106" i="2"/>
  <c r="AF94" i="17"/>
  <c r="AJ94" i="17" s="1"/>
  <c r="U94" i="2"/>
  <c r="AF82" i="17"/>
  <c r="AK82" i="17" s="1"/>
  <c r="V82" i="2" s="1"/>
  <c r="U82" i="2"/>
  <c r="AF70" i="17"/>
  <c r="AJ70" i="17" s="1"/>
  <c r="U70" i="2"/>
  <c r="AF58" i="17"/>
  <c r="AJ58" i="17" s="1"/>
  <c r="U58" i="2"/>
  <c r="AF46" i="17"/>
  <c r="AK46" i="17" s="1"/>
  <c r="V46" i="2" s="1"/>
  <c r="U46" i="2"/>
  <c r="AF34" i="17"/>
  <c r="AJ34" i="17" s="1"/>
  <c r="U34" i="2"/>
  <c r="AF22" i="17"/>
  <c r="AK22" i="17" s="1"/>
  <c r="V22" i="2" s="1"/>
  <c r="U22" i="2"/>
  <c r="AF10" i="17"/>
  <c r="AK10" i="17" s="1"/>
  <c r="V10" i="2" s="1"/>
  <c r="U10" i="2"/>
  <c r="AF237" i="17"/>
  <c r="AK237" i="17" s="1"/>
  <c r="V237" i="2" s="1"/>
  <c r="U237" i="2"/>
  <c r="AF225" i="17"/>
  <c r="AJ225" i="17" s="1"/>
  <c r="U225" i="2"/>
  <c r="AF213" i="17"/>
  <c r="AJ213" i="17" s="1"/>
  <c r="U213" i="2"/>
  <c r="AF201" i="17"/>
  <c r="AJ201" i="17" s="1"/>
  <c r="U201" i="2"/>
  <c r="AF189" i="17"/>
  <c r="AJ189" i="17" s="1"/>
  <c r="U189" i="2"/>
  <c r="AF177" i="17"/>
  <c r="AK177" i="17" s="1"/>
  <c r="V177" i="2" s="1"/>
  <c r="U177" i="2"/>
  <c r="AF165" i="17"/>
  <c r="AJ165" i="17" s="1"/>
  <c r="U165" i="2"/>
  <c r="AF153" i="17"/>
  <c r="AK153" i="17" s="1"/>
  <c r="V153" i="2" s="1"/>
  <c r="U153" i="2"/>
  <c r="AF141" i="17"/>
  <c r="AK141" i="17" s="1"/>
  <c r="V141" i="2" s="1"/>
  <c r="U141" i="2"/>
  <c r="AF129" i="17"/>
  <c r="AK129" i="17" s="1"/>
  <c r="V129" i="2" s="1"/>
  <c r="U129" i="2"/>
  <c r="AF117" i="17"/>
  <c r="AJ117" i="17" s="1"/>
  <c r="U117" i="2"/>
  <c r="AF105" i="17"/>
  <c r="AK105" i="17" s="1"/>
  <c r="V105" i="2" s="1"/>
  <c r="U105" i="2"/>
  <c r="AF93" i="17"/>
  <c r="AK93" i="17" s="1"/>
  <c r="V93" i="2" s="1"/>
  <c r="U93" i="2"/>
  <c r="AF81" i="17"/>
  <c r="AJ81" i="17" s="1"/>
  <c r="U81" i="2"/>
  <c r="AF69" i="17"/>
  <c r="AJ69" i="17" s="1"/>
  <c r="U69" i="2"/>
  <c r="AF57" i="17"/>
  <c r="AJ57" i="17" s="1"/>
  <c r="U57" i="2"/>
  <c r="AF45" i="17"/>
  <c r="AJ45" i="17" s="1"/>
  <c r="U45" i="2"/>
  <c r="AF33" i="17"/>
  <c r="AK33" i="17" s="1"/>
  <c r="V33" i="2" s="1"/>
  <c r="U33" i="2"/>
  <c r="AF21" i="17"/>
  <c r="AK21" i="17" s="1"/>
  <c r="V21" i="2" s="1"/>
  <c r="U21" i="2"/>
  <c r="AF9" i="17"/>
  <c r="AJ9" i="17" s="1"/>
  <c r="U9" i="2"/>
  <c r="AF236" i="17"/>
  <c r="AK236" i="17" s="1"/>
  <c r="V236" i="2" s="1"/>
  <c r="U236" i="2"/>
  <c r="AF224" i="17"/>
  <c r="AJ224" i="17" s="1"/>
  <c r="U224" i="2"/>
  <c r="AF212" i="17"/>
  <c r="AK212" i="17" s="1"/>
  <c r="V212" i="2" s="1"/>
  <c r="U212" i="2"/>
  <c r="AF200" i="17"/>
  <c r="AK200" i="17" s="1"/>
  <c r="V200" i="2" s="1"/>
  <c r="U200" i="2"/>
  <c r="AF188" i="17"/>
  <c r="AJ188" i="17" s="1"/>
  <c r="U188" i="2"/>
  <c r="AF176" i="17"/>
  <c r="AJ176" i="17" s="1"/>
  <c r="U176" i="2"/>
  <c r="AF164" i="17"/>
  <c r="AK164" i="17" s="1"/>
  <c r="V164" i="2" s="1"/>
  <c r="U164" i="2"/>
  <c r="AF152" i="17"/>
  <c r="AK152" i="17" s="1"/>
  <c r="V152" i="2" s="1"/>
  <c r="U152" i="2"/>
  <c r="AF140" i="17"/>
  <c r="AK140" i="17" s="1"/>
  <c r="V140" i="2" s="1"/>
  <c r="U140" i="2"/>
  <c r="AF128" i="17"/>
  <c r="AJ128" i="17" s="1"/>
  <c r="U128" i="2"/>
  <c r="AF116" i="17"/>
  <c r="AK116" i="17" s="1"/>
  <c r="V116" i="2" s="1"/>
  <c r="U116" i="2"/>
  <c r="AF104" i="17"/>
  <c r="AK104" i="17" s="1"/>
  <c r="V104" i="2" s="1"/>
  <c r="U104" i="2"/>
  <c r="AF92" i="17"/>
  <c r="AK92" i="17" s="1"/>
  <c r="V92" i="2" s="1"/>
  <c r="U92" i="2"/>
  <c r="AF80" i="17"/>
  <c r="AK80" i="17" s="1"/>
  <c r="V80" i="2" s="1"/>
  <c r="U80" i="2"/>
  <c r="AF68" i="17"/>
  <c r="AK68" i="17" s="1"/>
  <c r="V68" i="2" s="1"/>
  <c r="U68" i="2"/>
  <c r="AF56" i="17"/>
  <c r="AK56" i="17" s="1"/>
  <c r="V56" i="2" s="1"/>
  <c r="U56" i="2"/>
  <c r="AF44" i="17"/>
  <c r="AJ44" i="17" s="1"/>
  <c r="U44" i="2"/>
  <c r="AF32" i="17"/>
  <c r="AK32" i="17" s="1"/>
  <c r="V32" i="2" s="1"/>
  <c r="U32" i="2"/>
  <c r="AF20" i="17"/>
  <c r="AK20" i="17" s="1"/>
  <c r="V20" i="2" s="1"/>
  <c r="U20" i="2"/>
  <c r="AF8" i="17"/>
  <c r="AJ8" i="17" s="1"/>
  <c r="U8" i="2"/>
  <c r="AF235" i="17"/>
  <c r="AK235" i="17" s="1"/>
  <c r="V235" i="2" s="1"/>
  <c r="U235" i="2"/>
  <c r="AF223" i="17"/>
  <c r="AJ223" i="17" s="1"/>
  <c r="U223" i="2"/>
  <c r="AF211" i="17"/>
  <c r="AK211" i="17" s="1"/>
  <c r="V211" i="2" s="1"/>
  <c r="U211" i="2"/>
  <c r="AF199" i="17"/>
  <c r="AJ199" i="17" s="1"/>
  <c r="U199" i="2"/>
  <c r="AF187" i="17"/>
  <c r="AJ187" i="17" s="1"/>
  <c r="U187" i="2"/>
  <c r="AF175" i="17"/>
  <c r="AJ175" i="17" s="1"/>
  <c r="U175" i="2"/>
  <c r="AF163" i="17"/>
  <c r="AK163" i="17" s="1"/>
  <c r="V163" i="2" s="1"/>
  <c r="U163" i="2"/>
  <c r="AF151" i="17"/>
  <c r="AJ151" i="17" s="1"/>
  <c r="U151" i="2"/>
  <c r="AF139" i="17"/>
  <c r="AJ139" i="17" s="1"/>
  <c r="U139" i="2"/>
  <c r="AF127" i="17"/>
  <c r="AK127" i="17" s="1"/>
  <c r="V127" i="2" s="1"/>
  <c r="U127" i="2"/>
  <c r="AF115" i="17"/>
  <c r="AJ115" i="17" s="1"/>
  <c r="U115" i="2"/>
  <c r="AF103" i="17"/>
  <c r="AK103" i="17" s="1"/>
  <c r="V103" i="2" s="1"/>
  <c r="U103" i="2"/>
  <c r="AF91" i="17"/>
  <c r="AJ91" i="17" s="1"/>
  <c r="U91" i="2"/>
  <c r="AF79" i="17"/>
  <c r="AJ79" i="17" s="1"/>
  <c r="U79" i="2"/>
  <c r="AF67" i="17"/>
  <c r="AJ67" i="17" s="1"/>
  <c r="U67" i="2"/>
  <c r="AF55" i="17"/>
  <c r="AK55" i="17" s="1"/>
  <c r="V55" i="2" s="1"/>
  <c r="U55" i="2"/>
  <c r="AF43" i="17"/>
  <c r="AJ43" i="17" s="1"/>
  <c r="U43" i="2"/>
  <c r="AF31" i="17"/>
  <c r="AK31" i="17" s="1"/>
  <c r="V31" i="2" s="1"/>
  <c r="U31" i="2"/>
  <c r="AF19" i="17"/>
  <c r="AJ19" i="17" s="1"/>
  <c r="U19" i="2"/>
  <c r="AF234" i="17"/>
  <c r="AK234" i="17" s="1"/>
  <c r="V234" i="2" s="1"/>
  <c r="U234" i="2"/>
  <c r="AF222" i="17"/>
  <c r="AK222" i="17" s="1"/>
  <c r="V222" i="2" s="1"/>
  <c r="U222" i="2"/>
  <c r="AF210" i="17"/>
  <c r="AJ210" i="17" s="1"/>
  <c r="U210" i="2"/>
  <c r="AF198" i="17"/>
  <c r="AJ198" i="17" s="1"/>
  <c r="U198" i="2"/>
  <c r="AF186" i="17"/>
  <c r="AJ186" i="17" s="1"/>
  <c r="U186" i="2"/>
  <c r="AF174" i="17"/>
  <c r="AJ174" i="17" s="1"/>
  <c r="U174" i="2"/>
  <c r="AF162" i="17"/>
  <c r="AJ162" i="17" s="1"/>
  <c r="U162" i="2"/>
  <c r="AF150" i="17"/>
  <c r="AJ150" i="17" s="1"/>
  <c r="U150" i="2"/>
  <c r="AF138" i="17"/>
  <c r="AJ138" i="17" s="1"/>
  <c r="U138" i="2"/>
  <c r="AF126" i="17"/>
  <c r="AK126" i="17" s="1"/>
  <c r="V126" i="2" s="1"/>
  <c r="U126" i="2"/>
  <c r="AF114" i="17"/>
  <c r="AJ114" i="17" s="1"/>
  <c r="U114" i="2"/>
  <c r="AF102" i="17"/>
  <c r="AK102" i="17" s="1"/>
  <c r="V102" i="2" s="1"/>
  <c r="U102" i="2"/>
  <c r="AF90" i="17"/>
  <c r="AJ90" i="17" s="1"/>
  <c r="U90" i="2"/>
  <c r="AF78" i="17"/>
  <c r="AK78" i="17" s="1"/>
  <c r="V78" i="2" s="1"/>
  <c r="U78" i="2"/>
  <c r="AF66" i="17"/>
  <c r="AJ66" i="17" s="1"/>
  <c r="U66" i="2"/>
  <c r="AF54" i="17"/>
  <c r="AK54" i="17" s="1"/>
  <c r="V54" i="2" s="1"/>
  <c r="U54" i="2"/>
  <c r="AF42" i="17"/>
  <c r="AJ42" i="17" s="1"/>
  <c r="U42" i="2"/>
  <c r="AF30" i="17"/>
  <c r="AJ30" i="17" s="1"/>
  <c r="U30" i="2"/>
  <c r="AF18" i="17"/>
  <c r="AK18" i="17" s="1"/>
  <c r="V18" i="2" s="1"/>
  <c r="U18" i="2"/>
  <c r="AC764" i="17"/>
  <c r="U764" i="2" s="1"/>
  <c r="AG764" i="17"/>
  <c r="AJ155" i="17" l="1"/>
  <c r="AJ137" i="17"/>
  <c r="AJ52" i="17"/>
  <c r="AJ159" i="17"/>
  <c r="AK41" i="17"/>
  <c r="V41" i="2" s="1"/>
  <c r="AK64" i="17"/>
  <c r="V64" i="2" s="1"/>
  <c r="AJ39" i="17"/>
  <c r="AJ75" i="17"/>
  <c r="AJ231" i="17"/>
  <c r="AJ124" i="17"/>
  <c r="AJ16" i="17"/>
  <c r="AJ219" i="17"/>
  <c r="AK232" i="17"/>
  <c r="V232" i="2" s="1"/>
  <c r="AK147" i="17"/>
  <c r="V147" i="2" s="1"/>
  <c r="AJ53" i="17"/>
  <c r="AJ12" i="17"/>
  <c r="AK65" i="17"/>
  <c r="V65" i="2" s="1"/>
  <c r="AK160" i="17"/>
  <c r="V160" i="2" s="1"/>
  <c r="AK38" i="17"/>
  <c r="V38" i="2" s="1"/>
  <c r="AK89" i="17"/>
  <c r="V89" i="2" s="1"/>
  <c r="AJ135" i="17"/>
  <c r="AJ185" i="17"/>
  <c r="AK204" i="17"/>
  <c r="V204" i="2" s="1"/>
  <c r="AJ196" i="17"/>
  <c r="AJ158" i="17"/>
  <c r="AJ15" i="17"/>
  <c r="AJ29" i="17"/>
  <c r="AK221" i="17"/>
  <c r="V221" i="2" s="1"/>
  <c r="AJ61" i="17"/>
  <c r="AJ110" i="17"/>
  <c r="AJ182" i="17"/>
  <c r="AK209" i="17"/>
  <c r="V209" i="2" s="1"/>
  <c r="AJ84" i="17"/>
  <c r="AJ88" i="17"/>
  <c r="AJ233" i="17"/>
  <c r="AJ32" i="17"/>
  <c r="AK37" i="17"/>
  <c r="V37" i="2" s="1"/>
  <c r="AJ46" i="17"/>
  <c r="AJ181" i="17"/>
  <c r="AJ112" i="17"/>
  <c r="AK113" i="17"/>
  <c r="V113" i="2" s="1"/>
  <c r="AJ125" i="17"/>
  <c r="AJ184" i="17"/>
  <c r="AK57" i="17"/>
  <c r="V57" i="2" s="1"/>
  <c r="AK87" i="17"/>
  <c r="V87" i="2" s="1"/>
  <c r="AK161" i="17"/>
  <c r="V161" i="2" s="1"/>
  <c r="AK146" i="17"/>
  <c r="V146" i="2" s="1"/>
  <c r="AJ86" i="17"/>
  <c r="AK228" i="17"/>
  <c r="V228" i="2" s="1"/>
  <c r="AK156" i="17"/>
  <c r="V156" i="2" s="1"/>
  <c r="AK25" i="17"/>
  <c r="V25" i="2" s="1"/>
  <c r="AJ148" i="17"/>
  <c r="AJ171" i="17"/>
  <c r="AJ40" i="17"/>
  <c r="AK49" i="17"/>
  <c r="V49" i="2" s="1"/>
  <c r="AJ190" i="17"/>
  <c r="AJ216" i="17"/>
  <c r="AJ97" i="17"/>
  <c r="AK238" i="17"/>
  <c r="V238" i="2" s="1"/>
  <c r="AK60" i="17"/>
  <c r="V60" i="2" s="1"/>
  <c r="AJ133" i="17"/>
  <c r="AK77" i="17"/>
  <c r="V77" i="2" s="1"/>
  <c r="AJ163" i="17"/>
  <c r="AJ239" i="17"/>
  <c r="AK94" i="17"/>
  <c r="V94" i="2" s="1"/>
  <c r="AJ169" i="17"/>
  <c r="AJ140" i="17"/>
  <c r="AK198" i="17"/>
  <c r="V198" i="2" s="1"/>
  <c r="AK13" i="17"/>
  <c r="V13" i="2" s="1"/>
  <c r="AJ10" i="17"/>
  <c r="AJ122" i="17"/>
  <c r="AJ173" i="17"/>
  <c r="AK166" i="17"/>
  <c r="V166" i="2" s="1"/>
  <c r="AK9" i="17"/>
  <c r="V9" i="2" s="1"/>
  <c r="AK71" i="17"/>
  <c r="V71" i="2" s="1"/>
  <c r="AJ131" i="17"/>
  <c r="AJ104" i="17"/>
  <c r="AJ141" i="17"/>
  <c r="AJ143" i="17"/>
  <c r="AJ177" i="17"/>
  <c r="AK50" i="17"/>
  <c r="V50" i="2" s="1"/>
  <c r="AJ194" i="17"/>
  <c r="AJ109" i="17"/>
  <c r="AK176" i="17"/>
  <c r="V176" i="2" s="1"/>
  <c r="AJ22" i="17"/>
  <c r="AK167" i="17"/>
  <c r="V167" i="2" s="1"/>
  <c r="AJ82" i="17"/>
  <c r="AK74" i="17"/>
  <c r="V74" i="2" s="1"/>
  <c r="AK218" i="17"/>
  <c r="V218" i="2" s="1"/>
  <c r="AK203" i="17"/>
  <c r="V203" i="2" s="1"/>
  <c r="AJ154" i="17"/>
  <c r="AK118" i="17"/>
  <c r="V118" i="2" s="1"/>
  <c r="AJ54" i="17"/>
  <c r="AK151" i="17"/>
  <c r="V151" i="2" s="1"/>
  <c r="AJ235" i="17"/>
  <c r="AK132" i="17"/>
  <c r="V132" i="2" s="1"/>
  <c r="AK226" i="17"/>
  <c r="V226" i="2" s="1"/>
  <c r="AK28" i="17"/>
  <c r="V28" i="2" s="1"/>
  <c r="AJ240" i="17"/>
  <c r="AJ62" i="17"/>
  <c r="AJ211" i="17"/>
  <c r="AJ183" i="17"/>
  <c r="AJ100" i="17"/>
  <c r="AJ93" i="17"/>
  <c r="AJ116" i="17"/>
  <c r="AJ168" i="17"/>
  <c r="AK172" i="17"/>
  <c r="V172" i="2" s="1"/>
  <c r="AK206" i="17"/>
  <c r="V206" i="2" s="1"/>
  <c r="AK111" i="17"/>
  <c r="V111" i="2" s="1"/>
  <c r="AK19" i="17"/>
  <c r="V19" i="2" s="1"/>
  <c r="AJ202" i="17"/>
  <c r="AJ129" i="17"/>
  <c r="AK215" i="17"/>
  <c r="V215" i="2" s="1"/>
  <c r="AJ101" i="17"/>
  <c r="AJ245" i="17"/>
  <c r="AK91" i="17"/>
  <c r="V91" i="2" s="1"/>
  <c r="AJ102" i="17"/>
  <c r="AK165" i="17"/>
  <c r="V165" i="2" s="1"/>
  <c r="AJ126" i="17"/>
  <c r="AK174" i="17"/>
  <c r="V174" i="2" s="1"/>
  <c r="AK67" i="17"/>
  <c r="V67" i="2" s="1"/>
  <c r="AK66" i="17"/>
  <c r="V66" i="2" s="1"/>
  <c r="AJ103" i="17"/>
  <c r="AK210" i="17"/>
  <c r="V210" i="2" s="1"/>
  <c r="AK134" i="17"/>
  <c r="V134" i="2" s="1"/>
  <c r="AJ96" i="17"/>
  <c r="AK17" i="17"/>
  <c r="V17" i="2" s="1"/>
  <c r="AK144" i="17"/>
  <c r="V144" i="2" s="1"/>
  <c r="AK139" i="17"/>
  <c r="V139" i="2" s="1"/>
  <c r="AK201" i="17"/>
  <c r="V201" i="2" s="1"/>
  <c r="AJ59" i="17"/>
  <c r="AK44" i="17"/>
  <c r="V44" i="2" s="1"/>
  <c r="AK83" i="17"/>
  <c r="V83" i="2" s="1"/>
  <c r="AJ237" i="17"/>
  <c r="AJ68" i="17"/>
  <c r="AJ11" i="17"/>
  <c r="AK138" i="17"/>
  <c r="V138" i="2" s="1"/>
  <c r="AK170" i="17"/>
  <c r="V170" i="2" s="1"/>
  <c r="AK220" i="17"/>
  <c r="V220" i="2" s="1"/>
  <c r="AK175" i="17"/>
  <c r="V175" i="2" s="1"/>
  <c r="AK98" i="17"/>
  <c r="V98" i="2" s="1"/>
  <c r="AK72" i="17"/>
  <c r="V72" i="2" s="1"/>
  <c r="AK26" i="17"/>
  <c r="V26" i="2" s="1"/>
  <c r="AJ152" i="17"/>
  <c r="AJ24" i="17"/>
  <c r="AJ31" i="17"/>
  <c r="AJ222" i="17"/>
  <c r="AK114" i="17"/>
  <c r="V114" i="2" s="1"/>
  <c r="AK81" i="17"/>
  <c r="V81" i="2" s="1"/>
  <c r="AK48" i="17"/>
  <c r="V48" i="2" s="1"/>
  <c r="AK76" i="17"/>
  <c r="V76" i="2" s="1"/>
  <c r="AK186" i="17"/>
  <c r="V186" i="2" s="1"/>
  <c r="AK42" i="17"/>
  <c r="V42" i="2" s="1"/>
  <c r="AJ127" i="17"/>
  <c r="AJ21" i="17"/>
  <c r="AK189" i="17"/>
  <c r="V189" i="2" s="1"/>
  <c r="AK178" i="17"/>
  <c r="V178" i="2" s="1"/>
  <c r="AJ236" i="17"/>
  <c r="AJ205" i="17"/>
  <c r="AJ95" i="17"/>
  <c r="AK192" i="17"/>
  <c r="V192" i="2" s="1"/>
  <c r="AK69" i="17"/>
  <c r="V69" i="2" s="1"/>
  <c r="AK213" i="17"/>
  <c r="V213" i="2" s="1"/>
  <c r="AK63" i="17"/>
  <c r="V63" i="2" s="1"/>
  <c r="AJ153" i="17"/>
  <c r="AJ193" i="17"/>
  <c r="AJ229" i="17"/>
  <c r="AJ85" i="17"/>
  <c r="AK128" i="17"/>
  <c r="V128" i="2" s="1"/>
  <c r="AK227" i="17"/>
  <c r="V227" i="2" s="1"/>
  <c r="AJ214" i="17"/>
  <c r="AK106" i="17"/>
  <c r="V106" i="2" s="1"/>
  <c r="AK99" i="17"/>
  <c r="V99" i="2" s="1"/>
  <c r="AK34" i="17"/>
  <c r="V34" i="2" s="1"/>
  <c r="AJ56" i="17"/>
  <c r="AK27" i="17"/>
  <c r="V27" i="2" s="1"/>
  <c r="AK207" i="17"/>
  <c r="V207" i="2" s="1"/>
  <c r="AJ120" i="17"/>
  <c r="AK188" i="17"/>
  <c r="V188" i="2" s="1"/>
  <c r="AK117" i="17"/>
  <c r="V117" i="2" s="1"/>
  <c r="AJ191" i="17"/>
  <c r="AJ121" i="17"/>
  <c r="AK149" i="17"/>
  <c r="V149" i="2" s="1"/>
  <c r="AJ200" i="17"/>
  <c r="AJ230" i="17"/>
  <c r="AJ157" i="17"/>
  <c r="AJ92" i="17"/>
  <c r="AK225" i="17"/>
  <c r="V225" i="2" s="1"/>
  <c r="AK70" i="17"/>
  <c r="V70" i="2" s="1"/>
  <c r="AJ14" i="17"/>
  <c r="AJ142" i="17"/>
  <c r="AJ234" i="17"/>
  <c r="AJ119" i="17"/>
  <c r="AJ130" i="17"/>
  <c r="AJ105" i="17"/>
  <c r="AJ179" i="17"/>
  <c r="AJ80" i="17"/>
  <c r="AJ33" i="17"/>
  <c r="AK195" i="17"/>
  <c r="V195" i="2" s="1"/>
  <c r="AJ55" i="17"/>
  <c r="AK45" i="17"/>
  <c r="V45" i="2" s="1"/>
  <c r="AK8" i="17"/>
  <c r="V8" i="2" s="1"/>
  <c r="AK23" i="17"/>
  <c r="V23" i="2" s="1"/>
  <c r="AJ73" i="17"/>
  <c r="AK123" i="17"/>
  <c r="V123" i="2" s="1"/>
  <c r="AK51" i="17"/>
  <c r="V51" i="2" s="1"/>
  <c r="AK35" i="17"/>
  <c r="V35" i="2" s="1"/>
  <c r="AK79" i="17"/>
  <c r="V79" i="2" s="1"/>
  <c r="AJ212" i="17"/>
  <c r="AK47" i="17"/>
  <c r="V47" i="2" s="1"/>
  <c r="AK58" i="17"/>
  <c r="V58" i="2" s="1"/>
  <c r="AK107" i="17"/>
  <c r="V107" i="2" s="1"/>
  <c r="AK223" i="17"/>
  <c r="V223" i="2" s="1"/>
  <c r="AK197" i="17"/>
  <c r="V197" i="2" s="1"/>
  <c r="AJ145" i="17"/>
  <c r="AK224" i="17"/>
  <c r="V224" i="2" s="1"/>
  <c r="AJ217" i="17"/>
  <c r="AJ164" i="17"/>
  <c r="AK187" i="17"/>
  <c r="V187" i="2" s="1"/>
  <c r="AJ108" i="17"/>
  <c r="AJ20" i="17"/>
  <c r="AK136" i="17"/>
  <c r="V136" i="2" s="1"/>
  <c r="AK115" i="17"/>
  <c r="V115" i="2" s="1"/>
  <c r="AJ78" i="17"/>
  <c r="AJ36" i="17"/>
  <c r="AK208" i="17"/>
  <c r="V208" i="2" s="1"/>
  <c r="AK150" i="17"/>
  <c r="V150" i="2" s="1"/>
  <c r="AJ180" i="17"/>
  <c r="AK43" i="17"/>
  <c r="V43" i="2" s="1"/>
  <c r="AJ18" i="17"/>
  <c r="AK90" i="17"/>
  <c r="V90" i="2" s="1"/>
  <c r="AK162" i="17"/>
  <c r="V162" i="2" s="1"/>
  <c r="AK30" i="17"/>
  <c r="V30" i="2" s="1"/>
  <c r="AK199" i="17"/>
  <c r="V199" i="2" s="1"/>
  <c r="AR770" i="17"/>
  <c r="BE770" i="17" s="1"/>
  <c r="AG288" i="2" l="1"/>
  <c r="AQ381" i="2" l="1"/>
  <c r="AQ382" i="2"/>
  <c r="AQ383" i="2"/>
  <c r="AQ384" i="2"/>
  <c r="AQ385" i="2"/>
  <c r="AQ386" i="2"/>
  <c r="AQ387" i="2"/>
  <c r="AQ388" i="2"/>
  <c r="AQ389" i="2"/>
  <c r="AQ390" i="2"/>
  <c r="AQ391" i="2"/>
  <c r="AQ392" i="2"/>
  <c r="AQ393" i="2"/>
  <c r="AQ394" i="2"/>
  <c r="AQ395" i="2"/>
  <c r="AQ396" i="2"/>
  <c r="AQ397" i="2"/>
  <c r="AQ398" i="2"/>
  <c r="AQ399" i="2"/>
  <c r="AQ400" i="2"/>
  <c r="AQ401" i="2"/>
  <c r="AQ402" i="2"/>
  <c r="AQ403" i="2"/>
  <c r="AQ404" i="2"/>
  <c r="AQ405" i="2"/>
  <c r="AQ406" i="2"/>
  <c r="AQ407" i="2"/>
  <c r="AQ408" i="2"/>
  <c r="AQ409" i="2"/>
  <c r="AQ410" i="2"/>
  <c r="AQ411" i="2"/>
  <c r="AQ412" i="2"/>
  <c r="AQ413" i="2"/>
  <c r="AQ414" i="2"/>
  <c r="AQ415" i="2"/>
  <c r="AQ416" i="2"/>
  <c r="AQ417" i="2"/>
  <c r="AQ418" i="2"/>
  <c r="AQ419" i="2"/>
  <c r="AQ420" i="2"/>
  <c r="AQ421" i="2"/>
  <c r="AQ422" i="2"/>
  <c r="AQ423" i="2"/>
  <c r="AQ424" i="2"/>
  <c r="AQ425" i="2"/>
  <c r="AQ426" i="2"/>
  <c r="AQ427" i="2"/>
  <c r="AQ428" i="2"/>
  <c r="AQ429" i="2"/>
  <c r="AQ430" i="2"/>
  <c r="AQ431" i="2"/>
  <c r="AQ432" i="2"/>
  <c r="AQ433" i="2"/>
  <c r="AQ434" i="2"/>
  <c r="AQ435" i="2"/>
  <c r="AQ436" i="2"/>
  <c r="AQ437" i="2"/>
  <c r="AQ438" i="2"/>
  <c r="AQ439" i="2"/>
  <c r="AQ440" i="2"/>
  <c r="AQ441" i="2"/>
  <c r="AQ442" i="2"/>
  <c r="AQ443" i="2"/>
  <c r="AQ444" i="2"/>
  <c r="AQ445" i="2"/>
  <c r="AQ446" i="2"/>
  <c r="AQ447" i="2"/>
  <c r="AQ448" i="2"/>
  <c r="AQ449" i="2"/>
  <c r="AQ450" i="2"/>
  <c r="AQ451" i="2"/>
  <c r="AQ452" i="2"/>
  <c r="AQ453" i="2"/>
  <c r="AQ454" i="2"/>
  <c r="AQ455" i="2"/>
  <c r="AQ456" i="2"/>
  <c r="AQ457" i="2"/>
  <c r="AQ458" i="2"/>
  <c r="AQ459" i="2"/>
  <c r="AQ460" i="2"/>
  <c r="AQ461" i="2"/>
  <c r="AQ462" i="2"/>
  <c r="AQ463" i="2"/>
  <c r="AQ464" i="2"/>
  <c r="AQ465" i="2"/>
  <c r="AQ466" i="2"/>
  <c r="AQ467" i="2"/>
  <c r="AQ468" i="2"/>
  <c r="AQ469" i="2"/>
  <c r="AQ470" i="2"/>
  <c r="AQ471" i="2"/>
  <c r="AQ472" i="2"/>
  <c r="AQ473" i="2"/>
  <c r="AQ474" i="2"/>
  <c r="AQ475" i="2"/>
  <c r="AQ476" i="2"/>
  <c r="AQ477" i="2"/>
  <c r="AQ478" i="2"/>
  <c r="AQ479" i="2"/>
  <c r="AQ480" i="2"/>
  <c r="AQ481" i="2"/>
  <c r="AQ482" i="2"/>
  <c r="AQ483" i="2"/>
  <c r="AQ484" i="2"/>
  <c r="AQ485" i="2"/>
  <c r="AQ486" i="2"/>
  <c r="AQ487" i="2"/>
  <c r="AQ488" i="2"/>
  <c r="AQ489" i="2"/>
  <c r="AQ490" i="2"/>
  <c r="AQ491" i="2"/>
  <c r="AQ492" i="2"/>
  <c r="AQ493" i="2"/>
  <c r="AQ494" i="2"/>
  <c r="AQ495" i="2"/>
  <c r="AQ496" i="2"/>
  <c r="AQ497" i="2"/>
  <c r="AQ498" i="2"/>
  <c r="AQ499" i="2"/>
  <c r="AQ500" i="2"/>
  <c r="AQ501" i="2"/>
  <c r="AQ502" i="2"/>
  <c r="AQ503" i="2"/>
  <c r="AQ504" i="2"/>
  <c r="AQ505" i="2"/>
  <c r="AQ506" i="2"/>
  <c r="AQ507" i="2"/>
  <c r="AQ508" i="2"/>
  <c r="AQ509" i="2"/>
  <c r="AQ510" i="2"/>
  <c r="AQ511" i="2"/>
  <c r="AQ512" i="2"/>
  <c r="AQ513" i="2"/>
  <c r="AQ514" i="2"/>
  <c r="AQ515" i="2"/>
  <c r="AQ516" i="2"/>
  <c r="AQ517" i="2"/>
  <c r="AQ518" i="2"/>
  <c r="AQ519" i="2"/>
  <c r="AQ520" i="2"/>
  <c r="AQ521" i="2"/>
  <c r="AQ522" i="2"/>
  <c r="AQ523" i="2"/>
  <c r="AQ524" i="2"/>
  <c r="AQ525" i="2"/>
  <c r="AQ526" i="2"/>
  <c r="AQ527" i="2"/>
  <c r="AQ528" i="2"/>
  <c r="AQ529" i="2"/>
  <c r="AQ530" i="2"/>
  <c r="AQ531" i="2"/>
  <c r="AQ532" i="2"/>
  <c r="AQ533" i="2"/>
  <c r="AQ534" i="2"/>
  <c r="AQ535" i="2"/>
  <c r="AQ536" i="2"/>
  <c r="AQ537" i="2"/>
  <c r="AQ538" i="2"/>
  <c r="AQ539" i="2"/>
  <c r="AQ540" i="2"/>
  <c r="AQ541" i="2"/>
  <c r="AQ542" i="2"/>
  <c r="AQ543" i="2"/>
  <c r="AQ544" i="2"/>
  <c r="AQ545" i="2"/>
  <c r="AQ546" i="2"/>
  <c r="AQ547" i="2"/>
  <c r="AQ548" i="2"/>
  <c r="AQ549" i="2"/>
  <c r="AQ550" i="2"/>
  <c r="AQ551" i="2"/>
  <c r="AQ552" i="2"/>
  <c r="AQ553" i="2"/>
  <c r="AQ554" i="2"/>
  <c r="AQ555" i="2"/>
  <c r="AQ556" i="2"/>
  <c r="AQ557" i="2"/>
  <c r="AQ558" i="2"/>
  <c r="AQ559" i="2"/>
  <c r="AQ560" i="2"/>
  <c r="AQ561" i="2"/>
  <c r="AQ562" i="2"/>
  <c r="AQ563" i="2"/>
  <c r="AQ564" i="2"/>
  <c r="AQ565" i="2"/>
  <c r="AQ566" i="2"/>
  <c r="AQ567" i="2"/>
  <c r="AQ568" i="2"/>
  <c r="AQ569" i="2"/>
  <c r="AQ570" i="2"/>
  <c r="AQ571" i="2"/>
  <c r="AQ572" i="2"/>
  <c r="AQ573" i="2"/>
  <c r="AQ574" i="2"/>
  <c r="AQ575" i="2"/>
  <c r="AQ576" i="2"/>
  <c r="AQ577" i="2"/>
  <c r="AQ578" i="2"/>
  <c r="AQ579" i="2"/>
  <c r="AQ580" i="2"/>
  <c r="AQ581" i="2"/>
  <c r="AQ582" i="2"/>
  <c r="AQ583" i="2"/>
  <c r="AQ584" i="2"/>
  <c r="AQ585" i="2"/>
  <c r="AQ586" i="2"/>
  <c r="AQ587" i="2"/>
  <c r="AQ588" i="2"/>
  <c r="AQ589" i="2"/>
  <c r="AQ590" i="2"/>
  <c r="AQ591" i="2"/>
  <c r="AQ592" i="2"/>
  <c r="AQ593" i="2"/>
  <c r="AQ594" i="2"/>
  <c r="AQ595" i="2"/>
  <c r="AQ596" i="2"/>
  <c r="AQ597" i="2"/>
  <c r="AQ598" i="2"/>
  <c r="AQ599" i="2"/>
  <c r="AQ600" i="2"/>
  <c r="AQ601" i="2"/>
  <c r="AQ602" i="2"/>
  <c r="AQ603" i="2"/>
  <c r="AQ604" i="2"/>
  <c r="AQ605" i="2"/>
  <c r="AQ606" i="2"/>
  <c r="AQ607" i="2"/>
  <c r="AQ608" i="2"/>
  <c r="AQ609" i="2"/>
  <c r="AQ610" i="2"/>
  <c r="AQ611" i="2"/>
  <c r="AQ612" i="2"/>
  <c r="AQ613" i="2"/>
  <c r="AQ614" i="2"/>
  <c r="AQ615" i="2"/>
  <c r="AQ616" i="2"/>
  <c r="AQ617" i="2"/>
  <c r="AQ618" i="2"/>
  <c r="AQ619" i="2"/>
  <c r="AQ620" i="2"/>
  <c r="AQ621" i="2"/>
  <c r="AQ622" i="2"/>
  <c r="AQ623" i="2"/>
  <c r="AQ624" i="2"/>
  <c r="AQ625" i="2"/>
  <c r="AQ626" i="2"/>
  <c r="AQ627" i="2"/>
  <c r="AQ628" i="2"/>
  <c r="AQ629" i="2"/>
  <c r="AQ630" i="2"/>
  <c r="AQ631" i="2"/>
  <c r="AQ632" i="2"/>
  <c r="AQ633" i="2"/>
  <c r="AQ634" i="2"/>
  <c r="AQ635" i="2"/>
  <c r="AQ636" i="2"/>
  <c r="AQ637" i="2"/>
  <c r="AQ638" i="2"/>
  <c r="AQ639" i="2"/>
  <c r="AQ640" i="2"/>
  <c r="AQ641" i="2"/>
  <c r="AQ642" i="2"/>
  <c r="AQ643" i="2"/>
  <c r="AQ644" i="2"/>
  <c r="AQ645" i="2"/>
  <c r="AQ646" i="2"/>
  <c r="AQ647" i="2"/>
  <c r="AQ648" i="2"/>
  <c r="AQ649" i="2"/>
  <c r="AQ650" i="2"/>
  <c r="AQ651" i="2"/>
  <c r="AQ652" i="2"/>
  <c r="AQ653" i="2"/>
  <c r="AQ654" i="2"/>
  <c r="AQ655" i="2"/>
  <c r="AQ656" i="2"/>
  <c r="AQ657" i="2"/>
  <c r="AQ658" i="2"/>
  <c r="AQ659" i="2"/>
  <c r="AQ660" i="2"/>
  <c r="AQ661" i="2"/>
  <c r="AQ662" i="2"/>
  <c r="AQ663" i="2"/>
  <c r="AQ664" i="2"/>
  <c r="AQ665" i="2"/>
  <c r="AQ666" i="2"/>
  <c r="AQ667" i="2"/>
  <c r="AQ668" i="2"/>
  <c r="AQ669" i="2"/>
  <c r="AQ670" i="2"/>
  <c r="AQ671" i="2"/>
  <c r="AQ672" i="2"/>
  <c r="AQ673" i="2"/>
  <c r="AQ674" i="2"/>
  <c r="AQ675" i="2"/>
  <c r="AQ676" i="2"/>
  <c r="AQ677" i="2"/>
  <c r="AQ678" i="2"/>
  <c r="AQ679" i="2"/>
  <c r="AQ680" i="2"/>
  <c r="AQ681" i="2"/>
  <c r="AQ682" i="2"/>
  <c r="AQ683" i="2"/>
  <c r="AQ684" i="2"/>
  <c r="AQ685" i="2"/>
  <c r="AQ686" i="2"/>
  <c r="AQ687" i="2"/>
  <c r="AQ688" i="2"/>
  <c r="AQ689" i="2"/>
  <c r="AQ690" i="2"/>
  <c r="AQ691" i="2"/>
  <c r="AQ692" i="2"/>
  <c r="AQ693" i="2"/>
  <c r="AQ694" i="2"/>
  <c r="AQ695" i="2"/>
  <c r="AQ696" i="2"/>
  <c r="AQ697" i="2"/>
  <c r="AQ698" i="2"/>
  <c r="AQ699" i="2"/>
  <c r="AQ700" i="2"/>
  <c r="AQ701" i="2"/>
  <c r="AQ702" i="2"/>
  <c r="AQ703" i="2"/>
  <c r="AQ704" i="2"/>
  <c r="AQ705" i="2"/>
  <c r="AQ706" i="2"/>
  <c r="AQ707" i="2"/>
  <c r="AQ708" i="2"/>
  <c r="AQ709" i="2"/>
  <c r="AQ710" i="2"/>
  <c r="AQ711" i="2"/>
  <c r="AQ712" i="2"/>
  <c r="AQ713" i="2"/>
  <c r="AQ714" i="2"/>
  <c r="AQ715" i="2"/>
  <c r="AQ716" i="2"/>
  <c r="AQ717" i="2"/>
  <c r="AQ718" i="2"/>
  <c r="AQ719" i="2"/>
  <c r="AQ720" i="2"/>
  <c r="AQ721" i="2"/>
  <c r="AQ722" i="2"/>
  <c r="AQ723" i="2"/>
  <c r="AQ724" i="2"/>
  <c r="AQ725" i="2"/>
  <c r="AQ726" i="2"/>
  <c r="AQ727" i="2"/>
  <c r="AQ728" i="2"/>
  <c r="AQ729" i="2"/>
  <c r="AQ730" i="2"/>
  <c r="AQ731" i="2"/>
  <c r="AQ732" i="2"/>
  <c r="AQ733" i="2"/>
  <c r="AQ734" i="2"/>
  <c r="AQ735" i="2"/>
  <c r="AQ736" i="2"/>
  <c r="AQ737" i="2"/>
  <c r="AQ738" i="2"/>
  <c r="AQ739" i="2"/>
  <c r="AQ740" i="2"/>
  <c r="AQ741" i="2"/>
  <c r="AQ742" i="2"/>
  <c r="AQ743" i="2"/>
  <c r="AQ744" i="2"/>
  <c r="AQ745" i="2"/>
  <c r="AQ746" i="2"/>
  <c r="AQ747" i="2"/>
  <c r="AQ748" i="2"/>
  <c r="AQ749" i="2"/>
  <c r="AQ750" i="2"/>
  <c r="AQ751" i="2"/>
  <c r="AQ752" i="2"/>
  <c r="AQ753" i="2"/>
  <c r="AQ754" i="2"/>
  <c r="AQ755" i="2"/>
  <c r="AQ756" i="2"/>
  <c r="AQ757" i="2"/>
  <c r="AQ758" i="2"/>
  <c r="AQ759" i="2"/>
  <c r="AQ760" i="2"/>
  <c r="AQ761" i="2"/>
  <c r="AQ762" i="2"/>
  <c r="AQ763" i="2"/>
  <c r="AQ764" i="2"/>
  <c r="AQ765" i="2"/>
  <c r="AQ766" i="2"/>
  <c r="AQ767" i="2"/>
  <c r="AQ768" i="2"/>
  <c r="AQ769" i="2"/>
  <c r="AQ770" i="2"/>
  <c r="AQ771" i="2"/>
  <c r="AQ772" i="2"/>
  <c r="AQ773" i="2"/>
  <c r="AQ774" i="2"/>
  <c r="AQ775" i="2"/>
  <c r="AQ776" i="2"/>
  <c r="AQ777" i="2"/>
  <c r="AQ778" i="2"/>
  <c r="AQ779" i="2"/>
  <c r="AQ780" i="2"/>
  <c r="AQ781" i="2"/>
  <c r="AQ782" i="2"/>
  <c r="AQ783" i="2"/>
  <c r="AQ784" i="2"/>
  <c r="AQ785" i="2"/>
  <c r="AQ786" i="2"/>
  <c r="AQ787" i="2"/>
  <c r="AQ788" i="2"/>
  <c r="AQ789" i="2"/>
  <c r="AQ790" i="2"/>
  <c r="AQ791" i="2"/>
  <c r="AQ792" i="2"/>
  <c r="AQ793" i="2"/>
  <c r="AQ794" i="2"/>
  <c r="AQ795" i="2"/>
  <c r="AQ796" i="2"/>
  <c r="AQ797" i="2"/>
  <c r="AQ798" i="2"/>
  <c r="AQ799" i="2"/>
  <c r="AQ800" i="2"/>
  <c r="AQ801" i="2"/>
  <c r="AQ802" i="2"/>
  <c r="AQ803" i="2"/>
  <c r="AQ804" i="2"/>
  <c r="AQ805" i="2"/>
  <c r="AQ806" i="2"/>
  <c r="AQ807" i="2"/>
  <c r="AQ808" i="2"/>
  <c r="AQ809" i="2"/>
  <c r="AQ810" i="2"/>
  <c r="AQ811" i="2"/>
  <c r="AQ812" i="2"/>
  <c r="AQ813" i="2"/>
  <c r="AQ814" i="2"/>
  <c r="AQ815" i="2"/>
  <c r="AQ816" i="2"/>
  <c r="AQ817" i="2"/>
  <c r="AQ818" i="2"/>
  <c r="AQ819" i="2"/>
  <c r="AQ820" i="2"/>
  <c r="AQ821" i="2"/>
  <c r="AQ822" i="2"/>
  <c r="AQ823" i="2"/>
  <c r="AQ824" i="2"/>
  <c r="AQ825" i="2"/>
  <c r="AQ826" i="2"/>
  <c r="AQ827" i="2"/>
  <c r="AQ828" i="2"/>
  <c r="AQ829" i="2"/>
  <c r="AQ830" i="2"/>
  <c r="AQ831" i="2"/>
  <c r="AQ832" i="2"/>
  <c r="AQ833" i="2"/>
  <c r="AQ834" i="2"/>
  <c r="AQ835" i="2"/>
  <c r="AQ836" i="2"/>
  <c r="AQ837" i="2"/>
  <c r="AQ838" i="2"/>
  <c r="AQ839" i="2"/>
  <c r="AQ840" i="2"/>
  <c r="AQ841" i="2"/>
  <c r="AQ842" i="2"/>
  <c r="AQ843" i="2"/>
  <c r="AQ844" i="2"/>
  <c r="AQ845" i="2"/>
  <c r="AQ846" i="2"/>
  <c r="AQ847" i="2"/>
  <c r="AQ848" i="2"/>
  <c r="AQ849" i="2"/>
  <c r="AQ850" i="2"/>
  <c r="AQ851" i="2"/>
  <c r="AQ852" i="2"/>
  <c r="AQ853" i="2"/>
  <c r="AQ854" i="2"/>
  <c r="AQ855" i="2"/>
  <c r="AQ856" i="2"/>
  <c r="AQ857" i="2"/>
  <c r="AQ858" i="2"/>
  <c r="AQ859" i="2"/>
  <c r="AQ860" i="2"/>
  <c r="AQ861" i="2"/>
  <c r="AQ862" i="2"/>
  <c r="AQ863" i="2"/>
  <c r="AQ864" i="2"/>
  <c r="AQ865" i="2"/>
  <c r="AQ866" i="2"/>
  <c r="AQ867" i="2"/>
  <c r="AQ868" i="2"/>
  <c r="AQ869" i="2"/>
  <c r="AQ870" i="2"/>
  <c r="AQ871" i="2"/>
  <c r="AQ872" i="2"/>
  <c r="AQ873" i="2"/>
  <c r="AQ874" i="2"/>
  <c r="AQ875" i="2"/>
  <c r="AQ876" i="2"/>
  <c r="AQ877" i="2"/>
  <c r="AQ878" i="2"/>
  <c r="AQ879" i="2"/>
  <c r="AQ880" i="2"/>
  <c r="AQ881" i="2"/>
  <c r="AQ882" i="2"/>
  <c r="AQ883" i="2"/>
  <c r="AQ884" i="2"/>
  <c r="AQ885" i="2"/>
  <c r="AQ886" i="2"/>
  <c r="AQ887" i="2"/>
  <c r="AQ888" i="2"/>
  <c r="AQ889" i="2"/>
  <c r="AQ890" i="2"/>
  <c r="AQ891" i="2"/>
  <c r="AQ892" i="2"/>
  <c r="AQ893" i="2"/>
  <c r="AQ894" i="2"/>
  <c r="AQ895" i="2"/>
  <c r="AQ896" i="2"/>
  <c r="AQ897" i="2"/>
  <c r="AQ898" i="2"/>
  <c r="AQ899" i="2"/>
  <c r="AQ900" i="2"/>
  <c r="AQ901" i="2"/>
  <c r="AQ902" i="2"/>
  <c r="AQ903" i="2"/>
  <c r="AQ904" i="2"/>
  <c r="AQ905" i="2"/>
  <c r="AQ906" i="2"/>
  <c r="AQ907" i="2"/>
  <c r="AQ908" i="2"/>
  <c r="AQ909" i="2"/>
  <c r="AQ910" i="2"/>
  <c r="AQ912" i="2"/>
  <c r="AQ913" i="2"/>
  <c r="AQ914" i="2"/>
  <c r="AQ915" i="2"/>
  <c r="AQ916" i="2"/>
  <c r="AQ917" i="2"/>
  <c r="AQ918" i="2"/>
  <c r="AQ919" i="2"/>
  <c r="AQ920" i="2"/>
  <c r="AQ921" i="2"/>
  <c r="AQ922" i="2"/>
  <c r="AQ923" i="2"/>
  <c r="AQ924" i="2"/>
  <c r="AQ925" i="2"/>
  <c r="AQ926" i="2"/>
  <c r="AQ927" i="2"/>
  <c r="AQ928" i="2"/>
  <c r="AQ929" i="2"/>
  <c r="AQ930" i="2"/>
  <c r="AQ931" i="2"/>
  <c r="AQ932" i="2"/>
  <c r="AQ933" i="2"/>
  <c r="AQ934" i="2"/>
  <c r="AQ935" i="2"/>
  <c r="AQ936" i="2"/>
  <c r="AQ937" i="2"/>
  <c r="AQ938" i="2"/>
  <c r="AQ939" i="2"/>
  <c r="AQ940" i="2"/>
  <c r="AQ941" i="2"/>
  <c r="AQ942" i="2"/>
  <c r="AQ943" i="2"/>
  <c r="AQ944" i="2"/>
  <c r="AQ945" i="2"/>
  <c r="AQ946" i="2"/>
  <c r="AQ947" i="2"/>
  <c r="AQ948" i="2"/>
  <c r="AQ949" i="2"/>
  <c r="AQ950" i="2"/>
  <c r="AQ951" i="2"/>
  <c r="AQ952" i="2"/>
  <c r="AQ953" i="2"/>
  <c r="AQ954" i="2"/>
  <c r="AQ955" i="2"/>
  <c r="AQ956" i="2"/>
  <c r="AQ957" i="2"/>
  <c r="AQ958" i="2"/>
  <c r="AQ959" i="2"/>
  <c r="AQ960" i="2"/>
  <c r="AQ961" i="2"/>
  <c r="AQ962" i="2"/>
  <c r="AQ963" i="2"/>
  <c r="AQ964" i="2"/>
  <c r="AQ965" i="2"/>
  <c r="AQ966" i="2"/>
  <c r="AQ967" i="2"/>
  <c r="AQ968" i="2"/>
  <c r="AQ969" i="2"/>
  <c r="AQ970" i="2"/>
  <c r="AQ971" i="2"/>
  <c r="AQ972" i="2"/>
  <c r="AQ973" i="2"/>
  <c r="AQ974" i="2"/>
  <c r="AQ975" i="2"/>
  <c r="AQ976" i="2"/>
  <c r="AQ977" i="2"/>
  <c r="AQ978" i="2"/>
  <c r="AQ979" i="2"/>
  <c r="AQ980" i="2"/>
  <c r="AQ981" i="2"/>
  <c r="AQ982" i="2"/>
  <c r="AQ983" i="2"/>
  <c r="AQ984" i="2"/>
  <c r="AQ985" i="2"/>
  <c r="AQ986" i="2"/>
  <c r="AQ987" i="2"/>
  <c r="AQ988" i="2"/>
  <c r="AQ989" i="2"/>
  <c r="AQ990" i="2"/>
  <c r="AQ991" i="2"/>
  <c r="AQ992" i="2"/>
  <c r="AQ993" i="2"/>
  <c r="AQ994" i="2"/>
  <c r="AQ995" i="2"/>
  <c r="AQ996" i="2"/>
  <c r="AQ997" i="2"/>
  <c r="AQ998" i="2"/>
  <c r="AQ999" i="2"/>
  <c r="AQ1000" i="2"/>
  <c r="AQ380" i="2"/>
  <c r="P411" i="2" l="1"/>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410" i="2"/>
  <c r="P9" i="2"/>
  <c r="R809" i="17" l="1"/>
  <c r="R810" i="17"/>
  <c r="R811" i="17"/>
  <c r="R812" i="17"/>
  <c r="R813" i="17"/>
  <c r="R814" i="17"/>
  <c r="R815" i="17"/>
  <c r="R816" i="17"/>
  <c r="R817" i="17"/>
  <c r="R818" i="17"/>
  <c r="R819" i="17"/>
  <c r="R820" i="17"/>
  <c r="R821" i="17"/>
  <c r="R822" i="17"/>
  <c r="R823" i="17"/>
  <c r="R824" i="17"/>
  <c r="R825" i="17"/>
  <c r="R826" i="17"/>
  <c r="R827" i="17"/>
  <c r="R828" i="17"/>
  <c r="R829" i="17"/>
  <c r="R830" i="17"/>
  <c r="R831" i="17"/>
  <c r="R832" i="17"/>
  <c r="R833" i="17"/>
  <c r="R834" i="17"/>
  <c r="R835" i="17"/>
  <c r="R836" i="17"/>
  <c r="R837" i="17"/>
  <c r="R838" i="17"/>
  <c r="R839" i="17"/>
  <c r="R840" i="17"/>
  <c r="R841" i="17"/>
  <c r="R842" i="17"/>
  <c r="R843" i="17"/>
  <c r="R844" i="17"/>
  <c r="R845" i="17"/>
  <c r="R846" i="17"/>
  <c r="R847" i="17"/>
  <c r="R848" i="17"/>
  <c r="R849" i="17"/>
  <c r="R850" i="17"/>
  <c r="R851" i="17"/>
  <c r="R852" i="17"/>
  <c r="R853" i="17"/>
  <c r="R854" i="17"/>
  <c r="R855" i="17"/>
  <c r="R856" i="17"/>
  <c r="R857" i="17"/>
  <c r="R858" i="17"/>
  <c r="R859" i="17"/>
  <c r="R860" i="17"/>
  <c r="R861" i="17"/>
  <c r="R862" i="17"/>
  <c r="R863" i="17"/>
  <c r="R864" i="17"/>
  <c r="R865" i="17"/>
  <c r="R866" i="17"/>
  <c r="R867" i="17"/>
  <c r="R868" i="17"/>
  <c r="R869" i="17"/>
  <c r="R870" i="17"/>
  <c r="R871" i="17"/>
  <c r="R872" i="17"/>
  <c r="R873" i="17"/>
  <c r="R874" i="17"/>
  <c r="R875" i="17"/>
  <c r="R876" i="17"/>
  <c r="R877" i="17"/>
  <c r="R878" i="17"/>
  <c r="R879" i="17"/>
  <c r="R880" i="17"/>
  <c r="R881" i="17"/>
  <c r="R882" i="17"/>
  <c r="R883" i="17"/>
  <c r="R884" i="17"/>
  <c r="R885" i="17"/>
  <c r="R886" i="17"/>
  <c r="R887" i="17"/>
  <c r="R888" i="17"/>
  <c r="R889" i="17"/>
  <c r="R890" i="17"/>
  <c r="R891" i="17"/>
  <c r="R892" i="17"/>
  <c r="R893" i="17"/>
  <c r="R894" i="17"/>
  <c r="R895" i="17"/>
  <c r="R896" i="17"/>
  <c r="R897" i="17"/>
  <c r="R898" i="17"/>
  <c r="R899" i="17"/>
  <c r="R900" i="17"/>
  <c r="R901" i="17"/>
  <c r="R902" i="17"/>
  <c r="R903" i="17"/>
  <c r="R904" i="17"/>
  <c r="R905" i="17"/>
  <c r="R906" i="17"/>
  <c r="R907" i="17"/>
  <c r="R908" i="17"/>
  <c r="R909" i="17"/>
  <c r="R910" i="17"/>
  <c r="R911" i="17"/>
  <c r="R912" i="17"/>
  <c r="R913" i="17"/>
  <c r="R914" i="17"/>
  <c r="R915" i="17"/>
  <c r="R916" i="17"/>
  <c r="R917" i="17"/>
  <c r="R918" i="17"/>
  <c r="R919" i="17"/>
  <c r="R920" i="17"/>
  <c r="H809" i="17"/>
  <c r="AF809" i="17" s="1"/>
  <c r="H810" i="17"/>
  <c r="AF810" i="17" s="1"/>
  <c r="H811" i="17"/>
  <c r="AF811" i="17" s="1"/>
  <c r="H812" i="17"/>
  <c r="AF812" i="17" s="1"/>
  <c r="H813" i="17"/>
  <c r="AF813" i="17" s="1"/>
  <c r="H814" i="17"/>
  <c r="AF814" i="17" s="1"/>
  <c r="H815" i="17"/>
  <c r="AF815" i="17" s="1"/>
  <c r="H816" i="17"/>
  <c r="AF816" i="17" s="1"/>
  <c r="H817" i="17"/>
  <c r="AF817" i="17" s="1"/>
  <c r="H818" i="17"/>
  <c r="AF818" i="17" s="1"/>
  <c r="H819" i="17"/>
  <c r="AF819" i="17" s="1"/>
  <c r="H820" i="17"/>
  <c r="AF820" i="17" s="1"/>
  <c r="H821" i="17"/>
  <c r="AF821" i="17" s="1"/>
  <c r="H822" i="17"/>
  <c r="AF822" i="17" s="1"/>
  <c r="H823" i="17"/>
  <c r="AF823" i="17" s="1"/>
  <c r="H824" i="17"/>
  <c r="AF824" i="17" s="1"/>
  <c r="H825" i="17"/>
  <c r="AF825" i="17" s="1"/>
  <c r="H826" i="17"/>
  <c r="AF826" i="17" s="1"/>
  <c r="H827" i="17"/>
  <c r="AF827" i="17" s="1"/>
  <c r="H828" i="17"/>
  <c r="AF828" i="17" s="1"/>
  <c r="H829" i="17"/>
  <c r="AF829" i="17" s="1"/>
  <c r="H830" i="17"/>
  <c r="AF830" i="17" s="1"/>
  <c r="H831" i="17"/>
  <c r="AF831" i="17" s="1"/>
  <c r="H832" i="17"/>
  <c r="AF832" i="17" s="1"/>
  <c r="H833" i="17"/>
  <c r="AF833" i="17" s="1"/>
  <c r="H834" i="17"/>
  <c r="AF834" i="17" s="1"/>
  <c r="H835" i="17"/>
  <c r="AF835" i="17" s="1"/>
  <c r="H836" i="17"/>
  <c r="AF836" i="17" s="1"/>
  <c r="H837" i="17"/>
  <c r="AF837" i="17" s="1"/>
  <c r="H838" i="17"/>
  <c r="AF838" i="17" s="1"/>
  <c r="H839" i="17"/>
  <c r="AF839" i="17" s="1"/>
  <c r="H840" i="17"/>
  <c r="AF840" i="17" s="1"/>
  <c r="H841" i="17"/>
  <c r="AF841" i="17" s="1"/>
  <c r="H842" i="17"/>
  <c r="AF842" i="17" s="1"/>
  <c r="H843" i="17"/>
  <c r="AF843" i="17" s="1"/>
  <c r="H844" i="17"/>
  <c r="AF844" i="17" s="1"/>
  <c r="H845" i="17"/>
  <c r="AF845" i="17" s="1"/>
  <c r="H846" i="17"/>
  <c r="AF846" i="17" s="1"/>
  <c r="H847" i="17"/>
  <c r="AF847" i="17" s="1"/>
  <c r="H848" i="17"/>
  <c r="AF848" i="17" s="1"/>
  <c r="H849" i="17"/>
  <c r="AF849" i="17" s="1"/>
  <c r="H850" i="17"/>
  <c r="AF850" i="17" s="1"/>
  <c r="H851" i="17"/>
  <c r="AF851" i="17" s="1"/>
  <c r="H852" i="17"/>
  <c r="AF852" i="17" s="1"/>
  <c r="H853" i="17"/>
  <c r="AF853" i="17" s="1"/>
  <c r="H854" i="17"/>
  <c r="AF854" i="17" s="1"/>
  <c r="H855" i="17"/>
  <c r="AF855" i="17" s="1"/>
  <c r="H856" i="17"/>
  <c r="AF856" i="17" s="1"/>
  <c r="H857" i="17"/>
  <c r="AF857" i="17" s="1"/>
  <c r="H858" i="17"/>
  <c r="AF858" i="17" s="1"/>
  <c r="H859" i="17"/>
  <c r="AF859" i="17" s="1"/>
  <c r="H860" i="17"/>
  <c r="AF860" i="17" s="1"/>
  <c r="H861" i="17"/>
  <c r="AF861" i="17" s="1"/>
  <c r="H862" i="17"/>
  <c r="AF862" i="17" s="1"/>
  <c r="H863" i="17"/>
  <c r="AF863" i="17" s="1"/>
  <c r="H864" i="17"/>
  <c r="AF864" i="17" s="1"/>
  <c r="H865" i="17"/>
  <c r="AF865" i="17" s="1"/>
  <c r="H866" i="17"/>
  <c r="AF866" i="17" s="1"/>
  <c r="H867" i="17"/>
  <c r="AF867" i="17" s="1"/>
  <c r="H868" i="17"/>
  <c r="AF868" i="17" s="1"/>
  <c r="H869" i="17"/>
  <c r="AF869" i="17" s="1"/>
  <c r="H870" i="17"/>
  <c r="AF870" i="17" s="1"/>
  <c r="H871" i="17"/>
  <c r="AF871" i="17" s="1"/>
  <c r="H872" i="17"/>
  <c r="AF872" i="17" s="1"/>
  <c r="H873" i="17"/>
  <c r="AF873" i="17" s="1"/>
  <c r="H874" i="17"/>
  <c r="AF874" i="17" s="1"/>
  <c r="H875" i="17"/>
  <c r="AF875" i="17" s="1"/>
  <c r="H876" i="17"/>
  <c r="AF876" i="17" s="1"/>
  <c r="H877" i="17"/>
  <c r="AF877" i="17" s="1"/>
  <c r="H878" i="17"/>
  <c r="AF878" i="17" s="1"/>
  <c r="H879" i="17"/>
  <c r="AF879" i="17" s="1"/>
  <c r="H880" i="17"/>
  <c r="AF880" i="17" s="1"/>
  <c r="H881" i="17"/>
  <c r="AF881" i="17" s="1"/>
  <c r="H882" i="17"/>
  <c r="AF882" i="17" s="1"/>
  <c r="H883" i="17"/>
  <c r="AF883" i="17" s="1"/>
  <c r="H884" i="17"/>
  <c r="AF884" i="17" s="1"/>
  <c r="H885" i="17"/>
  <c r="AF885" i="17" s="1"/>
  <c r="H886" i="17"/>
  <c r="AF886" i="17" s="1"/>
  <c r="H887" i="17"/>
  <c r="AF887" i="17" s="1"/>
  <c r="H888" i="17"/>
  <c r="AF888" i="17" s="1"/>
  <c r="H889" i="17"/>
  <c r="AF889" i="17" s="1"/>
  <c r="H890" i="17"/>
  <c r="AF890" i="17" s="1"/>
  <c r="H891" i="17"/>
  <c r="AF891" i="17" s="1"/>
  <c r="H892" i="17"/>
  <c r="AF892" i="17" s="1"/>
  <c r="H893" i="17"/>
  <c r="AF893" i="17" s="1"/>
  <c r="H894" i="17"/>
  <c r="AF894" i="17" s="1"/>
  <c r="H895" i="17"/>
  <c r="AF895" i="17" s="1"/>
  <c r="H896" i="17"/>
  <c r="AF896" i="17" s="1"/>
  <c r="H897" i="17"/>
  <c r="AF897" i="17" s="1"/>
  <c r="H898" i="17"/>
  <c r="AF898" i="17" s="1"/>
  <c r="H899" i="17"/>
  <c r="AF899" i="17" s="1"/>
  <c r="H900" i="17"/>
  <c r="AF900" i="17" s="1"/>
  <c r="H901" i="17"/>
  <c r="AF901" i="17" s="1"/>
  <c r="H902" i="17"/>
  <c r="AF902" i="17" s="1"/>
  <c r="H903" i="17"/>
  <c r="AF903" i="17" s="1"/>
  <c r="H904" i="17"/>
  <c r="AF904" i="17" s="1"/>
  <c r="H905" i="17"/>
  <c r="AF905" i="17" s="1"/>
  <c r="H906" i="17"/>
  <c r="AF906" i="17" s="1"/>
  <c r="H907" i="17"/>
  <c r="AF907" i="17" s="1"/>
  <c r="H908" i="17"/>
  <c r="AF908" i="17" s="1"/>
  <c r="H909" i="17"/>
  <c r="AF909" i="17" s="1"/>
  <c r="H910" i="17"/>
  <c r="AF910" i="17" s="1"/>
  <c r="H911" i="17"/>
  <c r="AF911" i="17" s="1"/>
  <c r="H912" i="17"/>
  <c r="AF912" i="17" s="1"/>
  <c r="H913" i="17"/>
  <c r="AF913" i="17" s="1"/>
  <c r="H914" i="17"/>
  <c r="AF914" i="17" s="1"/>
  <c r="H915" i="17"/>
  <c r="AF915" i="17" s="1"/>
  <c r="H916" i="17"/>
  <c r="AF916" i="17" s="1"/>
  <c r="H917" i="17"/>
  <c r="AF917" i="17" s="1"/>
  <c r="H918" i="17"/>
  <c r="AF918" i="17" s="1"/>
  <c r="H919" i="17"/>
  <c r="AF919" i="17" s="1"/>
  <c r="H920" i="17"/>
  <c r="AF920" i="17" s="1"/>
  <c r="G809" i="17"/>
  <c r="G810" i="17"/>
  <c r="G811" i="17"/>
  <c r="G812" i="17"/>
  <c r="G813" i="17"/>
  <c r="G814" i="17"/>
  <c r="G815" i="17"/>
  <c r="G816" i="17"/>
  <c r="G817" i="17"/>
  <c r="G818" i="17"/>
  <c r="G819" i="17"/>
  <c r="G820" i="17"/>
  <c r="G821" i="17"/>
  <c r="G822" i="17"/>
  <c r="G823" i="17"/>
  <c r="G824" i="17"/>
  <c r="G825" i="17"/>
  <c r="G826" i="17"/>
  <c r="G827" i="17"/>
  <c r="G828" i="17"/>
  <c r="G829" i="17"/>
  <c r="G830" i="17"/>
  <c r="G831" i="17"/>
  <c r="G832" i="17"/>
  <c r="G833" i="17"/>
  <c r="G834" i="17"/>
  <c r="G835" i="17"/>
  <c r="G836" i="17"/>
  <c r="G837" i="17"/>
  <c r="G838" i="17"/>
  <c r="G839" i="17"/>
  <c r="G840" i="17"/>
  <c r="G841" i="17"/>
  <c r="G842" i="17"/>
  <c r="G843" i="17"/>
  <c r="G844" i="17"/>
  <c r="G845" i="17"/>
  <c r="G846" i="17"/>
  <c r="G847" i="17"/>
  <c r="G848" i="17"/>
  <c r="G849" i="17"/>
  <c r="G850" i="17"/>
  <c r="G851" i="17"/>
  <c r="G852" i="17"/>
  <c r="G853" i="17"/>
  <c r="G854" i="17"/>
  <c r="G855" i="17"/>
  <c r="G856" i="17"/>
  <c r="G857" i="17"/>
  <c r="G858" i="17"/>
  <c r="G859" i="17"/>
  <c r="G860" i="17"/>
  <c r="G861" i="17"/>
  <c r="G862" i="17"/>
  <c r="G863" i="17"/>
  <c r="G864" i="17"/>
  <c r="G865" i="17"/>
  <c r="G866" i="17"/>
  <c r="G867" i="17"/>
  <c r="G868" i="17"/>
  <c r="G869" i="17"/>
  <c r="G870" i="17"/>
  <c r="G871" i="17"/>
  <c r="G872" i="17"/>
  <c r="G873" i="17"/>
  <c r="G874" i="17"/>
  <c r="G875" i="17"/>
  <c r="G876" i="17"/>
  <c r="G877" i="17"/>
  <c r="G878" i="17"/>
  <c r="G879" i="17"/>
  <c r="G880" i="17"/>
  <c r="G881" i="17"/>
  <c r="G882" i="17"/>
  <c r="G883" i="17"/>
  <c r="G884" i="17"/>
  <c r="G885" i="17"/>
  <c r="G886" i="17"/>
  <c r="G887" i="17"/>
  <c r="G888" i="17"/>
  <c r="G889" i="17"/>
  <c r="G890" i="17"/>
  <c r="G891" i="17"/>
  <c r="G892" i="17"/>
  <c r="G893" i="17"/>
  <c r="G894" i="17"/>
  <c r="G895" i="17"/>
  <c r="G896" i="17"/>
  <c r="G897" i="17"/>
  <c r="G898" i="17"/>
  <c r="G899" i="17"/>
  <c r="G900" i="17"/>
  <c r="G901" i="17"/>
  <c r="G902" i="17"/>
  <c r="G903" i="17"/>
  <c r="G904" i="17"/>
  <c r="G905" i="17"/>
  <c r="G906" i="17"/>
  <c r="G907" i="17"/>
  <c r="G908" i="17"/>
  <c r="G909" i="17"/>
  <c r="G910" i="17"/>
  <c r="G911" i="17"/>
  <c r="G912" i="17"/>
  <c r="G913" i="17"/>
  <c r="G914" i="17"/>
  <c r="G915" i="17"/>
  <c r="G916" i="17"/>
  <c r="G917" i="17"/>
  <c r="G918" i="17"/>
  <c r="G919" i="17"/>
  <c r="G920" i="17"/>
  <c r="F809" i="17"/>
  <c r="F810" i="17"/>
  <c r="F811" i="17"/>
  <c r="F812" i="17"/>
  <c r="F813" i="17"/>
  <c r="F814" i="17"/>
  <c r="F815" i="17"/>
  <c r="F816" i="17"/>
  <c r="F817" i="17"/>
  <c r="F818" i="17"/>
  <c r="F819" i="17"/>
  <c r="F820" i="17"/>
  <c r="F821" i="17"/>
  <c r="F822" i="17"/>
  <c r="F823" i="17"/>
  <c r="F824" i="17"/>
  <c r="F825" i="17"/>
  <c r="F826" i="17"/>
  <c r="F827" i="17"/>
  <c r="F828" i="17"/>
  <c r="F829" i="17"/>
  <c r="F830" i="17"/>
  <c r="F831" i="17"/>
  <c r="F832" i="17"/>
  <c r="F833" i="17"/>
  <c r="F834" i="17"/>
  <c r="F835" i="17"/>
  <c r="F836" i="17"/>
  <c r="F837" i="17"/>
  <c r="F838" i="17"/>
  <c r="F839" i="17"/>
  <c r="F840" i="17"/>
  <c r="F841" i="17"/>
  <c r="F842" i="17"/>
  <c r="F843" i="17"/>
  <c r="F844" i="17"/>
  <c r="F845" i="17"/>
  <c r="F846" i="17"/>
  <c r="F847" i="17"/>
  <c r="F848" i="17"/>
  <c r="F849" i="17"/>
  <c r="F850" i="17"/>
  <c r="F851" i="17"/>
  <c r="F852" i="17"/>
  <c r="F853" i="17"/>
  <c r="F854" i="17"/>
  <c r="F855" i="17"/>
  <c r="F856" i="17"/>
  <c r="F857" i="17"/>
  <c r="F858" i="17"/>
  <c r="F859" i="17"/>
  <c r="F860" i="17"/>
  <c r="F861" i="17"/>
  <c r="F862" i="17"/>
  <c r="F863" i="17"/>
  <c r="F864" i="17"/>
  <c r="F865" i="17"/>
  <c r="F866" i="17"/>
  <c r="F867" i="17"/>
  <c r="F868" i="17"/>
  <c r="F869" i="17"/>
  <c r="F870" i="17"/>
  <c r="F871" i="17"/>
  <c r="F872" i="17"/>
  <c r="F873" i="17"/>
  <c r="F874" i="17"/>
  <c r="F875" i="17"/>
  <c r="F876" i="17"/>
  <c r="F877" i="17"/>
  <c r="F878" i="17"/>
  <c r="F879" i="17"/>
  <c r="F880" i="17"/>
  <c r="F881" i="17"/>
  <c r="F882" i="17"/>
  <c r="F883" i="17"/>
  <c r="F884" i="17"/>
  <c r="F885" i="17"/>
  <c r="F886" i="17"/>
  <c r="F887" i="17"/>
  <c r="F888" i="17"/>
  <c r="F889" i="17"/>
  <c r="F890" i="17"/>
  <c r="F891" i="17"/>
  <c r="F892" i="17"/>
  <c r="F893" i="17"/>
  <c r="F894" i="17"/>
  <c r="F895" i="17"/>
  <c r="F896" i="17"/>
  <c r="F897" i="17"/>
  <c r="F898" i="17"/>
  <c r="F899" i="17"/>
  <c r="F900" i="17"/>
  <c r="F901" i="17"/>
  <c r="F902" i="17"/>
  <c r="F903" i="17"/>
  <c r="F904" i="17"/>
  <c r="F905" i="17"/>
  <c r="F906" i="17"/>
  <c r="F907" i="17"/>
  <c r="F908" i="17"/>
  <c r="F909" i="17"/>
  <c r="F910" i="17"/>
  <c r="F911" i="17"/>
  <c r="F912" i="17"/>
  <c r="F913" i="17"/>
  <c r="F914" i="17"/>
  <c r="F915" i="17"/>
  <c r="F916" i="17"/>
  <c r="F917" i="17"/>
  <c r="F918" i="17"/>
  <c r="F919" i="17"/>
  <c r="F920" i="17"/>
  <c r="E809" i="17"/>
  <c r="E810" i="17"/>
  <c r="E811" i="17"/>
  <c r="E812" i="17"/>
  <c r="E813" i="17"/>
  <c r="E814" i="17"/>
  <c r="E815" i="17"/>
  <c r="E816" i="17"/>
  <c r="E817" i="17"/>
  <c r="E818" i="17"/>
  <c r="E819" i="17"/>
  <c r="E820" i="17"/>
  <c r="E821" i="17"/>
  <c r="E822" i="17"/>
  <c r="E823" i="17"/>
  <c r="E824" i="17"/>
  <c r="E825" i="17"/>
  <c r="E826" i="17"/>
  <c r="E827" i="17"/>
  <c r="E828" i="17"/>
  <c r="E829" i="17"/>
  <c r="E830" i="17"/>
  <c r="E831" i="17"/>
  <c r="E832" i="17"/>
  <c r="E833" i="17"/>
  <c r="E834" i="17"/>
  <c r="E835" i="17"/>
  <c r="E836" i="17"/>
  <c r="E837" i="17"/>
  <c r="E838" i="17"/>
  <c r="E839" i="17"/>
  <c r="E840" i="17"/>
  <c r="E841" i="17"/>
  <c r="E842" i="17"/>
  <c r="E843" i="17"/>
  <c r="E844" i="17"/>
  <c r="E845" i="17"/>
  <c r="E846" i="17"/>
  <c r="E847" i="17"/>
  <c r="E848" i="17"/>
  <c r="E849" i="17"/>
  <c r="E850" i="17"/>
  <c r="E851" i="17"/>
  <c r="E852" i="17"/>
  <c r="E853" i="17"/>
  <c r="E854" i="17"/>
  <c r="E855" i="17"/>
  <c r="E856" i="17"/>
  <c r="E857" i="17"/>
  <c r="E858" i="17"/>
  <c r="E859" i="17"/>
  <c r="E860" i="17"/>
  <c r="E861" i="17"/>
  <c r="E862" i="17"/>
  <c r="E863" i="17"/>
  <c r="E864" i="17"/>
  <c r="E865" i="17"/>
  <c r="E866" i="17"/>
  <c r="E867" i="17"/>
  <c r="E868" i="17"/>
  <c r="E869" i="17"/>
  <c r="E870" i="17"/>
  <c r="E871" i="17"/>
  <c r="E872" i="17"/>
  <c r="E873" i="17"/>
  <c r="E874" i="17"/>
  <c r="E875" i="17"/>
  <c r="E876" i="17"/>
  <c r="E877" i="17"/>
  <c r="E878" i="17"/>
  <c r="E879" i="17"/>
  <c r="E880" i="17"/>
  <c r="E881" i="17"/>
  <c r="E882" i="17"/>
  <c r="E883" i="17"/>
  <c r="E884" i="17"/>
  <c r="E885" i="17"/>
  <c r="E886" i="17"/>
  <c r="E887" i="17"/>
  <c r="E888" i="17"/>
  <c r="E889" i="17"/>
  <c r="E890" i="17"/>
  <c r="E891" i="17"/>
  <c r="E892" i="17"/>
  <c r="E893" i="17"/>
  <c r="E894" i="17"/>
  <c r="E895" i="17"/>
  <c r="E896" i="17"/>
  <c r="E897" i="17"/>
  <c r="E898" i="17"/>
  <c r="E899" i="17"/>
  <c r="E900" i="17"/>
  <c r="E901" i="17"/>
  <c r="E902" i="17"/>
  <c r="E903" i="17"/>
  <c r="E904" i="17"/>
  <c r="E905" i="17"/>
  <c r="E906" i="17"/>
  <c r="E907" i="17"/>
  <c r="E908" i="17"/>
  <c r="E909" i="17"/>
  <c r="E910" i="17"/>
  <c r="E911" i="17"/>
  <c r="E912" i="17"/>
  <c r="E913" i="17"/>
  <c r="E914" i="17"/>
  <c r="E915" i="17"/>
  <c r="E916" i="17"/>
  <c r="E917" i="17"/>
  <c r="E918" i="17"/>
  <c r="E919" i="17"/>
  <c r="E920" i="17"/>
  <c r="D809" i="17"/>
  <c r="D810" i="17"/>
  <c r="D811" i="17"/>
  <c r="D812" i="17"/>
  <c r="D813" i="17"/>
  <c r="D814" i="17"/>
  <c r="D815" i="17"/>
  <c r="D816" i="17"/>
  <c r="D817" i="17"/>
  <c r="D818" i="17"/>
  <c r="D819" i="17"/>
  <c r="D820" i="17"/>
  <c r="D821" i="17"/>
  <c r="D822" i="17"/>
  <c r="D823" i="17"/>
  <c r="D824" i="17"/>
  <c r="D825" i="17"/>
  <c r="D826" i="17"/>
  <c r="D827" i="17"/>
  <c r="D828" i="17"/>
  <c r="D829" i="17"/>
  <c r="D830" i="17"/>
  <c r="D831" i="17"/>
  <c r="D832" i="17"/>
  <c r="D833" i="17"/>
  <c r="D834" i="17"/>
  <c r="D835" i="17"/>
  <c r="D836" i="17"/>
  <c r="D837" i="17"/>
  <c r="D838" i="17"/>
  <c r="D839" i="17"/>
  <c r="D840" i="17"/>
  <c r="D841" i="17"/>
  <c r="D842" i="17"/>
  <c r="D843" i="17"/>
  <c r="D844" i="17"/>
  <c r="D845" i="17"/>
  <c r="D846" i="17"/>
  <c r="D847" i="17"/>
  <c r="D848" i="17"/>
  <c r="D849" i="17"/>
  <c r="D850" i="17"/>
  <c r="D851" i="17"/>
  <c r="D852" i="17"/>
  <c r="D853" i="17"/>
  <c r="D854" i="17"/>
  <c r="D855" i="17"/>
  <c r="D856" i="17"/>
  <c r="D857" i="17"/>
  <c r="D858" i="17"/>
  <c r="D859" i="17"/>
  <c r="D860" i="17"/>
  <c r="D861" i="17"/>
  <c r="D862" i="17"/>
  <c r="D863" i="17"/>
  <c r="D864" i="17"/>
  <c r="D865" i="17"/>
  <c r="D866" i="17"/>
  <c r="D867" i="17"/>
  <c r="D868" i="17"/>
  <c r="D869" i="17"/>
  <c r="D870" i="17"/>
  <c r="D871" i="17"/>
  <c r="D872" i="17"/>
  <c r="D873" i="17"/>
  <c r="D874" i="17"/>
  <c r="D875" i="17"/>
  <c r="D876" i="17"/>
  <c r="D877" i="17"/>
  <c r="D878" i="17"/>
  <c r="D880" i="17"/>
  <c r="D881" i="17"/>
  <c r="D882" i="17"/>
  <c r="D883" i="17"/>
  <c r="D884" i="17"/>
  <c r="D885" i="17"/>
  <c r="D886" i="17"/>
  <c r="D887" i="17"/>
  <c r="D888" i="17"/>
  <c r="D889" i="17"/>
  <c r="D890" i="17"/>
  <c r="D891" i="17"/>
  <c r="D892" i="17"/>
  <c r="D893" i="17"/>
  <c r="D894" i="17"/>
  <c r="D895" i="17"/>
  <c r="D896" i="17"/>
  <c r="D897" i="17"/>
  <c r="D898" i="17"/>
  <c r="D899" i="17"/>
  <c r="D900" i="17"/>
  <c r="D901" i="17"/>
  <c r="D902" i="17"/>
  <c r="D903" i="17"/>
  <c r="D904" i="17"/>
  <c r="D905" i="17"/>
  <c r="D906" i="17"/>
  <c r="D907" i="17"/>
  <c r="D908" i="17"/>
  <c r="D909" i="17"/>
  <c r="D910" i="17"/>
  <c r="D911" i="17"/>
  <c r="D912" i="17"/>
  <c r="D913" i="17"/>
  <c r="D914" i="17"/>
  <c r="D915" i="17"/>
  <c r="D916" i="17"/>
  <c r="D917" i="17"/>
  <c r="D918" i="17"/>
  <c r="D919" i="17"/>
  <c r="D920" i="17"/>
  <c r="AK861" i="17" l="1"/>
  <c r="AJ861" i="17"/>
  <c r="AK920" i="17"/>
  <c r="AJ920" i="17"/>
  <c r="AK908" i="17"/>
  <c r="AJ908" i="17"/>
  <c r="AK896" i="17"/>
  <c r="AJ896" i="17"/>
  <c r="AK884" i="17"/>
  <c r="AJ884" i="17"/>
  <c r="AK872" i="17"/>
  <c r="AJ872" i="17"/>
  <c r="AK860" i="17"/>
  <c r="AJ860" i="17"/>
  <c r="AK848" i="17"/>
  <c r="AJ848" i="17"/>
  <c r="AK836" i="17"/>
  <c r="AJ836" i="17"/>
  <c r="AK824" i="17"/>
  <c r="AJ824" i="17"/>
  <c r="AK812" i="17"/>
  <c r="AJ812" i="17"/>
  <c r="AK849" i="17"/>
  <c r="AJ849" i="17"/>
  <c r="AK919" i="17"/>
  <c r="AJ919" i="17"/>
  <c r="AK907" i="17"/>
  <c r="AJ907" i="17"/>
  <c r="AK895" i="17"/>
  <c r="AJ895" i="17"/>
  <c r="AK883" i="17"/>
  <c r="AJ883" i="17"/>
  <c r="AK871" i="17"/>
  <c r="AJ871" i="17"/>
  <c r="AK859" i="17"/>
  <c r="AJ859" i="17"/>
  <c r="AK847" i="17"/>
  <c r="AJ847" i="17"/>
  <c r="AK835" i="17"/>
  <c r="AJ835" i="17"/>
  <c r="AK823" i="17"/>
  <c r="AJ823" i="17"/>
  <c r="AK811" i="17"/>
  <c r="AJ811" i="17"/>
  <c r="AK837" i="17"/>
  <c r="AJ837" i="17"/>
  <c r="AK918" i="17"/>
  <c r="AJ918" i="17"/>
  <c r="AK906" i="17"/>
  <c r="AJ906" i="17"/>
  <c r="AK894" i="17"/>
  <c r="AJ894" i="17"/>
  <c r="AK882" i="17"/>
  <c r="AJ882" i="17"/>
  <c r="AK870" i="17"/>
  <c r="AJ870" i="17"/>
  <c r="AK858" i="17"/>
  <c r="AJ858" i="17"/>
  <c r="AK846" i="17"/>
  <c r="AJ846" i="17"/>
  <c r="AK834" i="17"/>
  <c r="AJ834" i="17"/>
  <c r="AK822" i="17"/>
  <c r="AJ822" i="17"/>
  <c r="AK810" i="17"/>
  <c r="AJ810" i="17"/>
  <c r="AK873" i="17"/>
  <c r="AJ873" i="17"/>
  <c r="AJ917" i="17"/>
  <c r="AK917" i="17"/>
  <c r="AJ905" i="17"/>
  <c r="AK905" i="17"/>
  <c r="AJ893" i="17"/>
  <c r="AK893" i="17"/>
  <c r="AJ881" i="17"/>
  <c r="AK881" i="17"/>
  <c r="AJ869" i="17"/>
  <c r="AK869" i="17"/>
  <c r="AJ857" i="17"/>
  <c r="AK857" i="17"/>
  <c r="AJ845" i="17"/>
  <c r="AK845" i="17"/>
  <c r="AJ833" i="17"/>
  <c r="AK833" i="17"/>
  <c r="AJ821" i="17"/>
  <c r="AK821" i="17"/>
  <c r="AJ809" i="17"/>
  <c r="AK809" i="17"/>
  <c r="AK916" i="17"/>
  <c r="AJ916" i="17"/>
  <c r="AK904" i="17"/>
  <c r="AJ904" i="17"/>
  <c r="AK892" i="17"/>
  <c r="AJ892" i="17"/>
  <c r="AK880" i="17"/>
  <c r="AJ880" i="17"/>
  <c r="AK868" i="17"/>
  <c r="AJ868" i="17"/>
  <c r="AK856" i="17"/>
  <c r="AJ856" i="17"/>
  <c r="AK844" i="17"/>
  <c r="AJ844" i="17"/>
  <c r="AK832" i="17"/>
  <c r="AJ832" i="17"/>
  <c r="AK820" i="17"/>
  <c r="AJ820" i="17"/>
  <c r="AK813" i="17"/>
  <c r="AJ813" i="17"/>
  <c r="AK915" i="17"/>
  <c r="AJ915" i="17"/>
  <c r="AK903" i="17"/>
  <c r="AJ903" i="17"/>
  <c r="AK891" i="17"/>
  <c r="AJ891" i="17"/>
  <c r="AK879" i="17"/>
  <c r="AJ879" i="17"/>
  <c r="AK867" i="17"/>
  <c r="AJ867" i="17"/>
  <c r="AK855" i="17"/>
  <c r="AJ855" i="17"/>
  <c r="AK843" i="17"/>
  <c r="AJ843" i="17"/>
  <c r="AK831" i="17"/>
  <c r="AJ831" i="17"/>
  <c r="AK819" i="17"/>
  <c r="AJ819" i="17"/>
  <c r="AJ909" i="17"/>
  <c r="AK909" i="17"/>
  <c r="AK914" i="17"/>
  <c r="AJ914" i="17"/>
  <c r="AK902" i="17"/>
  <c r="AJ902" i="17"/>
  <c r="AK890" i="17"/>
  <c r="AJ890" i="17"/>
  <c r="AK878" i="17"/>
  <c r="AJ878" i="17"/>
  <c r="AJ866" i="17"/>
  <c r="AK866" i="17" s="1"/>
  <c r="AK854" i="17"/>
  <c r="AJ854" i="17"/>
  <c r="AK842" i="17"/>
  <c r="AJ842" i="17"/>
  <c r="AK830" i="17"/>
  <c r="AJ830" i="17"/>
  <c r="AK818" i="17"/>
  <c r="AJ818" i="17"/>
  <c r="AK825" i="17"/>
  <c r="AJ825" i="17"/>
  <c r="AK913" i="17"/>
  <c r="AJ913" i="17"/>
  <c r="AK901" i="17"/>
  <c r="AJ901" i="17"/>
  <c r="AK889" i="17"/>
  <c r="AJ889" i="17"/>
  <c r="AK877" i="17"/>
  <c r="AJ877" i="17"/>
  <c r="AK865" i="17"/>
  <c r="AJ865" i="17"/>
  <c r="AK853" i="17"/>
  <c r="AJ853" i="17"/>
  <c r="AK841" i="17"/>
  <c r="AJ841" i="17"/>
  <c r="AK829" i="17"/>
  <c r="AJ829" i="17"/>
  <c r="AK817" i="17"/>
  <c r="AJ817" i="17"/>
  <c r="AJ912" i="17"/>
  <c r="AK912" i="17"/>
  <c r="AK900" i="17"/>
  <c r="AJ900" i="17"/>
  <c r="AJ888" i="17"/>
  <c r="AK888" i="17"/>
  <c r="AK876" i="17"/>
  <c r="AJ876" i="17"/>
  <c r="AJ864" i="17"/>
  <c r="AK864" i="17"/>
  <c r="AK852" i="17"/>
  <c r="AJ852" i="17"/>
  <c r="AJ840" i="17"/>
  <c r="AK840" i="17"/>
  <c r="AK828" i="17"/>
  <c r="AJ828" i="17"/>
  <c r="AJ816" i="17"/>
  <c r="AK816" i="17"/>
  <c r="AK897" i="17"/>
  <c r="AJ897" i="17"/>
  <c r="AJ911" i="17"/>
  <c r="AK911" i="17"/>
  <c r="AK899" i="17"/>
  <c r="AJ899" i="17"/>
  <c r="AJ887" i="17"/>
  <c r="AK887" i="17"/>
  <c r="AK875" i="17"/>
  <c r="AJ875" i="17"/>
  <c r="AJ863" i="17"/>
  <c r="AK863" i="17"/>
  <c r="AK851" i="17"/>
  <c r="AJ851" i="17"/>
  <c r="AJ839" i="17"/>
  <c r="AK839" i="17"/>
  <c r="AK827" i="17"/>
  <c r="AJ827" i="17"/>
  <c r="AJ815" i="17"/>
  <c r="AK815" i="17"/>
  <c r="AK885" i="17"/>
  <c r="AJ885" i="17"/>
  <c r="AK910" i="17"/>
  <c r="AJ910" i="17"/>
  <c r="AK898" i="17"/>
  <c r="AJ898" i="17"/>
  <c r="AK886" i="17"/>
  <c r="AJ886" i="17"/>
  <c r="AK874" i="17"/>
  <c r="AJ874" i="17"/>
  <c r="AK862" i="17"/>
  <c r="AJ862" i="17"/>
  <c r="AK850" i="17"/>
  <c r="AJ850" i="17"/>
  <c r="AK838" i="17"/>
  <c r="AJ838" i="17"/>
  <c r="AK826" i="17"/>
  <c r="AJ826" i="17"/>
  <c r="AK814" i="17"/>
  <c r="AJ814" i="17"/>
  <c r="V850" i="2" l="1"/>
  <c r="V818" i="2"/>
  <c r="V868" i="2"/>
  <c r="V815" i="2"/>
  <c r="V840" i="2"/>
  <c r="V833" i="2"/>
  <c r="V862" i="2"/>
  <c r="V877" i="2"/>
  <c r="V855" i="2"/>
  <c r="V846" i="2"/>
  <c r="V859" i="2"/>
  <c r="V872" i="2"/>
  <c r="V845" i="2"/>
  <c r="V917" i="2"/>
  <c r="V865" i="2"/>
  <c r="V830" i="2"/>
  <c r="V813" i="2"/>
  <c r="V918" i="2"/>
  <c r="V827" i="2"/>
  <c r="V899" i="2"/>
  <c r="V852" i="2"/>
  <c r="V817" i="2"/>
  <c r="V889" i="2"/>
  <c r="V842" i="2"/>
  <c r="V914" i="2"/>
  <c r="V867" i="2"/>
  <c r="V820" i="2"/>
  <c r="V892" i="2"/>
  <c r="V858" i="2"/>
  <c r="V837" i="2"/>
  <c r="V871" i="2"/>
  <c r="V812" i="2"/>
  <c r="V884" i="2"/>
  <c r="V890" i="2"/>
  <c r="V887" i="2"/>
  <c r="V912" i="2"/>
  <c r="V905" i="2"/>
  <c r="V902" i="2"/>
  <c r="V880" i="2"/>
  <c r="V849" i="2"/>
  <c r="V874" i="2"/>
  <c r="V839" i="2"/>
  <c r="V911" i="2"/>
  <c r="V864" i="2"/>
  <c r="V909" i="2"/>
  <c r="V857" i="2"/>
  <c r="V875" i="2"/>
  <c r="V829" i="2"/>
  <c r="V873" i="2"/>
  <c r="V870" i="2"/>
  <c r="V811" i="2"/>
  <c r="V883" i="2"/>
  <c r="V824" i="2"/>
  <c r="V896" i="2"/>
  <c r="V821" i="2"/>
  <c r="V828" i="2"/>
  <c r="V886" i="2"/>
  <c r="V854" i="2"/>
  <c r="V904" i="2"/>
  <c r="V869" i="2"/>
  <c r="V851" i="2"/>
  <c r="V841" i="2"/>
  <c r="V866" i="2"/>
  <c r="V891" i="2"/>
  <c r="V882" i="2"/>
  <c r="V836" i="2"/>
  <c r="V816" i="2"/>
  <c r="V809" i="2"/>
  <c r="V881" i="2"/>
  <c r="V885" i="2"/>
  <c r="V814" i="2"/>
  <c r="V901" i="2"/>
  <c r="V879" i="2"/>
  <c r="V832" i="2"/>
  <c r="V826" i="2"/>
  <c r="V898" i="2"/>
  <c r="V897" i="2"/>
  <c r="V876" i="2"/>
  <c r="V913" i="2"/>
  <c r="V819" i="2"/>
  <c r="V844" i="2"/>
  <c r="V916" i="2"/>
  <c r="V810" i="2"/>
  <c r="V823" i="2"/>
  <c r="V895" i="2"/>
  <c r="V908" i="2"/>
  <c r="V863" i="2"/>
  <c r="V888" i="2"/>
  <c r="V838" i="2"/>
  <c r="V910" i="2"/>
  <c r="V853" i="2"/>
  <c r="V825" i="2"/>
  <c r="V878" i="2"/>
  <c r="V831" i="2"/>
  <c r="V903" i="2"/>
  <c r="V856" i="2"/>
  <c r="V822" i="2"/>
  <c r="V894" i="2"/>
  <c r="V835" i="2"/>
  <c r="V907" i="2"/>
  <c r="V848" i="2"/>
  <c r="V920" i="2"/>
  <c r="V893" i="2"/>
  <c r="V900" i="2"/>
  <c r="V843" i="2"/>
  <c r="V915" i="2"/>
  <c r="V834" i="2"/>
  <c r="V906" i="2"/>
  <c r="V847" i="2"/>
  <c r="V919" i="2"/>
  <c r="V860" i="2"/>
  <c r="V861" i="2"/>
  <c r="AR810" i="2"/>
  <c r="R787" i="17" l="1"/>
  <c r="R788" i="17"/>
  <c r="R789" i="17"/>
  <c r="R790" i="17"/>
  <c r="R791" i="17"/>
  <c r="R792" i="17"/>
  <c r="R793" i="17"/>
  <c r="R794" i="17"/>
  <c r="R795" i="17"/>
  <c r="R796" i="17"/>
  <c r="R797" i="17"/>
  <c r="R798" i="17"/>
  <c r="R799" i="17"/>
  <c r="R800" i="17"/>
  <c r="R801" i="17"/>
  <c r="R802" i="17"/>
  <c r="R803" i="17"/>
  <c r="R804" i="17"/>
  <c r="R805" i="17"/>
  <c r="R806" i="17"/>
  <c r="R807" i="17"/>
  <c r="R808" i="17"/>
  <c r="D795" i="17"/>
  <c r="E795" i="17"/>
  <c r="F795" i="17"/>
  <c r="G795" i="17"/>
  <c r="H795" i="17"/>
  <c r="AF795" i="17" s="1"/>
  <c r="D796" i="17"/>
  <c r="E796" i="17"/>
  <c r="F796" i="17"/>
  <c r="G796" i="17"/>
  <c r="H796" i="17"/>
  <c r="AF796" i="17" s="1"/>
  <c r="D797" i="17"/>
  <c r="E797" i="17"/>
  <c r="F797" i="17"/>
  <c r="G797" i="17"/>
  <c r="H797" i="17"/>
  <c r="AF797" i="17" s="1"/>
  <c r="D798" i="17"/>
  <c r="E798" i="17"/>
  <c r="F798" i="17"/>
  <c r="G798" i="17"/>
  <c r="H798" i="17"/>
  <c r="AF798" i="17" s="1"/>
  <c r="D799" i="17"/>
  <c r="E799" i="17"/>
  <c r="F799" i="17"/>
  <c r="G799" i="17"/>
  <c r="H799" i="17"/>
  <c r="AF799" i="17" s="1"/>
  <c r="AJ799" i="17" s="1"/>
  <c r="AK799" i="17" s="1"/>
  <c r="D800" i="17"/>
  <c r="E800" i="17"/>
  <c r="F800" i="17"/>
  <c r="G800" i="17"/>
  <c r="H800" i="17"/>
  <c r="AF800" i="17" s="1"/>
  <c r="D801" i="17"/>
  <c r="E801" i="17"/>
  <c r="F801" i="17"/>
  <c r="G801" i="17"/>
  <c r="H801" i="17"/>
  <c r="AF801" i="17" s="1"/>
  <c r="D802" i="17"/>
  <c r="E802" i="17"/>
  <c r="F802" i="17"/>
  <c r="G802" i="17"/>
  <c r="H802" i="17"/>
  <c r="AF802" i="17" s="1"/>
  <c r="D803" i="17"/>
  <c r="E803" i="17"/>
  <c r="F803" i="17"/>
  <c r="G803" i="17"/>
  <c r="H803" i="17"/>
  <c r="AF803" i="17" s="1"/>
  <c r="D804" i="17"/>
  <c r="E804" i="17"/>
  <c r="F804" i="17"/>
  <c r="G804" i="17"/>
  <c r="H804" i="17"/>
  <c r="AF804" i="17" s="1"/>
  <c r="D805" i="17"/>
  <c r="E805" i="17"/>
  <c r="F805" i="17"/>
  <c r="G805" i="17"/>
  <c r="H805" i="17"/>
  <c r="AF805" i="17" s="1"/>
  <c r="D806" i="17"/>
  <c r="E806" i="17"/>
  <c r="F806" i="17"/>
  <c r="G806" i="17"/>
  <c r="H806" i="17"/>
  <c r="AF806" i="17" s="1"/>
  <c r="D807" i="17"/>
  <c r="E807" i="17"/>
  <c r="F807" i="17"/>
  <c r="G807" i="17"/>
  <c r="H807" i="17"/>
  <c r="AF807" i="17" s="1"/>
  <c r="D808" i="17"/>
  <c r="E808" i="17"/>
  <c r="F808" i="17"/>
  <c r="G808" i="17"/>
  <c r="H808" i="17"/>
  <c r="AF808" i="17" s="1"/>
  <c r="D788" i="17"/>
  <c r="E788" i="17"/>
  <c r="F788" i="17"/>
  <c r="G788" i="17"/>
  <c r="H788" i="17"/>
  <c r="AF788" i="17" s="1"/>
  <c r="D789" i="17"/>
  <c r="E789" i="17"/>
  <c r="F789" i="17"/>
  <c r="G789" i="17"/>
  <c r="H789" i="17"/>
  <c r="AF789" i="17" s="1"/>
  <c r="D790" i="17"/>
  <c r="E790" i="17"/>
  <c r="F790" i="17"/>
  <c r="G790" i="17"/>
  <c r="H790" i="17"/>
  <c r="AF790" i="17" s="1"/>
  <c r="D791" i="17"/>
  <c r="E791" i="17"/>
  <c r="F791" i="17"/>
  <c r="G791" i="17"/>
  <c r="H791" i="17"/>
  <c r="AF791" i="17" s="1"/>
  <c r="D792" i="17"/>
  <c r="E792" i="17"/>
  <c r="F792" i="17"/>
  <c r="G792" i="17"/>
  <c r="H792" i="17"/>
  <c r="AF792" i="17" s="1"/>
  <c r="D793" i="17"/>
  <c r="E793" i="17"/>
  <c r="F793" i="17"/>
  <c r="G793" i="17"/>
  <c r="H793" i="17"/>
  <c r="AF793" i="17" s="1"/>
  <c r="D794" i="17"/>
  <c r="E794" i="17"/>
  <c r="F794" i="17"/>
  <c r="G794" i="17"/>
  <c r="H794" i="17"/>
  <c r="AF794" i="17" s="1"/>
  <c r="H787" i="17"/>
  <c r="AF787" i="17" s="1"/>
  <c r="G787" i="17"/>
  <c r="F787" i="17"/>
  <c r="E787" i="17"/>
  <c r="D787" i="17"/>
  <c r="V799" i="2" l="1"/>
  <c r="AJ791" i="17"/>
  <c r="AK791" i="17"/>
  <c r="AK807" i="17"/>
  <c r="AJ807" i="17"/>
  <c r="AK802" i="17"/>
  <c r="AJ802" i="17"/>
  <c r="AK788" i="17"/>
  <c r="AJ788" i="17"/>
  <c r="AK797" i="17"/>
  <c r="AJ797" i="17"/>
  <c r="AK800" i="17"/>
  <c r="AJ800" i="17"/>
  <c r="AK793" i="17"/>
  <c r="AJ793" i="17"/>
  <c r="AK804" i="17"/>
  <c r="AJ804" i="17"/>
  <c r="AK792" i="17"/>
  <c r="AJ792" i="17"/>
  <c r="AK808" i="17"/>
  <c r="AJ808" i="17"/>
  <c r="AJ796" i="17"/>
  <c r="AK796" i="17"/>
  <c r="AK806" i="17"/>
  <c r="AJ806" i="17"/>
  <c r="AK787" i="17"/>
  <c r="AJ787" i="17"/>
  <c r="AK803" i="17"/>
  <c r="AJ803" i="17"/>
  <c r="AK789" i="17"/>
  <c r="AJ789" i="17"/>
  <c r="AK798" i="17"/>
  <c r="AJ798" i="17"/>
  <c r="AJ790" i="17"/>
  <c r="AK790" i="17"/>
  <c r="AK801" i="17"/>
  <c r="AJ801" i="17"/>
  <c r="AK794" i="17"/>
  <c r="AJ794" i="17"/>
  <c r="AK805" i="17"/>
  <c r="AJ805" i="17"/>
  <c r="AK795" i="17"/>
  <c r="AJ795" i="17"/>
  <c r="AR808" i="2"/>
  <c r="V801" i="2" l="1"/>
  <c r="V806" i="2"/>
  <c r="V800" i="2"/>
  <c r="V790" i="2"/>
  <c r="V796" i="2"/>
  <c r="V797" i="2"/>
  <c r="V794" i="2"/>
  <c r="V798" i="2"/>
  <c r="V808" i="2"/>
  <c r="V788" i="2"/>
  <c r="V787" i="2"/>
  <c r="V793" i="2"/>
  <c r="V795" i="2"/>
  <c r="V789" i="2"/>
  <c r="V792" i="2"/>
  <c r="V802" i="2"/>
  <c r="V805" i="2"/>
  <c r="V803" i="2"/>
  <c r="V804" i="2"/>
  <c r="V807" i="2"/>
  <c r="V791" i="2"/>
  <c r="AR806" i="2"/>
  <c r="C787" i="17" l="1"/>
  <c r="C788" i="17"/>
  <c r="C789" i="17"/>
  <c r="C790" i="17"/>
  <c r="C791" i="17"/>
  <c r="C792" i="17"/>
  <c r="C793" i="17"/>
  <c r="C794" i="17"/>
  <c r="C795" i="17"/>
  <c r="C796" i="17"/>
  <c r="C797" i="17"/>
  <c r="C798" i="17"/>
  <c r="C799" i="17"/>
  <c r="C800" i="17"/>
  <c r="C801" i="17"/>
  <c r="C802" i="17"/>
  <c r="C803" i="17"/>
  <c r="C804" i="17"/>
  <c r="C805" i="17"/>
  <c r="C806" i="17"/>
  <c r="C807" i="17"/>
  <c r="C808" i="17"/>
  <c r="C809" i="17"/>
  <c r="C810" i="17"/>
  <c r="C811" i="17"/>
  <c r="C812" i="17"/>
  <c r="C813" i="17"/>
  <c r="C814" i="17"/>
  <c r="C815" i="17"/>
  <c r="C816" i="17"/>
  <c r="C817" i="17"/>
  <c r="C818" i="17"/>
  <c r="C819" i="17"/>
  <c r="C820" i="17"/>
  <c r="C821" i="17"/>
  <c r="C822" i="17"/>
  <c r="C823" i="17"/>
  <c r="C824" i="17"/>
  <c r="C825" i="17"/>
  <c r="C826" i="17"/>
  <c r="C827" i="17"/>
  <c r="C828" i="17"/>
  <c r="C829" i="17"/>
  <c r="C830" i="17"/>
  <c r="C831" i="17"/>
  <c r="C832" i="17"/>
  <c r="C833" i="17"/>
  <c r="C834" i="17"/>
  <c r="C835" i="17"/>
  <c r="C836" i="17"/>
  <c r="C837" i="17"/>
  <c r="C838" i="17"/>
  <c r="C839" i="17"/>
  <c r="C840" i="17"/>
  <c r="C841" i="17"/>
  <c r="C842" i="17"/>
  <c r="C843" i="17"/>
  <c r="C844" i="17"/>
  <c r="C845" i="17"/>
  <c r="C846" i="17"/>
  <c r="C847" i="17"/>
  <c r="C848" i="17"/>
  <c r="C849" i="17"/>
  <c r="C850" i="17"/>
  <c r="C851" i="17"/>
  <c r="C852" i="17"/>
  <c r="C853" i="17"/>
  <c r="C854" i="17"/>
  <c r="C855" i="17"/>
  <c r="C856" i="17"/>
  <c r="C857" i="17"/>
  <c r="C858" i="17"/>
  <c r="C860" i="17"/>
  <c r="C861" i="17"/>
  <c r="C862" i="17"/>
  <c r="C863" i="17"/>
  <c r="C864" i="17"/>
  <c r="C865" i="17"/>
  <c r="C866" i="17"/>
  <c r="C867" i="17"/>
  <c r="C868" i="17"/>
  <c r="C869" i="17"/>
  <c r="C870" i="17"/>
  <c r="C871" i="17"/>
  <c r="C872" i="17"/>
  <c r="C873" i="17"/>
  <c r="C874" i="17"/>
  <c r="C875" i="17"/>
  <c r="C876" i="17"/>
  <c r="C877" i="17"/>
  <c r="C878" i="17"/>
  <c r="C879" i="17"/>
  <c r="C880" i="17"/>
  <c r="C881" i="17"/>
  <c r="C882" i="17"/>
  <c r="C883" i="17"/>
  <c r="C884" i="17"/>
  <c r="C885" i="17"/>
  <c r="C886" i="17"/>
  <c r="C887" i="17"/>
  <c r="C888" i="17"/>
  <c r="C889" i="17"/>
  <c r="C890" i="17"/>
  <c r="C891" i="17"/>
  <c r="C892" i="17"/>
  <c r="C893" i="17"/>
  <c r="C894" i="17"/>
  <c r="C895" i="17"/>
  <c r="C896" i="17"/>
  <c r="C897" i="17"/>
  <c r="C898" i="17"/>
  <c r="C899" i="17"/>
  <c r="C900" i="17"/>
  <c r="C901" i="17"/>
  <c r="C902" i="17"/>
  <c r="C903" i="17"/>
  <c r="C904" i="17"/>
  <c r="C905" i="17"/>
  <c r="C906" i="17"/>
  <c r="C907" i="17"/>
  <c r="C908" i="17"/>
  <c r="C909" i="17"/>
  <c r="C910" i="17"/>
  <c r="C911" i="17"/>
  <c r="C912" i="17"/>
  <c r="C913" i="17"/>
  <c r="C914" i="17"/>
  <c r="C915" i="17"/>
  <c r="C916" i="17"/>
  <c r="C917" i="17"/>
  <c r="C918" i="17"/>
  <c r="C919" i="17"/>
  <c r="C920" i="17"/>
  <c r="H786" i="17"/>
  <c r="AF786" i="17" s="1"/>
  <c r="G786" i="17"/>
  <c r="F786" i="17"/>
  <c r="E786" i="17"/>
  <c r="D786" i="17"/>
  <c r="C786" i="17"/>
  <c r="B787" i="17"/>
  <c r="B788" i="17"/>
  <c r="B789" i="17"/>
  <c r="B790" i="17"/>
  <c r="B791" i="17"/>
  <c r="B792" i="17"/>
  <c r="B793" i="17"/>
  <c r="B794" i="17"/>
  <c r="B795" i="17"/>
  <c r="B796" i="17"/>
  <c r="B797" i="17"/>
  <c r="B798" i="17"/>
  <c r="B799" i="17"/>
  <c r="B800" i="17"/>
  <c r="B801" i="17"/>
  <c r="B802" i="17"/>
  <c r="B803" i="17"/>
  <c r="B804" i="17"/>
  <c r="B805" i="17"/>
  <c r="B806" i="17"/>
  <c r="B807" i="17"/>
  <c r="B808" i="17"/>
  <c r="B809" i="17"/>
  <c r="B810" i="17"/>
  <c r="B811" i="17"/>
  <c r="B812" i="17"/>
  <c r="B813" i="17"/>
  <c r="B814" i="17"/>
  <c r="B815" i="17"/>
  <c r="B816" i="17"/>
  <c r="B817" i="17"/>
  <c r="B818" i="17"/>
  <c r="B819" i="17"/>
  <c r="B820" i="17"/>
  <c r="B821" i="17"/>
  <c r="B822" i="17"/>
  <c r="B823" i="17"/>
  <c r="B824" i="17"/>
  <c r="B825" i="17"/>
  <c r="B826" i="17"/>
  <c r="B827" i="17"/>
  <c r="B828" i="17"/>
  <c r="B829" i="17"/>
  <c r="B830" i="17"/>
  <c r="B831" i="17"/>
  <c r="B832" i="17"/>
  <c r="B833" i="17"/>
  <c r="B834" i="17"/>
  <c r="B835" i="17"/>
  <c r="B836" i="17"/>
  <c r="B837" i="17"/>
  <c r="B838" i="17"/>
  <c r="B839" i="17"/>
  <c r="B840" i="17"/>
  <c r="B841" i="17"/>
  <c r="B842" i="17"/>
  <c r="B843" i="17"/>
  <c r="B844" i="17"/>
  <c r="B845" i="17"/>
  <c r="B846" i="17"/>
  <c r="B847" i="17"/>
  <c r="B848" i="17"/>
  <c r="B849" i="17"/>
  <c r="B850" i="17"/>
  <c r="B851" i="17"/>
  <c r="B852" i="17"/>
  <c r="B853" i="17"/>
  <c r="B854" i="17"/>
  <c r="B855" i="17"/>
  <c r="B856" i="17"/>
  <c r="B857" i="17"/>
  <c r="B858" i="17"/>
  <c r="B859" i="17"/>
  <c r="B860" i="17"/>
  <c r="B861" i="17"/>
  <c r="B862" i="17"/>
  <c r="B863" i="17"/>
  <c r="B864" i="17"/>
  <c r="B865" i="17"/>
  <c r="B866" i="17"/>
  <c r="B867" i="17"/>
  <c r="B868" i="17"/>
  <c r="B869" i="17"/>
  <c r="B870" i="17"/>
  <c r="B871" i="17"/>
  <c r="B872" i="17"/>
  <c r="B873" i="17"/>
  <c r="B874" i="17"/>
  <c r="B875" i="17"/>
  <c r="B876" i="17"/>
  <c r="B877" i="17"/>
  <c r="B878" i="17"/>
  <c r="B879" i="17"/>
  <c r="B880" i="17"/>
  <c r="B881" i="17"/>
  <c r="B882" i="17"/>
  <c r="B883" i="17"/>
  <c r="B884" i="17"/>
  <c r="B885" i="17"/>
  <c r="B886" i="17"/>
  <c r="B887" i="17"/>
  <c r="B888" i="17"/>
  <c r="B889" i="17"/>
  <c r="B890" i="17"/>
  <c r="B891" i="17"/>
  <c r="B892" i="17"/>
  <c r="B893" i="17"/>
  <c r="B894" i="17"/>
  <c r="B895" i="17"/>
  <c r="B896" i="17"/>
  <c r="B897" i="17"/>
  <c r="B898" i="17"/>
  <c r="B899" i="17"/>
  <c r="B900" i="17"/>
  <c r="B901" i="17"/>
  <c r="B902" i="17"/>
  <c r="B903" i="17"/>
  <c r="B904" i="17"/>
  <c r="B905" i="17"/>
  <c r="B906" i="17"/>
  <c r="B907" i="17"/>
  <c r="B908" i="17"/>
  <c r="B909" i="17"/>
  <c r="B910" i="17"/>
  <c r="B911" i="17"/>
  <c r="B912" i="17"/>
  <c r="B913" i="17"/>
  <c r="B914" i="17"/>
  <c r="B915" i="17"/>
  <c r="B916" i="17"/>
  <c r="B917" i="17"/>
  <c r="B918" i="17"/>
  <c r="B919" i="17"/>
  <c r="B920" i="17"/>
  <c r="B786" i="17"/>
  <c r="AK786" i="17" l="1"/>
  <c r="AJ786" i="17"/>
  <c r="AR1000" i="2"/>
  <c r="AR999" i="2"/>
  <c r="AR998" i="2"/>
  <c r="AR997" i="2"/>
  <c r="AR996" i="2"/>
  <c r="AR995" i="2"/>
  <c r="AR994" i="2"/>
  <c r="AR993" i="2"/>
  <c r="AR992" i="2"/>
  <c r="AR991" i="2"/>
  <c r="AR990" i="2"/>
  <c r="AR989" i="2"/>
  <c r="AR988" i="2"/>
  <c r="AR987" i="2"/>
  <c r="AR986" i="2"/>
  <c r="AR985" i="2"/>
  <c r="AR984" i="2"/>
  <c r="AR983" i="2"/>
  <c r="AR982" i="2"/>
  <c r="AR981" i="2"/>
  <c r="AR980" i="2"/>
  <c r="AR979" i="2"/>
  <c r="AR978" i="2"/>
  <c r="AR977" i="2"/>
  <c r="AR976" i="2"/>
  <c r="AR975" i="2"/>
  <c r="AR974" i="2"/>
  <c r="AR973" i="2"/>
  <c r="AR972" i="2"/>
  <c r="AR971" i="2"/>
  <c r="AR970" i="2"/>
  <c r="AR969" i="2"/>
  <c r="AR968" i="2"/>
  <c r="AR967" i="2"/>
  <c r="AR966" i="2"/>
  <c r="AR965" i="2"/>
  <c r="AR964" i="2"/>
  <c r="AR963" i="2"/>
  <c r="AR962" i="2"/>
  <c r="AR961" i="2"/>
  <c r="AR960" i="2"/>
  <c r="AR959" i="2"/>
  <c r="AR958" i="2"/>
  <c r="AR957" i="2"/>
  <c r="AR956" i="2"/>
  <c r="AR955" i="2"/>
  <c r="AR954" i="2"/>
  <c r="AR953" i="2"/>
  <c r="AR952" i="2"/>
  <c r="AR951" i="2"/>
  <c r="AR950" i="2"/>
  <c r="AR949" i="2"/>
  <c r="AR948" i="2"/>
  <c r="AR947" i="2"/>
  <c r="AR946" i="2"/>
  <c r="AR945" i="2"/>
  <c r="AR944" i="2"/>
  <c r="AR943" i="2"/>
  <c r="AR942" i="2"/>
  <c r="AR941" i="2"/>
  <c r="AR940" i="2"/>
  <c r="AR939" i="2"/>
  <c r="AR938" i="2"/>
  <c r="AR937" i="2"/>
  <c r="AR936" i="2"/>
  <c r="AR935" i="2"/>
  <c r="AR934" i="2"/>
  <c r="AR933" i="2"/>
  <c r="AR932" i="2"/>
  <c r="AR931" i="2"/>
  <c r="AR930" i="2"/>
  <c r="AR929" i="2"/>
  <c r="AR928" i="2"/>
  <c r="AR927" i="2"/>
  <c r="AR926" i="2"/>
  <c r="AR925" i="2"/>
  <c r="AR924" i="2"/>
  <c r="AR923" i="2"/>
  <c r="AR922" i="2"/>
  <c r="AR921" i="2"/>
  <c r="AR920" i="2"/>
  <c r="R920" i="2"/>
  <c r="AR919" i="2"/>
  <c r="R919" i="2"/>
  <c r="AR918" i="2"/>
  <c r="R918" i="2"/>
  <c r="AR917" i="2"/>
  <c r="R917" i="2"/>
  <c r="AR916" i="2"/>
  <c r="R916" i="2"/>
  <c r="AR915" i="2"/>
  <c r="R915" i="2"/>
  <c r="AR914" i="2"/>
  <c r="R914" i="2"/>
  <c r="AR913" i="2"/>
  <c r="R913" i="2"/>
  <c r="AR912" i="2"/>
  <c r="R912" i="2"/>
  <c r="AR911" i="2"/>
  <c r="R911" i="2"/>
  <c r="AR910" i="2"/>
  <c r="R910" i="2"/>
  <c r="AR909" i="2"/>
  <c r="R909" i="2"/>
  <c r="AR908" i="2"/>
  <c r="R908" i="2"/>
  <c r="AR907" i="2"/>
  <c r="R907" i="2"/>
  <c r="AR906" i="2"/>
  <c r="R906" i="2"/>
  <c r="AR905" i="2"/>
  <c r="R905" i="2"/>
  <c r="AR904" i="2"/>
  <c r="R904" i="2"/>
  <c r="AR903" i="2"/>
  <c r="R903" i="2"/>
  <c r="AR902" i="2"/>
  <c r="R902" i="2"/>
  <c r="AR901" i="2"/>
  <c r="R901" i="2"/>
  <c r="AR900" i="2"/>
  <c r="R900" i="2"/>
  <c r="AR899" i="2"/>
  <c r="R899" i="2"/>
  <c r="AR898" i="2"/>
  <c r="R898" i="2"/>
  <c r="AR897" i="2"/>
  <c r="R897" i="2"/>
  <c r="AR896" i="2"/>
  <c r="R896" i="2"/>
  <c r="AR895" i="2"/>
  <c r="R895" i="2"/>
  <c r="AR894" i="2"/>
  <c r="R894" i="2"/>
  <c r="AR893" i="2"/>
  <c r="R893" i="2"/>
  <c r="AR892" i="2"/>
  <c r="R892" i="2"/>
  <c r="AR891" i="2"/>
  <c r="R891" i="2"/>
  <c r="AR890" i="2"/>
  <c r="R890" i="2"/>
  <c r="AR889" i="2"/>
  <c r="R889" i="2"/>
  <c r="AR888" i="2"/>
  <c r="R888" i="2"/>
  <c r="AR887" i="2"/>
  <c r="R887" i="2"/>
  <c r="AR886" i="2"/>
  <c r="R886" i="2"/>
  <c r="R885" i="2"/>
  <c r="AR884" i="2"/>
  <c r="R884" i="2"/>
  <c r="AR883" i="2"/>
  <c r="R883" i="2"/>
  <c r="AR882" i="2"/>
  <c r="R882" i="2"/>
  <c r="AR881" i="2"/>
  <c r="R881" i="2"/>
  <c r="AR880" i="2"/>
  <c r="R880" i="2"/>
  <c r="AR879" i="2"/>
  <c r="R879" i="2"/>
  <c r="AR878" i="2"/>
  <c r="R878" i="2"/>
  <c r="AR877" i="2"/>
  <c r="R877" i="2"/>
  <c r="AR876" i="2"/>
  <c r="R876" i="2"/>
  <c r="AR875" i="2"/>
  <c r="R875" i="2"/>
  <c r="AR874" i="2"/>
  <c r="R874" i="2"/>
  <c r="AR873" i="2"/>
  <c r="R873" i="2"/>
  <c r="AR872" i="2"/>
  <c r="R872" i="2"/>
  <c r="AR871" i="2"/>
  <c r="R871" i="2"/>
  <c r="AR870" i="2"/>
  <c r="R870" i="2"/>
  <c r="AR869" i="2"/>
  <c r="R869" i="2"/>
  <c r="AR868" i="2"/>
  <c r="R868" i="2"/>
  <c r="AR867" i="2"/>
  <c r="R867" i="2"/>
  <c r="AR866" i="2"/>
  <c r="R866" i="2"/>
  <c r="AR865" i="2"/>
  <c r="R865" i="2"/>
  <c r="AR864" i="2"/>
  <c r="R864" i="2"/>
  <c r="AR863" i="2"/>
  <c r="R863" i="2"/>
  <c r="AR862" i="2"/>
  <c r="R862" i="2"/>
  <c r="AR861" i="2"/>
  <c r="R861" i="2"/>
  <c r="AR860" i="2"/>
  <c r="R860" i="2"/>
  <c r="AR859" i="2"/>
  <c r="R859" i="2"/>
  <c r="AR858" i="2"/>
  <c r="R858" i="2"/>
  <c r="AR857" i="2"/>
  <c r="R857" i="2"/>
  <c r="AR856" i="2"/>
  <c r="R856" i="2"/>
  <c r="AR855" i="2"/>
  <c r="R855" i="2"/>
  <c r="AR854" i="2"/>
  <c r="R854" i="2"/>
  <c r="AR853" i="2"/>
  <c r="R853" i="2"/>
  <c r="AR852" i="2"/>
  <c r="R852" i="2"/>
  <c r="AR851" i="2"/>
  <c r="R851" i="2"/>
  <c r="AR850" i="2"/>
  <c r="R850" i="2"/>
  <c r="AR849" i="2"/>
  <c r="R849" i="2"/>
  <c r="AR848" i="2"/>
  <c r="R848" i="2"/>
  <c r="AR847" i="2"/>
  <c r="R847" i="2"/>
  <c r="AR846" i="2"/>
  <c r="R846" i="2"/>
  <c r="AR845" i="2"/>
  <c r="R845" i="2"/>
  <c r="AR844" i="2"/>
  <c r="R844" i="2"/>
  <c r="AR843" i="2"/>
  <c r="R843" i="2"/>
  <c r="AR842" i="2"/>
  <c r="R842" i="2"/>
  <c r="AR841" i="2"/>
  <c r="R841" i="2"/>
  <c r="AR840" i="2"/>
  <c r="R840" i="2"/>
  <c r="AR839" i="2"/>
  <c r="R839" i="2"/>
  <c r="AR838" i="2"/>
  <c r="R838" i="2"/>
  <c r="AR837" i="2"/>
  <c r="R837" i="2"/>
  <c r="AR836" i="2"/>
  <c r="R836" i="2"/>
  <c r="AR835" i="2"/>
  <c r="R835" i="2"/>
  <c r="AR834" i="2"/>
  <c r="R834" i="2"/>
  <c r="AR833" i="2"/>
  <c r="R833" i="2"/>
  <c r="AR832" i="2"/>
  <c r="R832" i="2"/>
  <c r="AR831" i="2"/>
  <c r="R831" i="2"/>
  <c r="AR830" i="2"/>
  <c r="R830" i="2"/>
  <c r="AR829" i="2"/>
  <c r="R829" i="2"/>
  <c r="AR828" i="2"/>
  <c r="R828" i="2"/>
  <c r="AR827" i="2"/>
  <c r="R827" i="2"/>
  <c r="AR826" i="2"/>
  <c r="R826" i="2"/>
  <c r="AR825" i="2"/>
  <c r="R825" i="2"/>
  <c r="AR824" i="2"/>
  <c r="R824" i="2"/>
  <c r="AR823" i="2"/>
  <c r="R823" i="2"/>
  <c r="AR822" i="2"/>
  <c r="R822" i="2"/>
  <c r="AR821" i="2"/>
  <c r="R821" i="2"/>
  <c r="AR820" i="2"/>
  <c r="R820" i="2"/>
  <c r="AR819" i="2"/>
  <c r="R819" i="2"/>
  <c r="AR818" i="2"/>
  <c r="R818" i="2"/>
  <c r="AR817" i="2"/>
  <c r="R817" i="2"/>
  <c r="AR816" i="2"/>
  <c r="R816" i="2"/>
  <c r="AR815" i="2"/>
  <c r="R815" i="2"/>
  <c r="AR814" i="2"/>
  <c r="R814" i="2"/>
  <c r="AR813" i="2"/>
  <c r="R813" i="2"/>
  <c r="AR812" i="2"/>
  <c r="R812" i="2"/>
  <c r="AR811" i="2"/>
  <c r="R811" i="2"/>
  <c r="R810" i="2"/>
  <c r="AR809" i="2"/>
  <c r="R809" i="2"/>
  <c r="R808" i="2"/>
  <c r="AR807" i="2"/>
  <c r="R807" i="2"/>
  <c r="R806" i="2"/>
  <c r="AR805" i="2"/>
  <c r="R805" i="2"/>
  <c r="AR804" i="2"/>
  <c r="R804" i="2"/>
  <c r="AR803" i="2"/>
  <c r="R803" i="2"/>
  <c r="AR802" i="2"/>
  <c r="R802" i="2"/>
  <c r="AR801" i="2"/>
  <c r="R801" i="2"/>
  <c r="AR800" i="2"/>
  <c r="R800" i="2"/>
  <c r="AR799" i="2"/>
  <c r="R799" i="2"/>
  <c r="AR798" i="2"/>
  <c r="R798" i="2"/>
  <c r="AR797" i="2"/>
  <c r="R797" i="2"/>
  <c r="AR796" i="2"/>
  <c r="R796" i="2"/>
  <c r="AR795" i="2"/>
  <c r="R795" i="2"/>
  <c r="V786" i="2" l="1"/>
  <c r="AR791" i="2" l="1"/>
  <c r="AR792" i="2"/>
  <c r="AR793" i="2"/>
  <c r="AR794"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57" i="2" l="1"/>
  <c r="R758" i="2"/>
  <c r="R759" i="2"/>
  <c r="R760" i="2"/>
  <c r="R761" i="2"/>
  <c r="H758" i="17" l="1"/>
  <c r="AF758" i="17" s="1"/>
  <c r="H759" i="17"/>
  <c r="AF759" i="17" s="1"/>
  <c r="H760" i="17"/>
  <c r="AF760" i="17" s="1"/>
  <c r="H761" i="17"/>
  <c r="AF761" i="17" s="1"/>
  <c r="G758" i="17"/>
  <c r="G759" i="17"/>
  <c r="G760" i="17"/>
  <c r="G761" i="17"/>
  <c r="F758" i="17"/>
  <c r="F759" i="17"/>
  <c r="F760" i="17"/>
  <c r="F761" i="17"/>
  <c r="E758" i="17"/>
  <c r="E759" i="17"/>
  <c r="E760" i="17"/>
  <c r="E761" i="17"/>
  <c r="D758" i="17"/>
  <c r="D759" i="17"/>
  <c r="D760" i="17"/>
  <c r="D761" i="17"/>
  <c r="B757" i="17"/>
  <c r="C758" i="17"/>
  <c r="C759" i="17"/>
  <c r="C760" i="17"/>
  <c r="C761" i="17"/>
  <c r="B758" i="17"/>
  <c r="B759" i="17"/>
  <c r="B760" i="17"/>
  <c r="B761" i="17"/>
  <c r="AR758" i="2"/>
  <c r="AR759" i="2"/>
  <c r="AR760" i="2"/>
  <c r="AR761" i="2"/>
  <c r="AR762" i="2"/>
  <c r="AR763" i="2"/>
  <c r="AR764" i="2"/>
  <c r="AR765" i="2"/>
  <c r="AR766" i="2"/>
  <c r="AR767" i="2"/>
  <c r="AR768" i="2"/>
  <c r="AR769" i="2"/>
  <c r="AR770" i="2"/>
  <c r="AR771" i="2"/>
  <c r="AR772" i="2"/>
  <c r="AR773" i="2"/>
  <c r="AR774" i="2"/>
  <c r="AR775" i="2"/>
  <c r="AR776" i="2"/>
  <c r="AR777" i="2"/>
  <c r="AR778" i="2"/>
  <c r="AR779" i="2"/>
  <c r="AR780" i="2"/>
  <c r="AR781" i="2"/>
  <c r="AR782" i="2"/>
  <c r="AR783" i="2"/>
  <c r="AR784" i="2"/>
  <c r="AR785" i="2"/>
  <c r="AR786" i="2"/>
  <c r="AR787" i="2"/>
  <c r="AR788" i="2"/>
  <c r="AR789" i="2"/>
  <c r="AR790" i="2"/>
  <c r="R758" i="17"/>
  <c r="R759" i="17"/>
  <c r="R760" i="17"/>
  <c r="R761" i="17"/>
  <c r="R762" i="17"/>
  <c r="R763" i="17"/>
  <c r="R764" i="17"/>
  <c r="R765" i="17"/>
  <c r="R766" i="17"/>
  <c r="R767" i="17"/>
  <c r="R768" i="17"/>
  <c r="R769" i="17"/>
  <c r="R770" i="17"/>
  <c r="R771" i="17"/>
  <c r="R772" i="17"/>
  <c r="R773" i="17"/>
  <c r="R774" i="17"/>
  <c r="R775" i="17"/>
  <c r="R776" i="17"/>
  <c r="R777" i="17"/>
  <c r="R778" i="17"/>
  <c r="R779" i="17"/>
  <c r="R780" i="17"/>
  <c r="R781" i="17"/>
  <c r="R782" i="17"/>
  <c r="R783" i="17"/>
  <c r="R784" i="17"/>
  <c r="R785" i="17"/>
  <c r="R786" i="17"/>
  <c r="H762" i="17"/>
  <c r="AF762" i="17" s="1"/>
  <c r="H763" i="17"/>
  <c r="AF763" i="17" s="1"/>
  <c r="H764" i="17"/>
  <c r="AF764" i="17" s="1"/>
  <c r="H765" i="17"/>
  <c r="AF765" i="17" s="1"/>
  <c r="H766" i="17"/>
  <c r="AF766" i="17" s="1"/>
  <c r="H767" i="17"/>
  <c r="AF767" i="17" s="1"/>
  <c r="H768" i="17"/>
  <c r="AF768" i="17" s="1"/>
  <c r="H769" i="17"/>
  <c r="AF769" i="17" s="1"/>
  <c r="H770" i="17"/>
  <c r="AF770" i="17" s="1"/>
  <c r="H771" i="17"/>
  <c r="AF771" i="17" s="1"/>
  <c r="H772" i="17"/>
  <c r="AF772" i="17" s="1"/>
  <c r="H773" i="17"/>
  <c r="AF773" i="17" s="1"/>
  <c r="H774" i="17"/>
  <c r="AF774" i="17" s="1"/>
  <c r="H775" i="17"/>
  <c r="AF775" i="17" s="1"/>
  <c r="H776" i="17"/>
  <c r="AF776" i="17" s="1"/>
  <c r="H777" i="17"/>
  <c r="AF777" i="17" s="1"/>
  <c r="H778" i="17"/>
  <c r="AF778" i="17" s="1"/>
  <c r="H779" i="17"/>
  <c r="AF779" i="17" s="1"/>
  <c r="H780" i="17"/>
  <c r="AF780" i="17" s="1"/>
  <c r="H781" i="17"/>
  <c r="AF781" i="17" s="1"/>
  <c r="H782" i="17"/>
  <c r="AF782" i="17" s="1"/>
  <c r="H783" i="17"/>
  <c r="AF783" i="17" s="1"/>
  <c r="H784" i="17"/>
  <c r="AF784" i="17" s="1"/>
  <c r="H785" i="17"/>
  <c r="AF785" i="17" s="1"/>
  <c r="G762" i="17"/>
  <c r="G763" i="17"/>
  <c r="G764" i="17"/>
  <c r="G765" i="17"/>
  <c r="G766" i="17"/>
  <c r="G767" i="17"/>
  <c r="G768" i="17"/>
  <c r="G769" i="17"/>
  <c r="G770" i="17"/>
  <c r="G771" i="17"/>
  <c r="G772" i="17"/>
  <c r="G773" i="17"/>
  <c r="G774" i="17"/>
  <c r="G775" i="17"/>
  <c r="G776" i="17"/>
  <c r="G777" i="17"/>
  <c r="G778" i="17"/>
  <c r="G779" i="17"/>
  <c r="G780" i="17"/>
  <c r="G781" i="17"/>
  <c r="G782" i="17"/>
  <c r="G783" i="17"/>
  <c r="G784" i="17"/>
  <c r="G785" i="17"/>
  <c r="F762" i="17"/>
  <c r="F763" i="17"/>
  <c r="F764" i="17"/>
  <c r="F765" i="17"/>
  <c r="F766" i="17"/>
  <c r="F767" i="17"/>
  <c r="F768" i="17"/>
  <c r="F769" i="17"/>
  <c r="F770" i="17"/>
  <c r="F771" i="17"/>
  <c r="F772" i="17"/>
  <c r="F773" i="17"/>
  <c r="F774" i="17"/>
  <c r="F775" i="17"/>
  <c r="F776" i="17"/>
  <c r="F777" i="17"/>
  <c r="F778" i="17"/>
  <c r="F779" i="17"/>
  <c r="F780" i="17"/>
  <c r="F781" i="17"/>
  <c r="F782" i="17"/>
  <c r="F783" i="17"/>
  <c r="F784" i="17"/>
  <c r="F785" i="17"/>
  <c r="E762" i="17"/>
  <c r="E763" i="17"/>
  <c r="E764" i="17"/>
  <c r="E765" i="17"/>
  <c r="E766" i="17"/>
  <c r="E767" i="17"/>
  <c r="E768" i="17"/>
  <c r="E769" i="17"/>
  <c r="E770" i="17"/>
  <c r="E771" i="17"/>
  <c r="E772" i="17"/>
  <c r="E773" i="17"/>
  <c r="E774" i="17"/>
  <c r="E775" i="17"/>
  <c r="E776" i="17"/>
  <c r="E777" i="17"/>
  <c r="E778" i="17"/>
  <c r="E779" i="17"/>
  <c r="E780" i="17"/>
  <c r="E781" i="17"/>
  <c r="E782" i="17"/>
  <c r="E783" i="17"/>
  <c r="E784" i="17"/>
  <c r="E785" i="17"/>
  <c r="D762" i="17"/>
  <c r="D763" i="17"/>
  <c r="D764" i="17"/>
  <c r="D765" i="17"/>
  <c r="D766" i="17"/>
  <c r="D767" i="17"/>
  <c r="D768" i="17"/>
  <c r="D769" i="17"/>
  <c r="D770" i="17"/>
  <c r="D771" i="17"/>
  <c r="D772" i="17"/>
  <c r="D773" i="17"/>
  <c r="D774" i="17"/>
  <c r="D775" i="17"/>
  <c r="D776" i="17"/>
  <c r="D777" i="17"/>
  <c r="D778" i="17"/>
  <c r="D779" i="17"/>
  <c r="D780" i="17"/>
  <c r="D781" i="17"/>
  <c r="D782" i="17"/>
  <c r="D783" i="17"/>
  <c r="D784" i="17"/>
  <c r="D785" i="17"/>
  <c r="C762" i="17"/>
  <c r="C763" i="17"/>
  <c r="C764" i="17"/>
  <c r="C765" i="17"/>
  <c r="C766" i="17"/>
  <c r="C767" i="17"/>
  <c r="C768" i="17"/>
  <c r="C769" i="17"/>
  <c r="C770" i="17"/>
  <c r="C771" i="17"/>
  <c r="C772" i="17"/>
  <c r="C773" i="17"/>
  <c r="C774" i="17"/>
  <c r="C775" i="17"/>
  <c r="C776" i="17"/>
  <c r="C777" i="17"/>
  <c r="C778" i="17"/>
  <c r="C779" i="17"/>
  <c r="C780" i="17"/>
  <c r="C781" i="17"/>
  <c r="C782" i="17"/>
  <c r="C783" i="17"/>
  <c r="C784" i="17"/>
  <c r="C785" i="17"/>
  <c r="B762" i="17"/>
  <c r="B763" i="17"/>
  <c r="B764" i="17"/>
  <c r="B765" i="17"/>
  <c r="B766" i="17"/>
  <c r="B767" i="17"/>
  <c r="B768" i="17"/>
  <c r="B769" i="17"/>
  <c r="B770" i="17"/>
  <c r="B771" i="17"/>
  <c r="B772" i="17"/>
  <c r="B773" i="17"/>
  <c r="B774" i="17"/>
  <c r="B775" i="17"/>
  <c r="B776" i="17"/>
  <c r="B777" i="17"/>
  <c r="B778" i="17"/>
  <c r="B779" i="17"/>
  <c r="B780" i="17"/>
  <c r="B781" i="17"/>
  <c r="B782" i="17"/>
  <c r="B783" i="17"/>
  <c r="B784" i="17"/>
  <c r="B785" i="17"/>
  <c r="AJ763" i="17" l="1"/>
  <c r="AK763" i="17" s="1"/>
  <c r="AJ774" i="17"/>
  <c r="AK774" i="17" s="1"/>
  <c r="AJ775" i="17"/>
  <c r="AK775" i="17" s="1"/>
  <c r="AK762" i="17"/>
  <c r="AJ762" i="17"/>
  <c r="AJ773" i="17"/>
  <c r="AK773" i="17" s="1"/>
  <c r="AJ772" i="17"/>
  <c r="AK772" i="17"/>
  <c r="AK771" i="17"/>
  <c r="AJ771" i="17"/>
  <c r="AJ770" i="17"/>
  <c r="AK770" i="17" s="1"/>
  <c r="AK769" i="17"/>
  <c r="AJ769" i="17"/>
  <c r="AK780" i="17"/>
  <c r="AJ780" i="17"/>
  <c r="AK768" i="17"/>
  <c r="AJ768" i="17"/>
  <c r="AK779" i="17"/>
  <c r="AJ779" i="17"/>
  <c r="AJ767" i="17"/>
  <c r="AK767" i="17" s="1"/>
  <c r="AK785" i="17"/>
  <c r="AJ785" i="17"/>
  <c r="AJ784" i="17"/>
  <c r="AK784" i="17"/>
  <c r="AK783" i="17"/>
  <c r="AJ783" i="17"/>
  <c r="AK782" i="17"/>
  <c r="AJ782" i="17"/>
  <c r="AJ781" i="17"/>
  <c r="AK781" i="17" s="1"/>
  <c r="AK778" i="17"/>
  <c r="AJ778" i="17"/>
  <c r="AJ766" i="17"/>
  <c r="AK766" i="17"/>
  <c r="AK761" i="17"/>
  <c r="AJ761" i="17"/>
  <c r="AJ777" i="17"/>
  <c r="AK777" i="17" s="1"/>
  <c r="AK765" i="17"/>
  <c r="AJ765" i="17"/>
  <c r="AK760" i="17"/>
  <c r="AJ760" i="17"/>
  <c r="AK776" i="17"/>
  <c r="AJ776" i="17"/>
  <c r="AJ764" i="17"/>
  <c r="AK764" i="17" s="1"/>
  <c r="AJ759" i="17"/>
  <c r="AK759" i="17"/>
  <c r="AK758" i="17"/>
  <c r="AJ758" i="17"/>
  <c r="AR757" i="2"/>
  <c r="H757" i="17"/>
  <c r="AF757" i="17" s="1"/>
  <c r="G757" i="17"/>
  <c r="F757" i="17"/>
  <c r="E757" i="17"/>
  <c r="D757" i="17"/>
  <c r="C757" i="17"/>
  <c r="V777" i="2" l="1"/>
  <c r="V770" i="2"/>
  <c r="V784" i="2"/>
  <c r="V769" i="2"/>
  <c r="V758" i="2"/>
  <c r="V761" i="2"/>
  <c r="V759" i="2"/>
  <c r="V766" i="2"/>
  <c r="V785" i="2"/>
  <c r="V771" i="2"/>
  <c r="V763" i="2"/>
  <c r="V767" i="2"/>
  <c r="V772" i="2"/>
  <c r="V764" i="2"/>
  <c r="V778" i="2"/>
  <c r="V765" i="2"/>
  <c r="V779" i="2"/>
  <c r="V781" i="2"/>
  <c r="V780" i="2"/>
  <c r="V783" i="2"/>
  <c r="V773" i="2"/>
  <c r="V776" i="2"/>
  <c r="V768" i="2"/>
  <c r="V762" i="2"/>
  <c r="V760" i="2"/>
  <c r="V782" i="2"/>
  <c r="V775" i="2"/>
  <c r="V774" i="2"/>
  <c r="AK757" i="17"/>
  <c r="AJ757" i="17"/>
  <c r="V757" i="2" l="1"/>
  <c r="BC516" i="17"/>
  <c r="BE516" i="17" s="1"/>
  <c r="R709" i="2" l="1"/>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07" i="2"/>
  <c r="R708"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B727" i="17" l="1"/>
  <c r="C727" i="17"/>
  <c r="D727" i="17"/>
  <c r="E727" i="17"/>
  <c r="F727" i="17"/>
  <c r="G727" i="17"/>
  <c r="H727" i="17"/>
  <c r="AF727" i="17" s="1"/>
  <c r="R727" i="17"/>
  <c r="B728" i="17"/>
  <c r="C728" i="17"/>
  <c r="D728" i="17"/>
  <c r="E728" i="17"/>
  <c r="F728" i="17"/>
  <c r="G728" i="17"/>
  <c r="H728" i="17"/>
  <c r="AF728" i="17" s="1"/>
  <c r="R728" i="17"/>
  <c r="B729" i="17"/>
  <c r="C729" i="17"/>
  <c r="D729" i="17"/>
  <c r="E729" i="17"/>
  <c r="F729" i="17"/>
  <c r="G729" i="17"/>
  <c r="H729" i="17"/>
  <c r="AF729" i="17" s="1"/>
  <c r="R729" i="17"/>
  <c r="B730" i="17"/>
  <c r="C730" i="17"/>
  <c r="D730" i="17"/>
  <c r="E730" i="17"/>
  <c r="F730" i="17"/>
  <c r="G730" i="17"/>
  <c r="H730" i="17"/>
  <c r="AF730" i="17" s="1"/>
  <c r="R730" i="17"/>
  <c r="B731" i="17"/>
  <c r="C731" i="17"/>
  <c r="D731" i="17"/>
  <c r="E731" i="17"/>
  <c r="F731" i="17"/>
  <c r="G731" i="17"/>
  <c r="H731" i="17"/>
  <c r="AF731" i="17" s="1"/>
  <c r="R731" i="17"/>
  <c r="B732" i="17"/>
  <c r="C732" i="17"/>
  <c r="D732" i="17"/>
  <c r="E732" i="17"/>
  <c r="F732" i="17"/>
  <c r="G732" i="17"/>
  <c r="H732" i="17"/>
  <c r="AF732" i="17" s="1"/>
  <c r="R732" i="17"/>
  <c r="B733" i="17"/>
  <c r="C733" i="17"/>
  <c r="D733" i="17"/>
  <c r="E733" i="17"/>
  <c r="F733" i="17"/>
  <c r="G733" i="17"/>
  <c r="H733" i="17"/>
  <c r="AF733" i="17" s="1"/>
  <c r="R733" i="17"/>
  <c r="B734" i="17"/>
  <c r="C734" i="17"/>
  <c r="D734" i="17"/>
  <c r="E734" i="17"/>
  <c r="F734" i="17"/>
  <c r="G734" i="17"/>
  <c r="H734" i="17"/>
  <c r="AF734" i="17" s="1"/>
  <c r="R734" i="17"/>
  <c r="B735" i="17"/>
  <c r="C735" i="17"/>
  <c r="D735" i="17"/>
  <c r="E735" i="17"/>
  <c r="F735" i="17"/>
  <c r="G735" i="17"/>
  <c r="H735" i="17"/>
  <c r="AF735" i="17" s="1"/>
  <c r="R735" i="17"/>
  <c r="B736" i="17"/>
  <c r="C736" i="17"/>
  <c r="D736" i="17"/>
  <c r="E736" i="17"/>
  <c r="F736" i="17"/>
  <c r="G736" i="17"/>
  <c r="H736" i="17"/>
  <c r="AF736" i="17" s="1"/>
  <c r="R736" i="17"/>
  <c r="B737" i="17"/>
  <c r="C737" i="17"/>
  <c r="D737" i="17"/>
  <c r="E737" i="17"/>
  <c r="F737" i="17"/>
  <c r="G737" i="17"/>
  <c r="H737" i="17"/>
  <c r="AF737" i="17" s="1"/>
  <c r="R737" i="17"/>
  <c r="B738" i="17"/>
  <c r="C738" i="17"/>
  <c r="D738" i="17"/>
  <c r="E738" i="17"/>
  <c r="F738" i="17"/>
  <c r="G738" i="17"/>
  <c r="H738" i="17"/>
  <c r="AF738" i="17" s="1"/>
  <c r="R738" i="17"/>
  <c r="B739" i="17"/>
  <c r="C739" i="17"/>
  <c r="D739" i="17"/>
  <c r="E739" i="17"/>
  <c r="F739" i="17"/>
  <c r="G739" i="17"/>
  <c r="H739" i="17"/>
  <c r="AF739" i="17" s="1"/>
  <c r="R739" i="17"/>
  <c r="B740" i="17"/>
  <c r="C740" i="17"/>
  <c r="D740" i="17"/>
  <c r="E740" i="17"/>
  <c r="F740" i="17"/>
  <c r="G740" i="17"/>
  <c r="H740" i="17"/>
  <c r="AF740" i="17" s="1"/>
  <c r="R740" i="17"/>
  <c r="B741" i="17"/>
  <c r="C741" i="17"/>
  <c r="D741" i="17"/>
  <c r="E741" i="17"/>
  <c r="F741" i="17"/>
  <c r="G741" i="17"/>
  <c r="H741" i="17"/>
  <c r="AF741" i="17" s="1"/>
  <c r="R741" i="17"/>
  <c r="B742" i="17"/>
  <c r="C742" i="17"/>
  <c r="D742" i="17"/>
  <c r="E742" i="17"/>
  <c r="F742" i="17"/>
  <c r="G742" i="17"/>
  <c r="H742" i="17"/>
  <c r="AF742" i="17" s="1"/>
  <c r="R742" i="17"/>
  <c r="B743" i="17"/>
  <c r="C743" i="17"/>
  <c r="D743" i="17"/>
  <c r="E743" i="17"/>
  <c r="F743" i="17"/>
  <c r="G743" i="17"/>
  <c r="H743" i="17"/>
  <c r="AF743" i="17" s="1"/>
  <c r="R743" i="17"/>
  <c r="B744" i="17"/>
  <c r="C744" i="17"/>
  <c r="D744" i="17"/>
  <c r="E744" i="17"/>
  <c r="F744" i="17"/>
  <c r="G744" i="17"/>
  <c r="H744" i="17"/>
  <c r="AF744" i="17" s="1"/>
  <c r="R744" i="17"/>
  <c r="B745" i="17"/>
  <c r="C745" i="17"/>
  <c r="D745" i="17"/>
  <c r="E745" i="17"/>
  <c r="F745" i="17"/>
  <c r="G745" i="17"/>
  <c r="H745" i="17"/>
  <c r="AF745" i="17" s="1"/>
  <c r="R745" i="17"/>
  <c r="B746" i="17"/>
  <c r="C746" i="17"/>
  <c r="D746" i="17"/>
  <c r="E746" i="17"/>
  <c r="F746" i="17"/>
  <c r="G746" i="17"/>
  <c r="H746" i="17"/>
  <c r="AF746" i="17" s="1"/>
  <c r="R746" i="17"/>
  <c r="B747" i="17"/>
  <c r="C747" i="17"/>
  <c r="D747" i="17"/>
  <c r="E747" i="17"/>
  <c r="F747" i="17"/>
  <c r="G747" i="17"/>
  <c r="H747" i="17"/>
  <c r="AF747" i="17" s="1"/>
  <c r="R747" i="17"/>
  <c r="B748" i="17"/>
  <c r="C748" i="17"/>
  <c r="D748" i="17"/>
  <c r="E748" i="17"/>
  <c r="F748" i="17"/>
  <c r="G748" i="17"/>
  <c r="H748" i="17"/>
  <c r="AF748" i="17" s="1"/>
  <c r="R748" i="17"/>
  <c r="B749" i="17"/>
  <c r="C749" i="17"/>
  <c r="D749" i="17"/>
  <c r="E749" i="17"/>
  <c r="F749" i="17"/>
  <c r="G749" i="17"/>
  <c r="H749" i="17"/>
  <c r="AF749" i="17" s="1"/>
  <c r="R749" i="17"/>
  <c r="B750" i="17"/>
  <c r="C750" i="17"/>
  <c r="D750" i="17"/>
  <c r="E750" i="17"/>
  <c r="F750" i="17"/>
  <c r="G750" i="17"/>
  <c r="H750" i="17"/>
  <c r="AF750" i="17" s="1"/>
  <c r="R750" i="17"/>
  <c r="B751" i="17"/>
  <c r="C751" i="17"/>
  <c r="D751" i="17"/>
  <c r="E751" i="17"/>
  <c r="F751" i="17"/>
  <c r="G751" i="17"/>
  <c r="H751" i="17"/>
  <c r="AF751" i="17" s="1"/>
  <c r="R751" i="17"/>
  <c r="B752" i="17"/>
  <c r="C752" i="17"/>
  <c r="D752" i="17"/>
  <c r="E752" i="17"/>
  <c r="F752" i="17"/>
  <c r="G752" i="17"/>
  <c r="H752" i="17"/>
  <c r="AF752" i="17" s="1"/>
  <c r="R752" i="17"/>
  <c r="B753" i="17"/>
  <c r="C753" i="17"/>
  <c r="D753" i="17"/>
  <c r="E753" i="17"/>
  <c r="F753" i="17"/>
  <c r="G753" i="17"/>
  <c r="H753" i="17"/>
  <c r="AF753" i="17" s="1"/>
  <c r="R753" i="17"/>
  <c r="B754" i="17"/>
  <c r="C754" i="17"/>
  <c r="D754" i="17"/>
  <c r="E754" i="17"/>
  <c r="F754" i="17"/>
  <c r="G754" i="17"/>
  <c r="H754" i="17"/>
  <c r="AF754" i="17" s="1"/>
  <c r="R754" i="17"/>
  <c r="B755" i="17"/>
  <c r="C755" i="17"/>
  <c r="D755" i="17"/>
  <c r="E755" i="17"/>
  <c r="F755" i="17"/>
  <c r="G755" i="17"/>
  <c r="H755" i="17"/>
  <c r="AF755" i="17" s="1"/>
  <c r="R755" i="17"/>
  <c r="C756" i="17"/>
  <c r="D756" i="17"/>
  <c r="E756" i="17"/>
  <c r="F756" i="17"/>
  <c r="G756" i="17"/>
  <c r="H756" i="17"/>
  <c r="AF756" i="17" s="1"/>
  <c r="R756" i="17"/>
  <c r="B756" i="17"/>
  <c r="R757" i="17"/>
  <c r="AK729" i="17" l="1"/>
  <c r="AJ729" i="17"/>
  <c r="AK745" i="17"/>
  <c r="AJ745" i="17"/>
  <c r="AJ741" i="17"/>
  <c r="AK741" i="17"/>
  <c r="AK734" i="17"/>
  <c r="AJ734" i="17"/>
  <c r="AK730" i="17"/>
  <c r="AJ730" i="17"/>
  <c r="AK733" i="17"/>
  <c r="AJ733" i="17"/>
  <c r="AK749" i="17"/>
  <c r="AJ749" i="17"/>
  <c r="AK754" i="17"/>
  <c r="AJ754" i="17"/>
  <c r="AK746" i="17"/>
  <c r="AJ746" i="17"/>
  <c r="AJ742" i="17"/>
  <c r="AK742" i="17"/>
  <c r="AK738" i="17"/>
  <c r="AJ738" i="17"/>
  <c r="AK750" i="17"/>
  <c r="AJ750" i="17"/>
  <c r="AJ735" i="17"/>
  <c r="AK735" i="17"/>
  <c r="AK731" i="17"/>
  <c r="AJ731" i="17"/>
  <c r="AK727" i="17"/>
  <c r="AJ727" i="17"/>
  <c r="AK737" i="17"/>
  <c r="AJ737" i="17"/>
  <c r="AK751" i="17"/>
  <c r="AJ751" i="17"/>
  <c r="AK743" i="17"/>
  <c r="AJ743" i="17"/>
  <c r="AK739" i="17"/>
  <c r="AJ739" i="17"/>
  <c r="AK753" i="17"/>
  <c r="AJ753" i="17"/>
  <c r="AK755" i="17"/>
  <c r="AJ755" i="17"/>
  <c r="AJ747" i="17"/>
  <c r="AK747" i="17"/>
  <c r="AK736" i="17"/>
  <c r="AJ736" i="17"/>
  <c r="AK732" i="17"/>
  <c r="AJ732" i="17"/>
  <c r="AK728" i="17"/>
  <c r="AJ728" i="17"/>
  <c r="AK740" i="17"/>
  <c r="AJ740" i="17"/>
  <c r="AK752" i="17"/>
  <c r="AJ752" i="17"/>
  <c r="AK748" i="17"/>
  <c r="AJ748" i="17"/>
  <c r="AK744" i="17"/>
  <c r="AJ744" i="17"/>
  <c r="AK756" i="17"/>
  <c r="AJ756" i="17"/>
  <c r="V728" i="2" l="1"/>
  <c r="V756" i="2"/>
  <c r="V732" i="2"/>
  <c r="V743" i="2"/>
  <c r="V750" i="2"/>
  <c r="V733" i="2"/>
  <c r="V736" i="2"/>
  <c r="V751" i="2"/>
  <c r="V738" i="2"/>
  <c r="V730" i="2"/>
  <c r="V744" i="2"/>
  <c r="V747" i="2"/>
  <c r="V742" i="2"/>
  <c r="V729" i="2"/>
  <c r="V741" i="2"/>
  <c r="V752" i="2"/>
  <c r="V755" i="2"/>
  <c r="V727" i="2"/>
  <c r="V746" i="2"/>
  <c r="V739" i="2"/>
  <c r="V737" i="2"/>
  <c r="V740" i="2"/>
  <c r="V753" i="2"/>
  <c r="V731" i="2"/>
  <c r="V754" i="2"/>
  <c r="V745" i="2"/>
  <c r="V749" i="2"/>
  <c r="V748" i="2"/>
  <c r="V734" i="2"/>
  <c r="V735" i="2"/>
  <c r="AN302" i="17"/>
  <c r="BE302" i="17" s="1"/>
  <c r="AR756" i="2" l="1"/>
  <c r="AR755" i="2"/>
  <c r="AR754" i="2"/>
  <c r="AR753" i="2"/>
  <c r="AR752" i="2"/>
  <c r="AR751" i="2"/>
  <c r="AR750" i="2"/>
  <c r="AR749" i="2"/>
  <c r="AR748" i="2"/>
  <c r="AR747" i="2"/>
  <c r="AR746" i="2"/>
  <c r="AR745" i="2"/>
  <c r="AR744" i="2"/>
  <c r="AR743" i="2"/>
  <c r="AR742" i="2"/>
  <c r="AR741" i="2"/>
  <c r="AR740" i="2"/>
  <c r="AR739" i="2"/>
  <c r="AR738" i="2"/>
  <c r="AR737" i="2"/>
  <c r="AR736" i="2"/>
  <c r="AR735" i="2"/>
  <c r="AR734" i="2"/>
  <c r="AR733" i="2"/>
  <c r="AR732" i="2"/>
  <c r="AR731" i="2"/>
  <c r="AR730" i="2"/>
  <c r="AR729" i="2"/>
  <c r="AR728" i="2"/>
  <c r="AR727" i="2"/>
  <c r="AR726" i="2"/>
  <c r="AR725" i="2"/>
  <c r="AR724" i="2"/>
  <c r="AR723" i="2"/>
  <c r="AR722" i="2"/>
  <c r="AR721" i="2"/>
  <c r="AR720" i="2"/>
  <c r="AR719" i="2"/>
  <c r="AR718" i="2"/>
  <c r="AR717" i="2"/>
  <c r="AR716" i="2"/>
  <c r="AR715" i="2" l="1"/>
  <c r="AR714" i="2"/>
  <c r="AR713" i="2"/>
  <c r="AR712" i="2"/>
  <c r="AR711" i="2"/>
  <c r="AR710" i="2"/>
  <c r="AR709" i="2"/>
  <c r="AR708" i="2"/>
  <c r="AR707" i="2"/>
  <c r="AR706" i="2"/>
  <c r="AR705" i="2"/>
  <c r="AR704" i="2"/>
  <c r="AR703" i="2"/>
  <c r="AR702" i="2"/>
  <c r="AR701" i="2"/>
  <c r="AR700" i="2"/>
  <c r="AR699" i="2"/>
  <c r="AR698" i="2"/>
  <c r="AR697" i="2"/>
  <c r="AR696" i="2"/>
  <c r="AR695" i="2"/>
  <c r="AR694" i="2"/>
  <c r="AR693" i="2"/>
  <c r="AR692" i="2"/>
  <c r="C555" i="17" l="1"/>
  <c r="B677" i="17" l="1"/>
  <c r="C677" i="17"/>
  <c r="D677" i="17"/>
  <c r="E677" i="17"/>
  <c r="F677" i="17"/>
  <c r="G677" i="17"/>
  <c r="H677" i="17"/>
  <c r="AF677" i="17" s="1"/>
  <c r="R677" i="17"/>
  <c r="B678" i="17"/>
  <c r="C678" i="17"/>
  <c r="D678" i="17"/>
  <c r="E678" i="17"/>
  <c r="F678" i="17"/>
  <c r="G678" i="17"/>
  <c r="H678" i="17"/>
  <c r="AF678" i="17" s="1"/>
  <c r="R678" i="17"/>
  <c r="B679" i="17"/>
  <c r="C679" i="17"/>
  <c r="D679" i="17"/>
  <c r="E679" i="17"/>
  <c r="F679" i="17"/>
  <c r="G679" i="17"/>
  <c r="H679" i="17"/>
  <c r="AF679" i="17" s="1"/>
  <c r="R679" i="17"/>
  <c r="B680" i="17"/>
  <c r="C680" i="17"/>
  <c r="D680" i="17"/>
  <c r="E680" i="17"/>
  <c r="F680" i="17"/>
  <c r="G680" i="17"/>
  <c r="H680" i="17"/>
  <c r="AF680" i="17" s="1"/>
  <c r="R680" i="17"/>
  <c r="B681" i="17"/>
  <c r="C681" i="17"/>
  <c r="D681" i="17"/>
  <c r="E681" i="17"/>
  <c r="F681" i="17"/>
  <c r="G681" i="17"/>
  <c r="H681" i="17"/>
  <c r="AF681" i="17" s="1"/>
  <c r="R681" i="17"/>
  <c r="B682" i="17"/>
  <c r="C682" i="17"/>
  <c r="D682" i="17"/>
  <c r="E682" i="17"/>
  <c r="F682" i="17"/>
  <c r="G682" i="17"/>
  <c r="H682" i="17"/>
  <c r="AF682" i="17" s="1"/>
  <c r="R682" i="17"/>
  <c r="B683" i="17"/>
  <c r="C683" i="17"/>
  <c r="D683" i="17"/>
  <c r="E683" i="17"/>
  <c r="F683" i="17"/>
  <c r="G683" i="17"/>
  <c r="H683" i="17"/>
  <c r="AF683" i="17" s="1"/>
  <c r="R683" i="17"/>
  <c r="B684" i="17"/>
  <c r="C684" i="17"/>
  <c r="D684" i="17"/>
  <c r="E684" i="17"/>
  <c r="F684" i="17"/>
  <c r="G684" i="17"/>
  <c r="H684" i="17"/>
  <c r="AF684" i="17" s="1"/>
  <c r="R684" i="17"/>
  <c r="B685" i="17"/>
  <c r="C685" i="17"/>
  <c r="D685" i="17"/>
  <c r="E685" i="17"/>
  <c r="F685" i="17"/>
  <c r="G685" i="17"/>
  <c r="H685" i="17"/>
  <c r="AF685" i="17" s="1"/>
  <c r="R685" i="17"/>
  <c r="B686" i="17"/>
  <c r="C686" i="17"/>
  <c r="D686" i="17"/>
  <c r="E686" i="17"/>
  <c r="F686" i="17"/>
  <c r="G686" i="17"/>
  <c r="H686" i="17"/>
  <c r="AF686" i="17" s="1"/>
  <c r="R686" i="17"/>
  <c r="B687" i="17"/>
  <c r="C687" i="17"/>
  <c r="D687" i="17"/>
  <c r="E687" i="17"/>
  <c r="F687" i="17"/>
  <c r="G687" i="17"/>
  <c r="H687" i="17"/>
  <c r="AF687" i="17" s="1"/>
  <c r="R687" i="17"/>
  <c r="B688" i="17"/>
  <c r="C688" i="17"/>
  <c r="D688" i="17"/>
  <c r="E688" i="17"/>
  <c r="F688" i="17"/>
  <c r="G688" i="17"/>
  <c r="H688" i="17"/>
  <c r="AF688" i="17" s="1"/>
  <c r="R688" i="17"/>
  <c r="B689" i="17"/>
  <c r="C689" i="17"/>
  <c r="D689" i="17"/>
  <c r="E689" i="17"/>
  <c r="F689" i="17"/>
  <c r="G689" i="17"/>
  <c r="H689" i="17"/>
  <c r="AF689" i="17" s="1"/>
  <c r="R689" i="17"/>
  <c r="B690" i="17"/>
  <c r="C690" i="17"/>
  <c r="D690" i="17"/>
  <c r="E690" i="17"/>
  <c r="F690" i="17"/>
  <c r="G690" i="17"/>
  <c r="H690" i="17"/>
  <c r="AF690" i="17" s="1"/>
  <c r="R690" i="17"/>
  <c r="B691" i="17"/>
  <c r="C691" i="17"/>
  <c r="D691" i="17"/>
  <c r="E691" i="17"/>
  <c r="F691" i="17"/>
  <c r="G691" i="17"/>
  <c r="H691" i="17"/>
  <c r="AF691" i="17" s="1"/>
  <c r="R691" i="17"/>
  <c r="B692" i="17"/>
  <c r="C692" i="17"/>
  <c r="D692" i="17"/>
  <c r="E692" i="17"/>
  <c r="F692" i="17"/>
  <c r="G692" i="17"/>
  <c r="H692" i="17"/>
  <c r="AF692" i="17" s="1"/>
  <c r="R692" i="17"/>
  <c r="B693" i="17"/>
  <c r="C693" i="17"/>
  <c r="D693" i="17"/>
  <c r="E693" i="17"/>
  <c r="F693" i="17"/>
  <c r="G693" i="17"/>
  <c r="H693" i="17"/>
  <c r="AF693" i="17" s="1"/>
  <c r="R693" i="17"/>
  <c r="B694" i="17"/>
  <c r="C694" i="17"/>
  <c r="D694" i="17"/>
  <c r="E694" i="17"/>
  <c r="F694" i="17"/>
  <c r="G694" i="17"/>
  <c r="H694" i="17"/>
  <c r="AF694" i="17" s="1"/>
  <c r="R694" i="17"/>
  <c r="B695" i="17"/>
  <c r="C695" i="17"/>
  <c r="D695" i="17"/>
  <c r="E695" i="17"/>
  <c r="F695" i="17"/>
  <c r="G695" i="17"/>
  <c r="H695" i="17"/>
  <c r="AF695" i="17" s="1"/>
  <c r="R695" i="17"/>
  <c r="B696" i="17"/>
  <c r="C696" i="17"/>
  <c r="D696" i="17"/>
  <c r="E696" i="17"/>
  <c r="F696" i="17"/>
  <c r="G696" i="17"/>
  <c r="H696" i="17"/>
  <c r="AF696" i="17" s="1"/>
  <c r="R696" i="17"/>
  <c r="B697" i="17"/>
  <c r="C697" i="17"/>
  <c r="D697" i="17"/>
  <c r="E697" i="17"/>
  <c r="F697" i="17"/>
  <c r="G697" i="17"/>
  <c r="H697" i="17"/>
  <c r="AF697" i="17" s="1"/>
  <c r="R697" i="17"/>
  <c r="B698" i="17"/>
  <c r="C698" i="17"/>
  <c r="D698" i="17"/>
  <c r="E698" i="17"/>
  <c r="F698" i="17"/>
  <c r="G698" i="17"/>
  <c r="H698" i="17"/>
  <c r="AF698" i="17" s="1"/>
  <c r="R698" i="17"/>
  <c r="B699" i="17"/>
  <c r="C699" i="17"/>
  <c r="D699" i="17"/>
  <c r="E699" i="17"/>
  <c r="F699" i="17"/>
  <c r="G699" i="17"/>
  <c r="H699" i="17"/>
  <c r="AF699" i="17" s="1"/>
  <c r="R699" i="17"/>
  <c r="B700" i="17"/>
  <c r="C700" i="17"/>
  <c r="D700" i="17"/>
  <c r="E700" i="17"/>
  <c r="F700" i="17"/>
  <c r="G700" i="17"/>
  <c r="H700" i="17"/>
  <c r="AF700" i="17" s="1"/>
  <c r="R700" i="17"/>
  <c r="B701" i="17"/>
  <c r="C701" i="17"/>
  <c r="D701" i="17"/>
  <c r="E701" i="17"/>
  <c r="F701" i="17"/>
  <c r="G701" i="17"/>
  <c r="H701" i="17"/>
  <c r="AF701" i="17" s="1"/>
  <c r="R701" i="17"/>
  <c r="B702" i="17"/>
  <c r="C702" i="17"/>
  <c r="D702" i="17"/>
  <c r="E702" i="17"/>
  <c r="F702" i="17"/>
  <c r="G702" i="17"/>
  <c r="H702" i="17"/>
  <c r="AF702" i="17" s="1"/>
  <c r="R702" i="17"/>
  <c r="B703" i="17"/>
  <c r="C703" i="17"/>
  <c r="D703" i="17"/>
  <c r="E703" i="17"/>
  <c r="F703" i="17"/>
  <c r="G703" i="17"/>
  <c r="H703" i="17"/>
  <c r="AF703" i="17" s="1"/>
  <c r="R703" i="17"/>
  <c r="B704" i="17"/>
  <c r="C704" i="17"/>
  <c r="D704" i="17"/>
  <c r="E704" i="17"/>
  <c r="F704" i="17"/>
  <c r="G704" i="17"/>
  <c r="H704" i="17"/>
  <c r="AF704" i="17" s="1"/>
  <c r="R704" i="17"/>
  <c r="B705" i="17"/>
  <c r="C705" i="17"/>
  <c r="D705" i="17"/>
  <c r="E705" i="17"/>
  <c r="F705" i="17"/>
  <c r="G705" i="17"/>
  <c r="H705" i="17"/>
  <c r="AF705" i="17" s="1"/>
  <c r="R705" i="17"/>
  <c r="B706" i="17"/>
  <c r="C706" i="17"/>
  <c r="D706" i="17"/>
  <c r="E706" i="17"/>
  <c r="F706" i="17"/>
  <c r="G706" i="17"/>
  <c r="H706" i="17"/>
  <c r="AF706" i="17" s="1"/>
  <c r="R706" i="17"/>
  <c r="B707" i="17"/>
  <c r="C707" i="17"/>
  <c r="D707" i="17"/>
  <c r="E707" i="17"/>
  <c r="F707" i="17"/>
  <c r="G707" i="17"/>
  <c r="H707" i="17"/>
  <c r="AF707" i="17" s="1"/>
  <c r="R707" i="17"/>
  <c r="B708" i="17"/>
  <c r="C708" i="17"/>
  <c r="D708" i="17"/>
  <c r="E708" i="17"/>
  <c r="F708" i="17"/>
  <c r="G708" i="17"/>
  <c r="H708" i="17"/>
  <c r="AF708" i="17" s="1"/>
  <c r="R708" i="17"/>
  <c r="B709" i="17"/>
  <c r="C709" i="17"/>
  <c r="D709" i="17"/>
  <c r="E709" i="17"/>
  <c r="F709" i="17"/>
  <c r="G709" i="17"/>
  <c r="H709" i="17"/>
  <c r="AF709" i="17" s="1"/>
  <c r="R709" i="17"/>
  <c r="B710" i="17"/>
  <c r="C710" i="17"/>
  <c r="D710" i="17"/>
  <c r="E710" i="17"/>
  <c r="F710" i="17"/>
  <c r="G710" i="17"/>
  <c r="H710" i="17"/>
  <c r="AF710" i="17" s="1"/>
  <c r="R710" i="17"/>
  <c r="B711" i="17"/>
  <c r="C711" i="17"/>
  <c r="D711" i="17"/>
  <c r="E711" i="17"/>
  <c r="F711" i="17"/>
  <c r="G711" i="17"/>
  <c r="H711" i="17"/>
  <c r="AF711" i="17" s="1"/>
  <c r="R711" i="17"/>
  <c r="B712" i="17"/>
  <c r="C712" i="17"/>
  <c r="D712" i="17"/>
  <c r="E712" i="17"/>
  <c r="F712" i="17"/>
  <c r="G712" i="17"/>
  <c r="H712" i="17"/>
  <c r="AF712" i="17" s="1"/>
  <c r="R712" i="17"/>
  <c r="B713" i="17"/>
  <c r="C713" i="17"/>
  <c r="D713" i="17"/>
  <c r="E713" i="17"/>
  <c r="F713" i="17"/>
  <c r="G713" i="17"/>
  <c r="H713" i="17"/>
  <c r="AF713" i="17" s="1"/>
  <c r="R713" i="17"/>
  <c r="B714" i="17"/>
  <c r="C714" i="17"/>
  <c r="D714" i="17"/>
  <c r="E714" i="17"/>
  <c r="F714" i="17"/>
  <c r="G714" i="17"/>
  <c r="H714" i="17"/>
  <c r="AF714" i="17" s="1"/>
  <c r="R714" i="17"/>
  <c r="B715" i="17"/>
  <c r="C715" i="17"/>
  <c r="D715" i="17"/>
  <c r="E715" i="17"/>
  <c r="F715" i="17"/>
  <c r="G715" i="17"/>
  <c r="H715" i="17"/>
  <c r="AF715" i="17" s="1"/>
  <c r="R715" i="17"/>
  <c r="B716" i="17"/>
  <c r="C716" i="17"/>
  <c r="D716" i="17"/>
  <c r="E716" i="17"/>
  <c r="F716" i="17"/>
  <c r="G716" i="17"/>
  <c r="H716" i="17"/>
  <c r="AF716" i="17" s="1"/>
  <c r="R716" i="17"/>
  <c r="B717" i="17"/>
  <c r="C717" i="17"/>
  <c r="D717" i="17"/>
  <c r="E717" i="17"/>
  <c r="F717" i="17"/>
  <c r="G717" i="17"/>
  <c r="H717" i="17"/>
  <c r="AF717" i="17" s="1"/>
  <c r="R717" i="17"/>
  <c r="B718" i="17"/>
  <c r="C718" i="17"/>
  <c r="D718" i="17"/>
  <c r="E718" i="17"/>
  <c r="F718" i="17"/>
  <c r="G718" i="17"/>
  <c r="H718" i="17"/>
  <c r="AF718" i="17" s="1"/>
  <c r="R718" i="17"/>
  <c r="B719" i="17"/>
  <c r="C719" i="17"/>
  <c r="D719" i="17"/>
  <c r="E719" i="17"/>
  <c r="F719" i="17"/>
  <c r="G719" i="17"/>
  <c r="H719" i="17"/>
  <c r="AF719" i="17" s="1"/>
  <c r="R719" i="17"/>
  <c r="B720" i="17"/>
  <c r="C720" i="17"/>
  <c r="D720" i="17"/>
  <c r="E720" i="17"/>
  <c r="F720" i="17"/>
  <c r="G720" i="17"/>
  <c r="H720" i="17"/>
  <c r="AF720" i="17" s="1"/>
  <c r="R720" i="17"/>
  <c r="B721" i="17"/>
  <c r="C721" i="17"/>
  <c r="D721" i="17"/>
  <c r="E721" i="17"/>
  <c r="F721" i="17"/>
  <c r="G721" i="17"/>
  <c r="H721" i="17"/>
  <c r="AF721" i="17" s="1"/>
  <c r="R721" i="17"/>
  <c r="B722" i="17"/>
  <c r="C722" i="17"/>
  <c r="D722" i="17"/>
  <c r="E722" i="17"/>
  <c r="F722" i="17"/>
  <c r="G722" i="17"/>
  <c r="H722" i="17"/>
  <c r="AF722" i="17" s="1"/>
  <c r="R722" i="17"/>
  <c r="B723" i="17"/>
  <c r="C723" i="17"/>
  <c r="D723" i="17"/>
  <c r="E723" i="17"/>
  <c r="F723" i="17"/>
  <c r="G723" i="17"/>
  <c r="H723" i="17"/>
  <c r="AF723" i="17" s="1"/>
  <c r="R723" i="17"/>
  <c r="B724" i="17"/>
  <c r="C724" i="17"/>
  <c r="D724" i="17"/>
  <c r="E724" i="17"/>
  <c r="F724" i="17"/>
  <c r="G724" i="17"/>
  <c r="H724" i="17"/>
  <c r="AF724" i="17" s="1"/>
  <c r="R724" i="17"/>
  <c r="B725" i="17"/>
  <c r="C725" i="17"/>
  <c r="D725" i="17"/>
  <c r="E725" i="17"/>
  <c r="F725" i="17"/>
  <c r="G725" i="17"/>
  <c r="H725" i="17"/>
  <c r="AF725" i="17" s="1"/>
  <c r="R725" i="17"/>
  <c r="B726" i="17"/>
  <c r="C726" i="17"/>
  <c r="D726" i="17"/>
  <c r="E726" i="17"/>
  <c r="F726" i="17"/>
  <c r="G726" i="17"/>
  <c r="H726" i="17"/>
  <c r="AF726" i="17" s="1"/>
  <c r="R726" i="17"/>
  <c r="AK715" i="17" l="1"/>
  <c r="AJ715" i="17"/>
  <c r="AK707" i="17"/>
  <c r="AJ707" i="17"/>
  <c r="AK704" i="17"/>
  <c r="AJ704" i="17"/>
  <c r="AK700" i="17"/>
  <c r="AJ700" i="17"/>
  <c r="AK696" i="17"/>
  <c r="AJ696" i="17"/>
  <c r="AK692" i="17"/>
  <c r="AJ692" i="17"/>
  <c r="AK688" i="17"/>
  <c r="AJ688" i="17"/>
  <c r="AK684" i="17"/>
  <c r="AJ684" i="17"/>
  <c r="AK680" i="17"/>
  <c r="AJ680" i="17"/>
  <c r="AK691" i="17"/>
  <c r="AJ691" i="17"/>
  <c r="AK712" i="17"/>
  <c r="AJ712" i="17"/>
  <c r="AK695" i="17"/>
  <c r="AJ695" i="17"/>
  <c r="AJ723" i="17"/>
  <c r="AK723" i="17"/>
  <c r="AK716" i="17"/>
  <c r="AJ716" i="17"/>
  <c r="AJ711" i="17"/>
  <c r="AK711" i="17"/>
  <c r="AJ693" i="17"/>
  <c r="AK693" i="17"/>
  <c r="AK685" i="17"/>
  <c r="AJ685" i="17"/>
  <c r="AK677" i="17"/>
  <c r="AJ677" i="17"/>
  <c r="AJ699" i="17"/>
  <c r="AK699" i="17"/>
  <c r="AK720" i="17"/>
  <c r="AJ720" i="17"/>
  <c r="AK701" i="17"/>
  <c r="AJ701" i="17"/>
  <c r="AK689" i="17"/>
  <c r="AJ689" i="17"/>
  <c r="AK681" i="17"/>
  <c r="AJ681" i="17"/>
  <c r="AK725" i="17"/>
  <c r="AJ725" i="17"/>
  <c r="AJ717" i="17"/>
  <c r="AK717" i="17"/>
  <c r="AK709" i="17"/>
  <c r="AJ709" i="17"/>
  <c r="AK722" i="17"/>
  <c r="AJ722" i="17"/>
  <c r="AK719" i="17"/>
  <c r="AJ719" i="17"/>
  <c r="AK724" i="17"/>
  <c r="AJ724" i="17"/>
  <c r="AK705" i="17"/>
  <c r="AJ705" i="17"/>
  <c r="AK697" i="17"/>
  <c r="AJ697" i="17"/>
  <c r="AK721" i="17"/>
  <c r="AJ721" i="17"/>
  <c r="AK713" i="17"/>
  <c r="AJ713" i="17"/>
  <c r="AK726" i="17"/>
  <c r="AJ726" i="17"/>
  <c r="AK703" i="17"/>
  <c r="AJ703" i="17"/>
  <c r="AK708" i="17"/>
  <c r="AJ708" i="17"/>
  <c r="AK702" i="17"/>
  <c r="AJ702" i="17"/>
  <c r="AK698" i="17"/>
  <c r="AJ698" i="17"/>
  <c r="AJ694" i="17"/>
  <c r="AK694" i="17"/>
  <c r="AK690" i="17"/>
  <c r="AJ690" i="17"/>
  <c r="AK686" i="17"/>
  <c r="AJ686" i="17"/>
  <c r="AK682" i="17"/>
  <c r="AJ682" i="17"/>
  <c r="AK678" i="17"/>
  <c r="AJ678" i="17"/>
  <c r="AK710" i="17"/>
  <c r="AJ710" i="17"/>
  <c r="AJ718" i="17"/>
  <c r="AK718" i="17" s="1"/>
  <c r="AK714" i="17"/>
  <c r="AJ714" i="17"/>
  <c r="AK706" i="17"/>
  <c r="AJ706" i="17"/>
  <c r="AJ687" i="17"/>
  <c r="AK687" i="17"/>
  <c r="AK683" i="17"/>
  <c r="AJ683" i="17"/>
  <c r="AK679" i="17"/>
  <c r="AJ679" i="17"/>
  <c r="AR691" i="2"/>
  <c r="AR690" i="2"/>
  <c r="AR689" i="2"/>
  <c r="AR688" i="2"/>
  <c r="AR687" i="2"/>
  <c r="AR686" i="2"/>
  <c r="AR685" i="2"/>
  <c r="AR684" i="2"/>
  <c r="AR683" i="2"/>
  <c r="AR682" i="2"/>
  <c r="AR681" i="2"/>
  <c r="AR680" i="2"/>
  <c r="AR679" i="2"/>
  <c r="AR678" i="2"/>
  <c r="AR677" i="2"/>
  <c r="AR676" i="2"/>
  <c r="V687" i="2" l="1"/>
  <c r="V682" i="2"/>
  <c r="V708" i="2"/>
  <c r="V705" i="2"/>
  <c r="V725" i="2"/>
  <c r="V677" i="2"/>
  <c r="V695" i="2"/>
  <c r="V692" i="2"/>
  <c r="V706" i="2"/>
  <c r="V686" i="2"/>
  <c r="V703" i="2"/>
  <c r="V724" i="2"/>
  <c r="V681" i="2"/>
  <c r="V685" i="2"/>
  <c r="V712" i="2"/>
  <c r="V696" i="2"/>
  <c r="V693" i="2"/>
  <c r="V714" i="2"/>
  <c r="V690" i="2"/>
  <c r="V726" i="2"/>
  <c r="V719" i="2"/>
  <c r="V689" i="2"/>
  <c r="V691" i="2"/>
  <c r="V700" i="2"/>
  <c r="V718" i="2"/>
  <c r="V694" i="2"/>
  <c r="V711" i="2"/>
  <c r="V713" i="2"/>
  <c r="V722" i="2"/>
  <c r="V701" i="2"/>
  <c r="V680" i="2"/>
  <c r="V704" i="2"/>
  <c r="V679" i="2"/>
  <c r="V710" i="2"/>
  <c r="V698" i="2"/>
  <c r="V721" i="2"/>
  <c r="V709" i="2"/>
  <c r="V720" i="2"/>
  <c r="V716" i="2"/>
  <c r="V684" i="2"/>
  <c r="V707" i="2"/>
  <c r="V717" i="2"/>
  <c r="V699" i="2"/>
  <c r="V723" i="2"/>
  <c r="V683" i="2"/>
  <c r="V678" i="2"/>
  <c r="V702" i="2"/>
  <c r="V697" i="2"/>
  <c r="V688" i="2"/>
  <c r="V715" i="2"/>
  <c r="AR675" i="2" l="1"/>
  <c r="AR674" i="2"/>
  <c r="AR673" i="2"/>
  <c r="AR672" i="2"/>
  <c r="AR671" i="2"/>
  <c r="AR670" i="2"/>
  <c r="AR669" i="2"/>
  <c r="AR668" i="2"/>
  <c r="AR667" i="2"/>
  <c r="AR666" i="2"/>
  <c r="AR665" i="2"/>
  <c r="R665" i="2"/>
  <c r="AR664" i="2"/>
  <c r="R664" i="2"/>
  <c r="AR663" i="2"/>
  <c r="R663" i="2"/>
  <c r="AR662" i="2"/>
  <c r="R662" i="2"/>
  <c r="AR661" i="2"/>
  <c r="R661" i="2"/>
  <c r="AR660" i="2"/>
  <c r="R660" i="2"/>
  <c r="AR659" i="2"/>
  <c r="R659" i="2"/>
  <c r="AR658" i="2"/>
  <c r="R658" i="2"/>
  <c r="AR657" i="2"/>
  <c r="R657" i="2"/>
  <c r="AR656" i="2"/>
  <c r="R656" i="2"/>
  <c r="AR655" i="2"/>
  <c r="R655" i="2"/>
  <c r="AR654" i="2"/>
  <c r="R654" i="2"/>
  <c r="AR653" i="2"/>
  <c r="R653" i="2"/>
  <c r="AR652" i="2"/>
  <c r="R652" i="2"/>
  <c r="AR651" i="2"/>
  <c r="R651" i="2"/>
  <c r="AR650" i="2"/>
  <c r="R650" i="2"/>
  <c r="AR649" i="2"/>
  <c r="R649" i="2"/>
  <c r="AR648" i="2"/>
  <c r="R648" i="2"/>
  <c r="AR647" i="2"/>
  <c r="R647" i="2"/>
  <c r="AR646" i="2"/>
  <c r="R646" i="2"/>
  <c r="AR551" i="2" l="1"/>
  <c r="R607" i="2" l="1"/>
  <c r="AR607" i="2"/>
  <c r="R608" i="2"/>
  <c r="AR608" i="2"/>
  <c r="R609" i="2"/>
  <c r="AR609" i="2"/>
  <c r="R610" i="2"/>
  <c r="AR610" i="2"/>
  <c r="R611" i="2"/>
  <c r="AR611" i="2"/>
  <c r="R612" i="2"/>
  <c r="AR612" i="2"/>
  <c r="R613" i="2"/>
  <c r="AR613" i="2"/>
  <c r="R614" i="2"/>
  <c r="AR614" i="2"/>
  <c r="R615" i="2"/>
  <c r="AR615" i="2"/>
  <c r="R616" i="2"/>
  <c r="AR616" i="2"/>
  <c r="R617" i="2"/>
  <c r="AR617" i="2"/>
  <c r="R618" i="2"/>
  <c r="AR618" i="2"/>
  <c r="R619" i="2"/>
  <c r="AR619" i="2"/>
  <c r="R620" i="2"/>
  <c r="AR620" i="2"/>
  <c r="R621" i="2"/>
  <c r="AR621" i="2"/>
  <c r="R622" i="2"/>
  <c r="AR622" i="2"/>
  <c r="R623" i="2"/>
  <c r="AR623" i="2"/>
  <c r="R624" i="2"/>
  <c r="AR624" i="2"/>
  <c r="R625" i="2"/>
  <c r="AR625" i="2"/>
  <c r="R626" i="2"/>
  <c r="AR626" i="2"/>
  <c r="R627" i="2"/>
  <c r="AR627" i="2"/>
  <c r="R628" i="2"/>
  <c r="AR628" i="2"/>
  <c r="R629" i="2"/>
  <c r="AR629" i="2"/>
  <c r="R630" i="2"/>
  <c r="AR630" i="2"/>
  <c r="R631" i="2"/>
  <c r="AR631" i="2"/>
  <c r="R632" i="2"/>
  <c r="AR632" i="2"/>
  <c r="R633" i="2"/>
  <c r="AR633" i="2"/>
  <c r="R634" i="2"/>
  <c r="AR634" i="2"/>
  <c r="R635" i="2"/>
  <c r="AR635" i="2"/>
  <c r="R636" i="2"/>
  <c r="AR636" i="2"/>
  <c r="R637" i="2"/>
  <c r="AR637" i="2"/>
  <c r="R638" i="2"/>
  <c r="AR638" i="2"/>
  <c r="R639" i="2"/>
  <c r="AR639" i="2"/>
  <c r="R640" i="2"/>
  <c r="AR640" i="2"/>
  <c r="R641" i="2"/>
  <c r="AR641" i="2"/>
  <c r="R642" i="2"/>
  <c r="AR642" i="2"/>
  <c r="R643" i="2"/>
  <c r="AR643" i="2"/>
  <c r="R644" i="2"/>
  <c r="AR644" i="2"/>
  <c r="R645" i="2"/>
  <c r="AR645" i="2"/>
  <c r="B602" i="17" l="1"/>
  <c r="C602" i="17"/>
  <c r="D602" i="17"/>
  <c r="E602" i="17"/>
  <c r="F602" i="17"/>
  <c r="G602" i="17"/>
  <c r="H602" i="17"/>
  <c r="AF602" i="17" s="1"/>
  <c r="R602" i="17"/>
  <c r="B603" i="17"/>
  <c r="C603" i="17"/>
  <c r="D603" i="17"/>
  <c r="E603" i="17"/>
  <c r="F603" i="17"/>
  <c r="G603" i="17"/>
  <c r="H603" i="17"/>
  <c r="AF603" i="17" s="1"/>
  <c r="R603" i="17"/>
  <c r="B604" i="17"/>
  <c r="C604" i="17"/>
  <c r="D604" i="17"/>
  <c r="E604" i="17"/>
  <c r="F604" i="17"/>
  <c r="G604" i="17"/>
  <c r="H604" i="17"/>
  <c r="AF604" i="17" s="1"/>
  <c r="R604" i="17"/>
  <c r="B605" i="17"/>
  <c r="C605" i="17"/>
  <c r="D605" i="17"/>
  <c r="E605" i="17"/>
  <c r="F605" i="17"/>
  <c r="G605" i="17"/>
  <c r="H605" i="17"/>
  <c r="AF605" i="17" s="1"/>
  <c r="R605" i="17"/>
  <c r="B606" i="17"/>
  <c r="C606" i="17"/>
  <c r="D606" i="17"/>
  <c r="E606" i="17"/>
  <c r="F606" i="17"/>
  <c r="G606" i="17"/>
  <c r="H606" i="17"/>
  <c r="AF606" i="17" s="1"/>
  <c r="R606" i="17"/>
  <c r="B607" i="17"/>
  <c r="C607" i="17"/>
  <c r="D607" i="17"/>
  <c r="E607" i="17"/>
  <c r="F607" i="17"/>
  <c r="G607" i="17"/>
  <c r="H607" i="17"/>
  <c r="AF607" i="17" s="1"/>
  <c r="R607" i="17"/>
  <c r="B608" i="17"/>
  <c r="C608" i="17"/>
  <c r="D608" i="17"/>
  <c r="E608" i="17"/>
  <c r="F608" i="17"/>
  <c r="G608" i="17"/>
  <c r="H608" i="17"/>
  <c r="AF608" i="17" s="1"/>
  <c r="R608" i="17"/>
  <c r="B609" i="17"/>
  <c r="C609" i="17"/>
  <c r="D609" i="17"/>
  <c r="E609" i="17"/>
  <c r="F609" i="17"/>
  <c r="G609" i="17"/>
  <c r="H609" i="17"/>
  <c r="AF609" i="17" s="1"/>
  <c r="R609" i="17"/>
  <c r="B610" i="17"/>
  <c r="C610" i="17"/>
  <c r="D610" i="17"/>
  <c r="E610" i="17"/>
  <c r="F610" i="17"/>
  <c r="G610" i="17"/>
  <c r="H610" i="17"/>
  <c r="AF610" i="17" s="1"/>
  <c r="R610" i="17"/>
  <c r="B611" i="17"/>
  <c r="C611" i="17"/>
  <c r="D611" i="17"/>
  <c r="E611" i="17"/>
  <c r="F611" i="17"/>
  <c r="G611" i="17"/>
  <c r="H611" i="17"/>
  <c r="AF611" i="17" s="1"/>
  <c r="R611" i="17"/>
  <c r="B612" i="17"/>
  <c r="C612" i="17"/>
  <c r="D612" i="17"/>
  <c r="E612" i="17"/>
  <c r="F612" i="17"/>
  <c r="G612" i="17"/>
  <c r="H612" i="17"/>
  <c r="AF612" i="17" s="1"/>
  <c r="R612" i="17"/>
  <c r="B613" i="17"/>
  <c r="C613" i="17"/>
  <c r="D613" i="17"/>
  <c r="E613" i="17"/>
  <c r="F613" i="17"/>
  <c r="G613" i="17"/>
  <c r="H613" i="17"/>
  <c r="AF613" i="17" s="1"/>
  <c r="R613" i="17"/>
  <c r="B614" i="17"/>
  <c r="C614" i="17"/>
  <c r="D614" i="17"/>
  <c r="E614" i="17"/>
  <c r="F614" i="17"/>
  <c r="G614" i="17"/>
  <c r="H614" i="17"/>
  <c r="AF614" i="17" s="1"/>
  <c r="R614" i="17"/>
  <c r="B615" i="17"/>
  <c r="C615" i="17"/>
  <c r="D615" i="17"/>
  <c r="E615" i="17"/>
  <c r="F615" i="17"/>
  <c r="G615" i="17"/>
  <c r="H615" i="17"/>
  <c r="AF615" i="17" s="1"/>
  <c r="R615" i="17"/>
  <c r="B616" i="17"/>
  <c r="C616" i="17"/>
  <c r="D616" i="17"/>
  <c r="E616" i="17"/>
  <c r="F616" i="17"/>
  <c r="G616" i="17"/>
  <c r="H616" i="17"/>
  <c r="AF616" i="17" s="1"/>
  <c r="R616" i="17"/>
  <c r="B617" i="17"/>
  <c r="C617" i="17"/>
  <c r="D617" i="17"/>
  <c r="E617" i="17"/>
  <c r="F617" i="17"/>
  <c r="G617" i="17"/>
  <c r="H617" i="17"/>
  <c r="AF617" i="17" s="1"/>
  <c r="R617" i="17"/>
  <c r="B618" i="17"/>
  <c r="C618" i="17"/>
  <c r="D618" i="17"/>
  <c r="E618" i="17"/>
  <c r="F618" i="17"/>
  <c r="G618" i="17"/>
  <c r="H618" i="17"/>
  <c r="AF618" i="17" s="1"/>
  <c r="R618" i="17"/>
  <c r="B619" i="17"/>
  <c r="C619" i="17"/>
  <c r="D619" i="17"/>
  <c r="E619" i="17"/>
  <c r="F619" i="17"/>
  <c r="G619" i="17"/>
  <c r="H619" i="17"/>
  <c r="AF619" i="17" s="1"/>
  <c r="R619" i="17"/>
  <c r="B620" i="17"/>
  <c r="C620" i="17"/>
  <c r="D620" i="17"/>
  <c r="E620" i="17"/>
  <c r="F620" i="17"/>
  <c r="G620" i="17"/>
  <c r="H620" i="17"/>
  <c r="AF620" i="17" s="1"/>
  <c r="R620" i="17"/>
  <c r="B621" i="17"/>
  <c r="C621" i="17"/>
  <c r="D621" i="17"/>
  <c r="E621" i="17"/>
  <c r="F621" i="17"/>
  <c r="G621" i="17"/>
  <c r="H621" i="17"/>
  <c r="AF621" i="17" s="1"/>
  <c r="R621" i="17"/>
  <c r="B622" i="17"/>
  <c r="C622" i="17"/>
  <c r="D622" i="17"/>
  <c r="E622" i="17"/>
  <c r="F622" i="17"/>
  <c r="G622" i="17"/>
  <c r="H622" i="17"/>
  <c r="AF622" i="17" s="1"/>
  <c r="R622" i="17"/>
  <c r="B623" i="17"/>
  <c r="C623" i="17"/>
  <c r="D623" i="17"/>
  <c r="E623" i="17"/>
  <c r="F623" i="17"/>
  <c r="G623" i="17"/>
  <c r="H623" i="17"/>
  <c r="AF623" i="17" s="1"/>
  <c r="R623" i="17"/>
  <c r="B624" i="17"/>
  <c r="C624" i="17"/>
  <c r="D624" i="17"/>
  <c r="E624" i="17"/>
  <c r="F624" i="17"/>
  <c r="G624" i="17"/>
  <c r="H624" i="17"/>
  <c r="AF624" i="17" s="1"/>
  <c r="R624" i="17"/>
  <c r="B625" i="17"/>
  <c r="C625" i="17"/>
  <c r="D625" i="17"/>
  <c r="E625" i="17"/>
  <c r="F625" i="17"/>
  <c r="G625" i="17"/>
  <c r="H625" i="17"/>
  <c r="AF625" i="17" s="1"/>
  <c r="R625" i="17"/>
  <c r="B626" i="17"/>
  <c r="C626" i="17"/>
  <c r="D626" i="17"/>
  <c r="E626" i="17"/>
  <c r="F626" i="17"/>
  <c r="G626" i="17"/>
  <c r="H626" i="17"/>
  <c r="AF626" i="17" s="1"/>
  <c r="R626" i="17"/>
  <c r="B627" i="17"/>
  <c r="C627" i="17"/>
  <c r="D627" i="17"/>
  <c r="E627" i="17"/>
  <c r="F627" i="17"/>
  <c r="G627" i="17"/>
  <c r="H627" i="17"/>
  <c r="AF627" i="17" s="1"/>
  <c r="R627" i="17"/>
  <c r="B628" i="17"/>
  <c r="C628" i="17"/>
  <c r="D628" i="17"/>
  <c r="E628" i="17"/>
  <c r="F628" i="17"/>
  <c r="G628" i="17"/>
  <c r="H628" i="17"/>
  <c r="AF628" i="17" s="1"/>
  <c r="R628" i="17"/>
  <c r="B629" i="17"/>
  <c r="C629" i="17"/>
  <c r="D629" i="17"/>
  <c r="E629" i="17"/>
  <c r="F629" i="17"/>
  <c r="G629" i="17"/>
  <c r="H629" i="17"/>
  <c r="AF629" i="17" s="1"/>
  <c r="R629" i="17"/>
  <c r="B630" i="17"/>
  <c r="C630" i="17"/>
  <c r="D630" i="17"/>
  <c r="E630" i="17"/>
  <c r="F630" i="17"/>
  <c r="G630" i="17"/>
  <c r="H630" i="17"/>
  <c r="AF630" i="17" s="1"/>
  <c r="R630" i="17"/>
  <c r="B631" i="17"/>
  <c r="C631" i="17"/>
  <c r="D631" i="17"/>
  <c r="E631" i="17"/>
  <c r="F631" i="17"/>
  <c r="G631" i="17"/>
  <c r="H631" i="17"/>
  <c r="AF631" i="17" s="1"/>
  <c r="R631" i="17"/>
  <c r="B632" i="17"/>
  <c r="C632" i="17"/>
  <c r="D632" i="17"/>
  <c r="E632" i="17"/>
  <c r="F632" i="17"/>
  <c r="G632" i="17"/>
  <c r="H632" i="17"/>
  <c r="AF632" i="17" s="1"/>
  <c r="R632" i="17"/>
  <c r="B633" i="17"/>
  <c r="C633" i="17"/>
  <c r="D633" i="17"/>
  <c r="E633" i="17"/>
  <c r="F633" i="17"/>
  <c r="G633" i="17"/>
  <c r="H633" i="17"/>
  <c r="AF633" i="17" s="1"/>
  <c r="R633" i="17"/>
  <c r="B634" i="17"/>
  <c r="C634" i="17"/>
  <c r="D634" i="17"/>
  <c r="E634" i="17"/>
  <c r="F634" i="17"/>
  <c r="G634" i="17"/>
  <c r="H634" i="17"/>
  <c r="AF634" i="17" s="1"/>
  <c r="R634" i="17"/>
  <c r="B635" i="17"/>
  <c r="C635" i="17"/>
  <c r="D635" i="17"/>
  <c r="E635" i="17"/>
  <c r="F635" i="17"/>
  <c r="G635" i="17"/>
  <c r="H635" i="17"/>
  <c r="AF635" i="17" s="1"/>
  <c r="R635" i="17"/>
  <c r="B636" i="17"/>
  <c r="C636" i="17"/>
  <c r="D636" i="17"/>
  <c r="E636" i="17"/>
  <c r="F636" i="17"/>
  <c r="G636" i="17"/>
  <c r="H636" i="17"/>
  <c r="AF636" i="17" s="1"/>
  <c r="R636" i="17"/>
  <c r="B637" i="17"/>
  <c r="C637" i="17"/>
  <c r="D637" i="17"/>
  <c r="E637" i="17"/>
  <c r="F637" i="17"/>
  <c r="G637" i="17"/>
  <c r="H637" i="17"/>
  <c r="AF637" i="17" s="1"/>
  <c r="R637" i="17"/>
  <c r="B638" i="17"/>
  <c r="C638" i="17"/>
  <c r="D638" i="17"/>
  <c r="E638" i="17"/>
  <c r="F638" i="17"/>
  <c r="G638" i="17"/>
  <c r="H638" i="17"/>
  <c r="AF638" i="17" s="1"/>
  <c r="R638" i="17"/>
  <c r="B639" i="17"/>
  <c r="C639" i="17"/>
  <c r="D639" i="17"/>
  <c r="E639" i="17"/>
  <c r="F639" i="17"/>
  <c r="G639" i="17"/>
  <c r="H639" i="17"/>
  <c r="AF639" i="17" s="1"/>
  <c r="R639" i="17"/>
  <c r="B640" i="17"/>
  <c r="C640" i="17"/>
  <c r="D640" i="17"/>
  <c r="E640" i="17"/>
  <c r="F640" i="17"/>
  <c r="G640" i="17"/>
  <c r="H640" i="17"/>
  <c r="AF640" i="17" s="1"/>
  <c r="R640" i="17"/>
  <c r="B641" i="17"/>
  <c r="C641" i="17"/>
  <c r="D641" i="17"/>
  <c r="E641" i="17"/>
  <c r="F641" i="17"/>
  <c r="G641" i="17"/>
  <c r="H641" i="17"/>
  <c r="AF641" i="17" s="1"/>
  <c r="R641" i="17"/>
  <c r="B642" i="17"/>
  <c r="C642" i="17"/>
  <c r="D642" i="17"/>
  <c r="E642" i="17"/>
  <c r="F642" i="17"/>
  <c r="G642" i="17"/>
  <c r="H642" i="17"/>
  <c r="AF642" i="17" s="1"/>
  <c r="R642" i="17"/>
  <c r="B643" i="17"/>
  <c r="C643" i="17"/>
  <c r="D643" i="17"/>
  <c r="E643" i="17"/>
  <c r="F643" i="17"/>
  <c r="G643" i="17"/>
  <c r="H643" i="17"/>
  <c r="AF643" i="17" s="1"/>
  <c r="R643" i="17"/>
  <c r="B644" i="17"/>
  <c r="C644" i="17"/>
  <c r="D644" i="17"/>
  <c r="E644" i="17"/>
  <c r="F644" i="17"/>
  <c r="G644" i="17"/>
  <c r="H644" i="17"/>
  <c r="AF644" i="17" s="1"/>
  <c r="R644" i="17"/>
  <c r="B645" i="17"/>
  <c r="C645" i="17"/>
  <c r="D645" i="17"/>
  <c r="E645" i="17"/>
  <c r="F645" i="17"/>
  <c r="G645" i="17"/>
  <c r="H645" i="17"/>
  <c r="AF645" i="17" s="1"/>
  <c r="R645" i="17"/>
  <c r="B646" i="17"/>
  <c r="C646" i="17"/>
  <c r="D646" i="17"/>
  <c r="E646" i="17"/>
  <c r="F646" i="17"/>
  <c r="G646" i="17"/>
  <c r="H646" i="17"/>
  <c r="AF646" i="17" s="1"/>
  <c r="R646" i="17"/>
  <c r="B647" i="17"/>
  <c r="C647" i="17"/>
  <c r="D647" i="17"/>
  <c r="E647" i="17"/>
  <c r="F647" i="17"/>
  <c r="G647" i="17"/>
  <c r="H647" i="17"/>
  <c r="AF647" i="17" s="1"/>
  <c r="R647" i="17"/>
  <c r="B648" i="17"/>
  <c r="C648" i="17"/>
  <c r="D648" i="17"/>
  <c r="E648" i="17"/>
  <c r="F648" i="17"/>
  <c r="G648" i="17"/>
  <c r="H648" i="17"/>
  <c r="AF648" i="17" s="1"/>
  <c r="R648" i="17"/>
  <c r="B649" i="17"/>
  <c r="C649" i="17"/>
  <c r="D649" i="17"/>
  <c r="E649" i="17"/>
  <c r="F649" i="17"/>
  <c r="G649" i="17"/>
  <c r="H649" i="17"/>
  <c r="AF649" i="17" s="1"/>
  <c r="R649" i="17"/>
  <c r="B650" i="17"/>
  <c r="C650" i="17"/>
  <c r="D650" i="17"/>
  <c r="E650" i="17"/>
  <c r="F650" i="17"/>
  <c r="G650" i="17"/>
  <c r="H650" i="17"/>
  <c r="AF650" i="17" s="1"/>
  <c r="R650" i="17"/>
  <c r="B651" i="17"/>
  <c r="C651" i="17"/>
  <c r="D651" i="17"/>
  <c r="E651" i="17"/>
  <c r="F651" i="17"/>
  <c r="G651" i="17"/>
  <c r="H651" i="17"/>
  <c r="AF651" i="17" s="1"/>
  <c r="R651" i="17"/>
  <c r="B652" i="17"/>
  <c r="C652" i="17"/>
  <c r="D652" i="17"/>
  <c r="E652" i="17"/>
  <c r="F652" i="17"/>
  <c r="G652" i="17"/>
  <c r="H652" i="17"/>
  <c r="AF652" i="17" s="1"/>
  <c r="R652" i="17"/>
  <c r="B653" i="17"/>
  <c r="C653" i="17"/>
  <c r="D653" i="17"/>
  <c r="E653" i="17"/>
  <c r="F653" i="17"/>
  <c r="G653" i="17"/>
  <c r="H653" i="17"/>
  <c r="AF653" i="17" s="1"/>
  <c r="R653" i="17"/>
  <c r="B654" i="17"/>
  <c r="C654" i="17"/>
  <c r="D654" i="17"/>
  <c r="E654" i="17"/>
  <c r="F654" i="17"/>
  <c r="G654" i="17"/>
  <c r="H654" i="17"/>
  <c r="AF654" i="17" s="1"/>
  <c r="R654" i="17"/>
  <c r="B655" i="17"/>
  <c r="C655" i="17"/>
  <c r="D655" i="17"/>
  <c r="E655" i="17"/>
  <c r="F655" i="17"/>
  <c r="G655" i="17"/>
  <c r="H655" i="17"/>
  <c r="AF655" i="17" s="1"/>
  <c r="R655" i="17"/>
  <c r="B656" i="17"/>
  <c r="C656" i="17"/>
  <c r="D656" i="17"/>
  <c r="E656" i="17"/>
  <c r="F656" i="17"/>
  <c r="G656" i="17"/>
  <c r="H656" i="17"/>
  <c r="AF656" i="17" s="1"/>
  <c r="R656" i="17"/>
  <c r="B657" i="17"/>
  <c r="C657" i="17"/>
  <c r="D657" i="17"/>
  <c r="E657" i="17"/>
  <c r="F657" i="17"/>
  <c r="G657" i="17"/>
  <c r="H657" i="17"/>
  <c r="AF657" i="17" s="1"/>
  <c r="R657" i="17"/>
  <c r="B658" i="17"/>
  <c r="C658" i="17"/>
  <c r="D658" i="17"/>
  <c r="E658" i="17"/>
  <c r="F658" i="17"/>
  <c r="G658" i="17"/>
  <c r="H658" i="17"/>
  <c r="AF658" i="17" s="1"/>
  <c r="R658" i="17"/>
  <c r="B659" i="17"/>
  <c r="C659" i="17"/>
  <c r="D659" i="17"/>
  <c r="E659" i="17"/>
  <c r="F659" i="17"/>
  <c r="G659" i="17"/>
  <c r="H659" i="17"/>
  <c r="AF659" i="17" s="1"/>
  <c r="R659" i="17"/>
  <c r="B660" i="17"/>
  <c r="C660" i="17"/>
  <c r="D660" i="17"/>
  <c r="E660" i="17"/>
  <c r="F660" i="17"/>
  <c r="G660" i="17"/>
  <c r="H660" i="17"/>
  <c r="AF660" i="17" s="1"/>
  <c r="R660" i="17"/>
  <c r="B661" i="17"/>
  <c r="C661" i="17"/>
  <c r="D661" i="17"/>
  <c r="E661" i="17"/>
  <c r="F661" i="17"/>
  <c r="G661" i="17"/>
  <c r="H661" i="17"/>
  <c r="AF661" i="17" s="1"/>
  <c r="R661" i="17"/>
  <c r="B662" i="17"/>
  <c r="C662" i="17"/>
  <c r="D662" i="17"/>
  <c r="E662" i="17"/>
  <c r="F662" i="17"/>
  <c r="G662" i="17"/>
  <c r="H662" i="17"/>
  <c r="AF662" i="17" s="1"/>
  <c r="R662" i="17"/>
  <c r="B663" i="17"/>
  <c r="C663" i="17"/>
  <c r="D663" i="17"/>
  <c r="E663" i="17"/>
  <c r="F663" i="17"/>
  <c r="G663" i="17"/>
  <c r="H663" i="17"/>
  <c r="AF663" i="17" s="1"/>
  <c r="R663" i="17"/>
  <c r="B664" i="17"/>
  <c r="C664" i="17"/>
  <c r="D664" i="17"/>
  <c r="E664" i="17"/>
  <c r="F664" i="17"/>
  <c r="G664" i="17"/>
  <c r="H664" i="17"/>
  <c r="AF664" i="17" s="1"/>
  <c r="R664" i="17"/>
  <c r="B665" i="17"/>
  <c r="C665" i="17"/>
  <c r="D665" i="17"/>
  <c r="E665" i="17"/>
  <c r="F665" i="17"/>
  <c r="G665" i="17"/>
  <c r="H665" i="17"/>
  <c r="AF665" i="17" s="1"/>
  <c r="R665" i="17"/>
  <c r="B666" i="17"/>
  <c r="C666" i="17"/>
  <c r="D666" i="17"/>
  <c r="E666" i="17"/>
  <c r="F666" i="17"/>
  <c r="G666" i="17"/>
  <c r="H666" i="17"/>
  <c r="AF666" i="17" s="1"/>
  <c r="R666" i="17"/>
  <c r="B667" i="17"/>
  <c r="C667" i="17"/>
  <c r="D667" i="17"/>
  <c r="E667" i="17"/>
  <c r="F667" i="17"/>
  <c r="G667" i="17"/>
  <c r="H667" i="17"/>
  <c r="AF667" i="17" s="1"/>
  <c r="R667" i="17"/>
  <c r="B668" i="17"/>
  <c r="C668" i="17"/>
  <c r="D668" i="17"/>
  <c r="E668" i="17"/>
  <c r="F668" i="17"/>
  <c r="G668" i="17"/>
  <c r="H668" i="17"/>
  <c r="AF668" i="17" s="1"/>
  <c r="R668" i="17"/>
  <c r="B669" i="17"/>
  <c r="C669" i="17"/>
  <c r="D669" i="17"/>
  <c r="E669" i="17"/>
  <c r="F669" i="17"/>
  <c r="G669" i="17"/>
  <c r="H669" i="17"/>
  <c r="AF669" i="17" s="1"/>
  <c r="R669" i="17"/>
  <c r="B670" i="17"/>
  <c r="C670" i="17"/>
  <c r="D670" i="17"/>
  <c r="E670" i="17"/>
  <c r="F670" i="17"/>
  <c r="G670" i="17"/>
  <c r="H670" i="17"/>
  <c r="AF670" i="17" s="1"/>
  <c r="R670" i="17"/>
  <c r="B671" i="17"/>
  <c r="C671" i="17"/>
  <c r="D671" i="17"/>
  <c r="E671" i="17"/>
  <c r="F671" i="17"/>
  <c r="G671" i="17"/>
  <c r="H671" i="17"/>
  <c r="AF671" i="17" s="1"/>
  <c r="R671" i="17"/>
  <c r="B672" i="17"/>
  <c r="C672" i="17"/>
  <c r="D672" i="17"/>
  <c r="E672" i="17"/>
  <c r="F672" i="17"/>
  <c r="G672" i="17"/>
  <c r="H672" i="17"/>
  <c r="AF672" i="17" s="1"/>
  <c r="R672" i="17"/>
  <c r="B673" i="17"/>
  <c r="C673" i="17"/>
  <c r="D673" i="17"/>
  <c r="E673" i="17"/>
  <c r="F673" i="17"/>
  <c r="G673" i="17"/>
  <c r="H673" i="17"/>
  <c r="AF673" i="17" s="1"/>
  <c r="R673" i="17"/>
  <c r="B674" i="17"/>
  <c r="C674" i="17"/>
  <c r="D674" i="17"/>
  <c r="E674" i="17"/>
  <c r="F674" i="17"/>
  <c r="G674" i="17"/>
  <c r="H674" i="17"/>
  <c r="AF674" i="17" s="1"/>
  <c r="R674" i="17"/>
  <c r="B675" i="17"/>
  <c r="C675" i="17"/>
  <c r="D675" i="17"/>
  <c r="E675" i="17"/>
  <c r="F675" i="17"/>
  <c r="G675" i="17"/>
  <c r="H675" i="17"/>
  <c r="AF675" i="17" s="1"/>
  <c r="R675" i="17"/>
  <c r="B676" i="17"/>
  <c r="C676" i="17"/>
  <c r="D676" i="17"/>
  <c r="E676" i="17"/>
  <c r="F676" i="17"/>
  <c r="G676" i="17"/>
  <c r="H676" i="17"/>
  <c r="AF676" i="17" s="1"/>
  <c r="R676" i="17"/>
  <c r="AK624" i="17" l="1"/>
  <c r="AJ624" i="17"/>
  <c r="AK620" i="17"/>
  <c r="AJ620" i="17"/>
  <c r="AK648" i="17"/>
  <c r="AJ648" i="17"/>
  <c r="AK656" i="17"/>
  <c r="AJ656" i="17"/>
  <c r="AK652" i="17"/>
  <c r="AJ652" i="17"/>
  <c r="AK617" i="17"/>
  <c r="AJ617" i="17"/>
  <c r="AK613" i="17"/>
  <c r="AJ613" i="17"/>
  <c r="AK609" i="17"/>
  <c r="AJ609" i="17"/>
  <c r="AK605" i="17"/>
  <c r="AJ605" i="17"/>
  <c r="AK668" i="17"/>
  <c r="AJ668" i="17"/>
  <c r="AK641" i="17"/>
  <c r="AJ641" i="17"/>
  <c r="AK644" i="17"/>
  <c r="AJ644" i="17"/>
  <c r="AK628" i="17"/>
  <c r="AJ628" i="17"/>
  <c r="AJ621" i="17"/>
  <c r="AK621" i="17"/>
  <c r="AK649" i="17"/>
  <c r="AJ649" i="17"/>
  <c r="AJ675" i="17"/>
  <c r="AK675" i="17"/>
  <c r="AK640" i="17"/>
  <c r="AJ640" i="17"/>
  <c r="AK633" i="17"/>
  <c r="AJ633" i="17"/>
  <c r="AJ669" i="17"/>
  <c r="AK669" i="17"/>
  <c r="AK661" i="17"/>
  <c r="AJ661" i="17"/>
  <c r="AK614" i="17"/>
  <c r="AJ614" i="17"/>
  <c r="AK610" i="17"/>
  <c r="AJ610" i="17"/>
  <c r="AK606" i="17"/>
  <c r="AJ606" i="17"/>
  <c r="AK602" i="17"/>
  <c r="AJ602" i="17"/>
  <c r="AK676" i="17"/>
  <c r="AJ676" i="17"/>
  <c r="AK664" i="17"/>
  <c r="AJ664" i="17"/>
  <c r="AJ645" i="17"/>
  <c r="AK645" i="17"/>
  <c r="AK637" i="17"/>
  <c r="AJ637" i="17"/>
  <c r="AK629" i="17"/>
  <c r="AJ629" i="17"/>
  <c r="AK673" i="17"/>
  <c r="AJ673" i="17"/>
  <c r="AK657" i="17"/>
  <c r="AJ657" i="17"/>
  <c r="AK634" i="17"/>
  <c r="AJ634" i="17"/>
  <c r="AK630" i="17"/>
  <c r="AJ630" i="17"/>
  <c r="AK626" i="17"/>
  <c r="AJ626" i="17"/>
  <c r="AJ622" i="17"/>
  <c r="AK622" i="17"/>
  <c r="AK618" i="17"/>
  <c r="AJ618" i="17"/>
  <c r="AK632" i="17"/>
  <c r="AJ632" i="17"/>
  <c r="AK625" i="17"/>
  <c r="AJ625" i="17"/>
  <c r="AK665" i="17"/>
  <c r="AJ665" i="17"/>
  <c r="AK653" i="17"/>
  <c r="AJ653" i="17"/>
  <c r="AJ646" i="17"/>
  <c r="AK646" i="17"/>
  <c r="AK642" i="17"/>
  <c r="AJ642" i="17"/>
  <c r="AK638" i="17"/>
  <c r="AJ638" i="17"/>
  <c r="AK650" i="17"/>
  <c r="AJ650" i="17"/>
  <c r="AK636" i="17"/>
  <c r="AJ636" i="17"/>
  <c r="AK672" i="17"/>
  <c r="AJ672" i="17"/>
  <c r="AK660" i="17"/>
  <c r="AJ660" i="17"/>
  <c r="AK674" i="17"/>
  <c r="AJ674" i="17"/>
  <c r="AJ670" i="17"/>
  <c r="AK670" i="17"/>
  <c r="AK666" i="17"/>
  <c r="AJ666" i="17"/>
  <c r="AK662" i="17"/>
  <c r="AJ662" i="17"/>
  <c r="AK658" i="17"/>
  <c r="AJ658" i="17"/>
  <c r="AK654" i="17"/>
  <c r="AJ654" i="17"/>
  <c r="AJ615" i="17"/>
  <c r="AK615" i="17"/>
  <c r="AK611" i="17"/>
  <c r="AJ611" i="17"/>
  <c r="AK607" i="17"/>
  <c r="AJ607" i="17"/>
  <c r="AJ603" i="17"/>
  <c r="AK603" i="17"/>
  <c r="AK647" i="17"/>
  <c r="AJ647" i="17"/>
  <c r="AK643" i="17"/>
  <c r="AJ643" i="17"/>
  <c r="AJ639" i="17"/>
  <c r="AK639" i="17"/>
  <c r="AK635" i="17"/>
  <c r="AJ635" i="17"/>
  <c r="AK631" i="17"/>
  <c r="AJ631" i="17"/>
  <c r="AJ627" i="17"/>
  <c r="AK627" i="17"/>
  <c r="AK623" i="17"/>
  <c r="AJ623" i="17"/>
  <c r="AK619" i="17"/>
  <c r="AJ619" i="17"/>
  <c r="AK667" i="17"/>
  <c r="AJ667" i="17"/>
  <c r="AJ651" i="17"/>
  <c r="AK651" i="17"/>
  <c r="AK671" i="17"/>
  <c r="AJ671" i="17"/>
  <c r="AJ663" i="17"/>
  <c r="AK663" i="17"/>
  <c r="AK659" i="17"/>
  <c r="AJ659" i="17"/>
  <c r="AK655" i="17"/>
  <c r="AJ655" i="17"/>
  <c r="AK616" i="17"/>
  <c r="AJ616" i="17"/>
  <c r="AK612" i="17"/>
  <c r="AJ612" i="17"/>
  <c r="AK608" i="17"/>
  <c r="AJ608" i="17"/>
  <c r="AK604" i="17"/>
  <c r="AJ604" i="17"/>
  <c r="R397" i="32"/>
  <c r="E397" i="32"/>
  <c r="D397" i="32"/>
  <c r="R396" i="32"/>
  <c r="E396" i="32"/>
  <c r="D396" i="32"/>
  <c r="R395" i="32"/>
  <c r="E395" i="32"/>
  <c r="D395" i="32"/>
  <c r="R394" i="32"/>
  <c r="E394" i="32"/>
  <c r="D394" i="32"/>
  <c r="R393" i="32"/>
  <c r="E393" i="32"/>
  <c r="D393" i="32"/>
  <c r="R392" i="32"/>
  <c r="E392" i="32"/>
  <c r="D392" i="32"/>
  <c r="R391" i="32"/>
  <c r="E391" i="32"/>
  <c r="D391" i="32"/>
  <c r="R390" i="32"/>
  <c r="E390" i="32"/>
  <c r="D390" i="32"/>
  <c r="S388" i="32"/>
  <c r="R388" i="32"/>
  <c r="P388" i="32"/>
  <c r="S387" i="32"/>
  <c r="R387" i="32"/>
  <c r="P387" i="32"/>
  <c r="I387" i="32"/>
  <c r="I386" i="32" s="1"/>
  <c r="I385" i="32" s="1"/>
  <c r="I384" i="32" s="1"/>
  <c r="I383" i="32" s="1"/>
  <c r="H387" i="32"/>
  <c r="H386" i="32" s="1"/>
  <c r="H385" i="32" s="1"/>
  <c r="H384" i="32" s="1"/>
  <c r="H383" i="32" s="1"/>
  <c r="G387" i="32"/>
  <c r="G386" i="32" s="1"/>
  <c r="G385" i="32" s="1"/>
  <c r="G384" i="32" s="1"/>
  <c r="G383" i="32" s="1"/>
  <c r="S386" i="32"/>
  <c r="R386" i="32"/>
  <c r="P386" i="32"/>
  <c r="S385" i="32"/>
  <c r="R385" i="32"/>
  <c r="P385" i="32"/>
  <c r="S384" i="32"/>
  <c r="R384" i="32"/>
  <c r="P384" i="32"/>
  <c r="S383" i="32"/>
  <c r="R383" i="32"/>
  <c r="R381" i="32"/>
  <c r="E381" i="32"/>
  <c r="E379" i="32" s="1"/>
  <c r="E378" i="32" s="1"/>
  <c r="D381" i="32"/>
  <c r="S379" i="32"/>
  <c r="R379" i="32"/>
  <c r="P379" i="32"/>
  <c r="N379" i="32"/>
  <c r="N378" i="32" s="1"/>
  <c r="S378" i="32"/>
  <c r="R378" i="32"/>
  <c r="P378" i="32"/>
  <c r="R376" i="32"/>
  <c r="E376" i="32"/>
  <c r="D376" i="32"/>
  <c r="R375" i="32"/>
  <c r="E375" i="32"/>
  <c r="D375" i="32"/>
  <c r="S373" i="32"/>
  <c r="R373" i="32"/>
  <c r="P373" i="32"/>
  <c r="R371" i="32"/>
  <c r="E371" i="32"/>
  <c r="D371" i="32"/>
  <c r="R370" i="32"/>
  <c r="E370" i="32"/>
  <c r="D370" i="32"/>
  <c r="S368" i="32"/>
  <c r="R368" i="32"/>
  <c r="P368" i="32"/>
  <c r="R366" i="32"/>
  <c r="E366" i="32"/>
  <c r="D366" i="32"/>
  <c r="R365" i="32"/>
  <c r="E365" i="32"/>
  <c r="D365" i="32"/>
  <c r="S363" i="32"/>
  <c r="R363" i="32"/>
  <c r="P363" i="32"/>
  <c r="R361" i="32"/>
  <c r="E361" i="32"/>
  <c r="E359" i="32" s="1"/>
  <c r="D361" i="32"/>
  <c r="S359" i="32"/>
  <c r="R359" i="32"/>
  <c r="P359" i="32"/>
  <c r="R357" i="32"/>
  <c r="E357" i="32"/>
  <c r="D357"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R345" i="32"/>
  <c r="E345" i="32"/>
  <c r="D345" i="32"/>
  <c r="R344" i="32"/>
  <c r="E344" i="32"/>
  <c r="D344" i="32"/>
  <c r="R343" i="32"/>
  <c r="E343" i="32"/>
  <c r="D343" i="32"/>
  <c r="R342" i="32"/>
  <c r="E342" i="32"/>
  <c r="D342" i="32"/>
  <c r="R341" i="32"/>
  <c r="E341" i="32"/>
  <c r="D341" i="32"/>
  <c r="R340" i="32"/>
  <c r="E340" i="32"/>
  <c r="D340" i="32"/>
  <c r="E339" i="32"/>
  <c r="D339" i="32"/>
  <c r="R338" i="32"/>
  <c r="E338" i="32"/>
  <c r="D338" i="32"/>
  <c r="R337" i="32"/>
  <c r="E337" i="32"/>
  <c r="D337" i="32"/>
  <c r="R336" i="32"/>
  <c r="E336" i="32"/>
  <c r="D336" i="32"/>
  <c r="R335" i="32"/>
  <c r="E335" i="32"/>
  <c r="D335" i="32"/>
  <c r="R334" i="32"/>
  <c r="E334" i="32"/>
  <c r="D334" i="32"/>
  <c r="R333" i="32"/>
  <c r="E333" i="32"/>
  <c r="D333" i="32"/>
  <c r="R332" i="32"/>
  <c r="E332" i="32"/>
  <c r="D332" i="32"/>
  <c r="R331" i="32"/>
  <c r="E331" i="32"/>
  <c r="D331" i="32"/>
  <c r="R330" i="32"/>
  <c r="N330" i="32"/>
  <c r="E330" i="32"/>
  <c r="D330" i="32"/>
  <c r="S328" i="32"/>
  <c r="R328" i="32"/>
  <c r="P328" i="32"/>
  <c r="S327" i="32"/>
  <c r="R327" i="32"/>
  <c r="P327" i="32"/>
  <c r="R325" i="32"/>
  <c r="E325" i="32"/>
  <c r="E323" i="32" s="1"/>
  <c r="D325" i="32"/>
  <c r="S323" i="32"/>
  <c r="R323" i="32"/>
  <c r="P323" i="32"/>
  <c r="R321" i="32"/>
  <c r="E321" i="32"/>
  <c r="D321" i="32"/>
  <c r="R320" i="32"/>
  <c r="N320" i="32"/>
  <c r="E320" i="32"/>
  <c r="D320" i="32"/>
  <c r="R319" i="32"/>
  <c r="E319" i="32"/>
  <c r="D319" i="32"/>
  <c r="S317" i="32"/>
  <c r="R317" i="32"/>
  <c r="P317" i="32"/>
  <c r="R315" i="32"/>
  <c r="O315" i="32"/>
  <c r="N315" i="32" s="1"/>
  <c r="E315" i="32"/>
  <c r="D315" i="32"/>
  <c r="S313" i="32"/>
  <c r="R313" i="32"/>
  <c r="P313" i="32"/>
  <c r="S312" i="32"/>
  <c r="R312" i="32"/>
  <c r="R310" i="32"/>
  <c r="E310" i="32"/>
  <c r="D310" i="32"/>
  <c r="R309" i="32"/>
  <c r="E309" i="32"/>
  <c r="D309" i="32"/>
  <c r="S307" i="32"/>
  <c r="R307" i="32"/>
  <c r="P307" i="32"/>
  <c r="R305" i="32"/>
  <c r="E305" i="32"/>
  <c r="D305" i="32"/>
  <c r="R304" i="32"/>
  <c r="E304" i="32"/>
  <c r="D304" i="32"/>
  <c r="R303" i="32"/>
  <c r="E303" i="32"/>
  <c r="D303" i="32"/>
  <c r="R302" i="32"/>
  <c r="E302" i="32"/>
  <c r="D302" i="32"/>
  <c r="S300" i="32"/>
  <c r="R300" i="32"/>
  <c r="P300" i="32"/>
  <c r="R298" i="32"/>
  <c r="E298" i="32"/>
  <c r="D298" i="32"/>
  <c r="R297" i="32"/>
  <c r="E297" i="32"/>
  <c r="D297" i="32"/>
  <c r="R296" i="32"/>
  <c r="E296" i="32"/>
  <c r="D296" i="32"/>
  <c r="R295" i="32"/>
  <c r="E295" i="32"/>
  <c r="D295" i="32"/>
  <c r="R294" i="32"/>
  <c r="E294" i="32"/>
  <c r="D294" i="32"/>
  <c r="R293" i="32"/>
  <c r="E293" i="32"/>
  <c r="D293" i="32"/>
  <c r="S291" i="32"/>
  <c r="R291" i="32"/>
  <c r="P291" i="32"/>
  <c r="S290" i="32"/>
  <c r="R290" i="32"/>
  <c r="P290" i="32"/>
  <c r="S289" i="32"/>
  <c r="R289" i="32"/>
  <c r="R287" i="32"/>
  <c r="E287" i="32"/>
  <c r="E285" i="32" s="1"/>
  <c r="D287" i="32"/>
  <c r="S285" i="32"/>
  <c r="R285" i="32"/>
  <c r="P285" i="32"/>
  <c r="R283" i="32"/>
  <c r="E283" i="32"/>
  <c r="D283" i="32"/>
  <c r="R282" i="32"/>
  <c r="E282" i="32"/>
  <c r="D282" i="32"/>
  <c r="R281" i="32"/>
  <c r="E281" i="32"/>
  <c r="D281" i="32"/>
  <c r="R280" i="32"/>
  <c r="E280" i="32"/>
  <c r="D280" i="32"/>
  <c r="R279" i="32"/>
  <c r="E279" i="32"/>
  <c r="H279" i="32" s="1"/>
  <c r="D279" i="32"/>
  <c r="G279" i="32" s="1"/>
  <c r="I277" i="32"/>
  <c r="I276" i="32" s="1"/>
  <c r="I275" i="32" s="1"/>
  <c r="I274" i="32" s="1"/>
  <c r="I273" i="32" s="1"/>
  <c r="I272" i="32" s="1"/>
  <c r="H276" i="32"/>
  <c r="H275" i="32" s="1"/>
  <c r="H274" i="32" s="1"/>
  <c r="H273" i="32" s="1"/>
  <c r="G276" i="32"/>
  <c r="G275" i="32" s="1"/>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D245" i="32"/>
  <c r="S244" i="32"/>
  <c r="R244" i="32"/>
  <c r="P244" i="32"/>
  <c r="E244" i="32"/>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S237" i="32"/>
  <c r="R237" i="32"/>
  <c r="P237" i="32"/>
  <c r="O237" i="32"/>
  <c r="J237" i="32"/>
  <c r="L237" i="32" s="1"/>
  <c r="F237" i="32"/>
  <c r="E237" i="32"/>
  <c r="D237" i="32"/>
  <c r="C237" i="32"/>
  <c r="T236" i="32"/>
  <c r="S236" i="32"/>
  <c r="R236" i="32"/>
  <c r="P236" i="32"/>
  <c r="O236" i="32"/>
  <c r="J236" i="32"/>
  <c r="F236" i="32"/>
  <c r="E236" i="32"/>
  <c r="D236" i="32"/>
  <c r="C236"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I229" i="32" s="1"/>
  <c r="I228" i="32" s="1"/>
  <c r="I227" i="32" s="1"/>
  <c r="I226" i="32" s="1"/>
  <c r="H230" i="32"/>
  <c r="H229" i="32" s="1"/>
  <c r="H228" i="32" s="1"/>
  <c r="H227" i="32" s="1"/>
  <c r="H226" i="32" s="1"/>
  <c r="G230" i="32"/>
  <c r="G229" i="32" s="1"/>
  <c r="G228" i="32" s="1"/>
  <c r="G227" i="32" s="1"/>
  <c r="G226" i="32" s="1"/>
  <c r="S229" i="32"/>
  <c r="R229" i="32"/>
  <c r="P229" i="32"/>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L216" i="32" s="1"/>
  <c r="S217" i="32"/>
  <c r="R217" i="32"/>
  <c r="P217" i="32"/>
  <c r="J217" i="32"/>
  <c r="K217" i="32" s="1"/>
  <c r="S216" i="32"/>
  <c r="R216" i="32"/>
  <c r="P216" i="32"/>
  <c r="O214" i="32"/>
  <c r="T213" i="32"/>
  <c r="S213" i="32"/>
  <c r="R213" i="32"/>
  <c r="P213" i="32"/>
  <c r="O213" i="32"/>
  <c r="J213" i="32"/>
  <c r="F213" i="32"/>
  <c r="E213" i="32"/>
  <c r="D213" i="32"/>
  <c r="C213" i="32"/>
  <c r="S212" i="32"/>
  <c r="R212" i="32"/>
  <c r="P212" i="32"/>
  <c r="O212" i="32"/>
  <c r="J212" i="32"/>
  <c r="L212" i="32" s="1"/>
  <c r="F212" i="32"/>
  <c r="E212" i="32"/>
  <c r="D212" i="32"/>
  <c r="C212" i="32"/>
  <c r="S211" i="32"/>
  <c r="R211" i="32"/>
  <c r="P211" i="32"/>
  <c r="O211" i="32"/>
  <c r="J211" i="32"/>
  <c r="F211" i="32"/>
  <c r="E211" i="32"/>
  <c r="D211" i="32"/>
  <c r="C211" i="32"/>
  <c r="S209" i="32"/>
  <c r="R209" i="32"/>
  <c r="P209" i="32"/>
  <c r="F209" i="32"/>
  <c r="S205" i="32"/>
  <c r="R205" i="32"/>
  <c r="P205" i="32"/>
  <c r="J205" i="32"/>
  <c r="J204" i="32" s="1"/>
  <c r="K204" i="32" s="1"/>
  <c r="F205" i="32"/>
  <c r="S204" i="32"/>
  <c r="R204" i="32"/>
  <c r="P204" i="32"/>
  <c r="N204" i="32"/>
  <c r="F204" i="32"/>
  <c r="S202" i="32"/>
  <c r="R202" i="32"/>
  <c r="P202" i="32"/>
  <c r="O202" i="32"/>
  <c r="S201" i="32"/>
  <c r="R201" i="32"/>
  <c r="P201" i="32"/>
  <c r="O201" i="32"/>
  <c r="J201" i="32"/>
  <c r="L201" i="32" s="1"/>
  <c r="F201" i="32"/>
  <c r="E201" i="32"/>
  <c r="D201" i="32"/>
  <c r="C201" i="32"/>
  <c r="S200" i="32"/>
  <c r="R200" i="32"/>
  <c r="P200" i="32"/>
  <c r="O200" i="32"/>
  <c r="J200" i="32"/>
  <c r="L200" i="32" s="1"/>
  <c r="F200" i="32"/>
  <c r="E200" i="32"/>
  <c r="D200" i="32"/>
  <c r="C200" i="32"/>
  <c r="S199" i="32"/>
  <c r="R199" i="32"/>
  <c r="P199" i="32"/>
  <c r="O199" i="32"/>
  <c r="J199" i="32"/>
  <c r="L199" i="32" s="1"/>
  <c r="F199" i="32"/>
  <c r="E199" i="32"/>
  <c r="D199" i="32"/>
  <c r="C199"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S191" i="32"/>
  <c r="R191" i="32"/>
  <c r="P191" i="32"/>
  <c r="O191" i="32"/>
  <c r="J191" i="32"/>
  <c r="L191" i="32" s="1"/>
  <c r="F191" i="32"/>
  <c r="E191" i="32"/>
  <c r="D191" i="32"/>
  <c r="C191"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S183" i="32"/>
  <c r="R183" i="32"/>
  <c r="P183" i="32"/>
  <c r="O183" i="32"/>
  <c r="J183" i="32"/>
  <c r="L183" i="32" s="1"/>
  <c r="F183" i="32"/>
  <c r="E183" i="32"/>
  <c r="D183" i="32"/>
  <c r="C183" i="32"/>
  <c r="S182" i="32"/>
  <c r="R182" i="32"/>
  <c r="P182" i="32"/>
  <c r="O182" i="32"/>
  <c r="J182" i="32"/>
  <c r="F182" i="32"/>
  <c r="E182" i="32"/>
  <c r="D182" i="32"/>
  <c r="C182" i="32"/>
  <c r="S180" i="32"/>
  <c r="R180" i="32"/>
  <c r="P180" i="32"/>
  <c r="F180" i="32"/>
  <c r="S178" i="32"/>
  <c r="R178" i="32"/>
  <c r="P178" i="32"/>
  <c r="O178" i="32"/>
  <c r="J178" i="32"/>
  <c r="F178" i="32"/>
  <c r="E178" i="32"/>
  <c r="D178" i="32"/>
  <c r="C178" i="32"/>
  <c r="S176" i="32"/>
  <c r="R176" i="32"/>
  <c r="P176" i="32"/>
  <c r="F176" i="32"/>
  <c r="S175" i="32"/>
  <c r="R175" i="32"/>
  <c r="P175" i="32"/>
  <c r="L173" i="32"/>
  <c r="L171" i="32" s="1"/>
  <c r="S171" i="32"/>
  <c r="R171" i="32"/>
  <c r="P171" i="32"/>
  <c r="N171" i="32"/>
  <c r="J171" i="32"/>
  <c r="K171" i="32" s="1"/>
  <c r="L169" i="32"/>
  <c r="S167" i="32"/>
  <c r="R167" i="32"/>
  <c r="P167" i="32"/>
  <c r="N167" i="32"/>
  <c r="J167" i="32"/>
  <c r="K167" i="32" s="1"/>
  <c r="L165" i="32"/>
  <c r="S163" i="32"/>
  <c r="R163" i="32"/>
  <c r="P163" i="32"/>
  <c r="N163" i="32"/>
  <c r="J163" i="32"/>
  <c r="K163" i="32" s="1"/>
  <c r="L161" i="32"/>
  <c r="S159" i="32"/>
  <c r="R159" i="32"/>
  <c r="P159" i="32"/>
  <c r="N159" i="32"/>
  <c r="J159" i="32"/>
  <c r="K159" i="32" s="1"/>
  <c r="S158" i="32"/>
  <c r="R158" i="32"/>
  <c r="P158" i="32"/>
  <c r="L156" i="32"/>
  <c r="L154" i="32" s="1"/>
  <c r="S154" i="32"/>
  <c r="R154" i="32"/>
  <c r="P154" i="32"/>
  <c r="J154" i="32"/>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S132" i="32"/>
  <c r="R132" i="32"/>
  <c r="P132" i="32"/>
  <c r="O132" i="32"/>
  <c r="J132" i="32"/>
  <c r="F132" i="32"/>
  <c r="E132" i="32"/>
  <c r="D132" i="32"/>
  <c r="C132" i="32"/>
  <c r="S131" i="32"/>
  <c r="R131" i="32"/>
  <c r="P131" i="32"/>
  <c r="O131" i="32"/>
  <c r="J131" i="32"/>
  <c r="F131" i="32"/>
  <c r="E131" i="32"/>
  <c r="D131" i="32"/>
  <c r="C131" i="32"/>
  <c r="S130" i="32"/>
  <c r="R130" i="32"/>
  <c r="P130" i="32"/>
  <c r="O130" i="32"/>
  <c r="J130" i="32"/>
  <c r="F130" i="32"/>
  <c r="E130" i="32"/>
  <c r="D130" i="32"/>
  <c r="C130" i="32"/>
  <c r="S129" i="32"/>
  <c r="R129" i="32"/>
  <c r="P129" i="32"/>
  <c r="O129" i="32"/>
  <c r="J129" i="32"/>
  <c r="F129" i="32"/>
  <c r="E129" i="32"/>
  <c r="D129" i="32"/>
  <c r="C129" i="32"/>
  <c r="S128" i="32"/>
  <c r="R128" i="32"/>
  <c r="P128" i="32"/>
  <c r="O128" i="32"/>
  <c r="J128" i="32"/>
  <c r="F128" i="32"/>
  <c r="E128" i="32"/>
  <c r="D128" i="32"/>
  <c r="C128" i="32"/>
  <c r="S127" i="32"/>
  <c r="R127" i="32"/>
  <c r="P127" i="32"/>
  <c r="O127" i="32"/>
  <c r="J127" i="32"/>
  <c r="F127" i="32"/>
  <c r="E127" i="32"/>
  <c r="D127" i="32"/>
  <c r="C127" i="32"/>
  <c r="S126" i="32"/>
  <c r="R126" i="32"/>
  <c r="P126" i="32"/>
  <c r="O126" i="32"/>
  <c r="J126" i="32"/>
  <c r="F126" i="32"/>
  <c r="E126" i="32"/>
  <c r="D126" i="32"/>
  <c r="C126" i="32"/>
  <c r="S125" i="32"/>
  <c r="R125" i="32"/>
  <c r="P125" i="32"/>
  <c r="O125" i="32"/>
  <c r="J125" i="32"/>
  <c r="F125" i="32"/>
  <c r="E125" i="32"/>
  <c r="D125" i="32"/>
  <c r="C125" i="32"/>
  <c r="S124" i="32"/>
  <c r="R124" i="32"/>
  <c r="P124" i="32"/>
  <c r="O124" i="32"/>
  <c r="J124" i="32"/>
  <c r="F124" i="32"/>
  <c r="E124" i="32"/>
  <c r="D124" i="32"/>
  <c r="C124" i="32"/>
  <c r="S123" i="32"/>
  <c r="R123" i="32"/>
  <c r="P123" i="32"/>
  <c r="O123" i="32"/>
  <c r="J123" i="32"/>
  <c r="F123" i="32"/>
  <c r="E123" i="32"/>
  <c r="D123" i="32"/>
  <c r="C123" i="32"/>
  <c r="S122" i="32"/>
  <c r="R122" i="32"/>
  <c r="P122" i="32"/>
  <c r="O122" i="32"/>
  <c r="J122" i="32"/>
  <c r="F122" i="32"/>
  <c r="E122" i="32"/>
  <c r="D122" i="32"/>
  <c r="C122"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S110" i="32"/>
  <c r="R110" i="32"/>
  <c r="P110" i="32"/>
  <c r="O110" i="32"/>
  <c r="J110" i="32"/>
  <c r="F110" i="32"/>
  <c r="E110" i="32"/>
  <c r="D110" i="32"/>
  <c r="C110" i="32"/>
  <c r="T109" i="32"/>
  <c r="S109" i="32"/>
  <c r="R109" i="32"/>
  <c r="P109" i="32"/>
  <c r="O109" i="32"/>
  <c r="J109" i="32"/>
  <c r="F109" i="32"/>
  <c r="E109" i="32"/>
  <c r="D109" i="32"/>
  <c r="C109" i="32"/>
  <c r="S108" i="32"/>
  <c r="R108" i="32"/>
  <c r="P108" i="32"/>
  <c r="O108" i="32"/>
  <c r="J108" i="32"/>
  <c r="F108" i="32"/>
  <c r="E108" i="32"/>
  <c r="D108" i="32"/>
  <c r="C108" i="32"/>
  <c r="S107" i="32"/>
  <c r="R107" i="32"/>
  <c r="P107" i="32"/>
  <c r="O107" i="32"/>
  <c r="J107" i="32"/>
  <c r="F107" i="32"/>
  <c r="E107" i="32"/>
  <c r="D107" i="32"/>
  <c r="C107" i="32"/>
  <c r="S106" i="32"/>
  <c r="R106" i="32"/>
  <c r="P106" i="32"/>
  <c r="O106" i="32"/>
  <c r="J106" i="32"/>
  <c r="F106" i="32"/>
  <c r="E106" i="32"/>
  <c r="D106" i="32"/>
  <c r="C106" i="32"/>
  <c r="S105" i="32"/>
  <c r="R105" i="32"/>
  <c r="P105" i="32"/>
  <c r="O105" i="32"/>
  <c r="J105" i="32"/>
  <c r="F105" i="32"/>
  <c r="E105" i="32"/>
  <c r="D105" i="32"/>
  <c r="C105" i="32"/>
  <c r="S104" i="32"/>
  <c r="R104" i="32"/>
  <c r="P104" i="32"/>
  <c r="O104" i="32"/>
  <c r="J104" i="32"/>
  <c r="F104" i="32"/>
  <c r="E104" i="32"/>
  <c r="D104" i="32"/>
  <c r="C104" i="32"/>
  <c r="S103" i="32"/>
  <c r="R103" i="32"/>
  <c r="P103" i="32"/>
  <c r="O103" i="32"/>
  <c r="J103" i="32"/>
  <c r="F103" i="32"/>
  <c r="E103" i="32"/>
  <c r="D103" i="32"/>
  <c r="C103" i="32"/>
  <c r="S102" i="32"/>
  <c r="R102" i="32"/>
  <c r="P102" i="32"/>
  <c r="O102" i="32"/>
  <c r="J102" i="32"/>
  <c r="F102" i="32"/>
  <c r="E102" i="32"/>
  <c r="D102" i="32"/>
  <c r="C102" i="32"/>
  <c r="S100" i="32"/>
  <c r="R100" i="32"/>
  <c r="P100" i="32"/>
  <c r="F100" i="32"/>
  <c r="S98" i="32"/>
  <c r="R98" i="32"/>
  <c r="P98" i="32"/>
  <c r="S97" i="32"/>
  <c r="R97" i="32"/>
  <c r="P97" i="32"/>
  <c r="O97" i="32"/>
  <c r="J97" i="32"/>
  <c r="F97" i="32"/>
  <c r="E97" i="32"/>
  <c r="D97" i="32"/>
  <c r="C97" i="32"/>
  <c r="S96" i="32"/>
  <c r="R96" i="32"/>
  <c r="P96" i="32"/>
  <c r="O96" i="32"/>
  <c r="J96" i="32"/>
  <c r="F96" i="32"/>
  <c r="E96" i="32"/>
  <c r="D96" i="32"/>
  <c r="C96" i="32"/>
  <c r="T95" i="32"/>
  <c r="S95" i="32"/>
  <c r="R95" i="32"/>
  <c r="P95" i="32"/>
  <c r="O95" i="32"/>
  <c r="J95" i="32"/>
  <c r="F95" i="32"/>
  <c r="E95" i="32"/>
  <c r="D95" i="32"/>
  <c r="C95"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S86" i="32"/>
  <c r="R86" i="32"/>
  <c r="P86" i="32"/>
  <c r="O86" i="32"/>
  <c r="J86" i="32"/>
  <c r="F86" i="32"/>
  <c r="E86" i="32"/>
  <c r="D86" i="32"/>
  <c r="C86" i="32"/>
  <c r="S85" i="32"/>
  <c r="R85" i="32"/>
  <c r="P85" i="32"/>
  <c r="O85" i="32"/>
  <c r="J85" i="32"/>
  <c r="F85" i="32"/>
  <c r="E85" i="32"/>
  <c r="D85" i="32"/>
  <c r="C85"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S68" i="32"/>
  <c r="R68" i="32"/>
  <c r="P68" i="32"/>
  <c r="O68" i="32"/>
  <c r="J68" i="32"/>
  <c r="F68" i="32"/>
  <c r="E68" i="32"/>
  <c r="D68" i="32"/>
  <c r="C68" i="32"/>
  <c r="T67" i="32"/>
  <c r="S67" i="32"/>
  <c r="R67" i="32"/>
  <c r="P67" i="32"/>
  <c r="O67" i="32"/>
  <c r="J67" i="32"/>
  <c r="F67" i="32"/>
  <c r="E67" i="32"/>
  <c r="D67" i="32"/>
  <c r="C67" i="32"/>
  <c r="S66" i="32"/>
  <c r="R66" i="32"/>
  <c r="P66" i="32"/>
  <c r="O66" i="32"/>
  <c r="J66" i="32"/>
  <c r="F66" i="32"/>
  <c r="E66" i="32"/>
  <c r="D66" i="32"/>
  <c r="C66" i="32"/>
  <c r="S65" i="32"/>
  <c r="R65" i="32"/>
  <c r="P65" i="32"/>
  <c r="O65" i="32"/>
  <c r="J65" i="32"/>
  <c r="F65" i="32"/>
  <c r="E65" i="32"/>
  <c r="D65" i="32"/>
  <c r="C65" i="32"/>
  <c r="T64" i="32"/>
  <c r="S64" i="32"/>
  <c r="R64" i="32"/>
  <c r="P64" i="32"/>
  <c r="O64" i="32"/>
  <c r="J64" i="32"/>
  <c r="F64" i="32"/>
  <c r="E64" i="32"/>
  <c r="D64" i="32"/>
  <c r="C64" i="32"/>
  <c r="S63" i="32"/>
  <c r="R63" i="32"/>
  <c r="P63" i="32"/>
  <c r="O63" i="32"/>
  <c r="J63" i="32"/>
  <c r="F63" i="32"/>
  <c r="E63" i="32"/>
  <c r="D63" i="32"/>
  <c r="C63" i="32"/>
  <c r="S62" i="32"/>
  <c r="R62" i="32"/>
  <c r="P62" i="32"/>
  <c r="O62" i="32"/>
  <c r="J62" i="32"/>
  <c r="F62" i="32"/>
  <c r="E62" i="32"/>
  <c r="D62" i="32"/>
  <c r="C62" i="32"/>
  <c r="T61" i="32"/>
  <c r="S61" i="32"/>
  <c r="R61" i="32"/>
  <c r="P61" i="32"/>
  <c r="O61" i="32"/>
  <c r="J61" i="32"/>
  <c r="F61" i="32"/>
  <c r="E61" i="32"/>
  <c r="D61" i="32"/>
  <c r="C61" i="32"/>
  <c r="S60" i="32"/>
  <c r="R60" i="32"/>
  <c r="P60" i="32"/>
  <c r="O60" i="32"/>
  <c r="J60" i="32"/>
  <c r="F60" i="32"/>
  <c r="E60" i="32"/>
  <c r="D60" i="32"/>
  <c r="C60" i="32"/>
  <c r="S59" i="32"/>
  <c r="R59" i="32"/>
  <c r="P59" i="32"/>
  <c r="O59" i="32"/>
  <c r="J59" i="32"/>
  <c r="F59" i="32"/>
  <c r="E59" i="32"/>
  <c r="D59" i="32"/>
  <c r="C59" i="32"/>
  <c r="S58" i="32"/>
  <c r="R58" i="32"/>
  <c r="P58" i="32"/>
  <c r="O58" i="32"/>
  <c r="J58" i="32"/>
  <c r="F58" i="32"/>
  <c r="E58" i="32"/>
  <c r="D58" i="32"/>
  <c r="C58" i="32"/>
  <c r="S57" i="32"/>
  <c r="R57" i="32"/>
  <c r="P57" i="32"/>
  <c r="O57" i="32"/>
  <c r="J57" i="32"/>
  <c r="F57" i="32"/>
  <c r="E57" i="32"/>
  <c r="D57" i="32"/>
  <c r="C57" i="32"/>
  <c r="S56" i="32"/>
  <c r="R56" i="32"/>
  <c r="P56" i="32"/>
  <c r="O56" i="32"/>
  <c r="J56" i="32"/>
  <c r="F56" i="32"/>
  <c r="E56" i="32"/>
  <c r="D56" i="32"/>
  <c r="C56" i="32"/>
  <c r="T55" i="32"/>
  <c r="S55" i="32"/>
  <c r="R55" i="32"/>
  <c r="P55" i="32"/>
  <c r="O55" i="32"/>
  <c r="J55" i="32"/>
  <c r="F55" i="32"/>
  <c r="E55" i="32"/>
  <c r="D55" i="32"/>
  <c r="C55"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S24" i="32"/>
  <c r="R24" i="32"/>
  <c r="P24" i="32"/>
  <c r="O24" i="32"/>
  <c r="J24" i="32"/>
  <c r="F24" i="32"/>
  <c r="E24" i="32"/>
  <c r="D24" i="32"/>
  <c r="C24" i="32"/>
  <c r="T23" i="32"/>
  <c r="S23" i="32"/>
  <c r="R23" i="32"/>
  <c r="P23" i="32"/>
  <c r="O23" i="32"/>
  <c r="J23" i="32"/>
  <c r="F23" i="32"/>
  <c r="E23" i="32"/>
  <c r="D23" i="32"/>
  <c r="C23" i="32"/>
  <c r="S22" i="32"/>
  <c r="R22" i="32"/>
  <c r="P22" i="32"/>
  <c r="O22" i="32"/>
  <c r="J22" i="32"/>
  <c r="F22" i="32"/>
  <c r="E22" i="32"/>
  <c r="D22" i="32"/>
  <c r="C22" i="32"/>
  <c r="S21" i="32"/>
  <c r="R21" i="32"/>
  <c r="P21" i="32"/>
  <c r="O21" i="32"/>
  <c r="J21" i="32"/>
  <c r="F21" i="32"/>
  <c r="E21" i="32"/>
  <c r="D21" i="32"/>
  <c r="C21" i="32"/>
  <c r="S20" i="32"/>
  <c r="R20" i="32"/>
  <c r="P20" i="32"/>
  <c r="O20" i="32"/>
  <c r="J20" i="32"/>
  <c r="F20" i="32"/>
  <c r="E20" i="32"/>
  <c r="D20" i="32"/>
  <c r="C20" i="32"/>
  <c r="S19" i="32"/>
  <c r="R19" i="32"/>
  <c r="P19" i="32"/>
  <c r="O19" i="32"/>
  <c r="J19" i="32"/>
  <c r="F19" i="32"/>
  <c r="E19" i="32"/>
  <c r="D19" i="32"/>
  <c r="C19" i="32"/>
  <c r="S18" i="32"/>
  <c r="R18" i="32"/>
  <c r="P18" i="32"/>
  <c r="O18" i="32"/>
  <c r="J18" i="32"/>
  <c r="F18" i="32"/>
  <c r="E18" i="32"/>
  <c r="D18" i="32"/>
  <c r="C18" i="32"/>
  <c r="S17" i="32"/>
  <c r="R17" i="32"/>
  <c r="P17" i="32"/>
  <c r="O17" i="32"/>
  <c r="J17" i="32"/>
  <c r="F17" i="32"/>
  <c r="E17" i="32"/>
  <c r="D17" i="32"/>
  <c r="C17" i="32"/>
  <c r="T16" i="32"/>
  <c r="S16" i="32"/>
  <c r="R16" i="32"/>
  <c r="P16" i="32"/>
  <c r="O16" i="32"/>
  <c r="J16" i="32"/>
  <c r="F16" i="32"/>
  <c r="E16" i="32"/>
  <c r="D16" i="32"/>
  <c r="C16"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H6" i="32" s="1"/>
  <c r="H5" i="32" s="1"/>
  <c r="H4" i="32" s="1"/>
  <c r="G7" i="32"/>
  <c r="G6" i="32" s="1"/>
  <c r="G5" i="32" s="1"/>
  <c r="G4" i="32" s="1"/>
  <c r="L163" i="32" l="1"/>
  <c r="V639" i="2"/>
  <c r="V615" i="2"/>
  <c r="V616" i="2"/>
  <c r="V667" i="2"/>
  <c r="V674" i="2"/>
  <c r="V642" i="2"/>
  <c r="V618" i="2"/>
  <c r="V673" i="2"/>
  <c r="V602" i="2"/>
  <c r="V633" i="2"/>
  <c r="V644" i="2"/>
  <c r="V617" i="2"/>
  <c r="V646" i="2"/>
  <c r="V622" i="2"/>
  <c r="V655" i="2"/>
  <c r="V619" i="2"/>
  <c r="V643" i="2"/>
  <c r="V654" i="2"/>
  <c r="V660" i="2"/>
  <c r="V629" i="2"/>
  <c r="V606" i="2"/>
  <c r="V640" i="2"/>
  <c r="V641" i="2"/>
  <c r="V652" i="2"/>
  <c r="V675" i="2"/>
  <c r="V659" i="2"/>
  <c r="V623" i="2"/>
  <c r="V647" i="2"/>
  <c r="V658" i="2"/>
  <c r="V672" i="2"/>
  <c r="V653" i="2"/>
  <c r="V626" i="2"/>
  <c r="V637" i="2"/>
  <c r="V610" i="2"/>
  <c r="V668" i="2"/>
  <c r="V656" i="2"/>
  <c r="V663" i="2"/>
  <c r="V627" i="2"/>
  <c r="V603" i="2"/>
  <c r="V645" i="2"/>
  <c r="V604" i="2"/>
  <c r="V662" i="2"/>
  <c r="V636" i="2"/>
  <c r="V665" i="2"/>
  <c r="V630" i="2"/>
  <c r="V614" i="2"/>
  <c r="V649" i="2"/>
  <c r="V605" i="2"/>
  <c r="V648" i="2"/>
  <c r="V621" i="2"/>
  <c r="V608" i="2"/>
  <c r="V671" i="2"/>
  <c r="V631" i="2"/>
  <c r="V607" i="2"/>
  <c r="V666" i="2"/>
  <c r="V650" i="2"/>
  <c r="V625" i="2"/>
  <c r="V634" i="2"/>
  <c r="V664" i="2"/>
  <c r="V661" i="2"/>
  <c r="V609" i="2"/>
  <c r="V620" i="2"/>
  <c r="V651" i="2"/>
  <c r="V670" i="2"/>
  <c r="V669" i="2"/>
  <c r="V612" i="2"/>
  <c r="V635" i="2"/>
  <c r="V611" i="2"/>
  <c r="V638" i="2"/>
  <c r="V632" i="2"/>
  <c r="V657" i="2"/>
  <c r="V676" i="2"/>
  <c r="V628" i="2"/>
  <c r="V613" i="2"/>
  <c r="V624" i="2"/>
  <c r="L167" i="32"/>
  <c r="L159" i="32"/>
  <c r="L158" i="32" s="1"/>
  <c r="J158" i="32"/>
  <c r="K158" i="32" s="1"/>
  <c r="J216" i="32"/>
  <c r="K216" i="32" s="1"/>
  <c r="L244" i="32"/>
  <c r="N154" i="32"/>
  <c r="N158" i="32"/>
  <c r="I3" i="32"/>
  <c r="E241" i="32"/>
  <c r="L34" i="32"/>
  <c r="N34" i="32" s="1"/>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N237" i="32"/>
  <c r="E277" i="32"/>
  <c r="J251" i="32"/>
  <c r="K251" i="32" s="1"/>
  <c r="E307" i="32"/>
  <c r="AR606" i="2"/>
  <c r="R606" i="2"/>
  <c r="AR605" i="2"/>
  <c r="T65" i="32" s="1"/>
  <c r="R605" i="2"/>
  <c r="AR604" i="2"/>
  <c r="R604" i="2"/>
  <c r="AR603" i="2"/>
  <c r="R603" i="2"/>
  <c r="AR602" i="2"/>
  <c r="R602" i="2"/>
  <c r="AR601" i="2"/>
  <c r="R601" i="2"/>
  <c r="N147" i="32" l="1"/>
  <c r="M34" i="32"/>
  <c r="L234" i="32"/>
  <c r="L233" i="32" s="1"/>
  <c r="L37" i="32"/>
  <c r="N37" i="32" s="1"/>
  <c r="E290" i="32"/>
  <c r="N249" i="32"/>
  <c r="E312" i="32"/>
  <c r="J50" i="32"/>
  <c r="N75" i="32"/>
  <c r="L51" i="32"/>
  <c r="N51" i="32" s="1"/>
  <c r="N221" i="32"/>
  <c r="N217" i="32" s="1"/>
  <c r="N216" i="32" s="1"/>
  <c r="N188" i="32"/>
  <c r="L140" i="32"/>
  <c r="N140" i="32" s="1"/>
  <c r="L241" i="32"/>
  <c r="L100" i="32"/>
  <c r="N100" i="32" s="1"/>
  <c r="K100" i="32"/>
  <c r="L8" i="32"/>
  <c r="K8" i="32"/>
  <c r="J233" i="32"/>
  <c r="J116" i="32"/>
  <c r="K116" i="32" s="1"/>
  <c r="K117" i="32"/>
  <c r="K209" i="32"/>
  <c r="N251" i="32"/>
  <c r="E276" i="32"/>
  <c r="L209" i="32"/>
  <c r="N209" i="32" s="1"/>
  <c r="L82" i="32"/>
  <c r="N176" i="32"/>
  <c r="N175" i="32" s="1"/>
  <c r="J175" i="32"/>
  <c r="K176" i="32"/>
  <c r="K180" i="32"/>
  <c r="J7" i="32"/>
  <c r="K37" i="32"/>
  <c r="K91" i="32"/>
  <c r="N196" i="32"/>
  <c r="K196" i="32"/>
  <c r="K244" i="32"/>
  <c r="N244" i="32"/>
  <c r="J241" i="32"/>
  <c r="L117" i="32"/>
  <c r="L116" i="32" s="1"/>
  <c r="L180" i="32"/>
  <c r="N180" i="32" s="1"/>
  <c r="L91" i="32"/>
  <c r="N91" i="32" s="1"/>
  <c r="B589" i="17"/>
  <c r="C589" i="17"/>
  <c r="D589" i="17"/>
  <c r="E589" i="17"/>
  <c r="F589" i="17"/>
  <c r="G589" i="17"/>
  <c r="H589" i="17"/>
  <c r="AF589" i="17" s="1"/>
  <c r="R589" i="17"/>
  <c r="B590" i="17"/>
  <c r="C590" i="17"/>
  <c r="D590" i="17"/>
  <c r="E590" i="17"/>
  <c r="F590" i="17"/>
  <c r="G590" i="17"/>
  <c r="H590" i="17"/>
  <c r="AF590" i="17" s="1"/>
  <c r="R590" i="17"/>
  <c r="B591" i="17"/>
  <c r="C591" i="17"/>
  <c r="D591" i="17"/>
  <c r="E591" i="17"/>
  <c r="F591" i="17"/>
  <c r="G591" i="17"/>
  <c r="H591" i="17"/>
  <c r="AF591" i="17" s="1"/>
  <c r="R591" i="17"/>
  <c r="B592" i="17"/>
  <c r="C592" i="17"/>
  <c r="D592" i="17"/>
  <c r="E592" i="17"/>
  <c r="F592" i="17"/>
  <c r="G592" i="17"/>
  <c r="H592" i="17"/>
  <c r="AF592" i="17" s="1"/>
  <c r="R592" i="17"/>
  <c r="B593" i="17"/>
  <c r="C593" i="17"/>
  <c r="D593" i="17"/>
  <c r="E593" i="17"/>
  <c r="F593" i="17"/>
  <c r="G593" i="17"/>
  <c r="H593" i="17"/>
  <c r="AF593" i="17" s="1"/>
  <c r="R593" i="17"/>
  <c r="B594" i="17"/>
  <c r="C594" i="17"/>
  <c r="D594" i="17"/>
  <c r="E594" i="17"/>
  <c r="F594" i="17"/>
  <c r="G594" i="17"/>
  <c r="H594" i="17"/>
  <c r="AF594" i="17" s="1"/>
  <c r="R594" i="17"/>
  <c r="B595" i="17"/>
  <c r="C595" i="17"/>
  <c r="D595" i="17"/>
  <c r="E595" i="17"/>
  <c r="F595" i="17"/>
  <c r="G595" i="17"/>
  <c r="H595" i="17"/>
  <c r="AF595" i="17" s="1"/>
  <c r="R595" i="17"/>
  <c r="B596" i="17"/>
  <c r="C596" i="17"/>
  <c r="D596" i="17"/>
  <c r="E596" i="17"/>
  <c r="F596" i="17"/>
  <c r="G596" i="17"/>
  <c r="H596" i="17"/>
  <c r="AF596" i="17" s="1"/>
  <c r="R596" i="17"/>
  <c r="B597" i="17"/>
  <c r="C597" i="17"/>
  <c r="D597" i="17"/>
  <c r="E597" i="17"/>
  <c r="F597" i="17"/>
  <c r="G597" i="17"/>
  <c r="H597" i="17"/>
  <c r="AF597" i="17" s="1"/>
  <c r="R597" i="17"/>
  <c r="B598" i="17"/>
  <c r="C598" i="17"/>
  <c r="D598" i="17"/>
  <c r="E598" i="17"/>
  <c r="F598" i="17"/>
  <c r="G598" i="17"/>
  <c r="H598" i="17"/>
  <c r="AF598" i="17" s="1"/>
  <c r="R598" i="17"/>
  <c r="B599" i="17"/>
  <c r="C599" i="17"/>
  <c r="D599" i="17"/>
  <c r="E599" i="17"/>
  <c r="F599" i="17"/>
  <c r="G599" i="17"/>
  <c r="H599" i="17"/>
  <c r="AF599" i="17" s="1"/>
  <c r="R599" i="17"/>
  <c r="B600" i="17"/>
  <c r="C600" i="17"/>
  <c r="D600" i="17"/>
  <c r="E600" i="17"/>
  <c r="F600" i="17"/>
  <c r="G600" i="17"/>
  <c r="H600" i="17"/>
  <c r="AF600" i="17" s="1"/>
  <c r="R600" i="17"/>
  <c r="B601" i="17"/>
  <c r="C601" i="17"/>
  <c r="D601" i="17"/>
  <c r="E601" i="17"/>
  <c r="F601" i="17"/>
  <c r="G601" i="17"/>
  <c r="H601" i="17"/>
  <c r="AF601" i="17" s="1"/>
  <c r="R601" i="17"/>
  <c r="AK596" i="17" l="1"/>
  <c r="AJ596" i="17"/>
  <c r="AJ597" i="17"/>
  <c r="AK597" i="17"/>
  <c r="AK589" i="17"/>
  <c r="AJ589" i="17"/>
  <c r="AK601" i="17"/>
  <c r="AJ601" i="17"/>
  <c r="AK593" i="17"/>
  <c r="AJ593" i="17"/>
  <c r="AK590" i="17"/>
  <c r="AJ590" i="17"/>
  <c r="AK594" i="17"/>
  <c r="AJ594" i="17"/>
  <c r="AK599" i="17"/>
  <c r="AJ599" i="17"/>
  <c r="AK595" i="17"/>
  <c r="AJ595" i="17"/>
  <c r="AJ591" i="17"/>
  <c r="AK591" i="17"/>
  <c r="AJ598" i="17"/>
  <c r="AK598" i="17"/>
  <c r="AK592" i="17"/>
  <c r="AJ592" i="17"/>
  <c r="AK600" i="17"/>
  <c r="AJ600" i="17"/>
  <c r="N139" i="32"/>
  <c r="L231" i="32"/>
  <c r="L230" i="32" s="1"/>
  <c r="L229" i="32" s="1"/>
  <c r="L228" i="32" s="1"/>
  <c r="L227" i="32" s="1"/>
  <c r="L226" i="32" s="1"/>
  <c r="N234" i="32"/>
  <c r="N233" i="32" s="1"/>
  <c r="L7" i="32"/>
  <c r="L6" i="32" s="1"/>
  <c r="L5" i="32" s="1"/>
  <c r="E289" i="32"/>
  <c r="J90" i="32"/>
  <c r="K90" i="32" s="1"/>
  <c r="L139" i="32"/>
  <c r="L90" i="32" s="1"/>
  <c r="M51" i="32"/>
  <c r="M8" i="32"/>
  <c r="M7" i="32" s="1"/>
  <c r="M6" i="32" s="1"/>
  <c r="M5" i="32" s="1"/>
  <c r="N117" i="32"/>
  <c r="N116" i="32" s="1"/>
  <c r="N8" i="32"/>
  <c r="N7" i="32" s="1"/>
  <c r="N6" i="32" s="1"/>
  <c r="N5" i="32" s="1"/>
  <c r="K241" i="32"/>
  <c r="N241" i="32"/>
  <c r="E275" i="32"/>
  <c r="K7" i="32"/>
  <c r="J6" i="32"/>
  <c r="M82" i="32"/>
  <c r="N82" i="32"/>
  <c r="N50" i="32" s="1"/>
  <c r="L50" i="32"/>
  <c r="J231" i="32"/>
  <c r="K233" i="32"/>
  <c r="V592" i="2" l="1"/>
  <c r="V590" i="2"/>
  <c r="V594" i="2"/>
  <c r="V598" i="2"/>
  <c r="V600" i="2"/>
  <c r="V593" i="2"/>
  <c r="V599" i="2"/>
  <c r="V596" i="2"/>
  <c r="V591" i="2"/>
  <c r="V601" i="2"/>
  <c r="V595" i="2"/>
  <c r="V589" i="2"/>
  <c r="V597" i="2"/>
  <c r="N90" i="32"/>
  <c r="N49" i="32" s="1"/>
  <c r="N4" i="32" s="1"/>
  <c r="J49" i="32"/>
  <c r="K49" i="32" s="1"/>
  <c r="M50" i="32"/>
  <c r="M49" i="32" s="1"/>
  <c r="M4" i="32" s="1"/>
  <c r="M3"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N3" i="32" l="1"/>
  <c r="E273" i="32"/>
  <c r="K5" i="32"/>
  <c r="J4" i="32"/>
  <c r="K4" i="32" l="1"/>
  <c r="J3" i="32"/>
  <c r="K3" i="32" s="1"/>
  <c r="E272" i="32"/>
  <c r="AR8"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R74" i="2"/>
  <c r="AR75" i="2"/>
  <c r="AR76" i="2"/>
  <c r="AR77" i="2"/>
  <c r="AR78" i="2"/>
  <c r="T319" i="32" s="1"/>
  <c r="AR79" i="2"/>
  <c r="AR80" i="2"/>
  <c r="AR81" i="2"/>
  <c r="AR82" i="2"/>
  <c r="AR83" i="2"/>
  <c r="AR84" i="2"/>
  <c r="AR85" i="2"/>
  <c r="AR86" i="2"/>
  <c r="AR87" i="2"/>
  <c r="AR88" i="2"/>
  <c r="AR89" i="2"/>
  <c r="AR90" i="2"/>
  <c r="AR91" i="2"/>
  <c r="AR92" i="2"/>
  <c r="AR93" i="2"/>
  <c r="AR94" i="2"/>
  <c r="AR95" i="2"/>
  <c r="AR96" i="2"/>
  <c r="AR97" i="2"/>
  <c r="AR98" i="2"/>
  <c r="T303" i="32" s="1"/>
  <c r="AR99" i="2"/>
  <c r="AR100" i="2"/>
  <c r="AR101" i="2"/>
  <c r="AR102" i="2"/>
  <c r="AR103" i="2"/>
  <c r="AR104" i="2"/>
  <c r="T320" i="32" s="1"/>
  <c r="AR105" i="2"/>
  <c r="AR106" i="2"/>
  <c r="AR107" i="2"/>
  <c r="AR108" i="2"/>
  <c r="AR109" i="2"/>
  <c r="AR110" i="2"/>
  <c r="AR111" i="2"/>
  <c r="AR112" i="2"/>
  <c r="AR113" i="2"/>
  <c r="AR114" i="2"/>
  <c r="AR115" i="2"/>
  <c r="AR116" i="2"/>
  <c r="AR117" i="2"/>
  <c r="T337" i="32" s="1"/>
  <c r="AR118" i="2"/>
  <c r="AR119" i="2"/>
  <c r="AR120" i="2"/>
  <c r="AR121" i="2"/>
  <c r="AR122" i="2"/>
  <c r="AR123" i="2"/>
  <c r="AR124" i="2"/>
  <c r="AR125" i="2"/>
  <c r="AR126" i="2"/>
  <c r="AR127" i="2"/>
  <c r="AR128" i="2"/>
  <c r="AR129" i="2"/>
  <c r="AR130" i="2"/>
  <c r="AR131" i="2"/>
  <c r="AR132" i="2"/>
  <c r="T298" i="32" s="1"/>
  <c r="AR133" i="2"/>
  <c r="AR134" i="2"/>
  <c r="AR135" i="2"/>
  <c r="T296" i="32" s="1"/>
  <c r="AR136" i="2"/>
  <c r="AR137" i="2"/>
  <c r="T365" i="32" s="1"/>
  <c r="AR138" i="2"/>
  <c r="AR139" i="2"/>
  <c r="AR140" i="2"/>
  <c r="AR141" i="2"/>
  <c r="AR142" i="2"/>
  <c r="AR143" i="2"/>
  <c r="AR144" i="2"/>
  <c r="AR145" i="2"/>
  <c r="AR146" i="2"/>
  <c r="AR147" i="2"/>
  <c r="AR148" i="2"/>
  <c r="T361" i="32" s="1"/>
  <c r="AR149" i="2"/>
  <c r="T339" i="32" s="1"/>
  <c r="AR150" i="2"/>
  <c r="AR151" i="2"/>
  <c r="AR152" i="2"/>
  <c r="AR153" i="2"/>
  <c r="AR154" i="2"/>
  <c r="AR155" i="2"/>
  <c r="AR156" i="2"/>
  <c r="AR157" i="2"/>
  <c r="AR158" i="2"/>
  <c r="AR159" i="2"/>
  <c r="AR160" i="2"/>
  <c r="AR161" i="2"/>
  <c r="AR162" i="2"/>
  <c r="AR163" i="2"/>
  <c r="AR164" i="2"/>
  <c r="AR165" i="2"/>
  <c r="AR166" i="2"/>
  <c r="T295" i="32" s="1"/>
  <c r="AR167" i="2"/>
  <c r="AR168" i="2"/>
  <c r="AR169" i="2"/>
  <c r="AR170" i="2"/>
  <c r="AR171" i="2"/>
  <c r="AR172" i="2"/>
  <c r="AR173" i="2"/>
  <c r="AR174" i="2"/>
  <c r="AR175" i="2"/>
  <c r="T342" i="32" s="1"/>
  <c r="AR176" i="2"/>
  <c r="AR177" i="2"/>
  <c r="AR178" i="2"/>
  <c r="AR179" i="2"/>
  <c r="AR180" i="2"/>
  <c r="AR181" i="2"/>
  <c r="AR182" i="2"/>
  <c r="AR183" i="2"/>
  <c r="T282" i="32" s="1"/>
  <c r="AR184" i="2"/>
  <c r="AR185" i="2"/>
  <c r="T280" i="32" s="1"/>
  <c r="AR186" i="2"/>
  <c r="T281" i="32" s="1"/>
  <c r="AR187" i="2"/>
  <c r="AR188" i="2"/>
  <c r="AR189" i="2"/>
  <c r="T333" i="32" s="1"/>
  <c r="AR190" i="2"/>
  <c r="T283" i="32" s="1"/>
  <c r="AR191" i="2"/>
  <c r="AR192" i="2"/>
  <c r="T287" i="32" s="1"/>
  <c r="AR193" i="2"/>
  <c r="T279" i="32" s="1"/>
  <c r="AR194" i="2"/>
  <c r="AR195" i="2"/>
  <c r="AR196" i="2"/>
  <c r="AR197" i="2"/>
  <c r="T345" i="32" s="1"/>
  <c r="AR198" i="2"/>
  <c r="AR199" i="2"/>
  <c r="T341" i="32" s="1"/>
  <c r="AR200" i="2"/>
  <c r="T331" i="32" s="1"/>
  <c r="AR201" i="2"/>
  <c r="AR202" i="2"/>
  <c r="T332" i="32" s="1"/>
  <c r="AR203" i="2"/>
  <c r="AR204" i="2"/>
  <c r="AR205" i="2"/>
  <c r="T366" i="32" s="1"/>
  <c r="AR206" i="2"/>
  <c r="AR207" i="2"/>
  <c r="AR208" i="2"/>
  <c r="T294" i="32" s="1"/>
  <c r="AR209" i="2"/>
  <c r="AR210" i="2"/>
  <c r="T321" i="32" s="1"/>
  <c r="AR211" i="2"/>
  <c r="AR212" i="2"/>
  <c r="AR213" i="2"/>
  <c r="T394" i="32" s="1"/>
  <c r="AR214" i="2"/>
  <c r="AR215" i="2"/>
  <c r="T305" i="32" s="1"/>
  <c r="AR216" i="2"/>
  <c r="T344" i="32" s="1"/>
  <c r="AR217" i="2"/>
  <c r="AR218" i="2"/>
  <c r="T325" i="32" s="1"/>
  <c r="AR219" i="2"/>
  <c r="T335" i="32" s="1"/>
  <c r="AR220" i="2"/>
  <c r="AR221" i="2"/>
  <c r="T330" i="32" s="1"/>
  <c r="AR222" i="2"/>
  <c r="AR223" i="2"/>
  <c r="T338" i="32" s="1"/>
  <c r="AR224" i="2"/>
  <c r="T336" i="32" s="1"/>
  <c r="AR225" i="2"/>
  <c r="T370" i="32" s="1"/>
  <c r="AR226" i="2"/>
  <c r="AR227" i="2"/>
  <c r="AR228" i="2"/>
  <c r="AR229" i="2"/>
  <c r="AR230" i="2"/>
  <c r="T297" i="32" s="1"/>
  <c r="AR231" i="2"/>
  <c r="AR232" i="2"/>
  <c r="AR233" i="2"/>
  <c r="AR234" i="2"/>
  <c r="AR235" i="2"/>
  <c r="AR236" i="2"/>
  <c r="AR237" i="2"/>
  <c r="T371" i="32" s="1"/>
  <c r="AR238" i="2"/>
  <c r="AR239" i="2"/>
  <c r="AR240" i="2"/>
  <c r="AR241" i="2"/>
  <c r="AR242" i="2"/>
  <c r="AR243" i="2"/>
  <c r="AR244" i="2"/>
  <c r="AR245" i="2"/>
  <c r="T293" i="32" s="1"/>
  <c r="AR246" i="2"/>
  <c r="T375" i="32" s="1"/>
  <c r="AR247" i="2"/>
  <c r="T391" i="32" s="1"/>
  <c r="AR248" i="2"/>
  <c r="AR249" i="2"/>
  <c r="AR250" i="2"/>
  <c r="AR251" i="2"/>
  <c r="T397" i="32" s="1"/>
  <c r="AR252" i="2"/>
  <c r="AR253" i="2"/>
  <c r="AR254" i="2"/>
  <c r="T392" i="32" s="1"/>
  <c r="AR255" i="2"/>
  <c r="T393" i="32" s="1"/>
  <c r="AR256" i="2"/>
  <c r="AR257" i="2"/>
  <c r="T309" i="32" s="1"/>
  <c r="AR258" i="2"/>
  <c r="AR259" i="2"/>
  <c r="T357" i="32" s="1"/>
  <c r="AR260" i="2"/>
  <c r="T302" i="32" s="1"/>
  <c r="AR261" i="2"/>
  <c r="T381" i="32" s="1"/>
  <c r="AR262" i="2"/>
  <c r="AR263" i="2"/>
  <c r="T396" i="32" s="1"/>
  <c r="AR264" i="2"/>
  <c r="T334" i="32" s="1"/>
  <c r="AR265" i="2"/>
  <c r="AR266" i="2"/>
  <c r="AR267" i="2"/>
  <c r="T395" i="32" s="1"/>
  <c r="AR268" i="2"/>
  <c r="AR269" i="2"/>
  <c r="T390" i="32" s="1"/>
  <c r="AR270" i="2"/>
  <c r="T376" i="32" s="1"/>
  <c r="AR271" i="2"/>
  <c r="AR272" i="2"/>
  <c r="T356" i="32" s="1"/>
  <c r="AR273" i="2"/>
  <c r="AR274" i="2"/>
  <c r="AR275" i="2"/>
  <c r="AR276" i="2"/>
  <c r="AR277" i="2"/>
  <c r="AR278" i="2"/>
  <c r="AR279" i="2"/>
  <c r="AR280" i="2"/>
  <c r="AR281" i="2"/>
  <c r="AR282" i="2"/>
  <c r="AR283" i="2"/>
  <c r="AR284" i="2"/>
  <c r="AR285" i="2"/>
  <c r="AR286" i="2"/>
  <c r="AR287" i="2"/>
  <c r="AR288" i="2"/>
  <c r="AR289" i="2"/>
  <c r="AR290" i="2"/>
  <c r="AR291" i="2"/>
  <c r="AR292" i="2"/>
  <c r="AR293" i="2"/>
  <c r="AR294" i="2"/>
  <c r="AR295" i="2"/>
  <c r="AR296" i="2"/>
  <c r="AR297" i="2"/>
  <c r="AR298" i="2"/>
  <c r="AR299" i="2"/>
  <c r="AR300" i="2"/>
  <c r="AR301" i="2"/>
  <c r="AR302" i="2"/>
  <c r="AR303" i="2"/>
  <c r="AR304" i="2"/>
  <c r="AR305" i="2"/>
  <c r="AR306" i="2"/>
  <c r="AR307" i="2"/>
  <c r="AR308" i="2"/>
  <c r="AR309" i="2"/>
  <c r="AR310" i="2"/>
  <c r="AR311" i="2"/>
  <c r="AR312" i="2"/>
  <c r="AR313" i="2"/>
  <c r="AR314" i="2"/>
  <c r="AR315" i="2"/>
  <c r="AR316" i="2"/>
  <c r="AR317" i="2"/>
  <c r="AR318" i="2"/>
  <c r="AR319" i="2"/>
  <c r="AR320" i="2"/>
  <c r="AR321" i="2"/>
  <c r="AR322" i="2"/>
  <c r="AR323" i="2"/>
  <c r="AR324" i="2"/>
  <c r="AR325" i="2"/>
  <c r="AR326" i="2"/>
  <c r="AR327" i="2"/>
  <c r="AR328" i="2"/>
  <c r="AR329" i="2"/>
  <c r="AR330" i="2"/>
  <c r="AR331" i="2"/>
  <c r="AR332" i="2"/>
  <c r="AR333" i="2"/>
  <c r="AR334" i="2"/>
  <c r="AR335" i="2"/>
  <c r="AR336" i="2"/>
  <c r="AR337" i="2"/>
  <c r="AR338" i="2"/>
  <c r="AR339" i="2"/>
  <c r="AR340" i="2"/>
  <c r="AR341" i="2"/>
  <c r="AR342" i="2"/>
  <c r="AR343" i="2"/>
  <c r="AR344" i="2"/>
  <c r="AR345" i="2"/>
  <c r="AR346" i="2"/>
  <c r="AR347" i="2"/>
  <c r="AR348" i="2"/>
  <c r="AR349" i="2"/>
  <c r="AR350" i="2"/>
  <c r="AR351" i="2"/>
  <c r="AR352" i="2"/>
  <c r="AR353" i="2"/>
  <c r="AR354" i="2"/>
  <c r="AR355" i="2"/>
  <c r="AR356" i="2"/>
  <c r="AR357" i="2"/>
  <c r="AR358" i="2"/>
  <c r="AR359" i="2"/>
  <c r="AR360" i="2"/>
  <c r="AR361" i="2"/>
  <c r="AR362" i="2"/>
  <c r="AR363" i="2"/>
  <c r="AR364" i="2"/>
  <c r="AR365" i="2"/>
  <c r="AR366" i="2"/>
  <c r="AR367" i="2"/>
  <c r="AR368" i="2"/>
  <c r="AR369" i="2"/>
  <c r="AR370" i="2"/>
  <c r="AR371" i="2"/>
  <c r="AR372" i="2"/>
  <c r="AR373" i="2"/>
  <c r="AR374" i="2"/>
  <c r="AR375" i="2"/>
  <c r="AR376" i="2"/>
  <c r="AR377" i="2"/>
  <c r="AR378" i="2"/>
  <c r="AR379" i="2"/>
  <c r="AR380" i="2"/>
  <c r="AR381" i="2"/>
  <c r="AR382" i="2"/>
  <c r="AR383" i="2"/>
  <c r="AR384" i="2"/>
  <c r="AR385" i="2"/>
  <c r="AR386" i="2"/>
  <c r="AR387" i="2"/>
  <c r="AR388" i="2"/>
  <c r="AR389" i="2"/>
  <c r="AR390" i="2"/>
  <c r="AR391" i="2"/>
  <c r="AR392" i="2"/>
  <c r="AR393" i="2"/>
  <c r="AR394" i="2"/>
  <c r="AR395" i="2"/>
  <c r="AR396" i="2"/>
  <c r="AR397" i="2"/>
  <c r="AR398" i="2"/>
  <c r="AR399" i="2"/>
  <c r="AR400" i="2"/>
  <c r="AR401" i="2"/>
  <c r="AR402" i="2"/>
  <c r="AR403" i="2"/>
  <c r="AR404" i="2"/>
  <c r="AR405" i="2"/>
  <c r="AR406" i="2"/>
  <c r="AR407" i="2"/>
  <c r="AR408" i="2"/>
  <c r="AR409" i="2"/>
  <c r="AR410" i="2"/>
  <c r="AR411" i="2"/>
  <c r="AR412" i="2"/>
  <c r="AR413" i="2"/>
  <c r="AR414" i="2"/>
  <c r="AR415" i="2"/>
  <c r="AR416" i="2"/>
  <c r="AR417" i="2"/>
  <c r="AR418" i="2"/>
  <c r="AR419" i="2"/>
  <c r="AR420" i="2"/>
  <c r="AR421" i="2"/>
  <c r="AR422" i="2"/>
  <c r="AR423" i="2"/>
  <c r="AR424" i="2"/>
  <c r="AR425" i="2"/>
  <c r="AR426" i="2"/>
  <c r="AR427" i="2"/>
  <c r="AR428" i="2"/>
  <c r="AR429" i="2"/>
  <c r="AR430" i="2"/>
  <c r="AR431" i="2"/>
  <c r="AR432" i="2"/>
  <c r="AR433" i="2"/>
  <c r="AR434" i="2"/>
  <c r="AR435" i="2"/>
  <c r="AR436" i="2"/>
  <c r="AR437" i="2"/>
  <c r="AR438" i="2"/>
  <c r="AR439" i="2"/>
  <c r="AR440" i="2"/>
  <c r="AR441" i="2"/>
  <c r="AR442" i="2"/>
  <c r="AR443" i="2"/>
  <c r="AR444" i="2"/>
  <c r="AR445" i="2"/>
  <c r="AR446" i="2"/>
  <c r="AR447" i="2"/>
  <c r="AR448" i="2"/>
  <c r="AR449" i="2"/>
  <c r="AR450" i="2"/>
  <c r="AR451" i="2"/>
  <c r="AR452" i="2"/>
  <c r="AR453" i="2"/>
  <c r="AR454" i="2"/>
  <c r="AR455" i="2"/>
  <c r="AR456" i="2"/>
  <c r="AR457" i="2"/>
  <c r="AR458" i="2"/>
  <c r="AR459" i="2"/>
  <c r="AR460" i="2"/>
  <c r="AR461" i="2"/>
  <c r="AR462" i="2"/>
  <c r="AR463" i="2"/>
  <c r="AR464" i="2"/>
  <c r="AR465" i="2"/>
  <c r="AR466" i="2"/>
  <c r="AR467" i="2"/>
  <c r="AR468" i="2"/>
  <c r="AR469" i="2"/>
  <c r="AR470" i="2"/>
  <c r="AR471" i="2"/>
  <c r="AR472" i="2"/>
  <c r="AR473" i="2"/>
  <c r="AR474" i="2"/>
  <c r="AR475" i="2"/>
  <c r="AR476" i="2"/>
  <c r="AR477" i="2"/>
  <c r="AR478" i="2"/>
  <c r="AR479" i="2"/>
  <c r="AR480" i="2"/>
  <c r="AR481" i="2"/>
  <c r="AR482" i="2"/>
  <c r="AR483" i="2"/>
  <c r="AR484" i="2"/>
  <c r="AR485" i="2"/>
  <c r="AR486" i="2"/>
  <c r="AR487" i="2"/>
  <c r="T78" i="32" s="1"/>
  <c r="AR488" i="2"/>
  <c r="T237" i="32" s="1"/>
  <c r="AR489" i="2"/>
  <c r="T211" i="32" s="1"/>
  <c r="AR490" i="2"/>
  <c r="T18" i="32" s="1"/>
  <c r="AR491" i="2"/>
  <c r="T12" i="32" s="1"/>
  <c r="AR492" i="2"/>
  <c r="T62" i="32" s="1"/>
  <c r="AR493" i="2"/>
  <c r="T94" i="32" s="1"/>
  <c r="AR494" i="2"/>
  <c r="T124" i="32" s="1"/>
  <c r="AR495" i="2"/>
  <c r="T103" i="32" s="1"/>
  <c r="AR496" i="2"/>
  <c r="T121" i="32" s="1"/>
  <c r="AR497" i="2"/>
  <c r="AR498" i="2"/>
  <c r="T128" i="32" s="1"/>
  <c r="AR499" i="2"/>
  <c r="AR500" i="2"/>
  <c r="T127" i="32" s="1"/>
  <c r="AR501" i="2"/>
  <c r="T130" i="32" s="1"/>
  <c r="AR502" i="2"/>
  <c r="T105" i="32" s="1"/>
  <c r="AR503" i="2"/>
  <c r="T22" i="32" s="1"/>
  <c r="AR504" i="2"/>
  <c r="T28" i="32" s="1"/>
  <c r="AR505" i="2"/>
  <c r="AR506" i="2"/>
  <c r="AR507" i="2"/>
  <c r="AR508" i="2"/>
  <c r="AR509" i="2"/>
  <c r="AR510" i="2"/>
  <c r="AR511" i="2"/>
  <c r="AR512" i="2"/>
  <c r="AR513" i="2"/>
  <c r="AR514" i="2"/>
  <c r="AR515" i="2"/>
  <c r="AR516" i="2"/>
  <c r="AR517" i="2"/>
  <c r="AR518" i="2"/>
  <c r="AR519" i="2"/>
  <c r="T15" i="32" s="1"/>
  <c r="AR520" i="2"/>
  <c r="AR521" i="2"/>
  <c r="AR522" i="2"/>
  <c r="T190" i="32" s="1"/>
  <c r="AR523" i="2"/>
  <c r="T191" i="32" s="1"/>
  <c r="AR524" i="2"/>
  <c r="AR525" i="2"/>
  <c r="AR526" i="2"/>
  <c r="T20" i="32" s="1"/>
  <c r="AR527" i="2"/>
  <c r="T41" i="32" s="1"/>
  <c r="AR528" i="2"/>
  <c r="AR529" i="2"/>
  <c r="T63" i="32" s="1"/>
  <c r="AR530" i="2"/>
  <c r="T123" i="32" s="1"/>
  <c r="AR531" i="2"/>
  <c r="T56" i="32" s="1"/>
  <c r="AR532" i="2"/>
  <c r="T201" i="32" s="1"/>
  <c r="AR533" i="2"/>
  <c r="T97" i="32" s="1"/>
  <c r="AR534" i="2"/>
  <c r="AR535" i="2"/>
  <c r="AR536" i="2"/>
  <c r="T68" i="32" s="1"/>
  <c r="AR537" i="2"/>
  <c r="T132" i="32" s="1"/>
  <c r="AR538" i="2"/>
  <c r="T126" i="32" s="1"/>
  <c r="AR539" i="2"/>
  <c r="T129" i="32" s="1"/>
  <c r="AR540" i="2"/>
  <c r="AR541" i="2"/>
  <c r="T131" i="32" s="1"/>
  <c r="AR542" i="2"/>
  <c r="AR543" i="2"/>
  <c r="T212" i="32" s="1"/>
  <c r="AR544" i="2"/>
  <c r="AR545" i="2"/>
  <c r="AR546" i="2"/>
  <c r="T54" i="32" s="1"/>
  <c r="AR547" i="2"/>
  <c r="AR548" i="2"/>
  <c r="T17" i="32" s="1"/>
  <c r="AR549" i="2"/>
  <c r="T104" i="32" s="1"/>
  <c r="AR550" i="2"/>
  <c r="AR552" i="2"/>
  <c r="T200" i="32" s="1"/>
  <c r="AR553" i="2"/>
  <c r="AR554" i="2"/>
  <c r="AR555" i="2"/>
  <c r="AR556" i="2"/>
  <c r="T106" i="32" s="1"/>
  <c r="AR557" i="2"/>
  <c r="T182" i="32" s="1"/>
  <c r="AR558" i="2"/>
  <c r="T24" i="32" s="1"/>
  <c r="AR559" i="2"/>
  <c r="AR560" i="2"/>
  <c r="T84" i="32" s="1"/>
  <c r="AR561" i="2"/>
  <c r="T107" i="32" s="1"/>
  <c r="AR562" i="2"/>
  <c r="AR563" i="2"/>
  <c r="T66" i="32" s="1"/>
  <c r="AR564" i="2"/>
  <c r="T102" i="32" s="1"/>
  <c r="AR565" i="2"/>
  <c r="T235" i="32" s="1"/>
  <c r="AR566" i="2"/>
  <c r="AR567" i="2"/>
  <c r="AR568" i="2"/>
  <c r="T108" i="32" s="1"/>
  <c r="AR569" i="2"/>
  <c r="T198" i="32" s="1"/>
  <c r="AR570" i="2"/>
  <c r="AR571" i="2"/>
  <c r="AR572" i="2"/>
  <c r="T199" i="32" s="1"/>
  <c r="AR573" i="2"/>
  <c r="AR574" i="2"/>
  <c r="AR575" i="2"/>
  <c r="AR576" i="2"/>
  <c r="T110" i="32" s="1"/>
  <c r="AR577" i="2"/>
  <c r="AR578" i="2"/>
  <c r="T57" i="32" s="1"/>
  <c r="AR579" i="2"/>
  <c r="T85" i="32" s="1"/>
  <c r="AR580" i="2"/>
  <c r="AR581" i="2"/>
  <c r="AR582" i="2"/>
  <c r="AR583" i="2"/>
  <c r="AR584" i="2"/>
  <c r="T96" i="32" s="1"/>
  <c r="AR585" i="2"/>
  <c r="T178" i="32" s="1"/>
  <c r="AR586" i="2"/>
  <c r="AR587" i="2"/>
  <c r="AR588" i="2"/>
  <c r="AR589" i="2"/>
  <c r="T59" i="32" s="1"/>
  <c r="AR590" i="2"/>
  <c r="AR591" i="2"/>
  <c r="T60" i="32" s="1"/>
  <c r="AR592" i="2"/>
  <c r="AR593" i="2"/>
  <c r="T183" i="32" s="1"/>
  <c r="AR594" i="2"/>
  <c r="AR595" i="2"/>
  <c r="AR596" i="2"/>
  <c r="AR597" i="2"/>
  <c r="AR598" i="2"/>
  <c r="AR599" i="2"/>
  <c r="AR600" i="2"/>
  <c r="AR7" i="2"/>
  <c r="T315" i="32" s="1"/>
  <c r="T86" i="32" l="1"/>
  <c r="T125" i="32"/>
  <c r="T343" i="32"/>
  <c r="T304" i="32"/>
  <c r="T310" i="32"/>
  <c r="T340" i="32"/>
  <c r="AQ8" i="2"/>
  <c r="AQ9" i="2"/>
  <c r="AQ10" i="2"/>
  <c r="AQ11" i="2"/>
  <c r="AQ12" i="2"/>
  <c r="AQ13" i="2"/>
  <c r="AQ14" i="2"/>
  <c r="AQ15" i="2"/>
  <c r="AQ16" i="2"/>
  <c r="AQ17" i="2"/>
  <c r="AQ18" i="2"/>
  <c r="AQ1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70" i="2"/>
  <c r="AQ71" i="2"/>
  <c r="AQ72" i="2"/>
  <c r="AQ73" i="2"/>
  <c r="AQ74" i="2"/>
  <c r="AQ75" i="2"/>
  <c r="AQ76" i="2"/>
  <c r="AQ77" i="2"/>
  <c r="AQ78" i="2"/>
  <c r="AQ79" i="2"/>
  <c r="AQ80" i="2"/>
  <c r="AQ81" i="2"/>
  <c r="AQ82" i="2"/>
  <c r="AQ83" i="2"/>
  <c r="AQ84" i="2"/>
  <c r="AQ85" i="2"/>
  <c r="AQ86" i="2"/>
  <c r="AQ87" i="2"/>
  <c r="AQ88" i="2"/>
  <c r="AQ89" i="2"/>
  <c r="AQ90" i="2"/>
  <c r="AQ91" i="2"/>
  <c r="AQ92" i="2"/>
  <c r="AQ93" i="2"/>
  <c r="AQ94" i="2"/>
  <c r="AQ95" i="2"/>
  <c r="AQ96" i="2"/>
  <c r="AQ97" i="2"/>
  <c r="AQ98" i="2"/>
  <c r="AQ99" i="2"/>
  <c r="AQ100" i="2"/>
  <c r="AQ101" i="2"/>
  <c r="AQ102" i="2"/>
  <c r="AQ103" i="2"/>
  <c r="AQ104" i="2"/>
  <c r="AQ105" i="2"/>
  <c r="AQ106" i="2"/>
  <c r="AQ107" i="2"/>
  <c r="AQ108" i="2"/>
  <c r="AQ109" i="2"/>
  <c r="AQ110" i="2"/>
  <c r="AQ111" i="2"/>
  <c r="AQ112" i="2"/>
  <c r="AQ113" i="2"/>
  <c r="AQ114" i="2"/>
  <c r="AQ115" i="2"/>
  <c r="AQ116" i="2"/>
  <c r="AQ117" i="2"/>
  <c r="AQ118" i="2"/>
  <c r="AQ119" i="2"/>
  <c r="AQ120" i="2"/>
  <c r="AQ121" i="2"/>
  <c r="AQ122" i="2"/>
  <c r="AQ123" i="2"/>
  <c r="AQ124" i="2"/>
  <c r="AQ125" i="2"/>
  <c r="AQ126" i="2"/>
  <c r="AQ127" i="2"/>
  <c r="AQ128" i="2"/>
  <c r="AQ129" i="2"/>
  <c r="AQ130" i="2"/>
  <c r="AQ131" i="2"/>
  <c r="AQ132" i="2"/>
  <c r="AQ133" i="2"/>
  <c r="AQ134" i="2"/>
  <c r="AQ135" i="2"/>
  <c r="AQ136" i="2"/>
  <c r="AQ137" i="2"/>
  <c r="AQ138" i="2"/>
  <c r="AQ139" i="2"/>
  <c r="AQ140" i="2"/>
  <c r="AQ141" i="2"/>
  <c r="AQ142" i="2"/>
  <c r="AQ143" i="2"/>
  <c r="AQ144" i="2"/>
  <c r="AQ145" i="2"/>
  <c r="AQ146" i="2"/>
  <c r="AQ147" i="2"/>
  <c r="AQ148" i="2"/>
  <c r="AQ149" i="2"/>
  <c r="AQ150" i="2"/>
  <c r="AQ151" i="2"/>
  <c r="AQ152" i="2"/>
  <c r="AQ153" i="2"/>
  <c r="AQ154" i="2"/>
  <c r="AQ155" i="2"/>
  <c r="AQ156" i="2"/>
  <c r="AQ157" i="2"/>
  <c r="AQ158" i="2"/>
  <c r="AQ159" i="2"/>
  <c r="AQ160" i="2"/>
  <c r="AQ161" i="2"/>
  <c r="AQ162" i="2"/>
  <c r="AQ163" i="2"/>
  <c r="AQ164" i="2"/>
  <c r="AQ165" i="2"/>
  <c r="AQ166" i="2"/>
  <c r="AQ167" i="2"/>
  <c r="AQ168" i="2"/>
  <c r="AQ169" i="2"/>
  <c r="AQ170" i="2"/>
  <c r="AQ171" i="2"/>
  <c r="AQ172" i="2"/>
  <c r="AQ173" i="2"/>
  <c r="AQ174" i="2"/>
  <c r="AQ175" i="2"/>
  <c r="AQ176" i="2"/>
  <c r="AQ177" i="2"/>
  <c r="AQ178" i="2"/>
  <c r="AQ179" i="2"/>
  <c r="AQ180" i="2"/>
  <c r="AQ181" i="2"/>
  <c r="AQ182" i="2"/>
  <c r="AQ183" i="2"/>
  <c r="AQ184" i="2"/>
  <c r="AQ185" i="2"/>
  <c r="AQ186" i="2"/>
  <c r="AQ187" i="2"/>
  <c r="AQ188" i="2"/>
  <c r="AQ189" i="2"/>
  <c r="AQ190" i="2"/>
  <c r="AQ191" i="2"/>
  <c r="AQ192" i="2"/>
  <c r="AQ193" i="2"/>
  <c r="AQ194" i="2"/>
  <c r="AQ195" i="2"/>
  <c r="AQ196" i="2"/>
  <c r="AQ197" i="2"/>
  <c r="AQ198" i="2"/>
  <c r="AQ199" i="2"/>
  <c r="AQ200" i="2"/>
  <c r="AQ201" i="2"/>
  <c r="AQ202" i="2"/>
  <c r="AQ203" i="2"/>
  <c r="AQ204" i="2"/>
  <c r="AQ205" i="2"/>
  <c r="AQ206" i="2"/>
  <c r="AQ207" i="2"/>
  <c r="AQ208" i="2"/>
  <c r="AQ209" i="2"/>
  <c r="AQ210" i="2"/>
  <c r="AQ211" i="2"/>
  <c r="AQ212" i="2"/>
  <c r="AQ213" i="2"/>
  <c r="AQ214" i="2"/>
  <c r="AQ215" i="2"/>
  <c r="AQ216" i="2"/>
  <c r="AQ217" i="2"/>
  <c r="AQ218" i="2"/>
  <c r="AQ219" i="2"/>
  <c r="AQ220" i="2"/>
  <c r="AQ221" i="2"/>
  <c r="AQ222" i="2"/>
  <c r="AQ223" i="2"/>
  <c r="AQ224" i="2"/>
  <c r="AQ225" i="2"/>
  <c r="AQ226" i="2"/>
  <c r="AQ227" i="2"/>
  <c r="AQ228" i="2"/>
  <c r="AQ229" i="2"/>
  <c r="AQ230" i="2"/>
  <c r="AQ231" i="2"/>
  <c r="AQ232" i="2"/>
  <c r="AQ233" i="2"/>
  <c r="AQ234" i="2"/>
  <c r="AQ235" i="2"/>
  <c r="AQ236" i="2"/>
  <c r="AQ237" i="2"/>
  <c r="AQ238" i="2"/>
  <c r="AQ239" i="2"/>
  <c r="AQ240" i="2"/>
  <c r="AQ241" i="2"/>
  <c r="AQ242" i="2"/>
  <c r="AQ243" i="2"/>
  <c r="AQ244" i="2"/>
  <c r="AQ245" i="2"/>
  <c r="AQ246" i="2"/>
  <c r="AQ247" i="2"/>
  <c r="AQ248" i="2"/>
  <c r="AQ249" i="2"/>
  <c r="AQ250" i="2"/>
  <c r="AQ251" i="2"/>
  <c r="AQ252" i="2"/>
  <c r="AQ253" i="2"/>
  <c r="AQ254" i="2"/>
  <c r="AQ255" i="2"/>
  <c r="AQ256" i="2"/>
  <c r="AQ257" i="2"/>
  <c r="AQ258" i="2"/>
  <c r="AQ259" i="2"/>
  <c r="AQ260" i="2"/>
  <c r="AQ261" i="2"/>
  <c r="AQ262" i="2"/>
  <c r="AQ263" i="2"/>
  <c r="AQ264" i="2"/>
  <c r="AQ265" i="2"/>
  <c r="AQ266" i="2"/>
  <c r="AQ267" i="2"/>
  <c r="AQ268" i="2"/>
  <c r="AQ269" i="2"/>
  <c r="AQ270" i="2"/>
  <c r="AQ271" i="2"/>
  <c r="AQ272" i="2"/>
  <c r="AQ273" i="2"/>
  <c r="AQ274" i="2"/>
  <c r="AQ275" i="2"/>
  <c r="AQ276" i="2"/>
  <c r="AQ277" i="2"/>
  <c r="AQ278" i="2"/>
  <c r="AQ279" i="2"/>
  <c r="AQ280" i="2"/>
  <c r="AQ281" i="2"/>
  <c r="AQ282" i="2"/>
  <c r="AQ283" i="2"/>
  <c r="AQ284" i="2"/>
  <c r="AQ285" i="2"/>
  <c r="AQ286" i="2"/>
  <c r="AQ287" i="2"/>
  <c r="AQ288" i="2"/>
  <c r="AQ289" i="2"/>
  <c r="AQ290" i="2"/>
  <c r="AQ291" i="2"/>
  <c r="AQ292" i="2"/>
  <c r="AQ293" i="2"/>
  <c r="AQ294" i="2"/>
  <c r="AQ295" i="2"/>
  <c r="AQ296" i="2"/>
  <c r="AQ297" i="2"/>
  <c r="AQ298" i="2"/>
  <c r="AQ299" i="2"/>
  <c r="AQ300" i="2"/>
  <c r="AQ301" i="2"/>
  <c r="AQ302" i="2"/>
  <c r="AQ303" i="2"/>
  <c r="AQ304" i="2"/>
  <c r="AQ305" i="2"/>
  <c r="AQ306" i="2"/>
  <c r="AQ307" i="2"/>
  <c r="AQ308" i="2"/>
  <c r="AQ309" i="2"/>
  <c r="AQ310" i="2"/>
  <c r="AQ311" i="2"/>
  <c r="AQ312" i="2"/>
  <c r="AQ313" i="2"/>
  <c r="AQ314" i="2"/>
  <c r="AQ315" i="2"/>
  <c r="AQ316" i="2"/>
  <c r="AQ317" i="2"/>
  <c r="AQ318" i="2"/>
  <c r="AQ319" i="2"/>
  <c r="AQ320" i="2"/>
  <c r="AQ321" i="2"/>
  <c r="AQ322" i="2"/>
  <c r="AQ323" i="2"/>
  <c r="AQ324" i="2"/>
  <c r="AQ325" i="2"/>
  <c r="AQ326" i="2"/>
  <c r="AQ327" i="2"/>
  <c r="AQ328" i="2"/>
  <c r="AQ329" i="2"/>
  <c r="AQ330" i="2"/>
  <c r="AQ331" i="2"/>
  <c r="AQ332" i="2"/>
  <c r="AQ333" i="2"/>
  <c r="AQ334" i="2"/>
  <c r="AQ335" i="2"/>
  <c r="AQ336" i="2"/>
  <c r="AQ337" i="2"/>
  <c r="AQ338" i="2"/>
  <c r="AQ339" i="2"/>
  <c r="AQ340" i="2"/>
  <c r="AQ341" i="2"/>
  <c r="AQ342" i="2"/>
  <c r="AQ343" i="2"/>
  <c r="AQ344" i="2"/>
  <c r="AQ345" i="2"/>
  <c r="AQ346" i="2"/>
  <c r="AQ347" i="2"/>
  <c r="AQ348" i="2"/>
  <c r="AQ349" i="2"/>
  <c r="AQ350" i="2"/>
  <c r="AQ351" i="2"/>
  <c r="AQ352" i="2"/>
  <c r="AQ353" i="2"/>
  <c r="AQ354" i="2"/>
  <c r="AQ355" i="2"/>
  <c r="AQ356" i="2"/>
  <c r="AQ357" i="2"/>
  <c r="AQ358" i="2"/>
  <c r="AQ359" i="2"/>
  <c r="AQ360" i="2"/>
  <c r="AQ361" i="2"/>
  <c r="AQ362" i="2"/>
  <c r="AQ363" i="2"/>
  <c r="AQ364" i="2"/>
  <c r="AQ365" i="2"/>
  <c r="AQ366" i="2"/>
  <c r="AQ367" i="2"/>
  <c r="AQ368" i="2"/>
  <c r="AQ369" i="2"/>
  <c r="AQ370" i="2"/>
  <c r="AQ371" i="2"/>
  <c r="AQ372" i="2"/>
  <c r="AQ373" i="2"/>
  <c r="AQ374" i="2"/>
  <c r="AQ375" i="2"/>
  <c r="AQ376" i="2"/>
  <c r="AQ377" i="2"/>
  <c r="AQ378" i="2"/>
  <c r="AQ379" i="2"/>
  <c r="AQ7" i="2"/>
  <c r="BC356" i="17" l="1"/>
  <c r="BE356" i="17" s="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I386" i="30" s="1"/>
  <c r="I385" i="30" s="1"/>
  <c r="I384" i="30" s="1"/>
  <c r="I383" i="30" s="1"/>
  <c r="H387" i="30"/>
  <c r="H386" i="30" s="1"/>
  <c r="H385" i="30" s="1"/>
  <c r="H384" i="30" s="1"/>
  <c r="H383" i="30" s="1"/>
  <c r="G387" i="30"/>
  <c r="G386" i="30" s="1"/>
  <c r="G385" i="30" s="1"/>
  <c r="G384" i="30" s="1"/>
  <c r="G383" i="30" s="1"/>
  <c r="S386" i="30"/>
  <c r="R386" i="30"/>
  <c r="P386" i="30"/>
  <c r="S385" i="30"/>
  <c r="R385" i="30"/>
  <c r="P385" i="30"/>
  <c r="S384" i="30"/>
  <c r="R384" i="30"/>
  <c r="P384" i="30"/>
  <c r="S383" i="30"/>
  <c r="R383" i="30"/>
  <c r="T381" i="30"/>
  <c r="R381" i="30"/>
  <c r="E381" i="30"/>
  <c r="E379" i="30" s="1"/>
  <c r="E378" i="30" s="1"/>
  <c r="D381" i="30"/>
  <c r="S379" i="30"/>
  <c r="R379" i="30"/>
  <c r="P379" i="30"/>
  <c r="N379" i="30"/>
  <c r="N378" i="30" s="1"/>
  <c r="S378" i="30"/>
  <c r="R378" i="30"/>
  <c r="P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H275" i="30" s="1"/>
  <c r="H274" i="30" s="1"/>
  <c r="H273" i="30" s="1"/>
  <c r="G276" i="30"/>
  <c r="G275" i="30" s="1"/>
  <c r="G274" i="30" s="1"/>
  <c r="G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I228" i="30" s="1"/>
  <c r="I227" i="30" s="1"/>
  <c r="I226" i="30" s="1"/>
  <c r="H230" i="30"/>
  <c r="H229" i="30" s="1"/>
  <c r="H228" i="30" s="1"/>
  <c r="H227" i="30" s="1"/>
  <c r="H226" i="30" s="1"/>
  <c r="G230" i="30"/>
  <c r="G229" i="30" s="1"/>
  <c r="G228" i="30" s="1"/>
  <c r="G227" i="30" s="1"/>
  <c r="G226" i="30" s="1"/>
  <c r="S229" i="30"/>
  <c r="R229" i="30"/>
  <c r="P229" i="30"/>
  <c r="S228" i="30"/>
  <c r="R228" i="30"/>
  <c r="P228" i="30"/>
  <c r="S227" i="30"/>
  <c r="R227" i="30"/>
  <c r="P227" i="30"/>
  <c r="S226" i="30"/>
  <c r="R226" i="30"/>
  <c r="S224" i="30"/>
  <c r="R224" i="30"/>
  <c r="P224" i="30"/>
  <c r="O224" i="30"/>
  <c r="J224" i="30"/>
  <c r="D224" i="30"/>
  <c r="S223" i="30"/>
  <c r="R223" i="30"/>
  <c r="P223" i="30"/>
  <c r="O223" i="30"/>
  <c r="J223" i="30"/>
  <c r="N223" i="30" s="1"/>
  <c r="D223" i="30"/>
  <c r="S221" i="30"/>
  <c r="R221" i="30"/>
  <c r="P221" i="30"/>
  <c r="L219" i="30"/>
  <c r="L217" i="30" s="1"/>
  <c r="L216" i="30" s="1"/>
  <c r="S217" i="30"/>
  <c r="R217" i="30"/>
  <c r="P217" i="30"/>
  <c r="J217" i="30"/>
  <c r="K217" i="30" s="1"/>
  <c r="S216" i="30"/>
  <c r="R216" i="30"/>
  <c r="P216" i="30"/>
  <c r="J216" i="30"/>
  <c r="K216" i="30" s="1"/>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J159" i="30"/>
  <c r="S158" i="30"/>
  <c r="R158" i="30"/>
  <c r="P158" i="30"/>
  <c r="L156" i="30"/>
  <c r="L154" i="30" s="1"/>
  <c r="S154" i="30"/>
  <c r="R154" i="30"/>
  <c r="P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K34" i="30"/>
  <c r="J34" i="30"/>
  <c r="L34" i="30" s="1"/>
  <c r="M34" i="30" s="1"/>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I6" i="30" s="1"/>
  <c r="I5" i="30" s="1"/>
  <c r="I4" i="30" s="1"/>
  <c r="H7" i="30"/>
  <c r="H6" i="30" s="1"/>
  <c r="H5" i="30" s="1"/>
  <c r="H4" i="30" s="1"/>
  <c r="G7" i="30"/>
  <c r="G6" i="30" s="1"/>
  <c r="G5" i="30" s="1"/>
  <c r="G4"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G197" i="28" s="1"/>
  <c r="R197" i="28"/>
  <c r="Q197" i="28"/>
  <c r="O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M185" i="28" s="1"/>
  <c r="L186" i="28"/>
  <c r="L185" i="28" s="1"/>
  <c r="J186" i="28"/>
  <c r="H186" i="28"/>
  <c r="H185" i="28" s="1"/>
  <c r="G186" i="28"/>
  <c r="G185" i="28" s="1"/>
  <c r="R185" i="28"/>
  <c r="Q185" i="28"/>
  <c r="O185" i="28"/>
  <c r="N183" i="28"/>
  <c r="P182" i="28"/>
  <c r="I182" i="28"/>
  <c r="C182" i="28"/>
  <c r="P181" i="28"/>
  <c r="I181" i="28"/>
  <c r="C181" i="28"/>
  <c r="R179" i="28"/>
  <c r="Q179" i="28"/>
  <c r="O179" i="28"/>
  <c r="H179" i="28"/>
  <c r="G179" i="28"/>
  <c r="I177" i="28"/>
  <c r="R175" i="28"/>
  <c r="Q175" i="28"/>
  <c r="O175" i="28"/>
  <c r="J175" i="28"/>
  <c r="K175" i="28" s="1"/>
  <c r="H175" i="28"/>
  <c r="H174" i="28" s="1"/>
  <c r="G175" i="28"/>
  <c r="G174" i="28" s="1"/>
  <c r="R174" i="28"/>
  <c r="Q174" i="28"/>
  <c r="O174" i="28"/>
  <c r="M174" i="28"/>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L145" i="28"/>
  <c r="J145" i="28"/>
  <c r="K145" i="28" s="1"/>
  <c r="H145" i="28"/>
  <c r="G145" i="28"/>
  <c r="I143" i="28"/>
  <c r="R141" i="28"/>
  <c r="Q141" i="28"/>
  <c r="O141" i="28"/>
  <c r="M141" i="28"/>
  <c r="J141" i="28"/>
  <c r="K141" i="28" s="1"/>
  <c r="H141" i="28"/>
  <c r="G141" i="28"/>
  <c r="I139" i="28"/>
  <c r="R137" i="28"/>
  <c r="Q137" i="28"/>
  <c r="O137" i="28"/>
  <c r="M137" i="28"/>
  <c r="J137" i="28"/>
  <c r="H137" i="28"/>
  <c r="G137" i="28"/>
  <c r="I135" i="28"/>
  <c r="R133" i="28"/>
  <c r="Q133" i="28"/>
  <c r="O133" i="28"/>
  <c r="M133" i="28"/>
  <c r="J133" i="28"/>
  <c r="K133" i="28" s="1"/>
  <c r="H133" i="28"/>
  <c r="G133" i="28"/>
  <c r="R132" i="28"/>
  <c r="Q132" i="28"/>
  <c r="O132" i="28"/>
  <c r="I130" i="28"/>
  <c r="R128" i="28"/>
  <c r="Q128" i="28"/>
  <c r="O128" i="28"/>
  <c r="L128" i="28"/>
  <c r="J128" i="28"/>
  <c r="K128" i="28" s="1"/>
  <c r="H128" i="28"/>
  <c r="G128" i="28"/>
  <c r="M126" i="28"/>
  <c r="P125" i="28"/>
  <c r="I125" i="28"/>
  <c r="C125" i="28"/>
  <c r="R123" i="28"/>
  <c r="Q123" i="28"/>
  <c r="O123" i="28"/>
  <c r="H123" i="28"/>
  <c r="G123" i="28"/>
  <c r="P121" i="28"/>
  <c r="I121" i="28"/>
  <c r="C121" i="28"/>
  <c r="P120" i="28"/>
  <c r="I120" i="28"/>
  <c r="C120" i="28"/>
  <c r="R118" i="28"/>
  <c r="Q118" i="28"/>
  <c r="O118" i="28"/>
  <c r="H118" i="28"/>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H97" i="28" s="1"/>
  <c r="G98" i="28"/>
  <c r="G97" i="28" s="1"/>
  <c r="R97" i="28"/>
  <c r="Q97" i="28"/>
  <c r="O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R40" i="28"/>
  <c r="Q40" i="28"/>
  <c r="O40" i="28"/>
  <c r="R39" i="28"/>
  <c r="Q39" i="28"/>
  <c r="M37" i="28"/>
  <c r="P36" i="28"/>
  <c r="I36" i="28"/>
  <c r="C36" i="28"/>
  <c r="P35" i="28"/>
  <c r="I35" i="28"/>
  <c r="C35" i="28"/>
  <c r="R33" i="28"/>
  <c r="Q33" i="28"/>
  <c r="O33" i="28"/>
  <c r="H33" i="28"/>
  <c r="G33" i="28"/>
  <c r="I31" i="28"/>
  <c r="R30" i="28"/>
  <c r="Q30" i="28"/>
  <c r="O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G8" i="28"/>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G383" i="26" s="1"/>
  <c r="S386" i="26"/>
  <c r="R386" i="26"/>
  <c r="P386" i="26"/>
  <c r="S385" i="26"/>
  <c r="R385" i="26"/>
  <c r="P385" i="26"/>
  <c r="S384" i="26"/>
  <c r="R384" i="26"/>
  <c r="P384" i="26"/>
  <c r="S383" i="26"/>
  <c r="R383" i="26"/>
  <c r="T381" i="26"/>
  <c r="R381" i="26"/>
  <c r="E381" i="26"/>
  <c r="E379" i="26" s="1"/>
  <c r="E378" i="26" s="1"/>
  <c r="D381" i="26"/>
  <c r="S379" i="26"/>
  <c r="R379" i="26"/>
  <c r="P379" i="26"/>
  <c r="N379" i="26"/>
  <c r="N378" i="26" s="1"/>
  <c r="S378" i="26"/>
  <c r="R378" i="26"/>
  <c r="P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s="1"/>
  <c r="I275" i="26" s="1"/>
  <c r="I274" i="26" s="1"/>
  <c r="I273" i="26" s="1"/>
  <c r="I272" i="26" s="1"/>
  <c r="H276" i="26"/>
  <c r="H275" i="26" s="1"/>
  <c r="H274" i="26" s="1"/>
  <c r="H273" i="26" s="1"/>
  <c r="G276" i="26"/>
  <c r="G275" i="26" s="1"/>
  <c r="G274" i="26" s="1"/>
  <c r="G273"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I229" i="26" s="1"/>
  <c r="I228" i="26" s="1"/>
  <c r="I227" i="26" s="1"/>
  <c r="I226" i="26" s="1"/>
  <c r="H230" i="26"/>
  <c r="H229" i="26" s="1"/>
  <c r="H228" i="26" s="1"/>
  <c r="H227" i="26" s="1"/>
  <c r="H226" i="26" s="1"/>
  <c r="G230" i="26"/>
  <c r="G229" i="26" s="1"/>
  <c r="G228" i="26" s="1"/>
  <c r="G227" i="26" s="1"/>
  <c r="G226" i="26" s="1"/>
  <c r="S229" i="26"/>
  <c r="R229" i="26"/>
  <c r="P229" i="26"/>
  <c r="S228" i="26"/>
  <c r="R228" i="26"/>
  <c r="P228" i="26"/>
  <c r="S227" i="26"/>
  <c r="R227" i="26"/>
  <c r="P227" i="26"/>
  <c r="S226" i="26"/>
  <c r="R226" i="26"/>
  <c r="S224" i="26"/>
  <c r="R224" i="26"/>
  <c r="P224" i="26"/>
  <c r="O224" i="26"/>
  <c r="J224" i="26"/>
  <c r="D224" i="26"/>
  <c r="S223" i="26"/>
  <c r="R223" i="26"/>
  <c r="P223" i="26"/>
  <c r="O223" i="26"/>
  <c r="J223" i="26"/>
  <c r="L223" i="26" s="1"/>
  <c r="D223" i="26"/>
  <c r="S221" i="26"/>
  <c r="R221" i="26"/>
  <c r="P221" i="26"/>
  <c r="L219" i="26"/>
  <c r="S217" i="26"/>
  <c r="R217" i="26"/>
  <c r="P217" i="26"/>
  <c r="L217" i="26"/>
  <c r="L39" i="27" s="1"/>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F204" i="26"/>
  <c r="S202" i="26"/>
  <c r="R202" i="26"/>
  <c r="P202" i="26"/>
  <c r="O202" i="26"/>
  <c r="E202" i="26"/>
  <c r="N202" i="26" s="1"/>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E194" i="26"/>
  <c r="N194" i="26" s="1"/>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J171" i="26"/>
  <c r="J29" i="27" s="1"/>
  <c r="L169" i="26"/>
  <c r="S167" i="26"/>
  <c r="R167" i="26"/>
  <c r="P167" i="26"/>
  <c r="N167" i="26"/>
  <c r="N28" i="27" s="1"/>
  <c r="K167" i="26"/>
  <c r="K28" i="27" s="1"/>
  <c r="J167" i="26"/>
  <c r="J28" i="27" s="1"/>
  <c r="L165" i="26"/>
  <c r="S163" i="26"/>
  <c r="R163" i="26"/>
  <c r="P163" i="26"/>
  <c r="N163" i="26"/>
  <c r="N27" i="27" s="1"/>
  <c r="J163" i="26"/>
  <c r="J27" i="27" s="1"/>
  <c r="L161" i="26"/>
  <c r="S159" i="26"/>
  <c r="R159" i="26"/>
  <c r="P159" i="26"/>
  <c r="N159" i="26"/>
  <c r="J159" i="26"/>
  <c r="J26" i="27" s="1"/>
  <c r="S158" i="26"/>
  <c r="R158" i="26"/>
  <c r="P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E114" i="26"/>
  <c r="N114" i="26" s="1"/>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F12" i="24" s="1"/>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R106" i="24"/>
  <c r="AQ106" i="24"/>
  <c r="AP106" i="24"/>
  <c r="AO106" i="24"/>
  <c r="AM106" i="24"/>
  <c r="AL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R104" i="24"/>
  <c r="AQ104" i="24"/>
  <c r="AP104" i="24"/>
  <c r="AO104" i="24"/>
  <c r="AM104" i="24"/>
  <c r="AL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R95" i="24"/>
  <c r="AQ95" i="24"/>
  <c r="AP95" i="24"/>
  <c r="AO95" i="24"/>
  <c r="AM95" i="24"/>
  <c r="AL95" i="24"/>
  <c r="Z95" i="24"/>
  <c r="Y95" i="24"/>
  <c r="X95" i="24"/>
  <c r="V95" i="24"/>
  <c r="U95" i="24"/>
  <c r="M95" i="24"/>
  <c r="L95" i="24"/>
  <c r="F212" i="26" s="1"/>
  <c r="G95" i="24"/>
  <c r="F95" i="24"/>
  <c r="AR94" i="24"/>
  <c r="AQ94" i="24"/>
  <c r="AP94" i="24"/>
  <c r="AO94" i="24"/>
  <c r="AM94" i="24"/>
  <c r="AL94" i="24"/>
  <c r="Z94" i="24"/>
  <c r="Y94" i="24"/>
  <c r="X94" i="24"/>
  <c r="V94" i="24"/>
  <c r="U94" i="24"/>
  <c r="M94" i="24"/>
  <c r="L94" i="24"/>
  <c r="F211" i="26" s="1"/>
  <c r="G94" i="24"/>
  <c r="F94" i="24"/>
  <c r="AR93" i="24"/>
  <c r="AQ93" i="24"/>
  <c r="AP93" i="24"/>
  <c r="AO93" i="24"/>
  <c r="AM93" i="24"/>
  <c r="AL93" i="24"/>
  <c r="Z93" i="24"/>
  <c r="Y93" i="24"/>
  <c r="X93" i="24"/>
  <c r="V93" i="24"/>
  <c r="U93" i="24"/>
  <c r="M93" i="24"/>
  <c r="L93" i="24"/>
  <c r="F200" i="26" s="1"/>
  <c r="G93" i="24"/>
  <c r="F93" i="24"/>
  <c r="AR92" i="24"/>
  <c r="AQ92" i="24"/>
  <c r="AP92" i="24"/>
  <c r="AO92" i="24"/>
  <c r="AM92" i="24"/>
  <c r="AL92" i="24"/>
  <c r="Z92" i="24"/>
  <c r="Y92" i="24"/>
  <c r="X92" i="24"/>
  <c r="V92" i="24"/>
  <c r="U92" i="24"/>
  <c r="M92" i="24"/>
  <c r="L92" i="24"/>
  <c r="F199" i="26" s="1"/>
  <c r="G92" i="24"/>
  <c r="F92" i="24"/>
  <c r="AR91" i="24"/>
  <c r="AQ91" i="24"/>
  <c r="AP91" i="24"/>
  <c r="AO91" i="24"/>
  <c r="AM91" i="24"/>
  <c r="AL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Z90" i="24"/>
  <c r="Y90" i="24"/>
  <c r="X90" i="24"/>
  <c r="V90" i="24"/>
  <c r="U90" i="24"/>
  <c r="L90" i="24"/>
  <c r="F193" i="26" s="1"/>
  <c r="G90" i="24"/>
  <c r="F90" i="24"/>
  <c r="AR89" i="24"/>
  <c r="AQ89" i="24"/>
  <c r="AP89" i="24"/>
  <c r="AO89" i="24"/>
  <c r="AM89" i="24"/>
  <c r="AL89" i="24"/>
  <c r="Z89" i="24"/>
  <c r="Y89" i="24"/>
  <c r="X89" i="24"/>
  <c r="V89" i="24"/>
  <c r="U89" i="24"/>
  <c r="M89" i="24"/>
  <c r="L89" i="24"/>
  <c r="F192" i="26" s="1"/>
  <c r="G89" i="24"/>
  <c r="F89" i="24"/>
  <c r="AR88" i="24"/>
  <c r="AQ88" i="24"/>
  <c r="AP88" i="24"/>
  <c r="AO88" i="24"/>
  <c r="AM88" i="24"/>
  <c r="AL88" i="24"/>
  <c r="AI88" i="24"/>
  <c r="AH88" i="24"/>
  <c r="AG88" i="24"/>
  <c r="AF88" i="24"/>
  <c r="AE88" i="24"/>
  <c r="AD88" i="24"/>
  <c r="AC88" i="24"/>
  <c r="AB88" i="24"/>
  <c r="AA88" i="24"/>
  <c r="Z88" i="24"/>
  <c r="Y88" i="24"/>
  <c r="X88" i="24"/>
  <c r="W88" i="24"/>
  <c r="V88" i="24"/>
  <c r="U88" i="24"/>
  <c r="G88" i="24"/>
  <c r="F88" i="24"/>
  <c r="AR87" i="24"/>
  <c r="AQ87" i="24"/>
  <c r="AP87" i="24"/>
  <c r="AO87" i="24"/>
  <c r="AM87" i="24"/>
  <c r="AL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Z86" i="24"/>
  <c r="Y86" i="24"/>
  <c r="X86" i="24"/>
  <c r="V86" i="24"/>
  <c r="U86" i="24"/>
  <c r="F86" i="24"/>
  <c r="AR85" i="24"/>
  <c r="AQ85" i="24"/>
  <c r="AP85" i="24"/>
  <c r="AO85" i="24"/>
  <c r="AM85" i="24"/>
  <c r="AL85" i="24"/>
  <c r="Z85" i="24"/>
  <c r="Y85" i="24"/>
  <c r="X85" i="24"/>
  <c r="V85" i="24"/>
  <c r="U85" i="24"/>
  <c r="M85" i="24"/>
  <c r="L85" i="24"/>
  <c r="F183" i="26" s="1"/>
  <c r="G85" i="24"/>
  <c r="F85" i="24"/>
  <c r="AR84" i="24"/>
  <c r="AQ84" i="24"/>
  <c r="AP84" i="24"/>
  <c r="AO84" i="24"/>
  <c r="AM84" i="24"/>
  <c r="AL84" i="24"/>
  <c r="Z84" i="24"/>
  <c r="Y84" i="24"/>
  <c r="X84" i="24"/>
  <c r="V84" i="24"/>
  <c r="U84" i="24"/>
  <c r="G84" i="24"/>
  <c r="F84" i="24"/>
  <c r="AR83" i="24"/>
  <c r="AQ83" i="24"/>
  <c r="AP83" i="24"/>
  <c r="AO83" i="24"/>
  <c r="AM83" i="24"/>
  <c r="H37" i="25" s="1"/>
  <c r="I37" i="25" s="1"/>
  <c r="AL83" i="24"/>
  <c r="Z83" i="24"/>
  <c r="Y83" i="24"/>
  <c r="X83" i="24"/>
  <c r="V83" i="24"/>
  <c r="U83" i="24"/>
  <c r="G83" i="24"/>
  <c r="F83" i="24"/>
  <c r="E37" i="25" s="1"/>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Z80" i="24"/>
  <c r="Y80" i="24"/>
  <c r="X80" i="24"/>
  <c r="V80" i="24"/>
  <c r="U80" i="24"/>
  <c r="G80" i="24"/>
  <c r="F80" i="24"/>
  <c r="AR79" i="24"/>
  <c r="AQ79" i="24"/>
  <c r="AP79" i="24"/>
  <c r="AO79" i="24"/>
  <c r="AM79" i="24"/>
  <c r="AL79" i="24"/>
  <c r="AI79" i="24"/>
  <c r="AH79" i="24"/>
  <c r="AG79" i="24"/>
  <c r="AF79" i="24"/>
  <c r="AE79" i="24"/>
  <c r="AD79" i="24"/>
  <c r="AC79" i="24"/>
  <c r="AB79" i="24"/>
  <c r="AA79" i="24"/>
  <c r="Z79" i="24"/>
  <c r="Y79" i="24"/>
  <c r="X79" i="24"/>
  <c r="W79" i="24"/>
  <c r="V79" i="24"/>
  <c r="U79" i="24"/>
  <c r="G79" i="24"/>
  <c r="F79"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R77" i="24"/>
  <c r="AQ77" i="24"/>
  <c r="AP77" i="24"/>
  <c r="AO77" i="24"/>
  <c r="AM77" i="24"/>
  <c r="AL77" i="24"/>
  <c r="Z77" i="24"/>
  <c r="Y77" i="24"/>
  <c r="X77" i="24"/>
  <c r="V77" i="24"/>
  <c r="U77" i="24"/>
  <c r="M77" i="24"/>
  <c r="L77" i="24"/>
  <c r="F133" i="26" s="1"/>
  <c r="G77" i="24"/>
  <c r="F77" i="24"/>
  <c r="AR76" i="24"/>
  <c r="AQ76" i="24"/>
  <c r="AP76" i="24"/>
  <c r="AO76" i="24"/>
  <c r="AM76" i="24"/>
  <c r="AL76" i="24"/>
  <c r="Z76" i="24"/>
  <c r="Y76" i="24"/>
  <c r="X76" i="24"/>
  <c r="V76" i="24"/>
  <c r="U76" i="24"/>
  <c r="M76" i="24"/>
  <c r="L76" i="24"/>
  <c r="F132" i="26" s="1"/>
  <c r="G76" i="24"/>
  <c r="F76" i="24"/>
  <c r="AR75" i="24"/>
  <c r="AQ75" i="24"/>
  <c r="AP75" i="24"/>
  <c r="AO75" i="24"/>
  <c r="AM75" i="24"/>
  <c r="AL75" i="24"/>
  <c r="Z75" i="24"/>
  <c r="Y75" i="24"/>
  <c r="X75" i="24"/>
  <c r="V75" i="24"/>
  <c r="U75" i="24"/>
  <c r="M75" i="24"/>
  <c r="L75" i="24"/>
  <c r="F131" i="26" s="1"/>
  <c r="G75" i="24"/>
  <c r="F75" i="24"/>
  <c r="AR74" i="24"/>
  <c r="AQ74" i="24"/>
  <c r="AP74" i="24"/>
  <c r="AO74" i="24"/>
  <c r="AM74" i="24"/>
  <c r="AL74" i="24"/>
  <c r="Z74" i="24"/>
  <c r="Y74" i="24"/>
  <c r="X74" i="24"/>
  <c r="V74" i="24"/>
  <c r="U74" i="24"/>
  <c r="M74" i="24"/>
  <c r="L74" i="24"/>
  <c r="F130" i="26" s="1"/>
  <c r="G74" i="24"/>
  <c r="F74" i="24"/>
  <c r="AR73" i="24"/>
  <c r="AQ73" i="24"/>
  <c r="AP73" i="24"/>
  <c r="AO73" i="24"/>
  <c r="AM73" i="24"/>
  <c r="AL73" i="24"/>
  <c r="Z73" i="24"/>
  <c r="Y73" i="24"/>
  <c r="X73" i="24"/>
  <c r="V73" i="24"/>
  <c r="U73" i="24"/>
  <c r="M73" i="24"/>
  <c r="L73" i="24"/>
  <c r="F129" i="26" s="1"/>
  <c r="G73" i="24"/>
  <c r="F73" i="24"/>
  <c r="AR72" i="24"/>
  <c r="AQ72" i="24"/>
  <c r="AP72" i="24"/>
  <c r="AO72" i="24"/>
  <c r="AM72" i="24"/>
  <c r="AL72" i="24"/>
  <c r="Z72" i="24"/>
  <c r="Y72" i="24"/>
  <c r="X72" i="24"/>
  <c r="V72" i="24"/>
  <c r="U72" i="24"/>
  <c r="M72" i="24"/>
  <c r="L72" i="24"/>
  <c r="F128" i="26" s="1"/>
  <c r="G72" i="24"/>
  <c r="F72" i="24"/>
  <c r="AR71" i="24"/>
  <c r="AQ71" i="24"/>
  <c r="AP71" i="24"/>
  <c r="AO71" i="24"/>
  <c r="AM71" i="24"/>
  <c r="AL71" i="24"/>
  <c r="Z71" i="24"/>
  <c r="Y71" i="24"/>
  <c r="X71" i="24"/>
  <c r="V71" i="24"/>
  <c r="U71" i="24"/>
  <c r="M71" i="24"/>
  <c r="L71" i="24"/>
  <c r="F127" i="26" s="1"/>
  <c r="G71" i="24"/>
  <c r="F71" i="24"/>
  <c r="AR70" i="24"/>
  <c r="AQ70" i="24"/>
  <c r="AP70" i="24"/>
  <c r="AO70" i="24"/>
  <c r="AM70" i="24"/>
  <c r="AL70" i="24"/>
  <c r="Z70" i="24"/>
  <c r="Y70" i="24"/>
  <c r="X70" i="24"/>
  <c r="V70" i="24"/>
  <c r="U70" i="24"/>
  <c r="M70" i="24"/>
  <c r="L70" i="24"/>
  <c r="G70" i="24"/>
  <c r="F70"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R68" i="24"/>
  <c r="AQ68" i="24"/>
  <c r="AP68" i="24"/>
  <c r="AO68" i="24"/>
  <c r="AM68" i="24"/>
  <c r="AL68" i="24"/>
  <c r="Z68" i="24"/>
  <c r="Y68" i="24"/>
  <c r="X68" i="24"/>
  <c r="V68" i="24"/>
  <c r="U68" i="24"/>
  <c r="G68" i="24"/>
  <c r="F68" i="24"/>
  <c r="AR67" i="24"/>
  <c r="AQ67" i="24"/>
  <c r="AP67" i="24"/>
  <c r="AO67" i="24"/>
  <c r="AM67" i="24"/>
  <c r="AL67" i="24"/>
  <c r="Z67" i="24"/>
  <c r="Y67" i="24"/>
  <c r="X67" i="24"/>
  <c r="V67" i="24"/>
  <c r="U67" i="24"/>
  <c r="M67" i="24"/>
  <c r="L67" i="24"/>
  <c r="F123" i="26" s="1"/>
  <c r="G67" i="24"/>
  <c r="F67" i="24"/>
  <c r="AR66" i="24"/>
  <c r="AQ66" i="24"/>
  <c r="AP66" i="24"/>
  <c r="AO66" i="24"/>
  <c r="AM66" i="24"/>
  <c r="AL66" i="24"/>
  <c r="Z66" i="24"/>
  <c r="Y66" i="24"/>
  <c r="X66" i="24"/>
  <c r="V66" i="24"/>
  <c r="U66" i="24"/>
  <c r="G66" i="24"/>
  <c r="F66" i="24"/>
  <c r="AR65" i="24"/>
  <c r="AQ65" i="24"/>
  <c r="AP65" i="24"/>
  <c r="AO65" i="24"/>
  <c r="AM65" i="24"/>
  <c r="AL65" i="24"/>
  <c r="Z65" i="24"/>
  <c r="Y65" i="24"/>
  <c r="X65" i="24"/>
  <c r="V65" i="24"/>
  <c r="U65" i="24"/>
  <c r="M65" i="24"/>
  <c r="L65" i="24"/>
  <c r="F122" i="26" s="1"/>
  <c r="G65" i="24"/>
  <c r="F65" i="24"/>
  <c r="AR64" i="24"/>
  <c r="AQ64" i="24"/>
  <c r="AP64" i="24"/>
  <c r="AO64" i="24"/>
  <c r="AM64" i="24"/>
  <c r="AL64" i="24"/>
  <c r="Z64" i="24"/>
  <c r="Y64" i="24"/>
  <c r="X64" i="24"/>
  <c r="V64" i="24"/>
  <c r="U64" i="24"/>
  <c r="G64" i="24"/>
  <c r="F64" i="24"/>
  <c r="AR63" i="24"/>
  <c r="AQ63" i="24"/>
  <c r="AP63" i="24"/>
  <c r="AO63" i="24"/>
  <c r="AM63" i="24"/>
  <c r="AL63" i="24"/>
  <c r="Z63" i="24"/>
  <c r="Y63" i="24"/>
  <c r="X63" i="24"/>
  <c r="V63" i="24"/>
  <c r="U63" i="24"/>
  <c r="M63" i="24"/>
  <c r="L63" i="24"/>
  <c r="F120" i="26" s="1"/>
  <c r="G63" i="24"/>
  <c r="F63" i="24"/>
  <c r="AR62" i="24"/>
  <c r="AQ62" i="24"/>
  <c r="AP62" i="24"/>
  <c r="AO62" i="24"/>
  <c r="AM62" i="24"/>
  <c r="AL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Z61" i="24"/>
  <c r="Y61" i="24"/>
  <c r="X61" i="24"/>
  <c r="V61" i="24"/>
  <c r="U61" i="24"/>
  <c r="G61" i="24"/>
  <c r="F61" i="24"/>
  <c r="AR60" i="24"/>
  <c r="AQ60" i="24"/>
  <c r="AP60" i="24"/>
  <c r="AO60" i="24"/>
  <c r="AM60" i="24"/>
  <c r="AL60" i="24"/>
  <c r="Z60" i="24"/>
  <c r="Y60" i="24"/>
  <c r="X60" i="24"/>
  <c r="V60" i="24"/>
  <c r="U60" i="24"/>
  <c r="M60" i="24"/>
  <c r="L60" i="24"/>
  <c r="F111" i="26" s="1"/>
  <c r="G60" i="24"/>
  <c r="F60" i="24"/>
  <c r="AR59" i="24"/>
  <c r="AQ59" i="24"/>
  <c r="AP59" i="24"/>
  <c r="AO59" i="24"/>
  <c r="AM59" i="24"/>
  <c r="AL59" i="24"/>
  <c r="Z59" i="24"/>
  <c r="Y59" i="24"/>
  <c r="X59" i="24"/>
  <c r="V59" i="24"/>
  <c r="U59" i="24"/>
  <c r="G59" i="24"/>
  <c r="F59" i="24"/>
  <c r="AZ58" i="24"/>
  <c r="AR58" i="24"/>
  <c r="AQ58" i="24"/>
  <c r="AP58" i="24"/>
  <c r="AO58" i="24"/>
  <c r="AM58" i="24"/>
  <c r="AL58" i="24"/>
  <c r="Z58" i="24"/>
  <c r="Y58" i="24"/>
  <c r="X58" i="24"/>
  <c r="V58" i="24"/>
  <c r="U58" i="24"/>
  <c r="G58" i="24"/>
  <c r="F58" i="24"/>
  <c r="AR57" i="24"/>
  <c r="AQ57" i="24"/>
  <c r="AP57" i="24"/>
  <c r="AO57" i="24"/>
  <c r="AM57" i="24"/>
  <c r="AL57" i="24"/>
  <c r="Z57" i="24"/>
  <c r="Y57" i="24"/>
  <c r="X57" i="24"/>
  <c r="V57" i="24"/>
  <c r="U57" i="24"/>
  <c r="G57" i="24"/>
  <c r="F57" i="24"/>
  <c r="AR56" i="24"/>
  <c r="AQ56" i="24"/>
  <c r="AP56" i="24"/>
  <c r="AO56" i="24"/>
  <c r="AM56" i="24"/>
  <c r="AL56" i="24"/>
  <c r="Z56" i="24"/>
  <c r="Y56" i="24"/>
  <c r="X56" i="24"/>
  <c r="V56" i="24"/>
  <c r="U56" i="24"/>
  <c r="G56" i="24"/>
  <c r="F56" i="24"/>
  <c r="AR55" i="24"/>
  <c r="AQ55" i="24"/>
  <c r="AP55" i="24"/>
  <c r="AO55" i="24"/>
  <c r="AM55" i="24"/>
  <c r="AL55" i="24"/>
  <c r="Z55" i="24"/>
  <c r="Y55" i="24"/>
  <c r="X55" i="24"/>
  <c r="V55" i="24"/>
  <c r="U55" i="24"/>
  <c r="G55" i="24"/>
  <c r="F55" i="24"/>
  <c r="AR54" i="24"/>
  <c r="AQ54" i="24"/>
  <c r="AP54" i="24"/>
  <c r="AO54" i="24"/>
  <c r="AM54" i="24"/>
  <c r="AL54" i="24"/>
  <c r="Z54" i="24"/>
  <c r="Y54" i="24"/>
  <c r="X54" i="24"/>
  <c r="V54" i="24"/>
  <c r="U54" i="24"/>
  <c r="G54" i="24"/>
  <c r="F54" i="24"/>
  <c r="AR53" i="24"/>
  <c r="AQ53" i="24"/>
  <c r="AP53" i="24"/>
  <c r="AO53" i="24"/>
  <c r="AM53" i="24"/>
  <c r="AL53" i="24"/>
  <c r="Z53" i="24"/>
  <c r="Y53" i="24"/>
  <c r="X53" i="24"/>
  <c r="V53" i="24"/>
  <c r="U53" i="24"/>
  <c r="M53" i="24"/>
  <c r="L53" i="24"/>
  <c r="F104" i="26" s="1"/>
  <c r="G53" i="24"/>
  <c r="F53" i="24"/>
  <c r="AR52" i="24"/>
  <c r="AQ52" i="24"/>
  <c r="AP52" i="24"/>
  <c r="AO52" i="24"/>
  <c r="AM52" i="24"/>
  <c r="AL52" i="24"/>
  <c r="Z52" i="24"/>
  <c r="Y52" i="24"/>
  <c r="X52" i="24"/>
  <c r="V52" i="24"/>
  <c r="U52" i="24"/>
  <c r="M52" i="24"/>
  <c r="L52" i="24"/>
  <c r="F103" i="26" s="1"/>
  <c r="G52" i="24"/>
  <c r="F52"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Z50" i="24"/>
  <c r="Y50" i="24"/>
  <c r="X50" i="24"/>
  <c r="V50" i="24"/>
  <c r="U50" i="24"/>
  <c r="M50" i="24"/>
  <c r="L50" i="24"/>
  <c r="F97" i="26" s="1"/>
  <c r="G50" i="24"/>
  <c r="F50" i="24"/>
  <c r="AR49" i="24"/>
  <c r="AQ49" i="24"/>
  <c r="AP49" i="24"/>
  <c r="AO49" i="24"/>
  <c r="AM49" i="24"/>
  <c r="AL49" i="24"/>
  <c r="Z49" i="24"/>
  <c r="Y49" i="24"/>
  <c r="X49" i="24"/>
  <c r="V49" i="24"/>
  <c r="U49" i="24"/>
  <c r="M49" i="24"/>
  <c r="L49" i="24"/>
  <c r="F96" i="26" s="1"/>
  <c r="G49" i="24"/>
  <c r="F49" i="24"/>
  <c r="AR48" i="24"/>
  <c r="AQ48" i="24"/>
  <c r="AP48" i="24"/>
  <c r="AO48" i="24"/>
  <c r="AM48" i="24"/>
  <c r="AL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Z47" i="24"/>
  <c r="Y47" i="24"/>
  <c r="X47" i="24"/>
  <c r="V47" i="24"/>
  <c r="U47" i="24"/>
  <c r="M47" i="24"/>
  <c r="L47" i="24"/>
  <c r="F94" i="26" s="1"/>
  <c r="G47" i="24"/>
  <c r="F47"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R44" i="24"/>
  <c r="AQ44" i="24"/>
  <c r="AP44" i="24"/>
  <c r="AO44" i="24"/>
  <c r="AM44" i="24"/>
  <c r="AL44" i="24"/>
  <c r="Z44" i="24"/>
  <c r="Y44" i="24"/>
  <c r="X44" i="24"/>
  <c r="V44" i="24"/>
  <c r="U44" i="24"/>
  <c r="M44" i="24"/>
  <c r="L44" i="24"/>
  <c r="F86" i="26" s="1"/>
  <c r="G44" i="24"/>
  <c r="F44"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R42" i="24"/>
  <c r="AQ42" i="24"/>
  <c r="AP42" i="24"/>
  <c r="AO42" i="24"/>
  <c r="AM42" i="24"/>
  <c r="AL42" i="24"/>
  <c r="Z42" i="24"/>
  <c r="Y42" i="24"/>
  <c r="X42" i="24"/>
  <c r="V42" i="24"/>
  <c r="U42" i="24"/>
  <c r="M42" i="24"/>
  <c r="L42" i="24"/>
  <c r="F126" i="26" s="1"/>
  <c r="G42" i="24"/>
  <c r="F42"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R39" i="24"/>
  <c r="AQ39" i="24"/>
  <c r="AP39" i="24"/>
  <c r="AO39" i="24"/>
  <c r="AM39" i="24"/>
  <c r="AL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R37" i="24"/>
  <c r="AQ37" i="24"/>
  <c r="AP37" i="24"/>
  <c r="AO37" i="24"/>
  <c r="AM37" i="24"/>
  <c r="AL37" i="24"/>
  <c r="AI37" i="24"/>
  <c r="AH37" i="24"/>
  <c r="AG37" i="24"/>
  <c r="AF37" i="24"/>
  <c r="AE37" i="24"/>
  <c r="AD37" i="24"/>
  <c r="AC37" i="24"/>
  <c r="AB37" i="24"/>
  <c r="AA37" i="24"/>
  <c r="Z37" i="24"/>
  <c r="Y37" i="24"/>
  <c r="X37" i="24"/>
  <c r="W37" i="24"/>
  <c r="V37" i="24"/>
  <c r="U37" i="24"/>
  <c r="F37"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Z35" i="24"/>
  <c r="Y35" i="24"/>
  <c r="X35" i="24"/>
  <c r="V35" i="24"/>
  <c r="U35" i="24"/>
  <c r="G35" i="24"/>
  <c r="AZ34" i="24"/>
  <c r="AY34" i="24"/>
  <c r="AX34" i="24"/>
  <c r="AW34" i="24"/>
  <c r="AV34" i="24"/>
  <c r="AU34" i="24"/>
  <c r="AT34" i="24"/>
  <c r="AS34" i="24"/>
  <c r="AR34" i="24"/>
  <c r="AQ34" i="24"/>
  <c r="AP34" i="24"/>
  <c r="AO34" i="24"/>
  <c r="AN34" i="24"/>
  <c r="AM34" i="24"/>
  <c r="AL34" i="24"/>
  <c r="AK34" i="24"/>
  <c r="Z34" i="24"/>
  <c r="Y34" i="24"/>
  <c r="X34" i="24"/>
  <c r="V34" i="24"/>
  <c r="U34" i="24"/>
  <c r="G34"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R32" i="24"/>
  <c r="AQ32" i="24"/>
  <c r="AP32" i="24"/>
  <c r="AO32" i="24"/>
  <c r="AM32" i="24"/>
  <c r="AL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Z31" i="24"/>
  <c r="Y31" i="24"/>
  <c r="X31" i="24"/>
  <c r="V31" i="24"/>
  <c r="U31" i="24"/>
  <c r="G31"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R28" i="24"/>
  <c r="AQ28" i="24"/>
  <c r="AP28" i="24"/>
  <c r="AO28" i="24"/>
  <c r="AM28" i="24"/>
  <c r="AL28" i="24"/>
  <c r="Z28" i="24"/>
  <c r="Y28" i="24"/>
  <c r="X28" i="24"/>
  <c r="V28" i="24"/>
  <c r="U28" i="24"/>
  <c r="M28" i="24"/>
  <c r="L28" i="24"/>
  <c r="F58" i="26" s="1"/>
  <c r="G28" i="24"/>
  <c r="F28" i="24"/>
  <c r="F27" i="24"/>
  <c r="AR26" i="24"/>
  <c r="AQ26" i="24"/>
  <c r="AP26" i="24"/>
  <c r="AO26" i="24"/>
  <c r="AM26" i="24"/>
  <c r="AL26" i="24"/>
  <c r="Z26" i="24"/>
  <c r="Y26" i="24"/>
  <c r="X26" i="24"/>
  <c r="V26" i="24"/>
  <c r="U26" i="24"/>
  <c r="M26" i="24"/>
  <c r="L26" i="24"/>
  <c r="F55" i="26" s="1"/>
  <c r="G26" i="24"/>
  <c r="F26"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R21" i="24"/>
  <c r="AQ21" i="24"/>
  <c r="AP21" i="24"/>
  <c r="AO21" i="24"/>
  <c r="AM21" i="24"/>
  <c r="AL21" i="24"/>
  <c r="Z21" i="24"/>
  <c r="Y21" i="24"/>
  <c r="X21" i="24"/>
  <c r="V21" i="24"/>
  <c r="U21" i="24"/>
  <c r="M21" i="24"/>
  <c r="L21" i="24"/>
  <c r="F24" i="26" s="1"/>
  <c r="G21" i="24"/>
  <c r="AR20" i="24"/>
  <c r="AQ20" i="24"/>
  <c r="AP20" i="24"/>
  <c r="AO20" i="24"/>
  <c r="AM20" i="24"/>
  <c r="AL20" i="24"/>
  <c r="Z20" i="24"/>
  <c r="Y20" i="24"/>
  <c r="X20" i="24"/>
  <c r="V20" i="24"/>
  <c r="U20" i="24"/>
  <c r="M20" i="24"/>
  <c r="L20" i="24"/>
  <c r="F23" i="26" s="1"/>
  <c r="G20" i="24"/>
  <c r="AR19" i="24"/>
  <c r="AQ19" i="24"/>
  <c r="AP19" i="24"/>
  <c r="AO19" i="24"/>
  <c r="AM19" i="24"/>
  <c r="AL19" i="24"/>
  <c r="AI19" i="24"/>
  <c r="AH19" i="24"/>
  <c r="AG19" i="24"/>
  <c r="AF19" i="24"/>
  <c r="AE19" i="24"/>
  <c r="AD19" i="24"/>
  <c r="AC19" i="24"/>
  <c r="AB19" i="24"/>
  <c r="AA19" i="24"/>
  <c r="Z19" i="24"/>
  <c r="Y19" i="24"/>
  <c r="X19" i="24"/>
  <c r="W19" i="24"/>
  <c r="V19" i="24"/>
  <c r="U19" i="24"/>
  <c r="G19" i="24"/>
  <c r="F19"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R16" i="24"/>
  <c r="AQ16" i="24"/>
  <c r="AP16" i="24"/>
  <c r="AO16" i="24"/>
  <c r="AM16" i="24"/>
  <c r="AL16" i="24"/>
  <c r="Z16" i="24"/>
  <c r="Y16" i="24"/>
  <c r="X16" i="24"/>
  <c r="V16" i="24"/>
  <c r="U16" i="24"/>
  <c r="M16" i="24"/>
  <c r="L16" i="24"/>
  <c r="F19" i="26" s="1"/>
  <c r="G16"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R14" i="24"/>
  <c r="AQ14" i="24"/>
  <c r="AP14" i="24"/>
  <c r="AO14" i="24"/>
  <c r="AM14" i="24"/>
  <c r="AL14" i="24"/>
  <c r="Z14" i="24"/>
  <c r="Y14" i="24"/>
  <c r="X14" i="24"/>
  <c r="V14" i="24"/>
  <c r="U14" i="24"/>
  <c r="M14" i="24"/>
  <c r="L14" i="24"/>
  <c r="F17" i="26" s="1"/>
  <c r="G14" i="24"/>
  <c r="AR13" i="24"/>
  <c r="AQ13" i="24"/>
  <c r="AP13" i="24"/>
  <c r="AO13" i="24"/>
  <c r="AM13" i="24"/>
  <c r="AL13" i="24"/>
  <c r="Z13" i="24"/>
  <c r="Y13" i="24"/>
  <c r="X13" i="24"/>
  <c r="V13" i="24"/>
  <c r="U13" i="24"/>
  <c r="M13" i="24"/>
  <c r="L13" i="24"/>
  <c r="F16" i="26" s="1"/>
  <c r="G13"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AR11" i="24"/>
  <c r="AQ11" i="24"/>
  <c r="AP11" i="24"/>
  <c r="AO11" i="24"/>
  <c r="AM11" i="24"/>
  <c r="AL11" i="24"/>
  <c r="Z11" i="24"/>
  <c r="Y11" i="24"/>
  <c r="X11" i="24"/>
  <c r="V11" i="24"/>
  <c r="U11" i="24"/>
  <c r="M11" i="24"/>
  <c r="L11" i="24"/>
  <c r="F14" i="26" s="1"/>
  <c r="G11"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R9" i="24"/>
  <c r="AQ9" i="24"/>
  <c r="AP9" i="24"/>
  <c r="AO9" i="24"/>
  <c r="AM9" i="24"/>
  <c r="AL9" i="24"/>
  <c r="Z9" i="24"/>
  <c r="Y9" i="24"/>
  <c r="X9" i="24"/>
  <c r="V9" i="24"/>
  <c r="U9" i="24"/>
  <c r="M9" i="24"/>
  <c r="L9" i="24"/>
  <c r="F12" i="26" s="1"/>
  <c r="G9"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R7" i="24"/>
  <c r="AQ7" i="24"/>
  <c r="AP7" i="24"/>
  <c r="AO7" i="24"/>
  <c r="AM7" i="24"/>
  <c r="AL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F258" i="21"/>
  <c r="G258" i="21" s="1"/>
  <c r="E257" i="21"/>
  <c r="C257" i="21"/>
  <c r="B257" i="21"/>
  <c r="E256" i="21"/>
  <c r="H256" i="21" s="1"/>
  <c r="C256" i="21"/>
  <c r="B256" i="21"/>
  <c r="E255" i="21"/>
  <c r="H255" i="21" s="1"/>
  <c r="C255" i="21"/>
  <c r="B255" i="21"/>
  <c r="H254" i="21"/>
  <c r="F254" i="21"/>
  <c r="G254" i="21" s="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F246" i="21"/>
  <c r="G246" i="21" s="1"/>
  <c r="E245" i="21"/>
  <c r="C245" i="21"/>
  <c r="B245" i="21"/>
  <c r="H244" i="21"/>
  <c r="F244" i="21"/>
  <c r="G244" i="21" s="1"/>
  <c r="E243" i="21"/>
  <c r="C243" i="21"/>
  <c r="B243" i="21"/>
  <c r="H242" i="21"/>
  <c r="F242" i="21"/>
  <c r="G242" i="21" s="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F234" i="21"/>
  <c r="G234" i="21" s="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F226" i="21"/>
  <c r="G226" i="21" s="1"/>
  <c r="E225" i="21"/>
  <c r="D225" i="21" s="1"/>
  <c r="C225" i="21"/>
  <c r="B225" i="21"/>
  <c r="H224" i="21"/>
  <c r="F224" i="21"/>
  <c r="G224" i="21" s="1"/>
  <c r="H223" i="21"/>
  <c r="F223" i="21"/>
  <c r="G223" i="21" s="1"/>
  <c r="E222" i="21"/>
  <c r="H222" i="21" s="1"/>
  <c r="C222" i="21"/>
  <c r="B222" i="21"/>
  <c r="H221" i="21"/>
  <c r="F221" i="21"/>
  <c r="G221" i="21" s="1"/>
  <c r="H220" i="21"/>
  <c r="F220" i="21"/>
  <c r="G220" i="21" s="1"/>
  <c r="H219" i="21"/>
  <c r="F219" i="21"/>
  <c r="G219" i="21" s="1"/>
  <c r="H218" i="21"/>
  <c r="F218" i="21"/>
  <c r="G218" i="21" s="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F195" i="21"/>
  <c r="G195" i="21" s="1"/>
  <c r="H194" i="21"/>
  <c r="F194" i="21"/>
  <c r="G194" i="21" s="1"/>
  <c r="H193" i="21"/>
  <c r="F193" i="21"/>
  <c r="G193" i="21" s="1"/>
  <c r="H192" i="21"/>
  <c r="F192" i="21"/>
  <c r="G192" i="21" s="1"/>
  <c r="H191" i="21"/>
  <c r="F191" i="21"/>
  <c r="G191" i="21" s="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F183" i="21"/>
  <c r="G183" i="21" s="1"/>
  <c r="H182" i="21"/>
  <c r="F182" i="21"/>
  <c r="G182" i="21" s="1"/>
  <c r="H181" i="21"/>
  <c r="F181" i="21"/>
  <c r="G181" i="21" s="1"/>
  <c r="H180" i="21"/>
  <c r="F180" i="21"/>
  <c r="G180" i="21" s="1"/>
  <c r="H179" i="21"/>
  <c r="F179" i="21"/>
  <c r="G179" i="21" s="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F171" i="21"/>
  <c r="G171" i="21" s="1"/>
  <c r="H170" i="21"/>
  <c r="F170" i="21"/>
  <c r="G170" i="21" s="1"/>
  <c r="H169" i="21"/>
  <c r="F169" i="21"/>
  <c r="G169" i="21" s="1"/>
  <c r="H168" i="21"/>
  <c r="F168" i="21"/>
  <c r="G168" i="21" s="1"/>
  <c r="H167" i="21"/>
  <c r="F167" i="21"/>
  <c r="G167" i="21" s="1"/>
  <c r="H166" i="21"/>
  <c r="F166" i="21"/>
  <c r="G166" i="21" s="1"/>
  <c r="H165" i="21"/>
  <c r="F165" i="21"/>
  <c r="G165" i="21" s="1"/>
  <c r="H164" i="21"/>
  <c r="F164" i="21"/>
  <c r="G164" i="21" s="1"/>
  <c r="H163" i="21"/>
  <c r="F163" i="21"/>
  <c r="G163" i="21" s="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F155" i="21"/>
  <c r="G155" i="21" s="1"/>
  <c r="H154" i="21"/>
  <c r="F154" i="21"/>
  <c r="G154" i="21" s="1"/>
  <c r="H153" i="21"/>
  <c r="F153" i="21"/>
  <c r="G153" i="21" s="1"/>
  <c r="H152" i="21"/>
  <c r="F152" i="21"/>
  <c r="G152" i="21" s="1"/>
  <c r="H151" i="21"/>
  <c r="F151" i="21"/>
  <c r="G151" i="21" s="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F139" i="21"/>
  <c r="G139" i="21" s="1"/>
  <c r="H138" i="21"/>
  <c r="F138" i="21"/>
  <c r="G138" i="21" s="1"/>
  <c r="H137" i="21"/>
  <c r="F137" i="21"/>
  <c r="G137" i="21" s="1"/>
  <c r="H136" i="21"/>
  <c r="F136" i="21"/>
  <c r="G136" i="21" s="1"/>
  <c r="H135" i="21"/>
  <c r="F135" i="21"/>
  <c r="G135" i="21" s="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F123" i="21"/>
  <c r="G123" i="21" s="1"/>
  <c r="H122" i="21"/>
  <c r="F122" i="21"/>
  <c r="G122" i="21" s="1"/>
  <c r="H121" i="21"/>
  <c r="F121" i="21"/>
  <c r="G121" i="21" s="1"/>
  <c r="H120" i="21"/>
  <c r="F120" i="21"/>
  <c r="G120" i="21" s="1"/>
  <c r="H119" i="21"/>
  <c r="F119" i="21"/>
  <c r="G119" i="21" s="1"/>
  <c r="H118" i="21"/>
  <c r="F118" i="21"/>
  <c r="G118" i="21" s="1"/>
  <c r="H117" i="21"/>
  <c r="F117" i="21"/>
  <c r="G117" i="21" s="1"/>
  <c r="H116" i="21"/>
  <c r="F116" i="21"/>
  <c r="G116" i="21" s="1"/>
  <c r="H115" i="21"/>
  <c r="F115" i="21"/>
  <c r="G115" i="21" s="1"/>
  <c r="H114" i="21"/>
  <c r="F114" i="21"/>
  <c r="G114" i="21" s="1"/>
  <c r="H113" i="21"/>
  <c r="F113" i="21"/>
  <c r="G113" i="21" s="1"/>
  <c r="H112" i="21"/>
  <c r="F112" i="21"/>
  <c r="G112" i="21" s="1"/>
  <c r="H111" i="21"/>
  <c r="F111" i="21"/>
  <c r="G111" i="21" s="1"/>
  <c r="H110" i="21"/>
  <c r="F110" i="21"/>
  <c r="G110" i="21" s="1"/>
  <c r="H109" i="21"/>
  <c r="F109" i="21"/>
  <c r="G109" i="21" s="1"/>
  <c r="H108" i="21"/>
  <c r="F108" i="21"/>
  <c r="G108" i="21" s="1"/>
  <c r="H107" i="21"/>
  <c r="F107" i="21"/>
  <c r="G107" i="21" s="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F99" i="21"/>
  <c r="G99" i="21" s="1"/>
  <c r="H98" i="21"/>
  <c r="F98" i="21"/>
  <c r="G98" i="21" s="1"/>
  <c r="H97" i="21"/>
  <c r="F97" i="21"/>
  <c r="G97" i="21" s="1"/>
  <c r="H96" i="21"/>
  <c r="F96" i="21"/>
  <c r="G96" i="21" s="1"/>
  <c r="H95" i="21"/>
  <c r="F95" i="21"/>
  <c r="G95" i="21" s="1"/>
  <c r="H94" i="21"/>
  <c r="F94" i="21"/>
  <c r="G94" i="21" s="1"/>
  <c r="H93" i="21"/>
  <c r="F93" i="21"/>
  <c r="G93" i="21" s="1"/>
  <c r="H92" i="21"/>
  <c r="F92" i="21"/>
  <c r="G92" i="21" s="1"/>
  <c r="H91" i="21"/>
  <c r="F91" i="21"/>
  <c r="G91" i="21" s="1"/>
  <c r="H90" i="21"/>
  <c r="F90" i="21"/>
  <c r="G90" i="21" s="1"/>
  <c r="H89" i="21"/>
  <c r="F89" i="21"/>
  <c r="G89" i="21" s="1"/>
  <c r="H88" i="21"/>
  <c r="F88" i="21"/>
  <c r="G88" i="21" s="1"/>
  <c r="H87" i="21"/>
  <c r="F87" i="21"/>
  <c r="G87" i="21" s="1"/>
  <c r="H86" i="21"/>
  <c r="F86" i="21"/>
  <c r="G86" i="21" s="1"/>
  <c r="H85" i="21"/>
  <c r="F85" i="21"/>
  <c r="G85" i="21" s="1"/>
  <c r="H84" i="21"/>
  <c r="F84" i="21"/>
  <c r="G84" i="21" s="1"/>
  <c r="H83" i="21"/>
  <c r="F83" i="21"/>
  <c r="G83" i="21" s="1"/>
  <c r="H82" i="21"/>
  <c r="F82" i="21"/>
  <c r="G82" i="21" s="1"/>
  <c r="H81" i="21"/>
  <c r="F81" i="21"/>
  <c r="G81" i="21" s="1"/>
  <c r="H80" i="21"/>
  <c r="F80" i="21"/>
  <c r="G80" i="21" s="1"/>
  <c r="H79" i="21"/>
  <c r="F79" i="21"/>
  <c r="G79" i="21" s="1"/>
  <c r="H78" i="21"/>
  <c r="F78" i="21"/>
  <c r="G78" i="21" s="1"/>
  <c r="H77" i="21"/>
  <c r="F77" i="21"/>
  <c r="G77" i="21" s="1"/>
  <c r="H76" i="21"/>
  <c r="F76" i="21"/>
  <c r="G76" i="21" s="1"/>
  <c r="H75" i="21"/>
  <c r="F75" i="21"/>
  <c r="G75" i="21" s="1"/>
  <c r="H74" i="21"/>
  <c r="F74" i="21"/>
  <c r="G74" i="21" s="1"/>
  <c r="H73" i="21"/>
  <c r="F73" i="21"/>
  <c r="G73" i="21" s="1"/>
  <c r="H72" i="21"/>
  <c r="F72" i="21"/>
  <c r="G72" i="21" s="1"/>
  <c r="H71" i="21"/>
  <c r="F71" i="21"/>
  <c r="G71" i="21" s="1"/>
  <c r="H70" i="21"/>
  <c r="F70" i="21"/>
  <c r="G70" i="21" s="1"/>
  <c r="H69" i="21"/>
  <c r="F69" i="21"/>
  <c r="G69" i="21" s="1"/>
  <c r="H68" i="21"/>
  <c r="F68" i="21"/>
  <c r="G68" i="21" s="1"/>
  <c r="H67" i="21"/>
  <c r="F67" i="21"/>
  <c r="G67" i="21" s="1"/>
  <c r="H66" i="21"/>
  <c r="F66" i="21"/>
  <c r="G66" i="21" s="1"/>
  <c r="H65" i="21"/>
  <c r="F65" i="21"/>
  <c r="G65" i="21" s="1"/>
  <c r="H64" i="21"/>
  <c r="F64" i="21"/>
  <c r="G64" i="21" s="1"/>
  <c r="H63" i="21"/>
  <c r="F63" i="21"/>
  <c r="G63" i="21" s="1"/>
  <c r="H62" i="21"/>
  <c r="F62" i="21"/>
  <c r="G62" i="21" s="1"/>
  <c r="H61" i="21"/>
  <c r="F61" i="21"/>
  <c r="G61" i="21" s="1"/>
  <c r="H60" i="21"/>
  <c r="F60" i="21"/>
  <c r="G60" i="21" s="1"/>
  <c r="H59" i="21"/>
  <c r="F59" i="21"/>
  <c r="G59" i="21" s="1"/>
  <c r="H58" i="21"/>
  <c r="F58" i="21"/>
  <c r="G58" i="21" s="1"/>
  <c r="H57" i="21"/>
  <c r="F57" i="21"/>
  <c r="G57" i="21" s="1"/>
  <c r="H56" i="21"/>
  <c r="F56" i="21"/>
  <c r="G56" i="21" s="1"/>
  <c r="H55" i="21"/>
  <c r="F55" i="21"/>
  <c r="G55" i="21" s="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F46" i="21"/>
  <c r="G46" i="21" s="1"/>
  <c r="H45" i="21"/>
  <c r="F45" i="21"/>
  <c r="G45" i="21" s="1"/>
  <c r="H44" i="21"/>
  <c r="F44" i="21"/>
  <c r="G44" i="21" s="1"/>
  <c r="H43" i="21"/>
  <c r="F43" i="21"/>
  <c r="G43" i="21" s="1"/>
  <c r="H42" i="21"/>
  <c r="F42" i="21"/>
  <c r="G42" i="21" s="1"/>
  <c r="H41" i="21"/>
  <c r="F41" i="21"/>
  <c r="G41" i="21" s="1"/>
  <c r="H40" i="21"/>
  <c r="F40" i="21"/>
  <c r="G40" i="21" s="1"/>
  <c r="H39" i="21"/>
  <c r="F39" i="21"/>
  <c r="G39" i="21" s="1"/>
  <c r="H38" i="21"/>
  <c r="F38" i="21"/>
  <c r="G38" i="21" s="1"/>
  <c r="H37" i="21"/>
  <c r="F37" i="21"/>
  <c r="G37" i="21" s="1"/>
  <c r="H36" i="21"/>
  <c r="F36" i="21"/>
  <c r="G36" i="21" s="1"/>
  <c r="H35" i="21"/>
  <c r="F35" i="21"/>
  <c r="G35" i="21" s="1"/>
  <c r="H34" i="21"/>
  <c r="F34" i="21"/>
  <c r="G34" i="21" s="1"/>
  <c r="H33" i="21"/>
  <c r="F33" i="21"/>
  <c r="G33" i="21" s="1"/>
  <c r="H32" i="21"/>
  <c r="F32" i="21"/>
  <c r="G32" i="21" s="1"/>
  <c r="H31" i="21"/>
  <c r="F31" i="21"/>
  <c r="G31" i="21" s="1"/>
  <c r="H30" i="21"/>
  <c r="F30" i="21"/>
  <c r="G30" i="21" s="1"/>
  <c r="H29" i="21"/>
  <c r="F29" i="21"/>
  <c r="G29" i="21" s="1"/>
  <c r="H28" i="21"/>
  <c r="F28" i="21"/>
  <c r="G28" i="21" s="1"/>
  <c r="H27" i="21"/>
  <c r="F27" i="21"/>
  <c r="G27" i="21" s="1"/>
  <c r="H26" i="21"/>
  <c r="F26" i="21"/>
  <c r="G26" i="21" s="1"/>
  <c r="H25" i="21"/>
  <c r="F25" i="21"/>
  <c r="G25" i="21" s="1"/>
  <c r="H24" i="21"/>
  <c r="F24" i="21"/>
  <c r="G24" i="21" s="1"/>
  <c r="H23" i="21"/>
  <c r="F23" i="21"/>
  <c r="G23" i="21" s="1"/>
  <c r="H22" i="21"/>
  <c r="F22" i="21"/>
  <c r="G22" i="21" s="1"/>
  <c r="H21" i="21"/>
  <c r="F21" i="21"/>
  <c r="G21" i="21" s="1"/>
  <c r="H20" i="21"/>
  <c r="F20" i="21"/>
  <c r="G20" i="21" s="1"/>
  <c r="H19" i="21"/>
  <c r="F19" i="21"/>
  <c r="G19" i="21" s="1"/>
  <c r="H18" i="21"/>
  <c r="F18" i="21"/>
  <c r="G18" i="21" s="1"/>
  <c r="H17" i="21"/>
  <c r="F17" i="21"/>
  <c r="G17" i="21" s="1"/>
  <c r="H16" i="21"/>
  <c r="F16" i="21"/>
  <c r="G16" i="21" s="1"/>
  <c r="H15" i="21"/>
  <c r="F15" i="21"/>
  <c r="G15" i="21" s="1"/>
  <c r="H14" i="21"/>
  <c r="F14" i="21"/>
  <c r="G14" i="21" s="1"/>
  <c r="H13" i="21"/>
  <c r="F13" i="21"/>
  <c r="G13" i="21" s="1"/>
  <c r="H12" i="21"/>
  <c r="F12" i="21"/>
  <c r="G12" i="21" s="1"/>
  <c r="H11" i="21"/>
  <c r="F11" i="21"/>
  <c r="G11" i="21" s="1"/>
  <c r="H10" i="21"/>
  <c r="F10" i="21"/>
  <c r="G10" i="21" s="1"/>
  <c r="H9" i="21"/>
  <c r="F9" i="21"/>
  <c r="G9" i="21" s="1"/>
  <c r="H8" i="21"/>
  <c r="F8" i="21"/>
  <c r="G8" i="21" s="1"/>
  <c r="H7" i="21"/>
  <c r="F7" i="21"/>
  <c r="G7" i="21" s="1"/>
  <c r="H6" i="21"/>
  <c r="F6" i="21"/>
  <c r="G6" i="21" s="1"/>
  <c r="H5" i="21"/>
  <c r="F5" i="21"/>
  <c r="G5" i="21" s="1"/>
  <c r="H4" i="21"/>
  <c r="F4" i="21"/>
  <c r="G4" i="21" s="1"/>
  <c r="H3" i="21"/>
  <c r="F3" i="21"/>
  <c r="G3" i="21" s="1"/>
  <c r="O1" i="21"/>
  <c r="R588" i="17"/>
  <c r="H588" i="17"/>
  <c r="AF588" i="17" s="1"/>
  <c r="G588" i="17"/>
  <c r="F588" i="17"/>
  <c r="E588" i="17"/>
  <c r="D588" i="17"/>
  <c r="C588" i="17"/>
  <c r="B588" i="17"/>
  <c r="R587" i="17"/>
  <c r="H587" i="17"/>
  <c r="AF587" i="17" s="1"/>
  <c r="G587" i="17"/>
  <c r="F587" i="17"/>
  <c r="E587" i="17"/>
  <c r="D587" i="17"/>
  <c r="C587" i="17"/>
  <c r="B587" i="17"/>
  <c r="R586" i="17"/>
  <c r="H586" i="17"/>
  <c r="AF586" i="17" s="1"/>
  <c r="G586" i="17"/>
  <c r="F586" i="17"/>
  <c r="E586" i="17"/>
  <c r="D586" i="17"/>
  <c r="C586" i="17"/>
  <c r="B586" i="17"/>
  <c r="R585" i="17"/>
  <c r="H585" i="17"/>
  <c r="AF585" i="17" s="1"/>
  <c r="G585" i="17"/>
  <c r="F585" i="17"/>
  <c r="E585" i="17"/>
  <c r="D585" i="17"/>
  <c r="C585" i="17"/>
  <c r="B585" i="17"/>
  <c r="R584" i="17"/>
  <c r="H584" i="17"/>
  <c r="AF584" i="17" s="1"/>
  <c r="G584" i="17"/>
  <c r="F584" i="17"/>
  <c r="E584" i="17"/>
  <c r="D584" i="17"/>
  <c r="C584" i="17"/>
  <c r="B584" i="17"/>
  <c r="R583" i="17"/>
  <c r="H583" i="17"/>
  <c r="AF583" i="17" s="1"/>
  <c r="G583" i="17"/>
  <c r="F583" i="17"/>
  <c r="E583" i="17"/>
  <c r="D583" i="17"/>
  <c r="C583" i="17"/>
  <c r="B583" i="17"/>
  <c r="R582" i="17"/>
  <c r="H582" i="17"/>
  <c r="AF582" i="17" s="1"/>
  <c r="G582" i="17"/>
  <c r="F582" i="17"/>
  <c r="E582" i="17"/>
  <c r="D582" i="17"/>
  <c r="C582" i="17"/>
  <c r="B582" i="17"/>
  <c r="R581" i="17"/>
  <c r="H581" i="17"/>
  <c r="AF581" i="17" s="1"/>
  <c r="G581" i="17"/>
  <c r="F581" i="17"/>
  <c r="E581" i="17"/>
  <c r="D581" i="17"/>
  <c r="C581" i="17"/>
  <c r="B581" i="17"/>
  <c r="R580" i="17"/>
  <c r="H580" i="17"/>
  <c r="AF580" i="17" s="1"/>
  <c r="G580" i="17"/>
  <c r="F580" i="17"/>
  <c r="E580" i="17"/>
  <c r="D580" i="17"/>
  <c r="C580" i="17"/>
  <c r="B580" i="17"/>
  <c r="R579" i="17"/>
  <c r="H579" i="17"/>
  <c r="AF579" i="17" s="1"/>
  <c r="G579" i="17"/>
  <c r="F579" i="17"/>
  <c r="E579" i="17"/>
  <c r="D579" i="17"/>
  <c r="C579" i="17"/>
  <c r="B579" i="17"/>
  <c r="R578" i="17"/>
  <c r="H578" i="17"/>
  <c r="AF578" i="17" s="1"/>
  <c r="G578" i="17"/>
  <c r="F578" i="17"/>
  <c r="E578" i="17"/>
  <c r="D578" i="17"/>
  <c r="C578" i="17"/>
  <c r="B578" i="17"/>
  <c r="R577" i="17"/>
  <c r="H577" i="17"/>
  <c r="AF577" i="17" s="1"/>
  <c r="G577" i="17"/>
  <c r="F577" i="17"/>
  <c r="E577" i="17"/>
  <c r="D577" i="17"/>
  <c r="C577" i="17"/>
  <c r="B577" i="17"/>
  <c r="R576" i="17"/>
  <c r="H576" i="17"/>
  <c r="AF576" i="17" s="1"/>
  <c r="G576" i="17"/>
  <c r="F576" i="17"/>
  <c r="E576" i="17"/>
  <c r="D576" i="17"/>
  <c r="C576" i="17"/>
  <c r="B576" i="17"/>
  <c r="R575" i="17"/>
  <c r="H575" i="17"/>
  <c r="AF575" i="17" s="1"/>
  <c r="G575" i="17"/>
  <c r="F575" i="17"/>
  <c r="E575" i="17"/>
  <c r="D575" i="17"/>
  <c r="C575" i="17"/>
  <c r="B575" i="17"/>
  <c r="R574" i="17"/>
  <c r="H574" i="17"/>
  <c r="AF574" i="17" s="1"/>
  <c r="G574" i="17"/>
  <c r="F574" i="17"/>
  <c r="E574" i="17"/>
  <c r="D574" i="17"/>
  <c r="C574" i="17"/>
  <c r="B574" i="17"/>
  <c r="R573" i="17"/>
  <c r="H573" i="17"/>
  <c r="AF573" i="17" s="1"/>
  <c r="G573" i="17"/>
  <c r="F573" i="17"/>
  <c r="E573" i="17"/>
  <c r="D573" i="17"/>
  <c r="C573" i="17"/>
  <c r="B573" i="17"/>
  <c r="R572" i="17"/>
  <c r="H572" i="17"/>
  <c r="AF572" i="17" s="1"/>
  <c r="G572" i="17"/>
  <c r="F572" i="17"/>
  <c r="E572" i="17"/>
  <c r="D572" i="17"/>
  <c r="C572" i="17"/>
  <c r="B572" i="17"/>
  <c r="R571" i="17"/>
  <c r="H571" i="17"/>
  <c r="AF571" i="17" s="1"/>
  <c r="G571" i="17"/>
  <c r="F571" i="17"/>
  <c r="E571" i="17"/>
  <c r="D571" i="17"/>
  <c r="C571" i="17"/>
  <c r="B571" i="17"/>
  <c r="R570" i="17"/>
  <c r="H570" i="17"/>
  <c r="AF570" i="17" s="1"/>
  <c r="G570" i="17"/>
  <c r="F570" i="17"/>
  <c r="E570" i="17"/>
  <c r="D570" i="17"/>
  <c r="C570" i="17"/>
  <c r="B570" i="17"/>
  <c r="R569" i="17"/>
  <c r="H569" i="17"/>
  <c r="AF569" i="17" s="1"/>
  <c r="G569" i="17"/>
  <c r="F569" i="17"/>
  <c r="E569" i="17"/>
  <c r="D569" i="17"/>
  <c r="C569" i="17"/>
  <c r="B569" i="17"/>
  <c r="R568" i="17"/>
  <c r="H568" i="17"/>
  <c r="AF568" i="17" s="1"/>
  <c r="G568" i="17"/>
  <c r="F568" i="17"/>
  <c r="E568" i="17"/>
  <c r="D568" i="17"/>
  <c r="C568" i="17"/>
  <c r="B568" i="17"/>
  <c r="R567" i="17"/>
  <c r="H567" i="17"/>
  <c r="AF567" i="17" s="1"/>
  <c r="G567" i="17"/>
  <c r="F567" i="17"/>
  <c r="E567" i="17"/>
  <c r="D567" i="17"/>
  <c r="C567" i="17"/>
  <c r="B567" i="17"/>
  <c r="R566" i="17"/>
  <c r="H566" i="17"/>
  <c r="AF566" i="17" s="1"/>
  <c r="G566" i="17"/>
  <c r="F566" i="17"/>
  <c r="E566" i="17"/>
  <c r="D566" i="17"/>
  <c r="C566" i="17"/>
  <c r="B566" i="17"/>
  <c r="R565" i="17"/>
  <c r="H565" i="17"/>
  <c r="AF565" i="17" s="1"/>
  <c r="G565" i="17"/>
  <c r="F565" i="17"/>
  <c r="E565" i="17"/>
  <c r="D565" i="17"/>
  <c r="C565" i="17"/>
  <c r="B565" i="17"/>
  <c r="R564" i="17"/>
  <c r="H564" i="17"/>
  <c r="AF564" i="17" s="1"/>
  <c r="G564" i="17"/>
  <c r="F564" i="17"/>
  <c r="E564" i="17"/>
  <c r="D564" i="17"/>
  <c r="C564" i="17"/>
  <c r="B564" i="17"/>
  <c r="R563" i="17"/>
  <c r="H563" i="17"/>
  <c r="AF563" i="17" s="1"/>
  <c r="G563" i="17"/>
  <c r="F563" i="17"/>
  <c r="E563" i="17"/>
  <c r="D563" i="17"/>
  <c r="C563" i="17"/>
  <c r="B563" i="17"/>
  <c r="R562" i="17"/>
  <c r="H562" i="17"/>
  <c r="AF562" i="17" s="1"/>
  <c r="G562" i="17"/>
  <c r="F562" i="17"/>
  <c r="E562" i="17"/>
  <c r="D562" i="17"/>
  <c r="C562" i="17"/>
  <c r="B562" i="17"/>
  <c r="R561" i="17"/>
  <c r="H561" i="17"/>
  <c r="AF561" i="17" s="1"/>
  <c r="G561" i="17"/>
  <c r="F561" i="17"/>
  <c r="E561" i="17"/>
  <c r="D561" i="17"/>
  <c r="C561" i="17"/>
  <c r="B561" i="17"/>
  <c r="R560" i="17"/>
  <c r="H560" i="17"/>
  <c r="AF560" i="17" s="1"/>
  <c r="G560" i="17"/>
  <c r="F560" i="17"/>
  <c r="E560" i="17"/>
  <c r="D560" i="17"/>
  <c r="C560" i="17"/>
  <c r="B560" i="17"/>
  <c r="R559" i="17"/>
  <c r="H559" i="17"/>
  <c r="AF559" i="17" s="1"/>
  <c r="G559" i="17"/>
  <c r="F559" i="17"/>
  <c r="E559" i="17"/>
  <c r="D559" i="17"/>
  <c r="C559" i="17"/>
  <c r="B559" i="17"/>
  <c r="R558" i="17"/>
  <c r="H558" i="17"/>
  <c r="AF558" i="17" s="1"/>
  <c r="G558" i="17"/>
  <c r="F558" i="17"/>
  <c r="E558" i="17"/>
  <c r="D558" i="17"/>
  <c r="C558" i="17"/>
  <c r="B558" i="17"/>
  <c r="R557" i="17"/>
  <c r="H557" i="17"/>
  <c r="AF557" i="17" s="1"/>
  <c r="G557" i="17"/>
  <c r="F557" i="17"/>
  <c r="E557" i="17"/>
  <c r="D557" i="17"/>
  <c r="C557" i="17"/>
  <c r="B557" i="17"/>
  <c r="R556" i="17"/>
  <c r="H556" i="17"/>
  <c r="AF556" i="17" s="1"/>
  <c r="G556" i="17"/>
  <c r="F556" i="17"/>
  <c r="E556" i="17"/>
  <c r="D556" i="17"/>
  <c r="C556" i="17"/>
  <c r="B556" i="17"/>
  <c r="R555" i="17"/>
  <c r="H555" i="17"/>
  <c r="AF555" i="17" s="1"/>
  <c r="G555" i="17"/>
  <c r="F555" i="17"/>
  <c r="E555" i="17"/>
  <c r="D555" i="17"/>
  <c r="B555" i="17"/>
  <c r="R554" i="17"/>
  <c r="H554" i="17"/>
  <c r="AF554" i="17" s="1"/>
  <c r="G554" i="17"/>
  <c r="F554" i="17"/>
  <c r="E554" i="17"/>
  <c r="D554" i="17"/>
  <c r="C554" i="17"/>
  <c r="B554" i="17"/>
  <c r="R553" i="17"/>
  <c r="H553" i="17"/>
  <c r="AF553" i="17" s="1"/>
  <c r="G553" i="17"/>
  <c r="F553" i="17"/>
  <c r="E553" i="17"/>
  <c r="D553" i="17"/>
  <c r="C553" i="17"/>
  <c r="B553" i="17"/>
  <c r="R552" i="17"/>
  <c r="H552" i="17"/>
  <c r="AF552" i="17" s="1"/>
  <c r="G552" i="17"/>
  <c r="F552" i="17"/>
  <c r="E552" i="17"/>
  <c r="D552" i="17"/>
  <c r="C552" i="17"/>
  <c r="B552" i="17"/>
  <c r="R551" i="17"/>
  <c r="H551" i="17"/>
  <c r="AF551" i="17" s="1"/>
  <c r="G551" i="17"/>
  <c r="F551" i="17"/>
  <c r="E551" i="17"/>
  <c r="D551" i="17"/>
  <c r="C551" i="17"/>
  <c r="B551" i="17"/>
  <c r="R550" i="17"/>
  <c r="H550" i="17"/>
  <c r="AF550" i="17" s="1"/>
  <c r="G550" i="17"/>
  <c r="F550" i="17"/>
  <c r="E550" i="17"/>
  <c r="D550" i="17"/>
  <c r="C550" i="17"/>
  <c r="B550" i="17"/>
  <c r="R549" i="17"/>
  <c r="H549" i="17"/>
  <c r="AF549" i="17" s="1"/>
  <c r="G549" i="17"/>
  <c r="F549" i="17"/>
  <c r="E549" i="17"/>
  <c r="D549" i="17"/>
  <c r="C549" i="17"/>
  <c r="B549" i="17"/>
  <c r="R548" i="17"/>
  <c r="H548" i="17"/>
  <c r="AF548" i="17" s="1"/>
  <c r="G548" i="17"/>
  <c r="F548" i="17"/>
  <c r="E548" i="17"/>
  <c r="D548" i="17"/>
  <c r="C548" i="17"/>
  <c r="B548" i="17"/>
  <c r="R547" i="17"/>
  <c r="H547" i="17"/>
  <c r="AF547" i="17" s="1"/>
  <c r="G547" i="17"/>
  <c r="F547" i="17"/>
  <c r="E547" i="17"/>
  <c r="D547" i="17"/>
  <c r="C547" i="17"/>
  <c r="B547" i="17"/>
  <c r="R546" i="17"/>
  <c r="H546" i="17"/>
  <c r="AF546" i="17" s="1"/>
  <c r="G546" i="17"/>
  <c r="F546" i="17"/>
  <c r="E546" i="17"/>
  <c r="D546" i="17"/>
  <c r="C546" i="17"/>
  <c r="B546" i="17"/>
  <c r="R545" i="17"/>
  <c r="H545" i="17"/>
  <c r="AF545" i="17" s="1"/>
  <c r="G545" i="17"/>
  <c r="F545" i="17"/>
  <c r="E545" i="17"/>
  <c r="D545" i="17"/>
  <c r="C545" i="17"/>
  <c r="B545" i="17"/>
  <c r="R544" i="17"/>
  <c r="H544" i="17"/>
  <c r="AF544" i="17" s="1"/>
  <c r="G544" i="17"/>
  <c r="F544" i="17"/>
  <c r="E544" i="17"/>
  <c r="D544" i="17"/>
  <c r="C544" i="17"/>
  <c r="B544" i="17"/>
  <c r="R543" i="17"/>
  <c r="H543" i="17"/>
  <c r="AF543" i="17" s="1"/>
  <c r="G543" i="17"/>
  <c r="F543" i="17"/>
  <c r="E543" i="17"/>
  <c r="D543" i="17"/>
  <c r="C543" i="17"/>
  <c r="B543" i="17"/>
  <c r="R542" i="17"/>
  <c r="H542" i="17"/>
  <c r="AF542" i="17" s="1"/>
  <c r="G542" i="17"/>
  <c r="F542" i="17"/>
  <c r="E542" i="17"/>
  <c r="D542" i="17"/>
  <c r="C542" i="17"/>
  <c r="B542" i="17"/>
  <c r="R541" i="17"/>
  <c r="H541" i="17"/>
  <c r="AF541" i="17" s="1"/>
  <c r="G541" i="17"/>
  <c r="F541" i="17"/>
  <c r="E541" i="17"/>
  <c r="D541" i="17"/>
  <c r="C541" i="17"/>
  <c r="B541" i="17"/>
  <c r="R540" i="17"/>
  <c r="H540" i="17"/>
  <c r="AF540" i="17" s="1"/>
  <c r="G540" i="17"/>
  <c r="F540" i="17"/>
  <c r="E540" i="17"/>
  <c r="D540" i="17"/>
  <c r="C540" i="17"/>
  <c r="B540" i="17"/>
  <c r="R539" i="17"/>
  <c r="H539" i="17"/>
  <c r="AF539" i="17" s="1"/>
  <c r="G539" i="17"/>
  <c r="F539" i="17"/>
  <c r="E539" i="17"/>
  <c r="D539" i="17"/>
  <c r="C539" i="17"/>
  <c r="B539" i="17"/>
  <c r="R538" i="17"/>
  <c r="H538" i="17"/>
  <c r="AF538" i="17" s="1"/>
  <c r="G538" i="17"/>
  <c r="F538" i="17"/>
  <c r="E538" i="17"/>
  <c r="D538" i="17"/>
  <c r="C538" i="17"/>
  <c r="B538" i="17"/>
  <c r="R537" i="17"/>
  <c r="H537" i="17"/>
  <c r="AF537" i="17" s="1"/>
  <c r="G537" i="17"/>
  <c r="F537" i="17"/>
  <c r="E537" i="17"/>
  <c r="D537" i="17"/>
  <c r="C537" i="17"/>
  <c r="B537" i="17"/>
  <c r="R536" i="17"/>
  <c r="H536" i="17"/>
  <c r="AF536" i="17" s="1"/>
  <c r="G536" i="17"/>
  <c r="F536" i="17"/>
  <c r="E536" i="17"/>
  <c r="D536" i="17"/>
  <c r="C536" i="17"/>
  <c r="B536" i="17"/>
  <c r="R535" i="17"/>
  <c r="H535" i="17"/>
  <c r="AF535" i="17" s="1"/>
  <c r="G535" i="17"/>
  <c r="F535" i="17"/>
  <c r="E535" i="17"/>
  <c r="D535" i="17"/>
  <c r="C535" i="17"/>
  <c r="B535" i="17"/>
  <c r="R534" i="17"/>
  <c r="H534" i="17"/>
  <c r="AF534" i="17" s="1"/>
  <c r="G534" i="17"/>
  <c r="F534" i="17"/>
  <c r="E534" i="17"/>
  <c r="D534" i="17"/>
  <c r="C534" i="17"/>
  <c r="B534" i="17"/>
  <c r="R533" i="17"/>
  <c r="H533" i="17"/>
  <c r="AF533" i="17" s="1"/>
  <c r="G533" i="17"/>
  <c r="F533" i="17"/>
  <c r="E533" i="17"/>
  <c r="D533" i="17"/>
  <c r="C533" i="17"/>
  <c r="B533" i="17"/>
  <c r="R532" i="17"/>
  <c r="H532" i="17"/>
  <c r="AF532" i="17" s="1"/>
  <c r="G532" i="17"/>
  <c r="F532" i="17"/>
  <c r="E532" i="17"/>
  <c r="D532" i="17"/>
  <c r="C532" i="17"/>
  <c r="B532" i="17"/>
  <c r="R531" i="17"/>
  <c r="H531" i="17"/>
  <c r="AF531" i="17" s="1"/>
  <c r="G531" i="17"/>
  <c r="F531" i="17"/>
  <c r="E531" i="17"/>
  <c r="D531" i="17"/>
  <c r="C531" i="17"/>
  <c r="B531" i="17"/>
  <c r="R530" i="17"/>
  <c r="H530" i="17"/>
  <c r="AF530" i="17" s="1"/>
  <c r="G530" i="17"/>
  <c r="F530" i="17"/>
  <c r="E530" i="17"/>
  <c r="D530" i="17"/>
  <c r="C530" i="17"/>
  <c r="B530" i="17"/>
  <c r="R529" i="17"/>
  <c r="H529" i="17"/>
  <c r="AF529" i="17" s="1"/>
  <c r="G529" i="17"/>
  <c r="F529" i="17"/>
  <c r="E529" i="17"/>
  <c r="D529" i="17"/>
  <c r="C529" i="17"/>
  <c r="B529" i="17"/>
  <c r="R528" i="17"/>
  <c r="H528" i="17"/>
  <c r="AF528" i="17" s="1"/>
  <c r="G528" i="17"/>
  <c r="F528" i="17"/>
  <c r="E528" i="17"/>
  <c r="D528" i="17"/>
  <c r="C528" i="17"/>
  <c r="B528" i="17"/>
  <c r="R527" i="17"/>
  <c r="H527" i="17"/>
  <c r="AF527" i="17" s="1"/>
  <c r="G527" i="17"/>
  <c r="F527" i="17"/>
  <c r="E527" i="17"/>
  <c r="D527" i="17"/>
  <c r="C527" i="17"/>
  <c r="B527" i="17"/>
  <c r="R526" i="17"/>
  <c r="H526" i="17"/>
  <c r="AF526" i="17" s="1"/>
  <c r="G526" i="17"/>
  <c r="F526" i="17"/>
  <c r="E526" i="17"/>
  <c r="D526" i="17"/>
  <c r="C526" i="17"/>
  <c r="B526" i="17"/>
  <c r="R525" i="17"/>
  <c r="H525" i="17"/>
  <c r="AF525" i="17" s="1"/>
  <c r="G525" i="17"/>
  <c r="F525" i="17"/>
  <c r="E525" i="17"/>
  <c r="D525" i="17"/>
  <c r="C525" i="17"/>
  <c r="B525" i="17"/>
  <c r="R524" i="17"/>
  <c r="H524" i="17"/>
  <c r="AF524" i="17" s="1"/>
  <c r="G524" i="17"/>
  <c r="F524" i="17"/>
  <c r="E524" i="17"/>
  <c r="D524" i="17"/>
  <c r="C524" i="17"/>
  <c r="B524" i="17"/>
  <c r="R523" i="17"/>
  <c r="H523" i="17"/>
  <c r="AF523" i="17" s="1"/>
  <c r="G523" i="17"/>
  <c r="F523" i="17"/>
  <c r="E523" i="17"/>
  <c r="D523" i="17"/>
  <c r="C523" i="17"/>
  <c r="B523" i="17"/>
  <c r="R522" i="17"/>
  <c r="H522" i="17"/>
  <c r="AF522" i="17" s="1"/>
  <c r="G522" i="17"/>
  <c r="F522" i="17"/>
  <c r="E522" i="17"/>
  <c r="D522" i="17"/>
  <c r="C522" i="17"/>
  <c r="B522" i="17"/>
  <c r="R521" i="17"/>
  <c r="H521" i="17"/>
  <c r="AF521" i="17" s="1"/>
  <c r="G521" i="17"/>
  <c r="F521" i="17"/>
  <c r="E521" i="17"/>
  <c r="D521" i="17"/>
  <c r="C521" i="17"/>
  <c r="B521" i="17"/>
  <c r="R520" i="17"/>
  <c r="H520" i="17"/>
  <c r="AF520" i="17" s="1"/>
  <c r="G520" i="17"/>
  <c r="F520" i="17"/>
  <c r="E520" i="17"/>
  <c r="D520" i="17"/>
  <c r="C520" i="17"/>
  <c r="B520" i="17"/>
  <c r="R519" i="17"/>
  <c r="H519" i="17"/>
  <c r="AF519" i="17" s="1"/>
  <c r="G519" i="17"/>
  <c r="F519" i="17"/>
  <c r="E519" i="17"/>
  <c r="D519" i="17"/>
  <c r="C519" i="17"/>
  <c r="B519" i="17"/>
  <c r="R518" i="17"/>
  <c r="H518" i="17"/>
  <c r="AF518" i="17" s="1"/>
  <c r="G518" i="17"/>
  <c r="F518" i="17"/>
  <c r="E518" i="17"/>
  <c r="D518" i="17"/>
  <c r="C518" i="17"/>
  <c r="B518" i="17"/>
  <c r="R517" i="17"/>
  <c r="H517" i="17"/>
  <c r="AF517" i="17" s="1"/>
  <c r="G517" i="17"/>
  <c r="F517" i="17"/>
  <c r="E517" i="17"/>
  <c r="D517" i="17"/>
  <c r="C517" i="17"/>
  <c r="B517" i="17"/>
  <c r="R516" i="17"/>
  <c r="H516" i="17"/>
  <c r="AF516" i="17" s="1"/>
  <c r="G516" i="17"/>
  <c r="F516" i="17"/>
  <c r="E516" i="17"/>
  <c r="D516" i="17"/>
  <c r="C516" i="17"/>
  <c r="B516" i="17"/>
  <c r="R515" i="17"/>
  <c r="H515" i="17"/>
  <c r="AF515" i="17" s="1"/>
  <c r="G515" i="17"/>
  <c r="F515" i="17"/>
  <c r="E515" i="17"/>
  <c r="D515" i="17"/>
  <c r="C515" i="17"/>
  <c r="B515" i="17"/>
  <c r="R514" i="17"/>
  <c r="H514" i="17"/>
  <c r="AF514" i="17" s="1"/>
  <c r="G514" i="17"/>
  <c r="F514" i="17"/>
  <c r="E514" i="17"/>
  <c r="D514" i="17"/>
  <c r="C514" i="17"/>
  <c r="B514" i="17"/>
  <c r="R513" i="17"/>
  <c r="H513" i="17"/>
  <c r="AF513" i="17" s="1"/>
  <c r="G513" i="17"/>
  <c r="F513" i="17"/>
  <c r="E513" i="17"/>
  <c r="D513" i="17"/>
  <c r="C513" i="17"/>
  <c r="B513" i="17"/>
  <c r="R512" i="17"/>
  <c r="H512" i="17"/>
  <c r="AF512" i="17" s="1"/>
  <c r="G512" i="17"/>
  <c r="F512" i="17"/>
  <c r="E512" i="17"/>
  <c r="D512" i="17"/>
  <c r="C512" i="17"/>
  <c r="B512" i="17"/>
  <c r="R511" i="17"/>
  <c r="H511" i="17"/>
  <c r="AF511" i="17" s="1"/>
  <c r="G511" i="17"/>
  <c r="F511" i="17"/>
  <c r="E511" i="17"/>
  <c r="D511" i="17"/>
  <c r="C511" i="17"/>
  <c r="B511" i="17"/>
  <c r="R510" i="17"/>
  <c r="H510" i="17"/>
  <c r="AF510" i="17" s="1"/>
  <c r="G510" i="17"/>
  <c r="F510" i="17"/>
  <c r="E510" i="17"/>
  <c r="D510" i="17"/>
  <c r="C510" i="17"/>
  <c r="B510" i="17"/>
  <c r="R509" i="17"/>
  <c r="H509" i="17"/>
  <c r="AF509" i="17" s="1"/>
  <c r="G509" i="17"/>
  <c r="F509" i="17"/>
  <c r="E509" i="17"/>
  <c r="D509" i="17"/>
  <c r="C509" i="17"/>
  <c r="B509" i="17"/>
  <c r="R508" i="17"/>
  <c r="H508" i="17"/>
  <c r="AF508" i="17" s="1"/>
  <c r="G508" i="17"/>
  <c r="F508" i="17"/>
  <c r="E508" i="17"/>
  <c r="D508" i="17"/>
  <c r="C508" i="17"/>
  <c r="B508" i="17"/>
  <c r="R507" i="17"/>
  <c r="H507" i="17"/>
  <c r="AF507" i="17" s="1"/>
  <c r="G507" i="17"/>
  <c r="F507" i="17"/>
  <c r="E507" i="17"/>
  <c r="D507" i="17"/>
  <c r="C507" i="17"/>
  <c r="B507" i="17"/>
  <c r="R506" i="17"/>
  <c r="H506" i="17"/>
  <c r="AF506" i="17" s="1"/>
  <c r="G506" i="17"/>
  <c r="F506" i="17"/>
  <c r="E506" i="17"/>
  <c r="D506" i="17"/>
  <c r="C506" i="17"/>
  <c r="B506" i="17"/>
  <c r="R505" i="17"/>
  <c r="H505" i="17"/>
  <c r="AF505" i="17" s="1"/>
  <c r="G505" i="17"/>
  <c r="F505" i="17"/>
  <c r="E505" i="17"/>
  <c r="D505" i="17"/>
  <c r="C505" i="17"/>
  <c r="B505" i="17"/>
  <c r="R504" i="17"/>
  <c r="H504" i="17"/>
  <c r="AF504" i="17" s="1"/>
  <c r="G504" i="17"/>
  <c r="F504" i="17"/>
  <c r="E504" i="17"/>
  <c r="D504" i="17"/>
  <c r="C504" i="17"/>
  <c r="B504" i="17"/>
  <c r="R503" i="17"/>
  <c r="H503" i="17"/>
  <c r="AF503" i="17" s="1"/>
  <c r="G503" i="17"/>
  <c r="F503" i="17"/>
  <c r="E503" i="17"/>
  <c r="D503" i="17"/>
  <c r="C503" i="17"/>
  <c r="B503" i="17"/>
  <c r="R502" i="17"/>
  <c r="H502" i="17"/>
  <c r="AF502" i="17" s="1"/>
  <c r="G502" i="17"/>
  <c r="F502" i="17"/>
  <c r="E502" i="17"/>
  <c r="D502" i="17"/>
  <c r="C502" i="17"/>
  <c r="B502" i="17"/>
  <c r="R501" i="17"/>
  <c r="H501" i="17"/>
  <c r="AF501" i="17" s="1"/>
  <c r="G501" i="17"/>
  <c r="F501" i="17"/>
  <c r="E501" i="17"/>
  <c r="D501" i="17"/>
  <c r="C501" i="17"/>
  <c r="B501" i="17"/>
  <c r="R500" i="17"/>
  <c r="H500" i="17"/>
  <c r="AF500" i="17" s="1"/>
  <c r="G500" i="17"/>
  <c r="F500" i="17"/>
  <c r="E500" i="17"/>
  <c r="D500" i="17"/>
  <c r="C500" i="17"/>
  <c r="B500" i="17"/>
  <c r="R499" i="17"/>
  <c r="H499" i="17"/>
  <c r="AF499" i="17" s="1"/>
  <c r="G499" i="17"/>
  <c r="F499" i="17"/>
  <c r="E499" i="17"/>
  <c r="D499" i="17"/>
  <c r="C499" i="17"/>
  <c r="B499" i="17"/>
  <c r="R498" i="17"/>
  <c r="H498" i="17"/>
  <c r="AF498" i="17" s="1"/>
  <c r="G498" i="17"/>
  <c r="F498" i="17"/>
  <c r="E498" i="17"/>
  <c r="D498" i="17"/>
  <c r="C498" i="17"/>
  <c r="B498" i="17"/>
  <c r="R497" i="17"/>
  <c r="H497" i="17"/>
  <c r="AF497" i="17" s="1"/>
  <c r="G497" i="17"/>
  <c r="F497" i="17"/>
  <c r="E497" i="17"/>
  <c r="D497" i="17"/>
  <c r="C497" i="17"/>
  <c r="B497" i="17"/>
  <c r="R496" i="17"/>
  <c r="H496" i="17"/>
  <c r="AF496" i="17" s="1"/>
  <c r="G496" i="17"/>
  <c r="F496" i="17"/>
  <c r="E496" i="17"/>
  <c r="D496" i="17"/>
  <c r="C496" i="17"/>
  <c r="B496" i="17"/>
  <c r="R495" i="17"/>
  <c r="H495" i="17"/>
  <c r="AF495" i="17" s="1"/>
  <c r="G495" i="17"/>
  <c r="F495" i="17"/>
  <c r="E495" i="17"/>
  <c r="D495" i="17"/>
  <c r="C495" i="17"/>
  <c r="B495" i="17"/>
  <c r="R494" i="17"/>
  <c r="H494" i="17"/>
  <c r="AF494" i="17" s="1"/>
  <c r="G494" i="17"/>
  <c r="F494" i="17"/>
  <c r="E494" i="17"/>
  <c r="D494" i="17"/>
  <c r="C494" i="17"/>
  <c r="B494" i="17"/>
  <c r="R493" i="17"/>
  <c r="H493" i="17"/>
  <c r="AF493" i="17" s="1"/>
  <c r="G493" i="17"/>
  <c r="F493" i="17"/>
  <c r="E493" i="17"/>
  <c r="D493" i="17"/>
  <c r="C493" i="17"/>
  <c r="B493" i="17"/>
  <c r="R492" i="17"/>
  <c r="H492" i="17"/>
  <c r="AF492" i="17" s="1"/>
  <c r="G492" i="17"/>
  <c r="F492" i="17"/>
  <c r="E492" i="17"/>
  <c r="D492" i="17"/>
  <c r="C492" i="17"/>
  <c r="B492" i="17"/>
  <c r="R491" i="17"/>
  <c r="H491" i="17"/>
  <c r="AF491" i="17" s="1"/>
  <c r="G491" i="17"/>
  <c r="F491" i="17"/>
  <c r="E491" i="17"/>
  <c r="D491" i="17"/>
  <c r="C491" i="17"/>
  <c r="B491" i="17"/>
  <c r="R490" i="17"/>
  <c r="H490" i="17"/>
  <c r="AF490" i="17" s="1"/>
  <c r="G490" i="17"/>
  <c r="F490" i="17"/>
  <c r="E490" i="17"/>
  <c r="D490" i="17"/>
  <c r="C490" i="17"/>
  <c r="B490" i="17"/>
  <c r="R489" i="17"/>
  <c r="H489" i="17"/>
  <c r="AF489" i="17" s="1"/>
  <c r="G489" i="17"/>
  <c r="F489" i="17"/>
  <c r="E489" i="17"/>
  <c r="D489" i="17"/>
  <c r="C489" i="17"/>
  <c r="B489" i="17"/>
  <c r="R488" i="17"/>
  <c r="H488" i="17"/>
  <c r="AF488" i="17" s="1"/>
  <c r="G488" i="17"/>
  <c r="F488" i="17"/>
  <c r="E488" i="17"/>
  <c r="D488" i="17"/>
  <c r="C488" i="17"/>
  <c r="B488" i="17"/>
  <c r="R487" i="17"/>
  <c r="H487" i="17"/>
  <c r="AF487" i="17" s="1"/>
  <c r="G487" i="17"/>
  <c r="F487" i="17"/>
  <c r="E487" i="17"/>
  <c r="D487" i="17"/>
  <c r="C487" i="17"/>
  <c r="B487" i="17"/>
  <c r="R486" i="17"/>
  <c r="H486" i="17"/>
  <c r="AF486" i="17" s="1"/>
  <c r="G486" i="17"/>
  <c r="F486" i="17"/>
  <c r="E486" i="17"/>
  <c r="D486" i="17"/>
  <c r="C486" i="17"/>
  <c r="B486" i="17"/>
  <c r="R485" i="17"/>
  <c r="H485" i="17"/>
  <c r="AF485" i="17" s="1"/>
  <c r="G485" i="17"/>
  <c r="F485" i="17"/>
  <c r="E485" i="17"/>
  <c r="D485" i="17"/>
  <c r="C485" i="17"/>
  <c r="B485" i="17"/>
  <c r="R484" i="17"/>
  <c r="H484" i="17"/>
  <c r="AF484" i="17" s="1"/>
  <c r="G484" i="17"/>
  <c r="F484" i="17"/>
  <c r="E484" i="17"/>
  <c r="D484" i="17"/>
  <c r="C484" i="17"/>
  <c r="B484" i="17"/>
  <c r="AL483" i="17"/>
  <c r="BE483" i="17" s="1"/>
  <c r="R483" i="17"/>
  <c r="H483" i="17"/>
  <c r="AF483" i="17" s="1"/>
  <c r="G483" i="17"/>
  <c r="F483" i="17"/>
  <c r="E483" i="17"/>
  <c r="D483" i="17"/>
  <c r="C483" i="17"/>
  <c r="B483" i="17"/>
  <c r="R482" i="17"/>
  <c r="H482" i="17"/>
  <c r="AF482" i="17" s="1"/>
  <c r="G482" i="17"/>
  <c r="F482" i="17"/>
  <c r="E482" i="17"/>
  <c r="D482" i="17"/>
  <c r="C482" i="17"/>
  <c r="B482" i="17"/>
  <c r="R481" i="17"/>
  <c r="H481" i="17"/>
  <c r="AF481" i="17" s="1"/>
  <c r="G481" i="17"/>
  <c r="F481" i="17"/>
  <c r="E481" i="17"/>
  <c r="D481" i="17"/>
  <c r="C481" i="17"/>
  <c r="B481" i="17"/>
  <c r="R480" i="17"/>
  <c r="H480" i="17"/>
  <c r="AF480" i="17" s="1"/>
  <c r="G480" i="17"/>
  <c r="F480" i="17"/>
  <c r="E480" i="17"/>
  <c r="D480" i="17"/>
  <c r="C480" i="17"/>
  <c r="B480" i="17"/>
  <c r="R479" i="17"/>
  <c r="H479" i="17"/>
  <c r="AF479" i="17" s="1"/>
  <c r="G479" i="17"/>
  <c r="F479" i="17"/>
  <c r="E479" i="17"/>
  <c r="D479" i="17"/>
  <c r="C479" i="17"/>
  <c r="B479" i="17"/>
  <c r="R478" i="17"/>
  <c r="H478" i="17"/>
  <c r="AF478" i="17" s="1"/>
  <c r="G478" i="17"/>
  <c r="F478" i="17"/>
  <c r="E478" i="17"/>
  <c r="D478" i="17"/>
  <c r="C478" i="17"/>
  <c r="B478" i="17"/>
  <c r="R477" i="17"/>
  <c r="H477" i="17"/>
  <c r="AF477" i="17" s="1"/>
  <c r="G477" i="17"/>
  <c r="F477" i="17"/>
  <c r="E477" i="17"/>
  <c r="D477" i="17"/>
  <c r="C477" i="17"/>
  <c r="B477" i="17"/>
  <c r="R476" i="17"/>
  <c r="H476" i="17"/>
  <c r="AF476" i="17" s="1"/>
  <c r="G476" i="17"/>
  <c r="F476" i="17"/>
  <c r="E476" i="17"/>
  <c r="D476" i="17"/>
  <c r="C476" i="17"/>
  <c r="B476" i="17"/>
  <c r="R475" i="17"/>
  <c r="H475" i="17"/>
  <c r="AF475" i="17" s="1"/>
  <c r="G475" i="17"/>
  <c r="F475" i="17"/>
  <c r="E475" i="17"/>
  <c r="D475" i="17"/>
  <c r="C475" i="17"/>
  <c r="B475" i="17"/>
  <c r="R474" i="17"/>
  <c r="H474" i="17"/>
  <c r="AF474" i="17" s="1"/>
  <c r="G474" i="17"/>
  <c r="F474" i="17"/>
  <c r="E474" i="17"/>
  <c r="D474" i="17"/>
  <c r="C474" i="17"/>
  <c r="B474" i="17"/>
  <c r="R473" i="17"/>
  <c r="H473" i="17"/>
  <c r="AF473" i="17" s="1"/>
  <c r="G473" i="17"/>
  <c r="F473" i="17"/>
  <c r="E473" i="17"/>
  <c r="D473" i="17"/>
  <c r="C473" i="17"/>
  <c r="B473" i="17"/>
  <c r="R472" i="17"/>
  <c r="H472" i="17"/>
  <c r="AF472" i="17" s="1"/>
  <c r="G472" i="17"/>
  <c r="F472" i="17"/>
  <c r="E472" i="17"/>
  <c r="D472" i="17"/>
  <c r="C472" i="17"/>
  <c r="B472" i="17"/>
  <c r="R471" i="17"/>
  <c r="H471" i="17"/>
  <c r="AF471" i="17" s="1"/>
  <c r="G471" i="17"/>
  <c r="F471" i="17"/>
  <c r="E471" i="17"/>
  <c r="D471" i="17"/>
  <c r="C471" i="17"/>
  <c r="B471" i="17"/>
  <c r="R470" i="17"/>
  <c r="H470" i="17"/>
  <c r="AF470" i="17" s="1"/>
  <c r="G470" i="17"/>
  <c r="F470" i="17"/>
  <c r="E470" i="17"/>
  <c r="D470" i="17"/>
  <c r="C470" i="17"/>
  <c r="B470" i="17"/>
  <c r="R469" i="17"/>
  <c r="H469" i="17"/>
  <c r="AF469" i="17" s="1"/>
  <c r="G469" i="17"/>
  <c r="F469" i="17"/>
  <c r="E469" i="17"/>
  <c r="D469" i="17"/>
  <c r="C469" i="17"/>
  <c r="B469" i="17"/>
  <c r="R468" i="17"/>
  <c r="H468" i="17"/>
  <c r="AF468" i="17" s="1"/>
  <c r="G468" i="17"/>
  <c r="F468" i="17"/>
  <c r="E468" i="17"/>
  <c r="D468" i="17"/>
  <c r="C468" i="17"/>
  <c r="B468" i="17"/>
  <c r="R467" i="17"/>
  <c r="H467" i="17"/>
  <c r="AF467" i="17" s="1"/>
  <c r="G467" i="17"/>
  <c r="F467" i="17"/>
  <c r="E467" i="17"/>
  <c r="D467" i="17"/>
  <c r="C467" i="17"/>
  <c r="B467" i="17"/>
  <c r="R466" i="17"/>
  <c r="H466" i="17"/>
  <c r="AF466" i="17" s="1"/>
  <c r="G466" i="17"/>
  <c r="F466" i="17"/>
  <c r="E466" i="17"/>
  <c r="D466" i="17"/>
  <c r="C466" i="17"/>
  <c r="B466" i="17"/>
  <c r="R465" i="17"/>
  <c r="H465" i="17"/>
  <c r="AF465" i="17" s="1"/>
  <c r="G465" i="17"/>
  <c r="F465" i="17"/>
  <c r="E465" i="17"/>
  <c r="D465" i="17"/>
  <c r="C465" i="17"/>
  <c r="B465" i="17"/>
  <c r="R464" i="17"/>
  <c r="H464" i="17"/>
  <c r="AF464" i="17" s="1"/>
  <c r="G464" i="17"/>
  <c r="F464" i="17"/>
  <c r="E464" i="17"/>
  <c r="D464" i="17"/>
  <c r="C464" i="17"/>
  <c r="B464" i="17"/>
  <c r="R463" i="17"/>
  <c r="H463" i="17"/>
  <c r="AF463" i="17" s="1"/>
  <c r="G463" i="17"/>
  <c r="F463" i="17"/>
  <c r="E463" i="17"/>
  <c r="D463" i="17"/>
  <c r="C463" i="17"/>
  <c r="B463" i="17"/>
  <c r="R462" i="17"/>
  <c r="H462" i="17"/>
  <c r="AF462" i="17" s="1"/>
  <c r="G462" i="17"/>
  <c r="F462" i="17"/>
  <c r="E462" i="17"/>
  <c r="D462" i="17"/>
  <c r="C462" i="17"/>
  <c r="B462" i="17"/>
  <c r="R461" i="17"/>
  <c r="H461" i="17"/>
  <c r="AF461" i="17" s="1"/>
  <c r="G461" i="17"/>
  <c r="F461" i="17"/>
  <c r="E461" i="17"/>
  <c r="D461" i="17"/>
  <c r="C461" i="17"/>
  <c r="B461" i="17"/>
  <c r="R460" i="17"/>
  <c r="H460" i="17"/>
  <c r="AF460" i="17" s="1"/>
  <c r="G460" i="17"/>
  <c r="F460" i="17"/>
  <c r="E460" i="17"/>
  <c r="D460" i="17"/>
  <c r="C460" i="17"/>
  <c r="B460" i="17"/>
  <c r="R459" i="17"/>
  <c r="H459" i="17"/>
  <c r="AF459" i="17" s="1"/>
  <c r="G459" i="17"/>
  <c r="F459" i="17"/>
  <c r="E459" i="17"/>
  <c r="D459" i="17"/>
  <c r="C459" i="17"/>
  <c r="B459" i="17"/>
  <c r="R458" i="17"/>
  <c r="H458" i="17"/>
  <c r="AF458" i="17" s="1"/>
  <c r="G458" i="17"/>
  <c r="F458" i="17"/>
  <c r="E458" i="17"/>
  <c r="D458" i="17"/>
  <c r="C458" i="17"/>
  <c r="B458" i="17"/>
  <c r="R457" i="17"/>
  <c r="H457" i="17"/>
  <c r="AF457" i="17" s="1"/>
  <c r="G457" i="17"/>
  <c r="F457" i="17"/>
  <c r="E457" i="17"/>
  <c r="D457" i="17"/>
  <c r="C457" i="17"/>
  <c r="B457" i="17"/>
  <c r="R456" i="17"/>
  <c r="H456" i="17"/>
  <c r="AF456" i="17" s="1"/>
  <c r="G456" i="17"/>
  <c r="F456" i="17"/>
  <c r="E456" i="17"/>
  <c r="D456" i="17"/>
  <c r="C456" i="17"/>
  <c r="B456" i="17"/>
  <c r="R455" i="17"/>
  <c r="H455" i="17"/>
  <c r="AF455" i="17" s="1"/>
  <c r="G455" i="17"/>
  <c r="F455" i="17"/>
  <c r="E455" i="17"/>
  <c r="D455" i="17"/>
  <c r="C455" i="17"/>
  <c r="B455" i="17"/>
  <c r="R454" i="17"/>
  <c r="H454" i="17"/>
  <c r="AF454" i="17" s="1"/>
  <c r="G454" i="17"/>
  <c r="F454" i="17"/>
  <c r="E454" i="17"/>
  <c r="D454" i="17"/>
  <c r="C454" i="17"/>
  <c r="B454" i="17"/>
  <c r="R453" i="17"/>
  <c r="H453" i="17"/>
  <c r="AF453" i="17" s="1"/>
  <c r="G453" i="17"/>
  <c r="F453" i="17"/>
  <c r="E453" i="17"/>
  <c r="D453" i="17"/>
  <c r="C453" i="17"/>
  <c r="B453" i="17"/>
  <c r="R452" i="17"/>
  <c r="H452" i="17"/>
  <c r="AF452" i="17" s="1"/>
  <c r="G452" i="17"/>
  <c r="F452" i="17"/>
  <c r="E452" i="17"/>
  <c r="D452" i="17"/>
  <c r="C452" i="17"/>
  <c r="B452" i="17"/>
  <c r="R451" i="17"/>
  <c r="H451" i="17"/>
  <c r="AF451" i="17" s="1"/>
  <c r="G451" i="17"/>
  <c r="F451" i="17"/>
  <c r="E451" i="17"/>
  <c r="D451" i="17"/>
  <c r="C451" i="17"/>
  <c r="B451" i="17"/>
  <c r="R450" i="17"/>
  <c r="H450" i="17"/>
  <c r="AF450" i="17" s="1"/>
  <c r="G450" i="17"/>
  <c r="F450" i="17"/>
  <c r="E450" i="17"/>
  <c r="D450" i="17"/>
  <c r="C450" i="17"/>
  <c r="B450" i="17"/>
  <c r="R449" i="17"/>
  <c r="H449" i="17"/>
  <c r="AF449" i="17" s="1"/>
  <c r="G449" i="17"/>
  <c r="F449" i="17"/>
  <c r="E449" i="17"/>
  <c r="D449" i="17"/>
  <c r="C449" i="17"/>
  <c r="B449" i="17"/>
  <c r="R448" i="17"/>
  <c r="H448" i="17"/>
  <c r="AF448" i="17" s="1"/>
  <c r="G448" i="17"/>
  <c r="F448" i="17"/>
  <c r="E448" i="17"/>
  <c r="D448" i="17"/>
  <c r="C448" i="17"/>
  <c r="B448" i="17"/>
  <c r="R447" i="17"/>
  <c r="H447" i="17"/>
  <c r="AF447" i="17" s="1"/>
  <c r="G447" i="17"/>
  <c r="F447" i="17"/>
  <c r="E447" i="17"/>
  <c r="D447" i="17"/>
  <c r="C447" i="17"/>
  <c r="B447" i="17"/>
  <c r="R446" i="17"/>
  <c r="H446" i="17"/>
  <c r="AF446" i="17" s="1"/>
  <c r="G446" i="17"/>
  <c r="F446" i="17"/>
  <c r="E446" i="17"/>
  <c r="D446" i="17"/>
  <c r="C446" i="17"/>
  <c r="B446" i="17"/>
  <c r="R445" i="17"/>
  <c r="H445" i="17"/>
  <c r="AF445" i="17" s="1"/>
  <c r="G445" i="17"/>
  <c r="F445" i="17"/>
  <c r="E445" i="17"/>
  <c r="D445" i="17"/>
  <c r="C445" i="17"/>
  <c r="B445" i="17"/>
  <c r="R444" i="17"/>
  <c r="H444" i="17"/>
  <c r="AF444" i="17" s="1"/>
  <c r="G444" i="17"/>
  <c r="F444" i="17"/>
  <c r="E444" i="17"/>
  <c r="D444" i="17"/>
  <c r="C444" i="17"/>
  <c r="B444" i="17"/>
  <c r="R443" i="17"/>
  <c r="H443" i="17"/>
  <c r="AF443" i="17" s="1"/>
  <c r="G443" i="17"/>
  <c r="F443" i="17"/>
  <c r="E443" i="17"/>
  <c r="D443" i="17"/>
  <c r="C443" i="17"/>
  <c r="B443" i="17"/>
  <c r="R442" i="17"/>
  <c r="H442" i="17"/>
  <c r="AF442" i="17" s="1"/>
  <c r="G442" i="17"/>
  <c r="F442" i="17"/>
  <c r="E442" i="17"/>
  <c r="D442" i="17"/>
  <c r="C442" i="17"/>
  <c r="B442" i="17"/>
  <c r="R441" i="17"/>
  <c r="H441" i="17"/>
  <c r="AF441" i="17" s="1"/>
  <c r="G441" i="17"/>
  <c r="F441" i="17"/>
  <c r="E441" i="17"/>
  <c r="D441" i="17"/>
  <c r="C441" i="17"/>
  <c r="B441" i="17"/>
  <c r="R440" i="17"/>
  <c r="H440" i="17"/>
  <c r="AF440" i="17" s="1"/>
  <c r="G440" i="17"/>
  <c r="F440" i="17"/>
  <c r="E440" i="17"/>
  <c r="D440" i="17"/>
  <c r="C440" i="17"/>
  <c r="B440" i="17"/>
  <c r="R439" i="17"/>
  <c r="H439" i="17"/>
  <c r="AF439" i="17" s="1"/>
  <c r="G439" i="17"/>
  <c r="F439" i="17"/>
  <c r="E439" i="17"/>
  <c r="D439" i="17"/>
  <c r="C439" i="17"/>
  <c r="B439" i="17"/>
  <c r="R438" i="17"/>
  <c r="H438" i="17"/>
  <c r="AF438" i="17" s="1"/>
  <c r="G438" i="17"/>
  <c r="F438" i="17"/>
  <c r="E438" i="17"/>
  <c r="D438" i="17"/>
  <c r="C438" i="17"/>
  <c r="B438" i="17"/>
  <c r="R437" i="17"/>
  <c r="H437" i="17"/>
  <c r="AF437" i="17" s="1"/>
  <c r="G437" i="17"/>
  <c r="F437" i="17"/>
  <c r="E437" i="17"/>
  <c r="D437" i="17"/>
  <c r="C437" i="17"/>
  <c r="B437" i="17"/>
  <c r="R436" i="17"/>
  <c r="H436" i="17"/>
  <c r="AF436" i="17" s="1"/>
  <c r="G436" i="17"/>
  <c r="F436" i="17"/>
  <c r="E436" i="17"/>
  <c r="D436" i="17"/>
  <c r="C436" i="17"/>
  <c r="B436" i="17"/>
  <c r="R435" i="17"/>
  <c r="H435" i="17"/>
  <c r="AF435" i="17" s="1"/>
  <c r="G435" i="17"/>
  <c r="F435" i="17"/>
  <c r="E435" i="17"/>
  <c r="D435" i="17"/>
  <c r="C435" i="17"/>
  <c r="B435" i="17"/>
  <c r="R434" i="17"/>
  <c r="H434" i="17"/>
  <c r="AF434" i="17" s="1"/>
  <c r="G434" i="17"/>
  <c r="F434" i="17"/>
  <c r="E434" i="17"/>
  <c r="D434" i="17"/>
  <c r="C434" i="17"/>
  <c r="B434" i="17"/>
  <c r="R433" i="17"/>
  <c r="H433" i="17"/>
  <c r="AF433" i="17" s="1"/>
  <c r="G433" i="17"/>
  <c r="F433" i="17"/>
  <c r="E433" i="17"/>
  <c r="D433" i="17"/>
  <c r="C433" i="17"/>
  <c r="B433" i="17"/>
  <c r="R432" i="17"/>
  <c r="H432" i="17"/>
  <c r="AF432" i="17" s="1"/>
  <c r="G432" i="17"/>
  <c r="F432" i="17"/>
  <c r="E432" i="17"/>
  <c r="D432" i="17"/>
  <c r="C432" i="17"/>
  <c r="B432" i="17"/>
  <c r="R431" i="17"/>
  <c r="H431" i="17"/>
  <c r="AF431" i="17" s="1"/>
  <c r="G431" i="17"/>
  <c r="F431" i="17"/>
  <c r="E431" i="17"/>
  <c r="D431" i="17"/>
  <c r="C431" i="17"/>
  <c r="B431" i="17"/>
  <c r="R430" i="17"/>
  <c r="H430" i="17"/>
  <c r="AF430" i="17" s="1"/>
  <c r="G430" i="17"/>
  <c r="F430" i="17"/>
  <c r="E430" i="17"/>
  <c r="D430" i="17"/>
  <c r="C430" i="17"/>
  <c r="B430" i="17"/>
  <c r="AM429" i="17"/>
  <c r="BE429" i="17" s="1"/>
  <c r="R429" i="17"/>
  <c r="H429" i="17"/>
  <c r="AF429" i="17" s="1"/>
  <c r="G429" i="17"/>
  <c r="F429" i="17"/>
  <c r="E429" i="17"/>
  <c r="D429" i="17"/>
  <c r="C429" i="17"/>
  <c r="B429" i="17"/>
  <c r="R428" i="17"/>
  <c r="H428" i="17"/>
  <c r="AF428" i="17" s="1"/>
  <c r="G428" i="17"/>
  <c r="F428" i="17"/>
  <c r="E428" i="17"/>
  <c r="D428" i="17"/>
  <c r="C428" i="17"/>
  <c r="B428" i="17"/>
  <c r="R427" i="17"/>
  <c r="H427" i="17"/>
  <c r="AF427" i="17" s="1"/>
  <c r="G427" i="17"/>
  <c r="F427" i="17"/>
  <c r="E427" i="17"/>
  <c r="D427" i="17"/>
  <c r="C427" i="17"/>
  <c r="B427" i="17"/>
  <c r="R426" i="17"/>
  <c r="H426" i="17"/>
  <c r="AF426" i="17" s="1"/>
  <c r="G426" i="17"/>
  <c r="F426" i="17"/>
  <c r="E426" i="17"/>
  <c r="D426" i="17"/>
  <c r="C426" i="17"/>
  <c r="B426" i="17"/>
  <c r="R425" i="17"/>
  <c r="H425" i="17"/>
  <c r="AF425" i="17" s="1"/>
  <c r="G425" i="17"/>
  <c r="F425" i="17"/>
  <c r="E425" i="17"/>
  <c r="D425" i="17"/>
  <c r="C425" i="17"/>
  <c r="B425" i="17"/>
  <c r="R424" i="17"/>
  <c r="H424" i="17"/>
  <c r="AF424" i="17" s="1"/>
  <c r="G424" i="17"/>
  <c r="F424" i="17"/>
  <c r="E424" i="17"/>
  <c r="D424" i="17"/>
  <c r="C424" i="17"/>
  <c r="B424" i="17"/>
  <c r="R423" i="17"/>
  <c r="H423" i="17"/>
  <c r="AF423" i="17" s="1"/>
  <c r="G423" i="17"/>
  <c r="F423" i="17"/>
  <c r="E423" i="17"/>
  <c r="D423" i="17"/>
  <c r="C423" i="17"/>
  <c r="B423" i="17"/>
  <c r="R422" i="17"/>
  <c r="H422" i="17"/>
  <c r="AF422" i="17" s="1"/>
  <c r="G422" i="17"/>
  <c r="F422" i="17"/>
  <c r="E422" i="17"/>
  <c r="D422" i="17"/>
  <c r="C422" i="17"/>
  <c r="B422" i="17"/>
  <c r="R421" i="17"/>
  <c r="H421" i="17"/>
  <c r="AF421" i="17" s="1"/>
  <c r="G421" i="17"/>
  <c r="F421" i="17"/>
  <c r="E421" i="17"/>
  <c r="D421" i="17"/>
  <c r="C421" i="17"/>
  <c r="B421" i="17"/>
  <c r="R420" i="17"/>
  <c r="H420" i="17"/>
  <c r="AF420" i="17" s="1"/>
  <c r="G420" i="17"/>
  <c r="F420" i="17"/>
  <c r="E420" i="17"/>
  <c r="D420" i="17"/>
  <c r="C420" i="17"/>
  <c r="B420" i="17"/>
  <c r="R419" i="17"/>
  <c r="H419" i="17"/>
  <c r="AF419" i="17" s="1"/>
  <c r="G419" i="17"/>
  <c r="F419" i="17"/>
  <c r="E419" i="17"/>
  <c r="D419" i="17"/>
  <c r="C419" i="17"/>
  <c r="B419" i="17"/>
  <c r="R418" i="17"/>
  <c r="H418" i="17"/>
  <c r="AF418" i="17" s="1"/>
  <c r="G418" i="17"/>
  <c r="F418" i="17"/>
  <c r="E418" i="17"/>
  <c r="D418" i="17"/>
  <c r="C418" i="17"/>
  <c r="B418" i="17"/>
  <c r="R417" i="17"/>
  <c r="H417" i="17"/>
  <c r="AF417" i="17" s="1"/>
  <c r="G417" i="17"/>
  <c r="F417" i="17"/>
  <c r="E417" i="17"/>
  <c r="D417" i="17"/>
  <c r="C417" i="17"/>
  <c r="B417" i="17"/>
  <c r="R416" i="17"/>
  <c r="H416" i="17"/>
  <c r="AF416" i="17" s="1"/>
  <c r="G416" i="17"/>
  <c r="F416" i="17"/>
  <c r="E416" i="17"/>
  <c r="D416" i="17"/>
  <c r="C416" i="17"/>
  <c r="B416" i="17"/>
  <c r="R415" i="17"/>
  <c r="H415" i="17"/>
  <c r="AF415" i="17" s="1"/>
  <c r="G415" i="17"/>
  <c r="F415" i="17"/>
  <c r="E415" i="17"/>
  <c r="D415" i="17"/>
  <c r="C415" i="17"/>
  <c r="B415" i="17"/>
  <c r="R414" i="17"/>
  <c r="H414" i="17"/>
  <c r="AF414" i="17" s="1"/>
  <c r="G414" i="17"/>
  <c r="F414" i="17"/>
  <c r="E414" i="17"/>
  <c r="D414" i="17"/>
  <c r="C414" i="17"/>
  <c r="B414" i="17"/>
  <c r="R413" i="17"/>
  <c r="H413" i="17"/>
  <c r="AF413" i="17" s="1"/>
  <c r="G413" i="17"/>
  <c r="F413" i="17"/>
  <c r="E413" i="17"/>
  <c r="D413" i="17"/>
  <c r="C413" i="17"/>
  <c r="B413" i="17"/>
  <c r="R412" i="17"/>
  <c r="H412" i="17"/>
  <c r="AF412" i="17" s="1"/>
  <c r="G412" i="17"/>
  <c r="F412" i="17"/>
  <c r="E412" i="17"/>
  <c r="D412" i="17"/>
  <c r="C412" i="17"/>
  <c r="B412" i="17"/>
  <c r="R411" i="17"/>
  <c r="H411" i="17"/>
  <c r="AF411" i="17" s="1"/>
  <c r="G411" i="17"/>
  <c r="F411" i="17"/>
  <c r="E411" i="17"/>
  <c r="D411" i="17"/>
  <c r="C411" i="17"/>
  <c r="B411" i="17"/>
  <c r="R410" i="17"/>
  <c r="H410" i="17"/>
  <c r="AF410" i="17" s="1"/>
  <c r="G410" i="17"/>
  <c r="F410" i="17"/>
  <c r="E410" i="17"/>
  <c r="D410" i="17"/>
  <c r="C410" i="17"/>
  <c r="B410" i="17"/>
  <c r="R409" i="17"/>
  <c r="H409" i="17"/>
  <c r="AF409" i="17" s="1"/>
  <c r="G409" i="17"/>
  <c r="F409" i="17"/>
  <c r="E409" i="17"/>
  <c r="D409" i="17"/>
  <c r="C409" i="17"/>
  <c r="B409" i="17"/>
  <c r="R408" i="17"/>
  <c r="H408" i="17"/>
  <c r="AF408" i="17" s="1"/>
  <c r="G408" i="17"/>
  <c r="F408" i="17"/>
  <c r="E408" i="17"/>
  <c r="D408" i="17"/>
  <c r="C408" i="17"/>
  <c r="B408" i="17"/>
  <c r="R407" i="17"/>
  <c r="H407" i="17"/>
  <c r="AF407" i="17" s="1"/>
  <c r="G407" i="17"/>
  <c r="F407" i="17"/>
  <c r="E407" i="17"/>
  <c r="D407" i="17"/>
  <c r="C407" i="17"/>
  <c r="B407" i="17"/>
  <c r="R406" i="17"/>
  <c r="H406" i="17"/>
  <c r="AF406" i="17" s="1"/>
  <c r="G406" i="17"/>
  <c r="F406" i="17"/>
  <c r="E406" i="17"/>
  <c r="D406" i="17"/>
  <c r="C406" i="17"/>
  <c r="B406" i="17"/>
  <c r="R405" i="17"/>
  <c r="H405" i="17"/>
  <c r="AF405" i="17" s="1"/>
  <c r="G405" i="17"/>
  <c r="F405" i="17"/>
  <c r="E405" i="17"/>
  <c r="D405" i="17"/>
  <c r="C405" i="17"/>
  <c r="B405" i="17"/>
  <c r="R404" i="17"/>
  <c r="H404" i="17"/>
  <c r="AF404" i="17" s="1"/>
  <c r="G404" i="17"/>
  <c r="F404" i="17"/>
  <c r="E404" i="17"/>
  <c r="D404" i="17"/>
  <c r="C404" i="17"/>
  <c r="B404" i="17"/>
  <c r="R403" i="17"/>
  <c r="H403" i="17"/>
  <c r="AF403" i="17" s="1"/>
  <c r="G403" i="17"/>
  <c r="F403" i="17"/>
  <c r="E403" i="17"/>
  <c r="D403" i="17"/>
  <c r="C403" i="17"/>
  <c r="B403" i="17"/>
  <c r="R402" i="17"/>
  <c r="H402" i="17"/>
  <c r="AF402" i="17" s="1"/>
  <c r="G402" i="17"/>
  <c r="F402" i="17"/>
  <c r="E402" i="17"/>
  <c r="D402" i="17"/>
  <c r="C402" i="17"/>
  <c r="B402" i="17"/>
  <c r="R401" i="17"/>
  <c r="H401" i="17"/>
  <c r="AF401" i="17" s="1"/>
  <c r="G401" i="17"/>
  <c r="F401" i="17"/>
  <c r="E401" i="17"/>
  <c r="D401" i="17"/>
  <c r="C401" i="17"/>
  <c r="B401" i="17"/>
  <c r="R400" i="17"/>
  <c r="H400" i="17"/>
  <c r="AF400" i="17" s="1"/>
  <c r="G400" i="17"/>
  <c r="F400" i="17"/>
  <c r="E400" i="17"/>
  <c r="D400" i="17"/>
  <c r="C400" i="17"/>
  <c r="B400" i="17"/>
  <c r="R399" i="17"/>
  <c r="H399" i="17"/>
  <c r="AF399" i="17" s="1"/>
  <c r="G399" i="17"/>
  <c r="F399" i="17"/>
  <c r="E399" i="17"/>
  <c r="D399" i="17"/>
  <c r="C399" i="17"/>
  <c r="B399" i="17"/>
  <c r="R398" i="17"/>
  <c r="H398" i="17"/>
  <c r="AF398" i="17" s="1"/>
  <c r="G398" i="17"/>
  <c r="F398" i="17"/>
  <c r="E398" i="17"/>
  <c r="D398" i="17"/>
  <c r="C398" i="17"/>
  <c r="B398" i="17"/>
  <c r="R397" i="17"/>
  <c r="H397" i="17"/>
  <c r="AF397" i="17" s="1"/>
  <c r="G397" i="17"/>
  <c r="F397" i="17"/>
  <c r="E397" i="17"/>
  <c r="D397" i="17"/>
  <c r="C397" i="17"/>
  <c r="B397" i="17"/>
  <c r="R396" i="17"/>
  <c r="H396" i="17"/>
  <c r="AF396" i="17" s="1"/>
  <c r="G396" i="17"/>
  <c r="F396" i="17"/>
  <c r="E396" i="17"/>
  <c r="D396" i="17"/>
  <c r="C396" i="17"/>
  <c r="B396" i="17"/>
  <c r="R395" i="17"/>
  <c r="H395" i="17"/>
  <c r="AF395" i="17" s="1"/>
  <c r="G395" i="17"/>
  <c r="F395" i="17"/>
  <c r="E395" i="17"/>
  <c r="D395" i="17"/>
  <c r="C395" i="17"/>
  <c r="B395" i="17"/>
  <c r="R394" i="17"/>
  <c r="H394" i="17"/>
  <c r="AF394" i="17" s="1"/>
  <c r="G394" i="17"/>
  <c r="F394" i="17"/>
  <c r="E394" i="17"/>
  <c r="D394" i="17"/>
  <c r="C394" i="17"/>
  <c r="B394" i="17"/>
  <c r="R393" i="17"/>
  <c r="H393" i="17"/>
  <c r="AF393" i="17" s="1"/>
  <c r="G393" i="17"/>
  <c r="F393" i="17"/>
  <c r="E393" i="17"/>
  <c r="D393" i="17"/>
  <c r="C393" i="17"/>
  <c r="B393" i="17"/>
  <c r="R392" i="17"/>
  <c r="H392" i="17"/>
  <c r="AF392" i="17" s="1"/>
  <c r="G392" i="17"/>
  <c r="F392" i="17"/>
  <c r="E392" i="17"/>
  <c r="D392" i="17"/>
  <c r="C392" i="17"/>
  <c r="B392" i="17"/>
  <c r="R391" i="17"/>
  <c r="H391" i="17"/>
  <c r="AF391" i="17" s="1"/>
  <c r="G391" i="17"/>
  <c r="F391" i="17"/>
  <c r="E391" i="17"/>
  <c r="D391" i="17"/>
  <c r="C391" i="17"/>
  <c r="B391" i="17"/>
  <c r="R390" i="17"/>
  <c r="H390" i="17"/>
  <c r="AF390" i="17" s="1"/>
  <c r="G390" i="17"/>
  <c r="F390" i="17"/>
  <c r="E390" i="17"/>
  <c r="D390" i="17"/>
  <c r="C390" i="17"/>
  <c r="B390" i="17"/>
  <c r="R389" i="17"/>
  <c r="H389" i="17"/>
  <c r="AF389" i="17" s="1"/>
  <c r="G389" i="17"/>
  <c r="F389" i="17"/>
  <c r="E389" i="17"/>
  <c r="D389" i="17"/>
  <c r="C389" i="17"/>
  <c r="B389" i="17"/>
  <c r="R388" i="17"/>
  <c r="H388" i="17"/>
  <c r="AF388" i="17" s="1"/>
  <c r="G388" i="17"/>
  <c r="F388" i="17"/>
  <c r="E388" i="17"/>
  <c r="D388" i="17"/>
  <c r="C388" i="17"/>
  <c r="B388" i="17"/>
  <c r="R387" i="17"/>
  <c r="H387" i="17"/>
  <c r="AF387" i="17" s="1"/>
  <c r="G387" i="17"/>
  <c r="F387" i="17"/>
  <c r="E387" i="17"/>
  <c r="D387" i="17"/>
  <c r="C387" i="17"/>
  <c r="B387" i="17"/>
  <c r="R386" i="17"/>
  <c r="H386" i="17"/>
  <c r="AF386" i="17" s="1"/>
  <c r="G386" i="17"/>
  <c r="F386" i="17"/>
  <c r="E386" i="17"/>
  <c r="D386" i="17"/>
  <c r="C386" i="17"/>
  <c r="B386" i="17"/>
  <c r="R385" i="17"/>
  <c r="H385" i="17"/>
  <c r="AF385" i="17" s="1"/>
  <c r="G385" i="17"/>
  <c r="F385" i="17"/>
  <c r="E385" i="17"/>
  <c r="D385" i="17"/>
  <c r="C385" i="17"/>
  <c r="B385" i="17"/>
  <c r="R384" i="17"/>
  <c r="H384" i="17"/>
  <c r="AF384" i="17" s="1"/>
  <c r="G384" i="17"/>
  <c r="F384" i="17"/>
  <c r="E384" i="17"/>
  <c r="D384" i="17"/>
  <c r="C384" i="17"/>
  <c r="B384" i="17"/>
  <c r="R383" i="17"/>
  <c r="H383" i="17"/>
  <c r="AF383" i="17" s="1"/>
  <c r="G383" i="17"/>
  <c r="F383" i="17"/>
  <c r="E383" i="17"/>
  <c r="D383" i="17"/>
  <c r="C383" i="17"/>
  <c r="B383" i="17"/>
  <c r="R382" i="17"/>
  <c r="H382" i="17"/>
  <c r="AF382" i="17" s="1"/>
  <c r="G382" i="17"/>
  <c r="F382" i="17"/>
  <c r="E382" i="17"/>
  <c r="D382" i="17"/>
  <c r="C382" i="17"/>
  <c r="B382" i="17"/>
  <c r="R381" i="17"/>
  <c r="H381" i="17"/>
  <c r="AF381" i="17" s="1"/>
  <c r="G381" i="17"/>
  <c r="F381" i="17"/>
  <c r="E381" i="17"/>
  <c r="D381" i="17"/>
  <c r="C381" i="17"/>
  <c r="B381" i="17"/>
  <c r="R380" i="17"/>
  <c r="H380" i="17"/>
  <c r="AF380" i="17" s="1"/>
  <c r="G380" i="17"/>
  <c r="F380" i="17"/>
  <c r="E380" i="17"/>
  <c r="D380" i="17"/>
  <c r="C380" i="17"/>
  <c r="B380" i="17"/>
  <c r="R379" i="17"/>
  <c r="H379" i="17"/>
  <c r="AF379" i="17" s="1"/>
  <c r="G379" i="17"/>
  <c r="F379" i="17"/>
  <c r="E379" i="17"/>
  <c r="D379" i="17"/>
  <c r="C379" i="17"/>
  <c r="B379" i="17"/>
  <c r="R378" i="17"/>
  <c r="H378" i="17"/>
  <c r="AF378" i="17" s="1"/>
  <c r="G378" i="17"/>
  <c r="F378" i="17"/>
  <c r="E378" i="17"/>
  <c r="D378" i="17"/>
  <c r="C378" i="17"/>
  <c r="B378" i="17"/>
  <c r="R377" i="17"/>
  <c r="H377" i="17"/>
  <c r="AF377" i="17" s="1"/>
  <c r="G377" i="17"/>
  <c r="F377" i="17"/>
  <c r="E377" i="17"/>
  <c r="D377" i="17"/>
  <c r="C377" i="17"/>
  <c r="B377" i="17"/>
  <c r="R376" i="17"/>
  <c r="H376" i="17"/>
  <c r="AF376" i="17" s="1"/>
  <c r="G376" i="17"/>
  <c r="F376" i="17"/>
  <c r="E376" i="17"/>
  <c r="D376" i="17"/>
  <c r="C376" i="17"/>
  <c r="B376" i="17"/>
  <c r="R375" i="17"/>
  <c r="H375" i="17"/>
  <c r="AF375" i="17" s="1"/>
  <c r="G375" i="17"/>
  <c r="F375" i="17"/>
  <c r="E375" i="17"/>
  <c r="D375" i="17"/>
  <c r="C375" i="17"/>
  <c r="B375" i="17"/>
  <c r="R374" i="17"/>
  <c r="H374" i="17"/>
  <c r="AF374" i="17" s="1"/>
  <c r="G374" i="17"/>
  <c r="F374" i="17"/>
  <c r="E374" i="17"/>
  <c r="D374" i="17"/>
  <c r="C374" i="17"/>
  <c r="B374" i="17"/>
  <c r="R373" i="17"/>
  <c r="H373" i="17"/>
  <c r="AF373" i="17" s="1"/>
  <c r="G373" i="17"/>
  <c r="F373" i="17"/>
  <c r="E373" i="17"/>
  <c r="D373" i="17"/>
  <c r="C373" i="17"/>
  <c r="B373" i="17"/>
  <c r="R372" i="17"/>
  <c r="H372" i="17"/>
  <c r="AF372" i="17" s="1"/>
  <c r="G372" i="17"/>
  <c r="F372" i="17"/>
  <c r="E372" i="17"/>
  <c r="D372" i="17"/>
  <c r="C372" i="17"/>
  <c r="B372" i="17"/>
  <c r="R371" i="17"/>
  <c r="H371" i="17"/>
  <c r="AF371" i="17" s="1"/>
  <c r="G371" i="17"/>
  <c r="F371" i="17"/>
  <c r="E371" i="17"/>
  <c r="D371" i="17"/>
  <c r="C371" i="17"/>
  <c r="B371" i="17"/>
  <c r="R370" i="17"/>
  <c r="H370" i="17"/>
  <c r="AF370" i="17" s="1"/>
  <c r="G370" i="17"/>
  <c r="F370" i="17"/>
  <c r="E370" i="17"/>
  <c r="D370" i="17"/>
  <c r="C370" i="17"/>
  <c r="B370" i="17"/>
  <c r="R369" i="17"/>
  <c r="H369" i="17"/>
  <c r="AF369" i="17" s="1"/>
  <c r="G369" i="17"/>
  <c r="F369" i="17"/>
  <c r="E369" i="17"/>
  <c r="D369" i="17"/>
  <c r="C369" i="17"/>
  <c r="B369" i="17"/>
  <c r="R368" i="17"/>
  <c r="H368" i="17"/>
  <c r="AF368" i="17" s="1"/>
  <c r="G368" i="17"/>
  <c r="F368" i="17"/>
  <c r="E368" i="17"/>
  <c r="D368" i="17"/>
  <c r="C368" i="17"/>
  <c r="B368" i="17"/>
  <c r="R367" i="17"/>
  <c r="H367" i="17"/>
  <c r="AF367" i="17" s="1"/>
  <c r="G367" i="17"/>
  <c r="F367" i="17"/>
  <c r="E367" i="17"/>
  <c r="D367" i="17"/>
  <c r="C367" i="17"/>
  <c r="B367" i="17"/>
  <c r="R366" i="17"/>
  <c r="H366" i="17"/>
  <c r="AF366" i="17" s="1"/>
  <c r="G366" i="17"/>
  <c r="F366" i="17"/>
  <c r="E366" i="17"/>
  <c r="D366" i="17"/>
  <c r="C366" i="17"/>
  <c r="B366" i="17"/>
  <c r="R365" i="17"/>
  <c r="H365" i="17"/>
  <c r="AF365" i="17" s="1"/>
  <c r="G365" i="17"/>
  <c r="F365" i="17"/>
  <c r="E365" i="17"/>
  <c r="D365" i="17"/>
  <c r="C365" i="17"/>
  <c r="B365" i="17"/>
  <c r="R364" i="17"/>
  <c r="H364" i="17"/>
  <c r="AF364" i="17" s="1"/>
  <c r="G364" i="17"/>
  <c r="F364" i="17"/>
  <c r="E364" i="17"/>
  <c r="D364" i="17"/>
  <c r="C364" i="17"/>
  <c r="B364" i="17"/>
  <c r="R363" i="17"/>
  <c r="H363" i="17"/>
  <c r="AF363" i="17" s="1"/>
  <c r="G363" i="17"/>
  <c r="F363" i="17"/>
  <c r="E363" i="17"/>
  <c r="D363" i="17"/>
  <c r="C363" i="17"/>
  <c r="B363" i="17"/>
  <c r="R362" i="17"/>
  <c r="H362" i="17"/>
  <c r="AF362" i="17" s="1"/>
  <c r="G362" i="17"/>
  <c r="F362" i="17"/>
  <c r="E362" i="17"/>
  <c r="D362" i="17"/>
  <c r="C362" i="17"/>
  <c r="B362" i="17"/>
  <c r="AP361" i="17"/>
  <c r="BE361" i="17" s="1"/>
  <c r="R361" i="17"/>
  <c r="H361" i="17"/>
  <c r="AF361" i="17" s="1"/>
  <c r="G361" i="17"/>
  <c r="F361" i="17"/>
  <c r="E361" i="17"/>
  <c r="D361" i="17"/>
  <c r="C361" i="17"/>
  <c r="B361" i="17"/>
  <c r="R360" i="17"/>
  <c r="H360" i="17"/>
  <c r="AF360" i="17" s="1"/>
  <c r="G360" i="17"/>
  <c r="F360" i="17"/>
  <c r="E360" i="17"/>
  <c r="D360" i="17"/>
  <c r="C360" i="17"/>
  <c r="B360" i="17"/>
  <c r="R359" i="17"/>
  <c r="H359" i="17"/>
  <c r="AF359" i="17" s="1"/>
  <c r="G359" i="17"/>
  <c r="F359" i="17"/>
  <c r="E359" i="17"/>
  <c r="D359" i="17"/>
  <c r="C359" i="17"/>
  <c r="B359" i="17"/>
  <c r="R358" i="17"/>
  <c r="H358" i="17"/>
  <c r="AF358" i="17" s="1"/>
  <c r="G358" i="17"/>
  <c r="F358" i="17"/>
  <c r="E358" i="17"/>
  <c r="D358" i="17"/>
  <c r="C358" i="17"/>
  <c r="B358" i="17"/>
  <c r="R357" i="17"/>
  <c r="H357" i="17"/>
  <c r="AF357" i="17" s="1"/>
  <c r="G357" i="17"/>
  <c r="F357" i="17"/>
  <c r="E357" i="17"/>
  <c r="D357" i="17"/>
  <c r="C357" i="17"/>
  <c r="B357" i="17"/>
  <c r="R356" i="17"/>
  <c r="H356" i="17"/>
  <c r="AF356" i="17" s="1"/>
  <c r="G356" i="17"/>
  <c r="F356" i="17"/>
  <c r="E356" i="17"/>
  <c r="D356" i="17"/>
  <c r="C356" i="17"/>
  <c r="B356" i="17"/>
  <c r="R355" i="17"/>
  <c r="H355" i="17"/>
  <c r="AF355" i="17" s="1"/>
  <c r="G355" i="17"/>
  <c r="F355" i="17"/>
  <c r="E355" i="17"/>
  <c r="D355" i="17"/>
  <c r="C355" i="17"/>
  <c r="B355" i="17"/>
  <c r="R354" i="17"/>
  <c r="H354" i="17"/>
  <c r="AF354" i="17" s="1"/>
  <c r="G354" i="17"/>
  <c r="F354" i="17"/>
  <c r="E354" i="17"/>
  <c r="D354" i="17"/>
  <c r="C354" i="17"/>
  <c r="B354" i="17"/>
  <c r="R353" i="17"/>
  <c r="H353" i="17"/>
  <c r="AF353" i="17" s="1"/>
  <c r="G353" i="17"/>
  <c r="F353" i="17"/>
  <c r="E353" i="17"/>
  <c r="D353" i="17"/>
  <c r="C353" i="17"/>
  <c r="B353" i="17"/>
  <c r="R352" i="17"/>
  <c r="H352" i="17"/>
  <c r="AF352" i="17" s="1"/>
  <c r="G352" i="17"/>
  <c r="F352" i="17"/>
  <c r="E352" i="17"/>
  <c r="D352" i="17"/>
  <c r="C352" i="17"/>
  <c r="B352" i="17"/>
  <c r="R351" i="17"/>
  <c r="H351" i="17"/>
  <c r="AF351" i="17" s="1"/>
  <c r="G351" i="17"/>
  <c r="F351" i="17"/>
  <c r="E351" i="17"/>
  <c r="D351" i="17"/>
  <c r="C351" i="17"/>
  <c r="B351" i="17"/>
  <c r="R350" i="17"/>
  <c r="H350" i="17"/>
  <c r="AF350" i="17" s="1"/>
  <c r="G350" i="17"/>
  <c r="F350" i="17"/>
  <c r="E350" i="17"/>
  <c r="D350" i="17"/>
  <c r="C350" i="17"/>
  <c r="B350" i="17"/>
  <c r="R349" i="17"/>
  <c r="H349" i="17"/>
  <c r="AF349" i="17" s="1"/>
  <c r="G349" i="17"/>
  <c r="F349" i="17"/>
  <c r="E349" i="17"/>
  <c r="D349" i="17"/>
  <c r="C349" i="17"/>
  <c r="B349" i="17"/>
  <c r="R348" i="17"/>
  <c r="H348" i="17"/>
  <c r="AF348" i="17" s="1"/>
  <c r="G348" i="17"/>
  <c r="F348" i="17"/>
  <c r="E348" i="17"/>
  <c r="D348" i="17"/>
  <c r="C348" i="17"/>
  <c r="B348" i="17"/>
  <c r="R347" i="17"/>
  <c r="H347" i="17"/>
  <c r="AF347" i="17" s="1"/>
  <c r="G347" i="17"/>
  <c r="F347" i="17"/>
  <c r="E347" i="17"/>
  <c r="D347" i="17"/>
  <c r="C347" i="17"/>
  <c r="B347" i="17"/>
  <c r="R346" i="17"/>
  <c r="H346" i="17"/>
  <c r="AF346" i="17" s="1"/>
  <c r="G346" i="17"/>
  <c r="F346" i="17"/>
  <c r="E346" i="17"/>
  <c r="D346" i="17"/>
  <c r="C346" i="17"/>
  <c r="B346" i="17"/>
  <c r="R345" i="17"/>
  <c r="H345" i="17"/>
  <c r="AF345" i="17" s="1"/>
  <c r="G345" i="17"/>
  <c r="F345" i="17"/>
  <c r="E345" i="17"/>
  <c r="D345" i="17"/>
  <c r="C345" i="17"/>
  <c r="B345" i="17"/>
  <c r="R344" i="17"/>
  <c r="H344" i="17"/>
  <c r="AF344" i="17" s="1"/>
  <c r="G344" i="17"/>
  <c r="F344" i="17"/>
  <c r="E344" i="17"/>
  <c r="D344" i="17"/>
  <c r="C344" i="17"/>
  <c r="B344" i="17"/>
  <c r="R343" i="17"/>
  <c r="H343" i="17"/>
  <c r="AF343" i="17" s="1"/>
  <c r="G343" i="17"/>
  <c r="F343" i="17"/>
  <c r="E343" i="17"/>
  <c r="D343" i="17"/>
  <c r="C343" i="17"/>
  <c r="B343" i="17"/>
  <c r="R342" i="17"/>
  <c r="H342" i="17"/>
  <c r="AF342" i="17" s="1"/>
  <c r="G342" i="17"/>
  <c r="F342" i="17"/>
  <c r="E342" i="17"/>
  <c r="D342" i="17"/>
  <c r="C342" i="17"/>
  <c r="B342" i="17"/>
  <c r="R341" i="17"/>
  <c r="H341" i="17"/>
  <c r="AF341" i="17" s="1"/>
  <c r="G341" i="17"/>
  <c r="F341" i="17"/>
  <c r="E341" i="17"/>
  <c r="D341" i="17"/>
  <c r="C341" i="17"/>
  <c r="B341" i="17"/>
  <c r="R340" i="17"/>
  <c r="H340" i="17"/>
  <c r="AF340" i="17" s="1"/>
  <c r="G340" i="17"/>
  <c r="F340" i="17"/>
  <c r="E340" i="17"/>
  <c r="D340" i="17"/>
  <c r="C340" i="17"/>
  <c r="B340" i="17"/>
  <c r="R339" i="17"/>
  <c r="H339" i="17"/>
  <c r="AF339" i="17" s="1"/>
  <c r="G339" i="17"/>
  <c r="F339" i="17"/>
  <c r="E339" i="17"/>
  <c r="D339" i="17"/>
  <c r="C339" i="17"/>
  <c r="B339" i="17"/>
  <c r="R338" i="17"/>
  <c r="H338" i="17"/>
  <c r="AF338" i="17" s="1"/>
  <c r="G338" i="17"/>
  <c r="F338" i="17"/>
  <c r="E338" i="17"/>
  <c r="D338" i="17"/>
  <c r="C338" i="17"/>
  <c r="B338" i="17"/>
  <c r="R337" i="17"/>
  <c r="H337" i="17"/>
  <c r="AF337" i="17" s="1"/>
  <c r="G337" i="17"/>
  <c r="F337" i="17"/>
  <c r="E337" i="17"/>
  <c r="D337" i="17"/>
  <c r="C337" i="17"/>
  <c r="B337" i="17"/>
  <c r="R336" i="17"/>
  <c r="H336" i="17"/>
  <c r="AF336" i="17" s="1"/>
  <c r="G336" i="17"/>
  <c r="F336" i="17"/>
  <c r="E336" i="17"/>
  <c r="D336" i="17"/>
  <c r="C336" i="17"/>
  <c r="B336" i="17"/>
  <c r="R335" i="17"/>
  <c r="H335" i="17"/>
  <c r="AF335" i="17" s="1"/>
  <c r="G335" i="17"/>
  <c r="F335" i="17"/>
  <c r="E335" i="17"/>
  <c r="D335" i="17"/>
  <c r="C335" i="17"/>
  <c r="B335" i="17"/>
  <c r="R334" i="17"/>
  <c r="H334" i="17"/>
  <c r="AF334" i="17" s="1"/>
  <c r="G334" i="17"/>
  <c r="F334" i="17"/>
  <c r="E334" i="17"/>
  <c r="D334" i="17"/>
  <c r="C334" i="17"/>
  <c r="B334" i="17"/>
  <c r="R333" i="17"/>
  <c r="H333" i="17"/>
  <c r="AF333" i="17" s="1"/>
  <c r="G333" i="17"/>
  <c r="F333" i="17"/>
  <c r="E333" i="17"/>
  <c r="D333" i="17"/>
  <c r="C333" i="17"/>
  <c r="B333" i="17"/>
  <c r="R332" i="17"/>
  <c r="H332" i="17"/>
  <c r="AF332" i="17" s="1"/>
  <c r="G332" i="17"/>
  <c r="F332" i="17"/>
  <c r="E332" i="17"/>
  <c r="D332" i="17"/>
  <c r="C332" i="17"/>
  <c r="B332" i="17"/>
  <c r="R331" i="17"/>
  <c r="H331" i="17"/>
  <c r="AF331" i="17" s="1"/>
  <c r="G331" i="17"/>
  <c r="F331" i="17"/>
  <c r="E331" i="17"/>
  <c r="D331" i="17"/>
  <c r="C331" i="17"/>
  <c r="B331" i="17"/>
  <c r="R330" i="17"/>
  <c r="H330" i="17"/>
  <c r="AF330" i="17" s="1"/>
  <c r="G330" i="17"/>
  <c r="F330" i="17"/>
  <c r="E330" i="17"/>
  <c r="D330" i="17"/>
  <c r="C330" i="17"/>
  <c r="B330" i="17"/>
  <c r="R329" i="17"/>
  <c r="H329" i="17"/>
  <c r="AF329" i="17" s="1"/>
  <c r="G329" i="17"/>
  <c r="F329" i="17"/>
  <c r="E329" i="17"/>
  <c r="D329" i="17"/>
  <c r="C329" i="17"/>
  <c r="B329" i="17"/>
  <c r="R328" i="17"/>
  <c r="H328" i="17"/>
  <c r="AF328" i="17" s="1"/>
  <c r="G328" i="17"/>
  <c r="F328" i="17"/>
  <c r="E328" i="17"/>
  <c r="D328" i="17"/>
  <c r="C328" i="17"/>
  <c r="B328" i="17"/>
  <c r="R327" i="17"/>
  <c r="H327" i="17"/>
  <c r="AF327" i="17" s="1"/>
  <c r="G327" i="17"/>
  <c r="F327" i="17"/>
  <c r="E327" i="17"/>
  <c r="D327" i="17"/>
  <c r="C327" i="17"/>
  <c r="B327" i="17"/>
  <c r="BC326" i="17"/>
  <c r="AS326" i="17"/>
  <c r="R326" i="17"/>
  <c r="H326" i="17"/>
  <c r="AF326" i="17" s="1"/>
  <c r="G326" i="17"/>
  <c r="F326" i="17"/>
  <c r="E326" i="17"/>
  <c r="D326" i="17"/>
  <c r="C326" i="17"/>
  <c r="B326" i="17"/>
  <c r="R325" i="17"/>
  <c r="H325" i="17"/>
  <c r="AF325" i="17" s="1"/>
  <c r="G325" i="17"/>
  <c r="F325" i="17"/>
  <c r="E325" i="17"/>
  <c r="D325" i="17"/>
  <c r="C325" i="17"/>
  <c r="B325" i="17"/>
  <c r="R324" i="17"/>
  <c r="H324" i="17"/>
  <c r="AF324" i="17" s="1"/>
  <c r="G324" i="17"/>
  <c r="F324" i="17"/>
  <c r="E324" i="17"/>
  <c r="D324" i="17"/>
  <c r="C324" i="17"/>
  <c r="B324" i="17"/>
  <c r="R323" i="17"/>
  <c r="H323" i="17"/>
  <c r="AF323" i="17" s="1"/>
  <c r="G323" i="17"/>
  <c r="F323" i="17"/>
  <c r="E323" i="17"/>
  <c r="D323" i="17"/>
  <c r="C323" i="17"/>
  <c r="B323" i="17"/>
  <c r="R322" i="17"/>
  <c r="H322" i="17"/>
  <c r="AF322" i="17" s="1"/>
  <c r="G322" i="17"/>
  <c r="F322" i="17"/>
  <c r="E322" i="17"/>
  <c r="D322" i="17"/>
  <c r="C322" i="17"/>
  <c r="B322" i="17"/>
  <c r="R321" i="17"/>
  <c r="H321" i="17"/>
  <c r="AF321" i="17" s="1"/>
  <c r="G321" i="17"/>
  <c r="F321" i="17"/>
  <c r="E321" i="17"/>
  <c r="D321" i="17"/>
  <c r="C321" i="17"/>
  <c r="B321" i="17"/>
  <c r="R320" i="17"/>
  <c r="H320" i="17"/>
  <c r="AF320" i="17" s="1"/>
  <c r="G320" i="17"/>
  <c r="F320" i="17"/>
  <c r="E320" i="17"/>
  <c r="D320" i="17"/>
  <c r="C320" i="17"/>
  <c r="B320" i="17"/>
  <c r="R319" i="17"/>
  <c r="H319" i="17"/>
  <c r="AF319" i="17" s="1"/>
  <c r="G319" i="17"/>
  <c r="F319" i="17"/>
  <c r="E319" i="17"/>
  <c r="D319" i="17"/>
  <c r="C319" i="17"/>
  <c r="B319" i="17"/>
  <c r="R318" i="17"/>
  <c r="H318" i="17"/>
  <c r="AF318" i="17" s="1"/>
  <c r="G318" i="17"/>
  <c r="F318" i="17"/>
  <c r="E318" i="17"/>
  <c r="D318" i="17"/>
  <c r="C318" i="17"/>
  <c r="B318" i="17"/>
  <c r="R317" i="17"/>
  <c r="H317" i="17"/>
  <c r="AF317" i="17" s="1"/>
  <c r="G317" i="17"/>
  <c r="F317" i="17"/>
  <c r="E317" i="17"/>
  <c r="D317" i="17"/>
  <c r="C317" i="17"/>
  <c r="B317" i="17"/>
  <c r="AT316" i="17"/>
  <c r="BE316" i="17" s="1"/>
  <c r="R316" i="17"/>
  <c r="H316" i="17"/>
  <c r="AF316" i="17" s="1"/>
  <c r="G316" i="17"/>
  <c r="F316" i="17"/>
  <c r="E316" i="17"/>
  <c r="D316" i="17"/>
  <c r="C316" i="17"/>
  <c r="B316" i="17"/>
  <c r="R315" i="17"/>
  <c r="H315" i="17"/>
  <c r="AF315" i="17" s="1"/>
  <c r="G315" i="17"/>
  <c r="F315" i="17"/>
  <c r="E315" i="17"/>
  <c r="D315" i="17"/>
  <c r="C315" i="17"/>
  <c r="B315" i="17"/>
  <c r="R314" i="17"/>
  <c r="H314" i="17"/>
  <c r="AF314" i="17" s="1"/>
  <c r="G314" i="17"/>
  <c r="F314" i="17"/>
  <c r="E314" i="17"/>
  <c r="D314" i="17"/>
  <c r="C314" i="17"/>
  <c r="B314" i="17"/>
  <c r="R313" i="17"/>
  <c r="H313" i="17"/>
  <c r="AF313" i="17" s="1"/>
  <c r="G313" i="17"/>
  <c r="F313" i="17"/>
  <c r="E313" i="17"/>
  <c r="D313" i="17"/>
  <c r="C313" i="17"/>
  <c r="B313" i="17"/>
  <c r="R312" i="17"/>
  <c r="H312" i="17"/>
  <c r="AF312" i="17" s="1"/>
  <c r="G312" i="17"/>
  <c r="F312" i="17"/>
  <c r="E312" i="17"/>
  <c r="D312" i="17"/>
  <c r="C312" i="17"/>
  <c r="B312" i="17"/>
  <c r="R311" i="17"/>
  <c r="H311" i="17"/>
  <c r="AF311" i="17" s="1"/>
  <c r="G311" i="17"/>
  <c r="F311" i="17"/>
  <c r="E311" i="17"/>
  <c r="D311" i="17"/>
  <c r="C311" i="17"/>
  <c r="B311" i="17"/>
  <c r="R310" i="17"/>
  <c r="H310" i="17"/>
  <c r="AF310" i="17" s="1"/>
  <c r="G310" i="17"/>
  <c r="F310" i="17"/>
  <c r="E310" i="17"/>
  <c r="D310" i="17"/>
  <c r="C310" i="17"/>
  <c r="B310" i="17"/>
  <c r="R309" i="17"/>
  <c r="H309" i="17"/>
  <c r="AF309" i="17" s="1"/>
  <c r="G309" i="17"/>
  <c r="F309" i="17"/>
  <c r="E309" i="17"/>
  <c r="D309" i="17"/>
  <c r="C309" i="17"/>
  <c r="B309" i="17"/>
  <c r="R308" i="17"/>
  <c r="H308" i="17"/>
  <c r="AF308" i="17" s="1"/>
  <c r="G308" i="17"/>
  <c r="F308" i="17"/>
  <c r="E308" i="17"/>
  <c r="D308" i="17"/>
  <c r="C308" i="17"/>
  <c r="B308" i="17"/>
  <c r="R307" i="17"/>
  <c r="H307" i="17"/>
  <c r="AF307" i="17" s="1"/>
  <c r="G307" i="17"/>
  <c r="F307" i="17"/>
  <c r="E307" i="17"/>
  <c r="D307" i="17"/>
  <c r="C307" i="17"/>
  <c r="B307" i="17"/>
  <c r="R306" i="17"/>
  <c r="H306" i="17"/>
  <c r="AF306" i="17" s="1"/>
  <c r="G306" i="17"/>
  <c r="F306" i="17"/>
  <c r="E306" i="17"/>
  <c r="D306" i="17"/>
  <c r="C306" i="17"/>
  <c r="B306" i="17"/>
  <c r="R305" i="17"/>
  <c r="H305" i="17"/>
  <c r="AF305" i="17" s="1"/>
  <c r="G305" i="17"/>
  <c r="F305" i="17"/>
  <c r="E305" i="17"/>
  <c r="D305" i="17"/>
  <c r="C305" i="17"/>
  <c r="B305" i="17"/>
  <c r="R304" i="17"/>
  <c r="H304" i="17"/>
  <c r="AF304" i="17" s="1"/>
  <c r="G304" i="17"/>
  <c r="F304" i="17"/>
  <c r="E304" i="17"/>
  <c r="D304" i="17"/>
  <c r="C304" i="17"/>
  <c r="B304" i="17"/>
  <c r="R303" i="17"/>
  <c r="H303" i="17"/>
  <c r="AF303" i="17" s="1"/>
  <c r="G303" i="17"/>
  <c r="F303" i="17"/>
  <c r="E303" i="17"/>
  <c r="D303" i="17"/>
  <c r="C303" i="17"/>
  <c r="B303" i="17"/>
  <c r="R302" i="17"/>
  <c r="H302" i="17"/>
  <c r="AF302" i="17" s="1"/>
  <c r="G302" i="17"/>
  <c r="F302" i="17"/>
  <c r="E302" i="17"/>
  <c r="D302" i="17"/>
  <c r="C302" i="17"/>
  <c r="B302" i="17"/>
  <c r="R301" i="17"/>
  <c r="H301" i="17"/>
  <c r="AF301" i="17" s="1"/>
  <c r="G301" i="17"/>
  <c r="F301" i="17"/>
  <c r="E301" i="17"/>
  <c r="D301" i="17"/>
  <c r="C301" i="17"/>
  <c r="B301" i="17"/>
  <c r="R300" i="17"/>
  <c r="H300" i="17"/>
  <c r="AF300" i="17" s="1"/>
  <c r="G300" i="17"/>
  <c r="F300" i="17"/>
  <c r="E300" i="17"/>
  <c r="D300" i="17"/>
  <c r="C300" i="17"/>
  <c r="B300" i="17"/>
  <c r="R299" i="17"/>
  <c r="H299" i="17"/>
  <c r="AF299" i="17" s="1"/>
  <c r="G299" i="17"/>
  <c r="F299" i="17"/>
  <c r="E299" i="17"/>
  <c r="D299" i="17"/>
  <c r="C299" i="17"/>
  <c r="B299" i="17"/>
  <c r="R298" i="17"/>
  <c r="H298" i="17"/>
  <c r="AF298" i="17" s="1"/>
  <c r="G298" i="17"/>
  <c r="F298" i="17"/>
  <c r="E298" i="17"/>
  <c r="D298" i="17"/>
  <c r="C298" i="17"/>
  <c r="B298" i="17"/>
  <c r="AR297" i="17"/>
  <c r="BE297" i="17" s="1"/>
  <c r="R297" i="17"/>
  <c r="H297" i="17"/>
  <c r="AF297" i="17" s="1"/>
  <c r="G297" i="17"/>
  <c r="F297" i="17"/>
  <c r="E297" i="17"/>
  <c r="D297" i="17"/>
  <c r="C297" i="17"/>
  <c r="B297" i="17"/>
  <c r="AP296" i="17"/>
  <c r="BE296" i="17" s="1"/>
  <c r="R296" i="17"/>
  <c r="H296" i="17"/>
  <c r="AF296" i="17" s="1"/>
  <c r="G296" i="17"/>
  <c r="F296" i="17"/>
  <c r="E296" i="17"/>
  <c r="D296" i="17"/>
  <c r="C296" i="17"/>
  <c r="B296" i="17"/>
  <c r="R295" i="17"/>
  <c r="H295" i="17"/>
  <c r="AF295" i="17" s="1"/>
  <c r="G295" i="17"/>
  <c r="F295" i="17"/>
  <c r="E295" i="17"/>
  <c r="D295" i="17"/>
  <c r="C295" i="17"/>
  <c r="B295" i="17"/>
  <c r="R294" i="17"/>
  <c r="H294" i="17"/>
  <c r="AF294" i="17" s="1"/>
  <c r="G294" i="17"/>
  <c r="F294" i="17"/>
  <c r="E294" i="17"/>
  <c r="D294" i="17"/>
  <c r="C294" i="17"/>
  <c r="B294" i="17"/>
  <c r="R293" i="17"/>
  <c r="H293" i="17"/>
  <c r="AF293" i="17" s="1"/>
  <c r="G293" i="17"/>
  <c r="F293" i="17"/>
  <c r="E293" i="17"/>
  <c r="D293" i="17"/>
  <c r="C293" i="17"/>
  <c r="B293" i="17"/>
  <c r="R292" i="17"/>
  <c r="H292" i="17"/>
  <c r="AF292" i="17" s="1"/>
  <c r="G292" i="17"/>
  <c r="F292" i="17"/>
  <c r="E292" i="17"/>
  <c r="D292" i="17"/>
  <c r="C292" i="17"/>
  <c r="B292" i="17"/>
  <c r="R291" i="17"/>
  <c r="H291" i="17"/>
  <c r="AF291" i="17" s="1"/>
  <c r="G291" i="17"/>
  <c r="F291" i="17"/>
  <c r="E291" i="17"/>
  <c r="D291" i="17"/>
  <c r="C291" i="17"/>
  <c r="B291" i="17"/>
  <c r="R290" i="17"/>
  <c r="H290" i="17"/>
  <c r="AF290" i="17" s="1"/>
  <c r="G290" i="17"/>
  <c r="F290" i="17"/>
  <c r="E290" i="17"/>
  <c r="D290" i="17"/>
  <c r="C290" i="17"/>
  <c r="B290" i="17"/>
  <c r="R289" i="17"/>
  <c r="H289" i="17"/>
  <c r="AF289" i="17" s="1"/>
  <c r="G289" i="17"/>
  <c r="F289" i="17"/>
  <c r="E289" i="17"/>
  <c r="D289" i="17"/>
  <c r="C289" i="17"/>
  <c r="B289" i="17"/>
  <c r="R288" i="17"/>
  <c r="H288" i="17"/>
  <c r="AF288" i="17" s="1"/>
  <c r="G288" i="17"/>
  <c r="F288" i="17"/>
  <c r="E288" i="17"/>
  <c r="D288" i="17"/>
  <c r="C288" i="17"/>
  <c r="B288" i="17"/>
  <c r="R287" i="17"/>
  <c r="H287" i="17"/>
  <c r="AF287" i="17" s="1"/>
  <c r="G287" i="17"/>
  <c r="F287" i="17"/>
  <c r="E287" i="17"/>
  <c r="D287" i="17"/>
  <c r="C287" i="17"/>
  <c r="B287" i="17"/>
  <c r="R286" i="17"/>
  <c r="H286" i="17"/>
  <c r="AF286" i="17" s="1"/>
  <c r="G286" i="17"/>
  <c r="F286" i="17"/>
  <c r="E286" i="17"/>
  <c r="D286" i="17"/>
  <c r="C286" i="17"/>
  <c r="B286" i="17"/>
  <c r="R285" i="17"/>
  <c r="H285" i="17"/>
  <c r="AF285" i="17" s="1"/>
  <c r="G285" i="17"/>
  <c r="F285" i="17"/>
  <c r="E285" i="17"/>
  <c r="D285" i="17"/>
  <c r="C285" i="17"/>
  <c r="B285" i="17"/>
  <c r="R284" i="17"/>
  <c r="H284" i="17"/>
  <c r="AF284" i="17" s="1"/>
  <c r="G284" i="17"/>
  <c r="F284" i="17"/>
  <c r="E284" i="17"/>
  <c r="D284" i="17"/>
  <c r="C284" i="17"/>
  <c r="B284" i="17"/>
  <c r="R283" i="17"/>
  <c r="H283" i="17"/>
  <c r="AF283" i="17" s="1"/>
  <c r="G283" i="17"/>
  <c r="F283" i="17"/>
  <c r="E283" i="17"/>
  <c r="D283" i="17"/>
  <c r="C283" i="17"/>
  <c r="B283" i="17"/>
  <c r="R282" i="17"/>
  <c r="H282" i="17"/>
  <c r="AF282" i="17" s="1"/>
  <c r="G282" i="17"/>
  <c r="F282" i="17"/>
  <c r="E282" i="17"/>
  <c r="D282" i="17"/>
  <c r="C282" i="17"/>
  <c r="B282" i="17"/>
  <c r="R281" i="17"/>
  <c r="H281" i="17"/>
  <c r="AF281" i="17" s="1"/>
  <c r="G281" i="17"/>
  <c r="F281" i="17"/>
  <c r="E281" i="17"/>
  <c r="D281" i="17"/>
  <c r="C281" i="17"/>
  <c r="B281" i="17"/>
  <c r="R280" i="17"/>
  <c r="H280" i="17"/>
  <c r="AF280" i="17" s="1"/>
  <c r="G280" i="17"/>
  <c r="F280" i="17"/>
  <c r="E280" i="17"/>
  <c r="D280" i="17"/>
  <c r="C280" i="17"/>
  <c r="B280" i="17"/>
  <c r="R279" i="17"/>
  <c r="H279" i="17"/>
  <c r="AF279" i="17" s="1"/>
  <c r="G279" i="17"/>
  <c r="F279" i="17"/>
  <c r="E279" i="17"/>
  <c r="D279" i="17"/>
  <c r="C279" i="17"/>
  <c r="B279" i="17"/>
  <c r="R278" i="17"/>
  <c r="H278" i="17"/>
  <c r="AF278" i="17" s="1"/>
  <c r="G278" i="17"/>
  <c r="F278" i="17"/>
  <c r="E278" i="17"/>
  <c r="D278" i="17"/>
  <c r="C278" i="17"/>
  <c r="B278" i="17"/>
  <c r="R277" i="17"/>
  <c r="H277" i="17"/>
  <c r="AF277" i="17" s="1"/>
  <c r="G277" i="17"/>
  <c r="F277" i="17"/>
  <c r="E277" i="17"/>
  <c r="D277" i="17"/>
  <c r="C277" i="17"/>
  <c r="B277" i="17"/>
  <c r="R276" i="17"/>
  <c r="H276" i="17"/>
  <c r="AF276" i="17" s="1"/>
  <c r="G276" i="17"/>
  <c r="F276" i="17"/>
  <c r="E276" i="17"/>
  <c r="D276" i="17"/>
  <c r="C276" i="17"/>
  <c r="B276" i="17"/>
  <c r="R275" i="17"/>
  <c r="H275" i="17"/>
  <c r="AF275" i="17" s="1"/>
  <c r="G275" i="17"/>
  <c r="F275" i="17"/>
  <c r="E275" i="17"/>
  <c r="D275" i="17"/>
  <c r="C275" i="17"/>
  <c r="B275" i="17"/>
  <c r="R274" i="17"/>
  <c r="H274" i="17"/>
  <c r="AF274" i="17" s="1"/>
  <c r="G274" i="17"/>
  <c r="F274" i="17"/>
  <c r="E274" i="17"/>
  <c r="D274" i="17"/>
  <c r="C274" i="17"/>
  <c r="B274" i="17"/>
  <c r="R273" i="17"/>
  <c r="H273" i="17"/>
  <c r="AF273" i="17" s="1"/>
  <c r="G273" i="17"/>
  <c r="F273" i="17"/>
  <c r="E273" i="17"/>
  <c r="D273" i="17"/>
  <c r="C273" i="17"/>
  <c r="B273" i="17"/>
  <c r="R272" i="17"/>
  <c r="H272" i="17"/>
  <c r="AF272" i="17" s="1"/>
  <c r="G272" i="17"/>
  <c r="F272" i="17"/>
  <c r="E272" i="17"/>
  <c r="D272" i="17"/>
  <c r="C272" i="17"/>
  <c r="B272" i="17"/>
  <c r="R271" i="17"/>
  <c r="H271" i="17"/>
  <c r="AF271" i="17" s="1"/>
  <c r="G271" i="17"/>
  <c r="F271" i="17"/>
  <c r="E271" i="17"/>
  <c r="D271" i="17"/>
  <c r="C271" i="17"/>
  <c r="B271" i="17"/>
  <c r="R270" i="17"/>
  <c r="H270" i="17"/>
  <c r="AF270" i="17" s="1"/>
  <c r="G270" i="17"/>
  <c r="F270" i="17"/>
  <c r="E270" i="17"/>
  <c r="D270" i="17"/>
  <c r="C270" i="17"/>
  <c r="B270" i="17"/>
  <c r="R269" i="17"/>
  <c r="H269" i="17"/>
  <c r="AF269" i="17" s="1"/>
  <c r="G269" i="17"/>
  <c r="F269" i="17"/>
  <c r="E269" i="17"/>
  <c r="D269" i="17"/>
  <c r="C269" i="17"/>
  <c r="B269" i="17"/>
  <c r="R268" i="17"/>
  <c r="H268" i="17"/>
  <c r="AF268" i="17" s="1"/>
  <c r="G268" i="17"/>
  <c r="F268" i="17"/>
  <c r="E268" i="17"/>
  <c r="D268" i="17"/>
  <c r="C268" i="17"/>
  <c r="B268" i="17"/>
  <c r="R267" i="17"/>
  <c r="H267" i="17"/>
  <c r="AF267" i="17" s="1"/>
  <c r="G267" i="17"/>
  <c r="F267" i="17"/>
  <c r="E267" i="17"/>
  <c r="D267" i="17"/>
  <c r="C267" i="17"/>
  <c r="B267" i="17"/>
  <c r="R266" i="17"/>
  <c r="H266" i="17"/>
  <c r="AF266" i="17" s="1"/>
  <c r="G266" i="17"/>
  <c r="F266" i="17"/>
  <c r="E266" i="17"/>
  <c r="D266" i="17"/>
  <c r="C266" i="17"/>
  <c r="B266" i="17"/>
  <c r="R265" i="17"/>
  <c r="H265" i="17"/>
  <c r="AF265" i="17" s="1"/>
  <c r="G265" i="17"/>
  <c r="F265" i="17"/>
  <c r="E265" i="17"/>
  <c r="D265" i="17"/>
  <c r="C265" i="17"/>
  <c r="B265" i="17"/>
  <c r="R264" i="17"/>
  <c r="H264" i="17"/>
  <c r="AF264" i="17" s="1"/>
  <c r="G264" i="17"/>
  <c r="F264" i="17"/>
  <c r="E264" i="17"/>
  <c r="D264" i="17"/>
  <c r="C264" i="17"/>
  <c r="B264" i="17"/>
  <c r="R263" i="17"/>
  <c r="H263" i="17"/>
  <c r="AF263" i="17" s="1"/>
  <c r="G263" i="17"/>
  <c r="F263" i="17"/>
  <c r="E263" i="17"/>
  <c r="D263" i="17"/>
  <c r="C263" i="17"/>
  <c r="B263" i="17"/>
  <c r="R262" i="17"/>
  <c r="H262" i="17"/>
  <c r="AF262" i="17" s="1"/>
  <c r="G262" i="17"/>
  <c r="F262" i="17"/>
  <c r="E262" i="17"/>
  <c r="D262" i="17"/>
  <c r="C262" i="17"/>
  <c r="B262" i="17"/>
  <c r="R261" i="17"/>
  <c r="H261" i="17"/>
  <c r="AF261" i="17" s="1"/>
  <c r="G261" i="17"/>
  <c r="F261" i="17"/>
  <c r="E261" i="17"/>
  <c r="D261" i="17"/>
  <c r="C261" i="17"/>
  <c r="B261" i="17"/>
  <c r="R260" i="17"/>
  <c r="H260" i="17"/>
  <c r="AF260" i="17" s="1"/>
  <c r="G260" i="17"/>
  <c r="F260" i="17"/>
  <c r="E260" i="17"/>
  <c r="D260" i="17"/>
  <c r="C260" i="17"/>
  <c r="B260" i="17"/>
  <c r="R259" i="17"/>
  <c r="H259" i="17"/>
  <c r="AF259" i="17" s="1"/>
  <c r="G259" i="17"/>
  <c r="F259" i="17"/>
  <c r="E259" i="17"/>
  <c r="D259" i="17"/>
  <c r="C259" i="17"/>
  <c r="B259" i="17"/>
  <c r="R258" i="17"/>
  <c r="H258" i="17"/>
  <c r="AF258" i="17" s="1"/>
  <c r="G258" i="17"/>
  <c r="F258" i="17"/>
  <c r="E258" i="17"/>
  <c r="D258" i="17"/>
  <c r="C258" i="17"/>
  <c r="B258" i="17"/>
  <c r="R257" i="17"/>
  <c r="H257" i="17"/>
  <c r="AF257" i="17" s="1"/>
  <c r="G257" i="17"/>
  <c r="F257" i="17"/>
  <c r="E257" i="17"/>
  <c r="D257" i="17"/>
  <c r="C257" i="17"/>
  <c r="B257" i="17"/>
  <c r="R256" i="17"/>
  <c r="H256" i="17"/>
  <c r="AF256" i="17" s="1"/>
  <c r="G256" i="17"/>
  <c r="F256" i="17"/>
  <c r="E256" i="17"/>
  <c r="D256" i="17"/>
  <c r="C256" i="17"/>
  <c r="B256" i="17"/>
  <c r="R255" i="17"/>
  <c r="H255" i="17"/>
  <c r="AF255" i="17" s="1"/>
  <c r="G255" i="17"/>
  <c r="F255" i="17"/>
  <c r="E255" i="17"/>
  <c r="D255" i="17"/>
  <c r="C255" i="17"/>
  <c r="B255" i="17"/>
  <c r="R254" i="17"/>
  <c r="H254" i="17"/>
  <c r="AF254" i="17" s="1"/>
  <c r="G254" i="17"/>
  <c r="F254" i="17"/>
  <c r="E254" i="17"/>
  <c r="D254" i="17"/>
  <c r="C254" i="17"/>
  <c r="B254" i="17"/>
  <c r="R253" i="17"/>
  <c r="H253" i="17"/>
  <c r="AF253" i="17" s="1"/>
  <c r="G253" i="17"/>
  <c r="F253" i="17"/>
  <c r="E253" i="17"/>
  <c r="D253" i="17"/>
  <c r="C253" i="17"/>
  <c r="B253" i="17"/>
  <c r="R252" i="17"/>
  <c r="H252" i="17"/>
  <c r="AF252" i="17" s="1"/>
  <c r="G252" i="17"/>
  <c r="F252" i="17"/>
  <c r="E252" i="17"/>
  <c r="D252" i="17"/>
  <c r="C252" i="17"/>
  <c r="B252" i="17"/>
  <c r="R251" i="17"/>
  <c r="H251" i="17"/>
  <c r="AF251" i="17" s="1"/>
  <c r="G251" i="17"/>
  <c r="F251" i="17"/>
  <c r="E251" i="17"/>
  <c r="D251" i="17"/>
  <c r="C251" i="17"/>
  <c r="B251" i="17"/>
  <c r="R250" i="17"/>
  <c r="H250" i="17"/>
  <c r="AF250" i="17" s="1"/>
  <c r="G250" i="17"/>
  <c r="F250" i="17"/>
  <c r="E250" i="17"/>
  <c r="D250" i="17"/>
  <c r="C250" i="17"/>
  <c r="B250" i="17"/>
  <c r="R249" i="17"/>
  <c r="H249" i="17"/>
  <c r="AF249" i="17" s="1"/>
  <c r="G249" i="17"/>
  <c r="F249" i="17"/>
  <c r="E249" i="17"/>
  <c r="D249" i="17"/>
  <c r="C249" i="17"/>
  <c r="B249" i="17"/>
  <c r="R248" i="17"/>
  <c r="H248" i="17"/>
  <c r="AF248" i="17" s="1"/>
  <c r="G248" i="17"/>
  <c r="F248" i="17"/>
  <c r="E248" i="17"/>
  <c r="D248" i="17"/>
  <c r="C248" i="17"/>
  <c r="B248" i="17"/>
  <c r="R247" i="17"/>
  <c r="H247" i="17"/>
  <c r="AF247" i="17" s="1"/>
  <c r="G247" i="17"/>
  <c r="F247" i="17"/>
  <c r="E247" i="17"/>
  <c r="D247" i="17"/>
  <c r="C247" i="17"/>
  <c r="B247" i="17"/>
  <c r="R246" i="17"/>
  <c r="H246" i="17"/>
  <c r="AF246" i="17" s="1"/>
  <c r="G246" i="17"/>
  <c r="F246" i="17"/>
  <c r="E246" i="17"/>
  <c r="D246" i="17"/>
  <c r="C246" i="17"/>
  <c r="B246" i="17"/>
  <c r="R245" i="17"/>
  <c r="E245" i="17"/>
  <c r="D245" i="17"/>
  <c r="C245" i="17"/>
  <c r="B245" i="17"/>
  <c r="R244" i="17"/>
  <c r="H244" i="17"/>
  <c r="AF244" i="17" s="1"/>
  <c r="G244" i="17"/>
  <c r="F244" i="17"/>
  <c r="E244" i="17"/>
  <c r="D244" i="17"/>
  <c r="C244" i="17"/>
  <c r="B244" i="17"/>
  <c r="R243" i="17"/>
  <c r="H243" i="17"/>
  <c r="AF243" i="17" s="1"/>
  <c r="G243" i="17"/>
  <c r="F243" i="17"/>
  <c r="E243" i="17"/>
  <c r="D243" i="17"/>
  <c r="C243" i="17"/>
  <c r="B243" i="17"/>
  <c r="R242" i="17"/>
  <c r="H242" i="17"/>
  <c r="AF242" i="17" s="1"/>
  <c r="G242" i="17"/>
  <c r="F242" i="17"/>
  <c r="E242" i="17"/>
  <c r="D242" i="17"/>
  <c r="C242" i="17"/>
  <c r="B242" i="17"/>
  <c r="R241" i="17"/>
  <c r="H241" i="17"/>
  <c r="AF241" i="17" s="1"/>
  <c r="G241" i="17"/>
  <c r="F241" i="17"/>
  <c r="E241" i="17"/>
  <c r="D241" i="17"/>
  <c r="C241" i="17"/>
  <c r="B241" i="17"/>
  <c r="R240" i="17"/>
  <c r="E240" i="17"/>
  <c r="D240" i="17"/>
  <c r="C240" i="17"/>
  <c r="B240" i="17"/>
  <c r="R239" i="17"/>
  <c r="E239" i="17"/>
  <c r="D239" i="17"/>
  <c r="C239" i="17"/>
  <c r="B239" i="17"/>
  <c r="R238" i="17"/>
  <c r="E238" i="17"/>
  <c r="D238" i="17"/>
  <c r="C238" i="17"/>
  <c r="B238" i="17"/>
  <c r="R237" i="17"/>
  <c r="E237" i="17"/>
  <c r="D237" i="17"/>
  <c r="C237" i="17"/>
  <c r="B237" i="17"/>
  <c r="R236" i="17"/>
  <c r="E236" i="17"/>
  <c r="D236" i="17"/>
  <c r="C236" i="17"/>
  <c r="B236" i="17"/>
  <c r="R235" i="17"/>
  <c r="E235" i="17"/>
  <c r="D235" i="17"/>
  <c r="C235" i="17"/>
  <c r="B235" i="17"/>
  <c r="R234" i="17"/>
  <c r="E234" i="17"/>
  <c r="D234" i="17"/>
  <c r="C234" i="17"/>
  <c r="B234" i="17"/>
  <c r="R233" i="17"/>
  <c r="E233" i="17"/>
  <c r="D233" i="17"/>
  <c r="C233" i="17"/>
  <c r="B233" i="17"/>
  <c r="R232" i="17"/>
  <c r="E232" i="17"/>
  <c r="D232" i="17"/>
  <c r="C232" i="17"/>
  <c r="B232" i="17"/>
  <c r="R231" i="17"/>
  <c r="E231" i="17"/>
  <c r="D231" i="17"/>
  <c r="C231" i="17"/>
  <c r="B231" i="17"/>
  <c r="R230" i="17"/>
  <c r="E230" i="17"/>
  <c r="D230" i="17"/>
  <c r="C230" i="17"/>
  <c r="B230" i="17"/>
  <c r="R229" i="17"/>
  <c r="E229" i="17"/>
  <c r="D229" i="17"/>
  <c r="C229" i="17"/>
  <c r="B229" i="17"/>
  <c r="R228" i="17"/>
  <c r="E228" i="17"/>
  <c r="D228" i="17"/>
  <c r="C228" i="17"/>
  <c r="B228" i="17"/>
  <c r="R227" i="17"/>
  <c r="E227" i="17"/>
  <c r="D227" i="17"/>
  <c r="C227" i="17"/>
  <c r="B227" i="17"/>
  <c r="R226" i="17"/>
  <c r="E226" i="17"/>
  <c r="D226" i="17"/>
  <c r="C226" i="17"/>
  <c r="B226" i="17"/>
  <c r="R225" i="17"/>
  <c r="E225" i="17"/>
  <c r="D225" i="17"/>
  <c r="C225" i="17"/>
  <c r="B225" i="17"/>
  <c r="R224" i="17"/>
  <c r="E224" i="17"/>
  <c r="D224" i="17"/>
  <c r="C224" i="17"/>
  <c r="B224" i="17"/>
  <c r="R223" i="17"/>
  <c r="E223" i="17"/>
  <c r="D223" i="17"/>
  <c r="C223" i="17"/>
  <c r="B223" i="17"/>
  <c r="R222" i="17"/>
  <c r="E222" i="17"/>
  <c r="D222" i="17"/>
  <c r="C222" i="17"/>
  <c r="B222" i="17"/>
  <c r="R221" i="17"/>
  <c r="E221" i="17"/>
  <c r="D221" i="17"/>
  <c r="C221" i="17"/>
  <c r="B221" i="17"/>
  <c r="R220" i="17"/>
  <c r="E220" i="17"/>
  <c r="D220" i="17"/>
  <c r="C220" i="17"/>
  <c r="B220" i="17"/>
  <c r="R219" i="17"/>
  <c r="E219" i="17"/>
  <c r="D219" i="17"/>
  <c r="C219" i="17"/>
  <c r="B219" i="17"/>
  <c r="R218" i="17"/>
  <c r="E218" i="17"/>
  <c r="D218" i="17"/>
  <c r="C218" i="17"/>
  <c r="B218" i="17"/>
  <c r="R217" i="17"/>
  <c r="E217" i="17"/>
  <c r="D217" i="17"/>
  <c r="C217" i="17"/>
  <c r="B217" i="17"/>
  <c r="R216" i="17"/>
  <c r="E216" i="17"/>
  <c r="D216" i="17"/>
  <c r="C216" i="17"/>
  <c r="B216" i="17"/>
  <c r="R215" i="17"/>
  <c r="E215" i="17"/>
  <c r="D215" i="17"/>
  <c r="C215" i="17"/>
  <c r="B215" i="17"/>
  <c r="R214" i="17"/>
  <c r="E214" i="17"/>
  <c r="D214" i="17"/>
  <c r="C214" i="17"/>
  <c r="B214" i="17"/>
  <c r="R213" i="17"/>
  <c r="E213" i="17"/>
  <c r="D213" i="17"/>
  <c r="C213" i="17"/>
  <c r="B213" i="17"/>
  <c r="AL212" i="17"/>
  <c r="BE212" i="17" s="1"/>
  <c r="R212" i="17"/>
  <c r="E212" i="17"/>
  <c r="D212" i="17"/>
  <c r="C212" i="17"/>
  <c r="B212" i="17"/>
  <c r="R211" i="17"/>
  <c r="E211" i="17"/>
  <c r="D211" i="17"/>
  <c r="C211" i="17"/>
  <c r="B211" i="17"/>
  <c r="R210" i="17"/>
  <c r="E210" i="17"/>
  <c r="D210" i="17"/>
  <c r="C210" i="17"/>
  <c r="B210" i="17"/>
  <c r="R209" i="17"/>
  <c r="E209" i="17"/>
  <c r="D209" i="17"/>
  <c r="C209" i="17"/>
  <c r="B209" i="17"/>
  <c r="R208" i="17"/>
  <c r="E208" i="17"/>
  <c r="D208" i="17"/>
  <c r="C208" i="17"/>
  <c r="B208" i="17"/>
  <c r="R207" i="17"/>
  <c r="E207" i="17"/>
  <c r="D207" i="17"/>
  <c r="C207" i="17"/>
  <c r="B207" i="17"/>
  <c r="R206" i="17"/>
  <c r="E206" i="17"/>
  <c r="D206" i="17"/>
  <c r="C206" i="17"/>
  <c r="B206" i="17"/>
  <c r="R205" i="17"/>
  <c r="E205" i="17"/>
  <c r="D205" i="17"/>
  <c r="C205" i="17"/>
  <c r="B205" i="17"/>
  <c r="R204" i="17"/>
  <c r="E204" i="17"/>
  <c r="D204" i="17"/>
  <c r="C204" i="17"/>
  <c r="B204" i="17"/>
  <c r="R203" i="17"/>
  <c r="E203" i="17"/>
  <c r="D203" i="17"/>
  <c r="C203" i="17"/>
  <c r="B203" i="17"/>
  <c r="R202" i="17"/>
  <c r="E202" i="17"/>
  <c r="D202" i="17"/>
  <c r="C202" i="17"/>
  <c r="B202" i="17"/>
  <c r="R201" i="17"/>
  <c r="E201" i="17"/>
  <c r="D201" i="17"/>
  <c r="C201" i="17"/>
  <c r="B201" i="17"/>
  <c r="R200" i="17"/>
  <c r="E200" i="17"/>
  <c r="D200" i="17"/>
  <c r="C200" i="17"/>
  <c r="B200" i="17"/>
  <c r="R199" i="17"/>
  <c r="E199" i="17"/>
  <c r="D199" i="17"/>
  <c r="C199" i="17"/>
  <c r="B199" i="17"/>
  <c r="R198" i="17"/>
  <c r="E198" i="17"/>
  <c r="D198" i="17"/>
  <c r="C198" i="17"/>
  <c r="B198" i="17"/>
  <c r="R197" i="17"/>
  <c r="E197" i="17"/>
  <c r="D197" i="17"/>
  <c r="C197" i="17"/>
  <c r="B197" i="17"/>
  <c r="R196" i="17"/>
  <c r="E196" i="17"/>
  <c r="D196" i="17"/>
  <c r="C196" i="17"/>
  <c r="B196" i="17"/>
  <c r="R195" i="17"/>
  <c r="E195" i="17"/>
  <c r="D195" i="17"/>
  <c r="C195" i="17"/>
  <c r="B195" i="17"/>
  <c r="R194" i="17"/>
  <c r="E194" i="17"/>
  <c r="D194" i="17"/>
  <c r="C194" i="17"/>
  <c r="B194" i="17"/>
  <c r="R193" i="17"/>
  <c r="E193" i="17"/>
  <c r="D193" i="17"/>
  <c r="C193" i="17"/>
  <c r="B193" i="17"/>
  <c r="R192" i="17"/>
  <c r="E192" i="17"/>
  <c r="D192" i="17"/>
  <c r="C192" i="17"/>
  <c r="B192" i="17"/>
  <c r="R191" i="17"/>
  <c r="E191" i="17"/>
  <c r="D191" i="17"/>
  <c r="C191" i="17"/>
  <c r="B191" i="17"/>
  <c r="R190" i="17"/>
  <c r="E190" i="17"/>
  <c r="D190" i="17"/>
  <c r="C190" i="17"/>
  <c r="B190" i="17"/>
  <c r="R189" i="17"/>
  <c r="E189" i="17"/>
  <c r="D189" i="17"/>
  <c r="C189" i="17"/>
  <c r="B189" i="17"/>
  <c r="R188" i="17"/>
  <c r="E188" i="17"/>
  <c r="D188" i="17"/>
  <c r="C188" i="17"/>
  <c r="B188" i="17"/>
  <c r="R187" i="17"/>
  <c r="E187" i="17"/>
  <c r="D187" i="17"/>
  <c r="C187" i="17"/>
  <c r="B187" i="17"/>
  <c r="R186" i="17"/>
  <c r="E186" i="17"/>
  <c r="D186" i="17"/>
  <c r="C186" i="17"/>
  <c r="B186" i="17"/>
  <c r="R185" i="17"/>
  <c r="E185" i="17"/>
  <c r="D185" i="17"/>
  <c r="C185" i="17"/>
  <c r="B185" i="17"/>
  <c r="R184" i="17"/>
  <c r="E184" i="17"/>
  <c r="D184" i="17"/>
  <c r="C184" i="17"/>
  <c r="B184" i="17"/>
  <c r="R183" i="17"/>
  <c r="E183" i="17"/>
  <c r="D183" i="17"/>
  <c r="C183" i="17"/>
  <c r="B183" i="17"/>
  <c r="R182" i="17"/>
  <c r="E182" i="17"/>
  <c r="D182" i="17"/>
  <c r="C182" i="17"/>
  <c r="B182" i="17"/>
  <c r="R181" i="17"/>
  <c r="E181" i="17"/>
  <c r="D181" i="17"/>
  <c r="C181" i="17"/>
  <c r="B181" i="17"/>
  <c r="R180" i="17"/>
  <c r="E180" i="17"/>
  <c r="D180" i="17"/>
  <c r="C180" i="17"/>
  <c r="B180" i="17"/>
  <c r="R179" i="17"/>
  <c r="E179" i="17"/>
  <c r="D179" i="17"/>
  <c r="C179" i="17"/>
  <c r="B179" i="17"/>
  <c r="R178" i="17"/>
  <c r="E178" i="17"/>
  <c r="D178" i="17"/>
  <c r="C178" i="17"/>
  <c r="B178" i="17"/>
  <c r="R177" i="17"/>
  <c r="E177" i="17"/>
  <c r="D177" i="17"/>
  <c r="C177" i="17"/>
  <c r="B177" i="17"/>
  <c r="R176" i="17"/>
  <c r="E176" i="17"/>
  <c r="D176" i="17"/>
  <c r="C176" i="17"/>
  <c r="B176" i="17"/>
  <c r="R175" i="17"/>
  <c r="E175" i="17"/>
  <c r="D175" i="17"/>
  <c r="C175" i="17"/>
  <c r="B175" i="17"/>
  <c r="R174" i="17"/>
  <c r="E174" i="17"/>
  <c r="D174" i="17"/>
  <c r="C174" i="17"/>
  <c r="B174" i="17"/>
  <c r="R173" i="17"/>
  <c r="E173" i="17"/>
  <c r="D173" i="17"/>
  <c r="C173" i="17"/>
  <c r="B173" i="17"/>
  <c r="R172" i="17"/>
  <c r="E172" i="17"/>
  <c r="D172" i="17"/>
  <c r="C172" i="17"/>
  <c r="B172" i="17"/>
  <c r="R171" i="17"/>
  <c r="E171" i="17"/>
  <c r="D171" i="17"/>
  <c r="C171" i="17"/>
  <c r="B171" i="17"/>
  <c r="R170" i="17"/>
  <c r="E170" i="17"/>
  <c r="D170" i="17"/>
  <c r="C170" i="17"/>
  <c r="B170" i="17"/>
  <c r="R169" i="17"/>
  <c r="E169" i="17"/>
  <c r="D169" i="17"/>
  <c r="C169" i="17"/>
  <c r="B169" i="17"/>
  <c r="R168" i="17"/>
  <c r="E168" i="17"/>
  <c r="D168" i="17"/>
  <c r="C168" i="17"/>
  <c r="B168" i="17"/>
  <c r="R167" i="17"/>
  <c r="E167" i="17"/>
  <c r="D167" i="17"/>
  <c r="C167" i="17"/>
  <c r="B167" i="17"/>
  <c r="R166" i="17"/>
  <c r="E166" i="17"/>
  <c r="D166" i="17"/>
  <c r="C166" i="17"/>
  <c r="B166" i="17"/>
  <c r="R165" i="17"/>
  <c r="E165" i="17"/>
  <c r="D165" i="17"/>
  <c r="C165" i="17"/>
  <c r="B165" i="17"/>
  <c r="R164" i="17"/>
  <c r="E164" i="17"/>
  <c r="D164" i="17"/>
  <c r="C164" i="17"/>
  <c r="B164" i="17"/>
  <c r="R163" i="17"/>
  <c r="E163" i="17"/>
  <c r="D163" i="17"/>
  <c r="C163" i="17"/>
  <c r="B163" i="17"/>
  <c r="R162" i="17"/>
  <c r="E162" i="17"/>
  <c r="D162" i="17"/>
  <c r="C162" i="17"/>
  <c r="B162" i="17"/>
  <c r="R161" i="17"/>
  <c r="E161" i="17"/>
  <c r="D161" i="17"/>
  <c r="C161" i="17"/>
  <c r="B161" i="17"/>
  <c r="R160" i="17"/>
  <c r="E160" i="17"/>
  <c r="D160" i="17"/>
  <c r="C160" i="17"/>
  <c r="B160" i="17"/>
  <c r="R159" i="17"/>
  <c r="E159" i="17"/>
  <c r="D159" i="17"/>
  <c r="C159" i="17"/>
  <c r="B159" i="17"/>
  <c r="R158" i="17"/>
  <c r="E158" i="17"/>
  <c r="D158" i="17"/>
  <c r="C158" i="17"/>
  <c r="B158" i="17"/>
  <c r="R157" i="17"/>
  <c r="E157" i="17"/>
  <c r="D157" i="17"/>
  <c r="C157" i="17"/>
  <c r="B157" i="17"/>
  <c r="R156" i="17"/>
  <c r="E156" i="17"/>
  <c r="D156" i="17"/>
  <c r="C156" i="17"/>
  <c r="B156" i="17"/>
  <c r="R155" i="17"/>
  <c r="E155" i="17"/>
  <c r="D155" i="17"/>
  <c r="C155" i="17"/>
  <c r="B155" i="17"/>
  <c r="R154" i="17"/>
  <c r="E154" i="17"/>
  <c r="D154" i="17"/>
  <c r="C154" i="17"/>
  <c r="B154" i="17"/>
  <c r="R153" i="17"/>
  <c r="E153" i="17"/>
  <c r="D153" i="17"/>
  <c r="C153" i="17"/>
  <c r="B153" i="17"/>
  <c r="R152" i="17"/>
  <c r="E152" i="17"/>
  <c r="D152" i="17"/>
  <c r="C152" i="17"/>
  <c r="B152" i="17"/>
  <c r="R151" i="17"/>
  <c r="E151" i="17"/>
  <c r="D151" i="17"/>
  <c r="C151" i="17"/>
  <c r="B151" i="17"/>
  <c r="R150" i="17"/>
  <c r="E150" i="17"/>
  <c r="D150" i="17"/>
  <c r="C150" i="17"/>
  <c r="B150" i="17"/>
  <c r="R149" i="17"/>
  <c r="E149" i="17"/>
  <c r="D149" i="17"/>
  <c r="C149" i="17"/>
  <c r="B149" i="17"/>
  <c r="R148" i="17"/>
  <c r="E148" i="17"/>
  <c r="D148" i="17"/>
  <c r="C148" i="17"/>
  <c r="B148" i="17"/>
  <c r="R147" i="17"/>
  <c r="E147" i="17"/>
  <c r="D147" i="17"/>
  <c r="C147" i="17"/>
  <c r="B147" i="17"/>
  <c r="R146" i="17"/>
  <c r="E146" i="17"/>
  <c r="D146" i="17"/>
  <c r="C146" i="17"/>
  <c r="B146" i="17"/>
  <c r="R145" i="17"/>
  <c r="E145" i="17"/>
  <c r="D145" i="17"/>
  <c r="C145" i="17"/>
  <c r="B145" i="17"/>
  <c r="R144" i="17"/>
  <c r="E144" i="17"/>
  <c r="D144" i="17"/>
  <c r="C144" i="17"/>
  <c r="B144" i="17"/>
  <c r="R143" i="17"/>
  <c r="E143" i="17"/>
  <c r="D143" i="17"/>
  <c r="C143" i="17"/>
  <c r="B143" i="17"/>
  <c r="R142" i="17"/>
  <c r="E142" i="17"/>
  <c r="D142" i="17"/>
  <c r="C142" i="17"/>
  <c r="B142" i="17"/>
  <c r="R141" i="17"/>
  <c r="E141" i="17"/>
  <c r="D141" i="17"/>
  <c r="C141" i="17"/>
  <c r="B141" i="17"/>
  <c r="R140" i="17"/>
  <c r="E140" i="17"/>
  <c r="D140" i="17"/>
  <c r="C140" i="17"/>
  <c r="B140" i="17"/>
  <c r="R139" i="17"/>
  <c r="E139" i="17"/>
  <c r="D139" i="17"/>
  <c r="C139" i="17"/>
  <c r="B139" i="17"/>
  <c r="R138" i="17"/>
  <c r="E138" i="17"/>
  <c r="D138" i="17"/>
  <c r="C138" i="17"/>
  <c r="B138" i="17"/>
  <c r="R137" i="17"/>
  <c r="E137" i="17"/>
  <c r="D137" i="17"/>
  <c r="C137" i="17"/>
  <c r="B137" i="17"/>
  <c r="R136" i="17"/>
  <c r="E136" i="17"/>
  <c r="D136" i="17"/>
  <c r="C136" i="17"/>
  <c r="B136" i="17"/>
  <c r="R135" i="17"/>
  <c r="E135" i="17"/>
  <c r="D135" i="17"/>
  <c r="C135" i="17"/>
  <c r="B135" i="17"/>
  <c r="R134" i="17"/>
  <c r="E134" i="17"/>
  <c r="D134" i="17"/>
  <c r="C134" i="17"/>
  <c r="B134" i="17"/>
  <c r="R133" i="17"/>
  <c r="E133" i="17"/>
  <c r="D133" i="17"/>
  <c r="C133" i="17"/>
  <c r="B133" i="17"/>
  <c r="R132" i="17"/>
  <c r="E132" i="17"/>
  <c r="D132" i="17"/>
  <c r="C132" i="17"/>
  <c r="B132" i="17"/>
  <c r="R131" i="17"/>
  <c r="E131" i="17"/>
  <c r="D131" i="17"/>
  <c r="C131" i="17"/>
  <c r="B131" i="17"/>
  <c r="R130" i="17"/>
  <c r="E130" i="17"/>
  <c r="D130" i="17"/>
  <c r="C130" i="17"/>
  <c r="B130" i="17"/>
  <c r="R129" i="17"/>
  <c r="E129" i="17"/>
  <c r="D129" i="17"/>
  <c r="C129" i="17"/>
  <c r="B129" i="17"/>
  <c r="R128" i="17"/>
  <c r="E128" i="17"/>
  <c r="D128" i="17"/>
  <c r="C128" i="17"/>
  <c r="B128" i="17"/>
  <c r="R127" i="17"/>
  <c r="E127" i="17"/>
  <c r="D127" i="17"/>
  <c r="C127" i="17"/>
  <c r="B127" i="17"/>
  <c r="R126" i="17"/>
  <c r="E126" i="17"/>
  <c r="D126" i="17"/>
  <c r="C126" i="17"/>
  <c r="B126" i="17"/>
  <c r="R125" i="17"/>
  <c r="E125" i="17"/>
  <c r="D125" i="17"/>
  <c r="C125" i="17"/>
  <c r="B125" i="17"/>
  <c r="R124" i="17"/>
  <c r="E124" i="17"/>
  <c r="D124" i="17"/>
  <c r="C124" i="17"/>
  <c r="B124" i="17"/>
  <c r="R123" i="17"/>
  <c r="E123" i="17"/>
  <c r="D123" i="17"/>
  <c r="C123" i="17"/>
  <c r="B123" i="17"/>
  <c r="R122" i="17"/>
  <c r="E122" i="17"/>
  <c r="D122" i="17"/>
  <c r="C122" i="17"/>
  <c r="B122" i="17"/>
  <c r="R121" i="17"/>
  <c r="E121" i="17"/>
  <c r="D121" i="17"/>
  <c r="C121" i="17"/>
  <c r="B121" i="17"/>
  <c r="R120" i="17"/>
  <c r="E120" i="17"/>
  <c r="D120" i="17"/>
  <c r="C120" i="17"/>
  <c r="B120" i="17"/>
  <c r="R119" i="17"/>
  <c r="E119" i="17"/>
  <c r="D119" i="17"/>
  <c r="C119" i="17"/>
  <c r="B119" i="17"/>
  <c r="R118" i="17"/>
  <c r="E118" i="17"/>
  <c r="D118" i="17"/>
  <c r="C118" i="17"/>
  <c r="B118" i="17"/>
  <c r="R117" i="17"/>
  <c r="E117" i="17"/>
  <c r="D117" i="17"/>
  <c r="C117" i="17"/>
  <c r="B117" i="17"/>
  <c r="R116" i="17"/>
  <c r="E116" i="17"/>
  <c r="D116" i="17"/>
  <c r="C116" i="17"/>
  <c r="B116" i="17"/>
  <c r="R115" i="17"/>
  <c r="E115" i="17"/>
  <c r="D115" i="17"/>
  <c r="C115" i="17"/>
  <c r="B115" i="17"/>
  <c r="R114" i="17"/>
  <c r="E114" i="17"/>
  <c r="D114" i="17"/>
  <c r="C114" i="17"/>
  <c r="B114" i="17"/>
  <c r="R113" i="17"/>
  <c r="E113" i="17"/>
  <c r="D113" i="17"/>
  <c r="C113" i="17"/>
  <c r="B113" i="17"/>
  <c r="R112" i="17"/>
  <c r="E112" i="17"/>
  <c r="D112" i="17"/>
  <c r="C112" i="17"/>
  <c r="B112" i="17"/>
  <c r="R111" i="17"/>
  <c r="E111" i="17"/>
  <c r="D111" i="17"/>
  <c r="C111" i="17"/>
  <c r="B111" i="17"/>
  <c r="R110" i="17"/>
  <c r="E110" i="17"/>
  <c r="D110" i="17"/>
  <c r="C110" i="17"/>
  <c r="B110" i="17"/>
  <c r="R109" i="17"/>
  <c r="E109" i="17"/>
  <c r="D109" i="17"/>
  <c r="C109" i="17"/>
  <c r="B109" i="17"/>
  <c r="R108" i="17"/>
  <c r="E108" i="17"/>
  <c r="D108" i="17"/>
  <c r="C108" i="17"/>
  <c r="B108" i="17"/>
  <c r="R107" i="17"/>
  <c r="E107" i="17"/>
  <c r="D107" i="17"/>
  <c r="C107" i="17"/>
  <c r="B107" i="17"/>
  <c r="R106" i="17"/>
  <c r="E106" i="17"/>
  <c r="D106" i="17"/>
  <c r="C106" i="17"/>
  <c r="B106" i="17"/>
  <c r="R105" i="17"/>
  <c r="E105" i="17"/>
  <c r="D105" i="17"/>
  <c r="C105" i="17"/>
  <c r="B105" i="17"/>
  <c r="R104" i="17"/>
  <c r="E104" i="17"/>
  <c r="D104" i="17"/>
  <c r="C104" i="17"/>
  <c r="B104" i="17"/>
  <c r="R103" i="17"/>
  <c r="E103" i="17"/>
  <c r="D103" i="17"/>
  <c r="C103" i="17"/>
  <c r="B103" i="17"/>
  <c r="R102" i="17"/>
  <c r="E102" i="17"/>
  <c r="D102" i="17"/>
  <c r="C102" i="17"/>
  <c r="B102" i="17"/>
  <c r="R101" i="17"/>
  <c r="E101" i="17"/>
  <c r="D101" i="17"/>
  <c r="C101" i="17"/>
  <c r="B101" i="17"/>
  <c r="R100" i="17"/>
  <c r="E100" i="17"/>
  <c r="D100" i="17"/>
  <c r="C100" i="17"/>
  <c r="B100" i="17"/>
  <c r="R99" i="17"/>
  <c r="E99" i="17"/>
  <c r="D99" i="17"/>
  <c r="C99" i="17"/>
  <c r="B99" i="17"/>
  <c r="R98" i="17"/>
  <c r="E98" i="17"/>
  <c r="D98" i="17"/>
  <c r="C98" i="17"/>
  <c r="B98" i="17"/>
  <c r="R97" i="17"/>
  <c r="E97" i="17"/>
  <c r="D97" i="17"/>
  <c r="C97" i="17"/>
  <c r="B97" i="17"/>
  <c r="R96" i="17"/>
  <c r="E96" i="17"/>
  <c r="D96" i="17"/>
  <c r="C96" i="17"/>
  <c r="B96" i="17"/>
  <c r="R95" i="17"/>
  <c r="E95" i="17"/>
  <c r="D95" i="17"/>
  <c r="C95" i="17"/>
  <c r="B95" i="17"/>
  <c r="R94" i="17"/>
  <c r="E94" i="17"/>
  <c r="D94" i="17"/>
  <c r="C94" i="17"/>
  <c r="B94" i="17"/>
  <c r="R93" i="17"/>
  <c r="E93" i="17"/>
  <c r="D93" i="17"/>
  <c r="C93" i="17"/>
  <c r="B93" i="17"/>
  <c r="R92" i="17"/>
  <c r="E92" i="17"/>
  <c r="D92" i="17"/>
  <c r="C92" i="17"/>
  <c r="B92" i="17"/>
  <c r="R91" i="17"/>
  <c r="E91" i="17"/>
  <c r="D91" i="17"/>
  <c r="C91" i="17"/>
  <c r="B91" i="17"/>
  <c r="R90" i="17"/>
  <c r="E90" i="17"/>
  <c r="D90" i="17"/>
  <c r="C90" i="17"/>
  <c r="B90" i="17"/>
  <c r="R89" i="17"/>
  <c r="E89" i="17"/>
  <c r="D89" i="17"/>
  <c r="C89" i="17"/>
  <c r="B89" i="17"/>
  <c r="R88" i="17"/>
  <c r="E88" i="17"/>
  <c r="D88" i="17"/>
  <c r="C88" i="17"/>
  <c r="B88" i="17"/>
  <c r="R87" i="17"/>
  <c r="E87" i="17"/>
  <c r="D87" i="17"/>
  <c r="C87" i="17"/>
  <c r="B87" i="17"/>
  <c r="R86" i="17"/>
  <c r="E86" i="17"/>
  <c r="D86" i="17"/>
  <c r="C86" i="17"/>
  <c r="B86" i="17"/>
  <c r="R85" i="17"/>
  <c r="E85" i="17"/>
  <c r="D85" i="17"/>
  <c r="C85" i="17"/>
  <c r="B85" i="17"/>
  <c r="R84" i="17"/>
  <c r="E84" i="17"/>
  <c r="D84" i="17"/>
  <c r="C84" i="17"/>
  <c r="B84" i="17"/>
  <c r="R83" i="17"/>
  <c r="E83" i="17"/>
  <c r="D83" i="17"/>
  <c r="C83" i="17"/>
  <c r="B83" i="17"/>
  <c r="R82" i="17"/>
  <c r="E82" i="17"/>
  <c r="D82" i="17"/>
  <c r="C82" i="17"/>
  <c r="B82" i="17"/>
  <c r="R81" i="17"/>
  <c r="E81" i="17"/>
  <c r="D81" i="17"/>
  <c r="C81" i="17"/>
  <c r="B81" i="17"/>
  <c r="R80" i="17"/>
  <c r="E80" i="17"/>
  <c r="D80" i="17"/>
  <c r="C80" i="17"/>
  <c r="B80" i="17"/>
  <c r="R79" i="17"/>
  <c r="E79" i="17"/>
  <c r="D79" i="17"/>
  <c r="C79" i="17"/>
  <c r="B79" i="17"/>
  <c r="R78" i="17"/>
  <c r="E78" i="17"/>
  <c r="D78" i="17"/>
  <c r="C78" i="17"/>
  <c r="B78" i="17"/>
  <c r="R77" i="17"/>
  <c r="E77" i="17"/>
  <c r="D77" i="17"/>
  <c r="C77" i="17"/>
  <c r="B77" i="17"/>
  <c r="R76" i="17"/>
  <c r="E76" i="17"/>
  <c r="D76" i="17"/>
  <c r="C76" i="17"/>
  <c r="B76" i="17"/>
  <c r="R75" i="17"/>
  <c r="E75" i="17"/>
  <c r="D75" i="17"/>
  <c r="C75" i="17"/>
  <c r="B75" i="17"/>
  <c r="R74" i="17"/>
  <c r="E74" i="17"/>
  <c r="D74" i="17"/>
  <c r="C74" i="17"/>
  <c r="B74" i="17"/>
  <c r="R73" i="17"/>
  <c r="E73" i="17"/>
  <c r="D73" i="17"/>
  <c r="C73" i="17"/>
  <c r="B73" i="17"/>
  <c r="R72" i="17"/>
  <c r="E72" i="17"/>
  <c r="D72" i="17"/>
  <c r="C72" i="17"/>
  <c r="B72" i="17"/>
  <c r="R71" i="17"/>
  <c r="E71" i="17"/>
  <c r="D71" i="17"/>
  <c r="C71" i="17"/>
  <c r="B71" i="17"/>
  <c r="R70" i="17"/>
  <c r="E70" i="17"/>
  <c r="D70" i="17"/>
  <c r="C70" i="17"/>
  <c r="B70" i="17"/>
  <c r="R69" i="17"/>
  <c r="E69" i="17"/>
  <c r="D69" i="17"/>
  <c r="C69" i="17"/>
  <c r="B69" i="17"/>
  <c r="R68" i="17"/>
  <c r="E68" i="17"/>
  <c r="D68" i="17"/>
  <c r="C68" i="17"/>
  <c r="B68" i="17"/>
  <c r="R67" i="17"/>
  <c r="E67" i="17"/>
  <c r="D67" i="17"/>
  <c r="C67" i="17"/>
  <c r="B67" i="17"/>
  <c r="R66" i="17"/>
  <c r="E66" i="17"/>
  <c r="D66" i="17"/>
  <c r="C66" i="17"/>
  <c r="B66" i="17"/>
  <c r="R65" i="17"/>
  <c r="E65" i="17"/>
  <c r="D65" i="17"/>
  <c r="C65" i="17"/>
  <c r="B65" i="17"/>
  <c r="R64" i="17"/>
  <c r="E64" i="17"/>
  <c r="D64" i="17"/>
  <c r="C64" i="17"/>
  <c r="B64" i="17"/>
  <c r="R63" i="17"/>
  <c r="E63" i="17"/>
  <c r="D63" i="17"/>
  <c r="C63" i="17"/>
  <c r="B63" i="17"/>
  <c r="R62" i="17"/>
  <c r="E62" i="17"/>
  <c r="D62" i="17"/>
  <c r="C62" i="17"/>
  <c r="B62" i="17"/>
  <c r="R61" i="17"/>
  <c r="E61" i="17"/>
  <c r="D61" i="17"/>
  <c r="C61" i="17"/>
  <c r="B61" i="17"/>
  <c r="R60" i="17"/>
  <c r="E60" i="17"/>
  <c r="D60" i="17"/>
  <c r="C60" i="17"/>
  <c r="B60" i="17"/>
  <c r="R59" i="17"/>
  <c r="E59" i="17"/>
  <c r="D59" i="17"/>
  <c r="C59" i="17"/>
  <c r="B59" i="17"/>
  <c r="R58" i="17"/>
  <c r="E58" i="17"/>
  <c r="D58" i="17"/>
  <c r="C58" i="17"/>
  <c r="B58" i="17"/>
  <c r="R57" i="17"/>
  <c r="E57" i="17"/>
  <c r="D57" i="17"/>
  <c r="C57" i="17"/>
  <c r="B57" i="17"/>
  <c r="R56" i="17"/>
  <c r="E56" i="17"/>
  <c r="D56" i="17"/>
  <c r="C56" i="17"/>
  <c r="B56" i="17"/>
  <c r="R55" i="17"/>
  <c r="E55" i="17"/>
  <c r="D55" i="17"/>
  <c r="C55" i="17"/>
  <c r="B55" i="17"/>
  <c r="R54" i="17"/>
  <c r="E54" i="17"/>
  <c r="D54" i="17"/>
  <c r="C54" i="17"/>
  <c r="B54" i="17"/>
  <c r="R53" i="17"/>
  <c r="E53" i="17"/>
  <c r="D53" i="17"/>
  <c r="C53" i="17"/>
  <c r="B53" i="17"/>
  <c r="R52" i="17"/>
  <c r="E52" i="17"/>
  <c r="D52" i="17"/>
  <c r="C52" i="17"/>
  <c r="B52" i="17"/>
  <c r="R51" i="17"/>
  <c r="E51" i="17"/>
  <c r="D51" i="17"/>
  <c r="C51" i="17"/>
  <c r="B51" i="17"/>
  <c r="R50" i="17"/>
  <c r="E50" i="17"/>
  <c r="D50" i="17"/>
  <c r="C50" i="17"/>
  <c r="B50" i="17"/>
  <c r="R49" i="17"/>
  <c r="E49" i="17"/>
  <c r="D49" i="17"/>
  <c r="C49" i="17"/>
  <c r="B49" i="17"/>
  <c r="R48" i="17"/>
  <c r="E48" i="17"/>
  <c r="D48" i="17"/>
  <c r="C48" i="17"/>
  <c r="B48" i="17"/>
  <c r="R47" i="17"/>
  <c r="E47" i="17"/>
  <c r="D47" i="17"/>
  <c r="C47" i="17"/>
  <c r="B47" i="17"/>
  <c r="R46" i="17"/>
  <c r="E46" i="17"/>
  <c r="D46" i="17"/>
  <c r="C46" i="17"/>
  <c r="B46" i="17"/>
  <c r="R45" i="17"/>
  <c r="E45" i="17"/>
  <c r="D45" i="17"/>
  <c r="C45" i="17"/>
  <c r="B45" i="17"/>
  <c r="R44" i="17"/>
  <c r="E44" i="17"/>
  <c r="D44" i="17"/>
  <c r="C44" i="17"/>
  <c r="B44" i="17"/>
  <c r="R43" i="17"/>
  <c r="E43" i="17"/>
  <c r="D43" i="17"/>
  <c r="C43" i="17"/>
  <c r="B43" i="17"/>
  <c r="R42" i="17"/>
  <c r="E42" i="17"/>
  <c r="D42" i="17"/>
  <c r="C42" i="17"/>
  <c r="B42" i="17"/>
  <c r="R41" i="17"/>
  <c r="E41" i="17"/>
  <c r="D41" i="17"/>
  <c r="C41" i="17"/>
  <c r="B41" i="17"/>
  <c r="R40" i="17"/>
  <c r="E40" i="17"/>
  <c r="D40" i="17"/>
  <c r="C40" i="17"/>
  <c r="B40" i="17"/>
  <c r="R39" i="17"/>
  <c r="E39" i="17"/>
  <c r="D39" i="17"/>
  <c r="C39" i="17"/>
  <c r="B39" i="17"/>
  <c r="R38" i="17"/>
  <c r="E38" i="17"/>
  <c r="D38" i="17"/>
  <c r="C38" i="17"/>
  <c r="B38" i="17"/>
  <c r="R37" i="17"/>
  <c r="E37" i="17"/>
  <c r="D37" i="17"/>
  <c r="C37" i="17"/>
  <c r="B37" i="17"/>
  <c r="R36" i="17"/>
  <c r="E36" i="17"/>
  <c r="D36" i="17"/>
  <c r="C36" i="17"/>
  <c r="B36" i="17"/>
  <c r="R35" i="17"/>
  <c r="E35" i="17"/>
  <c r="D35" i="17"/>
  <c r="C35" i="17"/>
  <c r="B35" i="17"/>
  <c r="R34" i="17"/>
  <c r="E34" i="17"/>
  <c r="D34" i="17"/>
  <c r="C34" i="17"/>
  <c r="B34" i="17"/>
  <c r="R33" i="17"/>
  <c r="E33" i="17"/>
  <c r="D33" i="17"/>
  <c r="C33" i="17"/>
  <c r="B33" i="17"/>
  <c r="R32" i="17"/>
  <c r="E32" i="17"/>
  <c r="D32" i="17"/>
  <c r="C32" i="17"/>
  <c r="B32" i="17"/>
  <c r="R31" i="17"/>
  <c r="E31" i="17"/>
  <c r="D31" i="17"/>
  <c r="C31" i="17"/>
  <c r="B31" i="17"/>
  <c r="R30" i="17"/>
  <c r="E30" i="17"/>
  <c r="D30" i="17"/>
  <c r="C30" i="17"/>
  <c r="B30" i="17"/>
  <c r="R29" i="17"/>
  <c r="E29" i="17"/>
  <c r="D29" i="17"/>
  <c r="C29" i="17"/>
  <c r="B29" i="17"/>
  <c r="R28" i="17"/>
  <c r="E28" i="17"/>
  <c r="D28" i="17"/>
  <c r="C28" i="17"/>
  <c r="B28" i="17"/>
  <c r="R27" i="17"/>
  <c r="E27" i="17"/>
  <c r="D27" i="17"/>
  <c r="C27" i="17"/>
  <c r="B27" i="17"/>
  <c r="R26" i="17"/>
  <c r="E26" i="17"/>
  <c r="D26" i="17"/>
  <c r="C26" i="17"/>
  <c r="B26" i="17"/>
  <c r="R25" i="17"/>
  <c r="E25" i="17"/>
  <c r="D25" i="17"/>
  <c r="C25" i="17"/>
  <c r="B25" i="17"/>
  <c r="R24" i="17"/>
  <c r="E24" i="17"/>
  <c r="D24" i="17"/>
  <c r="C24" i="17"/>
  <c r="B24" i="17"/>
  <c r="R23" i="17"/>
  <c r="E23" i="17"/>
  <c r="D23" i="17"/>
  <c r="C23" i="17"/>
  <c r="B23" i="17"/>
  <c r="R22" i="17"/>
  <c r="E22" i="17"/>
  <c r="D22" i="17"/>
  <c r="C22" i="17"/>
  <c r="B22" i="17"/>
  <c r="R21" i="17"/>
  <c r="E21" i="17"/>
  <c r="D21" i="17"/>
  <c r="C21" i="17"/>
  <c r="B21" i="17"/>
  <c r="R20" i="17"/>
  <c r="E20" i="17"/>
  <c r="D20" i="17"/>
  <c r="C20" i="17"/>
  <c r="B20" i="17"/>
  <c r="R19" i="17"/>
  <c r="E19" i="17"/>
  <c r="D19" i="17"/>
  <c r="C19" i="17"/>
  <c r="B19" i="17"/>
  <c r="R18" i="17"/>
  <c r="E18" i="17"/>
  <c r="D18" i="17"/>
  <c r="C18" i="17"/>
  <c r="B18" i="17"/>
  <c r="R17" i="17"/>
  <c r="E17" i="17"/>
  <c r="D17" i="17"/>
  <c r="C17" i="17"/>
  <c r="B17" i="17"/>
  <c r="R16" i="17"/>
  <c r="E16" i="17"/>
  <c r="D16" i="17"/>
  <c r="C16" i="17"/>
  <c r="B16" i="17"/>
  <c r="R15" i="17"/>
  <c r="E15" i="17"/>
  <c r="D15" i="17"/>
  <c r="C15" i="17"/>
  <c r="B15" i="17"/>
  <c r="R14" i="17"/>
  <c r="E14" i="17"/>
  <c r="D14" i="17"/>
  <c r="C14" i="17"/>
  <c r="B14" i="17"/>
  <c r="R13" i="17"/>
  <c r="E13" i="17"/>
  <c r="D13" i="17"/>
  <c r="C13" i="17"/>
  <c r="B13" i="17"/>
  <c r="R12" i="17"/>
  <c r="E12" i="17"/>
  <c r="D12" i="17"/>
  <c r="C12" i="17"/>
  <c r="B12" i="17"/>
  <c r="R11" i="17"/>
  <c r="E11" i="17"/>
  <c r="D11" i="17"/>
  <c r="C11" i="17"/>
  <c r="B11" i="17"/>
  <c r="R10" i="17"/>
  <c r="E10" i="17"/>
  <c r="D10" i="17"/>
  <c r="C10" i="17"/>
  <c r="B10" i="17"/>
  <c r="R9" i="17"/>
  <c r="E9" i="17"/>
  <c r="D9" i="17"/>
  <c r="C9" i="17"/>
  <c r="B9" i="17"/>
  <c r="R8" i="17"/>
  <c r="E8" i="17"/>
  <c r="D8" i="17"/>
  <c r="C8" i="17"/>
  <c r="B8" i="17"/>
  <c r="BE7" i="17"/>
  <c r="R7" i="17"/>
  <c r="H7" i="17"/>
  <c r="AF7" i="17" s="1"/>
  <c r="G7" i="17"/>
  <c r="F7" i="17"/>
  <c r="E7" i="17"/>
  <c r="D7" i="17"/>
  <c r="C7" i="17"/>
  <c r="B7" i="17"/>
  <c r="H4" i="6"/>
  <c r="H3" i="6"/>
  <c r="R600" i="2"/>
  <c r="R599" i="2"/>
  <c r="R598" i="2"/>
  <c r="R597" i="2"/>
  <c r="R596" i="2"/>
  <c r="R595" i="2"/>
  <c r="R594" i="2"/>
  <c r="R593" i="2"/>
  <c r="R592" i="2"/>
  <c r="R591" i="2"/>
  <c r="R590" i="2"/>
  <c r="R589" i="2"/>
  <c r="R588" i="2"/>
  <c r="R587" i="2"/>
  <c r="R586" i="2"/>
  <c r="R585" i="2"/>
  <c r="R584" i="2"/>
  <c r="R583" i="2"/>
  <c r="R582" i="2"/>
  <c r="R581" i="2"/>
  <c r="R580" i="2"/>
  <c r="R579" i="2"/>
  <c r="R578" i="2"/>
  <c r="R577" i="2"/>
  <c r="R576" i="2"/>
  <c r="R575" i="2"/>
  <c r="R574" i="2"/>
  <c r="R573" i="2"/>
  <c r="R572" i="2"/>
  <c r="R571" i="2"/>
  <c r="R570" i="2"/>
  <c r="R569" i="2"/>
  <c r="R568" i="2"/>
  <c r="R567" i="2"/>
  <c r="R566" i="2"/>
  <c r="R565" i="2"/>
  <c r="R564" i="2"/>
  <c r="R563" i="2"/>
  <c r="R562" i="2"/>
  <c r="R561" i="2"/>
  <c r="R560" i="2"/>
  <c r="R559" i="2"/>
  <c r="R558" i="2"/>
  <c r="R557" i="2"/>
  <c r="R556" i="2"/>
  <c r="R555" i="2"/>
  <c r="R554" i="2"/>
  <c r="R553" i="2"/>
  <c r="R552" i="2"/>
  <c r="R551" i="2"/>
  <c r="R550" i="2"/>
  <c r="R549" i="2"/>
  <c r="R548" i="2"/>
  <c r="R547" i="2"/>
  <c r="R546" i="2"/>
  <c r="R545" i="2"/>
  <c r="R544" i="2"/>
  <c r="R543" i="2"/>
  <c r="R542" i="2"/>
  <c r="R541" i="2"/>
  <c r="R540" i="2"/>
  <c r="R539" i="2"/>
  <c r="R538" i="2"/>
  <c r="R537" i="2"/>
  <c r="R536" i="2"/>
  <c r="R535" i="2"/>
  <c r="R534" i="2"/>
  <c r="R533" i="2"/>
  <c r="R532" i="2"/>
  <c r="R531" i="2"/>
  <c r="R530" i="2"/>
  <c r="R529" i="2"/>
  <c r="R528" i="2"/>
  <c r="R527" i="2"/>
  <c r="R526" i="2"/>
  <c r="R525" i="2"/>
  <c r="R524" i="2"/>
  <c r="R523" i="2"/>
  <c r="R522" i="2"/>
  <c r="R521" i="2"/>
  <c r="R520" i="2"/>
  <c r="R519" i="2"/>
  <c r="R518" i="2"/>
  <c r="R517" i="2"/>
  <c r="R516" i="2"/>
  <c r="R515" i="2"/>
  <c r="R514" i="2"/>
  <c r="R513" i="2"/>
  <c r="R512" i="2"/>
  <c r="R511" i="2"/>
  <c r="R510" i="2"/>
  <c r="R509" i="2"/>
  <c r="R508" i="2"/>
  <c r="R507" i="2"/>
  <c r="R506" i="2"/>
  <c r="R505" i="2"/>
  <c r="R504" i="2"/>
  <c r="R503" i="2"/>
  <c r="R502" i="2"/>
  <c r="R501" i="2"/>
  <c r="R500" i="2"/>
  <c r="R499" i="2"/>
  <c r="R498" i="2"/>
  <c r="R497" i="2"/>
  <c r="R496" i="2"/>
  <c r="R495" i="2"/>
  <c r="R494" i="2"/>
  <c r="R493" i="2"/>
  <c r="R492" i="2"/>
  <c r="R491" i="2"/>
  <c r="R490" i="2"/>
  <c r="R489" i="2"/>
  <c r="R488" i="2"/>
  <c r="R487" i="2"/>
  <c r="R486" i="2"/>
  <c r="R485" i="2"/>
  <c r="D485" i="2"/>
  <c r="R484" i="2"/>
  <c r="D484" i="2"/>
  <c r="R483" i="2"/>
  <c r="D483" i="2"/>
  <c r="R482" i="2"/>
  <c r="D482" i="2"/>
  <c r="R481" i="2"/>
  <c r="D481" i="2"/>
  <c r="R480" i="2"/>
  <c r="D480" i="2"/>
  <c r="R479" i="2"/>
  <c r="D479" i="2"/>
  <c r="R478" i="2"/>
  <c r="D478" i="2"/>
  <c r="C68" i="30" s="1"/>
  <c r="R477" i="2"/>
  <c r="D477" i="2"/>
  <c r="R476" i="2"/>
  <c r="D476" i="2"/>
  <c r="R475" i="2"/>
  <c r="D475" i="2"/>
  <c r="AU105" i="24"/>
  <c r="R474" i="2"/>
  <c r="AS105" i="24"/>
  <c r="D474" i="2"/>
  <c r="R473" i="2"/>
  <c r="D473" i="2"/>
  <c r="R472" i="2"/>
  <c r="D472" i="2"/>
  <c r="R471" i="2"/>
  <c r="D471" i="2"/>
  <c r="R470" i="2"/>
  <c r="D470" i="2"/>
  <c r="R469" i="2"/>
  <c r="D469" i="2"/>
  <c r="R468" i="2"/>
  <c r="D468" i="2"/>
  <c r="R467" i="2"/>
  <c r="D467" i="2"/>
  <c r="R466" i="2"/>
  <c r="D466" i="2"/>
  <c r="R465" i="2"/>
  <c r="D465" i="2"/>
  <c r="R464" i="2"/>
  <c r="D464" i="2"/>
  <c r="R463" i="2"/>
  <c r="D463" i="2"/>
  <c r="R462" i="2"/>
  <c r="D462" i="2"/>
  <c r="R461" i="2"/>
  <c r="D461" i="2"/>
  <c r="R460" i="2"/>
  <c r="D460" i="2"/>
  <c r="R459" i="2"/>
  <c r="R458" i="2"/>
  <c r="D458" i="2"/>
  <c r="R457" i="2"/>
  <c r="D457" i="2"/>
  <c r="R456" i="2"/>
  <c r="R455" i="2"/>
  <c r="R454" i="2"/>
  <c r="D454" i="2"/>
  <c r="AG453" i="2"/>
  <c r="R453" i="2"/>
  <c r="D453" i="2"/>
  <c r="R452" i="2"/>
  <c r="D452" i="2"/>
  <c r="R451" i="2"/>
  <c r="D451" i="2"/>
  <c r="R450" i="2"/>
  <c r="R449" i="2"/>
  <c r="D449" i="2"/>
  <c r="C198" i="30" s="1"/>
  <c r="AG448" i="2"/>
  <c r="R448" i="2"/>
  <c r="D448" i="2"/>
  <c r="R447" i="2"/>
  <c r="D447" i="2"/>
  <c r="R446" i="2"/>
  <c r="D446" i="2"/>
  <c r="R445" i="2"/>
  <c r="D445" i="2"/>
  <c r="AG444" i="2"/>
  <c r="R444" i="2"/>
  <c r="D444" i="2"/>
  <c r="C12" i="30" s="1"/>
  <c r="R443" i="2"/>
  <c r="D443" i="2"/>
  <c r="C16" i="30" s="1"/>
  <c r="R442" i="2"/>
  <c r="D442" i="2"/>
  <c r="R441" i="2"/>
  <c r="D441" i="2"/>
  <c r="R440" i="2"/>
  <c r="D440" i="2"/>
  <c r="R439" i="2"/>
  <c r="D439" i="2"/>
  <c r="R438" i="2"/>
  <c r="D438" i="2"/>
  <c r="R437" i="2"/>
  <c r="D437" i="2"/>
  <c r="R436" i="2"/>
  <c r="AS110" i="24"/>
  <c r="D436" i="2"/>
  <c r="AK110" i="24" s="1"/>
  <c r="R435" i="2"/>
  <c r="D435" i="2"/>
  <c r="R434" i="2"/>
  <c r="AS58" i="24"/>
  <c r="D434" i="2"/>
  <c r="C109" i="26" s="1"/>
  <c r="T109" i="26" s="1"/>
  <c r="R433" i="2"/>
  <c r="D433" i="2"/>
  <c r="R432" i="2"/>
  <c r="R431" i="2"/>
  <c r="R430" i="2"/>
  <c r="AS107" i="24"/>
  <c r="D430" i="2"/>
  <c r="R429" i="2"/>
  <c r="D429" i="2"/>
  <c r="R428" i="2"/>
  <c r="R427" i="2"/>
  <c r="R426" i="2"/>
  <c r="D426" i="2"/>
  <c r="R425" i="2"/>
  <c r="D425" i="2"/>
  <c r="R424" i="2"/>
  <c r="R423" i="2"/>
  <c r="R422" i="2"/>
  <c r="D422" i="2"/>
  <c r="C94" i="30" s="1"/>
  <c r="R421" i="2"/>
  <c r="D421" i="2"/>
  <c r="R420" i="2"/>
  <c r="R419" i="2"/>
  <c r="R418" i="2"/>
  <c r="R417" i="2"/>
  <c r="R416" i="2"/>
  <c r="R415" i="2"/>
  <c r="R414" i="2"/>
  <c r="R413" i="2"/>
  <c r="R412" i="2"/>
  <c r="R411" i="2"/>
  <c r="R410" i="2"/>
  <c r="D410" i="2"/>
  <c r="R409" i="2"/>
  <c r="P409" i="2"/>
  <c r="D409" i="2"/>
  <c r="R408" i="2"/>
  <c r="P408" i="2"/>
  <c r="R407" i="2"/>
  <c r="P407" i="2"/>
  <c r="R406" i="2"/>
  <c r="P406" i="2"/>
  <c r="D406" i="2"/>
  <c r="R405" i="2"/>
  <c r="P405" i="2"/>
  <c r="D405" i="2"/>
  <c r="R404" i="2"/>
  <c r="P404" i="2"/>
  <c r="D404" i="2"/>
  <c r="R403" i="2"/>
  <c r="P403" i="2"/>
  <c r="D403" i="2"/>
  <c r="R402" i="2"/>
  <c r="P402" i="2"/>
  <c r="D402" i="2"/>
  <c r="R401" i="2"/>
  <c r="P401" i="2"/>
  <c r="D401" i="2"/>
  <c r="R400" i="2"/>
  <c r="P400" i="2"/>
  <c r="D400" i="2"/>
  <c r="R399" i="2"/>
  <c r="P399" i="2"/>
  <c r="D399" i="2"/>
  <c r="R398" i="2"/>
  <c r="P398" i="2"/>
  <c r="D398" i="2"/>
  <c r="R397" i="2"/>
  <c r="P397" i="2"/>
  <c r="D397" i="2"/>
  <c r="R396" i="2"/>
  <c r="P396" i="2"/>
  <c r="D396" i="2"/>
  <c r="R395" i="2"/>
  <c r="P395" i="2"/>
  <c r="D395" i="2"/>
  <c r="R394" i="2"/>
  <c r="P394" i="2"/>
  <c r="D394" i="2"/>
  <c r="R393" i="2"/>
  <c r="P393" i="2"/>
  <c r="D393" i="2"/>
  <c r="R392" i="2"/>
  <c r="P392" i="2"/>
  <c r="D392" i="2"/>
  <c r="R391" i="2"/>
  <c r="P391" i="2"/>
  <c r="D391" i="2"/>
  <c r="R390" i="2"/>
  <c r="P390" i="2"/>
  <c r="D390" i="2"/>
  <c r="R389" i="2"/>
  <c r="P389" i="2"/>
  <c r="D389" i="2"/>
  <c r="R388" i="2"/>
  <c r="P388" i="2"/>
  <c r="D388" i="2"/>
  <c r="R387" i="2"/>
  <c r="P387" i="2"/>
  <c r="D387" i="2"/>
  <c r="R386" i="2"/>
  <c r="AU66" i="24" s="1"/>
  <c r="P386" i="2"/>
  <c r="AS66" i="24" s="1"/>
  <c r="D386" i="2"/>
  <c r="AK66" i="24" s="1"/>
  <c r="AG385" i="2"/>
  <c r="R385" i="2"/>
  <c r="P385" i="2"/>
  <c r="D385" i="2"/>
  <c r="AG384" i="2"/>
  <c r="R384" i="2"/>
  <c r="P384" i="2"/>
  <c r="D384" i="2"/>
  <c r="AG383" i="2"/>
  <c r="R383" i="2"/>
  <c r="P383" i="2"/>
  <c r="D383" i="2"/>
  <c r="AG382" i="2"/>
  <c r="R382" i="2"/>
  <c r="P382" i="2"/>
  <c r="D382" i="2"/>
  <c r="R381" i="2"/>
  <c r="P381" i="2"/>
  <c r="D381" i="2"/>
  <c r="R380" i="2"/>
  <c r="P380" i="2"/>
  <c r="D380" i="2"/>
  <c r="AG379" i="2"/>
  <c r="R379" i="2"/>
  <c r="P379" i="2"/>
  <c r="D379" i="2"/>
  <c r="AG378" i="2"/>
  <c r="R378" i="2"/>
  <c r="P378" i="2"/>
  <c r="AS32" i="24" s="1"/>
  <c r="D378" i="2"/>
  <c r="AG377" i="2"/>
  <c r="R377" i="2"/>
  <c r="P377" i="2"/>
  <c r="D377" i="2"/>
  <c r="AG376" i="2"/>
  <c r="R376" i="2"/>
  <c r="P376" i="2"/>
  <c r="D376" i="2"/>
  <c r="AG375" i="2"/>
  <c r="R375" i="2"/>
  <c r="P375" i="2"/>
  <c r="AS94" i="24" s="1"/>
  <c r="D375" i="2"/>
  <c r="AG374" i="2"/>
  <c r="R374" i="2"/>
  <c r="P374" i="2"/>
  <c r="D374" i="2"/>
  <c r="C224" i="32" s="1"/>
  <c r="AG373" i="2"/>
  <c r="R373" i="2"/>
  <c r="P373" i="2"/>
  <c r="D373" i="2"/>
  <c r="C260" i="32" s="1"/>
  <c r="R372" i="2"/>
  <c r="P372" i="2"/>
  <c r="D372" i="2"/>
  <c r="C29" i="26" s="1"/>
  <c r="AG371" i="2"/>
  <c r="R371" i="2"/>
  <c r="P371" i="2"/>
  <c r="D371" i="2"/>
  <c r="C223" i="32" s="1"/>
  <c r="AG370" i="2"/>
  <c r="R370" i="2"/>
  <c r="P370" i="2"/>
  <c r="D370" i="2"/>
  <c r="C70" i="26" s="1"/>
  <c r="AG369" i="2"/>
  <c r="P369" i="2"/>
  <c r="AS84" i="24" s="1"/>
  <c r="D369" i="2"/>
  <c r="AG368" i="2"/>
  <c r="R368" i="2"/>
  <c r="AU100" i="24" s="1"/>
  <c r="P368" i="2"/>
  <c r="AS100" i="24" s="1"/>
  <c r="D368" i="2"/>
  <c r="C255" i="32" s="1"/>
  <c r="AG367" i="2"/>
  <c r="R367" i="2"/>
  <c r="P367" i="2"/>
  <c r="D367" i="2"/>
  <c r="C113" i="26" s="1"/>
  <c r="AG366" i="2"/>
  <c r="R366" i="2"/>
  <c r="P366" i="2"/>
  <c r="AS85" i="24" s="1"/>
  <c r="D366" i="2"/>
  <c r="AG365" i="2"/>
  <c r="R365" i="2"/>
  <c r="P365" i="2"/>
  <c r="AS83" i="24" s="1"/>
  <c r="D365" i="2"/>
  <c r="AG364" i="2"/>
  <c r="R364" i="2"/>
  <c r="P364" i="2"/>
  <c r="D364" i="2"/>
  <c r="AG363" i="2"/>
  <c r="R363" i="2"/>
  <c r="AU56" i="24" s="1"/>
  <c r="P363" i="2"/>
  <c r="AS56" i="24" s="1"/>
  <c r="D363" i="2"/>
  <c r="AG362" i="2"/>
  <c r="R362" i="2"/>
  <c r="AU91" i="24" s="1"/>
  <c r="P362" i="2"/>
  <c r="AS91" i="24" s="1"/>
  <c r="D362" i="2"/>
  <c r="AG361" i="2"/>
  <c r="R361" i="2"/>
  <c r="P361" i="2"/>
  <c r="AS69" i="24" s="1"/>
  <c r="D361" i="2"/>
  <c r="AG360" i="2"/>
  <c r="R360" i="2"/>
  <c r="P360" i="2"/>
  <c r="D360" i="2"/>
  <c r="C57" i="26" s="1"/>
  <c r="AG359" i="2"/>
  <c r="R359" i="2"/>
  <c r="P359" i="2"/>
  <c r="D359" i="2"/>
  <c r="C259" i="32" s="1"/>
  <c r="AG358" i="2"/>
  <c r="R358" i="2"/>
  <c r="AU92" i="24" s="1"/>
  <c r="P358" i="2"/>
  <c r="AS92" i="24" s="1"/>
  <c r="D358" i="2"/>
  <c r="R357" i="2"/>
  <c r="P357" i="2"/>
  <c r="D357" i="2"/>
  <c r="C258" i="32" s="1"/>
  <c r="AG356" i="2"/>
  <c r="R356" i="2"/>
  <c r="P356" i="2"/>
  <c r="AS37" i="24" s="1"/>
  <c r="D356" i="2"/>
  <c r="AG355" i="2"/>
  <c r="R355" i="2"/>
  <c r="AU57" i="24" s="1"/>
  <c r="P355" i="2"/>
  <c r="AS57" i="24" s="1"/>
  <c r="D355" i="2"/>
  <c r="AG354" i="2"/>
  <c r="R354" i="2"/>
  <c r="P354" i="2"/>
  <c r="AS68" i="24" s="1"/>
  <c r="D354" i="2"/>
  <c r="AG353" i="2"/>
  <c r="R353" i="2"/>
  <c r="AU59" i="24" s="1"/>
  <c r="P353" i="2"/>
  <c r="AS59" i="24" s="1"/>
  <c r="D353" i="2"/>
  <c r="R352" i="2"/>
  <c r="P352" i="2"/>
  <c r="D352" i="2"/>
  <c r="AG351" i="2"/>
  <c r="R351" i="2"/>
  <c r="AU96" i="24" s="1"/>
  <c r="P351" i="2"/>
  <c r="AS96" i="24" s="1"/>
  <c r="D351" i="2"/>
  <c r="C252" i="32" s="1"/>
  <c r="AG350" i="2"/>
  <c r="R350" i="2"/>
  <c r="AU55" i="24" s="1"/>
  <c r="P350" i="2"/>
  <c r="AS55" i="24" s="1"/>
  <c r="D350" i="2"/>
  <c r="AG349" i="2"/>
  <c r="R349" i="2"/>
  <c r="AU45" i="24" s="1"/>
  <c r="P349" i="2"/>
  <c r="AS45" i="24" s="1"/>
  <c r="D349" i="2"/>
  <c r="AG348" i="2"/>
  <c r="R348" i="2"/>
  <c r="P348" i="2"/>
  <c r="D348" i="2"/>
  <c r="C69" i="26" s="1"/>
  <c r="AG347" i="2"/>
  <c r="R347" i="2"/>
  <c r="AU73" i="24" s="1"/>
  <c r="P347" i="2"/>
  <c r="AS73" i="24" s="1"/>
  <c r="D347" i="2"/>
  <c r="AG346" i="2"/>
  <c r="R346" i="2"/>
  <c r="AU29" i="24" s="1"/>
  <c r="P346" i="2"/>
  <c r="AS29" i="24" s="1"/>
  <c r="D346" i="2"/>
  <c r="AG345" i="2"/>
  <c r="R345" i="2"/>
  <c r="P345" i="2"/>
  <c r="D345" i="2"/>
  <c r="C257" i="32" s="1"/>
  <c r="AG344" i="2"/>
  <c r="R344" i="2"/>
  <c r="AU51" i="24" s="1"/>
  <c r="P344" i="2"/>
  <c r="AS51" i="24" s="1"/>
  <c r="D344" i="2"/>
  <c r="AG343" i="2"/>
  <c r="R343" i="2"/>
  <c r="P343" i="2"/>
  <c r="D343" i="2"/>
  <c r="C201" i="26" s="1"/>
  <c r="AG342" i="2"/>
  <c r="R342" i="2"/>
  <c r="AU30" i="24" s="1"/>
  <c r="P342" i="2"/>
  <c r="AS30" i="24" s="1"/>
  <c r="D342" i="2"/>
  <c r="AG341" i="2"/>
  <c r="R341" i="2"/>
  <c r="P341" i="2"/>
  <c r="D341" i="2"/>
  <c r="AG340" i="2"/>
  <c r="R340" i="2"/>
  <c r="AU28" i="24" s="1"/>
  <c r="P340" i="2"/>
  <c r="AS28" i="24" s="1"/>
  <c r="D340" i="2"/>
  <c r="AG339" i="2"/>
  <c r="R339" i="2"/>
  <c r="P339" i="2"/>
  <c r="D339" i="2"/>
  <c r="AG338" i="2"/>
  <c r="R338" i="2"/>
  <c r="AU93" i="24" s="1"/>
  <c r="P338" i="2"/>
  <c r="AS93" i="24" s="1"/>
  <c r="D338" i="2"/>
  <c r="R337" i="2"/>
  <c r="P337" i="2"/>
  <c r="D337" i="2"/>
  <c r="C26" i="26" s="1"/>
  <c r="AG336" i="2"/>
  <c r="R336" i="2"/>
  <c r="P336" i="2"/>
  <c r="D336" i="2"/>
  <c r="R335" i="2"/>
  <c r="P335" i="2"/>
  <c r="D335" i="2"/>
  <c r="C28" i="26" s="1"/>
  <c r="AG334" i="2"/>
  <c r="R334" i="2"/>
  <c r="P334" i="2"/>
  <c r="D334" i="2"/>
  <c r="AG333" i="2"/>
  <c r="R333" i="2"/>
  <c r="P333" i="2"/>
  <c r="D333" i="2"/>
  <c r="AG332" i="2"/>
  <c r="R332" i="2"/>
  <c r="P332" i="2"/>
  <c r="D332" i="2"/>
  <c r="C40" i="26" s="1"/>
  <c r="AG331" i="2"/>
  <c r="R331" i="2"/>
  <c r="P331" i="2"/>
  <c r="D331" i="2"/>
  <c r="R330" i="2"/>
  <c r="P330" i="2"/>
  <c r="D330" i="2"/>
  <c r="C27" i="26" s="1"/>
  <c r="AG329" i="2"/>
  <c r="R329" i="2"/>
  <c r="P329" i="2"/>
  <c r="D329" i="2"/>
  <c r="AG328" i="2"/>
  <c r="R328" i="2"/>
  <c r="AU33" i="24" s="1"/>
  <c r="P328" i="2"/>
  <c r="AS33" i="24" s="1"/>
  <c r="D328" i="2"/>
  <c r="AG327" i="2"/>
  <c r="R327" i="2"/>
  <c r="P327" i="2"/>
  <c r="AS88" i="24" s="1"/>
  <c r="D327" i="2"/>
  <c r="AG326" i="2"/>
  <c r="R326" i="2"/>
  <c r="P326" i="2"/>
  <c r="AS70" i="24" s="1"/>
  <c r="D326" i="2"/>
  <c r="AG325" i="2"/>
  <c r="R325" i="2"/>
  <c r="P325" i="2"/>
  <c r="AS89" i="24" s="1"/>
  <c r="D325" i="2"/>
  <c r="AG324" i="2"/>
  <c r="R324" i="2"/>
  <c r="AU48" i="24" s="1"/>
  <c r="P324" i="2"/>
  <c r="AS48" i="24" s="1"/>
  <c r="D324" i="2"/>
  <c r="AG323" i="2"/>
  <c r="R323" i="2"/>
  <c r="P323" i="2"/>
  <c r="AS44" i="24" s="1"/>
  <c r="D323" i="2"/>
  <c r="AG322" i="2"/>
  <c r="R322" i="2"/>
  <c r="P322" i="2"/>
  <c r="D322" i="2"/>
  <c r="C237" i="26" s="1"/>
  <c r="AG321" i="2"/>
  <c r="R321" i="2"/>
  <c r="P321" i="2"/>
  <c r="AS87" i="24" s="1"/>
  <c r="D321" i="2"/>
  <c r="AG320" i="2"/>
  <c r="R320" i="2"/>
  <c r="AU97" i="24" s="1"/>
  <c r="P320" i="2"/>
  <c r="AS97" i="24" s="1"/>
  <c r="D320" i="2"/>
  <c r="C253" i="32" s="1"/>
  <c r="AG319" i="2"/>
  <c r="R319" i="2"/>
  <c r="P319" i="2"/>
  <c r="D319" i="2"/>
  <c r="C236" i="26" s="1"/>
  <c r="AG318" i="2"/>
  <c r="R318" i="2"/>
  <c r="AU7" i="24" s="1"/>
  <c r="P318" i="2"/>
  <c r="AS7" i="24" s="1"/>
  <c r="D318" i="2"/>
  <c r="R317" i="2"/>
  <c r="P317" i="2"/>
  <c r="D317" i="2"/>
  <c r="C235" i="26" s="1"/>
  <c r="AG316" i="2"/>
  <c r="R316" i="2"/>
  <c r="P316" i="2"/>
  <c r="AS60" i="24" s="1"/>
  <c r="D316" i="2"/>
  <c r="AG315" i="2"/>
  <c r="R315" i="2"/>
  <c r="AU43" i="24" s="1"/>
  <c r="P315" i="2"/>
  <c r="AS43" i="24" s="1"/>
  <c r="D315" i="2"/>
  <c r="AG314" i="2"/>
  <c r="R314" i="2"/>
  <c r="AU101" i="24" s="1"/>
  <c r="P314" i="2"/>
  <c r="AS101" i="24" s="1"/>
  <c r="D314" i="2"/>
  <c r="C256" i="32" s="1"/>
  <c r="AG313" i="2"/>
  <c r="R313" i="2"/>
  <c r="P313" i="2"/>
  <c r="D313" i="2"/>
  <c r="AG312" i="2"/>
  <c r="R312" i="2"/>
  <c r="P312" i="2"/>
  <c r="AS53" i="24" s="1"/>
  <c r="D312" i="2"/>
  <c r="AG311" i="2"/>
  <c r="R311" i="2"/>
  <c r="P311" i="2"/>
  <c r="AS95" i="24" s="1"/>
  <c r="D311" i="2"/>
  <c r="AG310" i="2"/>
  <c r="R310" i="2"/>
  <c r="AU23" i="24" s="1"/>
  <c r="P310" i="2"/>
  <c r="AS23" i="24" s="1"/>
  <c r="D310" i="2"/>
  <c r="AG309" i="2"/>
  <c r="R309" i="2"/>
  <c r="P309" i="2"/>
  <c r="AS74" i="24" s="1"/>
  <c r="D309" i="2"/>
  <c r="AG308" i="2"/>
  <c r="R308" i="2"/>
  <c r="P308" i="2"/>
  <c r="D308" i="2"/>
  <c r="AG307" i="2"/>
  <c r="R307" i="2"/>
  <c r="P307" i="2"/>
  <c r="AS25" i="24" s="1"/>
  <c r="D307" i="2"/>
  <c r="AG306" i="2"/>
  <c r="R306" i="2"/>
  <c r="AU8" i="24" s="1"/>
  <c r="P306" i="2"/>
  <c r="AS8" i="24" s="1"/>
  <c r="D306" i="2"/>
  <c r="AG305" i="2"/>
  <c r="R305" i="2"/>
  <c r="AU71" i="24" s="1"/>
  <c r="P305" i="2"/>
  <c r="AS71" i="24" s="1"/>
  <c r="D305" i="2"/>
  <c r="AG304" i="2"/>
  <c r="R304" i="2"/>
  <c r="AU72" i="24" s="1"/>
  <c r="P304" i="2"/>
  <c r="AS72" i="24" s="1"/>
  <c r="D304" i="2"/>
  <c r="AG303" i="2"/>
  <c r="R303" i="2"/>
  <c r="AU26" i="24" s="1"/>
  <c r="P303" i="2"/>
  <c r="AS26" i="24" s="1"/>
  <c r="D303" i="2"/>
  <c r="AG302" i="2"/>
  <c r="R302" i="2"/>
  <c r="P302" i="2"/>
  <c r="AS77" i="24" s="1"/>
  <c r="D302" i="2"/>
  <c r="AG301" i="2"/>
  <c r="R301" i="2"/>
  <c r="AU36" i="24" s="1"/>
  <c r="P301" i="2"/>
  <c r="AS36" i="24" s="1"/>
  <c r="D301" i="2"/>
  <c r="AG300" i="2"/>
  <c r="R300" i="2"/>
  <c r="P300" i="2"/>
  <c r="AS49" i="24" s="1"/>
  <c r="D300" i="2"/>
  <c r="AG299" i="2"/>
  <c r="R299" i="2"/>
  <c r="P299" i="2"/>
  <c r="AS75" i="24" s="1"/>
  <c r="D299" i="2"/>
  <c r="AG298" i="2"/>
  <c r="R298" i="2"/>
  <c r="P298" i="2"/>
  <c r="D298" i="2"/>
  <c r="C265" i="32" s="1"/>
  <c r="AG297" i="2"/>
  <c r="R297" i="2"/>
  <c r="AU76" i="24" s="1"/>
  <c r="P297" i="2"/>
  <c r="D297" i="2"/>
  <c r="AG296" i="2"/>
  <c r="R296" i="2"/>
  <c r="AU63" i="24" s="1"/>
  <c r="P296" i="2"/>
  <c r="D296" i="2"/>
  <c r="AG295" i="2"/>
  <c r="R295" i="2"/>
  <c r="AU78" i="24" s="1"/>
  <c r="P295" i="2"/>
  <c r="D295" i="2"/>
  <c r="AG294" i="2"/>
  <c r="R294" i="2"/>
  <c r="P294" i="2"/>
  <c r="D294" i="2"/>
  <c r="C245" i="32" s="1"/>
  <c r="AG293" i="2"/>
  <c r="R293" i="2"/>
  <c r="P293" i="2"/>
  <c r="D293" i="2"/>
  <c r="AG292" i="2"/>
  <c r="R292" i="2"/>
  <c r="P292" i="2"/>
  <c r="D292" i="2"/>
  <c r="AG291" i="2"/>
  <c r="R291" i="2"/>
  <c r="AU52" i="24" s="1"/>
  <c r="P291" i="2"/>
  <c r="AS52" i="24" s="1"/>
  <c r="D291" i="2"/>
  <c r="AG290" i="2"/>
  <c r="R290" i="2"/>
  <c r="P290" i="2"/>
  <c r="AS54" i="24" s="1"/>
  <c r="D290" i="2"/>
  <c r="AG289" i="2"/>
  <c r="R289" i="2"/>
  <c r="P289" i="2"/>
  <c r="D289" i="2"/>
  <c r="R288" i="2"/>
  <c r="AU46" i="24" s="1"/>
  <c r="P288" i="2"/>
  <c r="AS46" i="24" s="1"/>
  <c r="D288" i="2"/>
  <c r="R287" i="2"/>
  <c r="AU16" i="24" s="1"/>
  <c r="P287" i="2"/>
  <c r="AS16" i="24" s="1"/>
  <c r="D287" i="2"/>
  <c r="R286" i="2"/>
  <c r="AU12" i="24" s="1"/>
  <c r="P286" i="2"/>
  <c r="D286" i="2"/>
  <c r="R285" i="2"/>
  <c r="AU13" i="24" s="1"/>
  <c r="P285" i="2"/>
  <c r="AS13" i="24" s="1"/>
  <c r="D285" i="2"/>
  <c r="AG284" i="2"/>
  <c r="R284" i="2"/>
  <c r="AU39" i="24" s="1"/>
  <c r="P284" i="2"/>
  <c r="D284" i="2"/>
  <c r="R283" i="2"/>
  <c r="AU17" i="24" s="1"/>
  <c r="P283" i="2"/>
  <c r="AS17" i="24" s="1"/>
  <c r="D283" i="2"/>
  <c r="R282" i="2"/>
  <c r="P282" i="2"/>
  <c r="AS10" i="24" s="1"/>
  <c r="D282" i="2"/>
  <c r="R281" i="2"/>
  <c r="AU21" i="24" s="1"/>
  <c r="P281" i="2"/>
  <c r="AS21" i="24" s="1"/>
  <c r="D281" i="2"/>
  <c r="R280" i="2"/>
  <c r="AU15" i="24" s="1"/>
  <c r="P280" i="2"/>
  <c r="D280" i="2"/>
  <c r="R279" i="2"/>
  <c r="AU18" i="24" s="1"/>
  <c r="P279" i="2"/>
  <c r="AS18" i="24" s="1"/>
  <c r="D279" i="2"/>
  <c r="R278" i="2"/>
  <c r="AU11" i="24" s="1"/>
  <c r="P278" i="2"/>
  <c r="D278" i="2"/>
  <c r="R277" i="2"/>
  <c r="P277" i="2"/>
  <c r="AS22" i="24" s="1"/>
  <c r="D277" i="2"/>
  <c r="R276" i="2"/>
  <c r="AU9" i="24" s="1"/>
  <c r="P276" i="2"/>
  <c r="D276" i="2"/>
  <c r="R275" i="2"/>
  <c r="P275" i="2"/>
  <c r="D275" i="2"/>
  <c r="R274" i="2"/>
  <c r="AU14" i="24" s="1"/>
  <c r="P274" i="2"/>
  <c r="AS14" i="24" s="1"/>
  <c r="D274" i="2"/>
  <c r="R273" i="2"/>
  <c r="P273" i="2"/>
  <c r="D273" i="2"/>
  <c r="R272" i="2"/>
  <c r="P272" i="2"/>
  <c r="D272" i="2"/>
  <c r="R271" i="2"/>
  <c r="AU20" i="24" s="1"/>
  <c r="P271" i="2"/>
  <c r="AS20" i="24" s="1"/>
  <c r="D271" i="2"/>
  <c r="R270" i="2"/>
  <c r="P270" i="2"/>
  <c r="AA94" i="24" s="1"/>
  <c r="D270" i="2"/>
  <c r="R269" i="2"/>
  <c r="P269" i="2"/>
  <c r="D269" i="2"/>
  <c r="R268" i="2"/>
  <c r="P268" i="2"/>
  <c r="D268" i="2"/>
  <c r="R267" i="2"/>
  <c r="P267" i="2"/>
  <c r="D267" i="2"/>
  <c r="R266" i="2"/>
  <c r="P266" i="2"/>
  <c r="D266" i="2"/>
  <c r="R265" i="2"/>
  <c r="P265" i="2"/>
  <c r="AA44" i="24" s="1"/>
  <c r="D265" i="2"/>
  <c r="R264" i="2"/>
  <c r="P264" i="2"/>
  <c r="AA74" i="24" s="1"/>
  <c r="D264" i="2"/>
  <c r="R263" i="2"/>
  <c r="P263" i="2"/>
  <c r="D263" i="2"/>
  <c r="R262" i="2"/>
  <c r="P262" i="2"/>
  <c r="AA84" i="24" s="1"/>
  <c r="D262" i="2"/>
  <c r="R261" i="2"/>
  <c r="P261" i="2"/>
  <c r="D261" i="2"/>
  <c r="R260" i="2"/>
  <c r="P260" i="2"/>
  <c r="AA39" i="24" s="1"/>
  <c r="D260" i="2"/>
  <c r="R259" i="2"/>
  <c r="P259" i="2"/>
  <c r="AA83" i="24" s="1"/>
  <c r="D259" i="2"/>
  <c r="R258" i="2"/>
  <c r="P258" i="2"/>
  <c r="D258" i="2"/>
  <c r="R257" i="2"/>
  <c r="P257" i="2"/>
  <c r="D257" i="2"/>
  <c r="R256" i="2"/>
  <c r="P256" i="2"/>
  <c r="D256" i="2"/>
  <c r="R255" i="2"/>
  <c r="P255" i="2"/>
  <c r="D255" i="2"/>
  <c r="R254" i="2"/>
  <c r="P254" i="2"/>
  <c r="D254" i="2"/>
  <c r="R253" i="2"/>
  <c r="P253" i="2"/>
  <c r="D253" i="2"/>
  <c r="R252" i="2"/>
  <c r="P252" i="2"/>
  <c r="AA56" i="24" s="1"/>
  <c r="D252" i="2"/>
  <c r="R251" i="2"/>
  <c r="P251" i="2"/>
  <c r="AA32" i="24" s="1"/>
  <c r="D251" i="2"/>
  <c r="R250" i="2"/>
  <c r="P250" i="2"/>
  <c r="D250" i="2"/>
  <c r="R249" i="2"/>
  <c r="P249" i="2"/>
  <c r="AA61" i="24" s="1"/>
  <c r="D249" i="2"/>
  <c r="R248" i="2"/>
  <c r="P248" i="2"/>
  <c r="D248" i="2"/>
  <c r="R247" i="2"/>
  <c r="P247" i="2"/>
  <c r="D247" i="2"/>
  <c r="R246" i="2"/>
  <c r="P246" i="2"/>
  <c r="AA95" i="24" s="1"/>
  <c r="D246" i="2"/>
  <c r="R245" i="2"/>
  <c r="P245" i="2"/>
  <c r="D245" i="2"/>
  <c r="R244" i="2"/>
  <c r="I179" i="21" s="1"/>
  <c r="AU179" i="21" s="1"/>
  <c r="P244" i="2"/>
  <c r="D244" i="2"/>
  <c r="R243" i="2"/>
  <c r="I202" i="21" s="1"/>
  <c r="P243" i="2"/>
  <c r="AA16" i="24" s="1"/>
  <c r="D243" i="2"/>
  <c r="R242" i="2"/>
  <c r="I200" i="21" s="1"/>
  <c r="Q200" i="21" s="1"/>
  <c r="P242" i="2"/>
  <c r="D242" i="2"/>
  <c r="R241" i="2"/>
  <c r="I206" i="21" s="1"/>
  <c r="P241" i="2"/>
  <c r="AA21" i="24" s="1"/>
  <c r="D241" i="2"/>
  <c r="R240" i="2"/>
  <c r="I178" i="21" s="1"/>
  <c r="P178" i="21" s="1"/>
  <c r="P240" i="2"/>
  <c r="D240" i="2"/>
  <c r="R239" i="2"/>
  <c r="I204" i="21" s="1"/>
  <c r="P239" i="2"/>
  <c r="D239" i="2"/>
  <c r="R238" i="2"/>
  <c r="I197" i="21" s="1"/>
  <c r="AA197" i="21" s="1"/>
  <c r="P238" i="2"/>
  <c r="AA20" i="24" s="1"/>
  <c r="D238" i="2"/>
  <c r="R237" i="2"/>
  <c r="I234" i="21" s="1"/>
  <c r="P237" i="2"/>
  <c r="AA93" i="24" s="1"/>
  <c r="D237" i="2"/>
  <c r="R236" i="2"/>
  <c r="P236" i="2"/>
  <c r="D236" i="2"/>
  <c r="R235" i="2"/>
  <c r="P235" i="2"/>
  <c r="D235" i="2"/>
  <c r="R234" i="2"/>
  <c r="I194" i="21" s="1"/>
  <c r="P234" i="2"/>
  <c r="AA92" i="24" s="1"/>
  <c r="D234" i="2"/>
  <c r="R233" i="2"/>
  <c r="I247" i="21" s="1"/>
  <c r="P233" i="2"/>
  <c r="AA59" i="24" s="1"/>
  <c r="D233" i="2"/>
  <c r="R232" i="2"/>
  <c r="I246" i="21" s="1"/>
  <c r="P232" i="2"/>
  <c r="AA55" i="24" s="1"/>
  <c r="D232" i="2"/>
  <c r="R231" i="2"/>
  <c r="I250" i="21" s="1"/>
  <c r="AT250" i="21" s="1"/>
  <c r="P231" i="2"/>
  <c r="AA57" i="24" s="1"/>
  <c r="D231" i="2"/>
  <c r="R230" i="2"/>
  <c r="I254" i="21" s="1"/>
  <c r="AA254" i="21" s="1"/>
  <c r="P230" i="2"/>
  <c r="AA34" i="24" s="1"/>
  <c r="D230" i="2"/>
  <c r="R229" i="2"/>
  <c r="P229" i="2"/>
  <c r="AA111" i="24" s="1"/>
  <c r="D229" i="2"/>
  <c r="R228" i="2"/>
  <c r="I164" i="21" s="1"/>
  <c r="AL164" i="21" s="1"/>
  <c r="P228" i="2"/>
  <c r="AA66" i="24" s="1"/>
  <c r="D228" i="2"/>
  <c r="R227" i="2"/>
  <c r="I171" i="21" s="1"/>
  <c r="AH171" i="21" s="1"/>
  <c r="P227" i="2"/>
  <c r="AA7" i="24" s="1"/>
  <c r="D227" i="2"/>
  <c r="R226" i="2"/>
  <c r="P226" i="2"/>
  <c r="D226" i="2"/>
  <c r="R225" i="2"/>
  <c r="P225" i="2"/>
  <c r="D225" i="2"/>
  <c r="R224" i="2"/>
  <c r="P224" i="2"/>
  <c r="AA73" i="24" s="1"/>
  <c r="D224" i="2"/>
  <c r="R223" i="2"/>
  <c r="I218" i="21" s="1"/>
  <c r="T218" i="21" s="1"/>
  <c r="P223" i="2"/>
  <c r="AA77" i="24" s="1"/>
  <c r="D223" i="2"/>
  <c r="R222" i="2"/>
  <c r="P222" i="2"/>
  <c r="AA80" i="24" s="1"/>
  <c r="D222" i="2"/>
  <c r="R221" i="2"/>
  <c r="I205" i="21" s="1"/>
  <c r="P221" i="2"/>
  <c r="AA72" i="24" s="1"/>
  <c r="D221" i="2"/>
  <c r="R220" i="2"/>
  <c r="I242" i="21" s="1"/>
  <c r="P220" i="2"/>
  <c r="D220" i="2"/>
  <c r="R219" i="2"/>
  <c r="P219" i="2"/>
  <c r="AA64" i="24" s="1"/>
  <c r="D219" i="2"/>
  <c r="R218" i="2"/>
  <c r="P218" i="2"/>
  <c r="AA60" i="24" s="1"/>
  <c r="D218" i="2"/>
  <c r="R217" i="2"/>
  <c r="I147" i="21" s="1"/>
  <c r="P147" i="21" s="1"/>
  <c r="P217" i="2"/>
  <c r="D217" i="2"/>
  <c r="R216" i="2"/>
  <c r="I244" i="21" s="1"/>
  <c r="P216" i="2"/>
  <c r="AA68" i="24" s="1"/>
  <c r="D216" i="2"/>
  <c r="R215" i="2"/>
  <c r="I170" i="21" s="1"/>
  <c r="P215" i="2"/>
  <c r="D215" i="2"/>
  <c r="R214" i="2"/>
  <c r="I152" i="21" s="1"/>
  <c r="P214" i="2"/>
  <c r="D214" i="2"/>
  <c r="R213" i="2"/>
  <c r="P213" i="2"/>
  <c r="AA106" i="24" s="1"/>
  <c r="D213" i="2"/>
  <c r="R212" i="2"/>
  <c r="P212" i="2"/>
  <c r="AA42" i="24" s="1"/>
  <c r="D212" i="2"/>
  <c r="R211" i="2"/>
  <c r="I151" i="21" s="1"/>
  <c r="AR151" i="21" s="1"/>
  <c r="P211" i="2"/>
  <c r="AA91" i="24" s="1"/>
  <c r="D211" i="2"/>
  <c r="R210" i="2"/>
  <c r="P210" i="2"/>
  <c r="D210" i="2"/>
  <c r="R209" i="2"/>
  <c r="I166" i="21" s="1"/>
  <c r="P209" i="2"/>
  <c r="D209" i="2"/>
  <c r="R208" i="2"/>
  <c r="I148" i="21" s="1"/>
  <c r="AL148" i="21" s="1"/>
  <c r="P208" i="2"/>
  <c r="D208" i="2"/>
  <c r="R207" i="2"/>
  <c r="P207" i="2"/>
  <c r="D207" i="2"/>
  <c r="R206" i="2"/>
  <c r="P206" i="2"/>
  <c r="D206" i="2"/>
  <c r="R205" i="2"/>
  <c r="I229" i="21" s="1"/>
  <c r="P205" i="2"/>
  <c r="AA87" i="24" s="1"/>
  <c r="D205" i="2"/>
  <c r="R204" i="2"/>
  <c r="I140" i="21" s="1"/>
  <c r="AP140" i="21" s="1"/>
  <c r="P204" i="2"/>
  <c r="D204" i="2"/>
  <c r="R203" i="2"/>
  <c r="P203" i="2"/>
  <c r="D203" i="2"/>
  <c r="R202" i="2"/>
  <c r="P202" i="2"/>
  <c r="AA75" i="24" s="1"/>
  <c r="D202" i="2"/>
  <c r="R201" i="2"/>
  <c r="I228" i="21" s="1"/>
  <c r="P201" i="2"/>
  <c r="AA62" i="24" s="1"/>
  <c r="D201" i="2"/>
  <c r="R200" i="2"/>
  <c r="I169" i="21" s="1"/>
  <c r="M169" i="21" s="1"/>
  <c r="P200" i="2"/>
  <c r="AA76" i="24" s="1"/>
  <c r="D200" i="2"/>
  <c r="R199" i="2"/>
  <c r="I173" i="21" s="1"/>
  <c r="P199" i="2"/>
  <c r="AA63" i="24" s="1"/>
  <c r="D199" i="2"/>
  <c r="R198" i="2"/>
  <c r="I220" i="21" s="1"/>
  <c r="AR220" i="21" s="1"/>
  <c r="P198" i="2"/>
  <c r="AA48" i="24" s="1"/>
  <c r="D198" i="2"/>
  <c r="R197" i="2"/>
  <c r="I195" i="21" s="1"/>
  <c r="AL195" i="21" s="1"/>
  <c r="P197" i="2"/>
  <c r="AA65" i="24" s="1"/>
  <c r="D197" i="2"/>
  <c r="R196" i="2"/>
  <c r="I124" i="21" s="1"/>
  <c r="AD124" i="21" s="1"/>
  <c r="P196" i="2"/>
  <c r="AA109" i="24" s="1"/>
  <c r="D196" i="2"/>
  <c r="R195" i="2"/>
  <c r="I127" i="21" s="1"/>
  <c r="AJ127" i="21" s="1"/>
  <c r="P195" i="2"/>
  <c r="D195" i="2"/>
  <c r="R194" i="2"/>
  <c r="I126" i="21" s="1"/>
  <c r="P194" i="2"/>
  <c r="D194" i="2"/>
  <c r="R193" i="2"/>
  <c r="P193" i="2"/>
  <c r="D193" i="2"/>
  <c r="R192" i="2"/>
  <c r="I193" i="21" s="1"/>
  <c r="AA193" i="21" s="1"/>
  <c r="P192" i="2"/>
  <c r="D192" i="2"/>
  <c r="R191" i="2"/>
  <c r="I154" i="21" s="1"/>
  <c r="P191" i="2"/>
  <c r="D191" i="2"/>
  <c r="R190" i="2"/>
  <c r="I192" i="21" s="1"/>
  <c r="AT192" i="21" s="1"/>
  <c r="P190" i="2"/>
  <c r="D190" i="2"/>
  <c r="R189" i="2"/>
  <c r="I217" i="21" s="1"/>
  <c r="AC217" i="21" s="1"/>
  <c r="P189" i="2"/>
  <c r="AA71" i="24" s="1"/>
  <c r="D189" i="2"/>
  <c r="R188" i="2"/>
  <c r="I191" i="21" s="1"/>
  <c r="AL191" i="21" s="1"/>
  <c r="P188" i="2"/>
  <c r="D188" i="2"/>
  <c r="R187" i="2"/>
  <c r="I190" i="21" s="1"/>
  <c r="P187" i="2"/>
  <c r="D187" i="2"/>
  <c r="R186" i="2"/>
  <c r="I189" i="21" s="1"/>
  <c r="AA189" i="21" s="1"/>
  <c r="P186" i="2"/>
  <c r="D186" i="2"/>
  <c r="R185" i="2"/>
  <c r="I188" i="21" s="1"/>
  <c r="AT188" i="21" s="1"/>
  <c r="P185" i="2"/>
  <c r="D185" i="2"/>
  <c r="R184" i="2"/>
  <c r="I187" i="21" s="1"/>
  <c r="AL187" i="21" s="1"/>
  <c r="P184" i="2"/>
  <c r="D184" i="2"/>
  <c r="R183" i="2"/>
  <c r="I186" i="21" s="1"/>
  <c r="P183" i="2"/>
  <c r="D183" i="2"/>
  <c r="R182" i="2"/>
  <c r="I185" i="21" s="1"/>
  <c r="AA185" i="21" s="1"/>
  <c r="P182" i="2"/>
  <c r="AA14" i="24" s="1"/>
  <c r="D182" i="2"/>
  <c r="R181" i="2"/>
  <c r="I196" i="21" s="1"/>
  <c r="AT196" i="21" s="1"/>
  <c r="P181" i="2"/>
  <c r="AA11" i="24" s="1"/>
  <c r="D181" i="2"/>
  <c r="R180" i="2"/>
  <c r="I181" i="21" s="1"/>
  <c r="X181" i="21" s="1"/>
  <c r="P180" i="2"/>
  <c r="AA9" i="24" s="1"/>
  <c r="D180" i="2"/>
  <c r="R179" i="2"/>
  <c r="I157" i="21" s="1"/>
  <c r="P179" i="2"/>
  <c r="AA54" i="24" s="1"/>
  <c r="D179" i="2"/>
  <c r="R178" i="2"/>
  <c r="I212" i="21" s="1"/>
  <c r="AX212" i="21" s="1"/>
  <c r="P178" i="2"/>
  <c r="AA52" i="24" s="1"/>
  <c r="D178" i="2"/>
  <c r="R177" i="2"/>
  <c r="I184" i="21" s="1"/>
  <c r="AT184" i="21" s="1"/>
  <c r="P177" i="2"/>
  <c r="AA13" i="24" s="1"/>
  <c r="D177" i="2"/>
  <c r="R176" i="2"/>
  <c r="I235" i="21" s="1"/>
  <c r="P176" i="2"/>
  <c r="AA53" i="24" s="1"/>
  <c r="D176" i="2"/>
  <c r="R175" i="2"/>
  <c r="P175" i="2"/>
  <c r="AA67" i="24" s="1"/>
  <c r="D175" i="2"/>
  <c r="R174" i="2"/>
  <c r="P174" i="2"/>
  <c r="D174" i="2"/>
  <c r="R173" i="2"/>
  <c r="I100" i="21" s="1"/>
  <c r="AO100" i="21" s="1"/>
  <c r="P173" i="2"/>
  <c r="D173" i="2"/>
  <c r="R172" i="2"/>
  <c r="I123" i="21" s="1"/>
  <c r="P172" i="2"/>
  <c r="D172" i="2"/>
  <c r="R171" i="2"/>
  <c r="I119" i="21" s="1"/>
  <c r="AX119" i="21" s="1"/>
  <c r="P171" i="2"/>
  <c r="D171" i="2"/>
  <c r="R170" i="2"/>
  <c r="I116" i="21" s="1"/>
  <c r="P170" i="2"/>
  <c r="D170" i="2"/>
  <c r="R169" i="2"/>
  <c r="I201" i="21" s="1"/>
  <c r="K201" i="21" s="1"/>
  <c r="P169" i="2"/>
  <c r="D169" i="2"/>
  <c r="R168" i="2"/>
  <c r="I129" i="21" s="1"/>
  <c r="AE129" i="21" s="1"/>
  <c r="P168" i="2"/>
  <c r="D168" i="2"/>
  <c r="R167" i="2"/>
  <c r="I97" i="21" s="1"/>
  <c r="P167" i="2"/>
  <c r="D167" i="2"/>
  <c r="R166" i="2"/>
  <c r="I199" i="21" s="1"/>
  <c r="P166" i="2"/>
  <c r="D166" i="2"/>
  <c r="R165" i="2"/>
  <c r="I128" i="21" s="1"/>
  <c r="AO128" i="21" s="1"/>
  <c r="P165" i="2"/>
  <c r="D165" i="2"/>
  <c r="R164" i="2"/>
  <c r="I94" i="21" s="1"/>
  <c r="P164" i="2"/>
  <c r="D164" i="2"/>
  <c r="R163" i="2"/>
  <c r="I93" i="21" s="1"/>
  <c r="P163" i="2"/>
  <c r="D163" i="2"/>
  <c r="R162" i="2"/>
  <c r="P162" i="2"/>
  <c r="D162" i="2"/>
  <c r="R161" i="2"/>
  <c r="I92" i="21" s="1"/>
  <c r="AO92" i="21" s="1"/>
  <c r="P161" i="2"/>
  <c r="D161" i="2"/>
  <c r="R160" i="2"/>
  <c r="I91" i="21" s="1"/>
  <c r="AV91" i="21" s="1"/>
  <c r="P160" i="2"/>
  <c r="D160" i="2"/>
  <c r="R159" i="2"/>
  <c r="I85" i="21" s="1"/>
  <c r="AO85" i="21" s="1"/>
  <c r="P159" i="2"/>
  <c r="D159" i="2"/>
  <c r="R158" i="2"/>
  <c r="P158" i="2"/>
  <c r="D158" i="2"/>
  <c r="R157" i="2"/>
  <c r="I177" i="21" s="1"/>
  <c r="AI177" i="21" s="1"/>
  <c r="P157" i="2"/>
  <c r="D157" i="2"/>
  <c r="R156" i="2"/>
  <c r="I90" i="21" s="1"/>
  <c r="P156" i="2"/>
  <c r="D156" i="2"/>
  <c r="R155" i="2"/>
  <c r="I180" i="21" s="1"/>
  <c r="P155" i="2"/>
  <c r="D155" i="2"/>
  <c r="R154" i="2"/>
  <c r="I104" i="21" s="1"/>
  <c r="AC104" i="21" s="1"/>
  <c r="P154" i="2"/>
  <c r="D154" i="2"/>
  <c r="R153" i="2"/>
  <c r="I125" i="21" s="1"/>
  <c r="AI125" i="21" s="1"/>
  <c r="P153" i="2"/>
  <c r="D153" i="2"/>
  <c r="R152" i="2"/>
  <c r="P152" i="2"/>
  <c r="D152" i="2"/>
  <c r="R151" i="2"/>
  <c r="I258" i="21" s="1"/>
  <c r="P151" i="2"/>
  <c r="D151" i="2"/>
  <c r="R150" i="2"/>
  <c r="P150" i="2"/>
  <c r="D150" i="2"/>
  <c r="R149" i="2"/>
  <c r="P149" i="2"/>
  <c r="D149" i="2"/>
  <c r="R148" i="2"/>
  <c r="I139" i="21" s="1"/>
  <c r="AA139" i="21" s="1"/>
  <c r="P148" i="2"/>
  <c r="D148" i="2"/>
  <c r="R147" i="2"/>
  <c r="I88" i="21" s="1"/>
  <c r="P147" i="2"/>
  <c r="D147" i="2"/>
  <c r="R146" i="2"/>
  <c r="I87" i="21" s="1"/>
  <c r="AJ87" i="21" s="1"/>
  <c r="P146" i="2"/>
  <c r="D146" i="2"/>
  <c r="R145" i="2"/>
  <c r="I168" i="21" s="1"/>
  <c r="AV168" i="21" s="1"/>
  <c r="P145" i="2"/>
  <c r="D145" i="2"/>
  <c r="R144" i="2"/>
  <c r="I109" i="21" s="1"/>
  <c r="AT109" i="21" s="1"/>
  <c r="P144" i="2"/>
  <c r="D144" i="2"/>
  <c r="R143" i="2"/>
  <c r="I77" i="21" s="1"/>
  <c r="P143" i="2"/>
  <c r="D143" i="2"/>
  <c r="R142" i="2"/>
  <c r="I165" i="21" s="1"/>
  <c r="Y165" i="21" s="1"/>
  <c r="P142" i="2"/>
  <c r="D142" i="2"/>
  <c r="R141" i="2"/>
  <c r="I167" i="21" s="1"/>
  <c r="AS167" i="21" s="1"/>
  <c r="P141" i="2"/>
  <c r="D141" i="2"/>
  <c r="R140" i="2"/>
  <c r="I86" i="21" s="1"/>
  <c r="P140" i="2"/>
  <c r="D140" i="2"/>
  <c r="R139" i="2"/>
  <c r="P139" i="2"/>
  <c r="D139" i="2"/>
  <c r="R138" i="2"/>
  <c r="I81" i="21" s="1"/>
  <c r="AH81" i="21" s="1"/>
  <c r="P138" i="2"/>
  <c r="D138" i="2"/>
  <c r="R137" i="2"/>
  <c r="P137" i="2"/>
  <c r="D137" i="2"/>
  <c r="R136" i="2"/>
  <c r="I161" i="21" s="1"/>
  <c r="M161" i="21" s="1"/>
  <c r="P136" i="2"/>
  <c r="D136" i="2"/>
  <c r="R135" i="2"/>
  <c r="P135" i="2"/>
  <c r="D135" i="2"/>
  <c r="R134" i="2"/>
  <c r="P134" i="2"/>
  <c r="D134" i="2"/>
  <c r="R133" i="2"/>
  <c r="P133" i="2"/>
  <c r="D133" i="2"/>
  <c r="R132" i="2"/>
  <c r="P132" i="2"/>
  <c r="D132" i="2"/>
  <c r="R131" i="2"/>
  <c r="P131" i="2"/>
  <c r="D131" i="2"/>
  <c r="R130" i="2"/>
  <c r="I158" i="21" s="1"/>
  <c r="P130" i="2"/>
  <c r="D130" i="2"/>
  <c r="R129" i="2"/>
  <c r="I163" i="21" s="1"/>
  <c r="AH163" i="21" s="1"/>
  <c r="P129" i="2"/>
  <c r="D129" i="2"/>
  <c r="R128" i="2"/>
  <c r="I106" i="21" s="1"/>
  <c r="P128" i="2"/>
  <c r="D128" i="2"/>
  <c r="R127" i="2"/>
  <c r="I134" i="21" s="1"/>
  <c r="AH134" i="21" s="1"/>
  <c r="P127" i="2"/>
  <c r="D127" i="2"/>
  <c r="R126" i="2"/>
  <c r="P126" i="2"/>
  <c r="D126" i="2"/>
  <c r="R125" i="2"/>
  <c r="P125" i="2"/>
  <c r="D125" i="2"/>
  <c r="R124" i="2"/>
  <c r="I159" i="21" s="1"/>
  <c r="AS159" i="21" s="1"/>
  <c r="P124" i="2"/>
  <c r="D124" i="2"/>
  <c r="R123" i="2"/>
  <c r="P123" i="2"/>
  <c r="D123" i="2"/>
  <c r="R122" i="2"/>
  <c r="I67" i="21" s="1"/>
  <c r="AD67" i="21" s="1"/>
  <c r="P122" i="2"/>
  <c r="D122" i="2"/>
  <c r="R121" i="2"/>
  <c r="I73" i="21" s="1"/>
  <c r="P121" i="2"/>
  <c r="D121" i="2"/>
  <c r="R120" i="2"/>
  <c r="I114" i="21" s="1"/>
  <c r="AB114" i="21" s="1"/>
  <c r="P120" i="2"/>
  <c r="D120" i="2"/>
  <c r="R119" i="2"/>
  <c r="I101" i="21" s="1"/>
  <c r="P119" i="2"/>
  <c r="D119" i="2"/>
  <c r="R118" i="2"/>
  <c r="P118" i="2"/>
  <c r="D118" i="2"/>
  <c r="R117" i="2"/>
  <c r="P117" i="2"/>
  <c r="D117" i="2"/>
  <c r="R116" i="2"/>
  <c r="P116" i="2"/>
  <c r="D116" i="2"/>
  <c r="R115" i="2"/>
  <c r="P115" i="2"/>
  <c r="D115" i="2"/>
  <c r="R114" i="2"/>
  <c r="I59" i="21" s="1"/>
  <c r="P114" i="2"/>
  <c r="D114" i="2"/>
  <c r="R113" i="2"/>
  <c r="I99" i="21" s="1"/>
  <c r="AE99" i="21" s="1"/>
  <c r="P113" i="2"/>
  <c r="D113" i="2"/>
  <c r="R112" i="2"/>
  <c r="I98" i="21" s="1"/>
  <c r="P112" i="2"/>
  <c r="D112" i="2"/>
  <c r="R111" i="2"/>
  <c r="I75" i="21" s="1"/>
  <c r="P111" i="2"/>
  <c r="D111" i="2"/>
  <c r="R110" i="2"/>
  <c r="I96" i="21" s="1"/>
  <c r="P110" i="2"/>
  <c r="D110" i="2"/>
  <c r="R109" i="2"/>
  <c r="P109" i="2"/>
  <c r="D109" i="2"/>
  <c r="R108" i="2"/>
  <c r="P108" i="2"/>
  <c r="D108" i="2"/>
  <c r="R107" i="2"/>
  <c r="I172" i="21" s="1"/>
  <c r="P172" i="21" s="1"/>
  <c r="P107" i="2"/>
  <c r="D107" i="2"/>
  <c r="R106" i="2"/>
  <c r="P106" i="2"/>
  <c r="D106" i="2"/>
  <c r="R105" i="2"/>
  <c r="I136" i="21" s="1"/>
  <c r="AP136" i="21" s="1"/>
  <c r="P105" i="2"/>
  <c r="D105" i="2"/>
  <c r="R104" i="2"/>
  <c r="P104" i="2"/>
  <c r="D104" i="2"/>
  <c r="R103" i="2"/>
  <c r="I110" i="21" s="1"/>
  <c r="P103" i="2"/>
  <c r="D103" i="2"/>
  <c r="R102" i="2"/>
  <c r="I115" i="21" s="1"/>
  <c r="P102" i="2"/>
  <c r="D102" i="2"/>
  <c r="R101" i="2"/>
  <c r="I131" i="21" s="1"/>
  <c r="P101" i="2"/>
  <c r="D101" i="2"/>
  <c r="R100" i="2"/>
  <c r="I95" i="21" s="1"/>
  <c r="AJ95" i="21" s="1"/>
  <c r="P100" i="2"/>
  <c r="D100" i="2"/>
  <c r="R99" i="2"/>
  <c r="I108" i="21" s="1"/>
  <c r="AC108" i="21" s="1"/>
  <c r="P99" i="2"/>
  <c r="D99" i="2"/>
  <c r="R98" i="2"/>
  <c r="P98" i="2"/>
  <c r="D98" i="2"/>
  <c r="R97" i="2"/>
  <c r="P97" i="2"/>
  <c r="D97" i="2"/>
  <c r="R96" i="2"/>
  <c r="P96" i="2"/>
  <c r="D96" i="2"/>
  <c r="R95" i="2"/>
  <c r="I111" i="21" s="1"/>
  <c r="AE111" i="21" s="1"/>
  <c r="P95" i="2"/>
  <c r="D95" i="2"/>
  <c r="R94" i="2"/>
  <c r="I107" i="21" s="1"/>
  <c r="AV107" i="21" s="1"/>
  <c r="P94" i="2"/>
  <c r="D94" i="2"/>
  <c r="R93" i="2"/>
  <c r="I69" i="21" s="1"/>
  <c r="P93" i="2"/>
  <c r="D93" i="2"/>
  <c r="R92" i="2"/>
  <c r="I130" i="21" s="1"/>
  <c r="AB130" i="21" s="1"/>
  <c r="P92" i="2"/>
  <c r="D92" i="2"/>
  <c r="R91" i="2"/>
  <c r="I118" i="21" s="1"/>
  <c r="P91" i="2"/>
  <c r="D91" i="2"/>
  <c r="R90" i="2"/>
  <c r="I120" i="21" s="1"/>
  <c r="AW120" i="21" s="1"/>
  <c r="P90" i="2"/>
  <c r="D90" i="2"/>
  <c r="R89" i="2"/>
  <c r="I89" i="21" s="1"/>
  <c r="AO89" i="21" s="1"/>
  <c r="P89" i="2"/>
  <c r="D89" i="2"/>
  <c r="R88" i="2"/>
  <c r="I113" i="21" s="1"/>
  <c r="AH113" i="21" s="1"/>
  <c r="P88" i="2"/>
  <c r="D88" i="2"/>
  <c r="R87" i="2"/>
  <c r="I105" i="21" s="1"/>
  <c r="P87" i="2"/>
  <c r="D87" i="2"/>
  <c r="R86" i="2"/>
  <c r="I103" i="21" s="1"/>
  <c r="P86" i="2"/>
  <c r="D86" i="2"/>
  <c r="R85" i="2"/>
  <c r="I45" i="21" s="1"/>
  <c r="AQ45" i="21" s="1"/>
  <c r="P85" i="2"/>
  <c r="D85" i="2"/>
  <c r="R84" i="2"/>
  <c r="I60" i="21" s="1"/>
  <c r="AH60" i="21" s="1"/>
  <c r="P84" i="2"/>
  <c r="D84" i="2"/>
  <c r="R83" i="2"/>
  <c r="P83" i="2"/>
  <c r="D83" i="2"/>
  <c r="R82" i="2"/>
  <c r="P82" i="2"/>
  <c r="D82" i="2"/>
  <c r="R81" i="2"/>
  <c r="P81" i="2"/>
  <c r="D81" i="2"/>
  <c r="R80" i="2"/>
  <c r="I26" i="21" s="1"/>
  <c r="AW26" i="21" s="1"/>
  <c r="P80" i="2"/>
  <c r="D80" i="2"/>
  <c r="R79" i="2"/>
  <c r="P79" i="2"/>
  <c r="D79" i="2"/>
  <c r="R78" i="2"/>
  <c r="P78" i="2"/>
  <c r="D78" i="2"/>
  <c r="R77" i="2"/>
  <c r="P77" i="2"/>
  <c r="D77" i="2"/>
  <c r="R76" i="2"/>
  <c r="P76" i="2"/>
  <c r="D76" i="2"/>
  <c r="R75" i="2"/>
  <c r="I13" i="21" s="1"/>
  <c r="P75" i="2"/>
  <c r="D75" i="2"/>
  <c r="R74" i="2"/>
  <c r="P74" i="2"/>
  <c r="D74" i="2"/>
  <c r="R73" i="2"/>
  <c r="P73" i="2"/>
  <c r="D73" i="2"/>
  <c r="R72" i="2"/>
  <c r="I47" i="21" s="1"/>
  <c r="AI47" i="21" s="1"/>
  <c r="P72" i="2"/>
  <c r="D72" i="2"/>
  <c r="R71" i="2"/>
  <c r="P71" i="2"/>
  <c r="D71" i="2"/>
  <c r="R70" i="2"/>
  <c r="P70" i="2"/>
  <c r="D70" i="2"/>
  <c r="R69" i="2"/>
  <c r="I34" i="21" s="1"/>
  <c r="AK34" i="21" s="1"/>
  <c r="P69" i="2"/>
  <c r="D69" i="2"/>
  <c r="R68" i="2"/>
  <c r="P68" i="2"/>
  <c r="D68" i="2"/>
  <c r="R67" i="2"/>
  <c r="I48" i="21" s="1"/>
  <c r="P67" i="2"/>
  <c r="D67" i="2"/>
  <c r="R66" i="2"/>
  <c r="I71" i="21" s="1"/>
  <c r="AI71" i="21" s="1"/>
  <c r="P66" i="2"/>
  <c r="D66" i="2"/>
  <c r="R65" i="2"/>
  <c r="I57" i="21" s="1"/>
  <c r="P65" i="2"/>
  <c r="D65" i="2"/>
  <c r="R64" i="2"/>
  <c r="I12" i="21" s="1"/>
  <c r="AQ12" i="21" s="1"/>
  <c r="P64" i="2"/>
  <c r="D64" i="2"/>
  <c r="R63" i="2"/>
  <c r="I40" i="21" s="1"/>
  <c r="P63" i="2"/>
  <c r="D63" i="2"/>
  <c r="R62" i="2"/>
  <c r="P62" i="2"/>
  <c r="D62" i="2"/>
  <c r="R61" i="2"/>
  <c r="I44" i="21" s="1"/>
  <c r="P61" i="2"/>
  <c r="D61" i="2"/>
  <c r="R60" i="2"/>
  <c r="I43" i="21" s="1"/>
  <c r="AT43" i="21" s="1"/>
  <c r="P60" i="2"/>
  <c r="D60" i="2"/>
  <c r="R59" i="2"/>
  <c r="P59" i="2"/>
  <c r="D59" i="2"/>
  <c r="R58" i="2"/>
  <c r="P58" i="2"/>
  <c r="D58" i="2"/>
  <c r="R57" i="2"/>
  <c r="P57" i="2"/>
  <c r="D57" i="2"/>
  <c r="R56" i="2"/>
  <c r="P56" i="2"/>
  <c r="D56" i="2"/>
  <c r="R55" i="2"/>
  <c r="P55" i="2"/>
  <c r="D55" i="2"/>
  <c r="R54" i="2"/>
  <c r="P54" i="2"/>
  <c r="D54" i="2"/>
  <c r="R53" i="2"/>
  <c r="I54" i="21" s="1"/>
  <c r="AF54" i="21" s="1"/>
  <c r="P53" i="2"/>
  <c r="D53" i="2"/>
  <c r="R52" i="2"/>
  <c r="P52" i="2"/>
  <c r="D52" i="2"/>
  <c r="R51" i="2"/>
  <c r="P51" i="2"/>
  <c r="D51" i="2"/>
  <c r="R50" i="2"/>
  <c r="P50" i="2"/>
  <c r="D50" i="2"/>
  <c r="R49" i="2"/>
  <c r="I55" i="21" s="1"/>
  <c r="AP55" i="21" s="1"/>
  <c r="P49" i="2"/>
  <c r="D49" i="2"/>
  <c r="R48" i="2"/>
  <c r="I25" i="21" s="1"/>
  <c r="P48" i="2"/>
  <c r="D48" i="2"/>
  <c r="R47" i="2"/>
  <c r="I50" i="21" s="1"/>
  <c r="P47" i="2"/>
  <c r="D47" i="2"/>
  <c r="R46" i="2"/>
  <c r="I10" i="21" s="1"/>
  <c r="P46" i="2"/>
  <c r="D46" i="2"/>
  <c r="R45" i="2"/>
  <c r="I31" i="21" s="1"/>
  <c r="AX31" i="21" s="1"/>
  <c r="P45" i="2"/>
  <c r="D45" i="2"/>
  <c r="R44" i="2"/>
  <c r="I33" i="21" s="1"/>
  <c r="P44" i="2"/>
  <c r="D44" i="2"/>
  <c r="R43" i="2"/>
  <c r="P43" i="2"/>
  <c r="D43" i="2"/>
  <c r="R42" i="2"/>
  <c r="I21" i="21" s="1"/>
  <c r="P42" i="2"/>
  <c r="D42" i="2"/>
  <c r="R41" i="2"/>
  <c r="P41" i="2"/>
  <c r="D41" i="2"/>
  <c r="R40" i="2"/>
  <c r="I84" i="21" s="1"/>
  <c r="AI84" i="21" s="1"/>
  <c r="P40" i="2"/>
  <c r="D40" i="2"/>
  <c r="R39" i="2"/>
  <c r="I30" i="21" s="1"/>
  <c r="P39" i="2"/>
  <c r="D39" i="2"/>
  <c r="R38" i="2"/>
  <c r="I19" i="21" s="1"/>
  <c r="AT19" i="21" s="1"/>
  <c r="P38" i="2"/>
  <c r="D38" i="2"/>
  <c r="R37" i="2"/>
  <c r="I22" i="21" s="1"/>
  <c r="AK22" i="21" s="1"/>
  <c r="P37" i="2"/>
  <c r="D37" i="2"/>
  <c r="R36" i="2"/>
  <c r="I68" i="21" s="1"/>
  <c r="AH68" i="21" s="1"/>
  <c r="P36" i="2"/>
  <c r="D36" i="2"/>
  <c r="R35" i="2"/>
  <c r="I64" i="21" s="1"/>
  <c r="P35" i="2"/>
  <c r="D35" i="2"/>
  <c r="R34" i="2"/>
  <c r="I63" i="21" s="1"/>
  <c r="AI63" i="21" s="1"/>
  <c r="P34" i="2"/>
  <c r="D34" i="2"/>
  <c r="R33" i="2"/>
  <c r="P33" i="2"/>
  <c r="D33" i="2"/>
  <c r="R32" i="2"/>
  <c r="I66" i="21" s="1"/>
  <c r="AL66" i="21" s="1"/>
  <c r="P32" i="2"/>
  <c r="D32" i="2"/>
  <c r="R31" i="2"/>
  <c r="I24" i="21" s="1"/>
  <c r="P31" i="2"/>
  <c r="D31" i="2"/>
  <c r="R30" i="2"/>
  <c r="I16" i="21" s="1"/>
  <c r="P30" i="2"/>
  <c r="D30" i="2"/>
  <c r="R29" i="2"/>
  <c r="I18" i="21" s="1"/>
  <c r="AK18" i="21" s="1"/>
  <c r="P29" i="2"/>
  <c r="D29" i="2"/>
  <c r="R28" i="2"/>
  <c r="I38" i="21" s="1"/>
  <c r="AW38" i="21" s="1"/>
  <c r="P28" i="2"/>
  <c r="D28" i="2"/>
  <c r="R27" i="2"/>
  <c r="I9" i="21" s="1"/>
  <c r="P27" i="2"/>
  <c r="D27" i="2"/>
  <c r="R26" i="2"/>
  <c r="I23" i="21" s="1"/>
  <c r="P26" i="2"/>
  <c r="D26" i="2"/>
  <c r="R25" i="2"/>
  <c r="P25" i="2"/>
  <c r="D25" i="2"/>
  <c r="R24" i="2"/>
  <c r="I80" i="21" s="1"/>
  <c r="AT80" i="21" s="1"/>
  <c r="P24" i="2"/>
  <c r="D24" i="2"/>
  <c r="R23" i="2"/>
  <c r="I8" i="21" s="1"/>
  <c r="P23" i="2"/>
  <c r="D23" i="2"/>
  <c r="R22" i="2"/>
  <c r="P22" i="2"/>
  <c r="D22" i="2"/>
  <c r="R21" i="2"/>
  <c r="I11" i="21" s="1"/>
  <c r="AX11" i="21" s="1"/>
  <c r="P21" i="2"/>
  <c r="D21" i="2"/>
  <c r="R20" i="2"/>
  <c r="P20" i="2"/>
  <c r="D20" i="2"/>
  <c r="R19" i="2"/>
  <c r="I3" i="21" s="1"/>
  <c r="P19" i="2"/>
  <c r="D19" i="2"/>
  <c r="R18" i="2"/>
  <c r="I15" i="21" s="1"/>
  <c r="AX15" i="21" s="1"/>
  <c r="P18" i="2"/>
  <c r="D18" i="2"/>
  <c r="R17" i="2"/>
  <c r="I28" i="21" s="1"/>
  <c r="AU28" i="21" s="1"/>
  <c r="P17" i="2"/>
  <c r="D17" i="2"/>
  <c r="R16" i="2"/>
  <c r="I29" i="21" s="1"/>
  <c r="P16" i="2"/>
  <c r="D16" i="2"/>
  <c r="R15" i="2"/>
  <c r="P15" i="2"/>
  <c r="D15" i="2"/>
  <c r="AM14" i="2"/>
  <c r="R14" i="2"/>
  <c r="I4" i="21" s="1"/>
  <c r="AU4" i="21" s="1"/>
  <c r="P14" i="2"/>
  <c r="D14" i="2"/>
  <c r="R13" i="2"/>
  <c r="P13" i="2"/>
  <c r="D13" i="2"/>
  <c r="R12" i="2"/>
  <c r="I17" i="21" s="1"/>
  <c r="P12" i="2"/>
  <c r="D12" i="2"/>
  <c r="R11" i="2"/>
  <c r="I20" i="21" s="1"/>
  <c r="AQ20" i="21" s="1"/>
  <c r="P11" i="2"/>
  <c r="D11" i="2"/>
  <c r="R10" i="2"/>
  <c r="I14" i="21" s="1"/>
  <c r="AK14" i="21" s="1"/>
  <c r="P10" i="2"/>
  <c r="D10" i="2"/>
  <c r="R9" i="2"/>
  <c r="I56" i="21" s="1"/>
  <c r="AS56" i="21" s="1"/>
  <c r="D9" i="2"/>
  <c r="R8" i="2"/>
  <c r="I37" i="21" s="1"/>
  <c r="P8" i="2"/>
  <c r="D8" i="2"/>
  <c r="R7" i="2"/>
  <c r="I102" i="21" s="1"/>
  <c r="P7" i="2"/>
  <c r="D7" i="2"/>
  <c r="F3" i="2"/>
  <c r="S5" i="1"/>
  <c r="S8" i="1" s="1"/>
  <c r="H7" i="28" l="1"/>
  <c r="BE326" i="17"/>
  <c r="J174" i="28"/>
  <c r="K174" i="28" s="1"/>
  <c r="S975" i="2"/>
  <c r="Y1027" i="2"/>
  <c r="Y1094" i="2"/>
  <c r="Y1156" i="2"/>
  <c r="Y1070" i="2"/>
  <c r="Y1122" i="2"/>
  <c r="Y1065" i="2"/>
  <c r="Y1168" i="2"/>
  <c r="Y1101" i="2"/>
  <c r="Y1017" i="2"/>
  <c r="Y1127" i="2"/>
  <c r="Y1119" i="2"/>
  <c r="Y1151" i="2"/>
  <c r="Y1022" i="2"/>
  <c r="Y1137" i="2"/>
  <c r="Y1048" i="2"/>
  <c r="T1066" i="2"/>
  <c r="W1066" i="2" s="1"/>
  <c r="AT1066" i="2" s="1"/>
  <c r="Q1124" i="2"/>
  <c r="X1124" i="2" s="1"/>
  <c r="T1048" i="2"/>
  <c r="W1048" i="2" s="1"/>
  <c r="AT1048" i="2" s="1"/>
  <c r="Q1133" i="2"/>
  <c r="X1133" i="2" s="1"/>
  <c r="Q1093" i="2"/>
  <c r="X1093" i="2" s="1"/>
  <c r="Q1157" i="2"/>
  <c r="X1157" i="2" s="1"/>
  <c r="Q1066" i="2"/>
  <c r="X1066" i="2" s="1"/>
  <c r="T1018" i="2"/>
  <c r="W1018" i="2" s="1"/>
  <c r="AT1018" i="2" s="1"/>
  <c r="Q1034" i="2"/>
  <c r="X1034" i="2" s="1"/>
  <c r="T1061" i="2"/>
  <c r="W1061" i="2" s="1"/>
  <c r="AT1061" i="2" s="1"/>
  <c r="Q1160" i="2"/>
  <c r="X1160" i="2" s="1"/>
  <c r="Q1168" i="2"/>
  <c r="X1168" i="2" s="1"/>
  <c r="Q1010" i="2"/>
  <c r="X1010" i="2" s="1"/>
  <c r="Q1086" i="2"/>
  <c r="X1086" i="2" s="1"/>
  <c r="T1043" i="2"/>
  <c r="W1043" i="2" s="1"/>
  <c r="AT1043" i="2" s="1"/>
  <c r="Q1079" i="2"/>
  <c r="X1079" i="2" s="1"/>
  <c r="T1013" i="2"/>
  <c r="W1013" i="2" s="1"/>
  <c r="AT1013" i="2" s="1"/>
  <c r="Q1011" i="2"/>
  <c r="X1011" i="2" s="1"/>
  <c r="Q1036" i="2"/>
  <c r="X1036" i="2" s="1"/>
  <c r="T1005" i="2"/>
  <c r="W1005" i="2" s="1"/>
  <c r="AT1005" i="2" s="1"/>
  <c r="Q1119" i="2"/>
  <c r="X1119" i="2" s="1"/>
  <c r="Y1135" i="2"/>
  <c r="Y1013" i="2"/>
  <c r="Y1061" i="2"/>
  <c r="Y1033" i="2"/>
  <c r="Q1112" i="2"/>
  <c r="X1112" i="2" s="1"/>
  <c r="T1056" i="2"/>
  <c r="W1056" i="2" s="1"/>
  <c r="AT1056" i="2" s="1"/>
  <c r="Q1069" i="2"/>
  <c r="X1069" i="2" s="1"/>
  <c r="Q1091" i="2"/>
  <c r="X1091" i="2" s="1"/>
  <c r="Q1177" i="2"/>
  <c r="X1177" i="2" s="1"/>
  <c r="T1008" i="2"/>
  <c r="W1008" i="2" s="1"/>
  <c r="AT1008" i="2" s="1"/>
  <c r="Q1155" i="2"/>
  <c r="X1155" i="2" s="1"/>
  <c r="Q1007" i="2"/>
  <c r="X1007" i="2" s="1"/>
  <c r="Q1020" i="2"/>
  <c r="X1020" i="2" s="1"/>
  <c r="T1033" i="2"/>
  <c r="W1033" i="2" s="1"/>
  <c r="AT1033" i="2" s="1"/>
  <c r="Q1103" i="2"/>
  <c r="X1103" i="2" s="1"/>
  <c r="Y1082" i="2"/>
  <c r="Y1058" i="2"/>
  <c r="Y1046" i="2"/>
  <c r="Y1139" i="2"/>
  <c r="Y1109" i="2"/>
  <c r="Y1112" i="2"/>
  <c r="Y1089" i="2"/>
  <c r="Y1165" i="2"/>
  <c r="Y1031" i="2"/>
  <c r="Y1011" i="2"/>
  <c r="Y1079" i="2"/>
  <c r="Y1020" i="2"/>
  <c r="Y1037" i="2"/>
  <c r="Y1069" i="2"/>
  <c r="Y1132" i="2"/>
  <c r="T1068" i="2"/>
  <c r="W1068" i="2" s="1"/>
  <c r="AT1068" i="2" s="1"/>
  <c r="Q1117" i="2"/>
  <c r="X1117" i="2" s="1"/>
  <c r="Q1061" i="2"/>
  <c r="X1061" i="2" s="1"/>
  <c r="Q1055" i="2"/>
  <c r="X1055" i="2" s="1"/>
  <c r="Q1089" i="2"/>
  <c r="X1089" i="2" s="1"/>
  <c r="T1026" i="2"/>
  <c r="W1026" i="2" s="1"/>
  <c r="AT1026" i="2" s="1"/>
  <c r="Q1123" i="2"/>
  <c r="X1123" i="2" s="1"/>
  <c r="T1020" i="2"/>
  <c r="W1020" i="2" s="1"/>
  <c r="AT1020" i="2" s="1"/>
  <c r="Q1127" i="2"/>
  <c r="X1127" i="2" s="1"/>
  <c r="Q1100" i="2"/>
  <c r="X1100" i="2" s="1"/>
  <c r="Q1129" i="2"/>
  <c r="X1129" i="2" s="1"/>
  <c r="Q1167" i="2"/>
  <c r="X1167" i="2" s="1"/>
  <c r="T1051" i="2"/>
  <c r="W1051" i="2" s="1"/>
  <c r="AT1051" i="2" s="1"/>
  <c r="Q1013" i="2"/>
  <c r="X1013" i="2" s="1"/>
  <c r="T1045" i="2"/>
  <c r="W1045" i="2" s="1"/>
  <c r="AT1045" i="2" s="1"/>
  <c r="Q1146" i="2"/>
  <c r="X1146" i="2" s="1"/>
  <c r="Q1016" i="2"/>
  <c r="X1016" i="2" s="1"/>
  <c r="Q1140" i="2"/>
  <c r="X1140" i="2" s="1"/>
  <c r="Q1102" i="2"/>
  <c r="X1102" i="2" s="1"/>
  <c r="T1007" i="2"/>
  <c r="W1007" i="2" s="1"/>
  <c r="AT1007" i="2" s="1"/>
  <c r="Q1110" i="2"/>
  <c r="X1110" i="2" s="1"/>
  <c r="Y1038" i="2"/>
  <c r="Y1108" i="2"/>
  <c r="Y1111" i="2"/>
  <c r="Y1088" i="2"/>
  <c r="Y1100" i="2"/>
  <c r="Y1002" i="2"/>
  <c r="Y1175" i="2"/>
  <c r="Y1075" i="2"/>
  <c r="Y1029" i="2"/>
  <c r="Y1040" i="2"/>
  <c r="T1062" i="2"/>
  <c r="W1062" i="2" s="1"/>
  <c r="AT1062" i="2" s="1"/>
  <c r="Q1118" i="2"/>
  <c r="X1118" i="2" s="1"/>
  <c r="Q1104" i="2"/>
  <c r="X1104" i="2" s="1"/>
  <c r="T1014" i="2"/>
  <c r="W1014" i="2" s="1"/>
  <c r="AT1014" i="2" s="1"/>
  <c r="Q1128" i="2"/>
  <c r="X1128" i="2" s="1"/>
  <c r="Q1130" i="2"/>
  <c r="X1130" i="2" s="1"/>
  <c r="T1039" i="2"/>
  <c r="W1039" i="2" s="1"/>
  <c r="AT1039" i="2" s="1"/>
  <c r="Q1161" i="2"/>
  <c r="X1161" i="2" s="1"/>
  <c r="Q1164" i="2"/>
  <c r="X1164" i="2" s="1"/>
  <c r="Y1005" i="2"/>
  <c r="Y1051" i="2"/>
  <c r="Y1097" i="2"/>
  <c r="Y1174" i="2"/>
  <c r="Y1177" i="2"/>
  <c r="Y1049" i="2"/>
  <c r="Y1072" i="2"/>
  <c r="Y1169" i="2"/>
  <c r="Y1057" i="2"/>
  <c r="Y1128" i="2"/>
  <c r="Y1178" i="2"/>
  <c r="Y1077" i="2"/>
  <c r="Y1021" i="2"/>
  <c r="Y1023" i="2"/>
  <c r="Y1138" i="2"/>
  <c r="T1070" i="2"/>
  <c r="W1070" i="2" s="1"/>
  <c r="AT1070" i="2" s="1"/>
  <c r="Q1047" i="2"/>
  <c r="X1047" i="2" s="1"/>
  <c r="Q1053" i="2"/>
  <c r="X1053" i="2" s="1"/>
  <c r="Q1054" i="2"/>
  <c r="X1054" i="2" s="1"/>
  <c r="Q1067" i="2"/>
  <c r="X1067" i="2" s="1"/>
  <c r="T1028" i="2"/>
  <c r="W1028" i="2" s="1"/>
  <c r="AT1028" i="2" s="1"/>
  <c r="Q1076" i="2"/>
  <c r="X1076" i="2" s="1"/>
  <c r="T1022" i="2"/>
  <c r="W1022" i="2" s="1"/>
  <c r="AT1022" i="2" s="1"/>
  <c r="Q1026" i="2"/>
  <c r="X1026" i="2" s="1"/>
  <c r="Q1154" i="2"/>
  <c r="X1154" i="2" s="1"/>
  <c r="Q1040" i="2"/>
  <c r="X1040" i="2" s="1"/>
  <c r="Q1165" i="2"/>
  <c r="X1165" i="2" s="1"/>
  <c r="T1053" i="2"/>
  <c r="W1053" i="2" s="1"/>
  <c r="AT1053" i="2" s="1"/>
  <c r="Q1083" i="2"/>
  <c r="X1083" i="2" s="1"/>
  <c r="T1047" i="2"/>
  <c r="W1047" i="2" s="1"/>
  <c r="AT1047" i="2" s="1"/>
  <c r="Q1106" i="2"/>
  <c r="X1106" i="2" s="1"/>
  <c r="Q1015" i="2"/>
  <c r="X1015" i="2" s="1"/>
  <c r="Q1070" i="2"/>
  <c r="X1070" i="2" s="1"/>
  <c r="Z1070" i="2" s="1"/>
  <c r="Q1148" i="2"/>
  <c r="X1148" i="2" s="1"/>
  <c r="T1009" i="2"/>
  <c r="W1009" i="2" s="1"/>
  <c r="AT1009" i="2" s="1"/>
  <c r="Q1175" i="2"/>
  <c r="X1175" i="2" s="1"/>
  <c r="Y1116" i="2"/>
  <c r="Y1034" i="2"/>
  <c r="AB1034" i="2" s="1"/>
  <c r="AF1034" i="2" s="1"/>
  <c r="Y1095" i="2"/>
  <c r="Y1157" i="2"/>
  <c r="Y1104" i="2"/>
  <c r="AB1104" i="2" s="1"/>
  <c r="AF1104" i="2" s="1"/>
  <c r="Y1123" i="2"/>
  <c r="Y1113" i="2"/>
  <c r="Y1090" i="2"/>
  <c r="Y1043" i="2"/>
  <c r="Y1024" i="2"/>
  <c r="Y1133" i="2"/>
  <c r="AB1133" i="2" s="1"/>
  <c r="AF1133" i="2" s="1"/>
  <c r="Y1120" i="2"/>
  <c r="Y1148" i="2"/>
  <c r="Y1060" i="2"/>
  <c r="Y1102" i="2"/>
  <c r="AB1102" i="2" s="1"/>
  <c r="AF1102" i="2" s="1"/>
  <c r="T1060" i="2"/>
  <c r="W1060" i="2" s="1"/>
  <c r="AT1060" i="2" s="1"/>
  <c r="Q1132" i="2"/>
  <c r="X1132" i="2" s="1"/>
  <c r="Q1090" i="2"/>
  <c r="X1090" i="2" s="1"/>
  <c r="Q1138" i="2"/>
  <c r="X1138" i="2" s="1"/>
  <c r="Q1043" i="2"/>
  <c r="X1043" i="2" s="1"/>
  <c r="T1030" i="2"/>
  <c r="W1030" i="2" s="1"/>
  <c r="AT1030" i="2" s="1"/>
  <c r="Q1019" i="2"/>
  <c r="X1019" i="2" s="1"/>
  <c r="T1012" i="2"/>
  <c r="W1012" i="2" s="1"/>
  <c r="AT1012" i="2" s="1"/>
  <c r="Q1144" i="2"/>
  <c r="X1144" i="2" s="1"/>
  <c r="Q1152" i="2"/>
  <c r="X1152" i="2" s="1"/>
  <c r="Q1174" i="2"/>
  <c r="X1174" i="2" s="1"/>
  <c r="Q1085" i="2"/>
  <c r="X1085" i="2" s="1"/>
  <c r="T1055" i="2"/>
  <c r="W1055" i="2" s="1"/>
  <c r="AT1055" i="2" s="1"/>
  <c r="Q1065" i="2"/>
  <c r="X1065" i="2" s="1"/>
  <c r="T1025" i="2"/>
  <c r="W1025" i="2" s="1"/>
  <c r="AT1025" i="2" s="1"/>
  <c r="Q1004" i="2"/>
  <c r="X1004" i="2" s="1"/>
  <c r="Q1037" i="2"/>
  <c r="X1037" i="2" s="1"/>
  <c r="T1015" i="2"/>
  <c r="W1015" i="2" s="1"/>
  <c r="AT1015" i="2" s="1"/>
  <c r="Q1050" i="2"/>
  <c r="X1050" i="2" s="1"/>
  <c r="T1011" i="2"/>
  <c r="W1011" i="2" s="1"/>
  <c r="AT1011" i="2" s="1"/>
  <c r="Q1131" i="2"/>
  <c r="X1131" i="2" s="1"/>
  <c r="Y1041" i="2"/>
  <c r="Y1084" i="2"/>
  <c r="Y1059" i="2"/>
  <c r="Y1053" i="2"/>
  <c r="Y1141" i="2"/>
  <c r="Y1117" i="2"/>
  <c r="Y1064" i="2"/>
  <c r="Y1166" i="2"/>
  <c r="Y1008" i="2"/>
  <c r="Y1039" i="2"/>
  <c r="Y1025" i="2"/>
  <c r="Y1081" i="2"/>
  <c r="Y1050" i="2"/>
  <c r="Y1045" i="2"/>
  <c r="Y1030" i="2"/>
  <c r="Q1023" i="2"/>
  <c r="X1023" i="2" s="1"/>
  <c r="Q1041" i="2"/>
  <c r="X1041" i="2" s="1"/>
  <c r="Q1088" i="2"/>
  <c r="X1088" i="2" s="1"/>
  <c r="T1038" i="2"/>
  <c r="W1038" i="2" s="1"/>
  <c r="AT1038" i="2" s="1"/>
  <c r="Q1115" i="2"/>
  <c r="X1115" i="2" s="1"/>
  <c r="T1032" i="2"/>
  <c r="W1032" i="2" s="1"/>
  <c r="AT1032" i="2" s="1"/>
  <c r="Q1125" i="2"/>
  <c r="X1125" i="2" s="1"/>
  <c r="Q1099" i="2"/>
  <c r="X1099" i="2" s="1"/>
  <c r="Q1107" i="2"/>
  <c r="X1107" i="2" s="1"/>
  <c r="Q1151" i="2"/>
  <c r="X1151" i="2" s="1"/>
  <c r="T1063" i="2"/>
  <c r="W1063" i="2" s="1"/>
  <c r="AT1063" i="2" s="1"/>
  <c r="Q1006" i="2"/>
  <c r="X1006" i="2" s="1"/>
  <c r="T1057" i="2"/>
  <c r="W1057" i="2" s="1"/>
  <c r="AT1057" i="2" s="1"/>
  <c r="Q1145" i="2"/>
  <c r="X1145" i="2" s="1"/>
  <c r="Q1009" i="2"/>
  <c r="X1009" i="2" s="1"/>
  <c r="Q1139" i="2"/>
  <c r="X1139" i="2" s="1"/>
  <c r="Z1139" i="2" s="1"/>
  <c r="Q1021" i="2"/>
  <c r="X1021" i="2" s="1"/>
  <c r="T1017" i="2"/>
  <c r="W1017" i="2" s="1"/>
  <c r="AT1017" i="2" s="1"/>
  <c r="Q1113" i="2"/>
  <c r="X1113" i="2" s="1"/>
  <c r="Q1002" i="2"/>
  <c r="X1002" i="2" s="1"/>
  <c r="Z1002" i="2" s="1"/>
  <c r="Q1033" i="2"/>
  <c r="X1033" i="2" s="1"/>
  <c r="Z1033" i="2" s="1"/>
  <c r="Y1160" i="2"/>
  <c r="Y1012" i="2"/>
  <c r="Y1066" i="2"/>
  <c r="Y1099" i="2"/>
  <c r="Y1171" i="2"/>
  <c r="Y1143" i="2"/>
  <c r="Y1124" i="2"/>
  <c r="AB1124" i="2" s="1"/>
  <c r="AF1124" i="2" s="1"/>
  <c r="Y1073" i="2"/>
  <c r="Y1167" i="2"/>
  <c r="AB1167" i="2" s="1"/>
  <c r="AF1167" i="2" s="1"/>
  <c r="Y1164" i="2"/>
  <c r="Y1129" i="2"/>
  <c r="AB1129" i="2" s="1"/>
  <c r="AF1129" i="2" s="1"/>
  <c r="Y1004" i="2"/>
  <c r="Y1078" i="2"/>
  <c r="Y1036" i="2"/>
  <c r="Y1068" i="2"/>
  <c r="Q1046" i="2"/>
  <c r="X1046" i="2" s="1"/>
  <c r="Q1031" i="2"/>
  <c r="X1031" i="2" s="1"/>
  <c r="Q1058" i="2"/>
  <c r="X1058" i="2" s="1"/>
  <c r="Z1058" i="2" s="1"/>
  <c r="T1040" i="2"/>
  <c r="W1040" i="2" s="1"/>
  <c r="AT1040" i="2" s="1"/>
  <c r="Q1075" i="2"/>
  <c r="X1075" i="2" s="1"/>
  <c r="T1034" i="2"/>
  <c r="W1034" i="2" s="1"/>
  <c r="AT1034" i="2" s="1"/>
  <c r="Q1012" i="2"/>
  <c r="X1012" i="2" s="1"/>
  <c r="Q1153" i="2"/>
  <c r="X1153" i="2" s="1"/>
  <c r="Q1032" i="2"/>
  <c r="X1032" i="2" s="1"/>
  <c r="Q1150" i="2"/>
  <c r="X1150" i="2" s="1"/>
  <c r="T1065" i="2"/>
  <c r="W1065" i="2" s="1"/>
  <c r="AT1065" i="2" s="1"/>
  <c r="Q1082" i="2"/>
  <c r="X1082" i="2" s="1"/>
  <c r="Z1082" i="2" s="1"/>
  <c r="T1059" i="2"/>
  <c r="W1059" i="2" s="1"/>
  <c r="AT1059" i="2" s="1"/>
  <c r="Q1071" i="2"/>
  <c r="X1071" i="2" s="1"/>
  <c r="Q1001" i="2"/>
  <c r="X1001" i="2" s="1"/>
  <c r="Q1063" i="2"/>
  <c r="X1063" i="2" s="1"/>
  <c r="Q1147" i="2"/>
  <c r="X1147" i="2" s="1"/>
  <c r="T1019" i="2"/>
  <c r="W1019" i="2" s="1"/>
  <c r="AT1019" i="2" s="1"/>
  <c r="Q1109" i="2"/>
  <c r="X1109" i="2" s="1"/>
  <c r="Z1109" i="2" s="1"/>
  <c r="Q1038" i="2"/>
  <c r="X1038" i="2" s="1"/>
  <c r="Q1159" i="2"/>
  <c r="X1159" i="2" s="1"/>
  <c r="Y1062" i="2"/>
  <c r="Y1118" i="2"/>
  <c r="Y1042" i="2"/>
  <c r="Y1152" i="2"/>
  <c r="Y1172" i="2"/>
  <c r="Y1105" i="2"/>
  <c r="Y1125" i="2"/>
  <c r="Y1114" i="2"/>
  <c r="Y1092" i="2"/>
  <c r="Y1086" i="2"/>
  <c r="AB1086" i="2" s="1"/>
  <c r="AF1086" i="2" s="1"/>
  <c r="Y1054" i="2"/>
  <c r="AB1054" i="2" s="1"/>
  <c r="AF1054" i="2" s="1"/>
  <c r="Y1142" i="2"/>
  <c r="Y1147" i="2"/>
  <c r="Y1007" i="2"/>
  <c r="AB1007" i="2" s="1"/>
  <c r="AF1007" i="2" s="1"/>
  <c r="Y1052" i="2"/>
  <c r="Q1068" i="2"/>
  <c r="X1068" i="2" s="1"/>
  <c r="Q1137" i="2"/>
  <c r="X1137" i="2" s="1"/>
  <c r="Q1035" i="2"/>
  <c r="X1035" i="2" s="1"/>
  <c r="T1042" i="2"/>
  <c r="W1042" i="2" s="1"/>
  <c r="AT1042" i="2" s="1"/>
  <c r="Q1178" i="2"/>
  <c r="X1178" i="2" s="1"/>
  <c r="T1024" i="2"/>
  <c r="W1024" i="2" s="1"/>
  <c r="AT1024" i="2" s="1"/>
  <c r="Q1142" i="2"/>
  <c r="X1142" i="2" s="1"/>
  <c r="Q1095" i="2"/>
  <c r="X1095" i="2" s="1"/>
  <c r="Q1173" i="2"/>
  <c r="X1173" i="2" s="1"/>
  <c r="Q1077" i="2"/>
  <c r="X1077" i="2" s="1"/>
  <c r="T1067" i="2"/>
  <c r="W1067" i="2" s="1"/>
  <c r="AT1067" i="2" s="1"/>
  <c r="Q1056" i="2"/>
  <c r="X1056" i="2" s="1"/>
  <c r="T1037" i="2"/>
  <c r="W1037" i="2" s="1"/>
  <c r="AT1037" i="2" s="1"/>
  <c r="Q1039" i="2"/>
  <c r="X1039" i="2" s="1"/>
  <c r="Q1029" i="2"/>
  <c r="X1029" i="2" s="1"/>
  <c r="Q1156" i="2"/>
  <c r="X1156" i="2" s="1"/>
  <c r="Z1156" i="2" s="1"/>
  <c r="Q1120" i="2"/>
  <c r="X1120" i="2" s="1"/>
  <c r="T1021" i="2"/>
  <c r="W1021" i="2" s="1"/>
  <c r="AT1021" i="2" s="1"/>
  <c r="Q1162" i="2"/>
  <c r="X1162" i="2" s="1"/>
  <c r="Q1060" i="2"/>
  <c r="X1060" i="2" s="1"/>
  <c r="Q1136" i="2"/>
  <c r="X1136" i="2" s="1"/>
  <c r="Q1022" i="2"/>
  <c r="X1022" i="2" s="1"/>
  <c r="Y1134" i="2"/>
  <c r="Y1055" i="2"/>
  <c r="Y1085" i="2"/>
  <c r="Y1067" i="2"/>
  <c r="AB1067" i="2" s="1"/>
  <c r="AF1067" i="2" s="1"/>
  <c r="Y1098" i="2"/>
  <c r="Y1003" i="2"/>
  <c r="Y1159" i="2"/>
  <c r="Y1071" i="2"/>
  <c r="Y1006" i="2"/>
  <c r="Y1015" i="2"/>
  <c r="AB1015" i="2" s="1"/>
  <c r="AF1015" i="2" s="1"/>
  <c r="Y1047" i="2"/>
  <c r="Y1032" i="2"/>
  <c r="Y1083" i="2"/>
  <c r="Y1080" i="2"/>
  <c r="Y1044" i="2"/>
  <c r="Q1059" i="2"/>
  <c r="X1059" i="2" s="1"/>
  <c r="T1050" i="2"/>
  <c r="W1050" i="2" s="1"/>
  <c r="AT1050" i="2" s="1"/>
  <c r="Q1114" i="2"/>
  <c r="X1114" i="2" s="1"/>
  <c r="T1044" i="2"/>
  <c r="W1044" i="2" s="1"/>
  <c r="AT1044" i="2" s="1"/>
  <c r="Q1122" i="2"/>
  <c r="X1122" i="2" s="1"/>
  <c r="Z1122" i="2" s="1"/>
  <c r="Q1098" i="2"/>
  <c r="X1098" i="2" s="1"/>
  <c r="Q1105" i="2"/>
  <c r="X1105" i="2" s="1"/>
  <c r="Q1092" i="2"/>
  <c r="X1092" i="2" s="1"/>
  <c r="T1002" i="2"/>
  <c r="W1002" i="2" s="1"/>
  <c r="AT1002" i="2" s="1"/>
  <c r="Q1024" i="2"/>
  <c r="X1024" i="2" s="1"/>
  <c r="T1069" i="2"/>
  <c r="W1069" i="2" s="1"/>
  <c r="AT1069" i="2" s="1"/>
  <c r="Q1143" i="2"/>
  <c r="X1143" i="2" s="1"/>
  <c r="Q1171" i="2"/>
  <c r="X1171" i="2" s="1"/>
  <c r="Z1171" i="2" s="1"/>
  <c r="Q1134" i="2"/>
  <c r="X1134" i="2" s="1"/>
  <c r="Q1014" i="2"/>
  <c r="X1014" i="2" s="1"/>
  <c r="T1027" i="2"/>
  <c r="W1027" i="2" s="1"/>
  <c r="AT1027" i="2" s="1"/>
  <c r="Q1027" i="2"/>
  <c r="X1027" i="2" s="1"/>
  <c r="T1023" i="2"/>
  <c r="W1023" i="2" s="1"/>
  <c r="AT1023" i="2" s="1"/>
  <c r="Q1126" i="2"/>
  <c r="X1126" i="2" s="1"/>
  <c r="Q1052" i="2"/>
  <c r="X1052" i="2" s="1"/>
  <c r="Y1136" i="2"/>
  <c r="Y1063" i="2"/>
  <c r="AB1063" i="2" s="1"/>
  <c r="AF1063" i="2" s="1"/>
  <c r="Y1121" i="2"/>
  <c r="Y1056" i="2"/>
  <c r="Y1153" i="2"/>
  <c r="Y1173" i="2"/>
  <c r="Y1010" i="2"/>
  <c r="AB1010" i="2" s="1"/>
  <c r="AF1010" i="2" s="1"/>
  <c r="Y1126" i="2"/>
  <c r="Y1115" i="2"/>
  <c r="AB1115" i="2" s="1"/>
  <c r="AF1115" i="2" s="1"/>
  <c r="Y1093" i="2"/>
  <c r="AB1093" i="2" s="1"/>
  <c r="AF1093" i="2" s="1"/>
  <c r="Y1001" i="2"/>
  <c r="Y1103" i="2"/>
  <c r="AB1103" i="2" s="1"/>
  <c r="AF1103" i="2" s="1"/>
  <c r="Y1144" i="2"/>
  <c r="Y1110" i="2"/>
  <c r="AB1110" i="2" s="1"/>
  <c r="AF1110" i="2" s="1"/>
  <c r="Y1150" i="2"/>
  <c r="Q1028" i="2"/>
  <c r="X1028" i="2" s="1"/>
  <c r="T1054" i="2"/>
  <c r="W1054" i="2" s="1"/>
  <c r="AT1054" i="2" s="1"/>
  <c r="Q1163" i="2"/>
  <c r="X1163" i="2" s="1"/>
  <c r="T1036" i="2"/>
  <c r="W1036" i="2" s="1"/>
  <c r="AT1036" i="2" s="1"/>
  <c r="Q1135" i="2"/>
  <c r="X1135" i="2" s="1"/>
  <c r="Q1094" i="2"/>
  <c r="X1094" i="2" s="1"/>
  <c r="Q1158" i="2"/>
  <c r="X1158" i="2" s="1"/>
  <c r="Q1074" i="2"/>
  <c r="X1074" i="2" s="1"/>
  <c r="T1006" i="2"/>
  <c r="W1006" i="2" s="1"/>
  <c r="AT1006" i="2" s="1"/>
  <c r="Q1042" i="2"/>
  <c r="X1042" i="2" s="1"/>
  <c r="T1049" i="2"/>
  <c r="W1049" i="2" s="1"/>
  <c r="AT1049" i="2" s="1"/>
  <c r="Q1176" i="2"/>
  <c r="X1176" i="2" s="1"/>
  <c r="Q1008" i="2"/>
  <c r="X1008" i="2" s="1"/>
  <c r="Q1017" i="2"/>
  <c r="X1017" i="2" s="1"/>
  <c r="Q1116" i="2"/>
  <c r="X1116" i="2" s="1"/>
  <c r="T1031" i="2"/>
  <c r="W1031" i="2" s="1"/>
  <c r="AT1031" i="2" s="1"/>
  <c r="Q1081" i="2"/>
  <c r="X1081" i="2" s="1"/>
  <c r="Q1030" i="2"/>
  <c r="X1030" i="2" s="1"/>
  <c r="Q1141" i="2"/>
  <c r="X1141" i="2" s="1"/>
  <c r="Q1172" i="2"/>
  <c r="X1172" i="2" s="1"/>
  <c r="Y1140" i="2"/>
  <c r="Y1161" i="2"/>
  <c r="Y1019" i="2"/>
  <c r="Y1087" i="2"/>
  <c r="Y1154" i="2"/>
  <c r="Y1035" i="2"/>
  <c r="AB1035" i="2" s="1"/>
  <c r="AF1035" i="2" s="1"/>
  <c r="Y1106" i="2"/>
  <c r="AB1106" i="2" s="1"/>
  <c r="AF1106" i="2" s="1"/>
  <c r="Y1146" i="2"/>
  <c r="Y1074" i="2"/>
  <c r="Y1149" i="2"/>
  <c r="Y1009" i="2"/>
  <c r="AB1009" i="2" s="1"/>
  <c r="AF1009" i="2" s="1"/>
  <c r="Y1130" i="2"/>
  <c r="Y1018" i="2"/>
  <c r="Y1163" i="2"/>
  <c r="Y1028" i="2"/>
  <c r="Q1051" i="2"/>
  <c r="X1051" i="2" s="1"/>
  <c r="T1052" i="2"/>
  <c r="W1052" i="2" s="1"/>
  <c r="AT1052" i="2" s="1"/>
  <c r="Q1073" i="2"/>
  <c r="X1073" i="2" s="1"/>
  <c r="T1046" i="2"/>
  <c r="W1046" i="2" s="1"/>
  <c r="AT1046" i="2" s="1"/>
  <c r="Q1005" i="2"/>
  <c r="X1005" i="2" s="1"/>
  <c r="Q1097" i="2"/>
  <c r="X1097" i="2" s="1"/>
  <c r="Q1025" i="2"/>
  <c r="X1025" i="2" s="1"/>
  <c r="Q1149" i="2"/>
  <c r="X1149" i="2" s="1"/>
  <c r="T1004" i="2"/>
  <c r="W1004" i="2" s="1"/>
  <c r="AT1004" i="2" s="1"/>
  <c r="Q1080" i="2"/>
  <c r="X1080" i="2" s="1"/>
  <c r="T1071" i="2"/>
  <c r="W1071" i="2" s="1"/>
  <c r="AT1071" i="2" s="1"/>
  <c r="Q1064" i="2"/>
  <c r="X1064" i="2" s="1"/>
  <c r="Z1064" i="2" s="1"/>
  <c r="Q1170" i="2"/>
  <c r="X1170" i="2" s="1"/>
  <c r="Q1062" i="2"/>
  <c r="X1062" i="2" s="1"/>
  <c r="Q1121" i="2"/>
  <c r="X1121" i="2" s="1"/>
  <c r="T1029" i="2"/>
  <c r="W1029" i="2" s="1"/>
  <c r="AT1029" i="2" s="1"/>
  <c r="Q1111" i="2"/>
  <c r="X1111" i="2" s="1"/>
  <c r="T1001" i="2"/>
  <c r="W1001" i="2" s="1"/>
  <c r="AT1001" i="2" s="1"/>
  <c r="Q1018" i="2"/>
  <c r="X1018" i="2" s="1"/>
  <c r="Q1044" i="2"/>
  <c r="X1044" i="2" s="1"/>
  <c r="Y1096" i="2"/>
  <c r="Y1158" i="2"/>
  <c r="Y1176" i="2"/>
  <c r="Y1026" i="2"/>
  <c r="Y1091" i="2"/>
  <c r="Y1170" i="2"/>
  <c r="Y1155" i="2"/>
  <c r="Y1107" i="2"/>
  <c r="Y1162" i="2"/>
  <c r="Y1076" i="2"/>
  <c r="Y1014" i="2"/>
  <c r="Y1016" i="2"/>
  <c r="Y1131" i="2"/>
  <c r="Y1145" i="2"/>
  <c r="T1064" i="2"/>
  <c r="W1064" i="2" s="1"/>
  <c r="AT1064" i="2" s="1"/>
  <c r="Q1072" i="2"/>
  <c r="X1072" i="2" s="1"/>
  <c r="Z1072" i="2" s="1"/>
  <c r="T1058" i="2"/>
  <c r="W1058" i="2" s="1"/>
  <c r="AT1058" i="2" s="1"/>
  <c r="Q1101" i="2"/>
  <c r="X1101" i="2" s="1"/>
  <c r="Q1096" i="2"/>
  <c r="X1096" i="2" s="1"/>
  <c r="Q1003" i="2"/>
  <c r="X1003" i="2" s="1"/>
  <c r="Q1087" i="2"/>
  <c r="X1087" i="2" s="1"/>
  <c r="T1016" i="2"/>
  <c r="W1016" i="2" s="1"/>
  <c r="AT1016" i="2" s="1"/>
  <c r="Q1078" i="2"/>
  <c r="X1078" i="2" s="1"/>
  <c r="T1010" i="2"/>
  <c r="W1010" i="2" s="1"/>
  <c r="AT1010" i="2" s="1"/>
  <c r="Q1049" i="2"/>
  <c r="X1049" i="2" s="1"/>
  <c r="Q1169" i="2"/>
  <c r="X1169" i="2" s="1"/>
  <c r="Q1048" i="2"/>
  <c r="X1048" i="2" s="1"/>
  <c r="Z1048" i="2" s="1"/>
  <c r="Q1166" i="2"/>
  <c r="X1166" i="2" s="1"/>
  <c r="T1041" i="2"/>
  <c r="W1041" i="2" s="1"/>
  <c r="AT1041" i="2" s="1"/>
  <c r="Q1084" i="2"/>
  <c r="X1084" i="2" s="1"/>
  <c r="T1035" i="2"/>
  <c r="W1035" i="2" s="1"/>
  <c r="AT1035" i="2" s="1"/>
  <c r="Q1108" i="2"/>
  <c r="X1108" i="2" s="1"/>
  <c r="Z1108" i="2" s="1"/>
  <c r="Q1045" i="2"/>
  <c r="X1045" i="2" s="1"/>
  <c r="T1003" i="2"/>
  <c r="W1003" i="2" s="1"/>
  <c r="AT1003" i="2" s="1"/>
  <c r="Q1057" i="2"/>
  <c r="X1057" i="2" s="1"/>
  <c r="Z1057" i="2" s="1"/>
  <c r="AC1013" i="2"/>
  <c r="AC1020" i="2"/>
  <c r="AC1040" i="2"/>
  <c r="AC1044" i="2"/>
  <c r="AC1048" i="2"/>
  <c r="AC1019" i="2"/>
  <c r="AC1027" i="2"/>
  <c r="AC1043" i="2"/>
  <c r="AC1051" i="2"/>
  <c r="AC1014" i="2"/>
  <c r="AC1026" i="2"/>
  <c r="AC1034" i="2"/>
  <c r="AC1038" i="2"/>
  <c r="AC1042" i="2"/>
  <c r="AC1074" i="2"/>
  <c r="AC1090" i="2"/>
  <c r="AC1106" i="2"/>
  <c r="AC1111" i="2"/>
  <c r="AC1083" i="2"/>
  <c r="AC1099" i="2"/>
  <c r="AC1114" i="2"/>
  <c r="AC1118" i="2"/>
  <c r="AC1122" i="2"/>
  <c r="AC1126" i="2"/>
  <c r="AC1130" i="2"/>
  <c r="AC1076" i="2"/>
  <c r="AC1085" i="2"/>
  <c r="AC1092" i="2"/>
  <c r="AC1101" i="2"/>
  <c r="AC1108" i="2"/>
  <c r="AN1074" i="2"/>
  <c r="AC1078" i="2"/>
  <c r="AN1090" i="2"/>
  <c r="AC1094" i="2"/>
  <c r="AN1106" i="2"/>
  <c r="AC1087" i="2"/>
  <c r="AC1103" i="2"/>
  <c r="AC1113" i="2"/>
  <c r="AC1117" i="2"/>
  <c r="AC1121" i="2"/>
  <c r="AC1125" i="2"/>
  <c r="AC1073" i="2"/>
  <c r="AC1080" i="2"/>
  <c r="AC1089" i="2"/>
  <c r="AC1096" i="2"/>
  <c r="AC1105" i="2"/>
  <c r="AC1110" i="2"/>
  <c r="AC1050" i="2"/>
  <c r="AC1066" i="2"/>
  <c r="AC1082" i="2"/>
  <c r="AC1098" i="2"/>
  <c r="AC1075" i="2"/>
  <c r="AC1091" i="2"/>
  <c r="AC1107" i="2"/>
  <c r="AC1116" i="2"/>
  <c r="AC1120" i="2"/>
  <c r="AC1124" i="2"/>
  <c r="AC1077" i="2"/>
  <c r="AC1084" i="2"/>
  <c r="AC1093" i="2"/>
  <c r="AC1100" i="2"/>
  <c r="AC1112" i="2"/>
  <c r="AC1086" i="2"/>
  <c r="AC1102" i="2"/>
  <c r="AC1109" i="2"/>
  <c r="AC1079" i="2"/>
  <c r="AC1095" i="2"/>
  <c r="AC1115" i="2"/>
  <c r="AC1119" i="2"/>
  <c r="AC1123" i="2"/>
  <c r="AC1129" i="2"/>
  <c r="AC1134" i="2"/>
  <c r="AC1175" i="2"/>
  <c r="AC1127" i="2"/>
  <c r="AC1132" i="2"/>
  <c r="AC1136" i="2"/>
  <c r="AC1138" i="2"/>
  <c r="AC1163" i="2"/>
  <c r="AC1167" i="2"/>
  <c r="AC1166" i="2"/>
  <c r="AC1178" i="2"/>
  <c r="AC1173" i="2"/>
  <c r="AC1147" i="2"/>
  <c r="AC1151" i="2"/>
  <c r="AC1155" i="2"/>
  <c r="AC1159" i="2"/>
  <c r="AC1171" i="2"/>
  <c r="AC1170" i="2"/>
  <c r="AC1177" i="2"/>
  <c r="AC1072" i="2"/>
  <c r="AC1140" i="2"/>
  <c r="AC1143" i="2"/>
  <c r="AC1158" i="2"/>
  <c r="AC1162" i="2"/>
  <c r="AC1174" i="2"/>
  <c r="AC1056" i="2"/>
  <c r="AN1138" i="2"/>
  <c r="AC1146" i="2"/>
  <c r="AC1150" i="2"/>
  <c r="AC1154" i="2"/>
  <c r="AC1081" i="2"/>
  <c r="AN1084" i="2"/>
  <c r="AC1088" i="2"/>
  <c r="AC1097" i="2"/>
  <c r="AN1100" i="2"/>
  <c r="AC1104" i="2"/>
  <c r="AC1135" i="2"/>
  <c r="AC1142" i="2"/>
  <c r="AN1143" i="2"/>
  <c r="AN1115" i="2"/>
  <c r="AC1128" i="2"/>
  <c r="AC1131" i="2"/>
  <c r="AC1133" i="2"/>
  <c r="AC1153" i="2"/>
  <c r="AC1161" i="2"/>
  <c r="AC1137" i="2"/>
  <c r="AC1139" i="2"/>
  <c r="AC1145" i="2"/>
  <c r="AC1149" i="2"/>
  <c r="AC1157" i="2"/>
  <c r="AC1165" i="2"/>
  <c r="AC1169" i="2"/>
  <c r="AC1148" i="2"/>
  <c r="AC1160" i="2"/>
  <c r="AC1172" i="2"/>
  <c r="AC1176" i="2"/>
  <c r="AC1168" i="2"/>
  <c r="AC1141" i="2"/>
  <c r="AC1144" i="2"/>
  <c r="AC1152" i="2"/>
  <c r="AC1156" i="2"/>
  <c r="AC1164" i="2"/>
  <c r="AN1075" i="2"/>
  <c r="AN1172" i="2"/>
  <c r="AN1160" i="2"/>
  <c r="AN1154" i="2"/>
  <c r="AN1173" i="2"/>
  <c r="AN1170" i="2"/>
  <c r="AN1148" i="2"/>
  <c r="AN1175" i="2"/>
  <c r="AN1145" i="2"/>
  <c r="AN1135" i="2"/>
  <c r="AN1110" i="2"/>
  <c r="AN1107" i="2"/>
  <c r="AN1112" i="2"/>
  <c r="AN1094" i="2"/>
  <c r="AN1177" i="2"/>
  <c r="AN1108" i="2"/>
  <c r="AN1076" i="2"/>
  <c r="AN1083" i="2"/>
  <c r="AN1103" i="2"/>
  <c r="AN1113" i="2"/>
  <c r="AN1122" i="2"/>
  <c r="AN1156" i="2"/>
  <c r="AN1167" i="2"/>
  <c r="AN1124" i="2"/>
  <c r="AN1168" i="2"/>
  <c r="AN1141" i="2"/>
  <c r="AN1131" i="2"/>
  <c r="AN1072" i="2"/>
  <c r="AN1109" i="2"/>
  <c r="AN1111" i="2"/>
  <c r="AN1142" i="2"/>
  <c r="AN1171" i="2"/>
  <c r="AN1128" i="2"/>
  <c r="AN1104" i="2"/>
  <c r="AN1089" i="2"/>
  <c r="AN1151" i="2"/>
  <c r="AN1132" i="2"/>
  <c r="AN1165" i="2"/>
  <c r="AN1147" i="2"/>
  <c r="AN1098" i="2"/>
  <c r="AN1087" i="2"/>
  <c r="AN1079" i="2"/>
  <c r="AN1166" i="2"/>
  <c r="AN1157" i="2"/>
  <c r="AN1158" i="2"/>
  <c r="AN1139" i="2"/>
  <c r="AN1073" i="2"/>
  <c r="AN1088" i="2"/>
  <c r="AN1093" i="2"/>
  <c r="AN1105" i="2"/>
  <c r="AN1144" i="2"/>
  <c r="AN1153" i="2"/>
  <c r="AN1164" i="2"/>
  <c r="AN1137" i="2"/>
  <c r="AN1159" i="2"/>
  <c r="AN1133" i="2"/>
  <c r="AN1096" i="2"/>
  <c r="AN1102" i="2"/>
  <c r="AN1086" i="2"/>
  <c r="AN1077" i="2"/>
  <c r="AN1092" i="2"/>
  <c r="AN1118" i="2"/>
  <c r="AN1136" i="2"/>
  <c r="AN1140" i="2"/>
  <c r="AN1080" i="2"/>
  <c r="AN1130" i="2"/>
  <c r="AN1082" i="2"/>
  <c r="AN1150" i="2"/>
  <c r="AN1161" i="2"/>
  <c r="AN1120" i="2"/>
  <c r="AN1152" i="2"/>
  <c r="AN1101" i="2"/>
  <c r="AN1097" i="2"/>
  <c r="AN1081" i="2"/>
  <c r="AN1129" i="2"/>
  <c r="AN1127" i="2"/>
  <c r="AN1162" i="2"/>
  <c r="AN1163" i="2"/>
  <c r="AN1125" i="2"/>
  <c r="AN1091" i="2"/>
  <c r="AN1176" i="2"/>
  <c r="AN1123" i="2"/>
  <c r="AN1155" i="2"/>
  <c r="AN1149" i="2"/>
  <c r="AN1117" i="2"/>
  <c r="AN1114" i="2"/>
  <c r="AN1121" i="2"/>
  <c r="AN1099" i="2"/>
  <c r="AN1119" i="2"/>
  <c r="AN1095" i="2"/>
  <c r="AN1126" i="2"/>
  <c r="AN1178" i="2"/>
  <c r="AN1174" i="2"/>
  <c r="AN1146" i="2"/>
  <c r="AN1169" i="2"/>
  <c r="AN1116" i="2"/>
  <c r="AN1085" i="2"/>
  <c r="AN1078" i="2"/>
  <c r="AN1134" i="2"/>
  <c r="AN1066" i="2"/>
  <c r="AN1068" i="2"/>
  <c r="AN1028" i="2"/>
  <c r="AN1040" i="2"/>
  <c r="AN1060" i="2"/>
  <c r="AN1038" i="2"/>
  <c r="AN1015" i="2"/>
  <c r="AN1044" i="2"/>
  <c r="AN1026" i="2"/>
  <c r="AN1056" i="2"/>
  <c r="AN1019" i="2"/>
  <c r="AN1014" i="2"/>
  <c r="AN1021" i="2"/>
  <c r="AN1048" i="2"/>
  <c r="AN1047" i="2"/>
  <c r="AN1043" i="2"/>
  <c r="AN1063" i="2"/>
  <c r="AN1027" i="2"/>
  <c r="S946" i="2"/>
  <c r="S950" i="2"/>
  <c r="S878" i="2"/>
  <c r="S892" i="2"/>
  <c r="S870" i="2"/>
  <c r="S855" i="2"/>
  <c r="S871" i="2"/>
  <c r="S852" i="2"/>
  <c r="S839" i="2"/>
  <c r="S840" i="2"/>
  <c r="S868" i="2"/>
  <c r="S823" i="2"/>
  <c r="S784" i="2"/>
  <c r="S874" i="2"/>
  <c r="S792" i="2"/>
  <c r="S828" i="2"/>
  <c r="S873" i="2"/>
  <c r="Y704" i="2"/>
  <c r="S830" i="2"/>
  <c r="S806" i="2"/>
  <c r="S793" i="2"/>
  <c r="S866" i="2"/>
  <c r="S800" i="2"/>
  <c r="S829" i="2"/>
  <c r="S825" i="2"/>
  <c r="S756" i="2"/>
  <c r="S842" i="2"/>
  <c r="S736" i="2"/>
  <c r="O826" i="2"/>
  <c r="O832" i="2"/>
  <c r="S772" i="2"/>
  <c r="Y628" i="2"/>
  <c r="O789" i="2"/>
  <c r="O824" i="2"/>
  <c r="O787" i="2"/>
  <c r="O814" i="2"/>
  <c r="S802" i="2"/>
  <c r="S741" i="2"/>
  <c r="S268" i="2"/>
  <c r="O813" i="2"/>
  <c r="O816" i="2"/>
  <c r="O817" i="2"/>
  <c r="O858" i="2"/>
  <c r="O786" i="2"/>
  <c r="O797" i="2"/>
  <c r="O812" i="2"/>
  <c r="S805" i="2"/>
  <c r="S856" i="2"/>
  <c r="S794" i="2"/>
  <c r="S807" i="2"/>
  <c r="S795" i="2"/>
  <c r="S799" i="2"/>
  <c r="S742" i="2"/>
  <c r="S801" i="2"/>
  <c r="S804" i="2"/>
  <c r="S765" i="2"/>
  <c r="Y7" i="2"/>
  <c r="O815" i="2"/>
  <c r="O833" i="2"/>
  <c r="O785" i="2"/>
  <c r="S737" i="2"/>
  <c r="S738" i="2"/>
  <c r="Y8" i="2"/>
  <c r="O848" i="2"/>
  <c r="O818" i="2"/>
  <c r="O819" i="2"/>
  <c r="O844" i="2"/>
  <c r="S774" i="2"/>
  <c r="S790" i="2"/>
  <c r="S796" i="2"/>
  <c r="S854" i="2"/>
  <c r="Q301" i="2"/>
  <c r="Q313" i="2"/>
  <c r="Q325" i="2"/>
  <c r="Q337" i="2"/>
  <c r="X337" i="2" s="1"/>
  <c r="Q349" i="2"/>
  <c r="Q361" i="2"/>
  <c r="X361" i="2" s="1"/>
  <c r="Q373" i="2"/>
  <c r="X373" i="2" s="1"/>
  <c r="Q385" i="2"/>
  <c r="X385" i="2" s="1"/>
  <c r="Q397" i="2"/>
  <c r="X397" i="2" s="1"/>
  <c r="Q409" i="2"/>
  <c r="Q421" i="2"/>
  <c r="X421" i="2" s="1"/>
  <c r="Q433" i="2"/>
  <c r="X433" i="2" s="1"/>
  <c r="Q445" i="2"/>
  <c r="X445" i="2" s="1"/>
  <c r="Q457" i="2"/>
  <c r="X457" i="2" s="1"/>
  <c r="Q469" i="2"/>
  <c r="X469" i="2" s="1"/>
  <c r="Q481" i="2"/>
  <c r="X481" i="2" s="1"/>
  <c r="Q493" i="2"/>
  <c r="X493" i="2" s="1"/>
  <c r="Q505" i="2"/>
  <c r="X505" i="2" s="1"/>
  <c r="Q517" i="2"/>
  <c r="X517" i="2" s="1"/>
  <c r="Q529" i="2"/>
  <c r="X529" i="2" s="1"/>
  <c r="Q541" i="2"/>
  <c r="X541" i="2" s="1"/>
  <c r="Q553" i="2"/>
  <c r="Q565" i="2"/>
  <c r="X565" i="2" s="1"/>
  <c r="Q577" i="2"/>
  <c r="X577" i="2" s="1"/>
  <c r="Q589" i="2"/>
  <c r="X589" i="2" s="1"/>
  <c r="Q601" i="2"/>
  <c r="X601" i="2" s="1"/>
  <c r="Q613" i="2"/>
  <c r="X613" i="2" s="1"/>
  <c r="Q625" i="2"/>
  <c r="X625" i="2" s="1"/>
  <c r="Q637" i="2"/>
  <c r="X637" i="2" s="1"/>
  <c r="Q649" i="2"/>
  <c r="X649" i="2" s="1"/>
  <c r="Q661" i="2"/>
  <c r="X661" i="2" s="1"/>
  <c r="Q673" i="2"/>
  <c r="X673" i="2" s="1"/>
  <c r="Q685" i="2"/>
  <c r="X685" i="2" s="1"/>
  <c r="Q697" i="2"/>
  <c r="Q709" i="2"/>
  <c r="X709" i="2" s="1"/>
  <c r="Q721" i="2"/>
  <c r="X721" i="2" s="1"/>
  <c r="Q733" i="2"/>
  <c r="X733" i="2" s="1"/>
  <c r="Q745" i="2"/>
  <c r="X745" i="2" s="1"/>
  <c r="Q757" i="2"/>
  <c r="X757" i="2" s="1"/>
  <c r="Q769" i="2"/>
  <c r="X769" i="2" s="1"/>
  <c r="Q781" i="2"/>
  <c r="X781" i="2" s="1"/>
  <c r="Q793" i="2"/>
  <c r="X793" i="2" s="1"/>
  <c r="Q805" i="2"/>
  <c r="X805" i="2" s="1"/>
  <c r="Q817" i="2"/>
  <c r="X817" i="2" s="1"/>
  <c r="Q829" i="2"/>
  <c r="X829" i="2" s="1"/>
  <c r="Q841" i="2"/>
  <c r="Q853" i="2"/>
  <c r="X853" i="2" s="1"/>
  <c r="Q865" i="2"/>
  <c r="X865" i="2" s="1"/>
  <c r="Q877" i="2"/>
  <c r="X877" i="2" s="1"/>
  <c r="Q889" i="2"/>
  <c r="X889" i="2" s="1"/>
  <c r="Q901" i="2"/>
  <c r="X901" i="2" s="1"/>
  <c r="Q913" i="2"/>
  <c r="X913" i="2" s="1"/>
  <c r="Q925" i="2"/>
  <c r="X925" i="2" s="1"/>
  <c r="Q937" i="2"/>
  <c r="X937" i="2" s="1"/>
  <c r="Q949" i="2"/>
  <c r="X949" i="2" s="1"/>
  <c r="Q961" i="2"/>
  <c r="X961" i="2" s="1"/>
  <c r="Q973" i="2"/>
  <c r="X973" i="2" s="1"/>
  <c r="Q985" i="2"/>
  <c r="Q997" i="2"/>
  <c r="X997" i="2" s="1"/>
  <c r="Q15" i="2"/>
  <c r="X15" i="2" s="1"/>
  <c r="H15" i="23" s="1"/>
  <c r="Q27" i="2"/>
  <c r="X27" i="2" s="1"/>
  <c r="Q39" i="2"/>
  <c r="X39" i="2" s="1"/>
  <c r="Q51" i="2"/>
  <c r="X51" i="2" s="1"/>
  <c r="Q63" i="2"/>
  <c r="X63" i="2" s="1"/>
  <c r="Q75" i="2"/>
  <c r="X75" i="2" s="1"/>
  <c r="Q87" i="2"/>
  <c r="X87" i="2" s="1"/>
  <c r="Q99" i="2"/>
  <c r="X99" i="2" s="1"/>
  <c r="Q111" i="2"/>
  <c r="X111" i="2" s="1"/>
  <c r="Q123" i="2"/>
  <c r="X123" i="2" s="1"/>
  <c r="Q135" i="2"/>
  <c r="Q147" i="2"/>
  <c r="Q159" i="2"/>
  <c r="Q171" i="2"/>
  <c r="X171" i="2" s="1"/>
  <c r="Q183" i="2"/>
  <c r="X183" i="2" s="1"/>
  <c r="Q195" i="2"/>
  <c r="X195" i="2" s="1"/>
  <c r="Q207" i="2"/>
  <c r="X207" i="2" s="1"/>
  <c r="Q219" i="2"/>
  <c r="X219" i="2" s="1"/>
  <c r="Q231" i="2"/>
  <c r="Q243" i="2"/>
  <c r="Q255" i="2"/>
  <c r="X255" i="2" s="1"/>
  <c r="Q267" i="2"/>
  <c r="X267" i="2" s="1"/>
  <c r="Q302" i="2"/>
  <c r="Q314" i="2"/>
  <c r="Q326" i="2"/>
  <c r="Q338" i="2"/>
  <c r="Q350" i="2"/>
  <c r="Q362" i="2"/>
  <c r="Q374" i="2"/>
  <c r="X374" i="2" s="1"/>
  <c r="Q386" i="2"/>
  <c r="Q398" i="2"/>
  <c r="X398" i="2" s="1"/>
  <c r="Q410" i="2"/>
  <c r="X410" i="2" s="1"/>
  <c r="Q422" i="2"/>
  <c r="X422" i="2" s="1"/>
  <c r="Q434" i="2"/>
  <c r="Q446" i="2"/>
  <c r="Q458" i="2"/>
  <c r="X458" i="2" s="1"/>
  <c r="Q470" i="2"/>
  <c r="X470" i="2" s="1"/>
  <c r="Q482" i="2"/>
  <c r="X482" i="2" s="1"/>
  <c r="Q494" i="2"/>
  <c r="X494" i="2" s="1"/>
  <c r="Q506" i="2"/>
  <c r="X506" i="2" s="1"/>
  <c r="Q518" i="2"/>
  <c r="X518" i="2" s="1"/>
  <c r="Q530" i="2"/>
  <c r="X530" i="2" s="1"/>
  <c r="Q542" i="2"/>
  <c r="X542" i="2" s="1"/>
  <c r="Q554" i="2"/>
  <c r="X554" i="2" s="1"/>
  <c r="Q566" i="2"/>
  <c r="X566" i="2" s="1"/>
  <c r="Q578" i="2"/>
  <c r="X578" i="2" s="1"/>
  <c r="Q590" i="2"/>
  <c r="Q602" i="2"/>
  <c r="X602" i="2" s="1"/>
  <c r="Q614" i="2"/>
  <c r="X614" i="2" s="1"/>
  <c r="Q626" i="2"/>
  <c r="X626" i="2" s="1"/>
  <c r="Q638" i="2"/>
  <c r="X638" i="2" s="1"/>
  <c r="Q650" i="2"/>
  <c r="X650" i="2" s="1"/>
  <c r="Q662" i="2"/>
  <c r="X662" i="2" s="1"/>
  <c r="Q674" i="2"/>
  <c r="X674" i="2" s="1"/>
  <c r="Q686" i="2"/>
  <c r="X686" i="2" s="1"/>
  <c r="Q698" i="2"/>
  <c r="X698" i="2" s="1"/>
  <c r="Q710" i="2"/>
  <c r="X710" i="2" s="1"/>
  <c r="Q722" i="2"/>
  <c r="X722" i="2" s="1"/>
  <c r="Q303" i="2"/>
  <c r="Q315" i="2"/>
  <c r="Q327" i="2"/>
  <c r="Q339" i="2"/>
  <c r="X339" i="2" s="1"/>
  <c r="Q351" i="2"/>
  <c r="Q363" i="2"/>
  <c r="Q375" i="2"/>
  <c r="Q387" i="2"/>
  <c r="X387" i="2" s="1"/>
  <c r="Q399" i="2"/>
  <c r="X399" i="2" s="1"/>
  <c r="Q411" i="2"/>
  <c r="X411" i="2" s="1"/>
  <c r="Q423" i="2"/>
  <c r="X423" i="2" s="1"/>
  <c r="Q435" i="2"/>
  <c r="X435" i="2" s="1"/>
  <c r="Q447" i="2"/>
  <c r="Q459" i="2"/>
  <c r="X459" i="2" s="1"/>
  <c r="Q471" i="2"/>
  <c r="X471" i="2" s="1"/>
  <c r="Q483" i="2"/>
  <c r="X483" i="2" s="1"/>
  <c r="Q495" i="2"/>
  <c r="X495" i="2" s="1"/>
  <c r="Q507" i="2"/>
  <c r="X507" i="2" s="1"/>
  <c r="Q519" i="2"/>
  <c r="X519" i="2" s="1"/>
  <c r="Q531" i="2"/>
  <c r="X531" i="2" s="1"/>
  <c r="Q543" i="2"/>
  <c r="X543" i="2" s="1"/>
  <c r="Q555" i="2"/>
  <c r="X555" i="2" s="1"/>
  <c r="Q567" i="2"/>
  <c r="Q579" i="2"/>
  <c r="X579" i="2" s="1"/>
  <c r="Q591" i="2"/>
  <c r="Q603" i="2"/>
  <c r="X603" i="2" s="1"/>
  <c r="Q615" i="2"/>
  <c r="X615" i="2" s="1"/>
  <c r="Q627" i="2"/>
  <c r="X627" i="2" s="1"/>
  <c r="Q639" i="2"/>
  <c r="X639" i="2" s="1"/>
  <c r="Q651" i="2"/>
  <c r="X651" i="2" s="1"/>
  <c r="Q663" i="2"/>
  <c r="X663" i="2" s="1"/>
  <c r="Q675" i="2"/>
  <c r="X675" i="2" s="1"/>
  <c r="Q687" i="2"/>
  <c r="X687" i="2" s="1"/>
  <c r="Q699" i="2"/>
  <c r="X699" i="2" s="1"/>
  <c r="Q304" i="2"/>
  <c r="Q316" i="2"/>
  <c r="Q328" i="2"/>
  <c r="Q340" i="2"/>
  <c r="Q352" i="2"/>
  <c r="Q364" i="2"/>
  <c r="Q376" i="2"/>
  <c r="X376" i="2" s="1"/>
  <c r="Q388" i="2"/>
  <c r="X388" i="2" s="1"/>
  <c r="Q400" i="2"/>
  <c r="X400" i="2" s="1"/>
  <c r="Q412" i="2"/>
  <c r="X412" i="2" s="1"/>
  <c r="Q424" i="2"/>
  <c r="X424" i="2" s="1"/>
  <c r="Q436" i="2"/>
  <c r="Q448" i="2"/>
  <c r="X448" i="2" s="1"/>
  <c r="Q460" i="2"/>
  <c r="X460" i="2" s="1"/>
  <c r="Q472" i="2"/>
  <c r="Q484" i="2"/>
  <c r="X484" i="2" s="1"/>
  <c r="Q496" i="2"/>
  <c r="X496" i="2" s="1"/>
  <c r="Q508" i="2"/>
  <c r="X508" i="2" s="1"/>
  <c r="Q520" i="2"/>
  <c r="X520" i="2" s="1"/>
  <c r="Q532" i="2"/>
  <c r="X532" i="2" s="1"/>
  <c r="Q544" i="2"/>
  <c r="X544" i="2" s="1"/>
  <c r="Q556" i="2"/>
  <c r="X556" i="2" s="1"/>
  <c r="Q568" i="2"/>
  <c r="X568" i="2" s="1"/>
  <c r="Q580" i="2"/>
  <c r="X580" i="2" s="1"/>
  <c r="Q592" i="2"/>
  <c r="X592" i="2" s="1"/>
  <c r="Q604" i="2"/>
  <c r="X604" i="2" s="1"/>
  <c r="Q616" i="2"/>
  <c r="Q628" i="2"/>
  <c r="X628" i="2" s="1"/>
  <c r="Q640" i="2"/>
  <c r="X640" i="2" s="1"/>
  <c r="Q652" i="2"/>
  <c r="X652" i="2" s="1"/>
  <c r="Q664" i="2"/>
  <c r="X664" i="2" s="1"/>
  <c r="Q676" i="2"/>
  <c r="X676" i="2" s="1"/>
  <c r="Q688" i="2"/>
  <c r="X688" i="2" s="1"/>
  <c r="Q305" i="2"/>
  <c r="Q317" i="2"/>
  <c r="X317" i="2" s="1"/>
  <c r="Q329" i="2"/>
  <c r="X329" i="2" s="1"/>
  <c r="Q341" i="2"/>
  <c r="Q353" i="2"/>
  <c r="X353" i="2" s="1"/>
  <c r="Q365" i="2"/>
  <c r="Q377" i="2"/>
  <c r="X377" i="2" s="1"/>
  <c r="Q389" i="2"/>
  <c r="X389" i="2" s="1"/>
  <c r="Q401" i="2"/>
  <c r="X401" i="2" s="1"/>
  <c r="Q413" i="2"/>
  <c r="X413" i="2" s="1"/>
  <c r="Q425" i="2"/>
  <c r="X425" i="2" s="1"/>
  <c r="Q437" i="2"/>
  <c r="X437" i="2" s="1"/>
  <c r="Q449" i="2"/>
  <c r="X449" i="2" s="1"/>
  <c r="Q461" i="2"/>
  <c r="X461" i="2" s="1"/>
  <c r="Q473" i="2"/>
  <c r="X473" i="2" s="1"/>
  <c r="Q485" i="2"/>
  <c r="X485" i="2" s="1"/>
  <c r="Q497" i="2"/>
  <c r="X497" i="2" s="1"/>
  <c r="Q509" i="2"/>
  <c r="Q521" i="2"/>
  <c r="X521" i="2" s="1"/>
  <c r="Q533" i="2"/>
  <c r="X533" i="2" s="1"/>
  <c r="Q545" i="2"/>
  <c r="X545" i="2" s="1"/>
  <c r="Q557" i="2"/>
  <c r="X557" i="2" s="1"/>
  <c r="Q569" i="2"/>
  <c r="X569" i="2" s="1"/>
  <c r="Q581" i="2"/>
  <c r="X581" i="2" s="1"/>
  <c r="Q593" i="2"/>
  <c r="X593" i="2" s="1"/>
  <c r="Q605" i="2"/>
  <c r="X605" i="2" s="1"/>
  <c r="Q617" i="2"/>
  <c r="X617" i="2" s="1"/>
  <c r="Q629" i="2"/>
  <c r="X629" i="2" s="1"/>
  <c r="Q641" i="2"/>
  <c r="X641" i="2" s="1"/>
  <c r="Q653" i="2"/>
  <c r="Q665" i="2"/>
  <c r="X665" i="2" s="1"/>
  <c r="Q677" i="2"/>
  <c r="X677" i="2" s="1"/>
  <c r="Q689" i="2"/>
  <c r="X689" i="2" s="1"/>
  <c r="Q701" i="2"/>
  <c r="X701" i="2" s="1"/>
  <c r="Q713" i="2"/>
  <c r="X713" i="2" s="1"/>
  <c r="Q725" i="2"/>
  <c r="X725" i="2" s="1"/>
  <c r="Q737" i="2"/>
  <c r="X737" i="2" s="1"/>
  <c r="Q749" i="2"/>
  <c r="X749" i="2" s="1"/>
  <c r="Q761" i="2"/>
  <c r="X761" i="2" s="1"/>
  <c r="Q773" i="2"/>
  <c r="X773" i="2" s="1"/>
  <c r="Q785" i="2"/>
  <c r="X785" i="2" s="1"/>
  <c r="Q797" i="2"/>
  <c r="X797" i="2" s="1"/>
  <c r="Q809" i="2"/>
  <c r="X809" i="2" s="1"/>
  <c r="Q821" i="2"/>
  <c r="X821" i="2" s="1"/>
  <c r="Q833" i="2"/>
  <c r="X833" i="2" s="1"/>
  <c r="Q845" i="2"/>
  <c r="X845" i="2" s="1"/>
  <c r="Q857" i="2"/>
  <c r="X857" i="2" s="1"/>
  <c r="Q869" i="2"/>
  <c r="X869" i="2" s="1"/>
  <c r="Q881" i="2"/>
  <c r="X881" i="2" s="1"/>
  <c r="Q893" i="2"/>
  <c r="X893" i="2" s="1"/>
  <c r="Q905" i="2"/>
  <c r="X905" i="2" s="1"/>
  <c r="Q917" i="2"/>
  <c r="X917" i="2" s="1"/>
  <c r="Q929" i="2"/>
  <c r="X929" i="2" s="1"/>
  <c r="Q941" i="2"/>
  <c r="Q953" i="2"/>
  <c r="X953" i="2" s="1"/>
  <c r="Q965" i="2"/>
  <c r="X965" i="2" s="1"/>
  <c r="Q977" i="2"/>
  <c r="X977" i="2" s="1"/>
  <c r="Q989" i="2"/>
  <c r="X989" i="2" s="1"/>
  <c r="Q300" i="2"/>
  <c r="Q19" i="2"/>
  <c r="X19" i="2" s="1"/>
  <c r="Q31" i="2"/>
  <c r="X31" i="2" s="1"/>
  <c r="H31" i="23" s="1"/>
  <c r="Q43" i="2"/>
  <c r="X43" i="2" s="1"/>
  <c r="Q55" i="2"/>
  <c r="X55" i="2" s="1"/>
  <c r="Q67" i="2"/>
  <c r="X67" i="2" s="1"/>
  <c r="Q79" i="2"/>
  <c r="X79" i="2" s="1"/>
  <c r="Q91" i="2"/>
  <c r="Q103" i="2"/>
  <c r="Q115" i="2"/>
  <c r="X115" i="2" s="1"/>
  <c r="Q127" i="2"/>
  <c r="X127" i="2" s="1"/>
  <c r="Q139" i="2"/>
  <c r="X139" i="2" s="1"/>
  <c r="Q151" i="2"/>
  <c r="X151" i="2" s="1"/>
  <c r="Q163" i="2"/>
  <c r="X163" i="2" s="1"/>
  <c r="Q175" i="2"/>
  <c r="Q187" i="2"/>
  <c r="X187" i="2" s="1"/>
  <c r="Q199" i="2"/>
  <c r="X199" i="2" s="1"/>
  <c r="Q211" i="2"/>
  <c r="Q223" i="2"/>
  <c r="Q235" i="2"/>
  <c r="Q247" i="2"/>
  <c r="Q259" i="2"/>
  <c r="Q271" i="2"/>
  <c r="Q283" i="2"/>
  <c r="Q295" i="2"/>
  <c r="Q249" i="2"/>
  <c r="Q285" i="2"/>
  <c r="Q306" i="2"/>
  <c r="Q318" i="2"/>
  <c r="Q330" i="2"/>
  <c r="X330" i="2" s="1"/>
  <c r="Q342" i="2"/>
  <c r="Q354" i="2"/>
  <c r="Q366" i="2"/>
  <c r="Q378" i="2"/>
  <c r="Q390" i="2"/>
  <c r="X390" i="2" s="1"/>
  <c r="Q402" i="2"/>
  <c r="X402" i="2" s="1"/>
  <c r="Q414" i="2"/>
  <c r="X414" i="2" s="1"/>
  <c r="Q426" i="2"/>
  <c r="X426" i="2" s="1"/>
  <c r="Q438" i="2"/>
  <c r="X438" i="2" s="1"/>
  <c r="Q450" i="2"/>
  <c r="X450" i="2" s="1"/>
  <c r="Q462" i="2"/>
  <c r="X462" i="2" s="1"/>
  <c r="Q474" i="2"/>
  <c r="Q486" i="2"/>
  <c r="X486" i="2" s="1"/>
  <c r="Q498" i="2"/>
  <c r="Q510" i="2"/>
  <c r="X510" i="2" s="1"/>
  <c r="Q522" i="2"/>
  <c r="X522" i="2" s="1"/>
  <c r="Q534" i="2"/>
  <c r="X534" i="2" s="1"/>
  <c r="Q546" i="2"/>
  <c r="X546" i="2" s="1"/>
  <c r="Q558" i="2"/>
  <c r="X558" i="2" s="1"/>
  <c r="Q570" i="2"/>
  <c r="X570" i="2" s="1"/>
  <c r="Q582" i="2"/>
  <c r="X582" i="2" s="1"/>
  <c r="Q594" i="2"/>
  <c r="X594" i="2" s="1"/>
  <c r="Q606" i="2"/>
  <c r="X606" i="2" s="1"/>
  <c r="Q618" i="2"/>
  <c r="X618" i="2" s="1"/>
  <c r="Q630" i="2"/>
  <c r="X630" i="2" s="1"/>
  <c r="Q642" i="2"/>
  <c r="X642" i="2" s="1"/>
  <c r="Q654" i="2"/>
  <c r="X654" i="2" s="1"/>
  <c r="Q666" i="2"/>
  <c r="X666" i="2" s="1"/>
  <c r="Q678" i="2"/>
  <c r="X678" i="2" s="1"/>
  <c r="Q690" i="2"/>
  <c r="X690" i="2" s="1"/>
  <c r="Q702" i="2"/>
  <c r="X702" i="2" s="1"/>
  <c r="Q714" i="2"/>
  <c r="X714" i="2" s="1"/>
  <c r="Q726" i="2"/>
  <c r="X726" i="2" s="1"/>
  <c r="Q738" i="2"/>
  <c r="X738" i="2" s="1"/>
  <c r="Q750" i="2"/>
  <c r="X750" i="2" s="1"/>
  <c r="Q762" i="2"/>
  <c r="X762" i="2" s="1"/>
  <c r="Q774" i="2"/>
  <c r="X774" i="2" s="1"/>
  <c r="Q786" i="2"/>
  <c r="X786" i="2" s="1"/>
  <c r="Q798" i="2"/>
  <c r="X798" i="2" s="1"/>
  <c r="Q810" i="2"/>
  <c r="X810" i="2" s="1"/>
  <c r="Q822" i="2"/>
  <c r="X822" i="2" s="1"/>
  <c r="Q834" i="2"/>
  <c r="X834" i="2" s="1"/>
  <c r="Q846" i="2"/>
  <c r="X846" i="2" s="1"/>
  <c r="Q858" i="2"/>
  <c r="X858" i="2" s="1"/>
  <c r="Q870" i="2"/>
  <c r="X870" i="2" s="1"/>
  <c r="Q882" i="2"/>
  <c r="X882" i="2" s="1"/>
  <c r="Q894" i="2"/>
  <c r="X894" i="2" s="1"/>
  <c r="Q906" i="2"/>
  <c r="X906" i="2" s="1"/>
  <c r="Q918" i="2"/>
  <c r="X918" i="2" s="1"/>
  <c r="Q930" i="2"/>
  <c r="Q942" i="2"/>
  <c r="X942" i="2" s="1"/>
  <c r="Q954" i="2"/>
  <c r="X954" i="2" s="1"/>
  <c r="Q966" i="2"/>
  <c r="X966" i="2" s="1"/>
  <c r="Q978" i="2"/>
  <c r="X978" i="2" s="1"/>
  <c r="Q990" i="2"/>
  <c r="X990" i="2" s="1"/>
  <c r="Q8" i="2"/>
  <c r="X8" i="2" s="1"/>
  <c r="Q20" i="2"/>
  <c r="X20" i="2" s="1"/>
  <c r="Q32" i="2"/>
  <c r="X32" i="2" s="1"/>
  <c r="Q44" i="2"/>
  <c r="X44" i="2" s="1"/>
  <c r="Q56" i="2"/>
  <c r="X56" i="2" s="1"/>
  <c r="Q68" i="2"/>
  <c r="X68" i="2" s="1"/>
  <c r="Q80" i="2"/>
  <c r="Q92" i="2"/>
  <c r="Q104" i="2"/>
  <c r="X104" i="2" s="1"/>
  <c r="F320" i="32" s="1"/>
  <c r="Q116" i="2"/>
  <c r="X116" i="2" s="1"/>
  <c r="Q128" i="2"/>
  <c r="X128" i="2" s="1"/>
  <c r="Q140" i="2"/>
  <c r="X140" i="2" s="1"/>
  <c r="Q152" i="2"/>
  <c r="X152" i="2" s="1"/>
  <c r="Q164" i="2"/>
  <c r="X164" i="2" s="1"/>
  <c r="Q176" i="2"/>
  <c r="Q188" i="2"/>
  <c r="X188" i="2" s="1"/>
  <c r="Q200" i="2"/>
  <c r="Q212" i="2"/>
  <c r="Q224" i="2"/>
  <c r="Q236" i="2"/>
  <c r="Q248" i="2"/>
  <c r="X248" i="2" s="1"/>
  <c r="Q260" i="2"/>
  <c r="Q272" i="2"/>
  <c r="X272" i="2" s="1"/>
  <c r="Q284" i="2"/>
  <c r="Q296" i="2"/>
  <c r="Q261" i="2"/>
  <c r="X261" i="2" s="1"/>
  <c r="Q297" i="2"/>
  <c r="Q307" i="2"/>
  <c r="Q319" i="2"/>
  <c r="X319" i="2" s="1"/>
  <c r="Q331" i="2"/>
  <c r="X331" i="2" s="1"/>
  <c r="Q343" i="2"/>
  <c r="X343" i="2" s="1"/>
  <c r="Q355" i="2"/>
  <c r="X355" i="2" s="1"/>
  <c r="AZ57" i="24" s="1"/>
  <c r="Q367" i="2"/>
  <c r="X367" i="2" s="1"/>
  <c r="Q379" i="2"/>
  <c r="X379" i="2" s="1"/>
  <c r="Q391" i="2"/>
  <c r="X391" i="2" s="1"/>
  <c r="Q403" i="2"/>
  <c r="X403" i="2" s="1"/>
  <c r="Q415" i="2"/>
  <c r="X415" i="2" s="1"/>
  <c r="Q427" i="2"/>
  <c r="X427" i="2" s="1"/>
  <c r="Q439" i="2"/>
  <c r="X439" i="2" s="1"/>
  <c r="Q451" i="2"/>
  <c r="X451" i="2" s="1"/>
  <c r="Q463" i="2"/>
  <c r="X463" i="2" s="1"/>
  <c r="Q475" i="2"/>
  <c r="X475" i="2" s="1"/>
  <c r="Q487" i="2"/>
  <c r="X487" i="2" s="1"/>
  <c r="Q499" i="2"/>
  <c r="X499" i="2" s="1"/>
  <c r="Q511" i="2"/>
  <c r="X511" i="2" s="1"/>
  <c r="Q523" i="2"/>
  <c r="X523" i="2" s="1"/>
  <c r="Q535" i="2"/>
  <c r="X535" i="2" s="1"/>
  <c r="Q547" i="2"/>
  <c r="X547" i="2" s="1"/>
  <c r="Q559" i="2"/>
  <c r="X559" i="2" s="1"/>
  <c r="Q571" i="2"/>
  <c r="X571" i="2" s="1"/>
  <c r="Q583" i="2"/>
  <c r="X583" i="2" s="1"/>
  <c r="Q595" i="2"/>
  <c r="X595" i="2" s="1"/>
  <c r="Q607" i="2"/>
  <c r="X607" i="2" s="1"/>
  <c r="Q619" i="2"/>
  <c r="X619" i="2" s="1"/>
  <c r="Q631" i="2"/>
  <c r="X631" i="2" s="1"/>
  <c r="Q643" i="2"/>
  <c r="X643" i="2" s="1"/>
  <c r="Q655" i="2"/>
  <c r="X655" i="2" s="1"/>
  <c r="Q667" i="2"/>
  <c r="X667" i="2" s="1"/>
  <c r="Q679" i="2"/>
  <c r="X679" i="2" s="1"/>
  <c r="Q691" i="2"/>
  <c r="X691" i="2" s="1"/>
  <c r="Q703" i="2"/>
  <c r="X703" i="2" s="1"/>
  <c r="Q715" i="2"/>
  <c r="X715" i="2" s="1"/>
  <c r="Q727" i="2"/>
  <c r="X727" i="2" s="1"/>
  <c r="Q739" i="2"/>
  <c r="X739" i="2" s="1"/>
  <c r="Q751" i="2"/>
  <c r="X751" i="2" s="1"/>
  <c r="Q763" i="2"/>
  <c r="X763" i="2" s="1"/>
  <c r="Q775" i="2"/>
  <c r="X775" i="2" s="1"/>
  <c r="Q787" i="2"/>
  <c r="X787" i="2" s="1"/>
  <c r="Q799" i="2"/>
  <c r="X799" i="2" s="1"/>
  <c r="Q811" i="2"/>
  <c r="X811" i="2" s="1"/>
  <c r="Q823" i="2"/>
  <c r="X823" i="2" s="1"/>
  <c r="Q835" i="2"/>
  <c r="X835" i="2" s="1"/>
  <c r="Q847" i="2"/>
  <c r="X847" i="2" s="1"/>
  <c r="Q859" i="2"/>
  <c r="X859" i="2" s="1"/>
  <c r="Q871" i="2"/>
  <c r="X871" i="2" s="1"/>
  <c r="Q883" i="2"/>
  <c r="X883" i="2" s="1"/>
  <c r="Q895" i="2"/>
  <c r="X895" i="2" s="1"/>
  <c r="Q907" i="2"/>
  <c r="X907" i="2" s="1"/>
  <c r="Q919" i="2"/>
  <c r="X919" i="2" s="1"/>
  <c r="Q931" i="2"/>
  <c r="X931" i="2" s="1"/>
  <c r="Q943" i="2"/>
  <c r="X943" i="2" s="1"/>
  <c r="Q955" i="2"/>
  <c r="X955" i="2" s="1"/>
  <c r="Q967" i="2"/>
  <c r="X967" i="2" s="1"/>
  <c r="Q979" i="2"/>
  <c r="X979" i="2" s="1"/>
  <c r="Q991" i="2"/>
  <c r="X991" i="2" s="1"/>
  <c r="Q9" i="2"/>
  <c r="X9" i="2" s="1"/>
  <c r="H9" i="23" s="1"/>
  <c r="Q21" i="2"/>
  <c r="X21" i="2" s="1"/>
  <c r="Q33" i="2"/>
  <c r="X33" i="2" s="1"/>
  <c r="Q45" i="2"/>
  <c r="X45" i="2" s="1"/>
  <c r="Q57" i="2"/>
  <c r="X57" i="2" s="1"/>
  <c r="Q69" i="2"/>
  <c r="Q81" i="2"/>
  <c r="Q93" i="2"/>
  <c r="X93" i="2" s="1"/>
  <c r="Q105" i="2"/>
  <c r="X105" i="2" s="1"/>
  <c r="Q117" i="2"/>
  <c r="X117" i="2" s="1"/>
  <c r="Q129" i="2"/>
  <c r="X129" i="2" s="1"/>
  <c r="Q141" i="2"/>
  <c r="X141" i="2" s="1"/>
  <c r="Q153" i="2"/>
  <c r="X153" i="2" s="1"/>
  <c r="Q165" i="2"/>
  <c r="X165" i="2" s="1"/>
  <c r="Q177" i="2"/>
  <c r="Q189" i="2"/>
  <c r="Q201" i="2"/>
  <c r="Q213" i="2"/>
  <c r="Q225" i="2"/>
  <c r="Q237" i="2"/>
  <c r="Q273" i="2"/>
  <c r="X273" i="2" s="1"/>
  <c r="Q308" i="2"/>
  <c r="Q320" i="2"/>
  <c r="Q332" i="2"/>
  <c r="X332" i="2" s="1"/>
  <c r="Q344" i="2"/>
  <c r="Q356" i="2"/>
  <c r="Q368" i="2"/>
  <c r="Q380" i="2"/>
  <c r="X380" i="2" s="1"/>
  <c r="Q392" i="2"/>
  <c r="X392" i="2" s="1"/>
  <c r="Q404" i="2"/>
  <c r="X404" i="2" s="1"/>
  <c r="Q416" i="2"/>
  <c r="X416" i="2" s="1"/>
  <c r="Q428" i="2"/>
  <c r="X428" i="2" s="1"/>
  <c r="Q440" i="2"/>
  <c r="X440" i="2" s="1"/>
  <c r="Q452" i="2"/>
  <c r="X452" i="2" s="1"/>
  <c r="Q464" i="2"/>
  <c r="X464" i="2" s="1"/>
  <c r="Q476" i="2"/>
  <c r="X476" i="2" s="1"/>
  <c r="Q488" i="2"/>
  <c r="X488" i="2" s="1"/>
  <c r="Q500" i="2"/>
  <c r="X500" i="2" s="1"/>
  <c r="Q512" i="2"/>
  <c r="X512" i="2" s="1"/>
  <c r="Q524" i="2"/>
  <c r="Q536" i="2"/>
  <c r="X536" i="2" s="1"/>
  <c r="Q548" i="2"/>
  <c r="Q560" i="2"/>
  <c r="X560" i="2" s="1"/>
  <c r="Q572" i="2"/>
  <c r="X572" i="2" s="1"/>
  <c r="Q584" i="2"/>
  <c r="X584" i="2" s="1"/>
  <c r="Q596" i="2"/>
  <c r="X596" i="2" s="1"/>
  <c r="Q608" i="2"/>
  <c r="X608" i="2" s="1"/>
  <c r="Q620" i="2"/>
  <c r="X620" i="2" s="1"/>
  <c r="Q632" i="2"/>
  <c r="X632" i="2" s="1"/>
  <c r="Q644" i="2"/>
  <c r="X644" i="2" s="1"/>
  <c r="Q656" i="2"/>
  <c r="X656" i="2" s="1"/>
  <c r="Q668" i="2"/>
  <c r="X668" i="2" s="1"/>
  <c r="Q680" i="2"/>
  <c r="X680" i="2" s="1"/>
  <c r="Q692" i="2"/>
  <c r="X692" i="2" s="1"/>
  <c r="Q704" i="2"/>
  <c r="X704" i="2" s="1"/>
  <c r="Q716" i="2"/>
  <c r="X716" i="2" s="1"/>
  <c r="Q309" i="2"/>
  <c r="Q321" i="2"/>
  <c r="Q333" i="2"/>
  <c r="X333" i="2" s="1"/>
  <c r="Q345" i="2"/>
  <c r="X345" i="2" s="1"/>
  <c r="Q357" i="2"/>
  <c r="X357" i="2" s="1"/>
  <c r="Q369" i="2"/>
  <c r="Q381" i="2"/>
  <c r="X381" i="2" s="1"/>
  <c r="Q393" i="2"/>
  <c r="X393" i="2" s="1"/>
  <c r="Q405" i="2"/>
  <c r="X405" i="2" s="1"/>
  <c r="Q417" i="2"/>
  <c r="X417" i="2" s="1"/>
  <c r="Q429" i="2"/>
  <c r="X429" i="2" s="1"/>
  <c r="Q441" i="2"/>
  <c r="X441" i="2" s="1"/>
  <c r="Q453" i="2"/>
  <c r="X453" i="2" s="1"/>
  <c r="Q465" i="2"/>
  <c r="X465" i="2" s="1"/>
  <c r="Q477" i="2"/>
  <c r="X477" i="2" s="1"/>
  <c r="Q489" i="2"/>
  <c r="X489" i="2" s="1"/>
  <c r="Q501" i="2"/>
  <c r="X501" i="2" s="1"/>
  <c r="Q513" i="2"/>
  <c r="X513" i="2" s="1"/>
  <c r="Q525" i="2"/>
  <c r="X525" i="2" s="1"/>
  <c r="Q537" i="2"/>
  <c r="X537" i="2" s="1"/>
  <c r="Q549" i="2"/>
  <c r="X549" i="2" s="1"/>
  <c r="Q561" i="2"/>
  <c r="X561" i="2" s="1"/>
  <c r="Q573" i="2"/>
  <c r="X573" i="2" s="1"/>
  <c r="Q585" i="2"/>
  <c r="X585" i="2" s="1"/>
  <c r="Q597" i="2"/>
  <c r="X597" i="2" s="1"/>
  <c r="Q609" i="2"/>
  <c r="X609" i="2" s="1"/>
  <c r="Q621" i="2"/>
  <c r="X621" i="2" s="1"/>
  <c r="Q633" i="2"/>
  <c r="X633" i="2" s="1"/>
  <c r="Q645" i="2"/>
  <c r="X645" i="2" s="1"/>
  <c r="Q657" i="2"/>
  <c r="X657" i="2" s="1"/>
  <c r="Q669" i="2"/>
  <c r="X669" i="2" s="1"/>
  <c r="Q681" i="2"/>
  <c r="X681" i="2" s="1"/>
  <c r="Q310" i="2"/>
  <c r="Q322" i="2"/>
  <c r="X322" i="2" s="1"/>
  <c r="Q334" i="2"/>
  <c r="X334" i="2" s="1"/>
  <c r="Q346" i="2"/>
  <c r="Q358" i="2"/>
  <c r="Q370" i="2"/>
  <c r="X370" i="2" s="1"/>
  <c r="Q382" i="2"/>
  <c r="X382" i="2" s="1"/>
  <c r="Q394" i="2"/>
  <c r="X394" i="2" s="1"/>
  <c r="Q406" i="2"/>
  <c r="X406" i="2" s="1"/>
  <c r="Q418" i="2"/>
  <c r="X418" i="2" s="1"/>
  <c r="Q430" i="2"/>
  <c r="Q442" i="2"/>
  <c r="X442" i="2" s="1"/>
  <c r="Q454" i="2"/>
  <c r="X454" i="2" s="1"/>
  <c r="Q466" i="2"/>
  <c r="X466" i="2" s="1"/>
  <c r="Q478" i="2"/>
  <c r="X478" i="2" s="1"/>
  <c r="Q490" i="2"/>
  <c r="X490" i="2" s="1"/>
  <c r="Q502" i="2"/>
  <c r="X502" i="2" s="1"/>
  <c r="Q514" i="2"/>
  <c r="X514" i="2" s="1"/>
  <c r="Q526" i="2"/>
  <c r="X526" i="2" s="1"/>
  <c r="Q538" i="2"/>
  <c r="X538" i="2" s="1"/>
  <c r="Q550" i="2"/>
  <c r="X550" i="2" s="1"/>
  <c r="Q562" i="2"/>
  <c r="X562" i="2" s="1"/>
  <c r="Q574" i="2"/>
  <c r="X574" i="2" s="1"/>
  <c r="Q586" i="2"/>
  <c r="X586" i="2" s="1"/>
  <c r="Q598" i="2"/>
  <c r="X598" i="2" s="1"/>
  <c r="Q610" i="2"/>
  <c r="X610" i="2" s="1"/>
  <c r="Q622" i="2"/>
  <c r="X622" i="2" s="1"/>
  <c r="Q634" i="2"/>
  <c r="X634" i="2" s="1"/>
  <c r="Q646" i="2"/>
  <c r="X646" i="2" s="1"/>
  <c r="Q658" i="2"/>
  <c r="X658" i="2" s="1"/>
  <c r="Q670" i="2"/>
  <c r="X670" i="2" s="1"/>
  <c r="Q682" i="2"/>
  <c r="X682" i="2" s="1"/>
  <c r="Q694" i="2"/>
  <c r="X694" i="2" s="1"/>
  <c r="Q311" i="2"/>
  <c r="Q323" i="2"/>
  <c r="Q335" i="2"/>
  <c r="X335" i="2" s="1"/>
  <c r="Q347" i="2"/>
  <c r="Q359" i="2"/>
  <c r="X359" i="2" s="1"/>
  <c r="Q371" i="2"/>
  <c r="X371" i="2" s="1"/>
  <c r="Q383" i="2"/>
  <c r="X383" i="2" s="1"/>
  <c r="Q395" i="2"/>
  <c r="X395" i="2" s="1"/>
  <c r="Q407" i="2"/>
  <c r="X407" i="2" s="1"/>
  <c r="Q419" i="2"/>
  <c r="X419" i="2" s="1"/>
  <c r="Q431" i="2"/>
  <c r="X431" i="2" s="1"/>
  <c r="Q443" i="2"/>
  <c r="X443" i="2" s="1"/>
  <c r="Q455" i="2"/>
  <c r="X455" i="2" s="1"/>
  <c r="Q467" i="2"/>
  <c r="X467" i="2" s="1"/>
  <c r="Q479" i="2"/>
  <c r="X479" i="2" s="1"/>
  <c r="Q491" i="2"/>
  <c r="X491" i="2" s="1"/>
  <c r="Q503" i="2"/>
  <c r="X503" i="2" s="1"/>
  <c r="Q515" i="2"/>
  <c r="X515" i="2" s="1"/>
  <c r="Q527" i="2"/>
  <c r="X527" i="2" s="1"/>
  <c r="Q539" i="2"/>
  <c r="X539" i="2" s="1"/>
  <c r="Q551" i="2"/>
  <c r="X551" i="2" s="1"/>
  <c r="Q563" i="2"/>
  <c r="X563" i="2" s="1"/>
  <c r="Q575" i="2"/>
  <c r="X575" i="2" s="1"/>
  <c r="Q587" i="2"/>
  <c r="X587" i="2" s="1"/>
  <c r="Q599" i="2"/>
  <c r="X599" i="2" s="1"/>
  <c r="Q611" i="2"/>
  <c r="X611" i="2" s="1"/>
  <c r="Q623" i="2"/>
  <c r="X623" i="2" s="1"/>
  <c r="Q635" i="2"/>
  <c r="X635" i="2" s="1"/>
  <c r="Q647" i="2"/>
  <c r="X647" i="2" s="1"/>
  <c r="Q659" i="2"/>
  <c r="X659" i="2" s="1"/>
  <c r="Q671" i="2"/>
  <c r="X671" i="2" s="1"/>
  <c r="Q683" i="2"/>
  <c r="X683" i="2" s="1"/>
  <c r="Q695" i="2"/>
  <c r="X695" i="2" s="1"/>
  <c r="Q707" i="2"/>
  <c r="X707" i="2" s="1"/>
  <c r="Q719" i="2"/>
  <c r="X719" i="2" s="1"/>
  <c r="Q731" i="2"/>
  <c r="X731" i="2" s="1"/>
  <c r="Q743" i="2"/>
  <c r="X743" i="2" s="1"/>
  <c r="Q755" i="2"/>
  <c r="X755" i="2" s="1"/>
  <c r="Q767" i="2"/>
  <c r="X767" i="2" s="1"/>
  <c r="Q779" i="2"/>
  <c r="X779" i="2" s="1"/>
  <c r="Q791" i="2"/>
  <c r="X791" i="2" s="1"/>
  <c r="Q803" i="2"/>
  <c r="X803" i="2" s="1"/>
  <c r="Q815" i="2"/>
  <c r="X815" i="2" s="1"/>
  <c r="Q827" i="2"/>
  <c r="X827" i="2" s="1"/>
  <c r="Q839" i="2"/>
  <c r="X839" i="2" s="1"/>
  <c r="Q851" i="2"/>
  <c r="X851" i="2" s="1"/>
  <c r="Q863" i="2"/>
  <c r="X863" i="2" s="1"/>
  <c r="Q875" i="2"/>
  <c r="X875" i="2" s="1"/>
  <c r="Q887" i="2"/>
  <c r="X887" i="2" s="1"/>
  <c r="Q899" i="2"/>
  <c r="X899" i="2" s="1"/>
  <c r="Q911" i="2"/>
  <c r="X911" i="2" s="1"/>
  <c r="Q923" i="2"/>
  <c r="X923" i="2" s="1"/>
  <c r="Q935" i="2"/>
  <c r="X935" i="2" s="1"/>
  <c r="Q947" i="2"/>
  <c r="X947" i="2" s="1"/>
  <c r="Q959" i="2"/>
  <c r="X959" i="2" s="1"/>
  <c r="Q971" i="2"/>
  <c r="X971" i="2" s="1"/>
  <c r="Q983" i="2"/>
  <c r="X983" i="2" s="1"/>
  <c r="Q995" i="2"/>
  <c r="X995" i="2" s="1"/>
  <c r="Q13" i="2"/>
  <c r="X13" i="2" s="1"/>
  <c r="H13" i="23" s="1"/>
  <c r="Q25" i="2"/>
  <c r="X25" i="2" s="1"/>
  <c r="Q37" i="2"/>
  <c r="X37" i="2" s="1"/>
  <c r="Q49" i="2"/>
  <c r="X49" i="2" s="1"/>
  <c r="Q61" i="2"/>
  <c r="X61" i="2" s="1"/>
  <c r="Q73" i="2"/>
  <c r="X73" i="2" s="1"/>
  <c r="Q85" i="2"/>
  <c r="Q97" i="2"/>
  <c r="Q109" i="2"/>
  <c r="X109" i="2" s="1"/>
  <c r="Q121" i="2"/>
  <c r="X121" i="2" s="1"/>
  <c r="Q133" i="2"/>
  <c r="Q145" i="2"/>
  <c r="X145" i="2" s="1"/>
  <c r="H145" i="23" s="1"/>
  <c r="Q157" i="2"/>
  <c r="X157" i="2" s="1"/>
  <c r="Q169" i="2"/>
  <c r="X169" i="2" s="1"/>
  <c r="Q181" i="2"/>
  <c r="Q193" i="2"/>
  <c r="X193" i="2" s="1"/>
  <c r="Q205" i="2"/>
  <c r="Q217" i="2"/>
  <c r="X217" i="2" s="1"/>
  <c r="Q229" i="2"/>
  <c r="Q241" i="2"/>
  <c r="Q253" i="2"/>
  <c r="X253" i="2" s="1"/>
  <c r="Q265" i="2"/>
  <c r="X265" i="2" s="1"/>
  <c r="Q277" i="2"/>
  <c r="Q289" i="2"/>
  <c r="X289" i="2" s="1"/>
  <c r="Q312" i="2"/>
  <c r="Q456" i="2"/>
  <c r="X456" i="2" s="1"/>
  <c r="Q600" i="2"/>
  <c r="X600" i="2" s="1"/>
  <c r="Q706" i="2"/>
  <c r="X706" i="2" s="1"/>
  <c r="Q732" i="2"/>
  <c r="X732" i="2" s="1"/>
  <c r="Q753" i="2"/>
  <c r="X753" i="2" s="1"/>
  <c r="Q772" i="2"/>
  <c r="X772" i="2" s="1"/>
  <c r="Q794" i="2"/>
  <c r="X794" i="2" s="1"/>
  <c r="Q814" i="2"/>
  <c r="X814" i="2" s="1"/>
  <c r="Q836" i="2"/>
  <c r="X836" i="2" s="1"/>
  <c r="Q855" i="2"/>
  <c r="X855" i="2" s="1"/>
  <c r="Q876" i="2"/>
  <c r="X876" i="2" s="1"/>
  <c r="Q897" i="2"/>
  <c r="X897" i="2" s="1"/>
  <c r="Q916" i="2"/>
  <c r="X916" i="2" s="1"/>
  <c r="Q938" i="2"/>
  <c r="X938" i="2" s="1"/>
  <c r="Q958" i="2"/>
  <c r="X958" i="2" s="1"/>
  <c r="Q980" i="2"/>
  <c r="X980" i="2" s="1"/>
  <c r="Q999" i="2"/>
  <c r="X999" i="2" s="1"/>
  <c r="Q26" i="2"/>
  <c r="X26" i="2" s="1"/>
  <c r="Q47" i="2"/>
  <c r="Q66" i="2"/>
  <c r="X66" i="2" s="1"/>
  <c r="Q88" i="2"/>
  <c r="X88" i="2" s="1"/>
  <c r="Q108" i="2"/>
  <c r="X108" i="2" s="1"/>
  <c r="Q130" i="2"/>
  <c r="X130" i="2" s="1"/>
  <c r="Q149" i="2"/>
  <c r="X149" i="2" s="1"/>
  <c r="Q170" i="2"/>
  <c r="X170" i="2" s="1"/>
  <c r="Q191" i="2"/>
  <c r="X191" i="2" s="1"/>
  <c r="Q210" i="2"/>
  <c r="Q232" i="2"/>
  <c r="X232" i="2" s="1"/>
  <c r="AH55" i="24" s="1"/>
  <c r="Q252" i="2"/>
  <c r="Q274" i="2"/>
  <c r="Q291" i="2"/>
  <c r="Q921" i="2"/>
  <c r="X921" i="2" s="1"/>
  <c r="Q90" i="2"/>
  <c r="X90" i="2" s="1"/>
  <c r="Q215" i="2"/>
  <c r="X215" i="2" s="1"/>
  <c r="Q324" i="2"/>
  <c r="Q468" i="2"/>
  <c r="X468" i="2" s="1"/>
  <c r="Q612" i="2"/>
  <c r="X612" i="2" s="1"/>
  <c r="Q708" i="2"/>
  <c r="X708" i="2" s="1"/>
  <c r="Q734" i="2"/>
  <c r="X734" i="2" s="1"/>
  <c r="Q754" i="2"/>
  <c r="X754" i="2" s="1"/>
  <c r="Q776" i="2"/>
  <c r="X776" i="2" s="1"/>
  <c r="Q795" i="2"/>
  <c r="X795" i="2" s="1"/>
  <c r="Q816" i="2"/>
  <c r="X816" i="2" s="1"/>
  <c r="Q837" i="2"/>
  <c r="X837" i="2" s="1"/>
  <c r="Q856" i="2"/>
  <c r="X856" i="2" s="1"/>
  <c r="Q878" i="2"/>
  <c r="X878" i="2" s="1"/>
  <c r="Q898" i="2"/>
  <c r="X898" i="2" s="1"/>
  <c r="Q920" i="2"/>
  <c r="X920" i="2" s="1"/>
  <c r="Q939" i="2"/>
  <c r="X939" i="2" s="1"/>
  <c r="Q960" i="2"/>
  <c r="X960" i="2" s="1"/>
  <c r="Q981" i="2"/>
  <c r="X981" i="2" s="1"/>
  <c r="Q1000" i="2"/>
  <c r="X1000" i="2" s="1"/>
  <c r="Q28" i="2"/>
  <c r="X28" i="2" s="1"/>
  <c r="Q48" i="2"/>
  <c r="Q70" i="2"/>
  <c r="Q89" i="2"/>
  <c r="X89" i="2" s="1"/>
  <c r="Q110" i="2"/>
  <c r="X110" i="2" s="1"/>
  <c r="Q131" i="2"/>
  <c r="X131" i="2" s="1"/>
  <c r="Q150" i="2"/>
  <c r="X150" i="2" s="1"/>
  <c r="Q172" i="2"/>
  <c r="X172" i="2" s="1"/>
  <c r="Q192" i="2"/>
  <c r="X192" i="2" s="1"/>
  <c r="F287" i="32" s="1"/>
  <c r="F285" i="32" s="1"/>
  <c r="Q214" i="2"/>
  <c r="X214" i="2" s="1"/>
  <c r="Q233" i="2"/>
  <c r="Q254" i="2"/>
  <c r="X254" i="2" s="1"/>
  <c r="F392" i="32" s="1"/>
  <c r="Q275" i="2"/>
  <c r="X275" i="2" s="1"/>
  <c r="H275" i="23" s="1"/>
  <c r="Q292" i="2"/>
  <c r="Q879" i="2"/>
  <c r="X879" i="2" s="1"/>
  <c r="Q962" i="2"/>
  <c r="X962" i="2" s="1"/>
  <c r="Q132" i="2"/>
  <c r="X132" i="2" s="1"/>
  <c r="Q293" i="2"/>
  <c r="Q336" i="2"/>
  <c r="X336" i="2" s="1"/>
  <c r="Q480" i="2"/>
  <c r="X480" i="2" s="1"/>
  <c r="Q624" i="2"/>
  <c r="X624" i="2" s="1"/>
  <c r="Q711" i="2"/>
  <c r="X711" i="2" s="1"/>
  <c r="Q735" i="2"/>
  <c r="X735" i="2" s="1"/>
  <c r="Q756" i="2"/>
  <c r="X756" i="2" s="1"/>
  <c r="Q777" i="2"/>
  <c r="X777" i="2" s="1"/>
  <c r="Q796" i="2"/>
  <c r="X796" i="2" s="1"/>
  <c r="Q818" i="2"/>
  <c r="X818" i="2" s="1"/>
  <c r="Q838" i="2"/>
  <c r="X838" i="2" s="1"/>
  <c r="Q860" i="2"/>
  <c r="X860" i="2" s="1"/>
  <c r="Q900" i="2"/>
  <c r="X900" i="2" s="1"/>
  <c r="Q940" i="2"/>
  <c r="X940" i="2" s="1"/>
  <c r="Q10" i="2"/>
  <c r="X10" i="2" s="1"/>
  <c r="Q173" i="2"/>
  <c r="X173" i="2" s="1"/>
  <c r="Q348" i="2"/>
  <c r="X348" i="2" s="1"/>
  <c r="Q492" i="2"/>
  <c r="X492" i="2" s="1"/>
  <c r="Q636" i="2"/>
  <c r="X636" i="2" s="1"/>
  <c r="Q712" i="2"/>
  <c r="X712" i="2" s="1"/>
  <c r="Q736" i="2"/>
  <c r="X736" i="2" s="1"/>
  <c r="Q758" i="2"/>
  <c r="X758" i="2" s="1"/>
  <c r="Q778" i="2"/>
  <c r="X778" i="2" s="1"/>
  <c r="Q800" i="2"/>
  <c r="X800" i="2" s="1"/>
  <c r="Q819" i="2"/>
  <c r="X819" i="2" s="1"/>
  <c r="Q840" i="2"/>
  <c r="X840" i="2" s="1"/>
  <c r="Q861" i="2"/>
  <c r="X861" i="2" s="1"/>
  <c r="Q880" i="2"/>
  <c r="X880" i="2" s="1"/>
  <c r="Q902" i="2"/>
  <c r="X902" i="2" s="1"/>
  <c r="Q922" i="2"/>
  <c r="X922" i="2" s="1"/>
  <c r="Q944" i="2"/>
  <c r="X944" i="2" s="1"/>
  <c r="Q963" i="2"/>
  <c r="X963" i="2" s="1"/>
  <c r="Q984" i="2"/>
  <c r="X984" i="2" s="1"/>
  <c r="Q11" i="2"/>
  <c r="Q30" i="2"/>
  <c r="X30" i="2" s="1"/>
  <c r="H30" i="23" s="1"/>
  <c r="Q52" i="2"/>
  <c r="X52" i="2" s="1"/>
  <c r="Q72" i="2"/>
  <c r="X72" i="2" s="1"/>
  <c r="Q94" i="2"/>
  <c r="X94" i="2" s="1"/>
  <c r="Q113" i="2"/>
  <c r="X113" i="2" s="1"/>
  <c r="Q134" i="2"/>
  <c r="X134" i="2" s="1"/>
  <c r="Q155" i="2"/>
  <c r="X155" i="2" s="1"/>
  <c r="Q174" i="2"/>
  <c r="X174" i="2" s="1"/>
  <c r="Q196" i="2"/>
  <c r="Q216" i="2"/>
  <c r="Q238" i="2"/>
  <c r="Q257" i="2"/>
  <c r="Q278" i="2"/>
  <c r="Q294" i="2"/>
  <c r="Q804" i="2"/>
  <c r="X804" i="2" s="1"/>
  <c r="Q948" i="2"/>
  <c r="X948" i="2" s="1"/>
  <c r="Q58" i="2"/>
  <c r="X58" i="2" s="1"/>
  <c r="Q119" i="2"/>
  <c r="X119" i="2" s="1"/>
  <c r="Q202" i="2"/>
  <c r="Q263" i="2"/>
  <c r="X263" i="2" s="1"/>
  <c r="Q826" i="2"/>
  <c r="X826" i="2" s="1"/>
  <c r="Q992" i="2"/>
  <c r="X992" i="2" s="1"/>
  <c r="Q100" i="2"/>
  <c r="Q203" i="2"/>
  <c r="Q408" i="2"/>
  <c r="X408" i="2" s="1"/>
  <c r="Q828" i="2"/>
  <c r="X828" i="2" s="1"/>
  <c r="Q972" i="2"/>
  <c r="X972" i="2" s="1"/>
  <c r="Q101" i="2"/>
  <c r="X101" i="2" s="1"/>
  <c r="Q226" i="2"/>
  <c r="Q771" i="2"/>
  <c r="X771" i="2" s="1"/>
  <c r="Q936" i="2"/>
  <c r="X936" i="2" s="1"/>
  <c r="Q126" i="2"/>
  <c r="X126" i="2" s="1"/>
  <c r="Q290" i="2"/>
  <c r="Q194" i="2"/>
  <c r="X194" i="2" s="1"/>
  <c r="Q360" i="2"/>
  <c r="X360" i="2" s="1"/>
  <c r="Q504" i="2"/>
  <c r="X504" i="2" s="1"/>
  <c r="Q648" i="2"/>
  <c r="X648" i="2" s="1"/>
  <c r="Q717" i="2"/>
  <c r="X717" i="2" s="1"/>
  <c r="Q740" i="2"/>
  <c r="X740" i="2" s="1"/>
  <c r="Q759" i="2"/>
  <c r="X759" i="2" s="1"/>
  <c r="Q780" i="2"/>
  <c r="X780" i="2" s="1"/>
  <c r="Q801" i="2"/>
  <c r="X801" i="2" s="1"/>
  <c r="Q820" i="2"/>
  <c r="X820" i="2" s="1"/>
  <c r="Q842" i="2"/>
  <c r="X842" i="2" s="1"/>
  <c r="Q862" i="2"/>
  <c r="X862" i="2" s="1"/>
  <c r="Q884" i="2"/>
  <c r="X884" i="2" s="1"/>
  <c r="Q903" i="2"/>
  <c r="X903" i="2" s="1"/>
  <c r="Q924" i="2"/>
  <c r="X924" i="2" s="1"/>
  <c r="Q945" i="2"/>
  <c r="X945" i="2" s="1"/>
  <c r="Q964" i="2"/>
  <c r="X964" i="2" s="1"/>
  <c r="Q986" i="2"/>
  <c r="X986" i="2" s="1"/>
  <c r="Q12" i="2"/>
  <c r="X12" i="2" s="1"/>
  <c r="H12" i="23" s="1"/>
  <c r="Q34" i="2"/>
  <c r="X34" i="2" s="1"/>
  <c r="Q53" i="2"/>
  <c r="X53" i="2" s="1"/>
  <c r="Q74" i="2"/>
  <c r="X74" i="2" s="1"/>
  <c r="Q95" i="2"/>
  <c r="X95" i="2" s="1"/>
  <c r="H95" i="23" s="1"/>
  <c r="Q114" i="2"/>
  <c r="X114" i="2" s="1"/>
  <c r="Q136" i="2"/>
  <c r="X136" i="2" s="1"/>
  <c r="Q156" i="2"/>
  <c r="Q178" i="2"/>
  <c r="Q197" i="2"/>
  <c r="Q218" i="2"/>
  <c r="Q239" i="2"/>
  <c r="X239" i="2" s="1"/>
  <c r="Q258" i="2"/>
  <c r="Q279" i="2"/>
  <c r="Q298" i="2"/>
  <c r="Q384" i="2"/>
  <c r="X384" i="2" s="1"/>
  <c r="Q672" i="2"/>
  <c r="X672" i="2" s="1"/>
  <c r="Q764" i="2"/>
  <c r="X764" i="2" s="1"/>
  <c r="Q825" i="2"/>
  <c r="X825" i="2" s="1"/>
  <c r="Q866" i="2"/>
  <c r="X866" i="2" s="1"/>
  <c r="Q908" i="2"/>
  <c r="X908" i="2" s="1"/>
  <c r="Q969" i="2"/>
  <c r="X969" i="2" s="1"/>
  <c r="Q36" i="2"/>
  <c r="X36" i="2" s="1"/>
  <c r="Q98" i="2"/>
  <c r="X98" i="2" s="1"/>
  <c r="Q180" i="2"/>
  <c r="Q242" i="2"/>
  <c r="X242" i="2" s="1"/>
  <c r="H242" i="23" s="1"/>
  <c r="Q806" i="2"/>
  <c r="X806" i="2" s="1"/>
  <c r="Q928" i="2"/>
  <c r="X928" i="2" s="1"/>
  <c r="Q59" i="2"/>
  <c r="X59" i="2" s="1"/>
  <c r="Q142" i="2"/>
  <c r="X142" i="2" s="1"/>
  <c r="Q244" i="2"/>
  <c r="X244" i="2" s="1"/>
  <c r="Q693" i="2"/>
  <c r="X693" i="2" s="1"/>
  <c r="Q788" i="2"/>
  <c r="X788" i="2" s="1"/>
  <c r="Q890" i="2"/>
  <c r="X890" i="2" s="1"/>
  <c r="Q993" i="2"/>
  <c r="X993" i="2" s="1"/>
  <c r="Q122" i="2"/>
  <c r="X122" i="2" s="1"/>
  <c r="Q204" i="2"/>
  <c r="X204" i="2" s="1"/>
  <c r="Q286" i="2"/>
  <c r="Q730" i="2"/>
  <c r="X730" i="2" s="1"/>
  <c r="Q813" i="2"/>
  <c r="X813" i="2" s="1"/>
  <c r="Q957" i="2"/>
  <c r="X957" i="2" s="1"/>
  <c r="Q86" i="2"/>
  <c r="X86" i="2" s="1"/>
  <c r="Q251" i="2"/>
  <c r="X251" i="2" s="1"/>
  <c r="Q112" i="2"/>
  <c r="Q372" i="2"/>
  <c r="X372" i="2" s="1"/>
  <c r="Q516" i="2"/>
  <c r="X516" i="2" s="1"/>
  <c r="Q660" i="2"/>
  <c r="X660" i="2" s="1"/>
  <c r="Q718" i="2"/>
  <c r="X718" i="2" s="1"/>
  <c r="Q741" i="2"/>
  <c r="X741" i="2" s="1"/>
  <c r="Q760" i="2"/>
  <c r="X760" i="2" s="1"/>
  <c r="Q782" i="2"/>
  <c r="X782" i="2" s="1"/>
  <c r="Q802" i="2"/>
  <c r="X802" i="2" s="1"/>
  <c r="Q824" i="2"/>
  <c r="X824" i="2" s="1"/>
  <c r="Q843" i="2"/>
  <c r="X843" i="2" s="1"/>
  <c r="Q864" i="2"/>
  <c r="X864" i="2" s="1"/>
  <c r="Q885" i="2"/>
  <c r="X885" i="2" s="1"/>
  <c r="Q904" i="2"/>
  <c r="X904" i="2" s="1"/>
  <c r="Q926" i="2"/>
  <c r="X926" i="2" s="1"/>
  <c r="Q946" i="2"/>
  <c r="X946" i="2" s="1"/>
  <c r="Q968" i="2"/>
  <c r="X968" i="2" s="1"/>
  <c r="Q987" i="2"/>
  <c r="X987" i="2" s="1"/>
  <c r="Q14" i="2"/>
  <c r="X14" i="2" s="1"/>
  <c r="Q35" i="2"/>
  <c r="X35" i="2" s="1"/>
  <c r="Q54" i="2"/>
  <c r="X54" i="2" s="1"/>
  <c r="Q76" i="2"/>
  <c r="X76" i="2" s="1"/>
  <c r="Q96" i="2"/>
  <c r="X96" i="2" s="1"/>
  <c r="Q118" i="2"/>
  <c r="X118" i="2" s="1"/>
  <c r="Q137" i="2"/>
  <c r="X137" i="2" s="1"/>
  <c r="F365" i="32" s="1"/>
  <c r="Q158" i="2"/>
  <c r="Q179" i="2"/>
  <c r="X179" i="2" s="1"/>
  <c r="Q198" i="2"/>
  <c r="Q220" i="2"/>
  <c r="X220" i="2" s="1"/>
  <c r="Q240" i="2"/>
  <c r="X240" i="2" s="1"/>
  <c r="Q262" i="2"/>
  <c r="X262" i="2" s="1"/>
  <c r="Q280" i="2"/>
  <c r="Q299" i="2"/>
  <c r="Q528" i="2"/>
  <c r="X528" i="2" s="1"/>
  <c r="Q720" i="2"/>
  <c r="X720" i="2" s="1"/>
  <c r="Q783" i="2"/>
  <c r="X783" i="2" s="1"/>
  <c r="Q844" i="2"/>
  <c r="X844" i="2" s="1"/>
  <c r="Q886" i="2"/>
  <c r="X886" i="2" s="1"/>
  <c r="Q927" i="2"/>
  <c r="X927" i="2" s="1"/>
  <c r="Q988" i="2"/>
  <c r="X988" i="2" s="1"/>
  <c r="Q77" i="2"/>
  <c r="X77" i="2" s="1"/>
  <c r="Q138" i="2"/>
  <c r="X138" i="2" s="1"/>
  <c r="Q221" i="2"/>
  <c r="Q7" i="2"/>
  <c r="X7" i="2" s="1"/>
  <c r="Q848" i="2"/>
  <c r="X848" i="2" s="1"/>
  <c r="Q17" i="2"/>
  <c r="X17" i="2" s="1"/>
  <c r="Q120" i="2"/>
  <c r="X120" i="2" s="1"/>
  <c r="Q222" i="2"/>
  <c r="Q552" i="2"/>
  <c r="X552" i="2" s="1"/>
  <c r="Q807" i="2"/>
  <c r="X807" i="2" s="1"/>
  <c r="Q910" i="2"/>
  <c r="X910" i="2" s="1"/>
  <c r="Q40" i="2"/>
  <c r="X40" i="2" s="1"/>
  <c r="Q162" i="2"/>
  <c r="X162" i="2" s="1"/>
  <c r="Q588" i="2"/>
  <c r="X588" i="2" s="1"/>
  <c r="Q896" i="2"/>
  <c r="X896" i="2" s="1"/>
  <c r="Q46" i="2"/>
  <c r="X46" i="2" s="1"/>
  <c r="Q190" i="2"/>
  <c r="X190" i="2" s="1"/>
  <c r="F283" i="32" s="1"/>
  <c r="Q29" i="2"/>
  <c r="X29" i="2" s="1"/>
  <c r="Q742" i="2"/>
  <c r="X742" i="2" s="1"/>
  <c r="Q16" i="2"/>
  <c r="X16" i="2" s="1"/>
  <c r="Q160" i="2"/>
  <c r="X160" i="2" s="1"/>
  <c r="H160" i="23" s="1"/>
  <c r="Q281" i="2"/>
  <c r="Q888" i="2"/>
  <c r="X888" i="2" s="1"/>
  <c r="Q970" i="2"/>
  <c r="X970" i="2" s="1"/>
  <c r="Q78" i="2"/>
  <c r="X78" i="2" s="1"/>
  <c r="Q182" i="2"/>
  <c r="Q282" i="2"/>
  <c r="Q724" i="2"/>
  <c r="X724" i="2" s="1"/>
  <c r="Q849" i="2"/>
  <c r="X849" i="2" s="1"/>
  <c r="Q951" i="2"/>
  <c r="X951" i="2" s="1"/>
  <c r="Q82" i="2"/>
  <c r="X82" i="2" s="1"/>
  <c r="Q184" i="2"/>
  <c r="X184" i="2" s="1"/>
  <c r="Q444" i="2"/>
  <c r="X444" i="2" s="1"/>
  <c r="Q915" i="2"/>
  <c r="X915" i="2" s="1"/>
  <c r="Q65" i="2"/>
  <c r="X65" i="2" s="1"/>
  <c r="Q209" i="2"/>
  <c r="X209" i="2" s="1"/>
  <c r="Q71" i="2"/>
  <c r="X71" i="2" s="1"/>
  <c r="Q256" i="2"/>
  <c r="X256" i="2" s="1"/>
  <c r="Q396" i="2"/>
  <c r="X396" i="2" s="1"/>
  <c r="Q540" i="2"/>
  <c r="X540" i="2" s="1"/>
  <c r="Q684" i="2"/>
  <c r="X684" i="2" s="1"/>
  <c r="Q723" i="2"/>
  <c r="X723" i="2" s="1"/>
  <c r="Q744" i="2"/>
  <c r="X744" i="2" s="1"/>
  <c r="Q765" i="2"/>
  <c r="X765" i="2" s="1"/>
  <c r="Q784" i="2"/>
  <c r="X784" i="2" s="1"/>
  <c r="Q867" i="2"/>
  <c r="X867" i="2" s="1"/>
  <c r="Q909" i="2"/>
  <c r="X909" i="2" s="1"/>
  <c r="Q950" i="2"/>
  <c r="X950" i="2" s="1"/>
  <c r="Q38" i="2"/>
  <c r="X38" i="2" s="1"/>
  <c r="Q161" i="2"/>
  <c r="X161" i="2" s="1"/>
  <c r="Q264" i="2"/>
  <c r="Q746" i="2"/>
  <c r="X746" i="2" s="1"/>
  <c r="Q868" i="2"/>
  <c r="X868" i="2" s="1"/>
  <c r="Q932" i="2"/>
  <c r="X932" i="2" s="1"/>
  <c r="Q18" i="2"/>
  <c r="X18" i="2" s="1"/>
  <c r="Q143" i="2"/>
  <c r="X143" i="2" s="1"/>
  <c r="Q266" i="2"/>
  <c r="X266" i="2" s="1"/>
  <c r="H266" i="23" s="1"/>
  <c r="Q705" i="2"/>
  <c r="X705" i="2" s="1"/>
  <c r="Q874" i="2"/>
  <c r="X874" i="2" s="1"/>
  <c r="Q24" i="2"/>
  <c r="X24" i="2" s="1"/>
  <c r="Q168" i="2"/>
  <c r="X168" i="2" s="1"/>
  <c r="Q50" i="2"/>
  <c r="X50" i="2" s="1"/>
  <c r="Q276" i="2"/>
  <c r="Q766" i="2"/>
  <c r="X766" i="2" s="1"/>
  <c r="Q60" i="2"/>
  <c r="X60" i="2" s="1"/>
  <c r="H60" i="23" s="1"/>
  <c r="Q245" i="2"/>
  <c r="Q792" i="2"/>
  <c r="X792" i="2" s="1"/>
  <c r="Q832" i="2"/>
  <c r="X832" i="2" s="1"/>
  <c r="Q976" i="2"/>
  <c r="X976" i="2" s="1"/>
  <c r="Q148" i="2"/>
  <c r="Q270" i="2"/>
  <c r="Q154" i="2"/>
  <c r="X154" i="2" s="1"/>
  <c r="Q420" i="2"/>
  <c r="X420" i="2" s="1"/>
  <c r="Q564" i="2"/>
  <c r="X564" i="2" s="1"/>
  <c r="Q696" i="2"/>
  <c r="X696" i="2" s="1"/>
  <c r="Q728" i="2"/>
  <c r="X728" i="2" s="1"/>
  <c r="Q747" i="2"/>
  <c r="X747" i="2" s="1"/>
  <c r="Q768" i="2"/>
  <c r="X768" i="2" s="1"/>
  <c r="Q789" i="2"/>
  <c r="X789" i="2" s="1"/>
  <c r="Q808" i="2"/>
  <c r="X808" i="2" s="1"/>
  <c r="Q830" i="2"/>
  <c r="X830" i="2" s="1"/>
  <c r="Q850" i="2"/>
  <c r="X850" i="2" s="1"/>
  <c r="Q872" i="2"/>
  <c r="X872" i="2" s="1"/>
  <c r="Q891" i="2"/>
  <c r="X891" i="2" s="1"/>
  <c r="Q912" i="2"/>
  <c r="X912" i="2" s="1"/>
  <c r="Q933" i="2"/>
  <c r="X933" i="2" s="1"/>
  <c r="Q952" i="2"/>
  <c r="X952" i="2" s="1"/>
  <c r="Q974" i="2"/>
  <c r="X974" i="2" s="1"/>
  <c r="Q994" i="2"/>
  <c r="X994" i="2" s="1"/>
  <c r="Q22" i="2"/>
  <c r="X22" i="2" s="1"/>
  <c r="Q41" i="2"/>
  <c r="X41" i="2" s="1"/>
  <c r="Q62" i="2"/>
  <c r="X62" i="2" s="1"/>
  <c r="Q83" i="2"/>
  <c r="X83" i="2" s="1"/>
  <c r="Q102" i="2"/>
  <c r="Q124" i="2"/>
  <c r="X124" i="2" s="1"/>
  <c r="Q144" i="2"/>
  <c r="X144" i="2" s="1"/>
  <c r="Q166" i="2"/>
  <c r="X166" i="2" s="1"/>
  <c r="F295" i="32" s="1"/>
  <c r="Q185" i="2"/>
  <c r="X185" i="2" s="1"/>
  <c r="Q206" i="2"/>
  <c r="Q227" i="2"/>
  <c r="Q246" i="2"/>
  <c r="Q268" i="2"/>
  <c r="X268" i="2" s="1"/>
  <c r="Q287" i="2"/>
  <c r="Q432" i="2"/>
  <c r="X432" i="2" s="1"/>
  <c r="Q576" i="2"/>
  <c r="X576" i="2" s="1"/>
  <c r="Q700" i="2"/>
  <c r="X700" i="2" s="1"/>
  <c r="Q729" i="2"/>
  <c r="X729" i="2" s="1"/>
  <c r="Q748" i="2"/>
  <c r="X748" i="2" s="1"/>
  <c r="Q770" i="2"/>
  <c r="X770" i="2" s="1"/>
  <c r="Q790" i="2"/>
  <c r="X790" i="2" s="1"/>
  <c r="Q812" i="2"/>
  <c r="X812" i="2" s="1"/>
  <c r="Q831" i="2"/>
  <c r="X831" i="2" s="1"/>
  <c r="Q852" i="2"/>
  <c r="X852" i="2" s="1"/>
  <c r="Q873" i="2"/>
  <c r="X873" i="2" s="1"/>
  <c r="Q892" i="2"/>
  <c r="X892" i="2" s="1"/>
  <c r="Q914" i="2"/>
  <c r="X914" i="2" s="1"/>
  <c r="Q934" i="2"/>
  <c r="X934" i="2" s="1"/>
  <c r="Q956" i="2"/>
  <c r="X956" i="2" s="1"/>
  <c r="Q975" i="2"/>
  <c r="X975" i="2" s="1"/>
  <c r="Q996" i="2"/>
  <c r="X996" i="2" s="1"/>
  <c r="Q23" i="2"/>
  <c r="X23" i="2" s="1"/>
  <c r="Q42" i="2"/>
  <c r="X42" i="2" s="1"/>
  <c r="Q64" i="2"/>
  <c r="X64" i="2" s="1"/>
  <c r="Q84" i="2"/>
  <c r="X84" i="2" s="1"/>
  <c r="Q106" i="2"/>
  <c r="X106" i="2" s="1"/>
  <c r="Q125" i="2"/>
  <c r="X125" i="2" s="1"/>
  <c r="Q146" i="2"/>
  <c r="X146" i="2" s="1"/>
  <c r="Q167" i="2"/>
  <c r="X167" i="2" s="1"/>
  <c r="Q186" i="2"/>
  <c r="X186" i="2" s="1"/>
  <c r="F281" i="32" s="1"/>
  <c r="Q208" i="2"/>
  <c r="Q228" i="2"/>
  <c r="Q250" i="2"/>
  <c r="X250" i="2" s="1"/>
  <c r="Q269" i="2"/>
  <c r="X269" i="2" s="1"/>
  <c r="Q288" i="2"/>
  <c r="Q752" i="2"/>
  <c r="X752" i="2" s="1"/>
  <c r="Q854" i="2"/>
  <c r="X854" i="2" s="1"/>
  <c r="Q998" i="2"/>
  <c r="X998" i="2" s="1"/>
  <c r="Q107" i="2"/>
  <c r="X107" i="2" s="1"/>
  <c r="Q230" i="2"/>
  <c r="Q982" i="2"/>
  <c r="X982" i="2" s="1"/>
  <c r="Q234" i="2"/>
  <c r="S763" i="2"/>
  <c r="S764" i="2"/>
  <c r="S775" i="2"/>
  <c r="S777" i="2"/>
  <c r="Y336" i="2"/>
  <c r="Y328" i="2"/>
  <c r="Y332" i="2"/>
  <c r="Y384" i="2"/>
  <c r="Y420" i="2"/>
  <c r="Y250" i="2"/>
  <c r="Y278" i="2"/>
  <c r="Y306" i="2"/>
  <c r="Y446" i="2"/>
  <c r="Y482" i="2"/>
  <c r="Y494" i="2"/>
  <c r="Y151" i="2"/>
  <c r="Y153" i="2"/>
  <c r="Y155" i="2"/>
  <c r="Y157" i="2"/>
  <c r="Y159" i="2"/>
  <c r="Y161" i="2"/>
  <c r="Y163" i="2"/>
  <c r="Y165" i="2"/>
  <c r="Y167" i="2"/>
  <c r="Y169" i="2"/>
  <c r="Y171" i="2"/>
  <c r="Y173" i="2"/>
  <c r="Y175" i="2"/>
  <c r="Y177" i="2"/>
  <c r="Y179" i="2"/>
  <c r="Y181" i="2"/>
  <c r="Y183" i="2"/>
  <c r="Y185" i="2"/>
  <c r="Y187" i="2"/>
  <c r="Y189" i="2"/>
  <c r="Y191" i="2"/>
  <c r="Y193" i="2"/>
  <c r="Y195" i="2"/>
  <c r="Y197" i="2"/>
  <c r="Y199" i="2"/>
  <c r="Y201" i="2"/>
  <c r="Y203" i="2"/>
  <c r="Y205" i="2"/>
  <c r="Y329" i="2"/>
  <c r="Y333" i="2"/>
  <c r="Y337" i="2"/>
  <c r="Y341" i="2"/>
  <c r="Y345" i="2"/>
  <c r="Y349" i="2"/>
  <c r="Y353" i="2"/>
  <c r="Y357" i="2"/>
  <c r="Y361" i="2"/>
  <c r="Y365" i="2"/>
  <c r="Y369" i="2"/>
  <c r="Y373" i="2"/>
  <c r="Y360" i="2"/>
  <c r="Y408" i="2"/>
  <c r="Y254" i="2"/>
  <c r="Y266" i="2"/>
  <c r="Y286" i="2"/>
  <c r="Y298" i="2"/>
  <c r="Y310" i="2"/>
  <c r="Y322" i="2"/>
  <c r="Y454" i="2"/>
  <c r="Y470" i="2"/>
  <c r="Y486" i="2"/>
  <c r="Y517" i="2"/>
  <c r="Y352" i="2"/>
  <c r="Y396" i="2"/>
  <c r="Y372" i="2"/>
  <c r="Y428" i="2"/>
  <c r="Y574" i="2"/>
  <c r="Y340" i="2"/>
  <c r="Y388" i="2"/>
  <c r="Y511" i="2"/>
  <c r="Y562" i="2"/>
  <c r="Y586" i="2"/>
  <c r="Y344" i="2"/>
  <c r="Y392" i="2"/>
  <c r="Y515" i="2"/>
  <c r="Y570" i="2"/>
  <c r="Y578" i="2"/>
  <c r="Y376" i="2"/>
  <c r="Y432" i="2"/>
  <c r="Y566" i="2"/>
  <c r="Y582" i="2"/>
  <c r="Y152" i="2"/>
  <c r="Y154" i="2"/>
  <c r="Y156" i="2"/>
  <c r="Y158" i="2"/>
  <c r="Y160" i="2"/>
  <c r="Y162" i="2"/>
  <c r="Y164" i="2"/>
  <c r="Y166" i="2"/>
  <c r="Y168" i="2"/>
  <c r="Y170" i="2"/>
  <c r="Y172" i="2"/>
  <c r="Y174" i="2"/>
  <c r="Y176" i="2"/>
  <c r="Y178" i="2"/>
  <c r="Y180" i="2"/>
  <c r="Y182" i="2"/>
  <c r="Y184" i="2"/>
  <c r="Y186" i="2"/>
  <c r="Y188" i="2"/>
  <c r="Y190" i="2"/>
  <c r="Y192" i="2"/>
  <c r="Y194" i="2"/>
  <c r="Y196" i="2"/>
  <c r="Y198" i="2"/>
  <c r="Y200" i="2"/>
  <c r="Y202" i="2"/>
  <c r="Y204" i="2"/>
  <c r="Y206" i="2"/>
  <c r="Y327" i="2"/>
  <c r="Y331" i="2"/>
  <c r="Y335" i="2"/>
  <c r="Y339" i="2"/>
  <c r="Y343" i="2"/>
  <c r="Y347" i="2"/>
  <c r="Y351" i="2"/>
  <c r="Y355" i="2"/>
  <c r="Y359" i="2"/>
  <c r="Y363" i="2"/>
  <c r="Y367" i="2"/>
  <c r="Y371" i="2"/>
  <c r="Y375" i="2"/>
  <c r="Y379" i="2"/>
  <c r="Y383" i="2"/>
  <c r="Y387" i="2"/>
  <c r="Y391" i="2"/>
  <c r="Y395" i="2"/>
  <c r="Y399" i="2"/>
  <c r="Y403" i="2"/>
  <c r="Y407" i="2"/>
  <c r="Y411" i="2"/>
  <c r="Y415" i="2"/>
  <c r="Y419" i="2"/>
  <c r="Y423" i="2"/>
  <c r="Y427" i="2"/>
  <c r="Y431" i="2"/>
  <c r="Y510" i="2"/>
  <c r="Y514" i="2"/>
  <c r="Y557" i="2"/>
  <c r="Y561" i="2"/>
  <c r="Y565" i="2"/>
  <c r="Y569" i="2"/>
  <c r="Y573" i="2"/>
  <c r="Y577" i="2"/>
  <c r="Y581" i="2"/>
  <c r="Y585" i="2"/>
  <c r="Y380" i="2"/>
  <c r="Y424" i="2"/>
  <c r="Y558" i="2"/>
  <c r="Y10" i="2"/>
  <c r="Y12" i="2"/>
  <c r="Y14" i="2"/>
  <c r="Y16" i="2"/>
  <c r="Y18" i="2"/>
  <c r="Y20" i="2"/>
  <c r="Y22" i="2"/>
  <c r="Y24" i="2"/>
  <c r="Y26" i="2"/>
  <c r="Y28" i="2"/>
  <c r="Y30" i="2"/>
  <c r="Y32" i="2"/>
  <c r="Y34" i="2"/>
  <c r="Y36" i="2"/>
  <c r="Y38" i="2"/>
  <c r="Y40" i="2"/>
  <c r="Y42" i="2"/>
  <c r="Y44" i="2"/>
  <c r="Y46" i="2"/>
  <c r="Y48" i="2"/>
  <c r="Y50" i="2"/>
  <c r="Y52" i="2"/>
  <c r="Y54" i="2"/>
  <c r="Y56" i="2"/>
  <c r="Y58" i="2"/>
  <c r="Y60" i="2"/>
  <c r="Y62" i="2"/>
  <c r="Y64" i="2"/>
  <c r="Y66" i="2"/>
  <c r="Y68" i="2"/>
  <c r="Y70" i="2"/>
  <c r="Y72" i="2"/>
  <c r="Y74" i="2"/>
  <c r="Y76" i="2"/>
  <c r="Y78" i="2"/>
  <c r="Y80" i="2"/>
  <c r="Y82" i="2"/>
  <c r="Y84" i="2"/>
  <c r="Y86" i="2"/>
  <c r="Y88" i="2"/>
  <c r="Y90" i="2"/>
  <c r="Y92" i="2"/>
  <c r="Y94" i="2"/>
  <c r="Y96" i="2"/>
  <c r="Y98" i="2"/>
  <c r="Y100" i="2"/>
  <c r="Y102" i="2"/>
  <c r="Y104" i="2"/>
  <c r="Y106" i="2"/>
  <c r="Y108" i="2"/>
  <c r="Y110" i="2"/>
  <c r="Y112" i="2"/>
  <c r="Y114" i="2"/>
  <c r="Y116" i="2"/>
  <c r="Y118" i="2"/>
  <c r="Y120" i="2"/>
  <c r="Y122" i="2"/>
  <c r="Y124" i="2"/>
  <c r="Y126" i="2"/>
  <c r="Y128" i="2"/>
  <c r="Y130" i="2"/>
  <c r="Y132" i="2"/>
  <c r="Y134" i="2"/>
  <c r="Y136" i="2"/>
  <c r="Y138" i="2"/>
  <c r="Y140" i="2"/>
  <c r="Y142" i="2"/>
  <c r="Y144" i="2"/>
  <c r="Y146" i="2"/>
  <c r="Y148" i="2"/>
  <c r="Y498" i="2"/>
  <c r="Y502" i="2"/>
  <c r="Y506" i="2"/>
  <c r="Y521" i="2"/>
  <c r="Y525" i="2"/>
  <c r="Y529" i="2"/>
  <c r="Y533" i="2"/>
  <c r="Y537" i="2"/>
  <c r="Y541" i="2"/>
  <c r="Y545" i="2"/>
  <c r="Y549" i="2"/>
  <c r="Y553" i="2"/>
  <c r="Y368" i="2"/>
  <c r="Y416" i="2"/>
  <c r="Y243" i="2"/>
  <c r="Y270" i="2"/>
  <c r="Y282" i="2"/>
  <c r="Y294" i="2"/>
  <c r="Y314" i="2"/>
  <c r="Y442" i="2"/>
  <c r="Y478" i="2"/>
  <c r="Y364" i="2"/>
  <c r="Y412" i="2"/>
  <c r="Y262" i="2"/>
  <c r="Y290" i="2"/>
  <c r="Y302" i="2"/>
  <c r="Y450" i="2"/>
  <c r="Y466" i="2"/>
  <c r="Y348" i="2"/>
  <c r="Y400" i="2"/>
  <c r="Y458" i="2"/>
  <c r="Y501" i="2"/>
  <c r="Y505" i="2"/>
  <c r="Y520" i="2"/>
  <c r="Y524" i="2"/>
  <c r="Y528" i="2"/>
  <c r="Y532" i="2"/>
  <c r="Y536" i="2"/>
  <c r="Y540" i="2"/>
  <c r="Y544" i="2"/>
  <c r="Y548" i="2"/>
  <c r="Y552" i="2"/>
  <c r="Y356" i="2"/>
  <c r="Y404" i="2"/>
  <c r="Y246" i="2"/>
  <c r="Y258" i="2"/>
  <c r="Y274" i="2"/>
  <c r="Y318" i="2"/>
  <c r="Y438" i="2"/>
  <c r="Y462" i="2"/>
  <c r="Y474" i="2"/>
  <c r="Y490" i="2"/>
  <c r="Y377" i="2"/>
  <c r="Y389" i="2"/>
  <c r="Y405" i="2"/>
  <c r="Y417" i="2"/>
  <c r="Y429" i="2"/>
  <c r="Y508" i="2"/>
  <c r="Y512" i="2"/>
  <c r="Y555" i="2"/>
  <c r="Y559" i="2"/>
  <c r="Y563" i="2"/>
  <c r="Y567" i="2"/>
  <c r="Y571" i="2"/>
  <c r="Y575" i="2"/>
  <c r="Y579" i="2"/>
  <c r="Y583" i="2"/>
  <c r="Y587" i="2"/>
  <c r="Y381" i="2"/>
  <c r="Y397" i="2"/>
  <c r="Y409" i="2"/>
  <c r="Y425" i="2"/>
  <c r="Y9" i="2"/>
  <c r="Y11" i="2"/>
  <c r="Y13" i="2"/>
  <c r="Y15" i="2"/>
  <c r="Y17" i="2"/>
  <c r="Y19" i="2"/>
  <c r="Y21" i="2"/>
  <c r="Y23" i="2"/>
  <c r="Y25" i="2"/>
  <c r="Y27" i="2"/>
  <c r="Y29" i="2"/>
  <c r="Y31" i="2"/>
  <c r="Y33" i="2"/>
  <c r="Y35" i="2"/>
  <c r="Y37" i="2"/>
  <c r="Y39" i="2"/>
  <c r="Y41" i="2"/>
  <c r="Y43" i="2"/>
  <c r="Y45" i="2"/>
  <c r="Y47" i="2"/>
  <c r="Y49" i="2"/>
  <c r="Y51" i="2"/>
  <c r="Y53" i="2"/>
  <c r="Y55" i="2"/>
  <c r="Y57" i="2"/>
  <c r="Y59" i="2"/>
  <c r="Y61" i="2"/>
  <c r="Y63" i="2"/>
  <c r="Y65" i="2"/>
  <c r="Y67" i="2"/>
  <c r="Y69" i="2"/>
  <c r="Y71" i="2"/>
  <c r="Y73" i="2"/>
  <c r="Y75" i="2"/>
  <c r="Y77" i="2"/>
  <c r="Y79" i="2"/>
  <c r="Y81" i="2"/>
  <c r="Y83" i="2"/>
  <c r="Y85" i="2"/>
  <c r="Y87" i="2"/>
  <c r="Y89" i="2"/>
  <c r="Y91" i="2"/>
  <c r="Y93" i="2"/>
  <c r="Y95" i="2"/>
  <c r="Y97" i="2"/>
  <c r="Y99" i="2"/>
  <c r="Y101" i="2"/>
  <c r="Y103" i="2"/>
  <c r="Y105" i="2"/>
  <c r="Y107" i="2"/>
  <c r="Y109" i="2"/>
  <c r="Y111" i="2"/>
  <c r="Y113" i="2"/>
  <c r="Y115" i="2"/>
  <c r="Y117" i="2"/>
  <c r="Y119" i="2"/>
  <c r="Y121" i="2"/>
  <c r="Y123" i="2"/>
  <c r="Y125" i="2"/>
  <c r="Y127" i="2"/>
  <c r="Y129" i="2"/>
  <c r="Y131" i="2"/>
  <c r="Y133" i="2"/>
  <c r="Y135" i="2"/>
  <c r="Y137" i="2"/>
  <c r="Y139" i="2"/>
  <c r="Y141" i="2"/>
  <c r="Y143" i="2"/>
  <c r="Y145" i="2"/>
  <c r="Y147" i="2"/>
  <c r="Y149" i="2"/>
  <c r="Y500" i="2"/>
  <c r="Y504" i="2"/>
  <c r="Y523" i="2"/>
  <c r="Y527" i="2"/>
  <c r="Y531" i="2"/>
  <c r="Y535" i="2"/>
  <c r="Y539" i="2"/>
  <c r="Y543" i="2"/>
  <c r="Y547" i="2"/>
  <c r="Y551" i="2"/>
  <c r="Y385" i="2"/>
  <c r="Y393" i="2"/>
  <c r="Y401" i="2"/>
  <c r="Y413" i="2"/>
  <c r="Y421" i="2"/>
  <c r="Y433" i="2"/>
  <c r="Y241" i="2"/>
  <c r="Y248" i="2"/>
  <c r="Y252" i="2"/>
  <c r="Y256" i="2"/>
  <c r="Y260" i="2"/>
  <c r="Y264" i="2"/>
  <c r="Y268" i="2"/>
  <c r="Y272" i="2"/>
  <c r="Y276" i="2"/>
  <c r="Y280" i="2"/>
  <c r="Y284" i="2"/>
  <c r="Y288" i="2"/>
  <c r="Y292" i="2"/>
  <c r="Y296" i="2"/>
  <c r="Y300" i="2"/>
  <c r="Y304" i="2"/>
  <c r="Y308" i="2"/>
  <c r="Y312" i="2"/>
  <c r="Y316" i="2"/>
  <c r="Y320" i="2"/>
  <c r="Y324" i="2"/>
  <c r="Y436" i="2"/>
  <c r="Y440" i="2"/>
  <c r="Y444" i="2"/>
  <c r="Y448" i="2"/>
  <c r="Y452" i="2"/>
  <c r="Y456" i="2"/>
  <c r="Y460" i="2"/>
  <c r="Y464" i="2"/>
  <c r="Y468" i="2"/>
  <c r="Y472" i="2"/>
  <c r="Y476" i="2"/>
  <c r="Y480" i="2"/>
  <c r="Y484" i="2"/>
  <c r="Y488" i="2"/>
  <c r="Y492" i="2"/>
  <c r="Y496" i="2"/>
  <c r="Y499" i="2"/>
  <c r="Y522" i="2"/>
  <c r="Y534" i="2"/>
  <c r="Y538" i="2"/>
  <c r="Y554" i="2"/>
  <c r="Y503" i="2"/>
  <c r="Y526" i="2"/>
  <c r="Y530" i="2"/>
  <c r="Y542" i="2"/>
  <c r="Y546" i="2"/>
  <c r="Y550" i="2"/>
  <c r="S425" i="2"/>
  <c r="S449" i="2"/>
  <c r="S461" i="2"/>
  <c r="S485" i="2"/>
  <c r="S497" i="2"/>
  <c r="S509" i="2"/>
  <c r="S521" i="2"/>
  <c r="S533" i="2"/>
  <c r="S557" i="2"/>
  <c r="S581" i="2"/>
  <c r="S653" i="2"/>
  <c r="S749" i="2"/>
  <c r="S773" i="2"/>
  <c r="S43" i="2"/>
  <c r="S55" i="2"/>
  <c r="S79" i="2"/>
  <c r="S115" i="2"/>
  <c r="S139" i="2"/>
  <c r="S175" i="2"/>
  <c r="S247" i="2"/>
  <c r="S259" i="2"/>
  <c r="S307" i="2"/>
  <c r="S319" i="2"/>
  <c r="S391" i="2"/>
  <c r="S712" i="2"/>
  <c r="S366" i="2"/>
  <c r="S402" i="2"/>
  <c r="S498" i="2"/>
  <c r="S546" i="2"/>
  <c r="S582" i="2"/>
  <c r="S630" i="2"/>
  <c r="S642" i="2"/>
  <c r="S654" i="2"/>
  <c r="S678" i="2"/>
  <c r="S690" i="2"/>
  <c r="S750" i="2"/>
  <c r="S20" i="2"/>
  <c r="S56" i="2"/>
  <c r="S68" i="2"/>
  <c r="S104" i="2"/>
  <c r="S116" i="2"/>
  <c r="S152" i="2"/>
  <c r="S212" i="2"/>
  <c r="S224" i="2"/>
  <c r="S356" i="2"/>
  <c r="S520" i="2"/>
  <c r="S664" i="2"/>
  <c r="S174" i="2"/>
  <c r="S294" i="2"/>
  <c r="S403" i="2"/>
  <c r="S415" i="2"/>
  <c r="S475" i="2"/>
  <c r="S487" i="2"/>
  <c r="S499" i="2"/>
  <c r="S511" i="2"/>
  <c r="S535" i="2"/>
  <c r="S571" i="2"/>
  <c r="S655" i="2"/>
  <c r="S667" i="2"/>
  <c r="S703" i="2"/>
  <c r="S811" i="2"/>
  <c r="S33" i="2"/>
  <c r="S57" i="2"/>
  <c r="S81" i="2"/>
  <c r="S117" i="2"/>
  <c r="S213" i="2"/>
  <c r="S309" i="2"/>
  <c r="S321" i="2"/>
  <c r="S369" i="2"/>
  <c r="S381" i="2"/>
  <c r="S282" i="2"/>
  <c r="S404" i="2"/>
  <c r="S440" i="2"/>
  <c r="S452" i="2"/>
  <c r="S464" i="2"/>
  <c r="S476" i="2"/>
  <c r="S488" i="2"/>
  <c r="S512" i="2"/>
  <c r="S524" i="2"/>
  <c r="S548" i="2"/>
  <c r="S584" i="2"/>
  <c r="S596" i="2"/>
  <c r="S656" i="2"/>
  <c r="S692" i="2"/>
  <c r="S704" i="2"/>
  <c r="S716" i="2"/>
  <c r="S22" i="2"/>
  <c r="S58" i="2"/>
  <c r="S70" i="2"/>
  <c r="S82" i="2"/>
  <c r="S106" i="2"/>
  <c r="S118" i="2"/>
  <c r="S202" i="2"/>
  <c r="S226" i="2"/>
  <c r="S628" i="2"/>
  <c r="S162" i="2"/>
  <c r="S429" i="2"/>
  <c r="S489" i="2"/>
  <c r="S513" i="2"/>
  <c r="S525" i="2"/>
  <c r="S585" i="2"/>
  <c r="S621" i="2"/>
  <c r="S645" i="2"/>
  <c r="S657" i="2"/>
  <c r="S669" i="2"/>
  <c r="S681" i="2"/>
  <c r="S705" i="2"/>
  <c r="S753" i="2"/>
  <c r="S59" i="2"/>
  <c r="S71" i="2"/>
  <c r="S83" i="2"/>
  <c r="S131" i="2"/>
  <c r="S203" i="2"/>
  <c r="S251" i="2"/>
  <c r="S299" i="2"/>
  <c r="S311" i="2"/>
  <c r="S323" i="2"/>
  <c r="S748" i="2"/>
  <c r="S430" i="2"/>
  <c r="S466" i="2"/>
  <c r="S514" i="2"/>
  <c r="S526" i="2"/>
  <c r="S550" i="2"/>
  <c r="S562" i="2"/>
  <c r="S610" i="2"/>
  <c r="S718" i="2"/>
  <c r="S730" i="2"/>
  <c r="S766" i="2"/>
  <c r="S96" i="2"/>
  <c r="S108" i="2"/>
  <c r="S132" i="2"/>
  <c r="S300" i="2"/>
  <c r="S360" i="2"/>
  <c r="S436" i="2"/>
  <c r="S419" i="2"/>
  <c r="S503" i="2"/>
  <c r="S515" i="2"/>
  <c r="S527" i="2"/>
  <c r="S539" i="2"/>
  <c r="S563" i="2"/>
  <c r="S575" i="2"/>
  <c r="S587" i="2"/>
  <c r="S599" i="2"/>
  <c r="S623" i="2"/>
  <c r="S635" i="2"/>
  <c r="S659" i="2"/>
  <c r="S671" i="2"/>
  <c r="S707" i="2"/>
  <c r="S767" i="2"/>
  <c r="S791" i="2"/>
  <c r="S13" i="2"/>
  <c r="S25" i="2"/>
  <c r="S73" i="2"/>
  <c r="S97" i="2"/>
  <c r="S109" i="2"/>
  <c r="S133" i="2"/>
  <c r="S193" i="2"/>
  <c r="S229" i="2"/>
  <c r="S253" i="2"/>
  <c r="S277" i="2"/>
  <c r="S325" i="2"/>
  <c r="S361" i="2"/>
  <c r="S246" i="2"/>
  <c r="S378" i="2"/>
  <c r="S420" i="2"/>
  <c r="S504" i="2"/>
  <c r="S516" i="2"/>
  <c r="S528" i="2"/>
  <c r="S576" i="2"/>
  <c r="S588" i="2"/>
  <c r="S648" i="2"/>
  <c r="S660" i="2"/>
  <c r="S696" i="2"/>
  <c r="S768" i="2"/>
  <c r="S780" i="2"/>
  <c r="S50" i="2"/>
  <c r="S62" i="2"/>
  <c r="S74" i="2"/>
  <c r="S98" i="2"/>
  <c r="S134" i="2"/>
  <c r="S158" i="2"/>
  <c r="S206" i="2"/>
  <c r="S218" i="2"/>
  <c r="S302" i="2"/>
  <c r="S326" i="2"/>
  <c r="S397" i="2"/>
  <c r="S421" i="2"/>
  <c r="S529" i="2"/>
  <c r="S541" i="2"/>
  <c r="S565" i="2"/>
  <c r="S637" i="2"/>
  <c r="S649" i="2"/>
  <c r="S661" i="2"/>
  <c r="S781" i="2"/>
  <c r="S15" i="2"/>
  <c r="S51" i="2"/>
  <c r="S123" i="2"/>
  <c r="S135" i="2"/>
  <c r="S207" i="2"/>
  <c r="S219" i="2"/>
  <c r="S267" i="2"/>
  <c r="S327" i="2"/>
  <c r="S375" i="2"/>
  <c r="S532" i="2"/>
  <c r="S652" i="2"/>
  <c r="S126" i="2"/>
  <c r="S270" i="2"/>
  <c r="S390" i="2"/>
  <c r="S434" i="2"/>
  <c r="S494" i="2"/>
  <c r="S506" i="2"/>
  <c r="S518" i="2"/>
  <c r="S542" i="2"/>
  <c r="S638" i="2"/>
  <c r="S650" i="2"/>
  <c r="S674" i="2"/>
  <c r="S710" i="2"/>
  <c r="S734" i="2"/>
  <c r="S746" i="2"/>
  <c r="S758" i="2"/>
  <c r="S770" i="2"/>
  <c r="S52" i="2"/>
  <c r="S76" i="2"/>
  <c r="S292" i="2"/>
  <c r="S316" i="2"/>
  <c r="S352" i="2"/>
  <c r="S508" i="2"/>
  <c r="S78" i="2"/>
  <c r="S435" i="2"/>
  <c r="S507" i="2"/>
  <c r="S519" i="2"/>
  <c r="S531" i="2"/>
  <c r="S543" i="2"/>
  <c r="S555" i="2"/>
  <c r="S591" i="2"/>
  <c r="S603" i="2"/>
  <c r="S615" i="2"/>
  <c r="S651" i="2"/>
  <c r="S699" i="2"/>
  <c r="S771" i="2"/>
  <c r="S41" i="2"/>
  <c r="S77" i="2"/>
  <c r="S125" i="2"/>
  <c r="S137" i="2"/>
  <c r="S149" i="2"/>
  <c r="S245" i="2"/>
  <c r="S317" i="2"/>
  <c r="S365" i="2"/>
  <c r="S484" i="2"/>
  <c r="S54" i="2"/>
  <c r="S210" i="2"/>
  <c r="S354" i="2"/>
  <c r="Y207" i="2"/>
  <c r="Y150" i="2"/>
  <c r="T704" i="2"/>
  <c r="W704" i="2" s="1"/>
  <c r="T741" i="2"/>
  <c r="W741" i="2" s="1"/>
  <c r="T597" i="2"/>
  <c r="W597" i="2" s="1"/>
  <c r="AT597" i="2" s="1"/>
  <c r="T453" i="2"/>
  <c r="T309" i="2"/>
  <c r="T165" i="2"/>
  <c r="W165" i="2" s="1"/>
  <c r="T21" i="2"/>
  <c r="W21" i="2" s="1"/>
  <c r="T512" i="2"/>
  <c r="T715" i="2"/>
  <c r="W715" i="2" s="1"/>
  <c r="AT715" i="2" s="1"/>
  <c r="T571" i="2"/>
  <c r="T427" i="2"/>
  <c r="T283" i="2"/>
  <c r="T139" i="2"/>
  <c r="W139" i="2" s="1"/>
  <c r="T861" i="2"/>
  <c r="W861" i="2" s="1"/>
  <c r="AT861" i="2" s="1"/>
  <c r="T296" i="2"/>
  <c r="T666" i="2"/>
  <c r="W666" i="2" s="1"/>
  <c r="AT666" i="2" s="1"/>
  <c r="T522" i="2"/>
  <c r="T378" i="2"/>
  <c r="T234" i="2"/>
  <c r="W234" i="2" s="1"/>
  <c r="T90" i="2"/>
  <c r="W90" i="2" s="1"/>
  <c r="T800" i="2"/>
  <c r="W800" i="2" s="1"/>
  <c r="AT800" i="2" s="1"/>
  <c r="T461" i="2"/>
  <c r="T317" i="2"/>
  <c r="T173" i="2"/>
  <c r="W173" i="2" s="1"/>
  <c r="T29" i="2"/>
  <c r="W29" i="2" s="1"/>
  <c r="T488" i="2"/>
  <c r="T676" i="2"/>
  <c r="T532" i="2"/>
  <c r="T388" i="2"/>
  <c r="T244" i="2"/>
  <c r="T100" i="2"/>
  <c r="W100" i="2" s="1"/>
  <c r="T810" i="2"/>
  <c r="W810" i="2" s="1"/>
  <c r="AT810" i="2" s="1"/>
  <c r="T747" i="2"/>
  <c r="W747" i="2" s="1"/>
  <c r="AT747" i="2" s="1"/>
  <c r="T603" i="2"/>
  <c r="W603" i="2" s="1"/>
  <c r="T459" i="2"/>
  <c r="T315" i="2"/>
  <c r="T171" i="2"/>
  <c r="W171" i="2" s="1"/>
  <c r="T27" i="2"/>
  <c r="W27" i="2" s="1"/>
  <c r="T476" i="2"/>
  <c r="T734" i="2"/>
  <c r="W734" i="2" s="1"/>
  <c r="T590" i="2"/>
  <c r="W590" i="2" s="1"/>
  <c r="AT590" i="2" s="1"/>
  <c r="T446" i="2"/>
  <c r="T302" i="2"/>
  <c r="T158" i="2"/>
  <c r="W158" i="2" s="1"/>
  <c r="T14" i="2"/>
  <c r="W14" i="2" s="1"/>
  <c r="T332" i="2"/>
  <c r="T709" i="2"/>
  <c r="W709" i="2" s="1"/>
  <c r="AT709" i="2" s="1"/>
  <c r="T565" i="2"/>
  <c r="T421" i="2"/>
  <c r="T277" i="2"/>
  <c r="T133" i="2"/>
  <c r="W133" i="2" s="1"/>
  <c r="T843" i="2"/>
  <c r="W843" i="2" s="1"/>
  <c r="AT843" i="2" s="1"/>
  <c r="T128" i="2"/>
  <c r="W128" i="2" s="1"/>
  <c r="T672" i="2"/>
  <c r="W672" i="2" s="1"/>
  <c r="AT672" i="2" s="1"/>
  <c r="T528" i="2"/>
  <c r="T384" i="2"/>
  <c r="T240" i="2"/>
  <c r="W240" i="2" s="1"/>
  <c r="T96" i="2"/>
  <c r="W96" i="2" s="1"/>
  <c r="AC96" i="2" s="1"/>
  <c r="T806" i="2"/>
  <c r="W806" i="2" s="1"/>
  <c r="AT806" i="2" s="1"/>
  <c r="T743" i="2"/>
  <c r="W743" i="2" s="1"/>
  <c r="AT743" i="2" s="1"/>
  <c r="T599" i="2"/>
  <c r="W599" i="2" s="1"/>
  <c r="T455" i="2"/>
  <c r="T311" i="2"/>
  <c r="T167" i="2"/>
  <c r="W167" i="2" s="1"/>
  <c r="T23" i="2"/>
  <c r="W23" i="2" s="1"/>
  <c r="T464" i="2"/>
  <c r="T670" i="2"/>
  <c r="W670" i="2" s="1"/>
  <c r="AT670" i="2" s="1"/>
  <c r="T526" i="2"/>
  <c r="T382" i="2"/>
  <c r="T238" i="2"/>
  <c r="W238" i="2" s="1"/>
  <c r="T94" i="2"/>
  <c r="W94" i="2" s="1"/>
  <c r="T804" i="2"/>
  <c r="W804" i="2" s="1"/>
  <c r="T180" i="2"/>
  <c r="W180" i="2" s="1"/>
  <c r="T107" i="2"/>
  <c r="W107" i="2" s="1"/>
  <c r="T503" i="2"/>
  <c r="T635" i="2"/>
  <c r="W635" i="2" s="1"/>
  <c r="T333" i="2"/>
  <c r="T114" i="2"/>
  <c r="W114" i="2" s="1"/>
  <c r="T834" i="2"/>
  <c r="W834" i="2" s="1"/>
  <c r="AT834" i="2" s="1"/>
  <c r="T470" i="2"/>
  <c r="T560" i="2"/>
  <c r="T729" i="2"/>
  <c r="W729" i="2" s="1"/>
  <c r="AT729" i="2" s="1"/>
  <c r="T585" i="2"/>
  <c r="T441" i="2"/>
  <c r="T297" i="2"/>
  <c r="T153" i="2"/>
  <c r="W153" i="2" s="1"/>
  <c r="T9" i="2"/>
  <c r="W9" i="2" s="1"/>
  <c r="T392" i="2"/>
  <c r="T703" i="2"/>
  <c r="W703" i="2" s="1"/>
  <c r="T559" i="2"/>
  <c r="T415" i="2"/>
  <c r="T271" i="2"/>
  <c r="T127" i="2"/>
  <c r="W127" i="2" s="1"/>
  <c r="T849" i="2"/>
  <c r="W849" i="2" s="1"/>
  <c r="AT849" i="2" s="1"/>
  <c r="T200" i="2"/>
  <c r="W200" i="2" s="1"/>
  <c r="T654" i="2"/>
  <c r="W654" i="2" s="1"/>
  <c r="T510" i="2"/>
  <c r="T366" i="2"/>
  <c r="T222" i="2"/>
  <c r="W222" i="2" s="1"/>
  <c r="T78" i="2"/>
  <c r="W78" i="2" s="1"/>
  <c r="AT78" i="2" s="1"/>
  <c r="T788" i="2"/>
  <c r="W788" i="2" s="1"/>
  <c r="AT788" i="2" s="1"/>
  <c r="T449" i="2"/>
  <c r="T305" i="2"/>
  <c r="T161" i="2"/>
  <c r="W161" i="2" s="1"/>
  <c r="T17" i="2"/>
  <c r="W17" i="2" s="1"/>
  <c r="T344" i="2"/>
  <c r="T664" i="2"/>
  <c r="W664" i="2" s="1"/>
  <c r="T520" i="2"/>
  <c r="T376" i="2"/>
  <c r="T232" i="2"/>
  <c r="W232" i="2" s="1"/>
  <c r="T88" i="2"/>
  <c r="W88" i="2" s="1"/>
  <c r="T798" i="2"/>
  <c r="W798" i="2" s="1"/>
  <c r="AT798" i="2" s="1"/>
  <c r="T735" i="2"/>
  <c r="W735" i="2" s="1"/>
  <c r="AT735" i="2" s="1"/>
  <c r="T591" i="2"/>
  <c r="W591" i="2" s="1"/>
  <c r="T447" i="2"/>
  <c r="T303" i="2"/>
  <c r="T159" i="2"/>
  <c r="W159" i="2" s="1"/>
  <c r="T15" i="2"/>
  <c r="W15" i="2" s="1"/>
  <c r="T368" i="2"/>
  <c r="T722" i="2"/>
  <c r="W722" i="2" s="1"/>
  <c r="AT722" i="2" s="1"/>
  <c r="T578" i="2"/>
  <c r="T434" i="2"/>
  <c r="T290" i="2"/>
  <c r="T146" i="2"/>
  <c r="W146" i="2" s="1"/>
  <c r="T856" i="2"/>
  <c r="W856" i="2" s="1"/>
  <c r="AT856" i="2" s="1"/>
  <c r="T236" i="2"/>
  <c r="W236" i="2" s="1"/>
  <c r="T697" i="2"/>
  <c r="W697" i="2" s="1"/>
  <c r="AT697" i="2" s="1"/>
  <c r="T553" i="2"/>
  <c r="T409" i="2"/>
  <c r="T265" i="2"/>
  <c r="T121" i="2"/>
  <c r="W121" i="2" s="1"/>
  <c r="T831" i="2"/>
  <c r="W831" i="2" s="1"/>
  <c r="AT831" i="2" s="1"/>
  <c r="T8" i="2"/>
  <c r="W8" i="2" s="1"/>
  <c r="T660" i="2"/>
  <c r="W660" i="2" s="1"/>
  <c r="T516" i="2"/>
  <c r="T372" i="2"/>
  <c r="T228" i="2"/>
  <c r="W228" i="2" s="1"/>
  <c r="T84" i="2"/>
  <c r="W84" i="2" s="1"/>
  <c r="T794" i="2"/>
  <c r="W794" i="2" s="1"/>
  <c r="AT794" i="2" s="1"/>
  <c r="T731" i="2"/>
  <c r="W731" i="2" s="1"/>
  <c r="AT731" i="2" s="1"/>
  <c r="T587" i="2"/>
  <c r="T443" i="2"/>
  <c r="T299" i="2"/>
  <c r="T155" i="2"/>
  <c r="W155" i="2" s="1"/>
  <c r="T11" i="2"/>
  <c r="W11" i="2" s="1"/>
  <c r="T284" i="2"/>
  <c r="T658" i="2"/>
  <c r="T514" i="2"/>
  <c r="T370" i="2"/>
  <c r="T226" i="2"/>
  <c r="W226" i="2" s="1"/>
  <c r="T82" i="2"/>
  <c r="W82" i="2" s="1"/>
  <c r="T792" i="2"/>
  <c r="W792" i="2" s="1"/>
  <c r="AT792" i="2" s="1"/>
  <c r="T36" i="2"/>
  <c r="W36" i="2" s="1"/>
  <c r="T466" i="2"/>
  <c r="T71" i="2"/>
  <c r="W71" i="2" s="1"/>
  <c r="T347" i="2"/>
  <c r="T840" i="2"/>
  <c r="W840" i="2" s="1"/>
  <c r="T451" i="2"/>
  <c r="T536" i="2"/>
  <c r="T485" i="2"/>
  <c r="T268" i="2"/>
  <c r="T51" i="2"/>
  <c r="W51" i="2" s="1"/>
  <c r="T589" i="2"/>
  <c r="W589" i="2" s="1"/>
  <c r="AT589" i="2" s="1"/>
  <c r="T452" i="2"/>
  <c r="T717" i="2"/>
  <c r="W717" i="2" s="1"/>
  <c r="AT717" i="2" s="1"/>
  <c r="T573" i="2"/>
  <c r="T429" i="2"/>
  <c r="T285" i="2"/>
  <c r="T141" i="2"/>
  <c r="W141" i="2" s="1"/>
  <c r="T851" i="2"/>
  <c r="W851" i="2" s="1"/>
  <c r="AT851" i="2" s="1"/>
  <c r="T308" i="2"/>
  <c r="T691" i="2"/>
  <c r="W691" i="2" s="1"/>
  <c r="AT691" i="2" s="1"/>
  <c r="T547" i="2"/>
  <c r="T403" i="2"/>
  <c r="T259" i="2"/>
  <c r="T115" i="2"/>
  <c r="W115" i="2" s="1"/>
  <c r="T837" i="2"/>
  <c r="W837" i="2" s="1"/>
  <c r="AT837" i="2" s="1"/>
  <c r="T116" i="2"/>
  <c r="W116" i="2" s="1"/>
  <c r="T642" i="2"/>
  <c r="W642" i="2" s="1"/>
  <c r="T498" i="2"/>
  <c r="T354" i="2"/>
  <c r="T210" i="2"/>
  <c r="W210" i="2" s="1"/>
  <c r="T66" i="2"/>
  <c r="W66" i="2" s="1"/>
  <c r="T776" i="2"/>
  <c r="W776" i="2" s="1"/>
  <c r="AT776" i="2" s="1"/>
  <c r="T437" i="2"/>
  <c r="T293" i="2"/>
  <c r="T149" i="2"/>
  <c r="W149" i="2" s="1"/>
  <c r="T859" i="2"/>
  <c r="W859" i="2" s="1"/>
  <c r="AT859" i="2" s="1"/>
  <c r="T80" i="2"/>
  <c r="W80" i="2" s="1"/>
  <c r="T652" i="2"/>
  <c r="W652" i="2" s="1"/>
  <c r="T508" i="2"/>
  <c r="T364" i="2"/>
  <c r="T220" i="2"/>
  <c r="W220" i="2" s="1"/>
  <c r="T76" i="2"/>
  <c r="W76" i="2" s="1"/>
  <c r="T786" i="2"/>
  <c r="T723" i="2"/>
  <c r="W723" i="2" s="1"/>
  <c r="AT723" i="2" s="1"/>
  <c r="T579" i="2"/>
  <c r="T435" i="2"/>
  <c r="T291" i="2"/>
  <c r="T147" i="2"/>
  <c r="W147" i="2" s="1"/>
  <c r="T857" i="2"/>
  <c r="W857" i="2" s="1"/>
  <c r="AT857" i="2" s="1"/>
  <c r="T260" i="2"/>
  <c r="T710" i="2"/>
  <c r="W710" i="2" s="1"/>
  <c r="T566" i="2"/>
  <c r="T422" i="2"/>
  <c r="T278" i="2"/>
  <c r="T134" i="2"/>
  <c r="W134" i="2" s="1"/>
  <c r="AT134" i="2" s="1"/>
  <c r="T844" i="2"/>
  <c r="T140" i="2"/>
  <c r="W140" i="2" s="1"/>
  <c r="T685" i="2"/>
  <c r="W685" i="2" s="1"/>
  <c r="AT685" i="2" s="1"/>
  <c r="T541" i="2"/>
  <c r="T397" i="2"/>
  <c r="T253" i="2"/>
  <c r="T109" i="2"/>
  <c r="W109" i="2" s="1"/>
  <c r="T819" i="2"/>
  <c r="T778" i="2"/>
  <c r="W778" i="2" s="1"/>
  <c r="AT778" i="2" s="1"/>
  <c r="T648" i="2"/>
  <c r="W648" i="2" s="1"/>
  <c r="T504" i="2"/>
  <c r="T360" i="2"/>
  <c r="T216" i="2"/>
  <c r="W216" i="2" s="1"/>
  <c r="T72" i="2"/>
  <c r="W72" i="2" s="1"/>
  <c r="T782" i="2"/>
  <c r="W782" i="2" s="1"/>
  <c r="AT782" i="2" s="1"/>
  <c r="T719" i="2"/>
  <c r="W719" i="2" s="1"/>
  <c r="AT719" i="2" s="1"/>
  <c r="T575" i="2"/>
  <c r="T431" i="2"/>
  <c r="T287" i="2"/>
  <c r="T143" i="2"/>
  <c r="W143" i="2" s="1"/>
  <c r="T853" i="2"/>
  <c r="W853" i="2" s="1"/>
  <c r="AT853" i="2" s="1"/>
  <c r="T44" i="2"/>
  <c r="W44" i="2" s="1"/>
  <c r="T646" i="2"/>
  <c r="W646" i="2" s="1"/>
  <c r="AT646" i="2" s="1"/>
  <c r="T502" i="2"/>
  <c r="T358" i="2"/>
  <c r="T214" i="2"/>
  <c r="W214" i="2" s="1"/>
  <c r="T70" i="2"/>
  <c r="W70" i="2" s="1"/>
  <c r="T780" i="2"/>
  <c r="W780" i="2" s="1"/>
  <c r="T644" i="2"/>
  <c r="W644" i="2" s="1"/>
  <c r="AT644" i="2" s="1"/>
  <c r="T610" i="2"/>
  <c r="W610" i="2" s="1"/>
  <c r="T188" i="2"/>
  <c r="W188" i="2" s="1"/>
  <c r="T852" i="2"/>
  <c r="W852" i="2" s="1"/>
  <c r="AT852" i="2" s="1"/>
  <c r="T418" i="2"/>
  <c r="T477" i="2"/>
  <c r="T197" i="2"/>
  <c r="W197" i="2" s="1"/>
  <c r="T627" i="2"/>
  <c r="T733" i="2"/>
  <c r="W733" i="2" s="1"/>
  <c r="AT733" i="2" s="1"/>
  <c r="T356" i="2"/>
  <c r="T705" i="2"/>
  <c r="W705" i="2" s="1"/>
  <c r="AC705" i="2" s="1"/>
  <c r="T561" i="2"/>
  <c r="T417" i="2"/>
  <c r="T273" i="2"/>
  <c r="T129" i="2"/>
  <c r="W129" i="2" s="1"/>
  <c r="T839" i="2"/>
  <c r="W839" i="2" s="1"/>
  <c r="AT839" i="2" s="1"/>
  <c r="T224" i="2"/>
  <c r="W224" i="2" s="1"/>
  <c r="T679" i="2"/>
  <c r="W679" i="2" s="1"/>
  <c r="AT679" i="2" s="1"/>
  <c r="T535" i="2"/>
  <c r="T391" i="2"/>
  <c r="T247" i="2"/>
  <c r="T103" i="2"/>
  <c r="W103" i="2" s="1"/>
  <c r="T825" i="2"/>
  <c r="W825" i="2" s="1"/>
  <c r="AT825" i="2" s="1"/>
  <c r="T826" i="2"/>
  <c r="W826" i="2" s="1"/>
  <c r="T630" i="2"/>
  <c r="W630" i="2" s="1"/>
  <c r="T486" i="2"/>
  <c r="T342" i="2"/>
  <c r="T198" i="2"/>
  <c r="W198" i="2" s="1"/>
  <c r="T54" i="2"/>
  <c r="W54" i="2" s="1"/>
  <c r="T584" i="2"/>
  <c r="T425" i="2"/>
  <c r="T281" i="2"/>
  <c r="T137" i="2"/>
  <c r="W137" i="2" s="1"/>
  <c r="AT137" i="2" s="1"/>
  <c r="T847" i="2"/>
  <c r="W847" i="2" s="1"/>
  <c r="AT847" i="2" s="1"/>
  <c r="T689" i="2"/>
  <c r="W689" i="2" s="1"/>
  <c r="AT689" i="2" s="1"/>
  <c r="T640" i="2"/>
  <c r="W640" i="2" s="1"/>
  <c r="AT640" i="2" s="1"/>
  <c r="T496" i="2"/>
  <c r="T352" i="2"/>
  <c r="T208" i="2"/>
  <c r="W208" i="2" s="1"/>
  <c r="AT208" i="2" s="1"/>
  <c r="T64" i="2"/>
  <c r="W64" i="2" s="1"/>
  <c r="T774" i="2"/>
  <c r="W774" i="2" s="1"/>
  <c r="AT774" i="2" s="1"/>
  <c r="T711" i="2"/>
  <c r="W711" i="2" s="1"/>
  <c r="AT711" i="2" s="1"/>
  <c r="T567" i="2"/>
  <c r="T423" i="2"/>
  <c r="T279" i="2"/>
  <c r="T135" i="2"/>
  <c r="W135" i="2" s="1"/>
  <c r="T845" i="2"/>
  <c r="W845" i="2" s="1"/>
  <c r="AT845" i="2" s="1"/>
  <c r="T176" i="2"/>
  <c r="W176" i="2" s="1"/>
  <c r="T698" i="2"/>
  <c r="W698" i="2" s="1"/>
  <c r="AT698" i="2" s="1"/>
  <c r="T554" i="2"/>
  <c r="T410" i="2"/>
  <c r="T266" i="2"/>
  <c r="T122" i="2"/>
  <c r="W122" i="2" s="1"/>
  <c r="T832" i="2"/>
  <c r="T56" i="2"/>
  <c r="W56" i="2" s="1"/>
  <c r="T673" i="2"/>
  <c r="T529" i="2"/>
  <c r="T385" i="2"/>
  <c r="T241" i="2"/>
  <c r="T97" i="2"/>
  <c r="W97" i="2" s="1"/>
  <c r="T807" i="2"/>
  <c r="W807" i="2" s="1"/>
  <c r="AT807" i="2" s="1"/>
  <c r="T725" i="2"/>
  <c r="W725" i="2" s="1"/>
  <c r="AT725" i="2" s="1"/>
  <c r="T636" i="2"/>
  <c r="W636" i="2" s="1"/>
  <c r="AT636" i="2" s="1"/>
  <c r="T492" i="2"/>
  <c r="T348" i="2"/>
  <c r="T204" i="2"/>
  <c r="W204" i="2" s="1"/>
  <c r="T60" i="2"/>
  <c r="W60" i="2" s="1"/>
  <c r="T770" i="2"/>
  <c r="W770" i="2" s="1"/>
  <c r="T707" i="2"/>
  <c r="W707" i="2" s="1"/>
  <c r="T563" i="2"/>
  <c r="T419" i="2"/>
  <c r="T275" i="2"/>
  <c r="T131" i="2"/>
  <c r="W131" i="2" s="1"/>
  <c r="T841" i="2"/>
  <c r="W841" i="2" s="1"/>
  <c r="AT841" i="2" s="1"/>
  <c r="T665" i="2"/>
  <c r="W665" i="2" s="1"/>
  <c r="AT665" i="2" s="1"/>
  <c r="T634" i="2"/>
  <c r="W634" i="2" s="1"/>
  <c r="AT634" i="2" s="1"/>
  <c r="T490" i="2"/>
  <c r="T346" i="2"/>
  <c r="T202" i="2"/>
  <c r="W202" i="2" s="1"/>
  <c r="T58" i="2"/>
  <c r="W58" i="2" s="1"/>
  <c r="T768" i="2"/>
  <c r="W768" i="2" s="1"/>
  <c r="AT768" i="2" s="1"/>
  <c r="T683" i="2"/>
  <c r="W683" i="2" s="1"/>
  <c r="AT683" i="2" s="1"/>
  <c r="T754" i="2"/>
  <c r="W754" i="2" s="1"/>
  <c r="AT754" i="2" s="1"/>
  <c r="T854" i="2"/>
  <c r="W854" i="2" s="1"/>
  <c r="T769" i="2"/>
  <c r="W769" i="2" s="1"/>
  <c r="AT769" i="2" s="1"/>
  <c r="T621" i="2"/>
  <c r="W621" i="2" s="1"/>
  <c r="T752" i="2"/>
  <c r="W752" i="2" s="1"/>
  <c r="AT752" i="2" s="1"/>
  <c r="T758" i="2"/>
  <c r="W758" i="2" s="1"/>
  <c r="T248" i="2"/>
  <c r="T693" i="2"/>
  <c r="W693" i="2" s="1"/>
  <c r="AT693" i="2" s="1"/>
  <c r="T549" i="2"/>
  <c r="T405" i="2"/>
  <c r="T261" i="2"/>
  <c r="T117" i="2"/>
  <c r="W117" i="2" s="1"/>
  <c r="T827" i="2"/>
  <c r="W827" i="2" s="1"/>
  <c r="AT827" i="2" s="1"/>
  <c r="T152" i="2"/>
  <c r="W152" i="2" s="1"/>
  <c r="T667" i="2"/>
  <c r="W667" i="2" s="1"/>
  <c r="T523" i="2"/>
  <c r="T379" i="2"/>
  <c r="T235" i="2"/>
  <c r="W235" i="2" s="1"/>
  <c r="T91" i="2"/>
  <c r="W91" i="2" s="1"/>
  <c r="T813" i="2"/>
  <c r="T762" i="2"/>
  <c r="T618" i="2"/>
  <c r="T474" i="2"/>
  <c r="T330" i="2"/>
  <c r="T186" i="2"/>
  <c r="W186" i="2" s="1"/>
  <c r="T42" i="2"/>
  <c r="W42" i="2" s="1"/>
  <c r="T749" i="2"/>
  <c r="W749" i="2" s="1"/>
  <c r="T413" i="2"/>
  <c r="T269" i="2"/>
  <c r="T125" i="2"/>
  <c r="W125" i="2" s="1"/>
  <c r="T835" i="2"/>
  <c r="W835" i="2" s="1"/>
  <c r="AT835" i="2" s="1"/>
  <c r="T617" i="2"/>
  <c r="W617" i="2" s="1"/>
  <c r="AT617" i="2" s="1"/>
  <c r="T628" i="2"/>
  <c r="W628" i="2" s="1"/>
  <c r="T484" i="2"/>
  <c r="T340" i="2"/>
  <c r="T196" i="2"/>
  <c r="W196" i="2" s="1"/>
  <c r="AC196" i="2" s="1"/>
  <c r="T52" i="2"/>
  <c r="W52" i="2" s="1"/>
  <c r="T716" i="2"/>
  <c r="W716" i="2" s="1"/>
  <c r="T699" i="2"/>
  <c r="W699" i="2" s="1"/>
  <c r="T555" i="2"/>
  <c r="T411" i="2"/>
  <c r="T267" i="2"/>
  <c r="T123" i="2"/>
  <c r="W123" i="2" s="1"/>
  <c r="T833" i="2"/>
  <c r="W833" i="2" s="1"/>
  <c r="AT833" i="2" s="1"/>
  <c r="T92" i="2"/>
  <c r="W92" i="2" s="1"/>
  <c r="T686" i="2"/>
  <c r="T542" i="2"/>
  <c r="T398" i="2"/>
  <c r="T254" i="2"/>
  <c r="T110" i="2"/>
  <c r="W110" i="2" s="1"/>
  <c r="T820" i="2"/>
  <c r="W820" i="2" s="1"/>
  <c r="AT820" i="2" s="1"/>
  <c r="T838" i="2"/>
  <c r="W838" i="2" s="1"/>
  <c r="AT838" i="2" s="1"/>
  <c r="T661" i="2"/>
  <c r="W661" i="2" s="1"/>
  <c r="T517" i="2"/>
  <c r="T373" i="2"/>
  <c r="T229" i="2"/>
  <c r="W229" i="2" s="1"/>
  <c r="T85" i="2"/>
  <c r="W85" i="2" s="1"/>
  <c r="T795" i="2"/>
  <c r="T581" i="2"/>
  <c r="T624" i="2"/>
  <c r="W624" i="2" s="1"/>
  <c r="AT624" i="2" s="1"/>
  <c r="T480" i="2"/>
  <c r="T336" i="2"/>
  <c r="T192" i="2"/>
  <c r="W192" i="2" s="1"/>
  <c r="T48" i="2"/>
  <c r="W48" i="2" s="1"/>
  <c r="T764" i="2"/>
  <c r="W764" i="2" s="1"/>
  <c r="T695" i="2"/>
  <c r="W695" i="2" s="1"/>
  <c r="AT695" i="2" s="1"/>
  <c r="T551" i="2"/>
  <c r="T407" i="2"/>
  <c r="T263" i="2"/>
  <c r="T119" i="2"/>
  <c r="W119" i="2" s="1"/>
  <c r="T829" i="2"/>
  <c r="W829" i="2" s="1"/>
  <c r="AT829" i="2" s="1"/>
  <c r="T545" i="2"/>
  <c r="T622" i="2"/>
  <c r="W622" i="2" s="1"/>
  <c r="AT622" i="2" s="1"/>
  <c r="T478" i="2"/>
  <c r="T334" i="2"/>
  <c r="T190" i="2"/>
  <c r="W190" i="2" s="1"/>
  <c r="T46" i="2"/>
  <c r="W46" i="2" s="1"/>
  <c r="T324" i="2"/>
  <c r="T322" i="2"/>
  <c r="T647" i="2"/>
  <c r="W647" i="2" s="1"/>
  <c r="AT647" i="2" s="1"/>
  <c r="T142" i="2"/>
  <c r="W142" i="2" s="1"/>
  <c r="T562" i="2"/>
  <c r="T45" i="2"/>
  <c r="W45" i="2" s="1"/>
  <c r="T402" i="2"/>
  <c r="T412" i="2"/>
  <c r="T195" i="2"/>
  <c r="W195" i="2" s="1"/>
  <c r="T548" i="2"/>
  <c r="T164" i="2"/>
  <c r="W164" i="2" s="1"/>
  <c r="T681" i="2"/>
  <c r="W681" i="2" s="1"/>
  <c r="T537" i="2"/>
  <c r="T393" i="2"/>
  <c r="T249" i="2"/>
  <c r="T105" i="2"/>
  <c r="W105" i="2" s="1"/>
  <c r="T815" i="2"/>
  <c r="T68" i="2"/>
  <c r="W68" i="2" s="1"/>
  <c r="AC68" i="2" s="1"/>
  <c r="T655" i="2"/>
  <c r="W655" i="2" s="1"/>
  <c r="T511" i="2"/>
  <c r="T367" i="2"/>
  <c r="T223" i="2"/>
  <c r="W223" i="2" s="1"/>
  <c r="T79" i="2"/>
  <c r="W79" i="2" s="1"/>
  <c r="T801" i="2"/>
  <c r="W801" i="2" s="1"/>
  <c r="T750" i="2"/>
  <c r="W750" i="2" s="1"/>
  <c r="T606" i="2"/>
  <c r="W606" i="2" s="1"/>
  <c r="AT606" i="2" s="1"/>
  <c r="T462" i="2"/>
  <c r="T318" i="2"/>
  <c r="T174" i="2"/>
  <c r="W174" i="2" s="1"/>
  <c r="T30" i="2"/>
  <c r="W30" i="2" s="1"/>
  <c r="T593" i="2"/>
  <c r="W593" i="2" s="1"/>
  <c r="AT593" i="2" s="1"/>
  <c r="T401" i="2"/>
  <c r="T257" i="2"/>
  <c r="T113" i="2"/>
  <c r="W113" i="2" s="1"/>
  <c r="T823" i="2"/>
  <c r="W823" i="2" s="1"/>
  <c r="AT823" i="2" s="1"/>
  <c r="T760" i="2"/>
  <c r="W760" i="2" s="1"/>
  <c r="AT760" i="2" s="1"/>
  <c r="T616" i="2"/>
  <c r="W616" i="2" s="1"/>
  <c r="AT616" i="2" s="1"/>
  <c r="T472" i="2"/>
  <c r="T328" i="2"/>
  <c r="T184" i="2"/>
  <c r="W184" i="2" s="1"/>
  <c r="T40" i="2"/>
  <c r="W40" i="2" s="1"/>
  <c r="T596" i="2"/>
  <c r="W596" i="2" s="1"/>
  <c r="T687" i="2"/>
  <c r="W687" i="2" s="1"/>
  <c r="AT687" i="2" s="1"/>
  <c r="T543" i="2"/>
  <c r="T399" i="2"/>
  <c r="T255" i="2"/>
  <c r="T111" i="2"/>
  <c r="W111" i="2" s="1"/>
  <c r="T821" i="2"/>
  <c r="W821" i="2" s="1"/>
  <c r="AT821" i="2" s="1"/>
  <c r="T862" i="2"/>
  <c r="W862" i="2" s="1"/>
  <c r="AT862" i="2" s="1"/>
  <c r="T674" i="2"/>
  <c r="W674" i="2" s="1"/>
  <c r="T530" i="2"/>
  <c r="T386" i="2"/>
  <c r="T242" i="2"/>
  <c r="T98" i="2"/>
  <c r="W98" i="2" s="1"/>
  <c r="AC98" i="2" s="1"/>
  <c r="T808" i="2"/>
  <c r="W808" i="2" s="1"/>
  <c r="AT808" i="2" s="1"/>
  <c r="T766" i="2"/>
  <c r="W766" i="2" s="1"/>
  <c r="T649" i="2"/>
  <c r="W649" i="2" s="1"/>
  <c r="T505" i="2"/>
  <c r="T361" i="2"/>
  <c r="T217" i="2"/>
  <c r="W217" i="2" s="1"/>
  <c r="T73" i="2"/>
  <c r="W73" i="2" s="1"/>
  <c r="T783" i="2"/>
  <c r="W783" i="2" s="1"/>
  <c r="AT783" i="2" s="1"/>
  <c r="T756" i="2"/>
  <c r="W756" i="2" s="1"/>
  <c r="AT756" i="2" s="1"/>
  <c r="T612" i="2"/>
  <c r="W612" i="2" s="1"/>
  <c r="AT612" i="2" s="1"/>
  <c r="T468" i="2"/>
  <c r="T395" i="2"/>
  <c r="T251" i="2"/>
  <c r="T178" i="2"/>
  <c r="W178" i="2" s="1"/>
  <c r="AC178" i="2" s="1"/>
  <c r="T713" i="2"/>
  <c r="W713" i="2" s="1"/>
  <c r="AT713" i="2" s="1"/>
  <c r="T307" i="2"/>
  <c r="T104" i="2"/>
  <c r="W104" i="2" s="1"/>
  <c r="T669" i="2"/>
  <c r="W669" i="2" s="1"/>
  <c r="T525" i="2"/>
  <c r="T381" i="2"/>
  <c r="T237" i="2"/>
  <c r="W237" i="2" s="1"/>
  <c r="T93" i="2"/>
  <c r="W93" i="2" s="1"/>
  <c r="T803" i="2"/>
  <c r="T850" i="2"/>
  <c r="W850" i="2" s="1"/>
  <c r="AT850" i="2" s="1"/>
  <c r="T643" i="2"/>
  <c r="W643" i="2" s="1"/>
  <c r="AT643" i="2" s="1"/>
  <c r="T499" i="2"/>
  <c r="T355" i="2"/>
  <c r="T211" i="2"/>
  <c r="W211" i="2" s="1"/>
  <c r="T67" i="2"/>
  <c r="W67" i="2" s="1"/>
  <c r="T789" i="2"/>
  <c r="T738" i="2"/>
  <c r="W738" i="2" s="1"/>
  <c r="T594" i="2"/>
  <c r="W594" i="2" s="1"/>
  <c r="AT594" i="2" s="1"/>
  <c r="T450" i="2"/>
  <c r="T306" i="2"/>
  <c r="T162" i="2"/>
  <c r="W162" i="2" s="1"/>
  <c r="T18" i="2"/>
  <c r="W18" i="2" s="1"/>
  <c r="T533" i="2"/>
  <c r="T389" i="2"/>
  <c r="T245" i="2"/>
  <c r="W245" i="2" s="1"/>
  <c r="T101" i="2"/>
  <c r="W101" i="2" s="1"/>
  <c r="T811" i="2"/>
  <c r="W811" i="2" s="1"/>
  <c r="T748" i="2"/>
  <c r="W748" i="2" s="1"/>
  <c r="T604" i="2"/>
  <c r="W604" i="2" s="1"/>
  <c r="AT604" i="2" s="1"/>
  <c r="T460" i="2"/>
  <c r="T316" i="2"/>
  <c r="T172" i="2"/>
  <c r="W172" i="2" s="1"/>
  <c r="T28" i="2"/>
  <c r="W28" i="2" s="1"/>
  <c r="T440" i="2"/>
  <c r="T675" i="2"/>
  <c r="W675" i="2" s="1"/>
  <c r="AT675" i="2" s="1"/>
  <c r="T531" i="2"/>
  <c r="T387" i="2"/>
  <c r="T243" i="2"/>
  <c r="T99" i="2"/>
  <c r="W99" i="2" s="1"/>
  <c r="T809" i="2"/>
  <c r="W809" i="2" s="1"/>
  <c r="AT809" i="2" s="1"/>
  <c r="T802" i="2"/>
  <c r="W802" i="2" s="1"/>
  <c r="T662" i="2"/>
  <c r="W662" i="2" s="1"/>
  <c r="AT662" i="2" s="1"/>
  <c r="T518" i="2"/>
  <c r="T374" i="2"/>
  <c r="T230" i="2"/>
  <c r="W230" i="2" s="1"/>
  <c r="T86" i="2"/>
  <c r="W86" i="2" s="1"/>
  <c r="T796" i="2"/>
  <c r="W796" i="2" s="1"/>
  <c r="AT796" i="2" s="1"/>
  <c r="T737" i="2"/>
  <c r="W737" i="2" s="1"/>
  <c r="T637" i="2"/>
  <c r="W637" i="2" s="1"/>
  <c r="T493" i="2"/>
  <c r="T349" i="2"/>
  <c r="T205" i="2"/>
  <c r="W205" i="2" s="1"/>
  <c r="T61" i="2"/>
  <c r="W61" i="2" s="1"/>
  <c r="T771" i="2"/>
  <c r="W771" i="2" s="1"/>
  <c r="T744" i="2"/>
  <c r="W744" i="2" s="1"/>
  <c r="AT744" i="2" s="1"/>
  <c r="T600" i="2"/>
  <c r="T456" i="2"/>
  <c r="T312" i="2"/>
  <c r="T168" i="2"/>
  <c r="W168" i="2" s="1"/>
  <c r="T24" i="2"/>
  <c r="W24" i="2" s="1"/>
  <c r="T500" i="2"/>
  <c r="T671" i="2"/>
  <c r="W671" i="2" s="1"/>
  <c r="T527" i="2"/>
  <c r="T383" i="2"/>
  <c r="T239" i="2"/>
  <c r="W239" i="2" s="1"/>
  <c r="T95" i="2"/>
  <c r="W95" i="2" s="1"/>
  <c r="T805" i="2"/>
  <c r="W805" i="2" s="1"/>
  <c r="T742" i="2"/>
  <c r="T598" i="2"/>
  <c r="W598" i="2" s="1"/>
  <c r="T454" i="2"/>
  <c r="T310" i="2"/>
  <c r="T166" i="2"/>
  <c r="W166" i="2" s="1"/>
  <c r="T22" i="2"/>
  <c r="W22" i="2" s="1"/>
  <c r="T62" i="2"/>
  <c r="W62" i="2" s="1"/>
  <c r="T181" i="2"/>
  <c r="W181" i="2" s="1"/>
  <c r="T524" i="2"/>
  <c r="T432" i="2"/>
  <c r="T215" i="2"/>
  <c r="W215" i="2" s="1"/>
  <c r="T718" i="2"/>
  <c r="W718" i="2" s="1"/>
  <c r="T286" i="2"/>
  <c r="T203" i="2"/>
  <c r="W203" i="2" s="1"/>
  <c r="AC203" i="2" s="1"/>
  <c r="T130" i="2"/>
  <c r="W130" i="2" s="1"/>
  <c r="T595" i="2"/>
  <c r="W595" i="2" s="1"/>
  <c r="AT595" i="2" s="1"/>
  <c r="T690" i="2"/>
  <c r="W690" i="2" s="1"/>
  <c r="T341" i="2"/>
  <c r="T124" i="2"/>
  <c r="W124" i="2" s="1"/>
  <c r="T692" i="2"/>
  <c r="W692" i="2" s="1"/>
  <c r="T32" i="2"/>
  <c r="W32" i="2" s="1"/>
  <c r="T657" i="2"/>
  <c r="W657" i="2" s="1"/>
  <c r="T513" i="2"/>
  <c r="T369" i="2"/>
  <c r="T225" i="2"/>
  <c r="W225" i="2" s="1"/>
  <c r="T81" i="2"/>
  <c r="W81" i="2" s="1"/>
  <c r="T791" i="2"/>
  <c r="W791" i="2" s="1"/>
  <c r="T814" i="2"/>
  <c r="T631" i="2"/>
  <c r="W631" i="2" s="1"/>
  <c r="AT631" i="2" s="1"/>
  <c r="T487" i="2"/>
  <c r="T343" i="2"/>
  <c r="T199" i="2"/>
  <c r="W199" i="2" s="1"/>
  <c r="AC199" i="2" s="1"/>
  <c r="T55" i="2"/>
  <c r="W55" i="2" s="1"/>
  <c r="T777" i="2"/>
  <c r="W777" i="2" s="1"/>
  <c r="AT777" i="2" s="1"/>
  <c r="T726" i="2"/>
  <c r="W726" i="2" s="1"/>
  <c r="AT726" i="2" s="1"/>
  <c r="T582" i="2"/>
  <c r="T438" i="2"/>
  <c r="T294" i="2"/>
  <c r="T150" i="2"/>
  <c r="T860" i="2"/>
  <c r="W860" i="2" s="1"/>
  <c r="AT860" i="2" s="1"/>
  <c r="T521" i="2"/>
  <c r="T377" i="2"/>
  <c r="T233" i="2"/>
  <c r="W233" i="2" s="1"/>
  <c r="T89" i="2"/>
  <c r="W89" i="2" s="1"/>
  <c r="T799" i="2"/>
  <c r="W799" i="2" s="1"/>
  <c r="AT799" i="2" s="1"/>
  <c r="T736" i="2"/>
  <c r="W736" i="2" s="1"/>
  <c r="AT736" i="2" s="1"/>
  <c r="T592" i="2"/>
  <c r="T448" i="2"/>
  <c r="T304" i="2"/>
  <c r="T160" i="2"/>
  <c r="W160" i="2" s="1"/>
  <c r="T16" i="2"/>
  <c r="W16" i="2" s="1"/>
  <c r="T272" i="2"/>
  <c r="T663" i="2"/>
  <c r="W663" i="2" s="1"/>
  <c r="AT663" i="2" s="1"/>
  <c r="T519" i="2"/>
  <c r="T375" i="2"/>
  <c r="T231" i="2"/>
  <c r="W231" i="2" s="1"/>
  <c r="T87" i="2"/>
  <c r="W87" i="2" s="1"/>
  <c r="T797" i="2"/>
  <c r="W797" i="2" s="1"/>
  <c r="T761" i="2"/>
  <c r="W761" i="2" s="1"/>
  <c r="AT761" i="2" s="1"/>
  <c r="T650" i="2"/>
  <c r="W650" i="2" s="1"/>
  <c r="T506" i="2"/>
  <c r="T362" i="2"/>
  <c r="T218" i="2"/>
  <c r="W218" i="2" s="1"/>
  <c r="AT218" i="2" s="1"/>
  <c r="T74" i="2"/>
  <c r="W74" i="2" s="1"/>
  <c r="T784" i="2"/>
  <c r="W784" i="2" s="1"/>
  <c r="AT784" i="2" s="1"/>
  <c r="T641" i="2"/>
  <c r="W641" i="2" s="1"/>
  <c r="AT641" i="2" s="1"/>
  <c r="T625" i="2"/>
  <c r="W625" i="2" s="1"/>
  <c r="AT625" i="2" s="1"/>
  <c r="T481" i="2"/>
  <c r="T337" i="2"/>
  <c r="T193" i="2"/>
  <c r="W193" i="2" s="1"/>
  <c r="T49" i="2"/>
  <c r="W49" i="2" s="1"/>
  <c r="T656" i="2"/>
  <c r="W656" i="2" s="1"/>
  <c r="T732" i="2"/>
  <c r="T588" i="2"/>
  <c r="T444" i="2"/>
  <c r="T300" i="2"/>
  <c r="T156" i="2"/>
  <c r="W156" i="2" s="1"/>
  <c r="T12" i="2"/>
  <c r="W12" i="2" s="1"/>
  <c r="T380" i="2"/>
  <c r="T659" i="2"/>
  <c r="W659" i="2" s="1"/>
  <c r="T515" i="2"/>
  <c r="T371" i="2"/>
  <c r="T227" i="2"/>
  <c r="W227" i="2" s="1"/>
  <c r="T83" i="2"/>
  <c r="W83" i="2" s="1"/>
  <c r="T793" i="2"/>
  <c r="T730" i="2"/>
  <c r="W730" i="2" s="1"/>
  <c r="T586" i="2"/>
  <c r="T442" i="2"/>
  <c r="T298" i="2"/>
  <c r="T154" i="2"/>
  <c r="W154" i="2" s="1"/>
  <c r="T10" i="2"/>
  <c r="W10" i="2" s="1"/>
  <c r="T206" i="2"/>
  <c r="W206" i="2" s="1"/>
  <c r="T325" i="2"/>
  <c r="T720" i="2"/>
  <c r="W720" i="2" s="1"/>
  <c r="AT720" i="2" s="1"/>
  <c r="T288" i="2"/>
  <c r="T781" i="2"/>
  <c r="W781" i="2" s="1"/>
  <c r="AC781" i="2" s="1"/>
  <c r="T574" i="2"/>
  <c r="T491" i="2"/>
  <c r="T189" i="2"/>
  <c r="W189" i="2" s="1"/>
  <c r="T824" i="2"/>
  <c r="T605" i="2"/>
  <c r="W605" i="2" s="1"/>
  <c r="AT605" i="2" s="1"/>
  <c r="T38" i="2"/>
  <c r="W38" i="2" s="1"/>
  <c r="T790" i="2"/>
  <c r="W790" i="2" s="1"/>
  <c r="AT790" i="2" s="1"/>
  <c r="T645" i="2"/>
  <c r="W645" i="2" s="1"/>
  <c r="T501" i="2"/>
  <c r="T357" i="2"/>
  <c r="T213" i="2"/>
  <c r="W213" i="2" s="1"/>
  <c r="T69" i="2"/>
  <c r="W69" i="2" s="1"/>
  <c r="T779" i="2"/>
  <c r="T763" i="2"/>
  <c r="T619" i="2"/>
  <c r="W619" i="2" s="1"/>
  <c r="AT619" i="2" s="1"/>
  <c r="T475" i="2"/>
  <c r="T331" i="2"/>
  <c r="T187" i="2"/>
  <c r="W187" i="2" s="1"/>
  <c r="T43" i="2"/>
  <c r="W43" i="2" s="1"/>
  <c r="T765" i="2"/>
  <c r="W765" i="2" s="1"/>
  <c r="T714" i="2"/>
  <c r="W714" i="2" s="1"/>
  <c r="AT714" i="2" s="1"/>
  <c r="T570" i="2"/>
  <c r="T426" i="2"/>
  <c r="T282" i="2"/>
  <c r="T138" i="2"/>
  <c r="W138" i="2" s="1"/>
  <c r="T848" i="2"/>
  <c r="T509" i="2"/>
  <c r="T365" i="2"/>
  <c r="T221" i="2"/>
  <c r="W221" i="2" s="1"/>
  <c r="T77" i="2"/>
  <c r="W77" i="2" s="1"/>
  <c r="T787" i="2"/>
  <c r="T724" i="2"/>
  <c r="W724" i="2" s="1"/>
  <c r="AT724" i="2" s="1"/>
  <c r="T580" i="2"/>
  <c r="T436" i="2"/>
  <c r="T292" i="2"/>
  <c r="T148" i="2"/>
  <c r="W148" i="2" s="1"/>
  <c r="T858" i="2"/>
  <c r="T20" i="2"/>
  <c r="W20" i="2" s="1"/>
  <c r="T651" i="2"/>
  <c r="W651" i="2" s="1"/>
  <c r="T507" i="2"/>
  <c r="T363" i="2"/>
  <c r="T219" i="2"/>
  <c r="W219" i="2" s="1"/>
  <c r="AC219" i="2" s="1"/>
  <c r="T75" i="2"/>
  <c r="W75" i="2" s="1"/>
  <c r="T785" i="2"/>
  <c r="T653" i="2"/>
  <c r="W653" i="2" s="1"/>
  <c r="T638" i="2"/>
  <c r="W638" i="2" s="1"/>
  <c r="T494" i="2"/>
  <c r="T350" i="2"/>
  <c r="T772" i="2"/>
  <c r="T757" i="2"/>
  <c r="T613" i="2"/>
  <c r="W613" i="2" s="1"/>
  <c r="AT613" i="2" s="1"/>
  <c r="T469" i="2"/>
  <c r="T37" i="2"/>
  <c r="W37" i="2" s="1"/>
  <c r="T576" i="2"/>
  <c r="T359" i="2"/>
  <c r="T430" i="2"/>
  <c r="T739" i="2"/>
  <c r="W739" i="2" s="1"/>
  <c r="AT739" i="2" s="1"/>
  <c r="T163" i="2"/>
  <c r="W163" i="2" s="1"/>
  <c r="T546" i="2"/>
  <c r="T700" i="2"/>
  <c r="T483" i="2"/>
  <c r="T326" i="2"/>
  <c r="T701" i="2"/>
  <c r="W701" i="2" s="1"/>
  <c r="AT701" i="2" s="1"/>
  <c r="T633" i="2"/>
  <c r="W633" i="2" s="1"/>
  <c r="AT633" i="2" s="1"/>
  <c r="T489" i="2"/>
  <c r="T345" i="2"/>
  <c r="T201" i="2"/>
  <c r="W201" i="2" s="1"/>
  <c r="T57" i="2"/>
  <c r="W57" i="2" s="1"/>
  <c r="T767" i="2"/>
  <c r="W767" i="2" s="1"/>
  <c r="T751" i="2"/>
  <c r="W751" i="2" s="1"/>
  <c r="AT751" i="2" s="1"/>
  <c r="T607" i="2"/>
  <c r="T463" i="2"/>
  <c r="T319" i="2"/>
  <c r="T175" i="2"/>
  <c r="W175" i="2" s="1"/>
  <c r="AT175" i="2" s="1"/>
  <c r="T31" i="2"/>
  <c r="W31" i="2" s="1"/>
  <c r="T680" i="2"/>
  <c r="W680" i="2" s="1"/>
  <c r="AT680" i="2" s="1"/>
  <c r="T702" i="2"/>
  <c r="W702" i="2" s="1"/>
  <c r="AT702" i="2" s="1"/>
  <c r="T558" i="2"/>
  <c r="T414" i="2"/>
  <c r="T270" i="2"/>
  <c r="T126" i="2"/>
  <c r="W126" i="2" s="1"/>
  <c r="T836" i="2"/>
  <c r="T497" i="2"/>
  <c r="T353" i="2"/>
  <c r="T209" i="2"/>
  <c r="W209" i="2" s="1"/>
  <c r="T65" i="2"/>
  <c r="W65" i="2" s="1"/>
  <c r="T775" i="2"/>
  <c r="W775" i="2" s="1"/>
  <c r="T712" i="2"/>
  <c r="W712" i="2" s="1"/>
  <c r="T568" i="2"/>
  <c r="T424" i="2"/>
  <c r="T280" i="2"/>
  <c r="T136" i="2"/>
  <c r="W136" i="2" s="1"/>
  <c r="T846" i="2"/>
  <c r="W846" i="2" s="1"/>
  <c r="AT846" i="2" s="1"/>
  <c r="T677" i="2"/>
  <c r="T639" i="2"/>
  <c r="T495" i="2"/>
  <c r="T351" i="2"/>
  <c r="T207" i="2"/>
  <c r="W207" i="2" s="1"/>
  <c r="T63" i="2"/>
  <c r="W63" i="2" s="1"/>
  <c r="T773" i="2"/>
  <c r="W773" i="2" s="1"/>
  <c r="T557" i="2"/>
  <c r="T626" i="2"/>
  <c r="W626" i="2" s="1"/>
  <c r="AT626" i="2" s="1"/>
  <c r="T482" i="2"/>
  <c r="T338" i="2"/>
  <c r="T194" i="2"/>
  <c r="W194" i="2" s="1"/>
  <c r="T50" i="2"/>
  <c r="W50" i="2" s="1"/>
  <c r="T668" i="2"/>
  <c r="T745" i="2"/>
  <c r="W745" i="2" s="1"/>
  <c r="AT745" i="2" s="1"/>
  <c r="T601" i="2"/>
  <c r="T457" i="2"/>
  <c r="T313" i="2"/>
  <c r="T169" i="2"/>
  <c r="W169" i="2" s="1"/>
  <c r="T25" i="2"/>
  <c r="W25" i="2" s="1"/>
  <c r="T404" i="2"/>
  <c r="T708" i="2"/>
  <c r="W708" i="2" s="1"/>
  <c r="AT708" i="2" s="1"/>
  <c r="T564" i="2"/>
  <c r="T420" i="2"/>
  <c r="T276" i="2"/>
  <c r="T132" i="2"/>
  <c r="W132" i="2" s="1"/>
  <c r="T842" i="2"/>
  <c r="T706" i="2"/>
  <c r="T274" i="2"/>
  <c r="T740" i="2"/>
  <c r="W740" i="2" s="1"/>
  <c r="AT740" i="2" s="1"/>
  <c r="T19" i="2"/>
  <c r="W19" i="2" s="1"/>
  <c r="T258" i="2"/>
  <c r="T556" i="2"/>
  <c r="T339" i="2"/>
  <c r="T182" i="2"/>
  <c r="W182" i="2" s="1"/>
  <c r="T753" i="2"/>
  <c r="W753" i="2" s="1"/>
  <c r="T609" i="2"/>
  <c r="T465" i="2"/>
  <c r="T321" i="2"/>
  <c r="T177" i="2"/>
  <c r="W177" i="2" s="1"/>
  <c r="T33" i="2"/>
  <c r="W33" i="2" s="1"/>
  <c r="T632" i="2"/>
  <c r="W632" i="2" s="1"/>
  <c r="AT632" i="2" s="1"/>
  <c r="T727" i="2"/>
  <c r="W727" i="2" s="1"/>
  <c r="AT727" i="2" s="1"/>
  <c r="T583" i="2"/>
  <c r="T439" i="2"/>
  <c r="T295" i="2"/>
  <c r="T151" i="2"/>
  <c r="W151" i="2" s="1"/>
  <c r="T7" i="2"/>
  <c r="T416" i="2"/>
  <c r="T678" i="2"/>
  <c r="W678" i="2" s="1"/>
  <c r="T534" i="2"/>
  <c r="T390" i="2"/>
  <c r="T246" i="2"/>
  <c r="T102" i="2"/>
  <c r="W102" i="2" s="1"/>
  <c r="T812" i="2"/>
  <c r="T473" i="2"/>
  <c r="T329" i="2"/>
  <c r="T185" i="2"/>
  <c r="W185" i="2" s="1"/>
  <c r="T41" i="2"/>
  <c r="W41" i="2" s="1"/>
  <c r="T620" i="2"/>
  <c r="W620" i="2" s="1"/>
  <c r="AT620" i="2" s="1"/>
  <c r="T688" i="2"/>
  <c r="T544" i="2"/>
  <c r="T400" i="2"/>
  <c r="T256" i="2"/>
  <c r="T112" i="2"/>
  <c r="W112" i="2" s="1"/>
  <c r="T822" i="2"/>
  <c r="W822" i="2" s="1"/>
  <c r="AT822" i="2" s="1"/>
  <c r="T759" i="2"/>
  <c r="W759" i="2" s="1"/>
  <c r="AT759" i="2" s="1"/>
  <c r="T615" i="2"/>
  <c r="W615" i="2" s="1"/>
  <c r="T471" i="2"/>
  <c r="T327" i="2"/>
  <c r="T183" i="2"/>
  <c r="W183" i="2" s="1"/>
  <c r="T39" i="2"/>
  <c r="W39" i="2" s="1"/>
  <c r="T572" i="2"/>
  <c r="T746" i="2"/>
  <c r="W746" i="2" s="1"/>
  <c r="T602" i="2"/>
  <c r="T458" i="2"/>
  <c r="T314" i="2"/>
  <c r="T170" i="2"/>
  <c r="W170" i="2" s="1"/>
  <c r="T26" i="2"/>
  <c r="W26" i="2" s="1"/>
  <c r="T428" i="2"/>
  <c r="T721" i="2"/>
  <c r="W721" i="2" s="1"/>
  <c r="AT721" i="2" s="1"/>
  <c r="T577" i="2"/>
  <c r="T433" i="2"/>
  <c r="T289" i="2"/>
  <c r="T145" i="2"/>
  <c r="W145" i="2" s="1"/>
  <c r="T855" i="2"/>
  <c r="T212" i="2"/>
  <c r="W212" i="2" s="1"/>
  <c r="AC212" i="2" s="1"/>
  <c r="T684" i="2"/>
  <c r="T540" i="2"/>
  <c r="T396" i="2"/>
  <c r="T252" i="2"/>
  <c r="T108" i="2"/>
  <c r="W108" i="2" s="1"/>
  <c r="T818" i="2"/>
  <c r="W818" i="2" s="1"/>
  <c r="T755" i="2"/>
  <c r="W755" i="2" s="1"/>
  <c r="AT755" i="2" s="1"/>
  <c r="T611" i="2"/>
  <c r="W611" i="2" s="1"/>
  <c r="AT611" i="2" s="1"/>
  <c r="T467" i="2"/>
  <c r="T323" i="2"/>
  <c r="T179" i="2"/>
  <c r="W179" i="2" s="1"/>
  <c r="T35" i="2"/>
  <c r="W35" i="2" s="1"/>
  <c r="T608" i="2"/>
  <c r="T682" i="2"/>
  <c r="T538" i="2"/>
  <c r="T394" i="2"/>
  <c r="T250" i="2"/>
  <c r="T106" i="2"/>
  <c r="W106" i="2" s="1"/>
  <c r="T816" i="2"/>
  <c r="T539" i="2"/>
  <c r="T817" i="2"/>
  <c r="T34" i="2"/>
  <c r="W34" i="2" s="1"/>
  <c r="T144" i="2"/>
  <c r="W144" i="2" s="1"/>
  <c r="T59" i="2"/>
  <c r="W59" i="2" s="1"/>
  <c r="T629" i="2"/>
  <c r="T53" i="2"/>
  <c r="W53" i="2" s="1"/>
  <c r="T614" i="2"/>
  <c r="W614" i="2" s="1"/>
  <c r="AT614" i="2" s="1"/>
  <c r="T445" i="2"/>
  <c r="T623" i="2"/>
  <c r="W623" i="2" s="1"/>
  <c r="T301" i="2"/>
  <c r="T479" i="2"/>
  <c r="T157" i="2"/>
  <c r="W157" i="2" s="1"/>
  <c r="T335" i="2"/>
  <c r="T13" i="2"/>
  <c r="W13" i="2" s="1"/>
  <c r="T191" i="2"/>
  <c r="W191" i="2" s="1"/>
  <c r="T828" i="2"/>
  <c r="T320" i="2"/>
  <c r="T47" i="2"/>
  <c r="W47" i="2" s="1"/>
  <c r="T696" i="2"/>
  <c r="W696" i="2" s="1"/>
  <c r="T728" i="2"/>
  <c r="W728" i="2" s="1"/>
  <c r="AT728" i="2" s="1"/>
  <c r="T552" i="2"/>
  <c r="T694" i="2"/>
  <c r="W694" i="2" s="1"/>
  <c r="AT694" i="2" s="1"/>
  <c r="T408" i="2"/>
  <c r="T550" i="2"/>
  <c r="T264" i="2"/>
  <c r="T406" i="2"/>
  <c r="T120" i="2"/>
  <c r="W120" i="2" s="1"/>
  <c r="T262" i="2"/>
  <c r="T830" i="2"/>
  <c r="T118" i="2"/>
  <c r="W118" i="2" s="1"/>
  <c r="T569" i="2"/>
  <c r="Y763" i="2"/>
  <c r="Y705" i="2"/>
  <c r="Y738" i="2"/>
  <c r="Y857" i="2"/>
  <c r="Y854" i="2"/>
  <c r="Y851" i="2"/>
  <c r="Y813" i="2"/>
  <c r="Y846" i="2"/>
  <c r="Y845" i="2"/>
  <c r="Y842" i="2"/>
  <c r="Y839" i="2"/>
  <c r="Y860" i="2"/>
  <c r="Y834" i="2"/>
  <c r="Y821" i="2"/>
  <c r="Y830" i="2"/>
  <c r="Y827" i="2"/>
  <c r="Y848" i="2"/>
  <c r="Y822" i="2"/>
  <c r="Y856" i="2"/>
  <c r="Y818" i="2"/>
  <c r="Y815" i="2"/>
  <c r="Y836" i="2"/>
  <c r="Y810" i="2"/>
  <c r="Y844" i="2"/>
  <c r="Y853" i="2"/>
  <c r="Y850" i="2"/>
  <c r="Y824" i="2"/>
  <c r="Y832" i="2"/>
  <c r="Y841" i="2"/>
  <c r="Y838" i="2"/>
  <c r="Y812" i="2"/>
  <c r="Y820" i="2"/>
  <c r="Y829" i="2"/>
  <c r="Y826" i="2"/>
  <c r="Y859" i="2"/>
  <c r="Y833" i="2"/>
  <c r="Y817" i="2"/>
  <c r="Y814" i="2"/>
  <c r="Y847" i="2"/>
  <c r="Y855" i="2"/>
  <c r="Y852" i="2"/>
  <c r="Y861" i="2"/>
  <c r="Y835" i="2"/>
  <c r="Y843" i="2"/>
  <c r="Y840" i="2"/>
  <c r="Y849" i="2"/>
  <c r="Y823" i="2"/>
  <c r="Y831" i="2"/>
  <c r="Y828" i="2"/>
  <c r="Y837" i="2"/>
  <c r="Y811" i="2"/>
  <c r="Y819" i="2"/>
  <c r="Y816" i="2"/>
  <c r="Y825" i="2"/>
  <c r="Y858" i="2"/>
  <c r="Y808" i="2"/>
  <c r="Y790" i="2"/>
  <c r="Y807" i="2"/>
  <c r="Y796" i="2"/>
  <c r="Y801" i="2"/>
  <c r="Y789" i="2"/>
  <c r="Y802" i="2"/>
  <c r="Y794" i="2"/>
  <c r="Y800" i="2"/>
  <c r="Y805" i="2"/>
  <c r="Y788" i="2"/>
  <c r="Y793" i="2"/>
  <c r="Y799" i="2"/>
  <c r="Y809" i="2"/>
  <c r="Y804" i="2"/>
  <c r="Y787" i="2"/>
  <c r="Y803" i="2"/>
  <c r="Y792" i="2"/>
  <c r="Y798" i="2"/>
  <c r="Y806" i="2"/>
  <c r="Y797" i="2"/>
  <c r="Y791" i="2"/>
  <c r="Y648" i="2"/>
  <c r="T911" i="2"/>
  <c r="T899" i="2"/>
  <c r="W899" i="2" s="1"/>
  <c r="AT899" i="2" s="1"/>
  <c r="T887" i="2"/>
  <c r="T875" i="2"/>
  <c r="T871" i="2"/>
  <c r="W871" i="2" s="1"/>
  <c r="AT871" i="2" s="1"/>
  <c r="T864" i="2"/>
  <c r="W864" i="2" s="1"/>
  <c r="AT864" i="2" s="1"/>
  <c r="T920" i="2"/>
  <c r="T908" i="2"/>
  <c r="W908" i="2" s="1"/>
  <c r="AT908" i="2" s="1"/>
  <c r="T896" i="2"/>
  <c r="T884" i="2"/>
  <c r="W884" i="2" s="1"/>
  <c r="AT884" i="2" s="1"/>
  <c r="T909" i="2"/>
  <c r="W909" i="2" s="1"/>
  <c r="AT909" i="2" s="1"/>
  <c r="T928" i="2"/>
  <c r="Y962" i="2"/>
  <c r="Y915" i="2"/>
  <c r="Y880" i="2"/>
  <c r="Y881" i="2"/>
  <c r="Y895" i="2"/>
  <c r="Y896" i="2"/>
  <c r="Y909" i="2"/>
  <c r="Y970" i="2"/>
  <c r="Y959" i="2"/>
  <c r="Y930" i="2"/>
  <c r="Y984" i="2"/>
  <c r="Y957" i="2"/>
  <c r="T996" i="2"/>
  <c r="T932" i="2"/>
  <c r="T933" i="2"/>
  <c r="T948" i="2"/>
  <c r="T919" i="2"/>
  <c r="W919" i="2" s="1"/>
  <c r="AT919" i="2" s="1"/>
  <c r="T918" i="2"/>
  <c r="W918" i="2" s="1"/>
  <c r="AT918" i="2" s="1"/>
  <c r="T895" i="2"/>
  <c r="T952" i="2"/>
  <c r="T954" i="2"/>
  <c r="T944" i="2"/>
  <c r="T872" i="2"/>
  <c r="W872" i="2" s="1"/>
  <c r="T926" i="2"/>
  <c r="Y891" i="2"/>
  <c r="Y975" i="2"/>
  <c r="Y892" i="2"/>
  <c r="Y893" i="2"/>
  <c r="Y907" i="2"/>
  <c r="Y908" i="2"/>
  <c r="Y921" i="2"/>
  <c r="Y982" i="2"/>
  <c r="Y971" i="2"/>
  <c r="Y993" i="2"/>
  <c r="Y996" i="2"/>
  <c r="T975" i="2"/>
  <c r="T987" i="2"/>
  <c r="T1000" i="2"/>
  <c r="T937" i="2"/>
  <c r="T961" i="2"/>
  <c r="T973" i="2"/>
  <c r="T906" i="2"/>
  <c r="W906" i="2" s="1"/>
  <c r="AT906" i="2" s="1"/>
  <c r="T890" i="2"/>
  <c r="T874" i="2"/>
  <c r="W874" i="2" s="1"/>
  <c r="AT874" i="2" s="1"/>
  <c r="T905" i="2"/>
  <c r="W905" i="2" s="1"/>
  <c r="AT905" i="2" s="1"/>
  <c r="T968" i="2"/>
  <c r="T893" i="2"/>
  <c r="W893" i="2" s="1"/>
  <c r="AT893" i="2" s="1"/>
  <c r="Y951" i="2"/>
  <c r="Y965" i="2"/>
  <c r="Y904" i="2"/>
  <c r="Y905" i="2"/>
  <c r="Y919" i="2"/>
  <c r="Y920" i="2"/>
  <c r="Y933" i="2"/>
  <c r="Y994" i="2"/>
  <c r="Y983" i="2"/>
  <c r="Y864" i="2"/>
  <c r="Y889" i="2"/>
  <c r="T978" i="2"/>
  <c r="T990" i="2"/>
  <c r="T927" i="2"/>
  <c r="T941" i="2"/>
  <c r="T988" i="2"/>
  <c r="T953" i="2"/>
  <c r="T985" i="2"/>
  <c r="T894" i="2"/>
  <c r="W894" i="2" s="1"/>
  <c r="AT894" i="2" s="1"/>
  <c r="T882" i="2"/>
  <c r="T870" i="2"/>
  <c r="W870" i="2" s="1"/>
  <c r="AT870" i="2" s="1"/>
  <c r="T897" i="2"/>
  <c r="W897" i="2" s="1"/>
  <c r="AT897" i="2" s="1"/>
  <c r="T878" i="2"/>
  <c r="W878" i="2" s="1"/>
  <c r="AT878" i="2" s="1"/>
  <c r="Y988" i="2"/>
  <c r="Y918" i="2"/>
  <c r="Y916" i="2"/>
  <c r="Y917" i="2"/>
  <c r="Y931" i="2"/>
  <c r="Y932" i="2"/>
  <c r="Y862" i="2"/>
  <c r="Y966" i="2"/>
  <c r="Y995" i="2"/>
  <c r="Y876" i="2"/>
  <c r="Y913" i="2"/>
  <c r="T992" i="2"/>
  <c r="T930" i="2"/>
  <c r="T958" i="2"/>
  <c r="T982" i="2"/>
  <c r="T955" i="2"/>
  <c r="T967" i="2"/>
  <c r="T965" i="2"/>
  <c r="T998" i="2"/>
  <c r="T921" i="2"/>
  <c r="T936" i="2"/>
  <c r="T863" i="2"/>
  <c r="W863" i="2" s="1"/>
  <c r="AT863" i="2" s="1"/>
  <c r="T885" i="2"/>
  <c r="Y906" i="2"/>
  <c r="Y981" i="2"/>
  <c r="Y928" i="2"/>
  <c r="Y929" i="2"/>
  <c r="Y943" i="2"/>
  <c r="Y944" i="2"/>
  <c r="Y874" i="2"/>
  <c r="Y863" i="2"/>
  <c r="Y925" i="2"/>
  <c r="Y888" i="2"/>
  <c r="Y949" i="2"/>
  <c r="T995" i="2"/>
  <c r="T947" i="2"/>
  <c r="T997" i="2"/>
  <c r="T945" i="2"/>
  <c r="T929" i="2"/>
  <c r="T943" i="2"/>
  <c r="T979" i="2"/>
  <c r="T977" i="2"/>
  <c r="T989" i="2"/>
  <c r="T925" i="2"/>
  <c r="T951" i="2"/>
  <c r="T907" i="2"/>
  <c r="W907" i="2" s="1"/>
  <c r="AT907" i="2" s="1"/>
  <c r="Y945" i="2"/>
  <c r="Y867" i="2"/>
  <c r="Y940" i="2"/>
  <c r="Y941" i="2"/>
  <c r="Y955" i="2"/>
  <c r="Y956" i="2"/>
  <c r="Y886" i="2"/>
  <c r="Y875" i="2"/>
  <c r="Y961" i="2"/>
  <c r="Y900" i="2"/>
  <c r="Y985" i="2"/>
  <c r="T971" i="2"/>
  <c r="T949" i="2"/>
  <c r="T946" i="2"/>
  <c r="T924" i="2"/>
  <c r="T974" i="2"/>
  <c r="T976" i="2"/>
  <c r="T957" i="2"/>
  <c r="T991" i="2"/>
  <c r="T942" i="2"/>
  <c r="T956" i="2"/>
  <c r="T984" i="2"/>
  <c r="Y865" i="2"/>
  <c r="Y866" i="2"/>
  <c r="Y879" i="2"/>
  <c r="Y952" i="2"/>
  <c r="Y953" i="2"/>
  <c r="Y967" i="2"/>
  <c r="Y968" i="2"/>
  <c r="Y898" i="2"/>
  <c r="Y887" i="2"/>
  <c r="Y997" i="2"/>
  <c r="Y912" i="2"/>
  <c r="Y926" i="2"/>
  <c r="T939" i="2"/>
  <c r="T983" i="2"/>
  <c r="T964" i="2"/>
  <c r="T935" i="2"/>
  <c r="T986" i="2"/>
  <c r="T922" i="2"/>
  <c r="T960" i="2"/>
  <c r="T969" i="2"/>
  <c r="T981" i="2"/>
  <c r="T993" i="2"/>
  <c r="T931" i="2"/>
  <c r="Y877" i="2"/>
  <c r="Y878" i="2"/>
  <c r="Y939" i="2"/>
  <c r="Y964" i="2"/>
  <c r="Y977" i="2"/>
  <c r="Y979" i="2"/>
  <c r="Y980" i="2"/>
  <c r="Y910" i="2"/>
  <c r="Y899" i="2"/>
  <c r="Y950" i="2"/>
  <c r="Y924" i="2"/>
  <c r="Y974" i="2"/>
  <c r="T881" i="2"/>
  <c r="W881" i="2" s="1"/>
  <c r="AT881" i="2" s="1"/>
  <c r="T869" i="2"/>
  <c r="T903" i="2"/>
  <c r="W903" i="2" s="1"/>
  <c r="AT903" i="2" s="1"/>
  <c r="T891" i="2"/>
  <c r="W891" i="2" s="1"/>
  <c r="AT891" i="2" s="1"/>
  <c r="T962" i="2"/>
  <c r="T959" i="2"/>
  <c r="T999" i="2"/>
  <c r="T938" i="2"/>
  <c r="T923" i="2"/>
  <c r="T972" i="2"/>
  <c r="T963" i="2"/>
  <c r="Y901" i="2"/>
  <c r="Y890" i="2"/>
  <c r="Y999" i="2"/>
  <c r="Y976" i="2"/>
  <c r="Y942" i="2"/>
  <c r="Y991" i="2"/>
  <c r="Y969" i="2"/>
  <c r="Y922" i="2"/>
  <c r="Y911" i="2"/>
  <c r="Y998" i="2"/>
  <c r="Y936" i="2"/>
  <c r="Y903" i="2"/>
  <c r="T866" i="2"/>
  <c r="W866" i="2" s="1"/>
  <c r="AT866" i="2" s="1"/>
  <c r="T915" i="2"/>
  <c r="W915" i="2" s="1"/>
  <c r="AT915" i="2" s="1"/>
  <c r="T888" i="2"/>
  <c r="T913" i="2"/>
  <c r="W913" i="2" s="1"/>
  <c r="AT913" i="2" s="1"/>
  <c r="T916" i="2"/>
  <c r="W916" i="2" s="1"/>
  <c r="AT916" i="2" s="1"/>
  <c r="T904" i="2"/>
  <c r="W904" i="2" s="1"/>
  <c r="AT904" i="2" s="1"/>
  <c r="T994" i="2"/>
  <c r="T950" i="2"/>
  <c r="T934" i="2"/>
  <c r="T940" i="2"/>
  <c r="T966" i="2"/>
  <c r="Y937" i="2"/>
  <c r="Y902" i="2"/>
  <c r="Y882" i="2"/>
  <c r="Y870" i="2"/>
  <c r="Y978" i="2"/>
  <c r="Y992" i="2"/>
  <c r="Y873" i="2"/>
  <c r="Y934" i="2"/>
  <c r="Y923" i="2"/>
  <c r="Y927" i="2"/>
  <c r="Y948" i="2"/>
  <c r="Y963" i="2"/>
  <c r="T912" i="2"/>
  <c r="T900" i="2"/>
  <c r="W900" i="2" s="1"/>
  <c r="AT900" i="2" s="1"/>
  <c r="T898" i="2"/>
  <c r="W898" i="2" s="1"/>
  <c r="AT898" i="2" s="1"/>
  <c r="T876" i="2"/>
  <c r="T879" i="2"/>
  <c r="W879" i="2" s="1"/>
  <c r="AT879" i="2" s="1"/>
  <c r="T867" i="2"/>
  <c r="T892" i="2"/>
  <c r="W892" i="2" s="1"/>
  <c r="AT892" i="2" s="1"/>
  <c r="T880" i="2"/>
  <c r="W880" i="2" s="1"/>
  <c r="AT880" i="2" s="1"/>
  <c r="T868" i="2"/>
  <c r="T917" i="2"/>
  <c r="T980" i="2"/>
  <c r="Y973" i="2"/>
  <c r="Y938" i="2"/>
  <c r="Y990" i="2"/>
  <c r="Y954" i="2"/>
  <c r="Y871" i="2"/>
  <c r="Y872" i="2"/>
  <c r="Y885" i="2"/>
  <c r="Y946" i="2"/>
  <c r="Y935" i="2"/>
  <c r="Y987" i="2"/>
  <c r="Y960" i="2"/>
  <c r="Y1000" i="2"/>
  <c r="T873" i="2"/>
  <c r="T910" i="2"/>
  <c r="T883" i="2"/>
  <c r="W883" i="2" s="1"/>
  <c r="AT883" i="2" s="1"/>
  <c r="T886" i="2"/>
  <c r="W886" i="2" s="1"/>
  <c r="AT886" i="2" s="1"/>
  <c r="T901" i="2"/>
  <c r="T889" i="2"/>
  <c r="W889" i="2" s="1"/>
  <c r="AT889" i="2" s="1"/>
  <c r="T877" i="2"/>
  <c r="W877" i="2" s="1"/>
  <c r="AT877" i="2" s="1"/>
  <c r="T865" i="2"/>
  <c r="W865" i="2" s="1"/>
  <c r="T914" i="2"/>
  <c r="T902" i="2"/>
  <c r="T970" i="2"/>
  <c r="Y914" i="2"/>
  <c r="Y986" i="2"/>
  <c r="Y868" i="2"/>
  <c r="Y869" i="2"/>
  <c r="Y883" i="2"/>
  <c r="Y884" i="2"/>
  <c r="Y897" i="2"/>
  <c r="Y958" i="2"/>
  <c r="Y947" i="2"/>
  <c r="Y989" i="2"/>
  <c r="Y972" i="2"/>
  <c r="Y894" i="2"/>
  <c r="Y651" i="2"/>
  <c r="Y782" i="2"/>
  <c r="Y761" i="2"/>
  <c r="Y759" i="2"/>
  <c r="Y769" i="2"/>
  <c r="Y785" i="2"/>
  <c r="Y780" i="2"/>
  <c r="Y773" i="2"/>
  <c r="Y771" i="2"/>
  <c r="Y758" i="2"/>
  <c r="Y768" i="2"/>
  <c r="Y760" i="2"/>
  <c r="Y770" i="2"/>
  <c r="Y779" i="2"/>
  <c r="Y781" i="2"/>
  <c r="Y766" i="2"/>
  <c r="Y767" i="2"/>
  <c r="Y777" i="2"/>
  <c r="Y764" i="2"/>
  <c r="Y778" i="2"/>
  <c r="Y765" i="2"/>
  <c r="Y775" i="2"/>
  <c r="Y776" i="2"/>
  <c r="Y762" i="2"/>
  <c r="Y772" i="2"/>
  <c r="Y774" i="2"/>
  <c r="Y783" i="2"/>
  <c r="Y786" i="2"/>
  <c r="Y784" i="2"/>
  <c r="Y749" i="2"/>
  <c r="Y751" i="2"/>
  <c r="Y756" i="2"/>
  <c r="Y741" i="2"/>
  <c r="Y747" i="2"/>
  <c r="Y737" i="2"/>
  <c r="Y730" i="2"/>
  <c r="Y734" i="2"/>
  <c r="Y743" i="2"/>
  <c r="Y733" i="2"/>
  <c r="Y729" i="2"/>
  <c r="Y754" i="2"/>
  <c r="Y757" i="2"/>
  <c r="Y745" i="2"/>
  <c r="Y750" i="2"/>
  <c r="Y736" i="2"/>
  <c r="Y753" i="2"/>
  <c r="Y732" i="2"/>
  <c r="Y746" i="2"/>
  <c r="Y742" i="2"/>
  <c r="Y728" i="2"/>
  <c r="Y731" i="2"/>
  <c r="Y735" i="2"/>
  <c r="Y752" i="2"/>
  <c r="Y748" i="2"/>
  <c r="Y727" i="2"/>
  <c r="Y744" i="2"/>
  <c r="Y755" i="2"/>
  <c r="Y740" i="2"/>
  <c r="Y739" i="2"/>
  <c r="Y516" i="2"/>
  <c r="Y497" i="2"/>
  <c r="Y701" i="2"/>
  <c r="Y716" i="2"/>
  <c r="Y712" i="2"/>
  <c r="Y718" i="2"/>
  <c r="Y680" i="2"/>
  <c r="Y706" i="2"/>
  <c r="Y708" i="2"/>
  <c r="Y697" i="2"/>
  <c r="Y702" i="2"/>
  <c r="Y722" i="2"/>
  <c r="Y723" i="2"/>
  <c r="Y709" i="2"/>
  <c r="Y684" i="2"/>
  <c r="Y693" i="2"/>
  <c r="Y698" i="2"/>
  <c r="Y714" i="2"/>
  <c r="Y719" i="2"/>
  <c r="Y689" i="2"/>
  <c r="Y694" i="2"/>
  <c r="Y703" i="2"/>
  <c r="Y715" i="2"/>
  <c r="Y685" i="2"/>
  <c r="Y690" i="2"/>
  <c r="Y699" i="2"/>
  <c r="Y711" i="2"/>
  <c r="Y681" i="2"/>
  <c r="Y686" i="2"/>
  <c r="Y695" i="2"/>
  <c r="Y707" i="2"/>
  <c r="Y677" i="2"/>
  <c r="Y682" i="2"/>
  <c r="Y691" i="2"/>
  <c r="Y725" i="2"/>
  <c r="Y678" i="2"/>
  <c r="Y687" i="2"/>
  <c r="Y700" i="2"/>
  <c r="Y721" i="2"/>
  <c r="Y720" i="2"/>
  <c r="Y683" i="2"/>
  <c r="Y696" i="2"/>
  <c r="Y717" i="2"/>
  <c r="Y726" i="2"/>
  <c r="Y679" i="2"/>
  <c r="Y692" i="2"/>
  <c r="Y713" i="2"/>
  <c r="Y710" i="2"/>
  <c r="Y724" i="2"/>
  <c r="Y688" i="2"/>
  <c r="Y617" i="2"/>
  <c r="Y507" i="2"/>
  <c r="Y673" i="2"/>
  <c r="Y642" i="2"/>
  <c r="Y674" i="2"/>
  <c r="Y639" i="2"/>
  <c r="Y616" i="2"/>
  <c r="Y637" i="2"/>
  <c r="Y669" i="2"/>
  <c r="Y638" i="2"/>
  <c r="Y670" i="2"/>
  <c r="Y635" i="2"/>
  <c r="Y612" i="2"/>
  <c r="Y625" i="2"/>
  <c r="Y633" i="2"/>
  <c r="Y665" i="2"/>
  <c r="Y634" i="2"/>
  <c r="Y666" i="2"/>
  <c r="Y631" i="2"/>
  <c r="Y608" i="2"/>
  <c r="Y676" i="2"/>
  <c r="Y661" i="2"/>
  <c r="Y630" i="2"/>
  <c r="Y662" i="2"/>
  <c r="Y627" i="2"/>
  <c r="Y604" i="2"/>
  <c r="Y672" i="2"/>
  <c r="Y657" i="2"/>
  <c r="Y626" i="2"/>
  <c r="Y658" i="2"/>
  <c r="Y623" i="2"/>
  <c r="Y629" i="2"/>
  <c r="Y668" i="2"/>
  <c r="Y659" i="2"/>
  <c r="Y653" i="2"/>
  <c r="Y622" i="2"/>
  <c r="Y654" i="2"/>
  <c r="Y619" i="2"/>
  <c r="Y644" i="2"/>
  <c r="Y664" i="2"/>
  <c r="Y624" i="2"/>
  <c r="Y614" i="2"/>
  <c r="Y618" i="2"/>
  <c r="Y615" i="2"/>
  <c r="Y675" i="2"/>
  <c r="Y640" i="2"/>
  <c r="Y660" i="2"/>
  <c r="Y647" i="2"/>
  <c r="Y610" i="2"/>
  <c r="Y641" i="2"/>
  <c r="Y611" i="2"/>
  <c r="Y671" i="2"/>
  <c r="Y636" i="2"/>
  <c r="Y656" i="2"/>
  <c r="Y609" i="2"/>
  <c r="Y606" i="2"/>
  <c r="Y649" i="2"/>
  <c r="Y607" i="2"/>
  <c r="Y667" i="2"/>
  <c r="Y632" i="2"/>
  <c r="Y652" i="2"/>
  <c r="Y602" i="2"/>
  <c r="Y650" i="2"/>
  <c r="Y603" i="2"/>
  <c r="Y663" i="2"/>
  <c r="Y613" i="2"/>
  <c r="Y645" i="2"/>
  <c r="Y646" i="2"/>
  <c r="Y621" i="2"/>
  <c r="Y643" i="2"/>
  <c r="Y655" i="2"/>
  <c r="Y620" i="2"/>
  <c r="Y605" i="2"/>
  <c r="Y598" i="2"/>
  <c r="Y589" i="2"/>
  <c r="Y591" i="2"/>
  <c r="Y599" i="2"/>
  <c r="Y595" i="2"/>
  <c r="Y590" i="2"/>
  <c r="Y600" i="2"/>
  <c r="Y596" i="2"/>
  <c r="Y601" i="2"/>
  <c r="Y592" i="2"/>
  <c r="Y597" i="2"/>
  <c r="Y593" i="2"/>
  <c r="Y594" i="2"/>
  <c r="Y435" i="2"/>
  <c r="Y519" i="2"/>
  <c r="Y208" i="2"/>
  <c r="Y210" i="2"/>
  <c r="Y212" i="2"/>
  <c r="Y214" i="2"/>
  <c r="Y216" i="2"/>
  <c r="Y218" i="2"/>
  <c r="Y220" i="2"/>
  <c r="Y222" i="2"/>
  <c r="Y224" i="2"/>
  <c r="Y226" i="2"/>
  <c r="Y228" i="2"/>
  <c r="Y230" i="2"/>
  <c r="Y232" i="2"/>
  <c r="Y234" i="2"/>
  <c r="Y236" i="2"/>
  <c r="Y238" i="2"/>
  <c r="Y240" i="2"/>
  <c r="Y244" i="2"/>
  <c r="Y247" i="2"/>
  <c r="Y251" i="2"/>
  <c r="Y255" i="2"/>
  <c r="Y259" i="2"/>
  <c r="Y263" i="2"/>
  <c r="Y267" i="2"/>
  <c r="Y271" i="2"/>
  <c r="Y275" i="2"/>
  <c r="Y279" i="2"/>
  <c r="Y283" i="2"/>
  <c r="Y287" i="2"/>
  <c r="Y291" i="2"/>
  <c r="Y295" i="2"/>
  <c r="Y299" i="2"/>
  <c r="Y303" i="2"/>
  <c r="Y307" i="2"/>
  <c r="Y311" i="2"/>
  <c r="Y315" i="2"/>
  <c r="Y319" i="2"/>
  <c r="Y323" i="2"/>
  <c r="Y439" i="2"/>
  <c r="Y443" i="2"/>
  <c r="Y447" i="2"/>
  <c r="Y451" i="2"/>
  <c r="Y455" i="2"/>
  <c r="Y459" i="2"/>
  <c r="Y463" i="2"/>
  <c r="Y467" i="2"/>
  <c r="Y471" i="2"/>
  <c r="Y475" i="2"/>
  <c r="Y479" i="2"/>
  <c r="Y483" i="2"/>
  <c r="Y487" i="2"/>
  <c r="Y491" i="2"/>
  <c r="Y495" i="2"/>
  <c r="Y518" i="2"/>
  <c r="Y330" i="2"/>
  <c r="Y334" i="2"/>
  <c r="Y338" i="2"/>
  <c r="Y342" i="2"/>
  <c r="Y346" i="2"/>
  <c r="Y350" i="2"/>
  <c r="Y354" i="2"/>
  <c r="Y358" i="2"/>
  <c r="Y362" i="2"/>
  <c r="Y366" i="2"/>
  <c r="Y370" i="2"/>
  <c r="Y374" i="2"/>
  <c r="Y378" i="2"/>
  <c r="Y382" i="2"/>
  <c r="Y386" i="2"/>
  <c r="Y390" i="2"/>
  <c r="Y394" i="2"/>
  <c r="Y398" i="2"/>
  <c r="Y402" i="2"/>
  <c r="Y406" i="2"/>
  <c r="Y410" i="2"/>
  <c r="Y414" i="2"/>
  <c r="Y418" i="2"/>
  <c r="Y422" i="2"/>
  <c r="Y426" i="2"/>
  <c r="Y430" i="2"/>
  <c r="Y434" i="2"/>
  <c r="Y509" i="2"/>
  <c r="Y513" i="2"/>
  <c r="Y556" i="2"/>
  <c r="Y560" i="2"/>
  <c r="Y564" i="2"/>
  <c r="Y568" i="2"/>
  <c r="Y572" i="2"/>
  <c r="Y576" i="2"/>
  <c r="Y580" i="2"/>
  <c r="Y584" i="2"/>
  <c r="Y588" i="2"/>
  <c r="Y209" i="2"/>
  <c r="Y211" i="2"/>
  <c r="Y213" i="2"/>
  <c r="Y215" i="2"/>
  <c r="Y217" i="2"/>
  <c r="Y219" i="2"/>
  <c r="Y221" i="2"/>
  <c r="Y223" i="2"/>
  <c r="Y225" i="2"/>
  <c r="Y227" i="2"/>
  <c r="Y229" i="2"/>
  <c r="Y231" i="2"/>
  <c r="Y233" i="2"/>
  <c r="Y235" i="2"/>
  <c r="Y237" i="2"/>
  <c r="Y239" i="2"/>
  <c r="Y242" i="2"/>
  <c r="Y245" i="2"/>
  <c r="Y249" i="2"/>
  <c r="Y253" i="2"/>
  <c r="Y257" i="2"/>
  <c r="Y261" i="2"/>
  <c r="Y265" i="2"/>
  <c r="Y269" i="2"/>
  <c r="Y273" i="2"/>
  <c r="Y277" i="2"/>
  <c r="Y281" i="2"/>
  <c r="Y285" i="2"/>
  <c r="Y289" i="2"/>
  <c r="Y293" i="2"/>
  <c r="Y297" i="2"/>
  <c r="Y301" i="2"/>
  <c r="Y305" i="2"/>
  <c r="Y309" i="2"/>
  <c r="Y313" i="2"/>
  <c r="Y317" i="2"/>
  <c r="Y321" i="2"/>
  <c r="Y325" i="2"/>
  <c r="Y437" i="2"/>
  <c r="Y441" i="2"/>
  <c r="Y445" i="2"/>
  <c r="Y449" i="2"/>
  <c r="Y453" i="2"/>
  <c r="Y457" i="2"/>
  <c r="Y461" i="2"/>
  <c r="Y465" i="2"/>
  <c r="Y469" i="2"/>
  <c r="Y473" i="2"/>
  <c r="Y477" i="2"/>
  <c r="Y481" i="2"/>
  <c r="Y485" i="2"/>
  <c r="Y489" i="2"/>
  <c r="Y493" i="2"/>
  <c r="AK252" i="17"/>
  <c r="AJ252" i="17"/>
  <c r="AK260" i="17"/>
  <c r="AJ260" i="17"/>
  <c r="AK268" i="17"/>
  <c r="AJ268" i="17"/>
  <c r="AK276" i="17"/>
  <c r="AJ276" i="17"/>
  <c r="AK288" i="17"/>
  <c r="AJ288" i="17"/>
  <c r="AK300" i="17"/>
  <c r="AJ300" i="17"/>
  <c r="AK308" i="17"/>
  <c r="AJ308" i="17"/>
  <c r="AK316" i="17"/>
  <c r="AJ316" i="17"/>
  <c r="AK324" i="17"/>
  <c r="AJ324" i="17"/>
  <c r="AK444" i="17"/>
  <c r="AJ444" i="17"/>
  <c r="AK452" i="17"/>
  <c r="AJ452" i="17"/>
  <c r="AJ464" i="17"/>
  <c r="AK464" i="17"/>
  <c r="AK468" i="17"/>
  <c r="AJ468" i="17"/>
  <c r="AK480" i="17"/>
  <c r="AJ480" i="17"/>
  <c r="AK488" i="17"/>
  <c r="AJ488" i="17"/>
  <c r="AK492" i="17"/>
  <c r="AJ492" i="17"/>
  <c r="AJ519" i="17"/>
  <c r="AK519" i="17"/>
  <c r="AK241" i="17"/>
  <c r="AJ241" i="17"/>
  <c r="AK248" i="17"/>
  <c r="AJ248" i="17"/>
  <c r="AK256" i="17"/>
  <c r="AJ256" i="17"/>
  <c r="AK264" i="17"/>
  <c r="AJ264" i="17"/>
  <c r="AK272" i="17"/>
  <c r="AJ272" i="17"/>
  <c r="AK280" i="17"/>
  <c r="AJ280" i="17"/>
  <c r="AK284" i="17"/>
  <c r="AJ284" i="17"/>
  <c r="AK292" i="17"/>
  <c r="AJ292" i="17"/>
  <c r="AK296" i="17"/>
  <c r="AJ296" i="17"/>
  <c r="AK304" i="17"/>
  <c r="AJ304" i="17"/>
  <c r="AK312" i="17"/>
  <c r="AJ312" i="17"/>
  <c r="AK320" i="17"/>
  <c r="AJ320" i="17"/>
  <c r="AK436" i="17"/>
  <c r="AJ436" i="17"/>
  <c r="AK440" i="17"/>
  <c r="AJ440" i="17"/>
  <c r="AK448" i="17"/>
  <c r="AJ448" i="17"/>
  <c r="AK456" i="17"/>
  <c r="AJ456" i="17"/>
  <c r="AK460" i="17"/>
  <c r="AJ460" i="17"/>
  <c r="AK472" i="17"/>
  <c r="AJ472" i="17"/>
  <c r="AJ476" i="17"/>
  <c r="AK476" i="17"/>
  <c r="AK484" i="17"/>
  <c r="AJ484" i="17"/>
  <c r="AK496" i="17"/>
  <c r="AJ496" i="17"/>
  <c r="AK328" i="17"/>
  <c r="AJ328" i="17"/>
  <c r="AK332" i="17"/>
  <c r="AJ332" i="17"/>
  <c r="AK336" i="17"/>
  <c r="AJ336" i="17"/>
  <c r="AK340" i="17"/>
  <c r="AJ340" i="17"/>
  <c r="AK344" i="17"/>
  <c r="AJ344" i="17"/>
  <c r="AK348" i="17"/>
  <c r="AJ348" i="17"/>
  <c r="AK352" i="17"/>
  <c r="AJ352" i="17"/>
  <c r="AK356" i="17"/>
  <c r="AJ356" i="17"/>
  <c r="AK360" i="17"/>
  <c r="AJ360" i="17"/>
  <c r="AK364" i="17"/>
  <c r="AJ364" i="17"/>
  <c r="AK368" i="17"/>
  <c r="AJ368" i="17"/>
  <c r="AK372" i="17"/>
  <c r="AJ372" i="17"/>
  <c r="AK376" i="17"/>
  <c r="AJ376" i="17"/>
  <c r="AK380" i="17"/>
  <c r="AJ380" i="17"/>
  <c r="AK384" i="17"/>
  <c r="AJ384" i="17"/>
  <c r="AK388" i="17"/>
  <c r="AJ388" i="17"/>
  <c r="AK392" i="17"/>
  <c r="AJ392" i="17"/>
  <c r="AK396" i="17"/>
  <c r="AJ396" i="17"/>
  <c r="AK400" i="17"/>
  <c r="AJ400" i="17"/>
  <c r="AK404" i="17"/>
  <c r="AJ404" i="17"/>
  <c r="AK408" i="17"/>
  <c r="AJ408" i="17"/>
  <c r="AK412" i="17"/>
  <c r="AJ412" i="17"/>
  <c r="AK416" i="17"/>
  <c r="AJ416" i="17"/>
  <c r="AK420" i="17"/>
  <c r="AJ420" i="17"/>
  <c r="AK424" i="17"/>
  <c r="AJ424" i="17"/>
  <c r="AK428" i="17"/>
  <c r="AJ428" i="17"/>
  <c r="AK432" i="17"/>
  <c r="AJ432" i="17"/>
  <c r="AK511" i="17"/>
  <c r="AJ511" i="17"/>
  <c r="AK515" i="17"/>
  <c r="AJ515" i="17"/>
  <c r="AK558" i="17"/>
  <c r="AJ558" i="17"/>
  <c r="AK562" i="17"/>
  <c r="AJ562" i="17"/>
  <c r="AK566" i="17"/>
  <c r="AJ566" i="17"/>
  <c r="AK570" i="17"/>
  <c r="AJ570" i="17"/>
  <c r="AJ574" i="17"/>
  <c r="AK574" i="17"/>
  <c r="AK578" i="17"/>
  <c r="AJ578" i="17"/>
  <c r="AK582" i="17"/>
  <c r="AJ582" i="17"/>
  <c r="AK586" i="17"/>
  <c r="AJ586" i="17"/>
  <c r="AK522" i="17"/>
  <c r="AJ522" i="17"/>
  <c r="AK542" i="17"/>
  <c r="AJ542" i="17"/>
  <c r="AJ554" i="17"/>
  <c r="AK554" i="17"/>
  <c r="AK259" i="17"/>
  <c r="AJ259" i="17"/>
  <c r="AK271" i="17"/>
  <c r="AJ271" i="17"/>
  <c r="AK299" i="17"/>
  <c r="AJ299" i="17"/>
  <c r="AK311" i="17"/>
  <c r="AJ311" i="17"/>
  <c r="AK319" i="17"/>
  <c r="AJ319" i="17"/>
  <c r="AK447" i="17"/>
  <c r="AJ447" i="17"/>
  <c r="AK455" i="17"/>
  <c r="AJ455" i="17"/>
  <c r="AK467" i="17"/>
  <c r="AJ467" i="17"/>
  <c r="AK471" i="17"/>
  <c r="AJ471" i="17"/>
  <c r="AK483" i="17"/>
  <c r="AJ483" i="17"/>
  <c r="AK491" i="17"/>
  <c r="AJ491" i="17"/>
  <c r="AK244" i="17"/>
  <c r="AJ244" i="17"/>
  <c r="AK251" i="17"/>
  <c r="AJ251" i="17"/>
  <c r="AK263" i="17"/>
  <c r="AJ263" i="17"/>
  <c r="AK275" i="17"/>
  <c r="AJ275" i="17"/>
  <c r="AK283" i="17"/>
  <c r="AJ283" i="17"/>
  <c r="AK295" i="17"/>
  <c r="AJ295" i="17"/>
  <c r="AK331" i="17"/>
  <c r="AJ331" i="17"/>
  <c r="AK335" i="17"/>
  <c r="AJ335" i="17"/>
  <c r="AK343" i="17"/>
  <c r="AJ343" i="17"/>
  <c r="AK351" i="17"/>
  <c r="AJ351" i="17"/>
  <c r="AK367" i="17"/>
  <c r="AJ367" i="17"/>
  <c r="AK375" i="17"/>
  <c r="AJ375" i="17"/>
  <c r="AK383" i="17"/>
  <c r="AJ383" i="17"/>
  <c r="AK391" i="17"/>
  <c r="AJ391" i="17"/>
  <c r="AK399" i="17"/>
  <c r="AJ399" i="17"/>
  <c r="AK403" i="17"/>
  <c r="AJ403" i="17"/>
  <c r="AK411" i="17"/>
  <c r="AJ411" i="17"/>
  <c r="AK415" i="17"/>
  <c r="AJ415" i="17"/>
  <c r="AK435" i="17"/>
  <c r="AJ435" i="17"/>
  <c r="AJ514" i="17"/>
  <c r="AK514" i="17"/>
  <c r="AK557" i="17"/>
  <c r="AJ557" i="17"/>
  <c r="AK569" i="17"/>
  <c r="AJ569" i="17"/>
  <c r="AK585" i="17"/>
  <c r="AJ585" i="17"/>
  <c r="AK499" i="17"/>
  <c r="AJ499" i="17"/>
  <c r="AJ538" i="17"/>
  <c r="AK538" i="17"/>
  <c r="AK247" i="17"/>
  <c r="AJ247" i="17"/>
  <c r="AK255" i="17"/>
  <c r="AJ255" i="17"/>
  <c r="AK267" i="17"/>
  <c r="AJ267" i="17"/>
  <c r="AK279" i="17"/>
  <c r="AJ279" i="17"/>
  <c r="AK287" i="17"/>
  <c r="AJ287" i="17"/>
  <c r="AK291" i="17"/>
  <c r="AJ291" i="17"/>
  <c r="AK303" i="17"/>
  <c r="AJ303" i="17"/>
  <c r="AK307" i="17"/>
  <c r="AJ307" i="17"/>
  <c r="AK315" i="17"/>
  <c r="AJ315" i="17"/>
  <c r="AK323" i="17"/>
  <c r="AJ323" i="17"/>
  <c r="AK439" i="17"/>
  <c r="AJ439" i="17"/>
  <c r="AK443" i="17"/>
  <c r="AJ443" i="17"/>
  <c r="AK451" i="17"/>
  <c r="AJ451" i="17"/>
  <c r="AK459" i="17"/>
  <c r="AJ459" i="17"/>
  <c r="AK463" i="17"/>
  <c r="AJ463" i="17"/>
  <c r="AK475" i="17"/>
  <c r="AJ475" i="17"/>
  <c r="AK479" i="17"/>
  <c r="AJ479" i="17"/>
  <c r="AK487" i="17"/>
  <c r="AJ487" i="17"/>
  <c r="AK495" i="17"/>
  <c r="AJ495" i="17"/>
  <c r="AK518" i="17"/>
  <c r="AJ518" i="17"/>
  <c r="AK327" i="17"/>
  <c r="AJ327" i="17"/>
  <c r="AK339" i="17"/>
  <c r="AJ339" i="17"/>
  <c r="AK347" i="17"/>
  <c r="AJ347" i="17"/>
  <c r="AK355" i="17"/>
  <c r="AJ355" i="17"/>
  <c r="AK359" i="17"/>
  <c r="AJ359" i="17"/>
  <c r="AK363" i="17"/>
  <c r="AJ363" i="17"/>
  <c r="AK371" i="17"/>
  <c r="AJ371" i="17"/>
  <c r="AK379" i="17"/>
  <c r="AJ379" i="17"/>
  <c r="AK387" i="17"/>
  <c r="AJ387" i="17"/>
  <c r="AK395" i="17"/>
  <c r="AJ395" i="17"/>
  <c r="AK407" i="17"/>
  <c r="AJ407" i="17"/>
  <c r="AK419" i="17"/>
  <c r="AJ419" i="17"/>
  <c r="AK423" i="17"/>
  <c r="AJ423" i="17"/>
  <c r="AK427" i="17"/>
  <c r="AJ427" i="17"/>
  <c r="AK431" i="17"/>
  <c r="AJ431" i="17"/>
  <c r="AK510" i="17"/>
  <c r="AJ510" i="17"/>
  <c r="AJ561" i="17"/>
  <c r="AK561" i="17"/>
  <c r="AK565" i="17"/>
  <c r="AJ565" i="17"/>
  <c r="AJ573" i="17"/>
  <c r="AK573" i="17"/>
  <c r="AK577" i="17"/>
  <c r="AJ577" i="17"/>
  <c r="AK581" i="17"/>
  <c r="AJ581" i="17"/>
  <c r="AK498" i="17"/>
  <c r="AJ498" i="17"/>
  <c r="AJ502" i="17"/>
  <c r="AK502" i="17"/>
  <c r="AK506" i="17"/>
  <c r="AJ506" i="17"/>
  <c r="AK521" i="17"/>
  <c r="AJ521" i="17"/>
  <c r="AJ525" i="17"/>
  <c r="AK525" i="17"/>
  <c r="AK529" i="17"/>
  <c r="AJ529" i="17"/>
  <c r="AK533" i="17"/>
  <c r="AJ533" i="17"/>
  <c r="AJ537" i="17"/>
  <c r="AK537" i="17"/>
  <c r="AK541" i="17"/>
  <c r="AJ541" i="17"/>
  <c r="AK545" i="17"/>
  <c r="AJ545" i="17"/>
  <c r="AJ549" i="17"/>
  <c r="AK549" i="17"/>
  <c r="AK553" i="17"/>
  <c r="AJ553" i="17"/>
  <c r="AK503" i="17"/>
  <c r="AJ503" i="17"/>
  <c r="AK534" i="17"/>
  <c r="AJ534" i="17"/>
  <c r="AK546" i="17"/>
  <c r="AJ546" i="17"/>
  <c r="AJ550" i="17"/>
  <c r="AK550" i="17"/>
  <c r="AK243" i="17"/>
  <c r="AJ243" i="17"/>
  <c r="AK246" i="17"/>
  <c r="AJ246" i="17"/>
  <c r="AK250" i="17"/>
  <c r="AJ250" i="17"/>
  <c r="AK254" i="17"/>
  <c r="AJ254" i="17"/>
  <c r="AK258" i="17"/>
  <c r="AJ258" i="17"/>
  <c r="AK262" i="17"/>
  <c r="AJ262" i="17"/>
  <c r="AK266" i="17"/>
  <c r="AJ266" i="17"/>
  <c r="AK270" i="17"/>
  <c r="AJ270" i="17"/>
  <c r="AK274" i="17"/>
  <c r="AJ274" i="17"/>
  <c r="AK278" i="17"/>
  <c r="AJ278" i="17"/>
  <c r="AK282" i="17"/>
  <c r="AJ282" i="17"/>
  <c r="AK286" i="17"/>
  <c r="AJ286" i="17"/>
  <c r="AK290" i="17"/>
  <c r="AJ290" i="17"/>
  <c r="AK294" i="17"/>
  <c r="AJ294" i="17"/>
  <c r="AK298" i="17"/>
  <c r="AJ298" i="17"/>
  <c r="AK302" i="17"/>
  <c r="AJ302" i="17"/>
  <c r="AK306" i="17"/>
  <c r="AJ306" i="17"/>
  <c r="AK310" i="17"/>
  <c r="AJ310" i="17"/>
  <c r="AK314" i="17"/>
  <c r="AJ314" i="17"/>
  <c r="AK318" i="17"/>
  <c r="AJ318" i="17"/>
  <c r="AK322" i="17"/>
  <c r="AJ322" i="17"/>
  <c r="AK326" i="17"/>
  <c r="AJ326" i="17"/>
  <c r="AK438" i="17"/>
  <c r="AJ438" i="17"/>
  <c r="AK442" i="17"/>
  <c r="AJ442" i="17"/>
  <c r="AK446" i="17"/>
  <c r="AJ446" i="17"/>
  <c r="AK450" i="17"/>
  <c r="AJ450" i="17"/>
  <c r="AK454" i="17"/>
  <c r="AJ454" i="17"/>
  <c r="AK458" i="17"/>
  <c r="AJ458" i="17"/>
  <c r="AK462" i="17"/>
  <c r="AJ462" i="17"/>
  <c r="AK466" i="17"/>
  <c r="AJ466" i="17"/>
  <c r="AK470" i="17"/>
  <c r="AJ470" i="17"/>
  <c r="AK474" i="17"/>
  <c r="AJ474" i="17"/>
  <c r="AK478" i="17"/>
  <c r="AJ478" i="17"/>
  <c r="AK482" i="17"/>
  <c r="AJ482" i="17"/>
  <c r="AK486" i="17"/>
  <c r="AJ486" i="17"/>
  <c r="AK490" i="17"/>
  <c r="AJ490" i="17"/>
  <c r="AJ494" i="17"/>
  <c r="AK494" i="17"/>
  <c r="AK517" i="17"/>
  <c r="AJ517" i="17"/>
  <c r="AK330" i="17"/>
  <c r="AJ330" i="17"/>
  <c r="AK334" i="17"/>
  <c r="AJ334" i="17"/>
  <c r="AK338" i="17"/>
  <c r="AJ338" i="17"/>
  <c r="AK342" i="17"/>
  <c r="AJ342" i="17"/>
  <c r="AK346" i="17"/>
  <c r="AJ346" i="17"/>
  <c r="AK350" i="17"/>
  <c r="AJ350" i="17"/>
  <c r="AK354" i="17"/>
  <c r="AJ354" i="17"/>
  <c r="AK358" i="17"/>
  <c r="AJ358" i="17"/>
  <c r="AK362" i="17"/>
  <c r="AJ362" i="17"/>
  <c r="AK366" i="17"/>
  <c r="AJ366" i="17"/>
  <c r="AK370" i="17"/>
  <c r="AJ370" i="17"/>
  <c r="AK374" i="17"/>
  <c r="AJ374" i="17"/>
  <c r="AK378" i="17"/>
  <c r="AJ378" i="17"/>
  <c r="AK382" i="17"/>
  <c r="AJ382" i="17"/>
  <c r="AK386" i="17"/>
  <c r="AJ386" i="17"/>
  <c r="AK390" i="17"/>
  <c r="AJ390" i="17"/>
  <c r="AK394" i="17"/>
  <c r="AJ394" i="17"/>
  <c r="AK398" i="17"/>
  <c r="AJ398" i="17"/>
  <c r="AK402" i="17"/>
  <c r="AJ402" i="17"/>
  <c r="AK406" i="17"/>
  <c r="AJ406" i="17"/>
  <c r="AK410" i="17"/>
  <c r="AJ410" i="17"/>
  <c r="AK414" i="17"/>
  <c r="AJ414" i="17"/>
  <c r="AK418" i="17"/>
  <c r="AJ418" i="17"/>
  <c r="AK422" i="17"/>
  <c r="AJ422" i="17"/>
  <c r="AK426" i="17"/>
  <c r="AJ426" i="17"/>
  <c r="AK430" i="17"/>
  <c r="AJ430" i="17"/>
  <c r="AK434" i="17"/>
  <c r="AJ434" i="17"/>
  <c r="AK509" i="17"/>
  <c r="AJ509" i="17"/>
  <c r="AJ513" i="17"/>
  <c r="AK513" i="17"/>
  <c r="AJ556" i="17"/>
  <c r="AK556" i="17"/>
  <c r="AK560" i="17"/>
  <c r="AJ560" i="17"/>
  <c r="AK564" i="17"/>
  <c r="AJ564" i="17"/>
  <c r="AJ568" i="17"/>
  <c r="AK568" i="17"/>
  <c r="AJ572" i="17"/>
  <c r="AK572" i="17"/>
  <c r="AK576" i="17"/>
  <c r="AJ576" i="17"/>
  <c r="AK580" i="17"/>
  <c r="AJ580" i="17"/>
  <c r="AK584" i="17"/>
  <c r="AJ584" i="17"/>
  <c r="AK588" i="17"/>
  <c r="AJ588" i="17"/>
  <c r="AK505" i="17"/>
  <c r="AJ505" i="17"/>
  <c r="AK528" i="17"/>
  <c r="AJ528" i="17"/>
  <c r="AJ548" i="17"/>
  <c r="AK548" i="17"/>
  <c r="AJ520" i="17"/>
  <c r="AK520" i="17"/>
  <c r="AJ532" i="17"/>
  <c r="AK532" i="17"/>
  <c r="AK540" i="17"/>
  <c r="AJ540" i="17"/>
  <c r="AK552" i="17"/>
  <c r="AJ552" i="17"/>
  <c r="AK242" i="17"/>
  <c r="AJ242" i="17"/>
  <c r="AK249" i="17"/>
  <c r="AJ249" i="17"/>
  <c r="AK253" i="17"/>
  <c r="AJ253" i="17"/>
  <c r="AK257" i="17"/>
  <c r="AJ257" i="17"/>
  <c r="AK261" i="17"/>
  <c r="AJ261" i="17"/>
  <c r="AK265" i="17"/>
  <c r="AJ265" i="17"/>
  <c r="AK269" i="17"/>
  <c r="AJ269" i="17"/>
  <c r="AK273" i="17"/>
  <c r="AJ273" i="17"/>
  <c r="AK277" i="17"/>
  <c r="AJ277" i="17"/>
  <c r="AK281" i="17"/>
  <c r="AJ281" i="17"/>
  <c r="AK285" i="17"/>
  <c r="AJ285" i="17"/>
  <c r="AK289" i="17"/>
  <c r="AJ289" i="17"/>
  <c r="AK293" i="17"/>
  <c r="AJ293" i="17"/>
  <c r="AK297" i="17"/>
  <c r="AJ297" i="17"/>
  <c r="AK301" i="17"/>
  <c r="AJ301" i="17"/>
  <c r="AK305" i="17"/>
  <c r="AJ305" i="17"/>
  <c r="AK309" i="17"/>
  <c r="AJ309" i="17"/>
  <c r="AK313" i="17"/>
  <c r="AJ313" i="17"/>
  <c r="AK317" i="17"/>
  <c r="AJ317" i="17"/>
  <c r="AK321" i="17"/>
  <c r="AJ321" i="17"/>
  <c r="AK325" i="17"/>
  <c r="AJ325" i="17"/>
  <c r="AK437" i="17"/>
  <c r="AJ437" i="17"/>
  <c r="AK441" i="17"/>
  <c r="AJ441" i="17"/>
  <c r="AK445" i="17"/>
  <c r="AJ445" i="17"/>
  <c r="AK449" i="17"/>
  <c r="AJ449" i="17"/>
  <c r="AK453" i="17"/>
  <c r="AJ453" i="17"/>
  <c r="AK457" i="17"/>
  <c r="AJ457" i="17"/>
  <c r="AK461" i="17"/>
  <c r="AJ461" i="17"/>
  <c r="AK465" i="17"/>
  <c r="AJ465" i="17"/>
  <c r="AK469" i="17"/>
  <c r="AJ469" i="17"/>
  <c r="AK473" i="17"/>
  <c r="AJ473" i="17"/>
  <c r="AK477" i="17"/>
  <c r="AJ477" i="17"/>
  <c r="AK481" i="17"/>
  <c r="AJ481" i="17"/>
  <c r="AK485" i="17"/>
  <c r="AJ485" i="17"/>
  <c r="AK489" i="17"/>
  <c r="AJ489" i="17"/>
  <c r="AK493" i="17"/>
  <c r="AJ493" i="17"/>
  <c r="AK497" i="17"/>
  <c r="AJ497" i="17"/>
  <c r="AJ526" i="17"/>
  <c r="AK526" i="17"/>
  <c r="AK329" i="17"/>
  <c r="AJ329" i="17"/>
  <c r="AK333" i="17"/>
  <c r="AJ333" i="17"/>
  <c r="AK337" i="17"/>
  <c r="AJ337" i="17"/>
  <c r="AK341" i="17"/>
  <c r="AJ341" i="17"/>
  <c r="AK345" i="17"/>
  <c r="AJ345" i="17"/>
  <c r="AK349" i="17"/>
  <c r="AJ349" i="17"/>
  <c r="AK353" i="17"/>
  <c r="AJ353" i="17"/>
  <c r="AK357" i="17"/>
  <c r="AJ357" i="17"/>
  <c r="AK361" i="17"/>
  <c r="AJ361" i="17"/>
  <c r="AK365" i="17"/>
  <c r="AJ365" i="17"/>
  <c r="AK369" i="17"/>
  <c r="AJ369" i="17"/>
  <c r="AK373" i="17"/>
  <c r="AJ373" i="17"/>
  <c r="AK377" i="17"/>
  <c r="AJ377" i="17"/>
  <c r="AK381" i="17"/>
  <c r="AJ381" i="17"/>
  <c r="AK385" i="17"/>
  <c r="AJ385" i="17"/>
  <c r="AK389" i="17"/>
  <c r="AJ389" i="17"/>
  <c r="AK393" i="17"/>
  <c r="AJ393" i="17"/>
  <c r="AK397" i="17"/>
  <c r="AJ397" i="17"/>
  <c r="AK401" i="17"/>
  <c r="AJ401" i="17"/>
  <c r="AK405" i="17"/>
  <c r="AJ405" i="17"/>
  <c r="AK409" i="17"/>
  <c r="AJ409" i="17"/>
  <c r="AK413" i="17"/>
  <c r="AJ413" i="17"/>
  <c r="AK417" i="17"/>
  <c r="AJ417" i="17"/>
  <c r="AK421" i="17"/>
  <c r="AJ421" i="17"/>
  <c r="AK425" i="17"/>
  <c r="AJ425" i="17"/>
  <c r="AK429" i="17"/>
  <c r="AJ429" i="17"/>
  <c r="AK433" i="17"/>
  <c r="AJ433" i="17"/>
  <c r="AK508" i="17"/>
  <c r="AJ508" i="17"/>
  <c r="AJ512" i="17"/>
  <c r="AK512" i="17"/>
  <c r="AK516" i="17"/>
  <c r="AJ516" i="17"/>
  <c r="AJ555" i="17"/>
  <c r="AK555" i="17"/>
  <c r="AK559" i="17"/>
  <c r="AJ559" i="17"/>
  <c r="AK563" i="17"/>
  <c r="AJ563" i="17"/>
  <c r="AK567" i="17"/>
  <c r="AJ567" i="17"/>
  <c r="AK571" i="17"/>
  <c r="AJ571" i="17"/>
  <c r="AK575" i="17"/>
  <c r="AJ575" i="17"/>
  <c r="AJ579" i="17"/>
  <c r="AK579" i="17"/>
  <c r="AK583" i="17"/>
  <c r="AJ583" i="17"/>
  <c r="AK587" i="17"/>
  <c r="AJ587" i="17"/>
  <c r="AK507" i="17"/>
  <c r="AJ507" i="17"/>
  <c r="AJ530" i="17"/>
  <c r="AK530" i="17"/>
  <c r="AK501" i="17"/>
  <c r="AJ501" i="17"/>
  <c r="AK524" i="17"/>
  <c r="AJ524" i="17"/>
  <c r="AK536" i="17"/>
  <c r="AJ536" i="17"/>
  <c r="AJ544" i="17"/>
  <c r="AK544" i="17"/>
  <c r="AK7" i="17"/>
  <c r="AJ7" i="17"/>
  <c r="AJ500" i="17"/>
  <c r="AK500" i="17"/>
  <c r="AK504" i="17"/>
  <c r="AJ504" i="17"/>
  <c r="AK523" i="17"/>
  <c r="AJ523" i="17"/>
  <c r="AK527" i="17"/>
  <c r="AJ527" i="17"/>
  <c r="AJ531" i="17"/>
  <c r="AK531" i="17"/>
  <c r="AK535" i="17"/>
  <c r="AJ535" i="17"/>
  <c r="AK539" i="17"/>
  <c r="AJ539" i="17"/>
  <c r="AJ543" i="17"/>
  <c r="AK543" i="17"/>
  <c r="AK547" i="17"/>
  <c r="AJ547" i="17"/>
  <c r="AK551" i="17"/>
  <c r="AJ551" i="17"/>
  <c r="K171" i="26"/>
  <c r="K29" i="27" s="1"/>
  <c r="X985" i="2"/>
  <c r="X941" i="2"/>
  <c r="X930" i="2"/>
  <c r="X841" i="2"/>
  <c r="X697" i="2"/>
  <c r="J158" i="26"/>
  <c r="J204" i="26"/>
  <c r="N158" i="30"/>
  <c r="G40" i="28"/>
  <c r="G117" i="28"/>
  <c r="M128" i="28"/>
  <c r="I3" i="26"/>
  <c r="H132" i="28"/>
  <c r="M132" i="28"/>
  <c r="K159" i="26"/>
  <c r="K26" i="27" s="1"/>
  <c r="L159" i="26"/>
  <c r="L26" i="27" s="1"/>
  <c r="I3" i="30"/>
  <c r="E241" i="30"/>
  <c r="Y326" i="2"/>
  <c r="L167" i="26"/>
  <c r="L28" i="27" s="1"/>
  <c r="K30" i="28"/>
  <c r="L30" i="28"/>
  <c r="M30" i="28" s="1"/>
  <c r="J158" i="30"/>
  <c r="K158" i="30" s="1"/>
  <c r="G132" i="28"/>
  <c r="K163" i="26"/>
  <c r="K27" i="27" s="1"/>
  <c r="G7" i="28"/>
  <c r="G6" i="28" s="1"/>
  <c r="G5" i="28" s="1"/>
  <c r="L163" i="26"/>
  <c r="L27" i="27" s="1"/>
  <c r="H6" i="28"/>
  <c r="H5" i="28" s="1"/>
  <c r="L133" i="28"/>
  <c r="N239" i="26"/>
  <c r="N52" i="27" s="1"/>
  <c r="H117" i="28"/>
  <c r="H200" i="28"/>
  <c r="K159" i="30"/>
  <c r="K163" i="30"/>
  <c r="K167" i="30"/>
  <c r="E241" i="26"/>
  <c r="F54" i="27" s="1"/>
  <c r="N34" i="30"/>
  <c r="L159" i="30"/>
  <c r="L158" i="30" s="1"/>
  <c r="L141" i="28"/>
  <c r="H40" i="28"/>
  <c r="G200" i="28"/>
  <c r="G195" i="28" s="1"/>
  <c r="G194" i="28" s="1"/>
  <c r="G193" i="28" s="1"/>
  <c r="G192" i="28" s="1"/>
  <c r="G191" i="28" s="1"/>
  <c r="G190" i="28" s="1"/>
  <c r="X653" i="2"/>
  <c r="F253" i="30"/>
  <c r="F253" i="32"/>
  <c r="F245" i="30"/>
  <c r="F245" i="32"/>
  <c r="F252" i="30"/>
  <c r="F252" i="32"/>
  <c r="F265" i="30"/>
  <c r="F265" i="32"/>
  <c r="X616" i="2"/>
  <c r="AG20" i="24"/>
  <c r="C201" i="30"/>
  <c r="C248" i="32"/>
  <c r="T248" i="32" s="1"/>
  <c r="AK105" i="24"/>
  <c r="C247" i="32"/>
  <c r="T247" i="32" s="1"/>
  <c r="AS62" i="24"/>
  <c r="AK107" i="24"/>
  <c r="AU62" i="24"/>
  <c r="AS104" i="24"/>
  <c r="AS19" i="24"/>
  <c r="AK58" i="24"/>
  <c r="AV105" i="24"/>
  <c r="AS106" i="24"/>
  <c r="AS64" i="24"/>
  <c r="AS67" i="24"/>
  <c r="AU19" i="24"/>
  <c r="F49" i="25"/>
  <c r="J38" i="27"/>
  <c r="K216" i="26"/>
  <c r="K38" i="27" s="1"/>
  <c r="J9" i="27"/>
  <c r="K154" i="26"/>
  <c r="K24" i="27" s="1"/>
  <c r="N154" i="26"/>
  <c r="N24" i="27" s="1"/>
  <c r="G75" i="28"/>
  <c r="L137" i="28"/>
  <c r="K137" i="28"/>
  <c r="J185" i="28"/>
  <c r="K185" i="28" s="1"/>
  <c r="K186" i="28"/>
  <c r="F256" i="26"/>
  <c r="F256" i="30"/>
  <c r="F246" i="30"/>
  <c r="F246" i="26"/>
  <c r="K204" i="26"/>
  <c r="K35" i="27" s="1"/>
  <c r="J35" i="27"/>
  <c r="N249" i="26"/>
  <c r="N62" i="27" s="1"/>
  <c r="L34" i="26"/>
  <c r="L9" i="27" s="1"/>
  <c r="N61" i="26"/>
  <c r="K158" i="26"/>
  <c r="K25" i="27" s="1"/>
  <c r="J25" i="27"/>
  <c r="N26" i="27"/>
  <c r="N158" i="26"/>
  <c r="N25" i="27" s="1"/>
  <c r="H195" i="28"/>
  <c r="H194" i="28" s="1"/>
  <c r="H193" i="28" s="1"/>
  <c r="H192" i="28" s="1"/>
  <c r="H191" i="28" s="1"/>
  <c r="H190" i="28" s="1"/>
  <c r="F200" i="28"/>
  <c r="F254" i="26"/>
  <c r="F254" i="30"/>
  <c r="L216" i="26"/>
  <c r="L38" i="27" s="1"/>
  <c r="J39" i="27"/>
  <c r="K217" i="26"/>
  <c r="K39" i="27" s="1"/>
  <c r="F265" i="26"/>
  <c r="J24" i="27"/>
  <c r="E30" i="26"/>
  <c r="N30" i="26" s="1"/>
  <c r="L147" i="26"/>
  <c r="L23" i="27" s="1"/>
  <c r="J132" i="28"/>
  <c r="K132" i="28" s="1"/>
  <c r="N154" i="30"/>
  <c r="I260" i="21"/>
  <c r="M260" i="21" s="1"/>
  <c r="AU53" i="24"/>
  <c r="K55" i="23"/>
  <c r="L55" i="23" s="1"/>
  <c r="I187" i="23"/>
  <c r="U261" i="23"/>
  <c r="AU106" i="24"/>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K35" i="23"/>
  <c r="L35" i="23" s="1"/>
  <c r="U166" i="23"/>
  <c r="U190" i="23"/>
  <c r="X553" i="2"/>
  <c r="X590" i="2"/>
  <c r="X567" i="2"/>
  <c r="X591" i="2"/>
  <c r="X548" i="2"/>
  <c r="I28" i="23"/>
  <c r="J28" i="23" s="1"/>
  <c r="D241" i="21"/>
  <c r="G241" i="21" s="1"/>
  <c r="I51" i="21"/>
  <c r="AY51" i="21" s="1"/>
  <c r="U183" i="23"/>
  <c r="AU49" i="24"/>
  <c r="I153" i="21"/>
  <c r="K153" i="21" s="1"/>
  <c r="K310" i="23"/>
  <c r="L310" i="23" s="1"/>
  <c r="I15" i="23"/>
  <c r="J15" i="23" s="1"/>
  <c r="I93" i="23"/>
  <c r="J93" i="23" s="1"/>
  <c r="K97" i="23"/>
  <c r="K134" i="23"/>
  <c r="I144" i="23"/>
  <c r="J144" i="23" s="1"/>
  <c r="I284" i="23"/>
  <c r="K292" i="23"/>
  <c r="L292" i="23" s="1"/>
  <c r="M310" i="23"/>
  <c r="K102" i="23"/>
  <c r="K120" i="23"/>
  <c r="I194" i="23"/>
  <c r="J194" i="23" s="1"/>
  <c r="K304" i="23"/>
  <c r="L304" i="23" s="1"/>
  <c r="I310" i="23"/>
  <c r="J310" i="23" s="1"/>
  <c r="K104" i="23"/>
  <c r="I286" i="23"/>
  <c r="U215" i="23"/>
  <c r="D198" i="21"/>
  <c r="G198" i="21" s="1"/>
  <c r="H241" i="21"/>
  <c r="I6" i="21"/>
  <c r="P6" i="21" s="1"/>
  <c r="I62" i="21"/>
  <c r="K62" i="21" s="1"/>
  <c r="I39" i="21"/>
  <c r="AJ39" i="21" s="1"/>
  <c r="I58" i="21"/>
  <c r="AD58" i="21" s="1"/>
  <c r="I76" i="21"/>
  <c r="AX76" i="21" s="1"/>
  <c r="I32" i="21"/>
  <c r="AL32" i="21" s="1"/>
  <c r="I65" i="21"/>
  <c r="AU65" i="21" s="1"/>
  <c r="I176" i="21"/>
  <c r="AK176" i="21" s="1"/>
  <c r="I33" i="23"/>
  <c r="I74" i="21"/>
  <c r="AR74" i="21" s="1"/>
  <c r="I112" i="21"/>
  <c r="AN112" i="21" s="1"/>
  <c r="I223" i="21"/>
  <c r="M223" i="21" s="1"/>
  <c r="I142" i="21"/>
  <c r="AK142" i="21" s="1"/>
  <c r="I150" i="21"/>
  <c r="N150" i="21" s="1"/>
  <c r="O150" i="21" s="1"/>
  <c r="I136" i="23"/>
  <c r="J136" i="23" s="1"/>
  <c r="K137" i="23"/>
  <c r="K163" i="23"/>
  <c r="L163" i="23" s="1"/>
  <c r="I167" i="23"/>
  <c r="I169" i="23"/>
  <c r="J169" i="23" s="1"/>
  <c r="K249" i="26"/>
  <c r="K62" i="27" s="1"/>
  <c r="N243" i="30"/>
  <c r="N242" i="30" s="1"/>
  <c r="J242" i="30"/>
  <c r="K242" i="30" s="1"/>
  <c r="X148" i="2"/>
  <c r="F361" i="32" s="1"/>
  <c r="F359" i="32" s="1"/>
  <c r="I83" i="21"/>
  <c r="AX83" i="21" s="1"/>
  <c r="K49" i="23"/>
  <c r="L49" i="23" s="1"/>
  <c r="K50" i="23"/>
  <c r="L50" i="23" s="1"/>
  <c r="I70" i="21"/>
  <c r="V70" i="21" s="1"/>
  <c r="I52" i="21"/>
  <c r="X52" i="21" s="1"/>
  <c r="I46" i="21"/>
  <c r="J46" i="21" s="1"/>
  <c r="I41" i="21"/>
  <c r="T41" i="21" s="1"/>
  <c r="I53" i="21"/>
  <c r="Y53" i="21" s="1"/>
  <c r="I79" i="21"/>
  <c r="Y79" i="21" s="1"/>
  <c r="I214" i="21"/>
  <c r="AY214" i="21" s="1"/>
  <c r="I244" i="23"/>
  <c r="J244" i="23" s="1"/>
  <c r="I291" i="23"/>
  <c r="I117" i="21"/>
  <c r="AI117" i="21" s="1"/>
  <c r="I137" i="21"/>
  <c r="AM137" i="21" s="1"/>
  <c r="I122" i="21"/>
  <c r="AR122" i="21" s="1"/>
  <c r="I5" i="21"/>
  <c r="AQ5" i="21" s="1"/>
  <c r="I36" i="21"/>
  <c r="AD36" i="21" s="1"/>
  <c r="I35" i="21"/>
  <c r="M35" i="21" s="1"/>
  <c r="I7" i="21"/>
  <c r="AY7" i="21" s="1"/>
  <c r="I143" i="21"/>
  <c r="AY143" i="21" s="1"/>
  <c r="I146" i="21"/>
  <c r="AC146" i="21" s="1"/>
  <c r="I141" i="21"/>
  <c r="AY141" i="21" s="1"/>
  <c r="I155" i="21"/>
  <c r="AR155" i="21" s="1"/>
  <c r="X91" i="2"/>
  <c r="X103" i="2"/>
  <c r="U186" i="23"/>
  <c r="AC65" i="24"/>
  <c r="U257" i="23"/>
  <c r="I149" i="23"/>
  <c r="I195" i="23"/>
  <c r="J195" i="23" s="1"/>
  <c r="I12" i="23"/>
  <c r="J12" i="23" s="1"/>
  <c r="I84" i="23"/>
  <c r="I86" i="23"/>
  <c r="J86" i="23" s="1"/>
  <c r="U7" i="23"/>
  <c r="U258" i="23"/>
  <c r="H198" i="21"/>
  <c r="I255" i="21"/>
  <c r="K255" i="21" s="1"/>
  <c r="I259" i="21"/>
  <c r="K259" i="21" s="1"/>
  <c r="I272" i="23"/>
  <c r="J272" i="23" s="1"/>
  <c r="K294" i="23"/>
  <c r="L294" i="23" s="1"/>
  <c r="X11" i="2"/>
  <c r="H11" i="23" s="1"/>
  <c r="X102" i="2"/>
  <c r="U225" i="23"/>
  <c r="E194" i="30"/>
  <c r="N194" i="30" s="1"/>
  <c r="AS42" i="24"/>
  <c r="E307" i="30"/>
  <c r="E354" i="26"/>
  <c r="E353" i="26" s="1"/>
  <c r="BG83" i="17"/>
  <c r="K264" i="23"/>
  <c r="L264" i="23" s="1"/>
  <c r="AS41" i="24"/>
  <c r="K208" i="23"/>
  <c r="L208" i="23" s="1"/>
  <c r="AA26" i="24"/>
  <c r="K274" i="23"/>
  <c r="L274" i="23" s="1"/>
  <c r="AA58" i="24"/>
  <c r="I235" i="23"/>
  <c r="J235" i="23" s="1"/>
  <c r="AS63" i="24"/>
  <c r="I295" i="23"/>
  <c r="K295" i="23"/>
  <c r="K236" i="23"/>
  <c r="L236" i="23" s="1"/>
  <c r="U150" i="23"/>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I251" i="21"/>
  <c r="AV251" i="21" s="1"/>
  <c r="U269" i="23"/>
  <c r="AU110" i="24"/>
  <c r="I249" i="21"/>
  <c r="AR249" i="21" s="1"/>
  <c r="AB86" i="24"/>
  <c r="I226" i="21"/>
  <c r="AW226" i="21" s="1"/>
  <c r="AC11" i="24"/>
  <c r="X147" i="2"/>
  <c r="I219" i="21"/>
  <c r="W219" i="21"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I27" i="21"/>
  <c r="AJ27" i="21" s="1"/>
  <c r="I82" i="21"/>
  <c r="N82" i="21" s="1"/>
  <c r="O82" i="21" s="1"/>
  <c r="X47" i="2"/>
  <c r="I42" i="21"/>
  <c r="AX42" i="21" s="1"/>
  <c r="X70" i="2"/>
  <c r="I72" i="21"/>
  <c r="AG72" i="21" s="1"/>
  <c r="I78" i="21"/>
  <c r="U78" i="21" s="1"/>
  <c r="I121" i="21"/>
  <c r="AL121" i="21" s="1"/>
  <c r="I61" i="21"/>
  <c r="AM61" i="21" s="1"/>
  <c r="I160" i="21"/>
  <c r="AH160" i="21" s="1"/>
  <c r="I144" i="21"/>
  <c r="AC144" i="21" s="1"/>
  <c r="I145" i="21"/>
  <c r="AY145" i="21" s="1"/>
  <c r="I138" i="21"/>
  <c r="K138" i="21" s="1"/>
  <c r="I213" i="21"/>
  <c r="X213" i="21" s="1"/>
  <c r="I149" i="21"/>
  <c r="AV149" i="21" s="1"/>
  <c r="X156" i="2"/>
  <c r="I133" i="21"/>
  <c r="N133" i="21" s="1"/>
  <c r="O133" i="21" s="1"/>
  <c r="AB91" i="24"/>
  <c r="AT51" i="24"/>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K11" i="23"/>
  <c r="L11" i="23" s="1"/>
  <c r="I11" i="23"/>
  <c r="J11" i="23" s="1"/>
  <c r="K309" i="23"/>
  <c r="L309" i="23" s="1"/>
  <c r="O309" i="23"/>
  <c r="AM8" i="21"/>
  <c r="V8" i="21"/>
  <c r="AM24" i="21"/>
  <c r="V24" i="21"/>
  <c r="AB30" i="21"/>
  <c r="J30" i="21"/>
  <c r="AS30" i="21"/>
  <c r="K50" i="21"/>
  <c r="AJ50" i="21"/>
  <c r="AY105" i="21"/>
  <c r="AC105" i="21"/>
  <c r="AB71" i="24"/>
  <c r="AB70" i="24"/>
  <c r="AB34" i="24"/>
  <c r="X257" i="2"/>
  <c r="I64" i="23"/>
  <c r="K64" i="23"/>
  <c r="AB14" i="24"/>
  <c r="AC52" i="24"/>
  <c r="I232" i="21"/>
  <c r="N232" i="21" s="1"/>
  <c r="O232" i="21" s="1"/>
  <c r="X158" i="2"/>
  <c r="I156" i="21"/>
  <c r="I207" i="21"/>
  <c r="AI207" i="21" s="1"/>
  <c r="AU67" i="24"/>
  <c r="AU85" i="24"/>
  <c r="AU83" i="24"/>
  <c r="AU37" i="24"/>
  <c r="AU41" i="24"/>
  <c r="AU88" i="24"/>
  <c r="AU60" i="24"/>
  <c r="AT17" i="24"/>
  <c r="AT9" i="24"/>
  <c r="I215" i="21"/>
  <c r="AE215" i="21" s="1"/>
  <c r="X241" i="2"/>
  <c r="AB57" i="24"/>
  <c r="AG111" i="24"/>
  <c r="AC7" i="24"/>
  <c r="I236" i="21"/>
  <c r="J336" i="32"/>
  <c r="AB106" i="24"/>
  <c r="X203" i="2"/>
  <c r="AC62" i="24"/>
  <c r="I183" i="21"/>
  <c r="N183" i="21" s="1"/>
  <c r="O183" i="21" s="1"/>
  <c r="AB67" i="24"/>
  <c r="I135" i="21"/>
  <c r="AU135" i="21" s="1"/>
  <c r="X159" i="2"/>
  <c r="I248" i="21"/>
  <c r="M248" i="21" s="1"/>
  <c r="I175" i="21"/>
  <c r="I132" i="21"/>
  <c r="P132" i="21" s="1"/>
  <c r="X135" i="2"/>
  <c r="X133" i="2"/>
  <c r="X112" i="2"/>
  <c r="X100" i="2"/>
  <c r="X97" i="2"/>
  <c r="X92" i="2"/>
  <c r="X85" i="2"/>
  <c r="X81" i="2"/>
  <c r="X80" i="2"/>
  <c r="X69" i="2"/>
  <c r="X48" i="2"/>
  <c r="AU58" i="24"/>
  <c r="AU54" i="24"/>
  <c r="AU94" i="24"/>
  <c r="AT48" i="24"/>
  <c r="AU95" i="24"/>
  <c r="AT18" i="24"/>
  <c r="I253" i="21"/>
  <c r="AJ253" i="21" s="1"/>
  <c r="AB92" i="24"/>
  <c r="I239" i="21"/>
  <c r="AW239" i="21" s="1"/>
  <c r="I233" i="21"/>
  <c r="AV233" i="21" s="1"/>
  <c r="AT37" i="24"/>
  <c r="AU64" i="24"/>
  <c r="AT23" i="24"/>
  <c r="AT72" i="24"/>
  <c r="AU75" i="24"/>
  <c r="X292" i="2"/>
  <c r="AU10" i="24"/>
  <c r="AT11" i="24"/>
  <c r="I221" i="21"/>
  <c r="AI221" i="21" s="1"/>
  <c r="AB35" i="24"/>
  <c r="AB16" i="24"/>
  <c r="AB111" i="24"/>
  <c r="I240" i="21"/>
  <c r="AT240" i="21" s="1"/>
  <c r="I227" i="21"/>
  <c r="AY227" i="21" s="1"/>
  <c r="I231" i="21"/>
  <c r="AI231" i="21" s="1"/>
  <c r="AB26" i="24"/>
  <c r="AB87" i="24"/>
  <c r="AB109" i="24"/>
  <c r="K24" i="23"/>
  <c r="L24" i="23" s="1"/>
  <c r="I24" i="23"/>
  <c r="J24" i="23" s="1"/>
  <c r="K115" i="23"/>
  <c r="I115" i="23"/>
  <c r="K147" i="23"/>
  <c r="L147" i="23" s="1"/>
  <c r="I147" i="23"/>
  <c r="J147" i="23" s="1"/>
  <c r="AN101" i="21"/>
  <c r="AN102" i="21" s="1"/>
  <c r="R101" i="21"/>
  <c r="Z3" i="21"/>
  <c r="AP3" i="21"/>
  <c r="R64" i="21"/>
  <c r="AN64" i="21"/>
  <c r="AP75" i="21"/>
  <c r="S75" i="21"/>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X446" i="2"/>
  <c r="AT32" i="24"/>
  <c r="AT83" i="24"/>
  <c r="AU68" i="24"/>
  <c r="AT73" i="24"/>
  <c r="AU42" i="24"/>
  <c r="AU87" i="24"/>
  <c r="AT101" i="24"/>
  <c r="AT8" i="24"/>
  <c r="AU77" i="24"/>
  <c r="AT21" i="24"/>
  <c r="AT22" i="24"/>
  <c r="AB39" i="24"/>
  <c r="I230" i="21"/>
  <c r="AA230" i="21" s="1"/>
  <c r="AB56" i="24"/>
  <c r="I252" i="21"/>
  <c r="AV252" i="21" s="1"/>
  <c r="X236" i="2"/>
  <c r="I224" i="21"/>
  <c r="AY224" i="21" s="1"/>
  <c r="I216" i="2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AC48" i="24"/>
  <c r="AB75" i="24"/>
  <c r="I162" i="21"/>
  <c r="AY162" i="21" s="1"/>
  <c r="AC47" i="24"/>
  <c r="AC50" i="24"/>
  <c r="AB60" i="24"/>
  <c r="AB80" i="24"/>
  <c r="AC77" i="24"/>
  <c r="X225" i="2"/>
  <c r="AC90" i="24"/>
  <c r="AC58" i="24"/>
  <c r="AB20" i="24"/>
  <c r="X247" i="2"/>
  <c r="I256" i="21"/>
  <c r="AS256" i="21" s="1"/>
  <c r="AC83" i="24"/>
  <c r="I238" i="21"/>
  <c r="I241" i="21"/>
  <c r="AY241" i="21" s="1"/>
  <c r="AU22" i="24"/>
  <c r="AT15" i="24"/>
  <c r="AT12" i="24"/>
  <c r="AT49" i="24"/>
  <c r="AT77" i="24"/>
  <c r="AU25" i="24"/>
  <c r="AU74" i="24"/>
  <c r="AT60" i="24"/>
  <c r="AU44" i="24"/>
  <c r="AU89" i="24"/>
  <c r="AU65" i="24"/>
  <c r="X409"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C182" i="26"/>
  <c r="AK84" i="24"/>
  <c r="C248" i="30"/>
  <c r="T248" i="30" s="1"/>
  <c r="C248" i="26"/>
  <c r="T248" i="26" s="1"/>
  <c r="AU107" i="24"/>
  <c r="AU84" i="24"/>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X447" i="2"/>
  <c r="X472" i="2"/>
  <c r="C247" i="30"/>
  <c r="T247" i="30" s="1"/>
  <c r="C247" i="26"/>
  <c r="T247" i="26"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C223" i="30"/>
  <c r="C223" i="26"/>
  <c r="C224" i="30"/>
  <c r="C224" i="26"/>
  <c r="C62" i="26"/>
  <c r="AK32" i="24"/>
  <c r="AU32" i="24"/>
  <c r="X498" i="2"/>
  <c r="X509" i="2"/>
  <c r="X524" i="2"/>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K32" i="23"/>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G39" i="28" l="1"/>
  <c r="G4" i="28" s="1"/>
  <c r="G3" i="28" s="1"/>
  <c r="AC1024" i="2"/>
  <c r="Z1141" i="2"/>
  <c r="AB1083" i="2"/>
  <c r="AF1083" i="2" s="1"/>
  <c r="AB1118" i="2"/>
  <c r="AF1118" i="2" s="1"/>
  <c r="AN1051" i="2"/>
  <c r="AN1050" i="2"/>
  <c r="AN1030" i="2"/>
  <c r="AN1034" i="2"/>
  <c r="AC1063" i="2"/>
  <c r="AC1030" i="2"/>
  <c r="AC1047" i="2"/>
  <c r="AC1015" i="2"/>
  <c r="AC1032" i="2"/>
  <c r="AC1025" i="2"/>
  <c r="Z1084" i="2"/>
  <c r="AB1145" i="2"/>
  <c r="AF1145" i="2" s="1"/>
  <c r="AB1140" i="2"/>
  <c r="AF1140" i="2" s="1"/>
  <c r="Z1008" i="2"/>
  <c r="AB1047" i="2"/>
  <c r="AF1047" i="2" s="1"/>
  <c r="AB1053" i="2"/>
  <c r="AF1053" i="2" s="1"/>
  <c r="Z1037" i="2"/>
  <c r="L132" i="28"/>
  <c r="AN1017" i="2"/>
  <c r="AN1025" i="2"/>
  <c r="AN1032" i="2"/>
  <c r="AN1024" i="2"/>
  <c r="AC1068" i="2"/>
  <c r="AC1028" i="2"/>
  <c r="AC1017" i="2"/>
  <c r="Z1045" i="2"/>
  <c r="Z1049" i="2"/>
  <c r="Z1051" i="2"/>
  <c r="AB1130" i="2"/>
  <c r="AF1130" i="2" s="1"/>
  <c r="AB1001" i="2"/>
  <c r="AF1001" i="2" s="1"/>
  <c r="Z1038" i="2"/>
  <c r="AN1042" i="2"/>
  <c r="AN1037" i="2"/>
  <c r="AN1055" i="2"/>
  <c r="AC1033" i="2"/>
  <c r="AE1033" i="2" s="1"/>
  <c r="AB1160" i="2"/>
  <c r="AF1160" i="2" s="1"/>
  <c r="AN1053" i="2"/>
  <c r="AN1057" i="2"/>
  <c r="AN1020" i="2"/>
  <c r="AC1055" i="2"/>
  <c r="AE1055" i="2" s="1"/>
  <c r="AC1060" i="2"/>
  <c r="AE1060" i="2" s="1"/>
  <c r="AC1007" i="2"/>
  <c r="AD1007" i="2" s="1"/>
  <c r="AN1062" i="2"/>
  <c r="AN1007" i="2"/>
  <c r="Z1094" i="2"/>
  <c r="AN1059" i="2"/>
  <c r="AN1070" i="2"/>
  <c r="AC1070" i="2"/>
  <c r="AE1070" i="2" s="1"/>
  <c r="AC1057" i="2"/>
  <c r="AE1057" i="2" s="1"/>
  <c r="AC1059" i="2"/>
  <c r="AE1059" i="2" s="1"/>
  <c r="AC1062" i="2"/>
  <c r="AE1062" i="2" s="1"/>
  <c r="Z1137" i="2"/>
  <c r="AC1053" i="2"/>
  <c r="AE1053" i="2" s="1"/>
  <c r="AN1033" i="2"/>
  <c r="AC1037" i="2"/>
  <c r="AE1037" i="2" s="1"/>
  <c r="AB1028" i="2"/>
  <c r="AF1028" i="2" s="1"/>
  <c r="Z1174" i="2"/>
  <c r="AC1021" i="2"/>
  <c r="AE1021" i="2" s="1"/>
  <c r="AB1069" i="2"/>
  <c r="AF1069" i="2" s="1"/>
  <c r="Z1088" i="2"/>
  <c r="AB1079" i="2"/>
  <c r="AF1079" i="2" s="1"/>
  <c r="AC1061" i="2"/>
  <c r="AE1061" i="2" s="1"/>
  <c r="Z1042" i="2"/>
  <c r="Z1022" i="2"/>
  <c r="AN1061" i="2"/>
  <c r="Z1027" i="2"/>
  <c r="Z1097" i="2"/>
  <c r="Z1135" i="2"/>
  <c r="AB1176" i="2"/>
  <c r="AF1176" i="2" s="1"/>
  <c r="AN1009" i="2"/>
  <c r="AC1045" i="2"/>
  <c r="AE1045" i="2" s="1"/>
  <c r="AN1045" i="2"/>
  <c r="Z1151" i="2"/>
  <c r="Z1168" i="2"/>
  <c r="AN1054" i="2"/>
  <c r="AC1054" i="2"/>
  <c r="AD1054" i="2" s="1"/>
  <c r="AB1112" i="2"/>
  <c r="AF1112" i="2" s="1"/>
  <c r="AC1052" i="2"/>
  <c r="AE1052" i="2" s="1"/>
  <c r="Z1017" i="2"/>
  <c r="Z1143" i="2"/>
  <c r="Z1003" i="2"/>
  <c r="AN1052" i="2"/>
  <c r="AN1023" i="2"/>
  <c r="AB1076" i="2"/>
  <c r="AF1076" i="2" s="1"/>
  <c r="AN1013" i="2"/>
  <c r="AN1039" i="2"/>
  <c r="AC1039" i="2"/>
  <c r="AE1039" i="2" s="1"/>
  <c r="AB1162" i="2"/>
  <c r="AF1162" i="2" s="1"/>
  <c r="AB1117" i="2"/>
  <c r="AF1117" i="2" s="1"/>
  <c r="AC1023" i="2"/>
  <c r="AE1023" i="2" s="1"/>
  <c r="AB1091" i="2"/>
  <c r="AF1091" i="2" s="1"/>
  <c r="AB1019" i="2"/>
  <c r="AF1019" i="2" s="1"/>
  <c r="Z1169" i="2"/>
  <c r="Z1111" i="2"/>
  <c r="Z1073" i="2"/>
  <c r="Z1065" i="2"/>
  <c r="Z1132" i="2"/>
  <c r="Z1046" i="2"/>
  <c r="Z1166" i="2"/>
  <c r="Z1101" i="2"/>
  <c r="Z1175" i="2"/>
  <c r="Z1024" i="2"/>
  <c r="AB1014" i="2"/>
  <c r="AF1014" i="2" s="1"/>
  <c r="Z1092" i="2"/>
  <c r="Z1039" i="2"/>
  <c r="Z1172" i="2"/>
  <c r="Z1044" i="2"/>
  <c r="AN1001" i="2"/>
  <c r="AB1128" i="2"/>
  <c r="AF1128" i="2" s="1"/>
  <c r="Z1114" i="2"/>
  <c r="AN1065" i="2"/>
  <c r="Z1029" i="2"/>
  <c r="AC1065" i="2"/>
  <c r="AE1065" i="2" s="1"/>
  <c r="AB1071" i="2"/>
  <c r="AF1071" i="2" s="1"/>
  <c r="AN1067" i="2"/>
  <c r="AC1046" i="2"/>
  <c r="AE1046" i="2" s="1"/>
  <c r="Z1031" i="2"/>
  <c r="AN1011" i="2"/>
  <c r="AB1161" i="2"/>
  <c r="AF1161" i="2" s="1"/>
  <c r="AC1009" i="2"/>
  <c r="AD1009" i="2" s="1"/>
  <c r="AN1022" i="2"/>
  <c r="AC1012" i="2"/>
  <c r="AE1012" i="2" s="1"/>
  <c r="AC1011" i="2"/>
  <c r="AE1011" i="2" s="1"/>
  <c r="AC1022" i="2"/>
  <c r="AE1022" i="2" s="1"/>
  <c r="AN1012" i="2"/>
  <c r="Z1025" i="2"/>
  <c r="Z1178" i="2"/>
  <c r="Z1105" i="2"/>
  <c r="AC1031" i="2"/>
  <c r="AE1031" i="2" s="1"/>
  <c r="AN1031" i="2"/>
  <c r="Z1061" i="2"/>
  <c r="Z1013" i="2"/>
  <c r="Z1030" i="2"/>
  <c r="Z1087" i="2"/>
  <c r="AB1158" i="2"/>
  <c r="AF1158" i="2" s="1"/>
  <c r="AN1005" i="2"/>
  <c r="AN1010" i="2"/>
  <c r="AB1163" i="2"/>
  <c r="AF1163" i="2" s="1"/>
  <c r="AB1074" i="2"/>
  <c r="AF1074" i="2" s="1"/>
  <c r="AC1004" i="2"/>
  <c r="AE1004" i="2" s="1"/>
  <c r="AN1004" i="2"/>
  <c r="AB1153" i="2"/>
  <c r="AF1153" i="2" s="1"/>
  <c r="AB1177" i="2"/>
  <c r="AF1177" i="2" s="1"/>
  <c r="AN1029" i="2"/>
  <c r="AN1046" i="2"/>
  <c r="AB1099" i="2"/>
  <c r="AF1099" i="2" s="1"/>
  <c r="AB1157" i="2"/>
  <c r="AF1157" i="2" s="1"/>
  <c r="AB1011" i="2"/>
  <c r="AF1011" i="2" s="1"/>
  <c r="AB1134" i="2"/>
  <c r="AF1134" i="2" s="1"/>
  <c r="AB1126" i="2"/>
  <c r="AF1126" i="2" s="1"/>
  <c r="Z1096" i="2"/>
  <c r="AB1050" i="2"/>
  <c r="AF1050" i="2" s="1"/>
  <c r="AB1148" i="2"/>
  <c r="AF1148" i="2" s="1"/>
  <c r="AB1125" i="2"/>
  <c r="AF1125" i="2" s="1"/>
  <c r="AB1012" i="2"/>
  <c r="AF1012" i="2" s="1"/>
  <c r="AB1023" i="2"/>
  <c r="AF1023" i="2" s="1"/>
  <c r="AN1035" i="2"/>
  <c r="Z1060" i="2"/>
  <c r="Z1098" i="2"/>
  <c r="AB1100" i="2"/>
  <c r="AF1100" i="2" s="1"/>
  <c r="AC1067" i="2"/>
  <c r="AE1067" i="2" s="1"/>
  <c r="AC1029" i="2"/>
  <c r="AE1029" i="2" s="1"/>
  <c r="AN1041" i="2"/>
  <c r="AN1036" i="2"/>
  <c r="Z1080" i="2"/>
  <c r="AB1018" i="2"/>
  <c r="AF1018" i="2" s="1"/>
  <c r="Z1052" i="2"/>
  <c r="Z1136" i="2"/>
  <c r="Z1173" i="2"/>
  <c r="AB1142" i="2"/>
  <c r="AF1142" i="2" s="1"/>
  <c r="Z1159" i="2"/>
  <c r="Z1032" i="2"/>
  <c r="AB1004" i="2"/>
  <c r="AF1004" i="2" s="1"/>
  <c r="Z1107" i="2"/>
  <c r="AB1081" i="2"/>
  <c r="AF1081" i="2" s="1"/>
  <c r="Z1131" i="2"/>
  <c r="Z1144" i="2"/>
  <c r="AB1120" i="2"/>
  <c r="AF1120" i="2" s="1"/>
  <c r="Z1026" i="2"/>
  <c r="AB1077" i="2"/>
  <c r="AF1077" i="2" s="1"/>
  <c r="Z1164" i="2"/>
  <c r="Z1146" i="2"/>
  <c r="Z1055" i="2"/>
  <c r="AB1089" i="2"/>
  <c r="AF1089" i="2" s="1"/>
  <c r="Z1036" i="2"/>
  <c r="Z1066" i="2"/>
  <c r="AB1127" i="2"/>
  <c r="AF1127" i="2" s="1"/>
  <c r="AN1071" i="2"/>
  <c r="Z1095" i="2"/>
  <c r="AN1002" i="2"/>
  <c r="AC1018" i="2"/>
  <c r="AE1018" i="2" s="1"/>
  <c r="AC1005" i="2"/>
  <c r="AE1005" i="2" s="1"/>
  <c r="AB1016" i="2"/>
  <c r="AF1016" i="2" s="1"/>
  <c r="Z1149" i="2"/>
  <c r="AB1006" i="2"/>
  <c r="AF1006" i="2" s="1"/>
  <c r="Z1113" i="2"/>
  <c r="AC1071" i="2"/>
  <c r="Z1078" i="2"/>
  <c r="AN1069" i="2"/>
  <c r="AC1069" i="2"/>
  <c r="AC1002" i="2"/>
  <c r="AE1002" i="2" s="1"/>
  <c r="Z1075" i="2"/>
  <c r="Z1021" i="2"/>
  <c r="Z1043" i="2"/>
  <c r="AN1018" i="2"/>
  <c r="AC1041" i="2"/>
  <c r="AE1041" i="2" s="1"/>
  <c r="Z1005" i="2"/>
  <c r="Z1138" i="2"/>
  <c r="AN1064" i="2"/>
  <c r="AC1058" i="2"/>
  <c r="AE1058" i="2" s="1"/>
  <c r="Z1116" i="2"/>
  <c r="AB1123" i="2"/>
  <c r="AF1123" i="2" s="1"/>
  <c r="AN1058" i="2"/>
  <c r="AC1064" i="2"/>
  <c r="AE1064" i="2" s="1"/>
  <c r="AB1155" i="2"/>
  <c r="AF1155" i="2" s="1"/>
  <c r="Z1121" i="2"/>
  <c r="Z1059" i="2"/>
  <c r="Z1041" i="2"/>
  <c r="AB1020" i="2"/>
  <c r="AF1020" i="2" s="1"/>
  <c r="AC1036" i="2"/>
  <c r="AE1036" i="2" s="1"/>
  <c r="AB1170" i="2"/>
  <c r="AF1170" i="2" s="1"/>
  <c r="Z1062" i="2"/>
  <c r="AB1154" i="2"/>
  <c r="AF1154" i="2" s="1"/>
  <c r="AB1056" i="2"/>
  <c r="AF1056" i="2" s="1"/>
  <c r="AB1085" i="2"/>
  <c r="AF1085" i="2" s="1"/>
  <c r="Z1068" i="2"/>
  <c r="AB1152" i="2"/>
  <c r="AF1152" i="2" s="1"/>
  <c r="AB1150" i="2"/>
  <c r="AF1150" i="2" s="1"/>
  <c r="Z1165" i="2"/>
  <c r="Z1040" i="2"/>
  <c r="Z1119" i="2"/>
  <c r="AC1016" i="2"/>
  <c r="AE1016" i="2" s="1"/>
  <c r="AB1147" i="2"/>
  <c r="AF1147" i="2" s="1"/>
  <c r="AC1010" i="2"/>
  <c r="AE1010" i="2" s="1"/>
  <c r="AN1003" i="2"/>
  <c r="AC1001" i="2"/>
  <c r="AD1001" i="2" s="1"/>
  <c r="AN1016" i="2"/>
  <c r="Z1090" i="2"/>
  <c r="AN1049" i="2"/>
  <c r="AN1006" i="2"/>
  <c r="AC1003" i="2"/>
  <c r="AE1003" i="2" s="1"/>
  <c r="AC1008" i="2"/>
  <c r="AE1008" i="2" s="1"/>
  <c r="AB1144" i="2"/>
  <c r="AF1144" i="2" s="1"/>
  <c r="AB1136" i="2"/>
  <c r="AF1136" i="2" s="1"/>
  <c r="AB1032" i="2"/>
  <c r="AF1032" i="2" s="1"/>
  <c r="Z1077" i="2"/>
  <c r="AB1062" i="2"/>
  <c r="AF1062" i="2" s="1"/>
  <c r="Z1150" i="2"/>
  <c r="AB1078" i="2"/>
  <c r="AF1078" i="2" s="1"/>
  <c r="AB1041" i="2"/>
  <c r="AF1041" i="2" s="1"/>
  <c r="Z1152" i="2"/>
  <c r="AB1116" i="2"/>
  <c r="AF1116" i="2" s="1"/>
  <c r="Z1154" i="2"/>
  <c r="AB1021" i="2"/>
  <c r="AF1021" i="2" s="1"/>
  <c r="AB1005" i="2"/>
  <c r="AF1005" i="2" s="1"/>
  <c r="AB1075" i="2"/>
  <c r="AF1075" i="2" s="1"/>
  <c r="Z1016" i="2"/>
  <c r="Z1089" i="2"/>
  <c r="AB1165" i="2"/>
  <c r="AF1165" i="2" s="1"/>
  <c r="Z1155" i="2"/>
  <c r="AB1119" i="2"/>
  <c r="AF1119" i="2" s="1"/>
  <c r="AB1175" i="2"/>
  <c r="AF1175" i="2" s="1"/>
  <c r="AB1131" i="2"/>
  <c r="AF1131" i="2" s="1"/>
  <c r="AB1096" i="2"/>
  <c r="AF1096" i="2" s="1"/>
  <c r="Z1074" i="2"/>
  <c r="Z1126" i="2"/>
  <c r="Z1153" i="2"/>
  <c r="Z1099" i="2"/>
  <c r="AB1025" i="2"/>
  <c r="AF1025" i="2" s="1"/>
  <c r="AB1178" i="2"/>
  <c r="AF1178" i="2" s="1"/>
  <c r="Z1161" i="2"/>
  <c r="AB1002" i="2"/>
  <c r="AF1002" i="2" s="1"/>
  <c r="Z1177" i="2"/>
  <c r="Z1011" i="2"/>
  <c r="Z1157" i="2"/>
  <c r="AB1017" i="2"/>
  <c r="AF1017" i="2" s="1"/>
  <c r="AC1049" i="2"/>
  <c r="AE1049" i="2" s="1"/>
  <c r="Z1158" i="2"/>
  <c r="Z1162" i="2"/>
  <c r="Z1142" i="2"/>
  <c r="Z1012" i="2"/>
  <c r="AB1164" i="2"/>
  <c r="AF1164" i="2" s="1"/>
  <c r="Z1125" i="2"/>
  <c r="AB1039" i="2"/>
  <c r="AF1039" i="2" s="1"/>
  <c r="Z1050" i="2"/>
  <c r="Z1019" i="2"/>
  <c r="AB1024" i="2"/>
  <c r="AF1024" i="2" s="1"/>
  <c r="Z1148" i="2"/>
  <c r="Z1076" i="2"/>
  <c r="Z1117" i="2"/>
  <c r="AB1109" i="2"/>
  <c r="AF1109" i="2" s="1"/>
  <c r="Z1091" i="2"/>
  <c r="Z1093" i="2"/>
  <c r="AB1101" i="2"/>
  <c r="AF1101" i="2" s="1"/>
  <c r="AC1035" i="2"/>
  <c r="AD1035" i="2" s="1"/>
  <c r="Z1018" i="2"/>
  <c r="AB1149" i="2"/>
  <c r="AF1149" i="2" s="1"/>
  <c r="AB1092" i="2"/>
  <c r="AF1092" i="2" s="1"/>
  <c r="AB1008" i="2"/>
  <c r="AF1008" i="2" s="1"/>
  <c r="AB1043" i="2"/>
  <c r="AF1043" i="2" s="1"/>
  <c r="AB1057" i="2"/>
  <c r="AF1057" i="2" s="1"/>
  <c r="Z1130" i="2"/>
  <c r="AB1088" i="2"/>
  <c r="AF1088" i="2" s="1"/>
  <c r="AB1139" i="2"/>
  <c r="AF1139" i="2" s="1"/>
  <c r="Z1069" i="2"/>
  <c r="Z1079" i="2"/>
  <c r="Z1133" i="2"/>
  <c r="AB1168" i="2"/>
  <c r="AF1168" i="2" s="1"/>
  <c r="Z1081" i="2"/>
  <c r="AB1159" i="2"/>
  <c r="AF1159" i="2" s="1"/>
  <c r="Z1120" i="2"/>
  <c r="AB1114" i="2"/>
  <c r="AF1114" i="2" s="1"/>
  <c r="Z1147" i="2"/>
  <c r="AB1073" i="2"/>
  <c r="AF1073" i="2" s="1"/>
  <c r="Z1115" i="2"/>
  <c r="AB1166" i="2"/>
  <c r="AF1166" i="2" s="1"/>
  <c r="AB1090" i="2"/>
  <c r="AF1090" i="2" s="1"/>
  <c r="Z1015" i="2"/>
  <c r="Z1067" i="2"/>
  <c r="AB1169" i="2"/>
  <c r="AF1169" i="2" s="1"/>
  <c r="Z1128" i="2"/>
  <c r="AB1111" i="2"/>
  <c r="AF1111" i="2" s="1"/>
  <c r="Z1167" i="2"/>
  <c r="AB1132" i="2"/>
  <c r="AF1132" i="2" s="1"/>
  <c r="AB1046" i="2"/>
  <c r="AF1046" i="2" s="1"/>
  <c r="AB1065" i="2"/>
  <c r="AF1065" i="2" s="1"/>
  <c r="AB1146" i="2"/>
  <c r="AF1146" i="2" s="1"/>
  <c r="Z1014" i="2"/>
  <c r="AB1003" i="2"/>
  <c r="AF1003" i="2" s="1"/>
  <c r="Z1063" i="2"/>
  <c r="AB1064" i="2"/>
  <c r="AF1064" i="2" s="1"/>
  <c r="Z1004" i="2"/>
  <c r="AB1113" i="2"/>
  <c r="AF1113" i="2" s="1"/>
  <c r="Z1106" i="2"/>
  <c r="Z1054" i="2"/>
  <c r="AB1072" i="2"/>
  <c r="AF1072" i="2" s="1"/>
  <c r="AB1108" i="2"/>
  <c r="AF1108" i="2" s="1"/>
  <c r="Z1129" i="2"/>
  <c r="AB1058" i="2"/>
  <c r="AF1058" i="2" s="1"/>
  <c r="Z1112" i="2"/>
  <c r="Z1086" i="2"/>
  <c r="Z1124" i="2"/>
  <c r="AB1122" i="2"/>
  <c r="AF1122" i="2" s="1"/>
  <c r="AB1107" i="2"/>
  <c r="AF1107" i="2" s="1"/>
  <c r="Z1163" i="2"/>
  <c r="AB1173" i="2"/>
  <c r="AF1173" i="2" s="1"/>
  <c r="Z1134" i="2"/>
  <c r="AB1098" i="2"/>
  <c r="AF1098" i="2" s="1"/>
  <c r="Z1035" i="2"/>
  <c r="AB1105" i="2"/>
  <c r="AF1105" i="2" s="1"/>
  <c r="Z1001" i="2"/>
  <c r="AB1143" i="2"/>
  <c r="AF1143" i="2" s="1"/>
  <c r="Z1009" i="2"/>
  <c r="Z1053" i="2"/>
  <c r="AB1049" i="2"/>
  <c r="AF1049" i="2" s="1"/>
  <c r="Z1104" i="2"/>
  <c r="AB1038" i="2"/>
  <c r="AF1038" i="2" s="1"/>
  <c r="Z1100" i="2"/>
  <c r="AB1037" i="2"/>
  <c r="AF1037" i="2" s="1"/>
  <c r="AB1082" i="2"/>
  <c r="AF1082" i="2" s="1"/>
  <c r="AB1033" i="2"/>
  <c r="AF1033" i="2" s="1"/>
  <c r="Z1010" i="2"/>
  <c r="AB1070" i="2"/>
  <c r="AF1070" i="2" s="1"/>
  <c r="AB1172" i="2"/>
  <c r="AF1172" i="2" s="1"/>
  <c r="Z1071" i="2"/>
  <c r="AB1171" i="2"/>
  <c r="AF1171" i="2" s="1"/>
  <c r="Z1145" i="2"/>
  <c r="AB1141" i="2"/>
  <c r="AF1141" i="2" s="1"/>
  <c r="Z1083" i="2"/>
  <c r="Z1047" i="2"/>
  <c r="Z1118" i="2"/>
  <c r="Z1110" i="2"/>
  <c r="Z1127" i="2"/>
  <c r="Z1103" i="2"/>
  <c r="AB1061" i="2"/>
  <c r="AF1061" i="2" s="1"/>
  <c r="AB1048" i="2"/>
  <c r="AF1048" i="2" s="1"/>
  <c r="AB1156" i="2"/>
  <c r="AF1156" i="2" s="1"/>
  <c r="Z1028" i="2"/>
  <c r="AB1044" i="2"/>
  <c r="AF1044" i="2" s="1"/>
  <c r="Z1023" i="2"/>
  <c r="AB1174" i="2"/>
  <c r="AF1174" i="2" s="1"/>
  <c r="AB1013" i="2"/>
  <c r="AF1013" i="2" s="1"/>
  <c r="Z1160" i="2"/>
  <c r="AB1137" i="2"/>
  <c r="AF1137" i="2" s="1"/>
  <c r="AB1094" i="2"/>
  <c r="AF1094" i="2" s="1"/>
  <c r="AN1008" i="2"/>
  <c r="AC1006" i="2"/>
  <c r="AE1006" i="2" s="1"/>
  <c r="Z1170" i="2"/>
  <c r="AB1087" i="2"/>
  <c r="AF1087" i="2" s="1"/>
  <c r="Z1176" i="2"/>
  <c r="AB1121" i="2"/>
  <c r="AF1121" i="2" s="1"/>
  <c r="AB1080" i="2"/>
  <c r="AF1080" i="2" s="1"/>
  <c r="AB1055" i="2"/>
  <c r="AF1055" i="2" s="1"/>
  <c r="Z1056" i="2"/>
  <c r="AB1052" i="2"/>
  <c r="AF1052" i="2" s="1"/>
  <c r="AB1042" i="2"/>
  <c r="AF1042" i="2" s="1"/>
  <c r="AB1068" i="2"/>
  <c r="AF1068" i="2" s="1"/>
  <c r="AB1066" i="2"/>
  <c r="AF1066" i="2" s="1"/>
  <c r="Z1006" i="2"/>
  <c r="AB1030" i="2"/>
  <c r="AF1030" i="2" s="1"/>
  <c r="AB1059" i="2"/>
  <c r="AF1059" i="2" s="1"/>
  <c r="Z1085" i="2"/>
  <c r="AB1095" i="2"/>
  <c r="AF1095" i="2" s="1"/>
  <c r="AB1138" i="2"/>
  <c r="AF1138" i="2" s="1"/>
  <c r="AB1097" i="2"/>
  <c r="AF1097" i="2" s="1"/>
  <c r="AB1040" i="2"/>
  <c r="AF1040" i="2" s="1"/>
  <c r="Z1102" i="2"/>
  <c r="Z1123" i="2"/>
  <c r="Z1020" i="2"/>
  <c r="AB1135" i="2"/>
  <c r="AF1135" i="2" s="1"/>
  <c r="AB1022" i="2"/>
  <c r="AF1022" i="2" s="1"/>
  <c r="AB1027" i="2"/>
  <c r="AF1027" i="2" s="1"/>
  <c r="AB1026" i="2"/>
  <c r="AF1026" i="2" s="1"/>
  <c r="AB1036" i="2"/>
  <c r="AF1036" i="2" s="1"/>
  <c r="AB1045" i="2"/>
  <c r="AF1045" i="2" s="1"/>
  <c r="AB1084" i="2"/>
  <c r="AF1084" i="2" s="1"/>
  <c r="AB1060" i="2"/>
  <c r="AF1060" i="2" s="1"/>
  <c r="AB1051" i="2"/>
  <c r="AF1051" i="2" s="1"/>
  <c r="AB1029" i="2"/>
  <c r="AF1029" i="2" s="1"/>
  <c r="Z1140" i="2"/>
  <c r="AB1031" i="2"/>
  <c r="AF1031" i="2" s="1"/>
  <c r="Z1007" i="2"/>
  <c r="Z1034" i="2"/>
  <c r="AB1151" i="2"/>
  <c r="AF1151" i="2" s="1"/>
  <c r="AE1176" i="2"/>
  <c r="AE1161" i="2"/>
  <c r="AE1097" i="2"/>
  <c r="AE1143" i="2"/>
  <c r="AE1166" i="2"/>
  <c r="AE1115" i="2"/>
  <c r="AD1115" i="2"/>
  <c r="AE1077" i="2"/>
  <c r="AE1066" i="2"/>
  <c r="AE1117" i="2"/>
  <c r="AE1108" i="2"/>
  <c r="AE1099" i="2"/>
  <c r="AE1030" i="2"/>
  <c r="AE1040" i="2"/>
  <c r="AE1172" i="2"/>
  <c r="AE1153" i="2"/>
  <c r="AE1088" i="2"/>
  <c r="AD1140" i="2"/>
  <c r="AE1140" i="2"/>
  <c r="AD1167" i="2"/>
  <c r="AE1167" i="2"/>
  <c r="AE1095" i="2"/>
  <c r="AE1068" i="2"/>
  <c r="AE1050" i="2"/>
  <c r="AE1113" i="2"/>
  <c r="AE1101" i="2"/>
  <c r="AE1083" i="2"/>
  <c r="AD1083" i="2"/>
  <c r="AE1026" i="2"/>
  <c r="AE1160" i="2"/>
  <c r="AE1133" i="2"/>
  <c r="AD1133" i="2"/>
  <c r="AE1072" i="2"/>
  <c r="AE1163" i="2"/>
  <c r="AE1079" i="2"/>
  <c r="AE1110" i="2"/>
  <c r="AD1110" i="2"/>
  <c r="AE1103" i="2"/>
  <c r="AD1103" i="2"/>
  <c r="AE1092" i="2"/>
  <c r="AE1027" i="2"/>
  <c r="AE1032" i="2"/>
  <c r="AE1148" i="2"/>
  <c r="AE1131" i="2"/>
  <c r="AE1081" i="2"/>
  <c r="AE1177" i="2"/>
  <c r="AE1138" i="2"/>
  <c r="AE1063" i="2"/>
  <c r="AD1063" i="2"/>
  <c r="AD1124" i="2"/>
  <c r="AE1124" i="2"/>
  <c r="AE1105" i="2"/>
  <c r="AE1087" i="2"/>
  <c r="AE1085" i="2"/>
  <c r="AE1111" i="2"/>
  <c r="AE1028" i="2"/>
  <c r="AE1128" i="2"/>
  <c r="AE1154" i="2"/>
  <c r="AE1170" i="2"/>
  <c r="AE1136" i="2"/>
  <c r="AE1109" i="2"/>
  <c r="AE1120" i="2"/>
  <c r="AE1096" i="2"/>
  <c r="AE1076" i="2"/>
  <c r="AE1106" i="2"/>
  <c r="AD1106" i="2"/>
  <c r="AE1014" i="2"/>
  <c r="AE1019" i="2"/>
  <c r="AE1024" i="2"/>
  <c r="AE1169" i="2"/>
  <c r="AE1150" i="2"/>
  <c r="AE1171" i="2"/>
  <c r="AE1132" i="2"/>
  <c r="AE1102" i="2"/>
  <c r="AD1102" i="2"/>
  <c r="AE1116" i="2"/>
  <c r="AE1089" i="2"/>
  <c r="AE1090" i="2"/>
  <c r="AD1015" i="2"/>
  <c r="AE1015" i="2"/>
  <c r="AE1020" i="2"/>
  <c r="AE1025" i="2"/>
  <c r="AE1164" i="2"/>
  <c r="AE1165" i="2"/>
  <c r="AE1146" i="2"/>
  <c r="AE1159" i="2"/>
  <c r="AE1127" i="2"/>
  <c r="AE1086" i="2"/>
  <c r="AD1086" i="2"/>
  <c r="AE1107" i="2"/>
  <c r="AE1080" i="2"/>
  <c r="AE1074" i="2"/>
  <c r="AE1156" i="2"/>
  <c r="AE1157" i="2"/>
  <c r="AE1155" i="2"/>
  <c r="AE1175" i="2"/>
  <c r="AE1091" i="2"/>
  <c r="AE1073" i="2"/>
  <c r="AE1094" i="2"/>
  <c r="AE1130" i="2"/>
  <c r="AD1130" i="2"/>
  <c r="AE1017" i="2"/>
  <c r="AE1152" i="2"/>
  <c r="AE1149" i="2"/>
  <c r="AE1142" i="2"/>
  <c r="AE1056" i="2"/>
  <c r="AE1151" i="2"/>
  <c r="AE1134" i="2"/>
  <c r="AE1112" i="2"/>
  <c r="AE1075" i="2"/>
  <c r="AE1126" i="2"/>
  <c r="AE1051" i="2"/>
  <c r="AE1013" i="2"/>
  <c r="AE1144" i="2"/>
  <c r="AD1145" i="2"/>
  <c r="AE1145" i="2"/>
  <c r="AE1135" i="2"/>
  <c r="AE1174" i="2"/>
  <c r="AE1147" i="2"/>
  <c r="AE1129" i="2"/>
  <c r="AD1129" i="2"/>
  <c r="AE1100" i="2"/>
  <c r="AE1078" i="2"/>
  <c r="AE1122" i="2"/>
  <c r="AE1042" i="2"/>
  <c r="AD1047" i="2"/>
  <c r="AE1047" i="2"/>
  <c r="AE1141" i="2"/>
  <c r="AE1139" i="2"/>
  <c r="AE1104" i="2"/>
  <c r="AD1104" i="2"/>
  <c r="AE1162" i="2"/>
  <c r="AE1173" i="2"/>
  <c r="AE1123" i="2"/>
  <c r="AD1093" i="2"/>
  <c r="AE1093" i="2"/>
  <c r="AE1098" i="2"/>
  <c r="AE1125" i="2"/>
  <c r="AE1118" i="2"/>
  <c r="AD1118" i="2"/>
  <c r="AE1038" i="2"/>
  <c r="AE1043" i="2"/>
  <c r="AE1048" i="2"/>
  <c r="AE1168" i="2"/>
  <c r="AE1137" i="2"/>
  <c r="AE1158" i="2"/>
  <c r="AE1178" i="2"/>
  <c r="AE1119" i="2"/>
  <c r="AE1084" i="2"/>
  <c r="AE1082" i="2"/>
  <c r="AE1121" i="2"/>
  <c r="AE1114" i="2"/>
  <c r="AE1034" i="2"/>
  <c r="AD1034" i="2"/>
  <c r="AE1044" i="2"/>
  <c r="Z738" i="2"/>
  <c r="AB17" i="2"/>
  <c r="AF17" i="2" s="1"/>
  <c r="W832" i="2"/>
  <c r="AT832" i="2" s="1"/>
  <c r="W819" i="2"/>
  <c r="AT819" i="2" s="1"/>
  <c r="W817" i="2"/>
  <c r="AT817" i="2" s="1"/>
  <c r="W789" i="2"/>
  <c r="AT789" i="2" s="1"/>
  <c r="AT872" i="2"/>
  <c r="AT765" i="2"/>
  <c r="AT865" i="2"/>
  <c r="AT818" i="2"/>
  <c r="AT854" i="2"/>
  <c r="AT826" i="2"/>
  <c r="AT737" i="2"/>
  <c r="AT775" i="2"/>
  <c r="AT741" i="2"/>
  <c r="AT805" i="2"/>
  <c r="AT840" i="2"/>
  <c r="AT704" i="2"/>
  <c r="AT804" i="2"/>
  <c r="AT797" i="2"/>
  <c r="AT802" i="2"/>
  <c r="AT738" i="2"/>
  <c r="AC767" i="2"/>
  <c r="AE767" i="2" s="1"/>
  <c r="AT801" i="2"/>
  <c r="W813" i="2"/>
  <c r="V500" i="2"/>
  <c r="W500" i="2" s="1"/>
  <c r="V530" i="2"/>
  <c r="W530" i="2" s="1"/>
  <c r="V512" i="2"/>
  <c r="W512" i="2" s="1"/>
  <c r="AT512" i="2" s="1"/>
  <c r="V572" i="2"/>
  <c r="W572" i="2" s="1"/>
  <c r="V470" i="2"/>
  <c r="W470" i="2" s="1"/>
  <c r="V446" i="2"/>
  <c r="W446" i="2" s="1"/>
  <c r="V314" i="2"/>
  <c r="W314" i="2" s="1"/>
  <c r="V290" i="2"/>
  <c r="W290" i="2" s="1"/>
  <c r="AT290" i="2" s="1"/>
  <c r="V266" i="2"/>
  <c r="W266" i="2" s="1"/>
  <c r="V243" i="2"/>
  <c r="W243" i="2" s="1"/>
  <c r="V577" i="2"/>
  <c r="W577" i="2" s="1"/>
  <c r="V427" i="2"/>
  <c r="W427" i="2" s="1"/>
  <c r="V379" i="2"/>
  <c r="W379" i="2" s="1"/>
  <c r="V339" i="2"/>
  <c r="W339" i="2" s="1"/>
  <c r="V475" i="2"/>
  <c r="W475" i="2" s="1"/>
  <c r="V323" i="2"/>
  <c r="W323" i="2" s="1"/>
  <c r="AC323" i="2" s="1"/>
  <c r="AE323" i="2" s="1"/>
  <c r="V279" i="2"/>
  <c r="W279" i="2" s="1"/>
  <c r="V585" i="2"/>
  <c r="W585" i="2" s="1"/>
  <c r="V411" i="2"/>
  <c r="W411" i="2" s="1"/>
  <c r="V367" i="2"/>
  <c r="W367" i="2" s="1"/>
  <c r="V283" i="2"/>
  <c r="W283" i="2" s="1"/>
  <c r="V483" i="2"/>
  <c r="W483" i="2" s="1"/>
  <c r="V311" i="2"/>
  <c r="W311" i="2" s="1"/>
  <c r="AT311" i="2" s="1"/>
  <c r="V522" i="2"/>
  <c r="W522" i="2" s="1"/>
  <c r="V566" i="2"/>
  <c r="W566" i="2" s="1"/>
  <c r="V428" i="2"/>
  <c r="W428" i="2" s="1"/>
  <c r="V404" i="2"/>
  <c r="W404" i="2" s="1"/>
  <c r="V380" i="2"/>
  <c r="W380" i="2" s="1"/>
  <c r="V356" i="2"/>
  <c r="W356" i="2" s="1"/>
  <c r="AC356" i="2" s="1"/>
  <c r="AE356" i="2" s="1"/>
  <c r="V332" i="2"/>
  <c r="W332" i="2" s="1"/>
  <c r="V460" i="2"/>
  <c r="W460" i="2" s="1"/>
  <c r="V312" i="2"/>
  <c r="W312" i="2" s="1"/>
  <c r="AC312" i="2" s="1"/>
  <c r="AE312" i="2" s="1"/>
  <c r="V272" i="2"/>
  <c r="W272" i="2" s="1"/>
  <c r="V492" i="2"/>
  <c r="W492" i="2" s="1"/>
  <c r="V444" i="2"/>
  <c r="W444" i="2" s="1"/>
  <c r="V276" i="2"/>
  <c r="W276" i="2" s="1"/>
  <c r="V539" i="2"/>
  <c r="W539" i="2" s="1"/>
  <c r="V571" i="2"/>
  <c r="W571" i="2" s="1"/>
  <c r="V417" i="2"/>
  <c r="W417" i="2" s="1"/>
  <c r="V393" i="2"/>
  <c r="W393" i="2" s="1"/>
  <c r="V369" i="2"/>
  <c r="W369" i="2" s="1"/>
  <c r="AT369" i="2" s="1"/>
  <c r="V345" i="2"/>
  <c r="W345" i="2" s="1"/>
  <c r="V497" i="2"/>
  <c r="W497" i="2" s="1"/>
  <c r="V473" i="2"/>
  <c r="W473" i="2" s="1"/>
  <c r="V449" i="2"/>
  <c r="W449" i="2" s="1"/>
  <c r="V317" i="2"/>
  <c r="W317" i="2" s="1"/>
  <c r="V293" i="2"/>
  <c r="W293" i="2" s="1"/>
  <c r="V269" i="2"/>
  <c r="W269" i="2" s="1"/>
  <c r="V242" i="2"/>
  <c r="W242" i="2" s="1"/>
  <c r="V528" i="2"/>
  <c r="W528" i="2" s="1"/>
  <c r="AC528" i="2" s="1"/>
  <c r="AE528" i="2" s="1"/>
  <c r="V509" i="2"/>
  <c r="W509" i="2" s="1"/>
  <c r="AT509" i="2" s="1"/>
  <c r="V414" i="2"/>
  <c r="W414" i="2" s="1"/>
  <c r="V390" i="2"/>
  <c r="W390" i="2" s="1"/>
  <c r="V366" i="2"/>
  <c r="W366" i="2" s="1"/>
  <c r="AT366" i="2" s="1"/>
  <c r="V342" i="2"/>
  <c r="W342" i="2" s="1"/>
  <c r="V550" i="2"/>
  <c r="W550" i="2" s="1"/>
  <c r="V573" i="2"/>
  <c r="W573" i="2" s="1"/>
  <c r="V568" i="2"/>
  <c r="W568" i="2" s="1"/>
  <c r="V490" i="2"/>
  <c r="W490" i="2" s="1"/>
  <c r="V466" i="2"/>
  <c r="W466" i="2" s="1"/>
  <c r="V442" i="2"/>
  <c r="W442" i="2" s="1"/>
  <c r="V310" i="2"/>
  <c r="W310" i="2" s="1"/>
  <c r="AC310" i="2" s="1"/>
  <c r="AE310" i="2" s="1"/>
  <c r="V286" i="2"/>
  <c r="W286" i="2" s="1"/>
  <c r="V262" i="2"/>
  <c r="AG84" i="24" s="1"/>
  <c r="V545" i="2"/>
  <c r="W545" i="2" s="1"/>
  <c r="V521" i="2"/>
  <c r="W521" i="2" s="1"/>
  <c r="AC521" i="2" s="1"/>
  <c r="AE521" i="2" s="1"/>
  <c r="V423" i="2"/>
  <c r="W423" i="2" s="1"/>
  <c r="V371" i="2"/>
  <c r="W371" i="2" s="1"/>
  <c r="V327" i="2"/>
  <c r="W327" i="2" s="1"/>
  <c r="AC327" i="2" s="1"/>
  <c r="AE327" i="2" s="1"/>
  <c r="V463" i="2"/>
  <c r="W463" i="2" s="1"/>
  <c r="V315" i="2"/>
  <c r="W315" i="2" s="1"/>
  <c r="V267" i="2"/>
  <c r="W267" i="2" s="1"/>
  <c r="AN267" i="2" s="1"/>
  <c r="V569" i="2"/>
  <c r="W569" i="2" s="1"/>
  <c r="V403" i="2"/>
  <c r="W403" i="2" s="1"/>
  <c r="V351" i="2"/>
  <c r="W351" i="2" s="1"/>
  <c r="V275" i="2"/>
  <c r="W275" i="2" s="1"/>
  <c r="V471" i="2"/>
  <c r="W471" i="2" s="1"/>
  <c r="V299" i="2"/>
  <c r="W299" i="2" s="1"/>
  <c r="AC299" i="2" s="1"/>
  <c r="AE299" i="2" s="1"/>
  <c r="V586" i="2"/>
  <c r="W586" i="2" s="1"/>
  <c r="V562" i="2"/>
  <c r="W562" i="2" s="1"/>
  <c r="AC562" i="2" s="1"/>
  <c r="AE562" i="2" s="1"/>
  <c r="V424" i="2"/>
  <c r="W424" i="2" s="1"/>
  <c r="V400" i="2"/>
  <c r="W400" i="2" s="1"/>
  <c r="V376" i="2"/>
  <c r="W376" i="2" s="1"/>
  <c r="V352" i="2"/>
  <c r="W352" i="2" s="1"/>
  <c r="AT352" i="2" s="1"/>
  <c r="V328" i="2"/>
  <c r="W328" i="2" s="1"/>
  <c r="V456" i="2"/>
  <c r="W456" i="2" s="1"/>
  <c r="V304" i="2"/>
  <c r="W304" i="2" s="1"/>
  <c r="V264" i="2"/>
  <c r="W264" i="2" s="1"/>
  <c r="V488" i="2"/>
  <c r="W488" i="2" s="1"/>
  <c r="V324" i="2"/>
  <c r="W324" i="2" s="1"/>
  <c r="V268" i="2"/>
  <c r="W268" i="2" s="1"/>
  <c r="V535" i="2"/>
  <c r="W535" i="2" s="1"/>
  <c r="V7" i="2"/>
  <c r="W7" i="2" s="1"/>
  <c r="V507" i="2"/>
  <c r="W507" i="2" s="1"/>
  <c r="V567" i="2"/>
  <c r="W567" i="2" s="1"/>
  <c r="V508" i="2"/>
  <c r="W508" i="2" s="1"/>
  <c r="AC508" i="2" s="1"/>
  <c r="AE508" i="2" s="1"/>
  <c r="V413" i="2"/>
  <c r="W413" i="2" s="1"/>
  <c r="V389" i="2"/>
  <c r="W389" i="2" s="1"/>
  <c r="V365" i="2"/>
  <c r="W365" i="2" s="1"/>
  <c r="AT365" i="2" s="1"/>
  <c r="V341" i="2"/>
  <c r="W341" i="2" s="1"/>
  <c r="V493" i="2"/>
  <c r="W493" i="2" s="1"/>
  <c r="V469" i="2"/>
  <c r="W469" i="2" s="1"/>
  <c r="V445" i="2"/>
  <c r="W445" i="2" s="1"/>
  <c r="V313" i="2"/>
  <c r="W313" i="2" s="1"/>
  <c r="V289" i="2"/>
  <c r="W289" i="2" s="1"/>
  <c r="V265" i="2"/>
  <c r="W265" i="2" s="1"/>
  <c r="V552" i="2"/>
  <c r="W552" i="2" s="1"/>
  <c r="V505" i="2"/>
  <c r="W505" i="2" s="1"/>
  <c r="V434" i="2"/>
  <c r="W434" i="2" s="1"/>
  <c r="AT434" i="2" s="1"/>
  <c r="V410" i="2"/>
  <c r="W410" i="2" s="1"/>
  <c r="V386" i="2"/>
  <c r="W386" i="2" s="1"/>
  <c r="V362" i="2"/>
  <c r="W362" i="2" s="1"/>
  <c r="V338" i="2"/>
  <c r="W338" i="2" s="1"/>
  <c r="V531" i="2"/>
  <c r="W531" i="2" s="1"/>
  <c r="V544" i="2"/>
  <c r="W544" i="2" s="1"/>
  <c r="V486" i="2"/>
  <c r="W486" i="2" s="1"/>
  <c r="V462" i="2"/>
  <c r="W462" i="2" s="1"/>
  <c r="V438" i="2"/>
  <c r="W438" i="2" s="1"/>
  <c r="V306" i="2"/>
  <c r="W306" i="2" s="1"/>
  <c r="V282" i="2"/>
  <c r="W282" i="2" s="1"/>
  <c r="AT282" i="2" s="1"/>
  <c r="V258" i="2"/>
  <c r="W258" i="2" s="1"/>
  <c r="V546" i="2"/>
  <c r="W546" i="2" s="1"/>
  <c r="V541" i="2"/>
  <c r="W541" i="2" s="1"/>
  <c r="V506" i="2"/>
  <c r="W506" i="2" s="1"/>
  <c r="AT506" i="2" s="1"/>
  <c r="V565" i="2"/>
  <c r="W565" i="2" s="1"/>
  <c r="V419" i="2"/>
  <c r="W419" i="2" s="1"/>
  <c r="V363" i="2"/>
  <c r="W363" i="2" s="1"/>
  <c r="V518" i="2"/>
  <c r="W518" i="2" s="1"/>
  <c r="AC518" i="2" s="1"/>
  <c r="AE518" i="2" s="1"/>
  <c r="V459" i="2"/>
  <c r="W459" i="2" s="1"/>
  <c r="V307" i="2"/>
  <c r="W307" i="2" s="1"/>
  <c r="AN307" i="2" s="1"/>
  <c r="V255" i="2"/>
  <c r="W255" i="2" s="1"/>
  <c r="V557" i="2"/>
  <c r="W557" i="2" s="1"/>
  <c r="V399" i="2"/>
  <c r="W399" i="2" s="1"/>
  <c r="V343" i="2"/>
  <c r="W343" i="2" s="1"/>
  <c r="V263" i="2"/>
  <c r="W263" i="2" s="1"/>
  <c r="V467" i="2"/>
  <c r="W467" i="2" s="1"/>
  <c r="V271" i="2"/>
  <c r="W271" i="2" s="1"/>
  <c r="V582" i="2"/>
  <c r="W582" i="2" s="1"/>
  <c r="V558" i="2"/>
  <c r="W558" i="2" s="1"/>
  <c r="V420" i="2"/>
  <c r="W420" i="2" s="1"/>
  <c r="V396" i="2"/>
  <c r="W396" i="2" s="1"/>
  <c r="V372" i="2"/>
  <c r="W372" i="2" s="1"/>
  <c r="V348" i="2"/>
  <c r="W348" i="2" s="1"/>
  <c r="V496" i="2"/>
  <c r="W496" i="2" s="1"/>
  <c r="V448" i="2"/>
  <c r="W448" i="2" s="1"/>
  <c r="V296" i="2"/>
  <c r="W296" i="2" s="1"/>
  <c r="V256" i="2"/>
  <c r="W256" i="2" s="1"/>
  <c r="V480" i="2"/>
  <c r="W480" i="2" s="1"/>
  <c r="V316" i="2"/>
  <c r="W316" i="2" s="1"/>
  <c r="AT316" i="2" s="1"/>
  <c r="V260" i="2"/>
  <c r="J302" i="32" s="1"/>
  <c r="V587" i="2"/>
  <c r="W587" i="2" s="1"/>
  <c r="V563" i="2"/>
  <c r="W563" i="2" s="1"/>
  <c r="V433" i="2"/>
  <c r="W433" i="2" s="1"/>
  <c r="V409" i="2"/>
  <c r="W409" i="2" s="1"/>
  <c r="V385" i="2"/>
  <c r="W385" i="2" s="1"/>
  <c r="V361" i="2"/>
  <c r="W361" i="2" s="1"/>
  <c r="V337" i="2"/>
  <c r="W337" i="2" s="1"/>
  <c r="V489" i="2"/>
  <c r="W489" i="2" s="1"/>
  <c r="V465" i="2"/>
  <c r="W465" i="2" s="1"/>
  <c r="V441" i="2"/>
  <c r="W441" i="2" s="1"/>
  <c r="V309" i="2"/>
  <c r="W309" i="2" s="1"/>
  <c r="AC309" i="2" s="1"/>
  <c r="AE309" i="2" s="1"/>
  <c r="V285" i="2"/>
  <c r="W285" i="2" s="1"/>
  <c r="V261" i="2"/>
  <c r="W261" i="2" s="1"/>
  <c r="V540" i="2"/>
  <c r="W540" i="2" s="1"/>
  <c r="V588" i="2"/>
  <c r="W588" i="2" s="1"/>
  <c r="V564" i="2"/>
  <c r="W564" i="2" s="1"/>
  <c r="V430" i="2"/>
  <c r="W430" i="2" s="1"/>
  <c r="AT430" i="2" s="1"/>
  <c r="V406" i="2"/>
  <c r="W406" i="2" s="1"/>
  <c r="V382" i="2"/>
  <c r="W382" i="2" s="1"/>
  <c r="V358" i="2"/>
  <c r="W358" i="2" s="1"/>
  <c r="V334" i="2"/>
  <c r="W334" i="2" s="1"/>
  <c r="V537" i="2"/>
  <c r="W537" i="2" s="1"/>
  <c r="V502" i="2"/>
  <c r="W502" i="2" s="1"/>
  <c r="V561" i="2"/>
  <c r="W561" i="2" s="1"/>
  <c r="V514" i="2"/>
  <c r="W514" i="2" s="1"/>
  <c r="AC514" i="2" s="1"/>
  <c r="AE514" i="2" s="1"/>
  <c r="V532" i="2"/>
  <c r="W532" i="2" s="1"/>
  <c r="V482" i="2"/>
  <c r="W482" i="2" s="1"/>
  <c r="V458" i="2"/>
  <c r="W458" i="2" s="1"/>
  <c r="V326" i="2"/>
  <c r="W326" i="2" s="1"/>
  <c r="V302" i="2"/>
  <c r="W302" i="2" s="1"/>
  <c r="AC302" i="2" s="1"/>
  <c r="AE302" i="2" s="1"/>
  <c r="V278" i="2"/>
  <c r="W278" i="2" s="1"/>
  <c r="V254" i="2"/>
  <c r="W254" i="2" s="1"/>
  <c r="V534" i="2"/>
  <c r="W534" i="2" s="1"/>
  <c r="V407" i="2"/>
  <c r="W407" i="2" s="1"/>
  <c r="V359" i="2"/>
  <c r="W359" i="2" s="1"/>
  <c r="V495" i="2"/>
  <c r="W495" i="2" s="1"/>
  <c r="V451" i="2"/>
  <c r="W451" i="2" s="1"/>
  <c r="V303" i="2"/>
  <c r="W303" i="2" s="1"/>
  <c r="V247" i="2"/>
  <c r="W247" i="2" s="1"/>
  <c r="AT247" i="2" s="1"/>
  <c r="V391" i="2"/>
  <c r="W391" i="2" s="1"/>
  <c r="V335" i="2"/>
  <c r="W335" i="2" s="1"/>
  <c r="V251" i="2"/>
  <c r="W251" i="2" s="1"/>
  <c r="V455" i="2"/>
  <c r="W455" i="2" s="1"/>
  <c r="V259" i="2"/>
  <c r="W259" i="2" s="1"/>
  <c r="V578" i="2"/>
  <c r="W578" i="2" s="1"/>
  <c r="V515" i="2"/>
  <c r="W515" i="2" s="1"/>
  <c r="AC515" i="2" s="1"/>
  <c r="AE515" i="2" s="1"/>
  <c r="V416" i="2"/>
  <c r="W416" i="2" s="1"/>
  <c r="V392" i="2"/>
  <c r="W392" i="2" s="1"/>
  <c r="V368" i="2"/>
  <c r="W368" i="2" s="1"/>
  <c r="V344" i="2"/>
  <c r="W344" i="2" s="1"/>
  <c r="V484" i="2"/>
  <c r="W484" i="2" s="1"/>
  <c r="V440" i="2"/>
  <c r="W440" i="2" s="1"/>
  <c r="V292" i="2"/>
  <c r="W292" i="2" s="1"/>
  <c r="V248" i="2"/>
  <c r="W248" i="2" s="1"/>
  <c r="V468" i="2"/>
  <c r="W468" i="2" s="1"/>
  <c r="V308" i="2"/>
  <c r="W308" i="2" s="1"/>
  <c r="V252" i="2"/>
  <c r="W252" i="2" s="1"/>
  <c r="V551" i="2"/>
  <c r="W551" i="2" s="1"/>
  <c r="V527" i="2"/>
  <c r="W527" i="2" s="1"/>
  <c r="AC527" i="2" s="1"/>
  <c r="AE527" i="2" s="1"/>
  <c r="V536" i="2"/>
  <c r="W536" i="2" s="1"/>
  <c r="V583" i="2"/>
  <c r="W583" i="2" s="1"/>
  <c r="V559" i="2"/>
  <c r="W559" i="2" s="1"/>
  <c r="V429" i="2"/>
  <c r="W429" i="2" s="1"/>
  <c r="AC429" i="2" s="1"/>
  <c r="AE429" i="2" s="1"/>
  <c r="V405" i="2"/>
  <c r="W405" i="2" s="1"/>
  <c r="V381" i="2"/>
  <c r="W381" i="2" s="1"/>
  <c r="V357" i="2"/>
  <c r="W357" i="2" s="1"/>
  <c r="V333" i="2"/>
  <c r="W333" i="2" s="1"/>
  <c r="V485" i="2"/>
  <c r="W485" i="2" s="1"/>
  <c r="V461" i="2"/>
  <c r="W461" i="2" s="1"/>
  <c r="V437" i="2"/>
  <c r="W437" i="2" s="1"/>
  <c r="V305" i="2"/>
  <c r="W305" i="2" s="1"/>
  <c r="V281" i="2"/>
  <c r="W281" i="2" s="1"/>
  <c r="V257" i="2"/>
  <c r="W257" i="2" s="1"/>
  <c r="V584" i="2"/>
  <c r="W584" i="2" s="1"/>
  <c r="V560" i="2"/>
  <c r="W560" i="2" s="1"/>
  <c r="V426" i="2"/>
  <c r="W426" i="2" s="1"/>
  <c r="V402" i="2"/>
  <c r="W402" i="2" s="1"/>
  <c r="V378" i="2"/>
  <c r="W378" i="2" s="1"/>
  <c r="AC378" i="2" s="1"/>
  <c r="AE378" i="2" s="1"/>
  <c r="V354" i="2"/>
  <c r="W354" i="2" s="1"/>
  <c r="AC354" i="2" s="1"/>
  <c r="AE354" i="2" s="1"/>
  <c r="V330" i="2"/>
  <c r="W330" i="2" s="1"/>
  <c r="V538" i="2"/>
  <c r="W538" i="2" s="1"/>
  <c r="V554" i="2"/>
  <c r="W554" i="2" s="1"/>
  <c r="V574" i="2"/>
  <c r="W574" i="2" s="1"/>
  <c r="V476" i="2"/>
  <c r="W476" i="2" s="1"/>
  <c r="V464" i="2"/>
  <c r="W464" i="2" s="1"/>
  <c r="V579" i="2"/>
  <c r="W579" i="2" s="1"/>
  <c r="V555" i="2"/>
  <c r="W555" i="2" s="1"/>
  <c r="V520" i="2"/>
  <c r="W520" i="2" s="1"/>
  <c r="AT520" i="2" s="1"/>
  <c r="V556" i="2"/>
  <c r="W556" i="2" s="1"/>
  <c r="V478" i="2"/>
  <c r="W478" i="2" s="1"/>
  <c r="V454" i="2"/>
  <c r="W454" i="2" s="1"/>
  <c r="V322" i="2"/>
  <c r="W322" i="2" s="1"/>
  <c r="V298" i="2"/>
  <c r="W298" i="2" s="1"/>
  <c r="V274" i="2"/>
  <c r="W274" i="2" s="1"/>
  <c r="V250" i="2"/>
  <c r="W250" i="2" s="1"/>
  <c r="V503" i="2"/>
  <c r="W503" i="2" s="1"/>
  <c r="AT503" i="2" s="1"/>
  <c r="V533" i="2"/>
  <c r="W533" i="2" s="1"/>
  <c r="V498" i="2"/>
  <c r="W498" i="2" s="1"/>
  <c r="V510" i="2"/>
  <c r="W510" i="2" s="1"/>
  <c r="V395" i="2"/>
  <c r="W395" i="2" s="1"/>
  <c r="V355" i="2"/>
  <c r="W355" i="2" s="1"/>
  <c r="V487" i="2"/>
  <c r="W487" i="2" s="1"/>
  <c r="V443" i="2"/>
  <c r="W443" i="2" s="1"/>
  <c r="V291" i="2"/>
  <c r="W291" i="2" s="1"/>
  <c r="V435" i="2"/>
  <c r="W435" i="2" s="1"/>
  <c r="V383" i="2"/>
  <c r="W383" i="2" s="1"/>
  <c r="V331" i="2"/>
  <c r="W331" i="2" s="1"/>
  <c r="V244" i="2"/>
  <c r="W244" i="2" s="1"/>
  <c r="V447" i="2"/>
  <c r="W447" i="2" s="1"/>
  <c r="V511" i="2"/>
  <c r="W511" i="2" s="1"/>
  <c r="V412" i="2"/>
  <c r="W412" i="2" s="1"/>
  <c r="V388" i="2"/>
  <c r="W388" i="2" s="1"/>
  <c r="V364" i="2"/>
  <c r="W364" i="2" s="1"/>
  <c r="V340" i="2"/>
  <c r="W340" i="2" s="1"/>
  <c r="V436" i="2"/>
  <c r="W436" i="2" s="1"/>
  <c r="AT436" i="2" s="1"/>
  <c r="V284" i="2"/>
  <c r="W284" i="2" s="1"/>
  <c r="V241" i="2"/>
  <c r="W241" i="2" s="1"/>
  <c r="V300" i="2"/>
  <c r="W300" i="2" s="1"/>
  <c r="AT300" i="2" s="1"/>
  <c r="V547" i="2"/>
  <c r="W547" i="2" s="1"/>
  <c r="V523" i="2"/>
  <c r="W523" i="2" s="1"/>
  <c r="V524" i="2"/>
  <c r="W524" i="2" s="1"/>
  <c r="AN524" i="2" s="1"/>
  <c r="V425" i="2"/>
  <c r="W425" i="2" s="1"/>
  <c r="V401" i="2"/>
  <c r="W401" i="2" s="1"/>
  <c r="V377" i="2"/>
  <c r="W377" i="2" s="1"/>
  <c r="V353" i="2"/>
  <c r="W353" i="2" s="1"/>
  <c r="V329" i="2"/>
  <c r="W329" i="2" s="1"/>
  <c r="V481" i="2"/>
  <c r="W481" i="2" s="1"/>
  <c r="V457" i="2"/>
  <c r="W457" i="2" s="1"/>
  <c r="V325" i="2"/>
  <c r="W325" i="2" s="1"/>
  <c r="AT325" i="2" s="1"/>
  <c r="V301" i="2"/>
  <c r="W301" i="2" s="1"/>
  <c r="V277" i="2"/>
  <c r="W277" i="2" s="1"/>
  <c r="V253" i="2"/>
  <c r="W253" i="2" s="1"/>
  <c r="V580" i="2"/>
  <c r="W580" i="2" s="1"/>
  <c r="V422" i="2"/>
  <c r="W422" i="2" s="1"/>
  <c r="V398" i="2"/>
  <c r="W398" i="2" s="1"/>
  <c r="V374" i="2"/>
  <c r="W374" i="2" s="1"/>
  <c r="V350" i="2"/>
  <c r="W350" i="2" s="1"/>
  <c r="V519" i="2"/>
  <c r="W519" i="2" s="1"/>
  <c r="AT519" i="2" s="1"/>
  <c r="V543" i="2"/>
  <c r="W543" i="2" s="1"/>
  <c r="V526" i="2"/>
  <c r="W526" i="2" s="1"/>
  <c r="AC526" i="2" s="1"/>
  <c r="AE526" i="2" s="1"/>
  <c r="V548" i="2"/>
  <c r="W548" i="2" s="1"/>
  <c r="AC548" i="2" s="1"/>
  <c r="AE548" i="2" s="1"/>
  <c r="V513" i="2"/>
  <c r="W513" i="2" s="1"/>
  <c r="AT513" i="2" s="1"/>
  <c r="V517" i="2"/>
  <c r="W517" i="2" s="1"/>
  <c r="AT517" i="2" s="1"/>
  <c r="V474" i="2"/>
  <c r="W474" i="2" s="1"/>
  <c r="V450" i="2"/>
  <c r="W450" i="2" s="1"/>
  <c r="V318" i="2"/>
  <c r="W318" i="2" s="1"/>
  <c r="V294" i="2"/>
  <c r="W294" i="2" s="1"/>
  <c r="AT294" i="2" s="1"/>
  <c r="V270" i="2"/>
  <c r="W270" i="2" s="1"/>
  <c r="AT270" i="2" s="1"/>
  <c r="V246" i="2"/>
  <c r="W246" i="2" s="1"/>
  <c r="AC246" i="2" s="1"/>
  <c r="AE246" i="2" s="1"/>
  <c r="V553" i="2"/>
  <c r="W553" i="2" s="1"/>
  <c r="V529" i="2"/>
  <c r="W529" i="2" s="1"/>
  <c r="V581" i="2"/>
  <c r="W581" i="2" s="1"/>
  <c r="V431" i="2"/>
  <c r="W431" i="2" s="1"/>
  <c r="V387" i="2"/>
  <c r="W387" i="2" s="1"/>
  <c r="V347" i="2"/>
  <c r="W347" i="2" s="1"/>
  <c r="V479" i="2"/>
  <c r="W479" i="2" s="1"/>
  <c r="V439" i="2"/>
  <c r="W439" i="2" s="1"/>
  <c r="V287" i="2"/>
  <c r="W287" i="2" s="1"/>
  <c r="V499" i="2"/>
  <c r="W499" i="2" s="1"/>
  <c r="V415" i="2"/>
  <c r="W415" i="2" s="1"/>
  <c r="V375" i="2"/>
  <c r="W375" i="2" s="1"/>
  <c r="AT375" i="2" s="1"/>
  <c r="V295" i="2"/>
  <c r="W295" i="2" s="1"/>
  <c r="V491" i="2"/>
  <c r="W491" i="2" s="1"/>
  <c r="V319" i="2"/>
  <c r="W319" i="2" s="1"/>
  <c r="V542" i="2"/>
  <c r="W542" i="2" s="1"/>
  <c r="V570" i="2"/>
  <c r="W570" i="2" s="1"/>
  <c r="V432" i="2"/>
  <c r="W432" i="2" s="1"/>
  <c r="V408" i="2"/>
  <c r="W408" i="2" s="1"/>
  <c r="V384" i="2"/>
  <c r="W384" i="2" s="1"/>
  <c r="V360" i="2"/>
  <c r="W360" i="2" s="1"/>
  <c r="V336" i="2"/>
  <c r="W336" i="2" s="1"/>
  <c r="V472" i="2"/>
  <c r="W472" i="2" s="1"/>
  <c r="V320" i="2"/>
  <c r="W320" i="2" s="1"/>
  <c r="V280" i="2"/>
  <c r="W280" i="2" s="1"/>
  <c r="V452" i="2"/>
  <c r="W452" i="2" s="1"/>
  <c r="V288" i="2"/>
  <c r="W288" i="2" s="1"/>
  <c r="V504" i="2"/>
  <c r="W504" i="2" s="1"/>
  <c r="AC504" i="2" s="1"/>
  <c r="AE504" i="2" s="1"/>
  <c r="V501" i="2"/>
  <c r="W501" i="2" s="1"/>
  <c r="V575" i="2"/>
  <c r="W575" i="2" s="1"/>
  <c r="V516" i="2"/>
  <c r="W516" i="2" s="1"/>
  <c r="V421" i="2"/>
  <c r="W421" i="2" s="1"/>
  <c r="V397" i="2"/>
  <c r="W397" i="2" s="1"/>
  <c r="V373" i="2"/>
  <c r="W373" i="2" s="1"/>
  <c r="V349" i="2"/>
  <c r="W349" i="2" s="1"/>
  <c r="V477" i="2"/>
  <c r="W477" i="2" s="1"/>
  <c r="V453" i="2"/>
  <c r="W453" i="2" s="1"/>
  <c r="V321" i="2"/>
  <c r="W321" i="2" s="1"/>
  <c r="AC321" i="2" s="1"/>
  <c r="AE321" i="2" s="1"/>
  <c r="V297" i="2"/>
  <c r="W297" i="2" s="1"/>
  <c r="V273" i="2"/>
  <c r="W273" i="2" s="1"/>
  <c r="V249" i="2"/>
  <c r="W249" i="2" s="1"/>
  <c r="V576" i="2"/>
  <c r="W576" i="2" s="1"/>
  <c r="V418" i="2"/>
  <c r="W418" i="2" s="1"/>
  <c r="V394" i="2"/>
  <c r="W394" i="2" s="1"/>
  <c r="V370" i="2"/>
  <c r="W370" i="2" s="1"/>
  <c r="V346" i="2"/>
  <c r="W346" i="2" s="1"/>
  <c r="V494" i="2"/>
  <c r="W494" i="2" s="1"/>
  <c r="V549" i="2"/>
  <c r="W549" i="2" s="1"/>
  <c r="V525" i="2"/>
  <c r="W525" i="2" s="1"/>
  <c r="AT525" i="2" s="1"/>
  <c r="Z894" i="2"/>
  <c r="W812" i="2"/>
  <c r="W824" i="2"/>
  <c r="AT824" i="2" s="1"/>
  <c r="AB21" i="2"/>
  <c r="AF21" i="2" s="1"/>
  <c r="W785" i="2"/>
  <c r="AT785" i="2" s="1"/>
  <c r="W814" i="2"/>
  <c r="W787" i="2"/>
  <c r="AT787" i="2" s="1"/>
  <c r="W816" i="2"/>
  <c r="AT816" i="2" s="1"/>
  <c r="W844" i="2"/>
  <c r="W150" i="2"/>
  <c r="AT150" i="2" s="1"/>
  <c r="W980" i="2"/>
  <c r="AC980" i="2" s="1"/>
  <c r="AE980" i="2" s="1"/>
  <c r="W940" i="2"/>
  <c r="AT940" i="2" s="1"/>
  <c r="W923" i="2"/>
  <c r="AT923" i="2" s="1"/>
  <c r="W969" i="2"/>
  <c r="AN969" i="2" s="1"/>
  <c r="W957" i="2"/>
  <c r="AN957" i="2" s="1"/>
  <c r="W943" i="2"/>
  <c r="AN943" i="2" s="1"/>
  <c r="W955" i="2"/>
  <c r="AT955" i="2" s="1"/>
  <c r="W941" i="2"/>
  <c r="AT941" i="2" s="1"/>
  <c r="W1000" i="2"/>
  <c r="AC1000" i="2" s="1"/>
  <c r="AE1000" i="2" s="1"/>
  <c r="W932" i="2"/>
  <c r="AN932" i="2" s="1"/>
  <c r="W828" i="2"/>
  <c r="AT828" i="2" s="1"/>
  <c r="W602" i="2"/>
  <c r="AT602" i="2" s="1"/>
  <c r="W842" i="2"/>
  <c r="AT842" i="2" s="1"/>
  <c r="W700" i="2"/>
  <c r="AT700" i="2" s="1"/>
  <c r="W970" i="2"/>
  <c r="AT970" i="2" s="1"/>
  <c r="W917" i="2"/>
  <c r="AT917" i="2" s="1"/>
  <c r="W934" i="2"/>
  <c r="AT934" i="2" s="1"/>
  <c r="W938" i="2"/>
  <c r="AC938" i="2" s="1"/>
  <c r="AE938" i="2" s="1"/>
  <c r="W960" i="2"/>
  <c r="AT960" i="2" s="1"/>
  <c r="W976" i="2"/>
  <c r="AT976" i="2" s="1"/>
  <c r="W929" i="2"/>
  <c r="AT929" i="2" s="1"/>
  <c r="W982" i="2"/>
  <c r="AT982" i="2" s="1"/>
  <c r="W927" i="2"/>
  <c r="AT927" i="2" s="1"/>
  <c r="W987" i="2"/>
  <c r="AT987" i="2" s="1"/>
  <c r="W996" i="2"/>
  <c r="AT996" i="2" s="1"/>
  <c r="W911" i="2"/>
  <c r="AT911" i="2" s="1"/>
  <c r="W855" i="2"/>
  <c r="AN855" i="2" s="1"/>
  <c r="W668" i="2"/>
  <c r="AT668" i="2" s="1"/>
  <c r="W639" i="2"/>
  <c r="AT639" i="2" s="1"/>
  <c r="W607" i="2"/>
  <c r="AT607" i="2" s="1"/>
  <c r="W592" i="2"/>
  <c r="AT592" i="2" s="1"/>
  <c r="W902" i="2"/>
  <c r="AT902" i="2" s="1"/>
  <c r="W868" i="2"/>
  <c r="AT868" i="2" s="1"/>
  <c r="W950" i="2"/>
  <c r="AC950" i="2" s="1"/>
  <c r="AE950" i="2" s="1"/>
  <c r="W999" i="2"/>
  <c r="AT999" i="2" s="1"/>
  <c r="W922" i="2"/>
  <c r="AN922" i="2" s="1"/>
  <c r="W974" i="2"/>
  <c r="AT974" i="2" s="1"/>
  <c r="W945" i="2"/>
  <c r="AT945" i="2" s="1"/>
  <c r="W958" i="2"/>
  <c r="AT958" i="2" s="1"/>
  <c r="W990" i="2"/>
  <c r="AT990" i="2" s="1"/>
  <c r="W975" i="2"/>
  <c r="AN975" i="2" s="1"/>
  <c r="W926" i="2"/>
  <c r="AT926" i="2" s="1"/>
  <c r="W928" i="2"/>
  <c r="AT928" i="2" s="1"/>
  <c r="W688" i="2"/>
  <c r="AT688" i="2" s="1"/>
  <c r="W609" i="2"/>
  <c r="AN609" i="2" s="1"/>
  <c r="W677" i="2"/>
  <c r="AT677" i="2" s="1"/>
  <c r="W836" i="2"/>
  <c r="AT836" i="2" s="1"/>
  <c r="W914" i="2"/>
  <c r="AC914" i="2" s="1"/>
  <c r="AE914" i="2" s="1"/>
  <c r="W994" i="2"/>
  <c r="AN994" i="2" s="1"/>
  <c r="W959" i="2"/>
  <c r="AC959" i="2" s="1"/>
  <c r="AE959" i="2" s="1"/>
  <c r="W986" i="2"/>
  <c r="AT986" i="2" s="1"/>
  <c r="W924" i="2"/>
  <c r="AN924" i="2" s="1"/>
  <c r="W997" i="2"/>
  <c r="AN997" i="2" s="1"/>
  <c r="W930" i="2"/>
  <c r="AN930" i="2" s="1"/>
  <c r="W978" i="2"/>
  <c r="AT978" i="2" s="1"/>
  <c r="W962" i="2"/>
  <c r="W935" i="2"/>
  <c r="AT935" i="2" s="1"/>
  <c r="W946" i="2"/>
  <c r="W947" i="2"/>
  <c r="W992" i="2"/>
  <c r="AT992" i="2" s="1"/>
  <c r="W968" i="2"/>
  <c r="W944" i="2"/>
  <c r="W867" i="2"/>
  <c r="AN867" i="2" s="1"/>
  <c r="W964" i="2"/>
  <c r="W949" i="2"/>
  <c r="AC949" i="2" s="1"/>
  <c r="AE949" i="2" s="1"/>
  <c r="W995" i="2"/>
  <c r="AC995" i="2" s="1"/>
  <c r="AE995" i="2" s="1"/>
  <c r="W885" i="2"/>
  <c r="AT885" i="2" s="1"/>
  <c r="W954" i="2"/>
  <c r="AN954" i="2" s="1"/>
  <c r="W896" i="2"/>
  <c r="AT896" i="2" s="1"/>
  <c r="W983" i="2"/>
  <c r="W971" i="2"/>
  <c r="W952" i="2"/>
  <c r="AT952" i="2" s="1"/>
  <c r="W901" i="2"/>
  <c r="AT901" i="2" s="1"/>
  <c r="W876" i="2"/>
  <c r="AT876" i="2" s="1"/>
  <c r="W888" i="2"/>
  <c r="AT888" i="2" s="1"/>
  <c r="W869" i="2"/>
  <c r="W939" i="2"/>
  <c r="AC939" i="2" s="1"/>
  <c r="AE939" i="2" s="1"/>
  <c r="W951" i="2"/>
  <c r="AC951" i="2" s="1"/>
  <c r="AE951" i="2" s="1"/>
  <c r="W936" i="2"/>
  <c r="AN936" i="2" s="1"/>
  <c r="W882" i="2"/>
  <c r="AT882" i="2" s="1"/>
  <c r="W890" i="2"/>
  <c r="AN890" i="2" s="1"/>
  <c r="W895" i="2"/>
  <c r="AT895" i="2" s="1"/>
  <c r="W920" i="2"/>
  <c r="AT920" i="2" s="1"/>
  <c r="W984" i="2"/>
  <c r="AT984" i="2" s="1"/>
  <c r="W925" i="2"/>
  <c r="W921" i="2"/>
  <c r="W931" i="2"/>
  <c r="AT931" i="2" s="1"/>
  <c r="W956" i="2"/>
  <c r="W989" i="2"/>
  <c r="W998" i="2"/>
  <c r="AT998" i="2" s="1"/>
  <c r="W985" i="2"/>
  <c r="W973" i="2"/>
  <c r="W910" i="2"/>
  <c r="AT910" i="2" s="1"/>
  <c r="W912" i="2"/>
  <c r="AT912" i="2" s="1"/>
  <c r="W963" i="2"/>
  <c r="AT963" i="2" s="1"/>
  <c r="W993" i="2"/>
  <c r="AT993" i="2" s="1"/>
  <c r="W942" i="2"/>
  <c r="AT942" i="2" s="1"/>
  <c r="W977" i="2"/>
  <c r="AT977" i="2" s="1"/>
  <c r="W965" i="2"/>
  <c r="AN965" i="2" s="1"/>
  <c r="W953" i="2"/>
  <c r="AN953" i="2" s="1"/>
  <c r="W961" i="2"/>
  <c r="AN961" i="2" s="1"/>
  <c r="W948" i="2"/>
  <c r="AN948" i="2" s="1"/>
  <c r="W875" i="2"/>
  <c r="AT875" i="2" s="1"/>
  <c r="W682" i="2"/>
  <c r="AT682" i="2" s="1"/>
  <c r="W757" i="2"/>
  <c r="AT757" i="2" s="1"/>
  <c r="W848" i="2"/>
  <c r="W763" i="2"/>
  <c r="AT763" i="2" s="1"/>
  <c r="W803" i="2"/>
  <c r="AN803" i="2" s="1"/>
  <c r="W815" i="2"/>
  <c r="AT815" i="2" s="1"/>
  <c r="W795" i="2"/>
  <c r="AT795" i="2" s="1"/>
  <c r="W686" i="2"/>
  <c r="AT686" i="2" s="1"/>
  <c r="W618" i="2"/>
  <c r="AT618" i="2" s="1"/>
  <c r="W673" i="2"/>
  <c r="AT673" i="2" s="1"/>
  <c r="W627" i="2"/>
  <c r="AT627" i="2" s="1"/>
  <c r="W786" i="2"/>
  <c r="AT786" i="2" s="1"/>
  <c r="W658" i="2"/>
  <c r="AT658" i="2" s="1"/>
  <c r="W676" i="2"/>
  <c r="AC676" i="2" s="1"/>
  <c r="AE676" i="2" s="1"/>
  <c r="W873" i="2"/>
  <c r="AC873" i="2" s="1"/>
  <c r="AE873" i="2" s="1"/>
  <c r="W966" i="2"/>
  <c r="AT966" i="2" s="1"/>
  <c r="W972" i="2"/>
  <c r="AC972" i="2" s="1"/>
  <c r="AE972" i="2" s="1"/>
  <c r="W981" i="2"/>
  <c r="AT981" i="2" s="1"/>
  <c r="W991" i="2"/>
  <c r="AN991" i="2" s="1"/>
  <c r="W979" i="2"/>
  <c r="AC979" i="2" s="1"/>
  <c r="AE979" i="2" s="1"/>
  <c r="W967" i="2"/>
  <c r="AN967" i="2" s="1"/>
  <c r="W988" i="2"/>
  <c r="AN988" i="2" s="1"/>
  <c r="W937" i="2"/>
  <c r="AT937" i="2" s="1"/>
  <c r="W933" i="2"/>
  <c r="AT933" i="2" s="1"/>
  <c r="W887" i="2"/>
  <c r="AT887" i="2" s="1"/>
  <c r="W830" i="2"/>
  <c r="AT830" i="2" s="1"/>
  <c r="W629" i="2"/>
  <c r="AN629" i="2" s="1"/>
  <c r="W608" i="2"/>
  <c r="AT608" i="2" s="1"/>
  <c r="W684" i="2"/>
  <c r="AT684" i="2" s="1"/>
  <c r="W706" i="2"/>
  <c r="AT706" i="2" s="1"/>
  <c r="W601" i="2"/>
  <c r="AT601" i="2" s="1"/>
  <c r="W772" i="2"/>
  <c r="W858" i="2"/>
  <c r="AT858" i="2" s="1"/>
  <c r="W779" i="2"/>
  <c r="AT779" i="2" s="1"/>
  <c r="W793" i="2"/>
  <c r="AN793" i="2" s="1"/>
  <c r="W732" i="2"/>
  <c r="W742" i="2"/>
  <c r="W600" i="2"/>
  <c r="AT600" i="2" s="1"/>
  <c r="W762" i="2"/>
  <c r="AT762" i="2" s="1"/>
  <c r="F309" i="32"/>
  <c r="AN913" i="2"/>
  <c r="AN727" i="2"/>
  <c r="AN821" i="2"/>
  <c r="AC907" i="2"/>
  <c r="AE907" i="2" s="1"/>
  <c r="AC870" i="2"/>
  <c r="AE870" i="2" s="1"/>
  <c r="AC913" i="2"/>
  <c r="AE913" i="2" s="1"/>
  <c r="AC792" i="2"/>
  <c r="AE792" i="2" s="1"/>
  <c r="AC872" i="2"/>
  <c r="AE872" i="2" s="1"/>
  <c r="AC768" i="2"/>
  <c r="AE768" i="2" s="1"/>
  <c r="AC727" i="2"/>
  <c r="AE727" i="2" s="1"/>
  <c r="AC810" i="2"/>
  <c r="AE810" i="2" s="1"/>
  <c r="AN872" i="2"/>
  <c r="AN810" i="2"/>
  <c r="AC720" i="2"/>
  <c r="AE720" i="2" s="1"/>
  <c r="AN792" i="2"/>
  <c r="AN768" i="2"/>
  <c r="AN907" i="2"/>
  <c r="AN619" i="2"/>
  <c r="AN589" i="2"/>
  <c r="AN916" i="2"/>
  <c r="AN850" i="2"/>
  <c r="AC589" i="2"/>
  <c r="AE589" i="2" s="1"/>
  <c r="AC821" i="2"/>
  <c r="AE821" i="2" s="1"/>
  <c r="AN870" i="2"/>
  <c r="AC892" i="2"/>
  <c r="AE892" i="2" s="1"/>
  <c r="AC898" i="2"/>
  <c r="AE898" i="2" s="1"/>
  <c r="AC831" i="2"/>
  <c r="AE831" i="2" s="1"/>
  <c r="AN806" i="2"/>
  <c r="AC595" i="2"/>
  <c r="AE595" i="2" s="1"/>
  <c r="AC891" i="2"/>
  <c r="AE891" i="2" s="1"/>
  <c r="AN881" i="2"/>
  <c r="AC820" i="2"/>
  <c r="AE820" i="2" s="1"/>
  <c r="AN833" i="2"/>
  <c r="AN846" i="2"/>
  <c r="AN856" i="2"/>
  <c r="AC841" i="2"/>
  <c r="AE841" i="2" s="1"/>
  <c r="AN594" i="2"/>
  <c r="AN841" i="2"/>
  <c r="AC861" i="2"/>
  <c r="AE861" i="2" s="1"/>
  <c r="AN861" i="2"/>
  <c r="AC886" i="2"/>
  <c r="AE886" i="2" s="1"/>
  <c r="AC594" i="2"/>
  <c r="AE594" i="2" s="1"/>
  <c r="AN825" i="2"/>
  <c r="AC825" i="2"/>
  <c r="AE825" i="2" s="1"/>
  <c r="AC880" i="2"/>
  <c r="AE880" i="2" s="1"/>
  <c r="AC736" i="2"/>
  <c r="AE736" i="2" s="1"/>
  <c r="AC798" i="2"/>
  <c r="AE798" i="2" s="1"/>
  <c r="AC846" i="2"/>
  <c r="AE846" i="2" s="1"/>
  <c r="AN736" i="2"/>
  <c r="AC871" i="2"/>
  <c r="AE871" i="2" s="1"/>
  <c r="AC778" i="2"/>
  <c r="AE778" i="2" s="1"/>
  <c r="AC850" i="2"/>
  <c r="AE850" i="2" s="1"/>
  <c r="AC866" i="2"/>
  <c r="AE866" i="2" s="1"/>
  <c r="AC862" i="2"/>
  <c r="AE862" i="2" s="1"/>
  <c r="AC833" i="2"/>
  <c r="AE833" i="2" s="1"/>
  <c r="AN590" i="2"/>
  <c r="AC790" i="2"/>
  <c r="AE790" i="2" s="1"/>
  <c r="AC837" i="2"/>
  <c r="AE837" i="2" s="1"/>
  <c r="AC856" i="2"/>
  <c r="AE856" i="2" s="1"/>
  <c r="AN595" i="2"/>
  <c r="AC899" i="2"/>
  <c r="AE899" i="2" s="1"/>
  <c r="AC909" i="2"/>
  <c r="AE909" i="2" s="1"/>
  <c r="AC893" i="2"/>
  <c r="AE893" i="2" s="1"/>
  <c r="AN899" i="2"/>
  <c r="AC854" i="2"/>
  <c r="AE854" i="2" s="1"/>
  <c r="AC808" i="2"/>
  <c r="AE808" i="2" s="1"/>
  <c r="AN857" i="2"/>
  <c r="AC823" i="2"/>
  <c r="AE823" i="2" s="1"/>
  <c r="AC908" i="2"/>
  <c r="AE908" i="2" s="1"/>
  <c r="AN919" i="2"/>
  <c r="AC878" i="2"/>
  <c r="AE878" i="2" s="1"/>
  <c r="AC915" i="2"/>
  <c r="AE915" i="2" s="1"/>
  <c r="AC806" i="2"/>
  <c r="AE806" i="2" s="1"/>
  <c r="AC590" i="2"/>
  <c r="AE590" i="2" s="1"/>
  <c r="AC881" i="2"/>
  <c r="AE881" i="2" s="1"/>
  <c r="AC774" i="2"/>
  <c r="AE774" i="2" s="1"/>
  <c r="AC845" i="2"/>
  <c r="AE845" i="2" s="1"/>
  <c r="AC827" i="2"/>
  <c r="AE827" i="2" s="1"/>
  <c r="AT598" i="2"/>
  <c r="AC598" i="2"/>
  <c r="AE598" i="2" s="1"/>
  <c r="AN598" i="2"/>
  <c r="AC794" i="2"/>
  <c r="AE794" i="2" s="1"/>
  <c r="AC918" i="2"/>
  <c r="AE918" i="2" s="1"/>
  <c r="AC840" i="2"/>
  <c r="AE840" i="2" s="1"/>
  <c r="AC897" i="2"/>
  <c r="AE897" i="2" s="1"/>
  <c r="AC877" i="2"/>
  <c r="AE877" i="2" s="1"/>
  <c r="AC916" i="2"/>
  <c r="AE916" i="2" s="1"/>
  <c r="AC818" i="2"/>
  <c r="AE818" i="2" s="1"/>
  <c r="AC865" i="2"/>
  <c r="AE865" i="2" s="1"/>
  <c r="AC900" i="2"/>
  <c r="AE900" i="2" s="1"/>
  <c r="AC829" i="2"/>
  <c r="AE829" i="2" s="1"/>
  <c r="AC822" i="2"/>
  <c r="AE822" i="2" s="1"/>
  <c r="AN883" i="2"/>
  <c r="AN744" i="2"/>
  <c r="AC826" i="2"/>
  <c r="AE826" i="2" s="1"/>
  <c r="AC679" i="2"/>
  <c r="AE679" i="2" s="1"/>
  <c r="AC759" i="2"/>
  <c r="AE759" i="2" s="1"/>
  <c r="AC852" i="2"/>
  <c r="AE852" i="2" s="1"/>
  <c r="AC894" i="2"/>
  <c r="AE894" i="2" s="1"/>
  <c r="AC802" i="2"/>
  <c r="AE802" i="2" s="1"/>
  <c r="AC761" i="2"/>
  <c r="AE761" i="2" s="1"/>
  <c r="AN871" i="2"/>
  <c r="AN918" i="2"/>
  <c r="AC800" i="2"/>
  <c r="AE800" i="2" s="1"/>
  <c r="AC796" i="2"/>
  <c r="AE796" i="2" s="1"/>
  <c r="AC695" i="2"/>
  <c r="AE695" i="2" s="1"/>
  <c r="AN823" i="2"/>
  <c r="AN906" i="2"/>
  <c r="AC769" i="2"/>
  <c r="AE769" i="2" s="1"/>
  <c r="AC694" i="2"/>
  <c r="AE694" i="2" s="1"/>
  <c r="AC724" i="2"/>
  <c r="AE724" i="2" s="1"/>
  <c r="AN894" i="2"/>
  <c r="AC834" i="2"/>
  <c r="AE834" i="2" s="1"/>
  <c r="AC756" i="2"/>
  <c r="AE756" i="2" s="1"/>
  <c r="AC905" i="2"/>
  <c r="AE905" i="2" s="1"/>
  <c r="AN903" i="2"/>
  <c r="AC735" i="2"/>
  <c r="AE735" i="2" s="1"/>
  <c r="AC860" i="2"/>
  <c r="AE860" i="2" s="1"/>
  <c r="AC884" i="2"/>
  <c r="AE884" i="2" s="1"/>
  <c r="AC903" i="2"/>
  <c r="AE903" i="2" s="1"/>
  <c r="AC863" i="2"/>
  <c r="AE863" i="2" s="1"/>
  <c r="AN834" i="2"/>
  <c r="AN892" i="2"/>
  <c r="AN818" i="2"/>
  <c r="AN865" i="2"/>
  <c r="AN886" i="2"/>
  <c r="AC883" i="2"/>
  <c r="AE883" i="2" s="1"/>
  <c r="AC839" i="2"/>
  <c r="AE839" i="2" s="1"/>
  <c r="AN845" i="2"/>
  <c r="AN794" i="2"/>
  <c r="AC640" i="2"/>
  <c r="AE640" i="2" s="1"/>
  <c r="AC725" i="2"/>
  <c r="AE725" i="2" s="1"/>
  <c r="AC714" i="2"/>
  <c r="AE714" i="2" s="1"/>
  <c r="AN849" i="2"/>
  <c r="AC622" i="2"/>
  <c r="AE622" i="2" s="1"/>
  <c r="AN720" i="2"/>
  <c r="AN822" i="2"/>
  <c r="AN695" i="2"/>
  <c r="AC689" i="2"/>
  <c r="AE689" i="2" s="1"/>
  <c r="AN724" i="2"/>
  <c r="AN735" i="2"/>
  <c r="AN805" i="2"/>
  <c r="AN900" i="2"/>
  <c r="AC859" i="2"/>
  <c r="AE859" i="2" s="1"/>
  <c r="AC889" i="2"/>
  <c r="AE889" i="2" s="1"/>
  <c r="AC904" i="2"/>
  <c r="AE904" i="2" s="1"/>
  <c r="AC919" i="2"/>
  <c r="AE919" i="2" s="1"/>
  <c r="AC687" i="2"/>
  <c r="AE687" i="2" s="1"/>
  <c r="AC906" i="2"/>
  <c r="AE906" i="2" s="1"/>
  <c r="AC874" i="2"/>
  <c r="AE874" i="2" s="1"/>
  <c r="AC857" i="2"/>
  <c r="AE857" i="2" s="1"/>
  <c r="AN893" i="2"/>
  <c r="AN859" i="2"/>
  <c r="AN820" i="2"/>
  <c r="AN878" i="2"/>
  <c r="AC739" i="2"/>
  <c r="AE739" i="2" s="1"/>
  <c r="AC805" i="2"/>
  <c r="AE805" i="2" s="1"/>
  <c r="AC726" i="2"/>
  <c r="AE726" i="2" s="1"/>
  <c r="AN797" i="2"/>
  <c r="AN898" i="2"/>
  <c r="AN800" i="2"/>
  <c r="AN831" i="2"/>
  <c r="AC755" i="2"/>
  <c r="AE755" i="2" s="1"/>
  <c r="AN877" i="2"/>
  <c r="AC728" i="2"/>
  <c r="AE728" i="2" s="1"/>
  <c r="AC809" i="2"/>
  <c r="AE809" i="2" s="1"/>
  <c r="AN835" i="2"/>
  <c r="AN915" i="2"/>
  <c r="AC737" i="2"/>
  <c r="AE737" i="2" s="1"/>
  <c r="AN751" i="2"/>
  <c r="AC864" i="2"/>
  <c r="AE864" i="2" s="1"/>
  <c r="AC799" i="2"/>
  <c r="AE799" i="2" s="1"/>
  <c r="AC851" i="2"/>
  <c r="AE851" i="2" s="1"/>
  <c r="AN866" i="2"/>
  <c r="AN839" i="2"/>
  <c r="AC801" i="2"/>
  <c r="AE801" i="2" s="1"/>
  <c r="AC849" i="2"/>
  <c r="AE849" i="2" s="1"/>
  <c r="AC835" i="2"/>
  <c r="AE835" i="2" s="1"/>
  <c r="AN809" i="2"/>
  <c r="AN889" i="2"/>
  <c r="AN862" i="2"/>
  <c r="AN897" i="2"/>
  <c r="AC738" i="2"/>
  <c r="AE738" i="2" s="1"/>
  <c r="AN761" i="2"/>
  <c r="AN714" i="2"/>
  <c r="AN891" i="2"/>
  <c r="AC797" i="2"/>
  <c r="AE797" i="2" s="1"/>
  <c r="AN689" i="2"/>
  <c r="AN829" i="2"/>
  <c r="AN863" i="2"/>
  <c r="AN864" i="2"/>
  <c r="AC777" i="2"/>
  <c r="AE777" i="2" s="1"/>
  <c r="AN737" i="2"/>
  <c r="AN799" i="2"/>
  <c r="AN774" i="2"/>
  <c r="AN759" i="2"/>
  <c r="AN854" i="2"/>
  <c r="AN840" i="2"/>
  <c r="AN826" i="2"/>
  <c r="AC751" i="2"/>
  <c r="AE751" i="2" s="1"/>
  <c r="AC776" i="2"/>
  <c r="AE776" i="2" s="1"/>
  <c r="AN726" i="2"/>
  <c r="AN776" i="2"/>
  <c r="AN884" i="2"/>
  <c r="AC743" i="2"/>
  <c r="AE743" i="2" s="1"/>
  <c r="AN905" i="2"/>
  <c r="AN851" i="2"/>
  <c r="AN796" i="2"/>
  <c r="AN852" i="2"/>
  <c r="AN827" i="2"/>
  <c r="AN837" i="2"/>
  <c r="AN777" i="2"/>
  <c r="AN860" i="2"/>
  <c r="AN904" i="2"/>
  <c r="AN755" i="2"/>
  <c r="AN874" i="2"/>
  <c r="AN729" i="2"/>
  <c r="AC783" i="2"/>
  <c r="AE783" i="2" s="1"/>
  <c r="AN739" i="2"/>
  <c r="AN880" i="2"/>
  <c r="AN783" i="2"/>
  <c r="AN756" i="2"/>
  <c r="AN687" i="2"/>
  <c r="AN769" i="2"/>
  <c r="AN790" i="2"/>
  <c r="AN728" i="2"/>
  <c r="AN738" i="2"/>
  <c r="AN908" i="2"/>
  <c r="AN802" i="2"/>
  <c r="AN909" i="2"/>
  <c r="AN646" i="2"/>
  <c r="AC644" i="2"/>
  <c r="AE644" i="2" s="1"/>
  <c r="AN743" i="2"/>
  <c r="AN778" i="2"/>
  <c r="AN801" i="2"/>
  <c r="AN694" i="2"/>
  <c r="AC733" i="2"/>
  <c r="AE733" i="2" s="1"/>
  <c r="AN775" i="2"/>
  <c r="AC775" i="2"/>
  <c r="AE775" i="2" s="1"/>
  <c r="AC731" i="2"/>
  <c r="AE731" i="2" s="1"/>
  <c r="AN733" i="2"/>
  <c r="AC713" i="2"/>
  <c r="AE713" i="2" s="1"/>
  <c r="AN647" i="2"/>
  <c r="AC634" i="2"/>
  <c r="AE634" i="2" s="1"/>
  <c r="AN670" i="2"/>
  <c r="AC643" i="2"/>
  <c r="AE643" i="2" s="1"/>
  <c r="AC723" i="2"/>
  <c r="AE723" i="2" s="1"/>
  <c r="AC647" i="2"/>
  <c r="AE647" i="2" s="1"/>
  <c r="AC741" i="2"/>
  <c r="AE741" i="2" s="1"/>
  <c r="AN879" i="2"/>
  <c r="AC853" i="2"/>
  <c r="AE853" i="2" s="1"/>
  <c r="AC843" i="2"/>
  <c r="AE843" i="2" s="1"/>
  <c r="AN843" i="2"/>
  <c r="AN622" i="2"/>
  <c r="AN838" i="2"/>
  <c r="AC879" i="2"/>
  <c r="AE879" i="2" s="1"/>
  <c r="AC804" i="2"/>
  <c r="AE804" i="2" s="1"/>
  <c r="AC838" i="2"/>
  <c r="AE838" i="2" s="1"/>
  <c r="AC765" i="2"/>
  <c r="AE765" i="2" s="1"/>
  <c r="AN853" i="2"/>
  <c r="AN847" i="2"/>
  <c r="AN804" i="2"/>
  <c r="AN634" i="2"/>
  <c r="AC619" i="2"/>
  <c r="AE619" i="2" s="1"/>
  <c r="AN798" i="2"/>
  <c r="AN713" i="2"/>
  <c r="AC646" i="2"/>
  <c r="AE646" i="2" s="1"/>
  <c r="AC701" i="2"/>
  <c r="AE701" i="2" s="1"/>
  <c r="AN597" i="2"/>
  <c r="AN701" i="2"/>
  <c r="AN740" i="2"/>
  <c r="AN640" i="2"/>
  <c r="AN719" i="2"/>
  <c r="AN725" i="2"/>
  <c r="AN760" i="2"/>
  <c r="AC617" i="2"/>
  <c r="AE617" i="2" s="1"/>
  <c r="AN663" i="2"/>
  <c r="AN644" i="2"/>
  <c r="AN708" i="2"/>
  <c r="AC711" i="2"/>
  <c r="AE711" i="2" s="1"/>
  <c r="AC606" i="2"/>
  <c r="AE606" i="2" s="1"/>
  <c r="AC697" i="2"/>
  <c r="AE697" i="2" s="1"/>
  <c r="AC632" i="2"/>
  <c r="AE632" i="2" s="1"/>
  <c r="AC616" i="2"/>
  <c r="AE616" i="2" s="1"/>
  <c r="AN685" i="2"/>
  <c r="AN731" i="2"/>
  <c r="AC709" i="2"/>
  <c r="AE709" i="2" s="1"/>
  <c r="AC721" i="2"/>
  <c r="AE721" i="2" s="1"/>
  <c r="AN679" i="2"/>
  <c r="AC670" i="2"/>
  <c r="AE670" i="2" s="1"/>
  <c r="AC698" i="2"/>
  <c r="AE698" i="2" s="1"/>
  <c r="AC754" i="2"/>
  <c r="AE754" i="2" s="1"/>
  <c r="AC760" i="2"/>
  <c r="AE760" i="2" s="1"/>
  <c r="AC740" i="2"/>
  <c r="AE740" i="2" s="1"/>
  <c r="AN613" i="2"/>
  <c r="AN754" i="2"/>
  <c r="AC624" i="2"/>
  <c r="AE624" i="2" s="1"/>
  <c r="AC641" i="2"/>
  <c r="AE641" i="2" s="1"/>
  <c r="AC625" i="2"/>
  <c r="AE625" i="2" s="1"/>
  <c r="AC612" i="2"/>
  <c r="AE612" i="2" s="1"/>
  <c r="AC593" i="2"/>
  <c r="AE593" i="2" s="1"/>
  <c r="AN612" i="2"/>
  <c r="AC620" i="2"/>
  <c r="AE620" i="2" s="1"/>
  <c r="AC685" i="2"/>
  <c r="AE685" i="2" s="1"/>
  <c r="AC633" i="2"/>
  <c r="AE633" i="2" s="1"/>
  <c r="AC719" i="2"/>
  <c r="AE719" i="2" s="1"/>
  <c r="AN593" i="2"/>
  <c r="AN643" i="2"/>
  <c r="AN722" i="2"/>
  <c r="AN633" i="2"/>
  <c r="AN632" i="2"/>
  <c r="AC597" i="2"/>
  <c r="AE597" i="2" s="1"/>
  <c r="AN620" i="2"/>
  <c r="AN662" i="2"/>
  <c r="AN711" i="2"/>
  <c r="AN614" i="2"/>
  <c r="AN721" i="2"/>
  <c r="AC702" i="2"/>
  <c r="AE702" i="2" s="1"/>
  <c r="AN697" i="2"/>
  <c r="AC604" i="2"/>
  <c r="AE604" i="2" s="1"/>
  <c r="AC691" i="2"/>
  <c r="AE691" i="2" s="1"/>
  <c r="AC715" i="2"/>
  <c r="AE715" i="2" s="1"/>
  <c r="AC782" i="2"/>
  <c r="AE782" i="2" s="1"/>
  <c r="AC747" i="2"/>
  <c r="AE747" i="2" s="1"/>
  <c r="AC784" i="2"/>
  <c r="AE784" i="2" s="1"/>
  <c r="AC683" i="2"/>
  <c r="AE683" i="2" s="1"/>
  <c r="AN641" i="2"/>
  <c r="AN606" i="2"/>
  <c r="AN626" i="2"/>
  <c r="AN745" i="2"/>
  <c r="AN717" i="2"/>
  <c r="AN752" i="2"/>
  <c r="AC788" i="2"/>
  <c r="AE788" i="2" s="1"/>
  <c r="AC680" i="2"/>
  <c r="AE680" i="2" s="1"/>
  <c r="AC745" i="2"/>
  <c r="AE745" i="2" s="1"/>
  <c r="AC744" i="2"/>
  <c r="AE744" i="2" s="1"/>
  <c r="AC636" i="2"/>
  <c r="AE636" i="2" s="1"/>
  <c r="AN807" i="2"/>
  <c r="AN672" i="2"/>
  <c r="AN693" i="2"/>
  <c r="AC662" i="2"/>
  <c r="AE662" i="2" s="1"/>
  <c r="AC665" i="2"/>
  <c r="AE665" i="2" s="1"/>
  <c r="AN715" i="2"/>
  <c r="AN636" i="2"/>
  <c r="AC672" i="2"/>
  <c r="AE672" i="2" s="1"/>
  <c r="AC614" i="2"/>
  <c r="AE614" i="2" s="1"/>
  <c r="AC717" i="2"/>
  <c r="AE717" i="2" s="1"/>
  <c r="AN617" i="2"/>
  <c r="AN691" i="2"/>
  <c r="AN709" i="2"/>
  <c r="AN624" i="2"/>
  <c r="AN680" i="2"/>
  <c r="AN747" i="2"/>
  <c r="AN683" i="2"/>
  <c r="AC847" i="2"/>
  <c r="AE847" i="2" s="1"/>
  <c r="AC626" i="2"/>
  <c r="AE626" i="2" s="1"/>
  <c r="AC663" i="2"/>
  <c r="AE663" i="2" s="1"/>
  <c r="AC675" i="2"/>
  <c r="AE675" i="2" s="1"/>
  <c r="AC611" i="2"/>
  <c r="AE611" i="2" s="1"/>
  <c r="AN605" i="2"/>
  <c r="AN631" i="2"/>
  <c r="AN616" i="2"/>
  <c r="AC666" i="2"/>
  <c r="AE666" i="2" s="1"/>
  <c r="AC708" i="2"/>
  <c r="AE708" i="2" s="1"/>
  <c r="AC605" i="2"/>
  <c r="AE605" i="2" s="1"/>
  <c r="AN808" i="2"/>
  <c r="AN604" i="2"/>
  <c r="AN723" i="2"/>
  <c r="AN782" i="2"/>
  <c r="AN625" i="2"/>
  <c r="AN611" i="2"/>
  <c r="AC722" i="2"/>
  <c r="AE722" i="2" s="1"/>
  <c r="AC807" i="2"/>
  <c r="AE807" i="2" s="1"/>
  <c r="AC729" i="2"/>
  <c r="AE729" i="2" s="1"/>
  <c r="AC752" i="2"/>
  <c r="AE752" i="2" s="1"/>
  <c r="AC631" i="2"/>
  <c r="AE631" i="2" s="1"/>
  <c r="AN702" i="2"/>
  <c r="AN784" i="2"/>
  <c r="AN698" i="2"/>
  <c r="AN765" i="2"/>
  <c r="AC693" i="2"/>
  <c r="AE693" i="2" s="1"/>
  <c r="AC613" i="2"/>
  <c r="AE613" i="2" s="1"/>
  <c r="AN665" i="2"/>
  <c r="AN666" i="2"/>
  <c r="AN675" i="2"/>
  <c r="AN741" i="2"/>
  <c r="AN788" i="2"/>
  <c r="J341" i="32"/>
  <c r="AZ59" i="24"/>
  <c r="AG52" i="24"/>
  <c r="AB13" i="2"/>
  <c r="AF13" i="2" s="1"/>
  <c r="AH84" i="24"/>
  <c r="AT193" i="2"/>
  <c r="AN193" i="2"/>
  <c r="AC193" i="2"/>
  <c r="AE193" i="2" s="1"/>
  <c r="AT52" i="2"/>
  <c r="AN52" i="2"/>
  <c r="AT811" i="2"/>
  <c r="AN811" i="2"/>
  <c r="AN78" i="2"/>
  <c r="AT191" i="2"/>
  <c r="AN191" i="2"/>
  <c r="AT108" i="2"/>
  <c r="AN108" i="2"/>
  <c r="AT758" i="2"/>
  <c r="AN758" i="2"/>
  <c r="AC811" i="2"/>
  <c r="AE811" i="2" s="1"/>
  <c r="AC208" i="2"/>
  <c r="AE208" i="2" s="1"/>
  <c r="AN704" i="2"/>
  <c r="AT210" i="2"/>
  <c r="AC210" i="2"/>
  <c r="AE210" i="2" s="1"/>
  <c r="AN210" i="2"/>
  <c r="AT158" i="2"/>
  <c r="AN158" i="2"/>
  <c r="AC134" i="2"/>
  <c r="AE134" i="2" s="1"/>
  <c r="AC158" i="2"/>
  <c r="AE158" i="2" s="1"/>
  <c r="AT766" i="2"/>
  <c r="AN766" i="2"/>
  <c r="AC78" i="2"/>
  <c r="AE78" i="2" s="1"/>
  <c r="AN175" i="2"/>
  <c r="AT213" i="2"/>
  <c r="AN213" i="2"/>
  <c r="AT135" i="2"/>
  <c r="AN135" i="2"/>
  <c r="AC135" i="2"/>
  <c r="AE135" i="2" s="1"/>
  <c r="AT132" i="2"/>
  <c r="AN132" i="2"/>
  <c r="AT781" i="2"/>
  <c r="AN781" i="2"/>
  <c r="AC766" i="2"/>
  <c r="AE766" i="2" s="1"/>
  <c r="AC213" i="2"/>
  <c r="AE213" i="2" s="1"/>
  <c r="AN218" i="2"/>
  <c r="AT224" i="2"/>
  <c r="AN224" i="2"/>
  <c r="AT780" i="2"/>
  <c r="AN780" i="2"/>
  <c r="AC758" i="2"/>
  <c r="AE758" i="2" s="1"/>
  <c r="AT202" i="2"/>
  <c r="AN202" i="2"/>
  <c r="AC202" i="2"/>
  <c r="AE202" i="2" s="1"/>
  <c r="AT219" i="2"/>
  <c r="AN219" i="2"/>
  <c r="AT96" i="2"/>
  <c r="AN96" i="2"/>
  <c r="AT718" i="2"/>
  <c r="AN718" i="2"/>
  <c r="AC780" i="2"/>
  <c r="AE780" i="2" s="1"/>
  <c r="AC175" i="2"/>
  <c r="AE175" i="2" s="1"/>
  <c r="AT203" i="2"/>
  <c r="AN203" i="2"/>
  <c r="AT71" i="2"/>
  <c r="AN71" i="2"/>
  <c r="AT68" i="2"/>
  <c r="AN68" i="2"/>
  <c r="AT199" i="2"/>
  <c r="AN199" i="2"/>
  <c r="AT238" i="2"/>
  <c r="AN238" i="2"/>
  <c r="AT705" i="2"/>
  <c r="AN705" i="2"/>
  <c r="AT245" i="2"/>
  <c r="AN245" i="2"/>
  <c r="AT229" i="2"/>
  <c r="AN229" i="2"/>
  <c r="AC229" i="2"/>
  <c r="AE229" i="2" s="1"/>
  <c r="AT196" i="2"/>
  <c r="AN196" i="2"/>
  <c r="AC718" i="2"/>
  <c r="AD718" i="2" s="1"/>
  <c r="AC245" i="2"/>
  <c r="AC71" i="2"/>
  <c r="AE71" i="2" s="1"/>
  <c r="AC224" i="2"/>
  <c r="AE224" i="2" s="1"/>
  <c r="AC132" i="2"/>
  <c r="AE132" i="2" s="1"/>
  <c r="AC52" i="2"/>
  <c r="AE52" i="2" s="1"/>
  <c r="AN134" i="2"/>
  <c r="AT116" i="2"/>
  <c r="AN116" i="2"/>
  <c r="AT770" i="2"/>
  <c r="AN770" i="2"/>
  <c r="AC218" i="2"/>
  <c r="AE218" i="2" s="1"/>
  <c r="AC238" i="2"/>
  <c r="AE238" i="2" s="1"/>
  <c r="AN137" i="2"/>
  <c r="AT98" i="2"/>
  <c r="AN98" i="2"/>
  <c r="AT178" i="2"/>
  <c r="AN178" i="2"/>
  <c r="AC704" i="2"/>
  <c r="AE704" i="2" s="1"/>
  <c r="AC116" i="2"/>
  <c r="AE116" i="2" s="1"/>
  <c r="AC770" i="2"/>
  <c r="AE770" i="2" s="1"/>
  <c r="AC137" i="2"/>
  <c r="AE137" i="2" s="1"/>
  <c r="AC191" i="2"/>
  <c r="AE191" i="2" s="1"/>
  <c r="AN208" i="2"/>
  <c r="AT212" i="2"/>
  <c r="AN212" i="2"/>
  <c r="AT117" i="2"/>
  <c r="AC117" i="2"/>
  <c r="AE117" i="2" s="1"/>
  <c r="AN117" i="2"/>
  <c r="AT767" i="2"/>
  <c r="AN767" i="2"/>
  <c r="AC108" i="2"/>
  <c r="AE108" i="2" s="1"/>
  <c r="AE199" i="2"/>
  <c r="AE219" i="2"/>
  <c r="AE98" i="2"/>
  <c r="AE212" i="2"/>
  <c r="AE196" i="2"/>
  <c r="AE68" i="2"/>
  <c r="AE178" i="2"/>
  <c r="AE705" i="2"/>
  <c r="AE781" i="2"/>
  <c r="AE203" i="2"/>
  <c r="AE96" i="2"/>
  <c r="J293" i="32"/>
  <c r="AH44" i="24"/>
  <c r="J339" i="32"/>
  <c r="AV33" i="24"/>
  <c r="U145" i="23"/>
  <c r="AV11" i="24"/>
  <c r="AD91" i="24"/>
  <c r="AG91" i="24"/>
  <c r="T201" i="26"/>
  <c r="AD13" i="24"/>
  <c r="AG13" i="24"/>
  <c r="T113" i="26"/>
  <c r="AD21" i="24"/>
  <c r="AD93" i="24"/>
  <c r="AV8" i="24"/>
  <c r="S309" i="32"/>
  <c r="G140" i="23"/>
  <c r="S140" i="23" s="1"/>
  <c r="G9" i="23"/>
  <c r="S9" i="23" s="1"/>
  <c r="T27" i="26"/>
  <c r="AH63" i="24"/>
  <c r="G76" i="23"/>
  <c r="N76" i="23" s="1"/>
  <c r="AW97" i="24"/>
  <c r="U42" i="23"/>
  <c r="AV14" i="24"/>
  <c r="U90" i="23"/>
  <c r="T46" i="26"/>
  <c r="G250" i="23"/>
  <c r="N250" i="23" s="1"/>
  <c r="AV57" i="24"/>
  <c r="G63" i="23"/>
  <c r="S63" i="23" s="1"/>
  <c r="AD16" i="24"/>
  <c r="G136" i="23"/>
  <c r="S136" i="23" s="1"/>
  <c r="G41" i="23"/>
  <c r="G13" i="23"/>
  <c r="N13" i="23" s="1"/>
  <c r="AV55" i="24"/>
  <c r="AV7" i="24"/>
  <c r="G195" i="23"/>
  <c r="N195" i="23" s="1"/>
  <c r="R129" i="23"/>
  <c r="G266" i="23"/>
  <c r="S266" i="23" s="1"/>
  <c r="U47" i="23"/>
  <c r="T41" i="26"/>
  <c r="G72" i="23"/>
  <c r="S72" i="23" s="1"/>
  <c r="AV48" i="24"/>
  <c r="AD28" i="24"/>
  <c r="AV66" i="24"/>
  <c r="AV62" i="24"/>
  <c r="AD34" i="24"/>
  <c r="AG34" i="24"/>
  <c r="G44" i="23"/>
  <c r="N44" i="23" s="1"/>
  <c r="G288" i="23"/>
  <c r="N288" i="23" s="1"/>
  <c r="AD92" i="24"/>
  <c r="G128" i="23"/>
  <c r="S128" i="23" s="1"/>
  <c r="AH54" i="24"/>
  <c r="G56" i="23"/>
  <c r="S56" i="23" s="1"/>
  <c r="G55" i="23"/>
  <c r="S55" i="23" s="1"/>
  <c r="U97" i="23"/>
  <c r="T69" i="26"/>
  <c r="AV101" i="24"/>
  <c r="AV100" i="24"/>
  <c r="AD84" i="24"/>
  <c r="AV76" i="24"/>
  <c r="U240" i="23"/>
  <c r="AW105" i="24"/>
  <c r="AV72" i="24"/>
  <c r="AD48" i="24"/>
  <c r="AG48" i="24"/>
  <c r="AD72" i="24"/>
  <c r="J330" i="32"/>
  <c r="G40" i="23"/>
  <c r="N40" i="23" s="1"/>
  <c r="AD80" i="24"/>
  <c r="J351" i="32"/>
  <c r="J348" i="32" s="1"/>
  <c r="G112" i="23"/>
  <c r="S112" i="23" s="1"/>
  <c r="G111" i="23"/>
  <c r="N111" i="23" s="1"/>
  <c r="T57" i="26"/>
  <c r="AW41" i="24"/>
  <c r="S320" i="32"/>
  <c r="G277" i="23"/>
  <c r="AV29" i="24"/>
  <c r="U113" i="23"/>
  <c r="U30" i="23"/>
  <c r="AV91" i="24"/>
  <c r="T184" i="26"/>
  <c r="AD53" i="24"/>
  <c r="AG53" i="24"/>
  <c r="G31" i="23"/>
  <c r="S31" i="23" s="1"/>
  <c r="AD11" i="24"/>
  <c r="U37" i="23"/>
  <c r="AV46" i="24"/>
  <c r="AD55" i="24"/>
  <c r="G36" i="23"/>
  <c r="N36" i="23" s="1"/>
  <c r="AV17" i="24"/>
  <c r="G131" i="23"/>
  <c r="S131" i="23" s="1"/>
  <c r="G174" i="23"/>
  <c r="S174" i="23" s="1"/>
  <c r="G152" i="23"/>
  <c r="S152" i="23" s="1"/>
  <c r="AV51" i="24"/>
  <c r="AD54" i="24"/>
  <c r="R105" i="23"/>
  <c r="U26" i="23"/>
  <c r="AV92" i="24"/>
  <c r="G256" i="23"/>
  <c r="S256" i="23" s="1"/>
  <c r="G23" i="23"/>
  <c r="S23" i="23" s="1"/>
  <c r="AV39" i="24"/>
  <c r="AD68" i="24"/>
  <c r="J344" i="32"/>
  <c r="G66" i="23"/>
  <c r="S66" i="23" s="1"/>
  <c r="T26" i="26"/>
  <c r="U147" i="23"/>
  <c r="AV78" i="24"/>
  <c r="G170" i="23"/>
  <c r="S170" i="23" s="1"/>
  <c r="G32" i="23"/>
  <c r="S32" i="23" s="1"/>
  <c r="AV21" i="24"/>
  <c r="T236" i="26"/>
  <c r="T28" i="26"/>
  <c r="G51" i="23"/>
  <c r="S51" i="23" s="1"/>
  <c r="G123" i="23"/>
  <c r="N123" i="23" s="1"/>
  <c r="G15" i="23"/>
  <c r="S15" i="23" s="1"/>
  <c r="AD32" i="24"/>
  <c r="AV30" i="24"/>
  <c r="R239" i="23"/>
  <c r="R14" i="23"/>
  <c r="T237" i="26"/>
  <c r="R252" i="23"/>
  <c r="G160" i="23"/>
  <c r="S160" i="23" s="1"/>
  <c r="G107" i="23"/>
  <c r="N107" i="23" s="1"/>
  <c r="AD76" i="24"/>
  <c r="J331" i="30"/>
  <c r="G35" i="23"/>
  <c r="N35" i="23" s="1"/>
  <c r="T43" i="26"/>
  <c r="G95" i="23"/>
  <c r="N95" i="23" s="1"/>
  <c r="AV52" i="24"/>
  <c r="S280" i="32"/>
  <c r="G28" i="23"/>
  <c r="S28" i="23" s="1"/>
  <c r="AV18" i="24"/>
  <c r="U194" i="23"/>
  <c r="G80" i="23"/>
  <c r="N80" i="23" s="1"/>
  <c r="AG90" i="24"/>
  <c r="G25" i="23"/>
  <c r="U81" i="23"/>
  <c r="AV28" i="24"/>
  <c r="AD58" i="24"/>
  <c r="R10" i="23"/>
  <c r="AV71" i="24"/>
  <c r="G248" i="23"/>
  <c r="S248" i="23" s="1"/>
  <c r="AV9" i="24"/>
  <c r="S287" i="32"/>
  <c r="J287" i="26"/>
  <c r="J285" i="26" s="1"/>
  <c r="G27" i="23"/>
  <c r="N27" i="23" s="1"/>
  <c r="AV13" i="24"/>
  <c r="U165" i="23"/>
  <c r="J283" i="26"/>
  <c r="T235" i="26"/>
  <c r="AD49" i="24"/>
  <c r="AG49" i="24"/>
  <c r="J319" i="32"/>
  <c r="AV93" i="24"/>
  <c r="AD57" i="24"/>
  <c r="AG57" i="24"/>
  <c r="G163" i="23"/>
  <c r="N163" i="23" s="1"/>
  <c r="AV26" i="24"/>
  <c r="G242" i="23"/>
  <c r="S242" i="23" s="1"/>
  <c r="G99" i="23"/>
  <c r="S99" i="23" s="1"/>
  <c r="S356" i="32"/>
  <c r="G188" i="23"/>
  <c r="S188" i="23" s="1"/>
  <c r="AD87" i="24"/>
  <c r="J366" i="30"/>
  <c r="AV20" i="24"/>
  <c r="G61" i="23"/>
  <c r="AV73" i="24"/>
  <c r="G12" i="23"/>
  <c r="S12" i="23" s="1"/>
  <c r="AW56" i="24"/>
  <c r="G273" i="23"/>
  <c r="N273" i="23" s="1"/>
  <c r="R49" i="23"/>
  <c r="G291" i="23"/>
  <c r="N291" i="23" s="1"/>
  <c r="G253" i="23"/>
  <c r="S253" i="23" s="1"/>
  <c r="U77" i="23"/>
  <c r="T45" i="26"/>
  <c r="AD7" i="24"/>
  <c r="AV63" i="24"/>
  <c r="R236" i="23"/>
  <c r="G24" i="23"/>
  <c r="N24" i="23" s="1"/>
  <c r="R268" i="23"/>
  <c r="AD9" i="24"/>
  <c r="G11" i="23"/>
  <c r="N11" i="23" s="1"/>
  <c r="AD62" i="24"/>
  <c r="G60" i="23"/>
  <c r="S60" i="23" s="1"/>
  <c r="AD44" i="24"/>
  <c r="G127" i="23"/>
  <c r="S127" i="23" s="1"/>
  <c r="AD14" i="24"/>
  <c r="AG14" i="24"/>
  <c r="G20" i="23"/>
  <c r="S20" i="23" s="1"/>
  <c r="G115" i="23"/>
  <c r="S115" i="23" s="1"/>
  <c r="U57" i="23"/>
  <c r="T44" i="26"/>
  <c r="AD77" i="24"/>
  <c r="J338" i="26"/>
  <c r="U228" i="23"/>
  <c r="U114" i="23"/>
  <c r="AD74" i="24"/>
  <c r="U172" i="23"/>
  <c r="AD65" i="24"/>
  <c r="S393" i="32"/>
  <c r="T42" i="26"/>
  <c r="G119" i="23"/>
  <c r="N119" i="23" s="1"/>
  <c r="S396" i="32"/>
  <c r="G29" i="23"/>
  <c r="AD83" i="24"/>
  <c r="AW42" i="24"/>
  <c r="R43" i="23"/>
  <c r="G83" i="23"/>
  <c r="S83" i="23" s="1"/>
  <c r="U109" i="23"/>
  <c r="T40" i="26"/>
  <c r="J305" i="30"/>
  <c r="AV12" i="24"/>
  <c r="G220" i="23"/>
  <c r="N220" i="23" s="1"/>
  <c r="AV45" i="24"/>
  <c r="J361" i="26"/>
  <c r="J359" i="26" s="1"/>
  <c r="AD71" i="24"/>
  <c r="G8" i="23"/>
  <c r="N8" i="23" s="1"/>
  <c r="AD61" i="24"/>
  <c r="AV43" i="24"/>
  <c r="G144" i="23"/>
  <c r="N144" i="23" s="1"/>
  <c r="F397" i="32"/>
  <c r="AH32" i="24"/>
  <c r="AF21" i="24"/>
  <c r="AH21" i="24"/>
  <c r="AZ69" i="24"/>
  <c r="AZ41" i="24"/>
  <c r="F335" i="32"/>
  <c r="AH64" i="24"/>
  <c r="H244" i="23"/>
  <c r="AH28" i="24"/>
  <c r="Z825" i="2"/>
  <c r="AB902" i="2"/>
  <c r="Z965" i="2"/>
  <c r="Z986" i="2"/>
  <c r="H75" i="28"/>
  <c r="H39" i="28" s="1"/>
  <c r="H4" i="28" s="1"/>
  <c r="L158" i="26"/>
  <c r="L25" i="27" s="1"/>
  <c r="N34" i="26"/>
  <c r="N9" i="27" s="1"/>
  <c r="AB957" i="2"/>
  <c r="AF957" i="2" s="1"/>
  <c r="AB832" i="2"/>
  <c r="AF832" i="2" s="1"/>
  <c r="Z807" i="2"/>
  <c r="AB899" i="2"/>
  <c r="AB940" i="2"/>
  <c r="AB883" i="2"/>
  <c r="AB836" i="2"/>
  <c r="AF836" i="2" s="1"/>
  <c r="AB976" i="2"/>
  <c r="Z992" i="2"/>
  <c r="Z945" i="2"/>
  <c r="AB999" i="2"/>
  <c r="AF999" i="2" s="1"/>
  <c r="Z918" i="2"/>
  <c r="Z880" i="2"/>
  <c r="Z854" i="2"/>
  <c r="AB944" i="2"/>
  <c r="Z939" i="2"/>
  <c r="Z905" i="2"/>
  <c r="AB907" i="2"/>
  <c r="AB917" i="2"/>
  <c r="AB984" i="2"/>
  <c r="AB989" i="2"/>
  <c r="AF989" i="2" s="1"/>
  <c r="AB981" i="2"/>
  <c r="AB852" i="2"/>
  <c r="AF852" i="2" s="1"/>
  <c r="AB815" i="2"/>
  <c r="AF815" i="2" s="1"/>
  <c r="AB882" i="2"/>
  <c r="AB980" i="2"/>
  <c r="AB969" i="2"/>
  <c r="AB903" i="2"/>
  <c r="AB822" i="2"/>
  <c r="AB990" i="2"/>
  <c r="AB973" i="2"/>
  <c r="AF973" i="2" s="1"/>
  <c r="AB848" i="2"/>
  <c r="AF848" i="2" s="1"/>
  <c r="AB879" i="2"/>
  <c r="AB936" i="2"/>
  <c r="AB888" i="2"/>
  <c r="AF888" i="2" s="1"/>
  <c r="AB813" i="2"/>
  <c r="AB823" i="2"/>
  <c r="AB929" i="2"/>
  <c r="AB844" i="2"/>
  <c r="AF844" i="2" s="1"/>
  <c r="AB994" i="2"/>
  <c r="AB985" i="2"/>
  <c r="AF985" i="2" s="1"/>
  <c r="Z812" i="2"/>
  <c r="Z982" i="2"/>
  <c r="Z914" i="2"/>
  <c r="Z804" i="2"/>
  <c r="AB827" i="2"/>
  <c r="Z808" i="2"/>
  <c r="Z970" i="2"/>
  <c r="AB835" i="2"/>
  <c r="Z974" i="2"/>
  <c r="AB923" i="2"/>
  <c r="AF923" i="2" s="1"/>
  <c r="AB904" i="2"/>
  <c r="AB810" i="2"/>
  <c r="AB877" i="2"/>
  <c r="AF877" i="2" s="1"/>
  <c r="AB895" i="2"/>
  <c r="AF895" i="2" s="1"/>
  <c r="AB968" i="2"/>
  <c r="AB831" i="2"/>
  <c r="AF831" i="2" s="1"/>
  <c r="AB977" i="2"/>
  <c r="AB874" i="2"/>
  <c r="AB948" i="2"/>
  <c r="AB856" i="2"/>
  <c r="AB960" i="2"/>
  <c r="AF960" i="2" s="1"/>
  <c r="AB956" i="2"/>
  <c r="AB865" i="2"/>
  <c r="AF865" i="2" s="1"/>
  <c r="AB896" i="2"/>
  <c r="AB830" i="2"/>
  <c r="AF830" i="2" s="1"/>
  <c r="AB937" i="2"/>
  <c r="AB932" i="2"/>
  <c r="AF932" i="2" s="1"/>
  <c r="AB952" i="2"/>
  <c r="AB864" i="2"/>
  <c r="AB887" i="2"/>
  <c r="AF887" i="2" s="1"/>
  <c r="AB964" i="2"/>
  <c r="AB814" i="2"/>
  <c r="AB847" i="2"/>
  <c r="AB916" i="2"/>
  <c r="Z868" i="2"/>
  <c r="Z824" i="2"/>
  <c r="Z1000" i="2"/>
  <c r="Z841" i="2"/>
  <c r="Z872" i="2"/>
  <c r="Z884" i="2"/>
  <c r="Z938" i="2"/>
  <c r="AB912" i="2"/>
  <c r="AF912" i="2" s="1"/>
  <c r="Z987" i="2"/>
  <c r="Z991" i="2"/>
  <c r="Z941" i="2"/>
  <c r="AB843" i="2"/>
  <c r="AF843" i="2" s="1"/>
  <c r="AB802" i="2"/>
  <c r="AB998" i="2"/>
  <c r="AF998" i="2" s="1"/>
  <c r="AB892" i="2"/>
  <c r="AF892" i="2" s="1"/>
  <c r="Z966" i="2"/>
  <c r="Z819" i="2"/>
  <c r="Z910" i="2"/>
  <c r="Z837" i="2"/>
  <c r="Z978" i="2"/>
  <c r="Z850" i="2"/>
  <c r="Z930" i="2"/>
  <c r="Z900" i="2"/>
  <c r="Z931" i="2"/>
  <c r="Z871" i="2"/>
  <c r="Z963" i="2"/>
  <c r="Z967" i="2"/>
  <c r="Z859" i="2"/>
  <c r="Z975" i="2"/>
  <c r="Z885" i="2"/>
  <c r="Z840" i="2"/>
  <c r="Z979" i="2"/>
  <c r="Z922" i="2"/>
  <c r="Z858" i="2"/>
  <c r="Z909" i="2"/>
  <c r="Z988" i="2"/>
  <c r="Z876" i="2"/>
  <c r="Z797" i="2"/>
  <c r="Z951" i="2"/>
  <c r="Z826" i="2"/>
  <c r="Z955" i="2"/>
  <c r="Z866" i="2"/>
  <c r="Z799" i="2"/>
  <c r="Z820" i="2"/>
  <c r="Z838" i="2"/>
  <c r="Z926" i="2"/>
  <c r="Z943" i="2"/>
  <c r="Z867" i="2"/>
  <c r="Z811" i="2"/>
  <c r="Z796" i="2"/>
  <c r="Z925" i="2"/>
  <c r="Z919" i="2"/>
  <c r="Z846" i="2"/>
  <c r="AB935" i="2"/>
  <c r="AB949" i="2"/>
  <c r="Z855" i="2"/>
  <c r="Z842" i="2"/>
  <c r="Z886" i="2"/>
  <c r="AB915" i="2"/>
  <c r="AF915" i="2" s="1"/>
  <c r="AB834" i="2"/>
  <c r="AB821" i="2"/>
  <c r="AB890" i="2"/>
  <c r="AB942" i="2"/>
  <c r="AB996" i="2"/>
  <c r="AB897" i="2"/>
  <c r="AB953" i="2"/>
  <c r="AF953" i="2" s="1"/>
  <c r="AB853" i="2"/>
  <c r="AB928" i="2"/>
  <c r="Z934" i="2"/>
  <c r="Z803" i="2"/>
  <c r="Z862" i="2"/>
  <c r="Z962" i="2"/>
  <c r="AB818" i="2"/>
  <c r="AF818" i="2" s="1"/>
  <c r="AB801" i="2"/>
  <c r="AB798" i="2"/>
  <c r="AF798" i="2" s="1"/>
  <c r="Z946" i="2"/>
  <c r="Z954" i="2"/>
  <c r="AB878" i="2"/>
  <c r="Z816" i="2"/>
  <c r="Z950" i="2"/>
  <c r="Z870" i="2"/>
  <c r="AB961" i="2"/>
  <c r="AF961" i="2" s="1"/>
  <c r="Z889" i="2"/>
  <c r="Z958" i="2"/>
  <c r="AB972" i="2"/>
  <c r="AF972" i="2" s="1"/>
  <c r="Z913" i="2"/>
  <c r="Z828" i="2"/>
  <c r="Z809" i="2"/>
  <c r="Z924" i="2"/>
  <c r="Z861" i="2"/>
  <c r="Z805" i="2"/>
  <c r="Z911" i="2"/>
  <c r="Z920" i="2"/>
  <c r="Z860" i="2"/>
  <c r="Z829" i="2"/>
  <c r="Z908" i="2"/>
  <c r="Z806" i="2"/>
  <c r="Z891" i="2"/>
  <c r="AB927" i="2"/>
  <c r="AF927" i="2" s="1"/>
  <c r="Z993" i="2"/>
  <c r="Z997" i="2"/>
  <c r="Z800" i="2"/>
  <c r="Z849" i="2"/>
  <c r="Z873" i="2"/>
  <c r="Z898" i="2"/>
  <c r="AB947" i="2"/>
  <c r="AF947" i="2" s="1"/>
  <c r="Z959" i="2"/>
  <c r="AB906" i="2"/>
  <c r="Z901" i="2"/>
  <c r="AB995" i="2"/>
  <c r="Z995" i="2"/>
  <c r="AB920" i="2"/>
  <c r="AB924" i="2"/>
  <c r="AB860" i="2"/>
  <c r="AB919" i="2"/>
  <c r="AB845" i="2"/>
  <c r="Z845" i="2"/>
  <c r="AB943" i="2"/>
  <c r="Z847" i="2"/>
  <c r="AB829" i="2"/>
  <c r="Z896" i="2"/>
  <c r="Z830" i="2"/>
  <c r="AB846" i="2"/>
  <c r="AB926" i="2"/>
  <c r="AB806" i="2"/>
  <c r="Z874" i="2"/>
  <c r="Z948" i="2"/>
  <c r="AB811" i="2"/>
  <c r="AB908" i="2"/>
  <c r="Z960" i="2"/>
  <c r="AB796" i="2"/>
  <c r="Z856" i="2"/>
  <c r="AB925" i="2"/>
  <c r="AB863" i="2"/>
  <c r="AF863" i="2" s="1"/>
  <c r="Z863" i="2"/>
  <c r="Z996" i="2"/>
  <c r="Z915" i="2"/>
  <c r="AB873" i="2"/>
  <c r="AB921" i="2"/>
  <c r="Z921" i="2"/>
  <c r="AB993" i="2"/>
  <c r="Z949" i="2"/>
  <c r="Z927" i="2"/>
  <c r="Z832" i="2"/>
  <c r="AB898" i="2"/>
  <c r="AF898" i="2" s="1"/>
  <c r="AB954" i="2"/>
  <c r="AB849" i="2"/>
  <c r="AF849" i="2" s="1"/>
  <c r="AB857" i="2"/>
  <c r="AF857" i="2" s="1"/>
  <c r="Z857" i="2"/>
  <c r="AB934" i="2"/>
  <c r="AB803" i="2"/>
  <c r="AF803" i="2" s="1"/>
  <c r="Z878" i="2"/>
  <c r="AB950" i="2"/>
  <c r="Z818" i="2"/>
  <c r="AB913" i="2"/>
  <c r="AB962" i="2"/>
  <c r="Z798" i="2"/>
  <c r="AB862" i="2"/>
  <c r="Z928" i="2"/>
  <c r="AB997" i="2"/>
  <c r="Z853" i="2"/>
  <c r="Z953" i="2"/>
  <c r="Z935" i="2"/>
  <c r="AB838" i="2"/>
  <c r="AF838" i="2" s="1"/>
  <c r="AB955" i="2"/>
  <c r="Z864" i="2"/>
  <c r="Z937" i="2"/>
  <c r="Z814" i="2"/>
  <c r="Z887" i="2"/>
  <c r="Z952" i="2"/>
  <c r="AB820" i="2"/>
  <c r="Z916" i="2"/>
  <c r="Z964" i="2"/>
  <c r="AB799" i="2"/>
  <c r="AF799" i="2" s="1"/>
  <c r="AB866" i="2"/>
  <c r="Z932" i="2"/>
  <c r="AB861" i="2"/>
  <c r="AF861" i="2" s="1"/>
  <c r="Z942" i="2"/>
  <c r="Z906" i="2"/>
  <c r="AB855" i="2"/>
  <c r="AB959" i="2"/>
  <c r="Z947" i="2"/>
  <c r="AB842" i="2"/>
  <c r="AB901" i="2"/>
  <c r="Z961" i="2"/>
  <c r="Z865" i="2"/>
  <c r="AB946" i="2"/>
  <c r="AB816" i="2"/>
  <c r="AB889" i="2"/>
  <c r="AB958" i="2"/>
  <c r="AB828" i="2"/>
  <c r="Z972" i="2"/>
  <c r="Z801" i="2"/>
  <c r="AB870" i="2"/>
  <c r="AF870" i="2" s="1"/>
  <c r="Z956" i="2"/>
  <c r="AB886" i="2"/>
  <c r="Z904" i="2"/>
  <c r="AB808" i="2"/>
  <c r="AF808" i="2" s="1"/>
  <c r="AB867" i="2"/>
  <c r="Z957" i="2"/>
  <c r="Z827" i="2"/>
  <c r="AB970" i="2"/>
  <c r="AF970" i="2" s="1"/>
  <c r="Z835" i="2"/>
  <c r="Z923" i="2"/>
  <c r="AB974" i="2"/>
  <c r="AB807" i="2"/>
  <c r="AB965" i="2"/>
  <c r="AF965" i="2" s="1"/>
  <c r="Z890" i="2"/>
  <c r="AB881" i="2"/>
  <c r="Z881" i="2"/>
  <c r="AB894" i="2"/>
  <c r="AF894" i="2" s="1"/>
  <c r="AB963" i="2"/>
  <c r="AB859" i="2"/>
  <c r="AF859" i="2" s="1"/>
  <c r="AB910" i="2"/>
  <c r="AB967" i="2"/>
  <c r="Z810" i="2"/>
  <c r="AB871" i="2"/>
  <c r="AB966" i="2"/>
  <c r="Z831" i="2"/>
  <c r="Z895" i="2"/>
  <c r="Z977" i="2"/>
  <c r="AB837" i="2"/>
  <c r="AB930" i="2"/>
  <c r="AB978" i="2"/>
  <c r="AB819" i="2"/>
  <c r="Z877" i="2"/>
  <c r="Z968" i="2"/>
  <c r="AB817" i="2"/>
  <c r="Z817" i="2"/>
  <c r="Z821" i="2"/>
  <c r="AB805" i="2"/>
  <c r="AB809" i="2"/>
  <c r="Z897" i="2"/>
  <c r="AB804" i="2"/>
  <c r="AF804" i="2" s="1"/>
  <c r="AB868" i="2"/>
  <c r="AB797" i="2"/>
  <c r="AF797" i="2" s="1"/>
  <c r="AB914" i="2"/>
  <c r="AF914" i="2" s="1"/>
  <c r="Z973" i="2"/>
  <c r="AB812" i="2"/>
  <c r="AF812" i="2" s="1"/>
  <c r="Z879" i="2"/>
  <c r="Z969" i="2"/>
  <c r="Z903" i="2"/>
  <c r="Z990" i="2"/>
  <c r="Z848" i="2"/>
  <c r="Z936" i="2"/>
  <c r="AB982" i="2"/>
  <c r="Z822" i="2"/>
  <c r="Z882" i="2"/>
  <c r="Z980" i="2"/>
  <c r="AB826" i="2"/>
  <c r="AF826" i="2" s="1"/>
  <c r="AB951" i="2"/>
  <c r="AF951" i="2" s="1"/>
  <c r="AB875" i="2"/>
  <c r="Z875" i="2"/>
  <c r="AB872" i="2"/>
  <c r="Z917" i="2"/>
  <c r="AB975" i="2"/>
  <c r="Z815" i="2"/>
  <c r="AB885" i="2"/>
  <c r="AF885" i="2" s="1"/>
  <c r="Z981" i="2"/>
  <c r="AB841" i="2"/>
  <c r="Z907" i="2"/>
  <c r="AB1000" i="2"/>
  <c r="Z852" i="2"/>
  <c r="AB938" i="2"/>
  <c r="Z989" i="2"/>
  <c r="AB824" i="2"/>
  <c r="AF824" i="2" s="1"/>
  <c r="AB884" i="2"/>
  <c r="Z984" i="2"/>
  <c r="Z834" i="2"/>
  <c r="AB891" i="2"/>
  <c r="AB922" i="2"/>
  <c r="AB800" i="2"/>
  <c r="AB876" i="2"/>
  <c r="AF876" i="2" s="1"/>
  <c r="Z929" i="2"/>
  <c r="AB979" i="2"/>
  <c r="Z823" i="2"/>
  <c r="Z888" i="2"/>
  <c r="Z985" i="2"/>
  <c r="Z844" i="2"/>
  <c r="AB909" i="2"/>
  <c r="Z813" i="2"/>
  <c r="AB858" i="2"/>
  <c r="AF858" i="2" s="1"/>
  <c r="Z940" i="2"/>
  <c r="Z994" i="2"/>
  <c r="AB839" i="2"/>
  <c r="Z839" i="2"/>
  <c r="Z899" i="2"/>
  <c r="AB986" i="2"/>
  <c r="AF986" i="2" s="1"/>
  <c r="AB893" i="2"/>
  <c r="AF893" i="2" s="1"/>
  <c r="Z893" i="2"/>
  <c r="AB911" i="2"/>
  <c r="AB988" i="2"/>
  <c r="Z802" i="2"/>
  <c r="AB931" i="2"/>
  <c r="AF931" i="2" s="1"/>
  <c r="AB825" i="2"/>
  <c r="AF825" i="2" s="1"/>
  <c r="Z892" i="2"/>
  <c r="AB987" i="2"/>
  <c r="AB850" i="2"/>
  <c r="AF850" i="2" s="1"/>
  <c r="Z912" i="2"/>
  <c r="AB840" i="2"/>
  <c r="AB869" i="2"/>
  <c r="Z869" i="2"/>
  <c r="AB941" i="2"/>
  <c r="AF941" i="2" s="1"/>
  <c r="Z998" i="2"/>
  <c r="Z843" i="2"/>
  <c r="AB900" i="2"/>
  <c r="AF900" i="2" s="1"/>
  <c r="AB991" i="2"/>
  <c r="AB851" i="2"/>
  <c r="AF851" i="2" s="1"/>
  <c r="Z851" i="2"/>
  <c r="AB971" i="2"/>
  <c r="AF971" i="2" s="1"/>
  <c r="Z971" i="2"/>
  <c r="AB983" i="2"/>
  <c r="Z983" i="2"/>
  <c r="AB833" i="2"/>
  <c r="Z833" i="2"/>
  <c r="AB939" i="2"/>
  <c r="AF939" i="2" s="1"/>
  <c r="Z883" i="2"/>
  <c r="AB933" i="2"/>
  <c r="AF933" i="2" s="1"/>
  <c r="Z933" i="2"/>
  <c r="Z999" i="2"/>
  <c r="Z836" i="2"/>
  <c r="AB905" i="2"/>
  <c r="AB992" i="2"/>
  <c r="AB854" i="2"/>
  <c r="AB918" i="2"/>
  <c r="AF918" i="2" s="1"/>
  <c r="AB945" i="2"/>
  <c r="AF945" i="2" s="1"/>
  <c r="AB880" i="2"/>
  <c r="AF880" i="2" s="1"/>
  <c r="Z944" i="2"/>
  <c r="Z976" i="2"/>
  <c r="Z902" i="2"/>
  <c r="T58" i="32"/>
  <c r="T257" i="32"/>
  <c r="T122" i="32"/>
  <c r="T21" i="32"/>
  <c r="T259" i="32"/>
  <c r="T258" i="32"/>
  <c r="AB793" i="2"/>
  <c r="AF793" i="2" s="1"/>
  <c r="AB791" i="2"/>
  <c r="AF791" i="2" s="1"/>
  <c r="AB794" i="2"/>
  <c r="Z793" i="2"/>
  <c r="Z792" i="2"/>
  <c r="AB792" i="2"/>
  <c r="Z791" i="2"/>
  <c r="Z794" i="2"/>
  <c r="Z785" i="2"/>
  <c r="Z773" i="2"/>
  <c r="Z765" i="2"/>
  <c r="Z779" i="2"/>
  <c r="Z789" i="2"/>
  <c r="Z767" i="2"/>
  <c r="Z778" i="2"/>
  <c r="Z788" i="2"/>
  <c r="Z766" i="2"/>
  <c r="Z777" i="2"/>
  <c r="Z761" i="2"/>
  <c r="Z790" i="2"/>
  <c r="Z787" i="2"/>
  <c r="Z760" i="2"/>
  <c r="Z775" i="2"/>
  <c r="Z782" i="2"/>
  <c r="Z762" i="2"/>
  <c r="Z780" i="2"/>
  <c r="Z769" i="2"/>
  <c r="Z781" i="2"/>
  <c r="Z764" i="2"/>
  <c r="Z774" i="2"/>
  <c r="Z758" i="2"/>
  <c r="Z772" i="2"/>
  <c r="Z770" i="2"/>
  <c r="Z783" i="2"/>
  <c r="Z771" i="2"/>
  <c r="AB759" i="2"/>
  <c r="AF759" i="2" s="1"/>
  <c r="AB763" i="2"/>
  <c r="AB784" i="2"/>
  <c r="AB768" i="2"/>
  <c r="AF768" i="2" s="1"/>
  <c r="AB786" i="2"/>
  <c r="AB776" i="2"/>
  <c r="AB788" i="2"/>
  <c r="AB760" i="2"/>
  <c r="AB778" i="2"/>
  <c r="AB775" i="2"/>
  <c r="AB766" i="2"/>
  <c r="AF766" i="2" s="1"/>
  <c r="AB783" i="2"/>
  <c r="AB787" i="2"/>
  <c r="AB781" i="2"/>
  <c r="AF781" i="2" s="1"/>
  <c r="AB777" i="2"/>
  <c r="AF777" i="2" s="1"/>
  <c r="AB758" i="2"/>
  <c r="AF758" i="2" s="1"/>
  <c r="AB769" i="2"/>
  <c r="AB765" i="2"/>
  <c r="Z786" i="2"/>
  <c r="Z784" i="2"/>
  <c r="AB790" i="2"/>
  <c r="AB772" i="2"/>
  <c r="AB774" i="2"/>
  <c r="Z768" i="2"/>
  <c r="Z776" i="2"/>
  <c r="AB780" i="2"/>
  <c r="AB782" i="2"/>
  <c r="AF782" i="2" s="1"/>
  <c r="AB762" i="2"/>
  <c r="AB770" i="2"/>
  <c r="AB771" i="2"/>
  <c r="AF771" i="2" s="1"/>
  <c r="AB789" i="2"/>
  <c r="AB785" i="2"/>
  <c r="AF785" i="2" s="1"/>
  <c r="AB779" i="2"/>
  <c r="AB773" i="2"/>
  <c r="AF773" i="2" s="1"/>
  <c r="Z763" i="2"/>
  <c r="Z759" i="2"/>
  <c r="AB767" i="2"/>
  <c r="AB764" i="2"/>
  <c r="AF764" i="2" s="1"/>
  <c r="AB761" i="2"/>
  <c r="Z757" i="2"/>
  <c r="AB757" i="2"/>
  <c r="L159" i="21"/>
  <c r="AB740" i="2"/>
  <c r="AB741" i="2"/>
  <c r="AB716" i="2"/>
  <c r="AF716" i="2" s="1"/>
  <c r="AB746" i="2"/>
  <c r="AF746" i="2" s="1"/>
  <c r="AB714" i="2"/>
  <c r="AB751" i="2"/>
  <c r="AB83" i="2"/>
  <c r="Z578" i="2"/>
  <c r="Z691" i="2"/>
  <c r="AB696" i="2"/>
  <c r="AF696" i="2" s="1"/>
  <c r="Z735" i="2"/>
  <c r="AB115" i="2"/>
  <c r="AF115" i="2" s="1"/>
  <c r="AB717" i="2"/>
  <c r="AF717" i="2" s="1"/>
  <c r="Z689" i="2"/>
  <c r="AB672" i="2"/>
  <c r="Z752" i="2"/>
  <c r="Z712" i="2"/>
  <c r="Z729" i="2"/>
  <c r="AB753" i="2"/>
  <c r="AF753" i="2" s="1"/>
  <c r="AB730" i="2"/>
  <c r="AF730" i="2" s="1"/>
  <c r="Z739" i="2"/>
  <c r="Z725" i="2"/>
  <c r="AB738" i="2"/>
  <c r="AF738" i="2" s="1"/>
  <c r="AB733" i="2"/>
  <c r="AB726" i="2"/>
  <c r="Z724" i="2"/>
  <c r="AB732" i="2"/>
  <c r="AF732" i="2" s="1"/>
  <c r="AB687" i="2"/>
  <c r="AF687" i="2" s="1"/>
  <c r="Z755" i="2"/>
  <c r="AF718" i="2"/>
  <c r="Z750" i="2"/>
  <c r="AB727" i="2"/>
  <c r="Z745" i="2"/>
  <c r="Z748" i="2"/>
  <c r="Z719" i="2"/>
  <c r="AB728" i="2"/>
  <c r="AB723" i="2"/>
  <c r="Z749" i="2"/>
  <c r="Z731" i="2"/>
  <c r="Z744" i="2"/>
  <c r="Z747" i="2"/>
  <c r="Z743" i="2"/>
  <c r="AB756" i="2"/>
  <c r="AF756" i="2" s="1"/>
  <c r="AB720" i="2"/>
  <c r="AF720" i="2" s="1"/>
  <c r="Z734" i="2"/>
  <c r="AB742" i="2"/>
  <c r="Z721" i="2"/>
  <c r="AB736" i="2"/>
  <c r="AF736" i="2" s="1"/>
  <c r="AB737" i="2"/>
  <c r="AF737" i="2" s="1"/>
  <c r="AB754" i="2"/>
  <c r="Z722" i="2"/>
  <c r="Z746" i="2"/>
  <c r="AB752" i="2"/>
  <c r="Z718" i="2"/>
  <c r="Z751" i="2"/>
  <c r="AB744" i="2"/>
  <c r="AF744" i="2" s="1"/>
  <c r="Z741" i="2"/>
  <c r="AB745" i="2"/>
  <c r="AF745" i="2" s="1"/>
  <c r="AB750" i="2"/>
  <c r="AF750" i="2" s="1"/>
  <c r="Z720" i="2"/>
  <c r="Z742" i="2"/>
  <c r="AB734" i="2"/>
  <c r="AF734" i="2" s="1"/>
  <c r="AB735" i="2"/>
  <c r="AB743" i="2"/>
  <c r="AF743" i="2" s="1"/>
  <c r="Z756" i="2"/>
  <c r="Z740" i="2"/>
  <c r="AB719" i="2"/>
  <c r="AF719" i="2" s="1"/>
  <c r="AB748" i="2"/>
  <c r="AF748" i="2" s="1"/>
  <c r="Z727" i="2"/>
  <c r="Z733" i="2"/>
  <c r="AB749" i="2"/>
  <c r="AF749" i="2" s="1"/>
  <c r="Z723" i="2"/>
  <c r="Z728" i="2"/>
  <c r="AB731" i="2"/>
  <c r="AB724" i="2"/>
  <c r="AF724" i="2" s="1"/>
  <c r="AB747" i="2"/>
  <c r="AF747" i="2" s="1"/>
  <c r="AB755" i="2"/>
  <c r="Z726" i="2"/>
  <c r="Z732" i="2"/>
  <c r="Z717" i="2"/>
  <c r="AB721" i="2"/>
  <c r="Z754" i="2"/>
  <c r="Z736" i="2"/>
  <c r="AB722" i="2"/>
  <c r="Z737" i="2"/>
  <c r="Z716" i="2"/>
  <c r="AB729" i="2"/>
  <c r="AB739" i="2"/>
  <c r="AB725" i="2"/>
  <c r="AF725" i="2" s="1"/>
  <c r="Z753" i="2"/>
  <c r="Z730" i="2"/>
  <c r="J32" i="23"/>
  <c r="Z684" i="2"/>
  <c r="Z697" i="2"/>
  <c r="AB709" i="2"/>
  <c r="AB695" i="2"/>
  <c r="AF695" i="2" s="1"/>
  <c r="AB703" i="2"/>
  <c r="AF703" i="2" s="1"/>
  <c r="AB705" i="2"/>
  <c r="Z710" i="2"/>
  <c r="Z713" i="2"/>
  <c r="Z704" i="2"/>
  <c r="AB711" i="2"/>
  <c r="AB699" i="2"/>
  <c r="AF699" i="2" s="1"/>
  <c r="AB707" i="2"/>
  <c r="AF707" i="2" s="1"/>
  <c r="AB715" i="2"/>
  <c r="AF715" i="2" s="1"/>
  <c r="AB693" i="2"/>
  <c r="AF693" i="2" s="1"/>
  <c r="AB701" i="2"/>
  <c r="AB708" i="2"/>
  <c r="AB698" i="2"/>
  <c r="AB706" i="2"/>
  <c r="AB692" i="2"/>
  <c r="AF692" i="2" s="1"/>
  <c r="AB700" i="2"/>
  <c r="AB694" i="2"/>
  <c r="AF694" i="2" s="1"/>
  <c r="AB702" i="2"/>
  <c r="AB697" i="2"/>
  <c r="Z698" i="2"/>
  <c r="Z706" i="2"/>
  <c r="Z692" i="2"/>
  <c r="Z700" i="2"/>
  <c r="Z708" i="2"/>
  <c r="Z696" i="2"/>
  <c r="Z694" i="2"/>
  <c r="Z702" i="2"/>
  <c r="Z711" i="2"/>
  <c r="AB712" i="2"/>
  <c r="AF712" i="2" s="1"/>
  <c r="AB710" i="2"/>
  <c r="AF710" i="2" s="1"/>
  <c r="Z705" i="2"/>
  <c r="AB713" i="2"/>
  <c r="AF713" i="2" s="1"/>
  <c r="Z699" i="2"/>
  <c r="Z707" i="2"/>
  <c r="Z715" i="2"/>
  <c r="AB704" i="2"/>
  <c r="Z693" i="2"/>
  <c r="Z701" i="2"/>
  <c r="Z709" i="2"/>
  <c r="Z695" i="2"/>
  <c r="Z703" i="2"/>
  <c r="Z714" i="2"/>
  <c r="AB619" i="2"/>
  <c r="Z664" i="2"/>
  <c r="AB683" i="2"/>
  <c r="AB676" i="2"/>
  <c r="Z680" i="2"/>
  <c r="Z678" i="2"/>
  <c r="AB681" i="2"/>
  <c r="AF681" i="2" s="1"/>
  <c r="AB679" i="2"/>
  <c r="AB686" i="2"/>
  <c r="Z688" i="2"/>
  <c r="Z677" i="2"/>
  <c r="Z690" i="2"/>
  <c r="AB682" i="2"/>
  <c r="AF682" i="2" s="1"/>
  <c r="Z685" i="2"/>
  <c r="Z686" i="2"/>
  <c r="AB690" i="2"/>
  <c r="AF690" i="2" s="1"/>
  <c r="AB685" i="2"/>
  <c r="AB691" i="2"/>
  <c r="AF691" i="2" s="1"/>
  <c r="AB677" i="2"/>
  <c r="Z676" i="2"/>
  <c r="AB680" i="2"/>
  <c r="Z687" i="2"/>
  <c r="AB688" i="2"/>
  <c r="Z681" i="2"/>
  <c r="AB689" i="2"/>
  <c r="Z682" i="2"/>
  <c r="Z679" i="2"/>
  <c r="AB678" i="2"/>
  <c r="AF678" i="2" s="1"/>
  <c r="AB684" i="2"/>
  <c r="AF684" i="2" s="1"/>
  <c r="Z683" i="2"/>
  <c r="AB579" i="2"/>
  <c r="AF579" i="2" s="1"/>
  <c r="AB8" i="2"/>
  <c r="AB631" i="2"/>
  <c r="AB632" i="2"/>
  <c r="AF632" i="2" s="1"/>
  <c r="AB665" i="2"/>
  <c r="AF665" i="2" s="1"/>
  <c r="AB99" i="2"/>
  <c r="AF99" i="2" s="1"/>
  <c r="AB655" i="2"/>
  <c r="AF655" i="2" s="1"/>
  <c r="Z663" i="2"/>
  <c r="AB670" i="2"/>
  <c r="AB674" i="2"/>
  <c r="AF674" i="2" s="1"/>
  <c r="AB647" i="2"/>
  <c r="AF647" i="2" s="1"/>
  <c r="AB653" i="2"/>
  <c r="AF653" i="2" s="1"/>
  <c r="AB657" i="2"/>
  <c r="AF657" i="2" s="1"/>
  <c r="AB656" i="2"/>
  <c r="AF656" i="2" s="1"/>
  <c r="AB649" i="2"/>
  <c r="AF649" i="2" s="1"/>
  <c r="Z659" i="2"/>
  <c r="AB668" i="2"/>
  <c r="Z651" i="2"/>
  <c r="Z654" i="2"/>
  <c r="Z662" i="2"/>
  <c r="Z675" i="2"/>
  <c r="Z667" i="2"/>
  <c r="Z669" i="2"/>
  <c r="Z650" i="2"/>
  <c r="AB671" i="2"/>
  <c r="AF671" i="2" s="1"/>
  <c r="Z660" i="2"/>
  <c r="AB673" i="2"/>
  <c r="AF673" i="2" s="1"/>
  <c r="AB661" i="2"/>
  <c r="AF661" i="2" s="1"/>
  <c r="Z652" i="2"/>
  <c r="Z646" i="2"/>
  <c r="AB648" i="2"/>
  <c r="AF648" i="2" s="1"/>
  <c r="AB666" i="2"/>
  <c r="AF666" i="2" s="1"/>
  <c r="AB658" i="2"/>
  <c r="Z656" i="2"/>
  <c r="Z671" i="2"/>
  <c r="AB654" i="2"/>
  <c r="AF654" i="2" s="1"/>
  <c r="Z648" i="2"/>
  <c r="Z672" i="2"/>
  <c r="AB669" i="2"/>
  <c r="AF669" i="2" s="1"/>
  <c r="AB650" i="2"/>
  <c r="AF650" i="2" s="1"/>
  <c r="Z657" i="2"/>
  <c r="Z653" i="2"/>
  <c r="AB662" i="2"/>
  <c r="AB667" i="2"/>
  <c r="AF667" i="2" s="1"/>
  <c r="Z670" i="2"/>
  <c r="Z674" i="2"/>
  <c r="AB652" i="2"/>
  <c r="AF652" i="2" s="1"/>
  <c r="AB646" i="2"/>
  <c r="AB660" i="2"/>
  <c r="AF660" i="2" s="1"/>
  <c r="AB664" i="2"/>
  <c r="AF664" i="2" s="1"/>
  <c r="Z673" i="2"/>
  <c r="Z658" i="2"/>
  <c r="Z661" i="2"/>
  <c r="AB659" i="2"/>
  <c r="AF659" i="2" s="1"/>
  <c r="Z666" i="2"/>
  <c r="Z668" i="2"/>
  <c r="AB675" i="2"/>
  <c r="AF675" i="2" s="1"/>
  <c r="Z649" i="2"/>
  <c r="Z655" i="2"/>
  <c r="AB651" i="2"/>
  <c r="AF651" i="2" s="1"/>
  <c r="AB663" i="2"/>
  <c r="Z665" i="2"/>
  <c r="Z647" i="2"/>
  <c r="L261" i="21"/>
  <c r="S392" i="26"/>
  <c r="G183" i="23"/>
  <c r="S183" i="23" s="1"/>
  <c r="L186" i="21"/>
  <c r="G105" i="23"/>
  <c r="N160" i="23"/>
  <c r="G255" i="23"/>
  <c r="N255" i="23" s="1"/>
  <c r="U161" i="23"/>
  <c r="U153" i="23"/>
  <c r="U36" i="23"/>
  <c r="U8" i="23"/>
  <c r="S396" i="30"/>
  <c r="G161" i="23"/>
  <c r="S161" i="23" s="1"/>
  <c r="U217" i="23"/>
  <c r="G153" i="23"/>
  <c r="N153" i="23" s="1"/>
  <c r="AV36" i="24"/>
  <c r="G240" i="23"/>
  <c r="S240" i="23" s="1"/>
  <c r="AW73" i="24"/>
  <c r="U91" i="23"/>
  <c r="S393" i="26"/>
  <c r="AV96" i="24"/>
  <c r="U100" i="23"/>
  <c r="S333" i="32"/>
  <c r="U67" i="23"/>
  <c r="U12" i="23"/>
  <c r="S393" i="30"/>
  <c r="U237" i="23"/>
  <c r="U163" i="23"/>
  <c r="S282" i="26"/>
  <c r="U168" i="23"/>
  <c r="U29" i="23"/>
  <c r="U272" i="23"/>
  <c r="G254" i="23"/>
  <c r="N254" i="23" s="1"/>
  <c r="U156" i="23"/>
  <c r="S356" i="30"/>
  <c r="AD66" i="24"/>
  <c r="S111" i="23"/>
  <c r="S24" i="23"/>
  <c r="U99" i="23"/>
  <c r="U128" i="23"/>
  <c r="U207" i="23"/>
  <c r="R232" i="23"/>
  <c r="G37" i="23"/>
  <c r="N37" i="23" s="1"/>
  <c r="T199" i="26"/>
  <c r="S309" i="30"/>
  <c r="S309" i="26"/>
  <c r="S281" i="26"/>
  <c r="U48" i="23"/>
  <c r="S40" i="23"/>
  <c r="G165" i="23"/>
  <c r="S165" i="23" s="1"/>
  <c r="U49" i="23"/>
  <c r="AB609" i="2"/>
  <c r="U140" i="23"/>
  <c r="U88" i="23"/>
  <c r="U9" i="23"/>
  <c r="G244" i="23"/>
  <c r="N244" i="23" s="1"/>
  <c r="R275" i="23"/>
  <c r="U273" i="23"/>
  <c r="G49" i="23"/>
  <c r="U170" i="23"/>
  <c r="S370" i="26"/>
  <c r="S370" i="30"/>
  <c r="U184" i="23"/>
  <c r="U173" i="23"/>
  <c r="AV56" i="24"/>
  <c r="U69" i="23"/>
  <c r="S295" i="30"/>
  <c r="N28" i="23"/>
  <c r="U275" i="23"/>
  <c r="U14" i="23"/>
  <c r="S295" i="26"/>
  <c r="U72" i="23"/>
  <c r="U60" i="23"/>
  <c r="U44" i="23"/>
  <c r="N72" i="23"/>
  <c r="U101" i="23"/>
  <c r="U61" i="23"/>
  <c r="G14" i="23"/>
  <c r="S14" i="23" s="1"/>
  <c r="G38" i="23"/>
  <c r="S38" i="23" s="1"/>
  <c r="S195" i="23"/>
  <c r="U171" i="23"/>
  <c r="U107" i="23"/>
  <c r="U129" i="23"/>
  <c r="S280" i="26"/>
  <c r="U21" i="23"/>
  <c r="S283" i="32"/>
  <c r="G88" i="23"/>
  <c r="N88" i="23" s="1"/>
  <c r="T60" i="26"/>
  <c r="U102" i="23"/>
  <c r="R220" i="23"/>
  <c r="U188" i="23"/>
  <c r="U195" i="23"/>
  <c r="U39" i="23"/>
  <c r="G239" i="23"/>
  <c r="S239" i="23" s="1"/>
  <c r="G129" i="23"/>
  <c r="N129" i="23" s="1"/>
  <c r="S356" i="26"/>
  <c r="AW55" i="24"/>
  <c r="G215" i="23"/>
  <c r="N215" i="23" s="1"/>
  <c r="G261" i="23"/>
  <c r="S261" i="23" s="1"/>
  <c r="U75" i="23"/>
  <c r="S287" i="26"/>
  <c r="G275" i="23"/>
  <c r="S275" i="23" s="1"/>
  <c r="U141" i="23"/>
  <c r="S381" i="26"/>
  <c r="S283" i="26"/>
  <c r="U144" i="23"/>
  <c r="N112" i="23"/>
  <c r="S345" i="32"/>
  <c r="U159" i="23"/>
  <c r="U95" i="23"/>
  <c r="S287" i="30"/>
  <c r="R276" i="23"/>
  <c r="S381" i="30"/>
  <c r="U266" i="23"/>
  <c r="U164" i="23"/>
  <c r="U120" i="23"/>
  <c r="U53" i="23"/>
  <c r="U169" i="23"/>
  <c r="U105" i="23"/>
  <c r="U85" i="23"/>
  <c r="AV59" i="24"/>
  <c r="AD39" i="24"/>
  <c r="AD56" i="24"/>
  <c r="AD109" i="24"/>
  <c r="AW43" i="24"/>
  <c r="AD63" i="24"/>
  <c r="G48" i="23"/>
  <c r="N48" i="23" s="1"/>
  <c r="G190" i="23"/>
  <c r="N190" i="23" s="1"/>
  <c r="U112" i="23"/>
  <c r="G21" i="23"/>
  <c r="N21" i="23" s="1"/>
  <c r="AD20" i="24"/>
  <c r="AE44" i="24"/>
  <c r="AW66" i="24"/>
  <c r="G257" i="23"/>
  <c r="N257" i="23" s="1"/>
  <c r="S392" i="30"/>
  <c r="U220" i="23"/>
  <c r="S281" i="30"/>
  <c r="G166" i="23"/>
  <c r="N166" i="23" s="1"/>
  <c r="U155" i="23"/>
  <c r="U19" i="23"/>
  <c r="U255" i="23"/>
  <c r="U239" i="23"/>
  <c r="G101" i="23"/>
  <c r="S101" i="23" s="1"/>
  <c r="G272" i="23"/>
  <c r="S272" i="23" s="1"/>
  <c r="U86" i="23"/>
  <c r="U214" i="23"/>
  <c r="U290" i="23"/>
  <c r="G91" i="23"/>
  <c r="S91" i="23" s="1"/>
  <c r="S295" i="32"/>
  <c r="U248" i="23"/>
  <c r="AW62" i="24"/>
  <c r="G305" i="23"/>
  <c r="S305" i="23" s="1"/>
  <c r="G86" i="23"/>
  <c r="N86" i="23" s="1"/>
  <c r="R262" i="23"/>
  <c r="S297" i="32"/>
  <c r="U142" i="23"/>
  <c r="R72" i="23"/>
  <c r="P72" i="23" s="1"/>
  <c r="Q72" i="23" s="1"/>
  <c r="U283" i="23"/>
  <c r="R304" i="23"/>
  <c r="T304" i="23" s="1"/>
  <c r="U38" i="23"/>
  <c r="J8" i="23"/>
  <c r="R8" i="23"/>
  <c r="G214" i="23"/>
  <c r="S214" i="23" s="1"/>
  <c r="U64" i="23"/>
  <c r="R114" i="23"/>
  <c r="R165" i="23"/>
  <c r="S381" i="32"/>
  <c r="AV106" i="24"/>
  <c r="Z622" i="2"/>
  <c r="R61" i="23"/>
  <c r="G143" i="23"/>
  <c r="S143" i="23" s="1"/>
  <c r="U236" i="23"/>
  <c r="AD52" i="24"/>
  <c r="AW18" i="24"/>
  <c r="U46" i="23"/>
  <c r="G138" i="23"/>
  <c r="S138" i="23" s="1"/>
  <c r="R119" i="23"/>
  <c r="S282" i="30"/>
  <c r="G145" i="23"/>
  <c r="N145" i="23" s="1"/>
  <c r="G7" i="23"/>
  <c r="S7" i="23" s="1"/>
  <c r="S44" i="23"/>
  <c r="U35" i="23"/>
  <c r="U263" i="23"/>
  <c r="U89" i="23"/>
  <c r="AW48" i="24"/>
  <c r="G225" i="23"/>
  <c r="S225" i="23" s="1"/>
  <c r="U204" i="23"/>
  <c r="U80" i="23"/>
  <c r="U28" i="23"/>
  <c r="S315" i="26"/>
  <c r="S396" i="26"/>
  <c r="G89" i="23"/>
  <c r="N89" i="23" s="1"/>
  <c r="U185" i="23"/>
  <c r="G113" i="23"/>
  <c r="S113" i="23" s="1"/>
  <c r="AW93" i="24"/>
  <c r="AV15" i="24"/>
  <c r="G30" i="23"/>
  <c r="S30" i="23" s="1"/>
  <c r="U122" i="23"/>
  <c r="G234" i="23"/>
  <c r="S234" i="23" s="1"/>
  <c r="R23" i="23"/>
  <c r="P23" i="23" s="1"/>
  <c r="Q23" i="23" s="1"/>
  <c r="R60" i="23"/>
  <c r="P60" i="23" s="1"/>
  <c r="Q60" i="23" s="1"/>
  <c r="S390" i="30"/>
  <c r="AD85" i="24"/>
  <c r="N32" i="23"/>
  <c r="U93" i="23"/>
  <c r="U66" i="23"/>
  <c r="S361" i="30"/>
  <c r="U84" i="23"/>
  <c r="U10" i="23"/>
  <c r="G93" i="23"/>
  <c r="N93" i="23" s="1"/>
  <c r="G269" i="23"/>
  <c r="S269" i="23" s="1"/>
  <c r="G10" i="23"/>
  <c r="N10" i="23" s="1"/>
  <c r="U157" i="23"/>
  <c r="U121" i="23"/>
  <c r="S344" i="32"/>
  <c r="AD86" i="24"/>
  <c r="S305" i="26"/>
  <c r="U32" i="23"/>
  <c r="S305" i="30"/>
  <c r="AE85" i="24"/>
  <c r="U87" i="23"/>
  <c r="S390" i="26"/>
  <c r="N31" i="23"/>
  <c r="AE86" i="24"/>
  <c r="AW82" i="24"/>
  <c r="J29" i="25" s="1"/>
  <c r="K29" i="25" s="1"/>
  <c r="U127" i="23"/>
  <c r="U65" i="23"/>
  <c r="U45" i="23"/>
  <c r="U281" i="23"/>
  <c r="U176" i="23"/>
  <c r="U268" i="23"/>
  <c r="R26" i="23"/>
  <c r="R9" i="23"/>
  <c r="P9" i="23" s="1"/>
  <c r="Q9" i="23" s="1"/>
  <c r="R140" i="23"/>
  <c r="P140" i="23" s="1"/>
  <c r="Q140" i="23" s="1"/>
  <c r="G142" i="23"/>
  <c r="S142" i="23" s="1"/>
  <c r="S392" i="32"/>
  <c r="AB607" i="2"/>
  <c r="AB638" i="2"/>
  <c r="AF638" i="2" s="1"/>
  <c r="Z633" i="2"/>
  <c r="AB616" i="2"/>
  <c r="AF616" i="2" s="1"/>
  <c r="AB611" i="2"/>
  <c r="AF611" i="2" s="1"/>
  <c r="R273" i="23"/>
  <c r="P273" i="23" s="1"/>
  <c r="Q273" i="23" s="1"/>
  <c r="R188" i="23"/>
  <c r="P188" i="23" s="1"/>
  <c r="Q188" i="23" s="1"/>
  <c r="R36" i="23"/>
  <c r="P36" i="23" s="1"/>
  <c r="Q36" i="23" s="1"/>
  <c r="S281" i="32"/>
  <c r="Z613" i="2"/>
  <c r="AB627" i="2"/>
  <c r="R195" i="23"/>
  <c r="P195" i="23" s="1"/>
  <c r="Q195" i="23" s="1"/>
  <c r="R107" i="23"/>
  <c r="P107" i="23" s="1"/>
  <c r="Q107" i="23" s="1"/>
  <c r="R248" i="23"/>
  <c r="P248" i="23" s="1"/>
  <c r="Q248" i="23" s="1"/>
  <c r="R12" i="23"/>
  <c r="AB643" i="2"/>
  <c r="AB630" i="2"/>
  <c r="AF630" i="2" s="1"/>
  <c r="Z620" i="2"/>
  <c r="Z624" i="2"/>
  <c r="Z617" i="2"/>
  <c r="Z642" i="2"/>
  <c r="AB634" i="2"/>
  <c r="AF634" i="2" s="1"/>
  <c r="AB623" i="2"/>
  <c r="AF623" i="2" s="1"/>
  <c r="Z644" i="2"/>
  <c r="AB645" i="2"/>
  <c r="AF645" i="2" s="1"/>
  <c r="AB629" i="2"/>
  <c r="AF629" i="2" s="1"/>
  <c r="Z639" i="2"/>
  <c r="AB635" i="2"/>
  <c r="AF635" i="2" s="1"/>
  <c r="Z641" i="2"/>
  <c r="Z625" i="2"/>
  <c r="Z610" i="2"/>
  <c r="AB618" i="2"/>
  <c r="AF618" i="2" s="1"/>
  <c r="AB636" i="2"/>
  <c r="Z608" i="2"/>
  <c r="Z640" i="2"/>
  <c r="AB612" i="2"/>
  <c r="AF612" i="2" s="1"/>
  <c r="AB615" i="2"/>
  <c r="AF615" i="2" s="1"/>
  <c r="Z637" i="2"/>
  <c r="Z621" i="2"/>
  <c r="AB614" i="2"/>
  <c r="Z628" i="2"/>
  <c r="Z626" i="2"/>
  <c r="Z632" i="2"/>
  <c r="Z623" i="2"/>
  <c r="G258" i="23"/>
  <c r="N258" i="23" s="1"/>
  <c r="S361" i="26"/>
  <c r="AW79" i="24"/>
  <c r="J28" i="25" s="1"/>
  <c r="K28" i="25" s="1"/>
  <c r="U250" i="23"/>
  <c r="U136" i="23"/>
  <c r="AV82" i="24"/>
  <c r="AE16" i="24"/>
  <c r="U187" i="23"/>
  <c r="U167" i="23"/>
  <c r="U151" i="23"/>
  <c r="U63" i="23"/>
  <c r="U209" i="23"/>
  <c r="G45" i="23"/>
  <c r="N45" i="23" s="1"/>
  <c r="G121" i="23"/>
  <c r="S121" i="23" s="1"/>
  <c r="AW101" i="24"/>
  <c r="U94" i="23"/>
  <c r="AW26" i="24"/>
  <c r="U34" i="23"/>
  <c r="AD59" i="24"/>
  <c r="G268" i="23"/>
  <c r="N268" i="23" s="1"/>
  <c r="G65" i="23"/>
  <c r="N65" i="23" s="1"/>
  <c r="Z645" i="2"/>
  <c r="Z629" i="2"/>
  <c r="AB639" i="2"/>
  <c r="AF639" i="2" s="1"/>
  <c r="Z618" i="2"/>
  <c r="AB644" i="2"/>
  <c r="AF644" i="2" s="1"/>
  <c r="AB628" i="2"/>
  <c r="AF628" i="2" s="1"/>
  <c r="Z636" i="2"/>
  <c r="AB641" i="2"/>
  <c r="AF641" i="2" s="1"/>
  <c r="AB625" i="2"/>
  <c r="AB610" i="2"/>
  <c r="AF610" i="2" s="1"/>
  <c r="AB608" i="2"/>
  <c r="Z635" i="2"/>
  <c r="Z619" i="2"/>
  <c r="U242" i="23"/>
  <c r="U92" i="23"/>
  <c r="AV79" i="24"/>
  <c r="R181" i="23"/>
  <c r="U103" i="23"/>
  <c r="U31" i="23"/>
  <c r="T112" i="26"/>
  <c r="U11" i="23"/>
  <c r="G94" i="23"/>
  <c r="S94" i="23" s="1"/>
  <c r="U146" i="23"/>
  <c r="AD26" i="24"/>
  <c r="R145" i="23"/>
  <c r="R99" i="23"/>
  <c r="P99" i="23" s="1"/>
  <c r="Q99" i="23" s="1"/>
  <c r="AB617" i="2"/>
  <c r="Z614" i="2"/>
  <c r="AB642" i="2"/>
  <c r="AF642" i="2" s="1"/>
  <c r="Z634" i="2"/>
  <c r="Z612" i="2"/>
  <c r="AB640" i="2"/>
  <c r="AB624" i="2"/>
  <c r="AB626" i="2"/>
  <c r="AB637" i="2"/>
  <c r="AF637" i="2" s="1"/>
  <c r="AB621" i="2"/>
  <c r="AF621" i="2" s="1"/>
  <c r="AB622" i="2"/>
  <c r="Z631" i="2"/>
  <c r="Z615" i="2"/>
  <c r="U182" i="23"/>
  <c r="U130" i="23"/>
  <c r="U211" i="23"/>
  <c r="Z630" i="2"/>
  <c r="Z609" i="2"/>
  <c r="AB620" i="2"/>
  <c r="Z607" i="2"/>
  <c r="AB633" i="2"/>
  <c r="AF633" i="2" s="1"/>
  <c r="AB613" i="2"/>
  <c r="AF613" i="2" s="1"/>
  <c r="Z638" i="2"/>
  <c r="Z616" i="2"/>
  <c r="Z643" i="2"/>
  <c r="Z627" i="2"/>
  <c r="Z611" i="2"/>
  <c r="R66" i="23"/>
  <c r="P66" i="23" s="1"/>
  <c r="Q66" i="23" s="1"/>
  <c r="R127" i="23"/>
  <c r="R242" i="23"/>
  <c r="P242" i="23" s="1"/>
  <c r="Q242" i="23" s="1"/>
  <c r="G146" i="23"/>
  <c r="S146" i="23" s="1"/>
  <c r="AV19" i="24"/>
  <c r="AE9" i="24"/>
  <c r="R250" i="23"/>
  <c r="P250" i="23" s="1"/>
  <c r="Q250" i="23" s="1"/>
  <c r="R63" i="23"/>
  <c r="P63" i="23" s="1"/>
  <c r="Q63" i="23" s="1"/>
  <c r="G87" i="23"/>
  <c r="N87" i="23" s="1"/>
  <c r="G130" i="23"/>
  <c r="N130" i="23" s="1"/>
  <c r="G34" i="23"/>
  <c r="S34" i="23" s="1"/>
  <c r="R11" i="23"/>
  <c r="P11" i="23" s="1"/>
  <c r="Q11" i="23" s="1"/>
  <c r="R136" i="23"/>
  <c r="P136" i="23" s="1"/>
  <c r="Q136" i="23" s="1"/>
  <c r="S390" i="32"/>
  <c r="S361" i="32"/>
  <c r="R258" i="23"/>
  <c r="R32" i="23"/>
  <c r="P32" i="23" s="1"/>
  <c r="Q32" i="23" s="1"/>
  <c r="S305" i="32"/>
  <c r="AV23" i="24"/>
  <c r="G114" i="23"/>
  <c r="S114" i="23" s="1"/>
  <c r="U110" i="23"/>
  <c r="G42" i="23"/>
  <c r="S42" i="23" s="1"/>
  <c r="G26" i="23"/>
  <c r="S26" i="23" s="1"/>
  <c r="AW57" i="24"/>
  <c r="AV16" i="24"/>
  <c r="R111" i="23"/>
  <c r="P111" i="23" s="1"/>
  <c r="Q111" i="23" s="1"/>
  <c r="R95" i="23"/>
  <c r="P95" i="23" s="1"/>
  <c r="Q95" i="23" s="1"/>
  <c r="R27" i="23"/>
  <c r="P27" i="23" s="1"/>
  <c r="Q27" i="23" s="1"/>
  <c r="R144" i="23"/>
  <c r="R112" i="23"/>
  <c r="P112" i="23" s="1"/>
  <c r="Q112" i="23" s="1"/>
  <c r="R24" i="23"/>
  <c r="P24" i="23" s="1"/>
  <c r="Q24" i="23" s="1"/>
  <c r="U192" i="23"/>
  <c r="S283" i="30"/>
  <c r="U160" i="23"/>
  <c r="U40" i="23"/>
  <c r="U24" i="23"/>
  <c r="U16" i="23"/>
  <c r="U111" i="23"/>
  <c r="U27" i="23"/>
  <c r="G192" i="23"/>
  <c r="S192" i="23" s="1"/>
  <c r="G141" i="23"/>
  <c r="S141" i="23" s="1"/>
  <c r="G53" i="23"/>
  <c r="N53" i="23" s="1"/>
  <c r="G85" i="23"/>
  <c r="S85" i="23" s="1"/>
  <c r="AV97" i="24"/>
  <c r="R266" i="23"/>
  <c r="P266" i="23" s="1"/>
  <c r="Q266" i="23" s="1"/>
  <c r="R42" i="23"/>
  <c r="R240" i="23"/>
  <c r="R160" i="23"/>
  <c r="P160" i="23" s="1"/>
  <c r="Q160" i="23" s="1"/>
  <c r="R40" i="23"/>
  <c r="P40" i="23" s="1"/>
  <c r="Q40" i="23" s="1"/>
  <c r="R170" i="23"/>
  <c r="P170" i="23" s="1"/>
  <c r="Q170" i="23" s="1"/>
  <c r="U138" i="23"/>
  <c r="AE76" i="24"/>
  <c r="G194" i="23"/>
  <c r="N194" i="23" s="1"/>
  <c r="AV53" i="24"/>
  <c r="R194" i="23"/>
  <c r="R113" i="23"/>
  <c r="R30" i="23"/>
  <c r="R256" i="23"/>
  <c r="P256" i="23" s="1"/>
  <c r="Q256" i="23" s="1"/>
  <c r="R7" i="23"/>
  <c r="G236" i="23"/>
  <c r="S236" i="23" s="1"/>
  <c r="S370" i="32"/>
  <c r="S334" i="32"/>
  <c r="U154" i="23"/>
  <c r="G122" i="23"/>
  <c r="N122" i="23" s="1"/>
  <c r="AW63" i="24"/>
  <c r="U256" i="23"/>
  <c r="R163" i="23"/>
  <c r="P163" i="23" s="1"/>
  <c r="Q163" i="23" s="1"/>
  <c r="R35" i="23"/>
  <c r="P35" i="23" s="1"/>
  <c r="Q35" i="23" s="1"/>
  <c r="R128" i="23"/>
  <c r="P128" i="23" s="1"/>
  <c r="Q128" i="23" s="1"/>
  <c r="R80" i="23"/>
  <c r="G124" i="23"/>
  <c r="N124" i="23" s="1"/>
  <c r="S282" i="32"/>
  <c r="S315" i="32"/>
  <c r="U124" i="23"/>
  <c r="S315" i="30"/>
  <c r="U288" i="23"/>
  <c r="U143" i="23"/>
  <c r="U119" i="23"/>
  <c r="U23" i="23"/>
  <c r="G263" i="23"/>
  <c r="S263" i="23" s="1"/>
  <c r="S280" i="30"/>
  <c r="R288" i="23"/>
  <c r="P288" i="23" s="1"/>
  <c r="Q288" i="23" s="1"/>
  <c r="R31" i="23"/>
  <c r="P31" i="23" s="1"/>
  <c r="Q31" i="23" s="1"/>
  <c r="R44" i="23"/>
  <c r="P44" i="23" s="1"/>
  <c r="Q44" i="23" s="1"/>
  <c r="R28" i="23"/>
  <c r="P28" i="23" s="1"/>
  <c r="Q28" i="23" s="1"/>
  <c r="Z604" i="2"/>
  <c r="T258" i="26"/>
  <c r="T150" i="26"/>
  <c r="T142" i="26"/>
  <c r="T21" i="30"/>
  <c r="T185" i="26"/>
  <c r="T77" i="30"/>
  <c r="T259" i="30"/>
  <c r="T71" i="26"/>
  <c r="T58" i="30"/>
  <c r="T257" i="30"/>
  <c r="T259" i="26"/>
  <c r="T257" i="26"/>
  <c r="T122" i="30"/>
  <c r="T258" i="30"/>
  <c r="T77" i="32"/>
  <c r="Z603" i="2"/>
  <c r="Z602" i="2"/>
  <c r="Z606" i="2"/>
  <c r="Z605" i="2"/>
  <c r="F370" i="30"/>
  <c r="F370" i="32"/>
  <c r="AG106" i="24"/>
  <c r="J394" i="32"/>
  <c r="J371" i="26"/>
  <c r="J371" i="32"/>
  <c r="S395" i="32"/>
  <c r="F390" i="26"/>
  <c r="F390" i="32"/>
  <c r="S319" i="26"/>
  <c r="S319" i="32"/>
  <c r="S303" i="32"/>
  <c r="F298" i="26"/>
  <c r="F298" i="32"/>
  <c r="F280" i="26"/>
  <c r="F280" i="32"/>
  <c r="F305" i="30"/>
  <c r="F305" i="32"/>
  <c r="J339" i="30"/>
  <c r="AE26" i="24"/>
  <c r="S294" i="32"/>
  <c r="G157" i="23"/>
  <c r="S157" i="23" s="1"/>
  <c r="S341" i="32"/>
  <c r="F319" i="26"/>
  <c r="F319" i="32"/>
  <c r="F341" i="30"/>
  <c r="F341" i="32"/>
  <c r="G134" i="23"/>
  <c r="S134" i="23" s="1"/>
  <c r="S343" i="32"/>
  <c r="S304" i="32"/>
  <c r="S337" i="30"/>
  <c r="S337" i="32"/>
  <c r="J310" i="26"/>
  <c r="J340" i="32"/>
  <c r="J310" i="32"/>
  <c r="J294" i="30"/>
  <c r="J294" i="32"/>
  <c r="AG65" i="24"/>
  <c r="J345" i="32"/>
  <c r="J279" i="30"/>
  <c r="J279" i="32"/>
  <c r="AG77" i="24"/>
  <c r="AE39" i="24"/>
  <c r="S302" i="32"/>
  <c r="J321" i="30"/>
  <c r="J321" i="32"/>
  <c r="F393" i="30"/>
  <c r="F393" i="32"/>
  <c r="F356" i="26"/>
  <c r="F356" i="32"/>
  <c r="J281" i="30"/>
  <c r="J281" i="32"/>
  <c r="H263" i="23"/>
  <c r="F396" i="32"/>
  <c r="J296" i="30"/>
  <c r="J296" i="32"/>
  <c r="J280" i="30"/>
  <c r="J280" i="32"/>
  <c r="F282" i="26"/>
  <c r="F282" i="32"/>
  <c r="U135" i="23"/>
  <c r="S296" i="32"/>
  <c r="F303" i="30"/>
  <c r="F303" i="32"/>
  <c r="G132" i="23"/>
  <c r="J132" i="23" s="1"/>
  <c r="S298" i="32"/>
  <c r="J337" i="30"/>
  <c r="J337" i="32"/>
  <c r="J303" i="30"/>
  <c r="J303" i="32"/>
  <c r="H247" i="23"/>
  <c r="F391" i="32"/>
  <c r="J335" i="30"/>
  <c r="J335" i="32"/>
  <c r="J325" i="30"/>
  <c r="J323" i="30" s="1"/>
  <c r="J325" i="32"/>
  <c r="J323" i="32" s="1"/>
  <c r="J304" i="32"/>
  <c r="J343" i="32"/>
  <c r="AG75" i="24"/>
  <c r="J332" i="32"/>
  <c r="S391" i="32"/>
  <c r="F395" i="30"/>
  <c r="F395" i="32"/>
  <c r="S279" i="32"/>
  <c r="J298" i="30"/>
  <c r="J298" i="32"/>
  <c r="F339" i="26"/>
  <c r="F339" i="32"/>
  <c r="H7" i="23"/>
  <c r="F315" i="32"/>
  <c r="F381" i="30"/>
  <c r="F379" i="30" s="1"/>
  <c r="F378" i="30" s="1"/>
  <c r="F381" i="32"/>
  <c r="F379" i="32" s="1"/>
  <c r="F378" i="32" s="1"/>
  <c r="J370" i="30"/>
  <c r="J370" i="32"/>
  <c r="F279" i="26"/>
  <c r="I279" i="26" s="1"/>
  <c r="F279" i="32"/>
  <c r="F337" i="30"/>
  <c r="F337" i="32"/>
  <c r="F296" i="26"/>
  <c r="F296" i="32"/>
  <c r="F304" i="30"/>
  <c r="F343" i="32"/>
  <c r="F304" i="32"/>
  <c r="J365" i="26"/>
  <c r="J365" i="32"/>
  <c r="J342" i="26"/>
  <c r="J342" i="32"/>
  <c r="J282" i="26"/>
  <c r="J282" i="32"/>
  <c r="S365" i="30"/>
  <c r="S365" i="32"/>
  <c r="U297" i="23"/>
  <c r="T265" i="32"/>
  <c r="R225" i="23"/>
  <c r="O370" i="32"/>
  <c r="N370" i="32" s="1"/>
  <c r="AB606" i="2"/>
  <c r="AF606" i="2" s="1"/>
  <c r="AB605" i="2"/>
  <c r="Z601" i="2"/>
  <c r="AB604" i="2"/>
  <c r="AF604" i="2" s="1"/>
  <c r="AB603" i="2"/>
  <c r="AF603" i="2" s="1"/>
  <c r="AB601" i="2"/>
  <c r="AF601" i="2" s="1"/>
  <c r="AB602" i="2"/>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Z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X436" i="2"/>
  <c r="AX110" i="24" s="1"/>
  <c r="AT110" i="24"/>
  <c r="J85" i="23"/>
  <c r="AT54" i="24"/>
  <c r="AT104" i="24"/>
  <c r="H75" i="23"/>
  <c r="H51" i="23"/>
  <c r="H27" i="23"/>
  <c r="H19" i="23"/>
  <c r="H195" i="23"/>
  <c r="H80" i="23"/>
  <c r="H120" i="23"/>
  <c r="L120" i="23"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AV110" i="24"/>
  <c r="L75" i="23"/>
  <c r="X430" i="2"/>
  <c r="AX107" i="24" s="1"/>
  <c r="AT107" i="24"/>
  <c r="R143" i="23"/>
  <c r="R91" i="23"/>
  <c r="G92" i="23"/>
  <c r="J92" i="23" s="1"/>
  <c r="H190" i="23"/>
  <c r="G238" i="23"/>
  <c r="N238" i="23" s="1"/>
  <c r="G169" i="23"/>
  <c r="N169" i="23" s="1"/>
  <c r="AT53" i="24"/>
  <c r="G156" i="23"/>
  <c r="AW54" i="24"/>
  <c r="R209" i="23"/>
  <c r="AV58" i="24"/>
  <c r="G172" i="23"/>
  <c r="X434" i="2"/>
  <c r="AX58" i="24" s="1"/>
  <c r="AT58" i="24"/>
  <c r="AV54" i="24"/>
  <c r="G154" i="23"/>
  <c r="G90" i="23"/>
  <c r="N90" i="23" s="1"/>
  <c r="H192" i="23"/>
  <c r="G158" i="23"/>
  <c r="S158" i="23" s="1"/>
  <c r="G84" i="23"/>
  <c r="J84" i="23" s="1"/>
  <c r="H79" i="23"/>
  <c r="G207" i="23"/>
  <c r="G171" i="23"/>
  <c r="G217" i="23"/>
  <c r="S217" i="23" s="1"/>
  <c r="AE109" i="24"/>
  <c r="G155" i="23"/>
  <c r="H207" i="23"/>
  <c r="G187" i="23"/>
  <c r="J187" i="23" s="1"/>
  <c r="AV67" i="24"/>
  <c r="G164" i="23"/>
  <c r="J90" i="23"/>
  <c r="AN58" i="24"/>
  <c r="G150" i="23"/>
  <c r="H214" i="23"/>
  <c r="X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R97" i="23"/>
  <c r="R204" i="23"/>
  <c r="R17" i="23"/>
  <c r="R292" i="23"/>
  <c r="R82" i="23"/>
  <c r="R238" i="23"/>
  <c r="R174" i="23"/>
  <c r="P174" i="23" s="1"/>
  <c r="Q174" i="23" s="1"/>
  <c r="R33" i="23"/>
  <c r="R131" i="23"/>
  <c r="P131" i="23" s="1"/>
  <c r="Q131" i="23" s="1"/>
  <c r="R100" i="23"/>
  <c r="R83" i="23"/>
  <c r="P83" i="23" s="1"/>
  <c r="Q83" i="23" s="1"/>
  <c r="R291" i="23"/>
  <c r="P291" i="23" s="1"/>
  <c r="Q291" i="23" s="1"/>
  <c r="R48" i="23"/>
  <c r="R20" i="23"/>
  <c r="P20" i="23" s="1"/>
  <c r="Q20" i="23" s="1"/>
  <c r="R253" i="23"/>
  <c r="P253" i="23" s="1"/>
  <c r="Q253" i="23" s="1"/>
  <c r="R19" i="23"/>
  <c r="R277" i="23"/>
  <c r="P277" i="23" s="1"/>
  <c r="Q277" i="23" s="1"/>
  <c r="R226" i="23"/>
  <c r="R70" i="23"/>
  <c r="R287" i="23"/>
  <c r="R15" i="23"/>
  <c r="P15" i="23" s="1"/>
  <c r="Q15" i="23" s="1"/>
  <c r="R13" i="23"/>
  <c r="P13" i="23" s="1"/>
  <c r="Q13" i="23" s="1"/>
  <c r="R96" i="23"/>
  <c r="R77" i="23"/>
  <c r="R18" i="23"/>
  <c r="R81" i="23"/>
  <c r="R133" i="23"/>
  <c r="R126" i="23"/>
  <c r="R58" i="23"/>
  <c r="R41" i="23"/>
  <c r="P41" i="23" s="1"/>
  <c r="Q41" i="23" s="1"/>
  <c r="R25" i="23"/>
  <c r="P25" i="23" s="1"/>
  <c r="Q25" i="23" s="1"/>
  <c r="R203" i="23"/>
  <c r="R139" i="23"/>
  <c r="R123" i="23"/>
  <c r="P123" i="23" s="1"/>
  <c r="Q123" i="23" s="1"/>
  <c r="R59" i="23"/>
  <c r="R76" i="23"/>
  <c r="P76" i="23" s="1"/>
  <c r="Q76" i="23" s="1"/>
  <c r="R106" i="23"/>
  <c r="R233" i="23"/>
  <c r="R109" i="23"/>
  <c r="R71" i="23"/>
  <c r="R55" i="23"/>
  <c r="P55" i="23" s="1"/>
  <c r="Q55" i="23" s="1"/>
  <c r="R152" i="23"/>
  <c r="P152" i="23" s="1"/>
  <c r="Q152" i="23" s="1"/>
  <c r="R104" i="23"/>
  <c r="R56" i="23"/>
  <c r="P56" i="23" s="1"/>
  <c r="Q56" i="23" s="1"/>
  <c r="R207" i="23"/>
  <c r="R187" i="23"/>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AI155" i="21"/>
  <c r="U7" i="21"/>
  <c r="AC257" i="21"/>
  <c r="Q176" i="21"/>
  <c r="N79" i="21"/>
  <c r="O79" i="21" s="1"/>
  <c r="AB155" i="21"/>
  <c r="T257" i="21"/>
  <c r="S257" i="21"/>
  <c r="AR257" i="21"/>
  <c r="AI257" i="21"/>
  <c r="H98" i="23"/>
  <c r="L98" i="23" s="1"/>
  <c r="T122" i="21"/>
  <c r="F315" i="30"/>
  <c r="L192" i="21"/>
  <c r="S279" i="30"/>
  <c r="K112" i="21"/>
  <c r="AG112" i="21"/>
  <c r="L75" i="21"/>
  <c r="G81" i="23"/>
  <c r="J81" i="23" s="1"/>
  <c r="N256" i="23"/>
  <c r="F339" i="30"/>
  <c r="AT257" i="21"/>
  <c r="U257" i="21"/>
  <c r="U155" i="21"/>
  <c r="N7" i="21"/>
  <c r="O7" i="21" s="1"/>
  <c r="N257" i="21"/>
  <c r="O257" i="21" s="1"/>
  <c r="AW58" i="21"/>
  <c r="K46" i="21"/>
  <c r="L46" i="21" s="1"/>
  <c r="AD79" i="21"/>
  <c r="G57" i="23"/>
  <c r="S57" i="23" s="1"/>
  <c r="N46" i="21"/>
  <c r="O46" i="21" s="1"/>
  <c r="AX155" i="21"/>
  <c r="N122" i="21"/>
  <c r="O122" i="21" s="1"/>
  <c r="P65" i="21"/>
  <c r="AV42" i="24"/>
  <c r="AO112" i="21"/>
  <c r="AI52" i="21"/>
  <c r="J337" i="26"/>
  <c r="AL35" i="21"/>
  <c r="F343" i="26"/>
  <c r="U108" i="23"/>
  <c r="AB7" i="2"/>
  <c r="AW23" i="24"/>
  <c r="J16" i="25" s="1"/>
  <c r="K16" i="25" s="1"/>
  <c r="J365" i="30"/>
  <c r="AU69" i="24"/>
  <c r="AF112" i="21"/>
  <c r="N65" i="21"/>
  <c r="O65" i="21" s="1"/>
  <c r="AC112" i="21"/>
  <c r="AX141" i="21"/>
  <c r="AR112" i="21"/>
  <c r="AH112" i="21"/>
  <c r="X35" i="21"/>
  <c r="AC65" i="21"/>
  <c r="AT39" i="21"/>
  <c r="T126" i="26"/>
  <c r="F315" i="26"/>
  <c r="G311" i="23"/>
  <c r="S311" i="23" s="1"/>
  <c r="Z141" i="21"/>
  <c r="AO39" i="21"/>
  <c r="AU122" i="21"/>
  <c r="U20" i="23"/>
  <c r="AC141" i="21"/>
  <c r="Y112" i="21"/>
  <c r="AB112" i="21"/>
  <c r="AO35" i="21"/>
  <c r="J282" i="30"/>
  <c r="AW39" i="21"/>
  <c r="AH65" i="21"/>
  <c r="N112" i="21"/>
  <c r="O112" i="21" s="1"/>
  <c r="Z112" i="21"/>
  <c r="V35" i="21"/>
  <c r="K39" i="21"/>
  <c r="AN39" i="21"/>
  <c r="AP52" i="21"/>
  <c r="AO53" i="21"/>
  <c r="AN65" i="21"/>
  <c r="R176" i="21"/>
  <c r="U115" i="23"/>
  <c r="AF79" i="21"/>
  <c r="AV79" i="21"/>
  <c r="S296" i="30"/>
  <c r="S123" i="23"/>
  <c r="AW155" i="21"/>
  <c r="AG257" i="21"/>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X283" i="2"/>
  <c r="AS248" i="21"/>
  <c r="P39" i="21"/>
  <c r="AK65" i="21"/>
  <c r="G211" i="21"/>
  <c r="AD90" i="24"/>
  <c r="H134" i="23"/>
  <c r="L134" i="23" s="1"/>
  <c r="G228" i="23"/>
  <c r="S228" i="23" s="1"/>
  <c r="AN141" i="21"/>
  <c r="M112" i="21"/>
  <c r="AV112" i="21"/>
  <c r="AW112" i="21"/>
  <c r="AX112" i="21"/>
  <c r="AQ112" i="21"/>
  <c r="AM35" i="21"/>
  <c r="Q39" i="21"/>
  <c r="AR39" i="21"/>
  <c r="AF53" i="21"/>
  <c r="AD53" i="21"/>
  <c r="AS65" i="21"/>
  <c r="AM65" i="21"/>
  <c r="N52" i="21"/>
  <c r="O52" i="21" s="1"/>
  <c r="AT42" i="21"/>
  <c r="X39" i="21"/>
  <c r="N55" i="23"/>
  <c r="R39" i="21"/>
  <c r="R248" i="21"/>
  <c r="AF248" i="21"/>
  <c r="AQ248" i="21"/>
  <c r="W122" i="21"/>
  <c r="AP122" i="21"/>
  <c r="T39" i="21"/>
  <c r="U39" i="21"/>
  <c r="S39" i="21"/>
  <c r="S52" i="21"/>
  <c r="G97" i="23"/>
  <c r="N97" i="23" s="1"/>
  <c r="U65" i="21"/>
  <c r="AL65" i="21"/>
  <c r="AT65" i="21"/>
  <c r="AV65" i="21"/>
  <c r="N39" i="21"/>
  <c r="O39" i="21" s="1"/>
  <c r="N53" i="21"/>
  <c r="O53" i="21" s="1"/>
  <c r="N141" i="21"/>
  <c r="O141" i="21" s="1"/>
  <c r="AI112" i="21"/>
  <c r="AV94" i="24"/>
  <c r="U309" i="23"/>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X276" i="2"/>
  <c r="AK39" i="21"/>
  <c r="AQ39" i="21"/>
  <c r="AM39" i="21"/>
  <c r="AA39" i="21"/>
  <c r="S112" i="21"/>
  <c r="AW52" i="21"/>
  <c r="S53" i="21"/>
  <c r="AA65" i="21"/>
  <c r="AB65" i="21"/>
  <c r="X65" i="21"/>
  <c r="Y65" i="21"/>
  <c r="AD65" i="21"/>
  <c r="N248" i="21"/>
  <c r="O248" i="21"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AB9" i="2"/>
  <c r="AF9" i="2" s="1"/>
  <c r="AB520" i="2"/>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U13" i="23"/>
  <c r="AX176" i="21"/>
  <c r="AB67" i="2"/>
  <c r="AB504" i="2"/>
  <c r="Z370" i="2"/>
  <c r="L63" i="21"/>
  <c r="AC70" i="24"/>
  <c r="AP253" i="21"/>
  <c r="L258" i="21"/>
  <c r="N221" i="21"/>
  <c r="O221" i="21" s="1"/>
  <c r="X41" i="21"/>
  <c r="AG67" i="24"/>
  <c r="G238" i="21"/>
  <c r="N153" i="21"/>
  <c r="O153" i="21" s="1"/>
  <c r="AH251" i="21"/>
  <c r="AD153" i="21"/>
  <c r="AA259" i="21"/>
  <c r="AL153" i="21"/>
  <c r="AR83" i="21"/>
  <c r="AF214" i="21"/>
  <c r="X146" i="21"/>
  <c r="AM74" i="21"/>
  <c r="AO83" i="21"/>
  <c r="AA214" i="21"/>
  <c r="U146" i="21"/>
  <c r="N138" i="21"/>
  <c r="O138" i="21" s="1"/>
  <c r="X281" i="2"/>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X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AB148" i="2"/>
  <c r="AF148" i="2" s="1"/>
  <c r="AW5" i="21"/>
  <c r="AW255" i="21"/>
  <c r="S304" i="26"/>
  <c r="AU6" i="21"/>
  <c r="T143" i="21"/>
  <c r="AQ41" i="21"/>
  <c r="AO76" i="21"/>
  <c r="AD5" i="21"/>
  <c r="AC259" i="21"/>
  <c r="R253" i="21"/>
  <c r="AC153" i="21"/>
  <c r="AV138" i="21"/>
  <c r="U214" i="21"/>
  <c r="AL137" i="21"/>
  <c r="AB42" i="24"/>
  <c r="L196" i="21"/>
  <c r="AF251" i="21"/>
  <c r="J153" i="21"/>
  <c r="L153" i="21" s="1"/>
  <c r="AO74" i="21"/>
  <c r="AG83" i="21"/>
  <c r="N74" i="21"/>
  <c r="O74" i="21" s="1"/>
  <c r="AT74" i="21"/>
  <c r="AJ214" i="21"/>
  <c r="AP146" i="21"/>
  <c r="AK150" i="21"/>
  <c r="N36" i="21"/>
  <c r="O36" i="21" s="1"/>
  <c r="AI259" i="21"/>
  <c r="AE74" i="21"/>
  <c r="AW83" i="21"/>
  <c r="AB146" i="21"/>
  <c r="AK259" i="21"/>
  <c r="P259" i="21"/>
  <c r="V251" i="21"/>
  <c r="AJ251" i="21"/>
  <c r="AM259" i="21"/>
  <c r="V253" i="21"/>
  <c r="T153" i="21"/>
  <c r="S153" i="21"/>
  <c r="AO153" i="21"/>
  <c r="AO138" i="21"/>
  <c r="AV74" i="21"/>
  <c r="AY83" i="21"/>
  <c r="AK83" i="21"/>
  <c r="H241" i="23"/>
  <c r="P137" i="2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X282" i="2"/>
  <c r="X143" i="21"/>
  <c r="AE76" i="21"/>
  <c r="AC5" i="21"/>
  <c r="AM5" i="21"/>
  <c r="AU231" i="21"/>
  <c r="H255" i="23"/>
  <c r="L55" i="21"/>
  <c r="L184" i="21"/>
  <c r="H272" i="23"/>
  <c r="AD231" i="21"/>
  <c r="AG231" i="21"/>
  <c r="U289" i="23"/>
  <c r="S253" i="21"/>
  <c r="AC35" i="24"/>
  <c r="AN231" i="21"/>
  <c r="M231" i="21"/>
  <c r="M153" i="21"/>
  <c r="AA256" i="21"/>
  <c r="U231" i="21"/>
  <c r="AA231" i="21"/>
  <c r="Z255" i="21"/>
  <c r="Z51" i="2"/>
  <c r="AB102" i="2"/>
  <c r="AB23" i="2"/>
  <c r="AF23" i="2" s="1"/>
  <c r="AB15" i="2"/>
  <c r="AW106" i="24"/>
  <c r="N249" i="30"/>
  <c r="AB500" i="2"/>
  <c r="AF500" i="2" s="1"/>
  <c r="AB455" i="2"/>
  <c r="AF455" i="2" s="1"/>
  <c r="Z400" i="2"/>
  <c r="N231" i="21"/>
  <c r="O231" i="21" s="1"/>
  <c r="J394" i="26"/>
  <c r="L14" i="21"/>
  <c r="AT231" i="21"/>
  <c r="AB231" i="21"/>
  <c r="AQ231" i="21"/>
  <c r="X70" i="21"/>
  <c r="AP36" i="21"/>
  <c r="L67" i="21"/>
  <c r="AB58" i="2"/>
  <c r="AF58" i="2" s="1"/>
  <c r="AY117" i="21"/>
  <c r="AQ117" i="21"/>
  <c r="AI51" i="21"/>
  <c r="K51" i="21"/>
  <c r="AJ51" i="21"/>
  <c r="S51" i="21"/>
  <c r="AM51" i="21"/>
  <c r="AS255" i="21"/>
  <c r="W255" i="21"/>
  <c r="T255" i="21"/>
  <c r="AJ255" i="21"/>
  <c r="N142" i="21"/>
  <c r="O142" i="21" s="1"/>
  <c r="N76" i="21"/>
  <c r="O76" i="21" s="1"/>
  <c r="N51" i="21"/>
  <c r="O51" i="21"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U76" i="23"/>
  <c r="U68" i="23"/>
  <c r="W142" i="21"/>
  <c r="Z41" i="21"/>
  <c r="AG6" i="2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AB35" i="2"/>
  <c r="AF35" i="2" s="1"/>
  <c r="AN76" i="21"/>
  <c r="V255" i="21"/>
  <c r="Q255" i="21"/>
  <c r="AD255" i="21"/>
  <c r="AI255" i="21"/>
  <c r="AH6" i="21"/>
  <c r="R6" i="21"/>
  <c r="AM6" i="21"/>
  <c r="X6" i="21"/>
  <c r="AR6" i="21"/>
  <c r="AF63" i="24"/>
  <c r="N152" i="23"/>
  <c r="AH76" i="21"/>
  <c r="AB143" i="21"/>
  <c r="J143" i="21"/>
  <c r="S143" i="21"/>
  <c r="AT143" i="21"/>
  <c r="AO143" i="21"/>
  <c r="AD143" i="21"/>
  <c r="Z102" i="2"/>
  <c r="Z58" i="2"/>
  <c r="O58" i="23" s="1"/>
  <c r="AB76" i="21"/>
  <c r="AD76" i="21"/>
  <c r="Z76" i="21"/>
  <c r="P76" i="21"/>
  <c r="AR76" i="21"/>
  <c r="AC76" i="21"/>
  <c r="S337" i="26"/>
  <c r="G77" i="23"/>
  <c r="S77" i="23" s="1"/>
  <c r="Z160" i="2"/>
  <c r="F361" i="30"/>
  <c r="F359" i="30" s="1"/>
  <c r="Z20" i="2"/>
  <c r="AF5" i="21"/>
  <c r="AN5" i="21"/>
  <c r="T5" i="21"/>
  <c r="AS5" i="21"/>
  <c r="Z5" i="21"/>
  <c r="AT5" i="21"/>
  <c r="AI5" i="21"/>
  <c r="K216" i="21"/>
  <c r="AL216" i="21"/>
  <c r="U134" i="23"/>
  <c r="S343" i="26"/>
  <c r="AA143" i="21"/>
  <c r="AL143" i="21"/>
  <c r="V143" i="21"/>
  <c r="AJ143" i="21"/>
  <c r="M143" i="21"/>
  <c r="AC143" i="21"/>
  <c r="AR143" i="21"/>
  <c r="AQ143" i="21"/>
  <c r="AM143" i="21"/>
  <c r="AB43" i="2"/>
  <c r="AF43" i="2" s="1"/>
  <c r="AP76" i="21"/>
  <c r="Y76" i="21"/>
  <c r="AW76" i="21"/>
  <c r="AA76" i="21"/>
  <c r="AQ76" i="21"/>
  <c r="T76" i="21"/>
  <c r="AI76" i="21"/>
  <c r="AY76" i="21"/>
  <c r="AW6" i="21"/>
  <c r="AC6" i="21"/>
  <c r="AJ6" i="21"/>
  <c r="S6" i="21"/>
  <c r="AQ6" i="21"/>
  <c r="AA6" i="21"/>
  <c r="AT6" i="21"/>
  <c r="AD6" i="21"/>
  <c r="K6" i="21"/>
  <c r="T6" i="21"/>
  <c r="N41" i="21"/>
  <c r="O41" i="21"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Z43" i="2"/>
  <c r="U6" i="21"/>
  <c r="AP6" i="21"/>
  <c r="AE6" i="21"/>
  <c r="AY6" i="21"/>
  <c r="AF6" i="21"/>
  <c r="AK143" i="21"/>
  <c r="AC51" i="21"/>
  <c r="U143" i="21"/>
  <c r="AG143" i="21"/>
  <c r="AI143" i="21"/>
  <c r="Y143" i="21"/>
  <c r="R143" i="21"/>
  <c r="AP143" i="21"/>
  <c r="X51" i="21"/>
  <c r="AS6" i="21"/>
  <c r="S76" i="21"/>
  <c r="AU76" i="21"/>
  <c r="AJ76" i="21"/>
  <c r="AF76" i="21"/>
  <c r="Q76" i="21"/>
  <c r="AK76" i="21"/>
  <c r="U117" i="23"/>
  <c r="Z148" i="2"/>
  <c r="S5" i="21"/>
  <c r="J5" i="21"/>
  <c r="AG5" i="21"/>
  <c r="K5" i="21"/>
  <c r="AL5" i="21"/>
  <c r="V5" i="21"/>
  <c r="F320" i="26"/>
  <c r="H104" i="23"/>
  <c r="L104" i="23" s="1"/>
  <c r="AB124" i="2"/>
  <c r="AF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N5" i="21"/>
  <c r="O5" i="21" s="1"/>
  <c r="N143" i="21"/>
  <c r="O143" i="21" s="1"/>
  <c r="AM255" i="21"/>
  <c r="R255" i="21"/>
  <c r="X255" i="21"/>
  <c r="AN255" i="21"/>
  <c r="M117" i="21"/>
  <c r="Z117" i="21"/>
  <c r="P117" i="21"/>
  <c r="R142" i="21"/>
  <c r="AB103" i="2"/>
  <c r="AF103" i="2" s="1"/>
  <c r="U152" i="23"/>
  <c r="S304" i="30"/>
  <c r="Z23" i="2"/>
  <c r="Z6" i="21"/>
  <c r="AX6" i="21"/>
  <c r="AI6" i="21"/>
  <c r="M6" i="21"/>
  <c r="AN6" i="21"/>
  <c r="Z15" i="2"/>
  <c r="H199" i="23"/>
  <c r="Q143" i="21"/>
  <c r="AF143" i="21"/>
  <c r="K143" i="21"/>
  <c r="AN143" i="21"/>
  <c r="AE143" i="21"/>
  <c r="Z143" i="21"/>
  <c r="AU143" i="21"/>
  <c r="U71" i="23"/>
  <c r="J6" i="21"/>
  <c r="X76" i="21"/>
  <c r="M76" i="21"/>
  <c r="AV76" i="21"/>
  <c r="AM76" i="21"/>
  <c r="U76" i="21"/>
  <c r="AT76" i="21"/>
  <c r="G117" i="23"/>
  <c r="J117" i="23" s="1"/>
  <c r="F361" i="26"/>
  <c r="F359" i="26" s="1"/>
  <c r="W5" i="21"/>
  <c r="P5" i="21"/>
  <c r="AK5" i="21"/>
  <c r="U5" i="21"/>
  <c r="AP5" i="21"/>
  <c r="AA5" i="21"/>
  <c r="AY5" i="21"/>
  <c r="Z199" i="2"/>
  <c r="X278" i="2"/>
  <c r="J152" i="23"/>
  <c r="Z150" i="2"/>
  <c r="J76" i="23"/>
  <c r="Z90" i="2"/>
  <c r="AB16" i="2"/>
  <c r="AF16" i="2" s="1"/>
  <c r="Z28" i="2"/>
  <c r="AB119" i="2"/>
  <c r="AF119" i="2" s="1"/>
  <c r="Z103" i="2"/>
  <c r="AB57" i="2"/>
  <c r="AF57" i="2" s="1"/>
  <c r="AB85" i="2"/>
  <c r="AF85" i="2" s="1"/>
  <c r="AB93" i="2"/>
  <c r="AB113" i="2"/>
  <c r="AF113" i="2" s="1"/>
  <c r="AB153" i="2"/>
  <c r="AF153" i="2" s="1"/>
  <c r="AB118" i="2"/>
  <c r="AF118" i="2" s="1"/>
  <c r="AB110" i="2"/>
  <c r="AF110" i="2" s="1"/>
  <c r="Z502" i="2"/>
  <c r="Z383" i="2"/>
  <c r="Z336" i="2"/>
  <c r="Z482" i="2"/>
  <c r="Y133" i="21"/>
  <c r="AI256" i="21"/>
  <c r="AF256" i="21"/>
  <c r="Z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AC133" i="21"/>
  <c r="AC44" i="24"/>
  <c r="AV216" i="21"/>
  <c r="M219" i="21"/>
  <c r="X133" i="21"/>
  <c r="X279" i="2"/>
  <c r="P216" i="21"/>
  <c r="Z396" i="2"/>
  <c r="AD138" i="21"/>
  <c r="AQ138" i="21"/>
  <c r="Z219" i="21"/>
  <c r="S302" i="26"/>
  <c r="Q61" i="21"/>
  <c r="AK82" i="21"/>
  <c r="AB152" i="2"/>
  <c r="N240" i="21"/>
  <c r="O240" i="21" s="1"/>
  <c r="N32" i="21"/>
  <c r="O32" i="21" s="1"/>
  <c r="AY259" i="21"/>
  <c r="AL259" i="21"/>
  <c r="AF259" i="21"/>
  <c r="Z379" i="2"/>
  <c r="AB374" i="2"/>
  <c r="AF374" i="2" s="1"/>
  <c r="R219" i="21"/>
  <c r="V153" i="21"/>
  <c r="AH153" i="21"/>
  <c r="M138" i="21"/>
  <c r="AB79" i="2"/>
  <c r="J74" i="21"/>
  <c r="R74" i="21"/>
  <c r="AP74" i="21"/>
  <c r="V83" i="21"/>
  <c r="AH83" i="21"/>
  <c r="K83" i="21"/>
  <c r="AS231" i="21"/>
  <c r="K231" i="21"/>
  <c r="J231" i="21"/>
  <c r="S231" i="21"/>
  <c r="AL214" i="21"/>
  <c r="R214" i="21"/>
  <c r="AO219" i="21"/>
  <c r="Z146" i="21"/>
  <c r="X356" i="2"/>
  <c r="Z273" i="2"/>
  <c r="AT62" i="24"/>
  <c r="X308" i="2"/>
  <c r="AA133" i="21"/>
  <c r="AD133" i="21"/>
  <c r="AW133" i="21"/>
  <c r="AO133" i="21"/>
  <c r="AC138" i="21"/>
  <c r="AW138" i="21"/>
  <c r="V138" i="21"/>
  <c r="Z138" i="21"/>
  <c r="S138" i="21"/>
  <c r="AU138" i="21"/>
  <c r="AU160" i="21"/>
  <c r="AQ160" i="21"/>
  <c r="N160" i="21"/>
  <c r="O160" i="21" s="1"/>
  <c r="T160" i="21"/>
  <c r="AA160" i="21"/>
  <c r="Y61" i="21"/>
  <c r="AL61" i="21"/>
  <c r="AC61" i="21"/>
  <c r="G79" i="23"/>
  <c r="G43" i="23"/>
  <c r="AU82" i="21"/>
  <c r="AS82" i="21"/>
  <c r="AY82" i="21"/>
  <c r="T82" i="21"/>
  <c r="W82" i="21"/>
  <c r="AT219" i="21"/>
  <c r="AM219" i="21"/>
  <c r="AR219" i="21"/>
  <c r="AK219" i="21"/>
  <c r="U219" i="21"/>
  <c r="AF219" i="21"/>
  <c r="N219" i="21"/>
  <c r="O219" i="21" s="1"/>
  <c r="Z168" i="2"/>
  <c r="X176" i="2"/>
  <c r="AB53" i="24"/>
  <c r="K251" i="21"/>
  <c r="T251" i="21"/>
  <c r="AL251" i="21"/>
  <c r="AO251" i="21"/>
  <c r="AB164" i="2"/>
  <c r="AF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AB272" i="2"/>
  <c r="AY138" i="21"/>
  <c r="AJ138" i="21"/>
  <c r="AF138" i="21"/>
  <c r="Y138" i="21"/>
  <c r="K219" i="21"/>
  <c r="AX219" i="21"/>
  <c r="AG219" i="21"/>
  <c r="AU219" i="21"/>
  <c r="AX133" i="21"/>
  <c r="AG160" i="21"/>
  <c r="Z126" i="2"/>
  <c r="O126" i="23" s="1"/>
  <c r="AS239" i="21"/>
  <c r="R61" i="21"/>
  <c r="AR82" i="21"/>
  <c r="AB82" i="2"/>
  <c r="AF82" i="2" s="1"/>
  <c r="AP256" i="21"/>
  <c r="AW256" i="21"/>
  <c r="J56" i="23"/>
  <c r="L49" i="21"/>
  <c r="AB526" i="2"/>
  <c r="AF526" i="2" s="1"/>
  <c r="AB382" i="2"/>
  <c r="AF382" i="2" s="1"/>
  <c r="Z387" i="2"/>
  <c r="AB158" i="2"/>
  <c r="AB50" i="2"/>
  <c r="Z7" i="2"/>
  <c r="AF44" i="24"/>
  <c r="H265" i="23"/>
  <c r="AT97" i="24"/>
  <c r="X320" i="2"/>
  <c r="AB95" i="24"/>
  <c r="X246" i="2"/>
  <c r="AH95" i="24" s="1"/>
  <c r="J296" i="26"/>
  <c r="AB135" i="2"/>
  <c r="AF135" i="2" s="1"/>
  <c r="AK156" i="21"/>
  <c r="AJ156" i="21"/>
  <c r="AY156" i="21"/>
  <c r="AW156" i="21"/>
  <c r="AO156" i="21"/>
  <c r="M156" i="21"/>
  <c r="AB156" i="21"/>
  <c r="AL156" i="21"/>
  <c r="Y156" i="21"/>
  <c r="AN156" i="21"/>
  <c r="J156" i="21"/>
  <c r="Q156" i="21"/>
  <c r="AI156" i="21"/>
  <c r="AQ156" i="21"/>
  <c r="X200" i="2"/>
  <c r="AH76" i="24" s="1"/>
  <c r="AC76" i="24"/>
  <c r="AB76" i="24"/>
  <c r="N156" i="21"/>
  <c r="O156" i="21" s="1"/>
  <c r="AY253" i="21"/>
  <c r="M253" i="21"/>
  <c r="AC253" i="21"/>
  <c r="AH253" i="21"/>
  <c r="AA253" i="21"/>
  <c r="J253" i="21"/>
  <c r="J280" i="26"/>
  <c r="F295" i="26"/>
  <c r="AX253" i="21"/>
  <c r="AV253" i="21"/>
  <c r="AF253" i="21"/>
  <c r="P253" i="21"/>
  <c r="AL253" i="21"/>
  <c r="Q253" i="21"/>
  <c r="Z253" i="21"/>
  <c r="AK253" i="21"/>
  <c r="AI253" i="21"/>
  <c r="W253" i="21"/>
  <c r="AE253" i="21"/>
  <c r="AD42" i="24"/>
  <c r="AC68" i="24"/>
  <c r="AB68" i="24"/>
  <c r="N253" i="21"/>
  <c r="O253" i="21" s="1"/>
  <c r="Z392" i="2"/>
  <c r="U253" i="21"/>
  <c r="Y253" i="21"/>
  <c r="AT253" i="21"/>
  <c r="AO253" i="21"/>
  <c r="AG253" i="21"/>
  <c r="T253" i="21"/>
  <c r="AN253" i="21"/>
  <c r="F295" i="30"/>
  <c r="AR156" i="21"/>
  <c r="F396" i="30"/>
  <c r="F396" i="26"/>
  <c r="AB453" i="2"/>
  <c r="AF453" i="2" s="1"/>
  <c r="Z240" i="21"/>
  <c r="AV41" i="24"/>
  <c r="AB44" i="24"/>
  <c r="AM253" i="21"/>
  <c r="AS253" i="21"/>
  <c r="K253" i="21"/>
  <c r="AU253" i="21"/>
  <c r="AQ253" i="21"/>
  <c r="X253" i="21"/>
  <c r="AR253" i="21"/>
  <c r="AD70" i="24"/>
  <c r="Z135" i="2"/>
  <c r="J281" i="26"/>
  <c r="X216" i="2"/>
  <c r="AH68" i="24" s="1"/>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U18" i="23"/>
  <c r="Y219" i="21"/>
  <c r="T219" i="21"/>
  <c r="AV219" i="21"/>
  <c r="AP219" i="21"/>
  <c r="AD219" i="21"/>
  <c r="Q219" i="21"/>
  <c r="AL219" i="21"/>
  <c r="S219" i="21"/>
  <c r="AI219" i="21"/>
  <c r="AY219" i="21"/>
  <c r="AB444" i="2"/>
  <c r="AF444" i="2" s="1"/>
  <c r="AE251" i="21"/>
  <c r="Z123" i="2"/>
  <c r="U56" i="23"/>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Z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AB431" i="2"/>
  <c r="AF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U79" i="23"/>
  <c r="U43" i="23"/>
  <c r="AR138" i="21"/>
  <c r="P61" i="21"/>
  <c r="AW61" i="21"/>
  <c r="AN61" i="21"/>
  <c r="X61" i="21"/>
  <c r="M61" i="21"/>
  <c r="AV61" i="21"/>
  <c r="AH61" i="21"/>
  <c r="AL82" i="21"/>
  <c r="R82" i="21"/>
  <c r="AT82" i="21"/>
  <c r="AI82" i="21"/>
  <c r="AE82" i="21"/>
  <c r="P82" i="21"/>
  <c r="AJ82" i="21"/>
  <c r="F287" i="30"/>
  <c r="F285" i="30" s="1"/>
  <c r="AE90" i="24"/>
  <c r="AE89" i="24"/>
  <c r="G162" i="23"/>
  <c r="N162" i="23" s="1"/>
  <c r="U162" i="23"/>
  <c r="G17" i="23"/>
  <c r="N17" i="23" s="1"/>
  <c r="U17" i="23"/>
  <c r="M141" i="21"/>
  <c r="X141" i="21"/>
  <c r="AA141" i="21"/>
  <c r="AT35" i="21"/>
  <c r="Y35" i="21"/>
  <c r="AE35" i="21"/>
  <c r="AQ53" i="21"/>
  <c r="AV53" i="21"/>
  <c r="AN53" i="21"/>
  <c r="AL52" i="21"/>
  <c r="Z52" i="21"/>
  <c r="AS52" i="21"/>
  <c r="U73" i="23"/>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Z64" i="2"/>
  <c r="AB147" i="2"/>
  <c r="Z120" i="2"/>
  <c r="Z104" i="2"/>
  <c r="AB91" i="2"/>
  <c r="AF91" i="2" s="1"/>
  <c r="Z42" i="2"/>
  <c r="Z122" i="2"/>
  <c r="Z27" i="2"/>
  <c r="AB12" i="2"/>
  <c r="AF12" i="2" s="1"/>
  <c r="Z131" i="2"/>
  <c r="N259" i="21"/>
  <c r="O259" i="21" s="1"/>
  <c r="N70" i="21"/>
  <c r="O70" i="21" s="1"/>
  <c r="N216" i="21"/>
  <c r="O216" i="21" s="1"/>
  <c r="AT259" i="21"/>
  <c r="AD259" i="21"/>
  <c r="Q259" i="21"/>
  <c r="AW259" i="21"/>
  <c r="AB259" i="21"/>
  <c r="AV259" i="21"/>
  <c r="AH259" i="21"/>
  <c r="J146" i="21"/>
  <c r="Z74" i="21"/>
  <c r="AI36" i="21"/>
  <c r="AI32" i="21"/>
  <c r="AO259" i="21"/>
  <c r="Z153" i="21"/>
  <c r="AF153" i="21"/>
  <c r="R153" i="21"/>
  <c r="AR153" i="21"/>
  <c r="AN153" i="21"/>
  <c r="Y153" i="21"/>
  <c r="Q74" i="21"/>
  <c r="AS74" i="21"/>
  <c r="AH74" i="21"/>
  <c r="Y74" i="21"/>
  <c r="M74" i="21"/>
  <c r="AA83" i="21"/>
  <c r="J83" i="21"/>
  <c r="AS83" i="21"/>
  <c r="AI83" i="21"/>
  <c r="U83" i="21"/>
  <c r="AT83" i="21"/>
  <c r="AB27" i="2"/>
  <c r="AF27" i="2" s="1"/>
  <c r="AT216" i="21"/>
  <c r="Y214" i="21"/>
  <c r="Z214" i="21"/>
  <c r="AP214" i="21"/>
  <c r="AX214" i="21"/>
  <c r="S146" i="21"/>
  <c r="V146" i="21"/>
  <c r="AQ36" i="21"/>
  <c r="Z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X341" i="2"/>
  <c r="AT82" i="24"/>
  <c r="Q256" i="21"/>
  <c r="AB256" i="21"/>
  <c r="AC64" i="24"/>
  <c r="G297" i="23"/>
  <c r="N297" i="23" s="1"/>
  <c r="AB28" i="24"/>
  <c r="X237" i="2"/>
  <c r="AH93" i="24" s="1"/>
  <c r="AC93" i="24"/>
  <c r="AB105" i="2"/>
  <c r="L43" i="21"/>
  <c r="AT46" i="24"/>
  <c r="X288" i="2"/>
  <c r="X180" i="2"/>
  <c r="AC9" i="24"/>
  <c r="AB9" i="24"/>
  <c r="J320" i="30"/>
  <c r="J320" i="26"/>
  <c r="H90" i="23"/>
  <c r="L90" i="23" s="1"/>
  <c r="AB90" i="2"/>
  <c r="F365" i="30"/>
  <c r="F365" i="26"/>
  <c r="H137" i="23"/>
  <c r="L137" i="23" s="1"/>
  <c r="G59" i="23"/>
  <c r="J59" i="23" s="1"/>
  <c r="U59" i="23"/>
  <c r="H42" i="23"/>
  <c r="AB42" i="2"/>
  <c r="AF42" i="2" s="1"/>
  <c r="X197" i="2"/>
  <c r="AH65" i="24" s="1"/>
  <c r="AB65" i="24"/>
  <c r="H115" i="23"/>
  <c r="L115" i="23" s="1"/>
  <c r="Z115" i="2"/>
  <c r="G96" i="23"/>
  <c r="J96" i="23" s="1"/>
  <c r="U96" i="23"/>
  <c r="H87" i="23"/>
  <c r="L87" i="23" s="1"/>
  <c r="Z87" i="2"/>
  <c r="G33" i="23"/>
  <c r="J33" i="23" s="1"/>
  <c r="U33" i="23"/>
  <c r="H16" i="23"/>
  <c r="L16" i="23" s="1"/>
  <c r="Z16" i="2"/>
  <c r="H8" i="23"/>
  <c r="L8" i="23" s="1"/>
  <c r="Z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U149" i="23"/>
  <c r="S365" i="26"/>
  <c r="G137" i="23"/>
  <c r="S137" i="23" s="1"/>
  <c r="U137" i="23"/>
  <c r="J319" i="26"/>
  <c r="AB78" i="2"/>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AB87" i="2"/>
  <c r="AF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Z17" i="2"/>
  <c r="O17" i="23" s="1"/>
  <c r="Z577" i="2"/>
  <c r="U158" i="23"/>
  <c r="AB61" i="2"/>
  <c r="AF61" i="2" s="1"/>
  <c r="AB45" i="2"/>
  <c r="AB69" i="2"/>
  <c r="Z78" i="2"/>
  <c r="Z32" i="2"/>
  <c r="Z46" i="2"/>
  <c r="AB63" i="2"/>
  <c r="AF63" i="2" s="1"/>
  <c r="Z146" i="2"/>
  <c r="AB130" i="2"/>
  <c r="AB114" i="2"/>
  <c r="AF114" i="2" s="1"/>
  <c r="AB86" i="2"/>
  <c r="AB72" i="2"/>
  <c r="AB137" i="2"/>
  <c r="Z164" i="2"/>
  <c r="H26" i="23"/>
  <c r="Z26" i="2"/>
  <c r="S298" i="26"/>
  <c r="U132" i="23"/>
  <c r="H83" i="23"/>
  <c r="L83" i="23" s="1"/>
  <c r="Z83" i="2"/>
  <c r="H67" i="23"/>
  <c r="L67" i="23" s="1"/>
  <c r="Z67" i="2"/>
  <c r="AB26" i="2"/>
  <c r="AB18" i="2"/>
  <c r="Z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Z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AB111" i="2"/>
  <c r="AF111" i="2" s="1"/>
  <c r="F303" i="26"/>
  <c r="W155" i="21"/>
  <c r="S155" i="21"/>
  <c r="AO155" i="21"/>
  <c r="Z155" i="21"/>
  <c r="AU155" i="21"/>
  <c r="AG155" i="21"/>
  <c r="J155" i="21"/>
  <c r="AF155" i="21"/>
  <c r="U58" i="21"/>
  <c r="Z63" i="2"/>
  <c r="AP46" i="21"/>
  <c r="AF46" i="21"/>
  <c r="Q46" i="21"/>
  <c r="AX46" i="21"/>
  <c r="AI46" i="21"/>
  <c r="U52" i="23"/>
  <c r="AL176" i="21"/>
  <c r="AB176" i="21"/>
  <c r="S176" i="21"/>
  <c r="AT176" i="21"/>
  <c r="AJ176" i="21"/>
  <c r="U176" i="21"/>
  <c r="AO176" i="21"/>
  <c r="AG58" i="21"/>
  <c r="R58" i="21"/>
  <c r="AT58" i="21"/>
  <c r="AP58" i="21"/>
  <c r="AA58" i="21"/>
  <c r="AV58" i="21"/>
  <c r="M79" i="21"/>
  <c r="P58" i="21"/>
  <c r="X46" i="21"/>
  <c r="AT7" i="21"/>
  <c r="S397" i="32"/>
  <c r="Z130" i="2"/>
  <c r="AM79" i="21"/>
  <c r="AN79" i="21"/>
  <c r="AO79" i="21"/>
  <c r="AC79" i="21"/>
  <c r="AP223" i="21"/>
  <c r="AS223" i="21"/>
  <c r="T223" i="21"/>
  <c r="AB223" i="21"/>
  <c r="S223" i="21"/>
  <c r="AU223" i="21"/>
  <c r="AE7" i="21"/>
  <c r="M7" i="21"/>
  <c r="AR7" i="21"/>
  <c r="AK7" i="21"/>
  <c r="S298" i="30"/>
  <c r="Z13" i="2"/>
  <c r="M13" i="23" s="1"/>
  <c r="U41" i="23"/>
  <c r="AB172" i="2"/>
  <c r="AF172" i="2" s="1"/>
  <c r="J13" i="23"/>
  <c r="Z98" i="2"/>
  <c r="S296" i="26"/>
  <c r="AS155" i="21"/>
  <c r="Y155" i="21"/>
  <c r="AT155" i="21"/>
  <c r="AE155" i="21"/>
  <c r="Q155" i="21"/>
  <c r="AL155" i="21"/>
  <c r="P155" i="21"/>
  <c r="AN155" i="21"/>
  <c r="AQ79" i="21"/>
  <c r="Z111" i="2"/>
  <c r="T46" i="21"/>
  <c r="AV46" i="21"/>
  <c r="AL46" i="21"/>
  <c r="AB46" i="21"/>
  <c r="R46" i="21"/>
  <c r="AM46" i="21"/>
  <c r="AQ176" i="21"/>
  <c r="AH176" i="21"/>
  <c r="X176" i="21"/>
  <c r="M176" i="21"/>
  <c r="AP176" i="21"/>
  <c r="Y176" i="21"/>
  <c r="AW176" i="21"/>
  <c r="J303" i="26"/>
  <c r="J58" i="21"/>
  <c r="AM58" i="21"/>
  <c r="X58" i="21"/>
  <c r="T58" i="21"/>
  <c r="AU58" i="21"/>
  <c r="AE58" i="21"/>
  <c r="AD7" i="21"/>
  <c r="Z86" i="2"/>
  <c r="J79" i="21"/>
  <c r="AS79" i="21"/>
  <c r="AU79" i="21"/>
  <c r="AP79" i="21"/>
  <c r="AX223" i="21"/>
  <c r="R223" i="21"/>
  <c r="AH223" i="21"/>
  <c r="AG223" i="21"/>
  <c r="AA223" i="21"/>
  <c r="AI7" i="21"/>
  <c r="W7" i="21"/>
  <c r="P7" i="21"/>
  <c r="AO7" i="21"/>
  <c r="AI216" i="21"/>
  <c r="AW216" i="21"/>
  <c r="X264" i="2"/>
  <c r="AH74" i="24" s="1"/>
  <c r="AB74" i="24"/>
  <c r="U292" i="23"/>
  <c r="G292" i="23"/>
  <c r="N292" i="23" s="1"/>
  <c r="T79" i="21"/>
  <c r="AH7" i="21"/>
  <c r="AB98" i="2"/>
  <c r="AD98" i="2" s="1"/>
  <c r="Z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U15" i="23"/>
  <c r="AO46" i="21"/>
  <c r="AT224" i="21"/>
  <c r="AB55" i="24"/>
  <c r="AB348" i="2"/>
  <c r="AF348" i="2" s="1"/>
  <c r="AB269" i="2"/>
  <c r="Z152" i="2"/>
  <c r="AB168" i="2"/>
  <c r="Z172" i="2"/>
  <c r="Z100" i="2"/>
  <c r="AB123" i="2"/>
  <c r="AF123" i="2" s="1"/>
  <c r="Z79" i="2"/>
  <c r="AB20" i="2"/>
  <c r="AF20" i="2" s="1"/>
  <c r="Z14" i="2"/>
  <c r="Z50" i="2"/>
  <c r="O50" i="23" s="1"/>
  <c r="AB38" i="2"/>
  <c r="AF38" i="2" s="1"/>
  <c r="Z35" i="2"/>
  <c r="Z191" i="2"/>
  <c r="AB203" i="2"/>
  <c r="AD203" i="2" s="1"/>
  <c r="Y7" i="21"/>
  <c r="Z48" i="2"/>
  <c r="AB108" i="2"/>
  <c r="Z151" i="2"/>
  <c r="AB56" i="2"/>
  <c r="AF56" i="2" s="1"/>
  <c r="Z68" i="2"/>
  <c r="AB73" i="2"/>
  <c r="AF73" i="2" s="1"/>
  <c r="AB169" i="2"/>
  <c r="AB59" i="2"/>
  <c r="AF59" i="2" s="1"/>
  <c r="Z55" i="2"/>
  <c r="U123" i="23"/>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AB29" i="2"/>
  <c r="H14" i="23"/>
  <c r="AI238" i="21"/>
  <c r="AE238" i="21"/>
  <c r="AB220" i="2"/>
  <c r="AF220" i="2" s="1"/>
  <c r="AH175" i="21"/>
  <c r="AT175" i="21"/>
  <c r="Z159" i="2"/>
  <c r="AB155" i="2"/>
  <c r="Z155" i="2"/>
  <c r="AM249" i="21"/>
  <c r="Z509" i="2"/>
  <c r="AK141" i="21"/>
  <c r="AB122" i="21"/>
  <c r="U35" i="21"/>
  <c r="AB55" i="2"/>
  <c r="AB39" i="2"/>
  <c r="V122" i="21"/>
  <c r="Q35" i="21"/>
  <c r="J298" i="26"/>
  <c r="AD122" i="21"/>
  <c r="X122" i="21"/>
  <c r="J122" i="21"/>
  <c r="AN122" i="21"/>
  <c r="Z122" i="21"/>
  <c r="AV122" i="21"/>
  <c r="Y122" i="21"/>
  <c r="AO122" i="21"/>
  <c r="Z71" i="2"/>
  <c r="Z39" i="2"/>
  <c r="J295" i="26"/>
  <c r="S141" i="21"/>
  <c r="AE141" i="21"/>
  <c r="AU141" i="21"/>
  <c r="AG141" i="21"/>
  <c r="K141" i="21"/>
  <c r="AH141" i="21"/>
  <c r="J141" i="21"/>
  <c r="AB141" i="21"/>
  <c r="AR141" i="21"/>
  <c r="Z35" i="21"/>
  <c r="AQ35" i="21"/>
  <c r="S35" i="21"/>
  <c r="AJ35" i="21"/>
  <c r="J35" i="21"/>
  <c r="AB35" i="21"/>
  <c r="AS35" i="21"/>
  <c r="K35" i="21"/>
  <c r="AL145" i="21"/>
  <c r="Z106" i="2"/>
  <c r="O106" i="23" s="1"/>
  <c r="Z66" i="2"/>
  <c r="Z38" i="2"/>
  <c r="AI122" i="21"/>
  <c r="AT41" i="24"/>
  <c r="Q52" i="21"/>
  <c r="K52" i="21"/>
  <c r="AJ52" i="21"/>
  <c r="Y52" i="21"/>
  <c r="AV52" i="21"/>
  <c r="AE52" i="21"/>
  <c r="J52" i="21"/>
  <c r="AB52" i="21"/>
  <c r="AT52" i="21"/>
  <c r="Z9" i="2"/>
  <c r="P53" i="21"/>
  <c r="AA53" i="21"/>
  <c r="W53" i="21"/>
  <c r="AS53" i="21"/>
  <c r="X53" i="21"/>
  <c r="AT53" i="21"/>
  <c r="AE53" i="21"/>
  <c r="R53" i="21"/>
  <c r="AI53" i="21"/>
  <c r="AY53" i="21"/>
  <c r="G215" i="21"/>
  <c r="AB34" i="2"/>
  <c r="AF34" i="2" s="1"/>
  <c r="AB11" i="2"/>
  <c r="AB166" i="2"/>
  <c r="AF166" i="2" s="1"/>
  <c r="U116" i="23"/>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Z114" i="2"/>
  <c r="U83" i="23"/>
  <c r="Z74" i="2"/>
  <c r="O74" i="23" s="1"/>
  <c r="G226" i="23"/>
  <c r="N226" i="23" s="1"/>
  <c r="AA52" i="21"/>
  <c r="AN52" i="21"/>
  <c r="R52" i="21"/>
  <c r="AO52" i="21"/>
  <c r="AD52" i="21"/>
  <c r="M52" i="21"/>
  <c r="AM52" i="21"/>
  <c r="P52" i="21"/>
  <c r="AF52" i="21"/>
  <c r="AX52" i="21"/>
  <c r="U25" i="23"/>
  <c r="AL53" i="21"/>
  <c r="AW53" i="21"/>
  <c r="AB53" i="21"/>
  <c r="AX53" i="21"/>
  <c r="AC53" i="21"/>
  <c r="M53" i="21"/>
  <c r="AK53" i="21"/>
  <c r="V53" i="21"/>
  <c r="AM53" i="21"/>
  <c r="J83" i="23"/>
  <c r="AB122" i="2"/>
  <c r="AF122" i="2" s="1"/>
  <c r="AB92" i="2"/>
  <c r="AF92" i="2" s="1"/>
  <c r="AB19" i="2"/>
  <c r="AF19" i="2" s="1"/>
  <c r="N35" i="21"/>
  <c r="O35" i="21" s="1"/>
  <c r="G257" i="21"/>
  <c r="AD89" i="24"/>
  <c r="AB131" i="2"/>
  <c r="AF131" i="2" s="1"/>
  <c r="AB71" i="2"/>
  <c r="AF71" i="2" s="1"/>
  <c r="AB51" i="2"/>
  <c r="AF51" i="2" s="1"/>
  <c r="AX35" i="21"/>
  <c r="P122" i="21"/>
  <c r="AS122" i="21"/>
  <c r="AM122" i="21"/>
  <c r="AA122" i="21"/>
  <c r="M122" i="21"/>
  <c r="AJ122" i="21"/>
  <c r="Q122" i="21"/>
  <c r="AG122" i="21"/>
  <c r="AX122" i="21"/>
  <c r="Z99" i="2"/>
  <c r="Z19" i="2"/>
  <c r="AO141" i="21"/>
  <c r="Y141" i="21"/>
  <c r="V141" i="21"/>
  <c r="AQ141" i="21"/>
  <c r="W141" i="21"/>
  <c r="AT141" i="21"/>
  <c r="T141" i="21"/>
  <c r="AJ141" i="21"/>
  <c r="R35" i="21"/>
  <c r="AI35" i="21"/>
  <c r="AY35" i="21"/>
  <c r="AA35" i="21"/>
  <c r="AR35" i="21"/>
  <c r="T35" i="21"/>
  <c r="AK35" i="21"/>
  <c r="U55" i="23"/>
  <c r="AV141" i="21"/>
  <c r="AP35" i="21"/>
  <c r="AY52" i="21"/>
  <c r="V52" i="21"/>
  <c r="W52" i="21"/>
  <c r="AU52" i="21"/>
  <c r="AK52" i="21"/>
  <c r="U52" i="21"/>
  <c r="AR52" i="21"/>
  <c r="T52" i="21"/>
  <c r="U53" i="21"/>
  <c r="J53" i="21"/>
  <c r="AG53" i="21"/>
  <c r="K53" i="21"/>
  <c r="AJ53" i="21"/>
  <c r="T53" i="21"/>
  <c r="AP53" i="21"/>
  <c r="Z53" i="21"/>
  <c r="G174" i="21"/>
  <c r="AB66" i="2"/>
  <c r="AF66" i="2" s="1"/>
  <c r="Z166" i="2"/>
  <c r="AB106" i="2"/>
  <c r="AB74" i="2"/>
  <c r="AF74" i="2" s="1"/>
  <c r="AB14" i="2"/>
  <c r="L80" i="21"/>
  <c r="L71" i="21"/>
  <c r="X365" i="2"/>
  <c r="P224" i="21"/>
  <c r="AB239" i="21"/>
  <c r="AL239" i="21"/>
  <c r="X239" i="21"/>
  <c r="AE239" i="21"/>
  <c r="R231" i="21"/>
  <c r="AH231" i="21"/>
  <c r="AX231" i="21"/>
  <c r="AL231" i="21"/>
  <c r="AU70" i="24"/>
  <c r="AW248" i="21"/>
  <c r="T248" i="21"/>
  <c r="AR248" i="21"/>
  <c r="Q248" i="21"/>
  <c r="P248" i="21"/>
  <c r="AV248" i="21"/>
  <c r="AP239" i="21"/>
  <c r="Z239" i="21"/>
  <c r="AN239" i="21"/>
  <c r="AA175" i="21"/>
  <c r="AJ175" i="21"/>
  <c r="L194" i="21"/>
  <c r="J253" i="23"/>
  <c r="AK249" i="21"/>
  <c r="AB497" i="2"/>
  <c r="AF497" i="2" s="1"/>
  <c r="AW233" i="21"/>
  <c r="AB591" i="2"/>
  <c r="AF591" i="2" s="1"/>
  <c r="AB559" i="2"/>
  <c r="AF559" i="2" s="1"/>
  <c r="N233" i="21"/>
  <c r="O233" i="21" s="1"/>
  <c r="AB417" i="2"/>
  <c r="AF417" i="2" s="1"/>
  <c r="N253" i="23"/>
  <c r="AB219" i="2"/>
  <c r="AD219" i="2" s="1"/>
  <c r="AC55" i="24"/>
  <c r="Y78" i="21"/>
  <c r="Y213" i="21"/>
  <c r="AP72" i="21"/>
  <c r="AE72" i="21"/>
  <c r="H219" i="23"/>
  <c r="L219" i="23" s="1"/>
  <c r="F335" i="26"/>
  <c r="AA224" i="21"/>
  <c r="M224" i="21"/>
  <c r="K224" i="21"/>
  <c r="AF55" i="24"/>
  <c r="H232" i="23"/>
  <c r="U300" i="23"/>
  <c r="G300" i="23"/>
  <c r="N300" i="23" s="1"/>
  <c r="U260" i="23"/>
  <c r="G260" i="23"/>
  <c r="X205" i="2"/>
  <c r="AH87" i="24" s="1"/>
  <c r="AC87" i="24"/>
  <c r="AK231" i="21"/>
  <c r="AM231" i="21"/>
  <c r="W231" i="21"/>
  <c r="AR231" i="21"/>
  <c r="V231" i="21"/>
  <c r="AP231" i="21"/>
  <c r="AV231" i="21"/>
  <c r="T231" i="21"/>
  <c r="AF231" i="21"/>
  <c r="X231" i="21"/>
  <c r="X229" i="2"/>
  <c r="AC111" i="24"/>
  <c r="X245" i="2"/>
  <c r="AB31" i="24"/>
  <c r="Z272" i="2"/>
  <c r="F356" i="30"/>
  <c r="AM239" i="21"/>
  <c r="S239" i="21"/>
  <c r="AH239" i="21"/>
  <c r="AO239" i="21"/>
  <c r="AT239" i="21"/>
  <c r="AR239" i="21"/>
  <c r="V239" i="21"/>
  <c r="X234" i="2"/>
  <c r="AH92" i="24" s="1"/>
  <c r="AC92" i="24"/>
  <c r="Z60" i="2"/>
  <c r="AB60" i="2"/>
  <c r="AF60" i="2" s="1"/>
  <c r="Z117" i="2"/>
  <c r="H117" i="23"/>
  <c r="L117" i="23" s="1"/>
  <c r="Z124" i="2"/>
  <c r="H124" i="23"/>
  <c r="H135" i="23"/>
  <c r="L135" i="23" s="1"/>
  <c r="F296" i="30"/>
  <c r="AM248" i="21"/>
  <c r="W248" i="21"/>
  <c r="AP248" i="21"/>
  <c r="U248" i="21"/>
  <c r="AD248" i="21"/>
  <c r="AJ248" i="21"/>
  <c r="AH248" i="21"/>
  <c r="AN248" i="21"/>
  <c r="K248" i="21"/>
  <c r="AC248" i="21"/>
  <c r="X175" i="2"/>
  <c r="AC67" i="24"/>
  <c r="H203" i="23"/>
  <c r="L203" i="23" s="1"/>
  <c r="Z203" i="2"/>
  <c r="AB160" i="2"/>
  <c r="AF160" i="2" s="1"/>
  <c r="AG54" i="24"/>
  <c r="AB179" i="2"/>
  <c r="AF121" i="21"/>
  <c r="T121" i="21"/>
  <c r="AO121" i="21"/>
  <c r="Q249" i="21"/>
  <c r="K249" i="21"/>
  <c r="M213" i="21"/>
  <c r="W145" i="21"/>
  <c r="N72" i="21"/>
  <c r="O72" i="21" s="1"/>
  <c r="P256" i="21"/>
  <c r="AQ121" i="21"/>
  <c r="AK145" i="21"/>
  <c r="AF78" i="21"/>
  <c r="AT79" i="24"/>
  <c r="AB213" i="21"/>
  <c r="AB224" i="21"/>
  <c r="V72" i="21"/>
  <c r="Z195" i="2"/>
  <c r="AN145" i="21"/>
  <c r="AF145" i="21"/>
  <c r="AI145" i="21"/>
  <c r="AO78" i="21"/>
  <c r="AN78" i="21"/>
  <c r="AS121" i="21"/>
  <c r="AB72" i="21"/>
  <c r="M78" i="21"/>
  <c r="AV213" i="21"/>
  <c r="AI72" i="21"/>
  <c r="U256" i="21"/>
  <c r="AG256" i="21"/>
  <c r="AN256" i="21"/>
  <c r="AY249" i="21"/>
  <c r="X249" i="21"/>
  <c r="J78" i="21"/>
  <c r="AM213" i="21"/>
  <c r="R121" i="21"/>
  <c r="AI209" i="21"/>
  <c r="AX256" i="21"/>
  <c r="AL256" i="21"/>
  <c r="X256" i="21"/>
  <c r="AR256" i="21"/>
  <c r="AH249" i="21"/>
  <c r="AT249" i="21"/>
  <c r="AB446" i="2"/>
  <c r="AF446" i="2" s="1"/>
  <c r="AC31" i="24"/>
  <c r="AB104" i="24"/>
  <c r="AB225" i="2"/>
  <c r="AT121" i="21"/>
  <c r="AF64" i="24"/>
  <c r="P231" i="21"/>
  <c r="Y231" i="21"/>
  <c r="Z231" i="21"/>
  <c r="AC231" i="21"/>
  <c r="Q231" i="21"/>
  <c r="AW231" i="21"/>
  <c r="AE231" i="21"/>
  <c r="AY231" i="21"/>
  <c r="AB232" i="2"/>
  <c r="Z119" i="2"/>
  <c r="AC78" i="21"/>
  <c r="V213" i="21"/>
  <c r="AC224" i="21"/>
  <c r="AO145" i="21"/>
  <c r="AW72" i="21"/>
  <c r="AJ239" i="21"/>
  <c r="P239" i="21"/>
  <c r="J239" i="21"/>
  <c r="R239" i="21"/>
  <c r="M239" i="21"/>
  <c r="AU239" i="21"/>
  <c r="Z72" i="2"/>
  <c r="X249" i="2"/>
  <c r="AC61" i="24"/>
  <c r="AA216" i="21"/>
  <c r="AR216" i="21"/>
  <c r="AB353" i="2"/>
  <c r="AF353" i="2" s="1"/>
  <c r="AB458" i="2"/>
  <c r="AF458" i="2" s="1"/>
  <c r="AB481" i="2"/>
  <c r="AF481" i="2" s="1"/>
  <c r="AB420" i="2"/>
  <c r="AF420" i="2" s="1"/>
  <c r="Z401" i="2"/>
  <c r="AB139" i="2"/>
  <c r="AB126" i="2"/>
  <c r="AF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U131" i="23"/>
  <c r="U145" i="21"/>
  <c r="P145" i="21"/>
  <c r="S303" i="30"/>
  <c r="AE236" i="21"/>
  <c r="AG236" i="21"/>
  <c r="AX78" i="21"/>
  <c r="Z78" i="21"/>
  <c r="AI78" i="21"/>
  <c r="S78" i="21"/>
  <c r="AJ78" i="21"/>
  <c r="AU78" i="21"/>
  <c r="X78" i="21"/>
  <c r="AT78" i="21"/>
  <c r="V78" i="21"/>
  <c r="H59" i="23"/>
  <c r="L59" i="23" s="1"/>
  <c r="Z59" i="2"/>
  <c r="O59" i="23" s="1"/>
  <c r="H22" i="23"/>
  <c r="L22" i="23" s="1"/>
  <c r="AB22" i="2"/>
  <c r="AF22" i="2" s="1"/>
  <c r="U287" i="23"/>
  <c r="G287" i="23"/>
  <c r="S287" i="23" s="1"/>
  <c r="U199" i="23"/>
  <c r="S341" i="30"/>
  <c r="Y249" i="21"/>
  <c r="M249" i="21"/>
  <c r="N131" i="23"/>
  <c r="AR121" i="21"/>
  <c r="Q78" i="21"/>
  <c r="W78" i="21"/>
  <c r="AH213" i="21"/>
  <c r="AF213" i="21"/>
  <c r="W213" i="21"/>
  <c r="T107" i="26"/>
  <c r="AU72" i="21"/>
  <c r="AA72" i="21"/>
  <c r="AL72" i="21"/>
  <c r="AC54" i="24"/>
  <c r="S121" i="21"/>
  <c r="AC121" i="21"/>
  <c r="W121" i="21"/>
  <c r="V121" i="21"/>
  <c r="J121" i="21"/>
  <c r="Z183" i="2"/>
  <c r="Z179" i="2"/>
  <c r="W54" i="24" s="1"/>
  <c r="AB78" i="21"/>
  <c r="K78" i="21"/>
  <c r="AP78" i="21"/>
  <c r="AQ78" i="21"/>
  <c r="AA78" i="21"/>
  <c r="AW78" i="21"/>
  <c r="AG213" i="21"/>
  <c r="AW213" i="21"/>
  <c r="AR213" i="21"/>
  <c r="AL213" i="21"/>
  <c r="AO213" i="21"/>
  <c r="AA213" i="21"/>
  <c r="AU213" i="21"/>
  <c r="AS72" i="21"/>
  <c r="X344" i="2"/>
  <c r="X316" i="2"/>
  <c r="AP145" i="21"/>
  <c r="V145" i="21"/>
  <c r="AX145" i="21"/>
  <c r="AM145" i="21"/>
  <c r="T145" i="21"/>
  <c r="X72" i="21"/>
  <c r="M72" i="21"/>
  <c r="AQ72" i="21"/>
  <c r="AM72" i="21"/>
  <c r="U72" i="21"/>
  <c r="AQ216" i="21"/>
  <c r="AK216" i="21"/>
  <c r="V216" i="21"/>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AB183" i="2"/>
  <c r="AF183" i="2" s="1"/>
  <c r="N213" i="21"/>
  <c r="O213" i="21"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N249" i="21"/>
  <c r="O249" i="21" s="1"/>
  <c r="S249" i="21"/>
  <c r="AG249" i="21"/>
  <c r="AD249" i="21"/>
  <c r="Z249" i="21"/>
  <c r="AF249" i="21"/>
  <c r="L109" i="21"/>
  <c r="L101" i="21"/>
  <c r="P78" i="21"/>
  <c r="AH72" i="21"/>
  <c r="AQ249" i="21"/>
  <c r="AE63" i="24"/>
  <c r="AW16" i="24"/>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Z12" i="2"/>
  <c r="F282" i="30"/>
  <c r="U213" i="21"/>
  <c r="P213" i="21"/>
  <c r="AX213" i="21"/>
  <c r="T213" i="21"/>
  <c r="AT213" i="21"/>
  <c r="AE213" i="21"/>
  <c r="AU121" i="21"/>
  <c r="W72" i="21"/>
  <c r="AD145" i="21"/>
  <c r="Y145" i="21"/>
  <c r="AA145" i="21"/>
  <c r="R145" i="21"/>
  <c r="AS145" i="21"/>
  <c r="X145" i="21"/>
  <c r="AW145" i="21"/>
  <c r="AD72" i="21"/>
  <c r="T72" i="21"/>
  <c r="P72" i="21"/>
  <c r="AR72" i="21"/>
  <c r="Y72" i="21"/>
  <c r="AX72" i="21"/>
  <c r="Z22" i="2"/>
  <c r="AM121" i="21"/>
  <c r="AR78" i="21"/>
  <c r="AB475" i="2"/>
  <c r="AF475" i="2" s="1"/>
  <c r="AB163" i="2"/>
  <c r="AT59" i="24"/>
  <c r="X364" i="2"/>
  <c r="T240" i="21"/>
  <c r="AG50" i="24"/>
  <c r="AB266" i="2"/>
  <c r="Z494" i="2"/>
  <c r="AQ208" i="21"/>
  <c r="L13" i="23"/>
  <c r="AB450" i="2"/>
  <c r="AF450" i="2" s="1"/>
  <c r="J227" i="21"/>
  <c r="Y132" i="21"/>
  <c r="AB84" i="24"/>
  <c r="F335" i="30"/>
  <c r="F391" i="26"/>
  <c r="AL224" i="21"/>
  <c r="Z92" i="2"/>
  <c r="H68" i="23"/>
  <c r="L68" i="23" s="1"/>
  <c r="AB421" i="2"/>
  <c r="AF421" i="2" s="1"/>
  <c r="AN252" i="21"/>
  <c r="AP207" i="21"/>
  <c r="AJ135" i="21"/>
  <c r="AB75" i="2"/>
  <c r="AF75" i="2" s="1"/>
  <c r="AA221" i="21"/>
  <c r="AY207" i="21"/>
  <c r="R27" i="21"/>
  <c r="AW135" i="21"/>
  <c r="T132" i="21"/>
  <c r="AE132" i="21"/>
  <c r="Y207" i="21"/>
  <c r="Q135" i="21"/>
  <c r="AD135" i="21"/>
  <c r="AB261" i="2"/>
  <c r="AC21" i="24"/>
  <c r="T236" i="21"/>
  <c r="AA236" i="21"/>
  <c r="AK135" i="21"/>
  <c r="AO236" i="21"/>
  <c r="AW162" i="21"/>
  <c r="L96" i="21"/>
  <c r="L88" i="21"/>
  <c r="L85" i="21"/>
  <c r="AP227" i="21"/>
  <c r="AG227" i="21"/>
  <c r="S291" i="23"/>
  <c r="AR221" i="21"/>
  <c r="AU221" i="21"/>
  <c r="N225" i="21"/>
  <c r="O225" i="21" s="1"/>
  <c r="N207" i="21"/>
  <c r="O207" i="21" s="1"/>
  <c r="AD227" i="21"/>
  <c r="S227" i="21"/>
  <c r="AB132" i="21"/>
  <c r="G104" i="23"/>
  <c r="J104" i="23" s="1"/>
  <c r="Z236" i="21"/>
  <c r="AL221" i="21"/>
  <c r="AB207" i="21"/>
  <c r="H215" i="23"/>
  <c r="J135" i="21"/>
  <c r="N162" i="21"/>
  <c r="O162" i="21" s="1"/>
  <c r="AM210" i="21"/>
  <c r="T207" i="21"/>
  <c r="J394" i="30"/>
  <c r="Y227" i="21"/>
  <c r="AM227" i="21"/>
  <c r="R132" i="21"/>
  <c r="T216" i="21"/>
  <c r="X216" i="21"/>
  <c r="AP216" i="21"/>
  <c r="AT57" i="24"/>
  <c r="AW65" i="24"/>
  <c r="Z221" i="21"/>
  <c r="AJ221" i="21"/>
  <c r="Y236" i="21"/>
  <c r="X294" i="2"/>
  <c r="M252" i="21"/>
  <c r="AJ240" i="21"/>
  <c r="Z207" i="21"/>
  <c r="S207" i="21"/>
  <c r="J321" i="26"/>
  <c r="AC135" i="21"/>
  <c r="H56" i="23"/>
  <c r="L56" i="23" s="1"/>
  <c r="AT28" i="24"/>
  <c r="X340" i="2"/>
  <c r="H28" i="23"/>
  <c r="AB28" i="2"/>
  <c r="Z84" i="2"/>
  <c r="AB84" i="2"/>
  <c r="AD47" i="24"/>
  <c r="AW67" i="24"/>
  <c r="T123" i="26"/>
  <c r="Z407" i="2"/>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X349" i="2"/>
  <c r="AT45" i="24"/>
  <c r="Z345" i="2"/>
  <c r="AY216" i="21"/>
  <c r="W216" i="21"/>
  <c r="U216" i="21"/>
  <c r="AX216" i="21"/>
  <c r="AO216" i="21"/>
  <c r="AN216" i="21"/>
  <c r="AF252" i="21"/>
  <c r="AY252" i="21"/>
  <c r="AH252" i="21"/>
  <c r="AA252" i="21"/>
  <c r="U252" i="23"/>
  <c r="G252" i="23"/>
  <c r="H143" i="23"/>
  <c r="AB143" i="2"/>
  <c r="AF143" i="2" s="1"/>
  <c r="AB21" i="24"/>
  <c r="N252" i="21"/>
  <c r="O252" i="21" s="1"/>
  <c r="Z385" i="2"/>
  <c r="AB376" i="2"/>
  <c r="AF376" i="2" s="1"/>
  <c r="AV227" i="21"/>
  <c r="AC227" i="21"/>
  <c r="P227" i="21"/>
  <c r="AS227" i="21"/>
  <c r="AN227" i="21"/>
  <c r="V227" i="21"/>
  <c r="AR227" i="21"/>
  <c r="AE227" i="21"/>
  <c r="AB195" i="2"/>
  <c r="AF195" i="2" s="1"/>
  <c r="AN221" i="21"/>
  <c r="AB221" i="21"/>
  <c r="V221" i="21"/>
  <c r="Q221" i="21"/>
  <c r="Y221" i="21"/>
  <c r="M221" i="21"/>
  <c r="AB575" i="2"/>
  <c r="AF575" i="2" s="1"/>
  <c r="AB543" i="2"/>
  <c r="AF543" i="2" s="1"/>
  <c r="AB493" i="2"/>
  <c r="AF493" i="2" s="1"/>
  <c r="AB437" i="2"/>
  <c r="AF437" i="2" s="1"/>
  <c r="X310" i="2"/>
  <c r="S357" i="32"/>
  <c r="U252" i="21"/>
  <c r="AD252" i="21"/>
  <c r="U207" i="21"/>
  <c r="AD207" i="21"/>
  <c r="AT207" i="21"/>
  <c r="AW207" i="21"/>
  <c r="AX135" i="21"/>
  <c r="K135" i="21"/>
  <c r="M135" i="21"/>
  <c r="AV135" i="21"/>
  <c r="Z132" i="2"/>
  <c r="H84" i="23"/>
  <c r="L84" i="23" s="1"/>
  <c r="AB68" i="2"/>
  <c r="AF68" i="2" s="1"/>
  <c r="AB36" i="2"/>
  <c r="AF36" i="2" s="1"/>
  <c r="AB162" i="21"/>
  <c r="AM162" i="21"/>
  <c r="Z162" i="21"/>
  <c r="U238" i="23"/>
  <c r="AE20" i="24"/>
  <c r="K227" i="21"/>
  <c r="AQ227" i="21"/>
  <c r="AA227" i="21"/>
  <c r="AW227" i="21"/>
  <c r="AG221" i="21"/>
  <c r="AM221" i="21"/>
  <c r="W221" i="21"/>
  <c r="AO221" i="21"/>
  <c r="T221" i="21"/>
  <c r="X221" i="21"/>
  <c r="AK221" i="21"/>
  <c r="AW221" i="21"/>
  <c r="U221" i="21"/>
  <c r="R221" i="21"/>
  <c r="X326" i="2"/>
  <c r="AT70" i="24"/>
  <c r="AB273" i="2"/>
  <c r="AF273" i="2" s="1"/>
  <c r="Z44" i="2"/>
  <c r="AB44" i="2"/>
  <c r="AF44" i="2" s="1"/>
  <c r="U98" i="23"/>
  <c r="S303" i="26"/>
  <c r="AB112" i="2"/>
  <c r="Z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AB149" i="2"/>
  <c r="J339" i="26"/>
  <c r="X230" i="2"/>
  <c r="AH34" i="24" s="1"/>
  <c r="AC34" i="24"/>
  <c r="AO227" i="21"/>
  <c r="T227" i="21"/>
  <c r="AX227" i="21"/>
  <c r="AK227" i="21"/>
  <c r="Q227" i="21"/>
  <c r="AL227" i="21"/>
  <c r="AU227" i="21"/>
  <c r="I182" i="21"/>
  <c r="N182" i="21" s="1"/>
  <c r="O182" i="21" s="1"/>
  <c r="AF132" i="21"/>
  <c r="AJ132" i="21"/>
  <c r="X132" i="21"/>
  <c r="M132" i="21"/>
  <c r="AI132" i="21"/>
  <c r="N236" i="21"/>
  <c r="O236" i="21" s="1"/>
  <c r="N227" i="21"/>
  <c r="O227" i="21" s="1"/>
  <c r="AB413" i="2"/>
  <c r="AF413" i="2" s="1"/>
  <c r="AB390" i="2"/>
  <c r="AF390" i="2" s="1"/>
  <c r="AB199" i="2"/>
  <c r="AD199" i="2" s="1"/>
  <c r="AU132" i="21"/>
  <c r="AO132" i="21"/>
  <c r="AP132" i="21"/>
  <c r="AH132" i="21"/>
  <c r="S132" i="21"/>
  <c r="AM132" i="21"/>
  <c r="AT42" i="24"/>
  <c r="AJ236" i="21"/>
  <c r="AV236" i="21"/>
  <c r="AP236" i="21"/>
  <c r="J236" i="21"/>
  <c r="AW236" i="21"/>
  <c r="AQ236" i="21"/>
  <c r="AI144" i="21"/>
  <c r="G78" i="23"/>
  <c r="N132" i="21"/>
  <c r="O132" i="21" s="1"/>
  <c r="N135" i="21"/>
  <c r="O135" i="21" s="1"/>
  <c r="AB380" i="2"/>
  <c r="AF380" i="2" s="1"/>
  <c r="AT162" i="21"/>
  <c r="AD132" i="21"/>
  <c r="AB241" i="2"/>
  <c r="AF241" i="2" s="1"/>
  <c r="AB215" i="2"/>
  <c r="Z227" i="21"/>
  <c r="AJ227" i="21"/>
  <c r="X227" i="21"/>
  <c r="R227" i="21"/>
  <c r="AT227" i="21"/>
  <c r="AB227" i="21"/>
  <c r="M227" i="21"/>
  <c r="AI227" i="21"/>
  <c r="Q132" i="21"/>
  <c r="J132" i="21"/>
  <c r="AW132" i="21"/>
  <c r="K132" i="21"/>
  <c r="AN132" i="21"/>
  <c r="W132" i="21"/>
  <c r="AV132" i="21"/>
  <c r="L22" i="21"/>
  <c r="Y162" i="21"/>
  <c r="AB581" i="2"/>
  <c r="AF581" i="2" s="1"/>
  <c r="AB565" i="2"/>
  <c r="AF565" i="2" s="1"/>
  <c r="AB549" i="2"/>
  <c r="AF549" i="2" s="1"/>
  <c r="AB533" i="2"/>
  <c r="AF533" i="2" s="1"/>
  <c r="AE56" i="24"/>
  <c r="AV221" i="21"/>
  <c r="AH221" i="21"/>
  <c r="AC221" i="21"/>
  <c r="AF221" i="21"/>
  <c r="AD221" i="21"/>
  <c r="S221" i="21"/>
  <c r="AQ221" i="21"/>
  <c r="AS236" i="21"/>
  <c r="U236" i="21"/>
  <c r="R236" i="21"/>
  <c r="V236" i="21"/>
  <c r="W236" i="21"/>
  <c r="AU236" i="21"/>
  <c r="U196" i="23"/>
  <c r="G98" i="23"/>
  <c r="N98" i="23" s="1"/>
  <c r="AB515" i="2"/>
  <c r="AB424" i="2"/>
  <c r="AF424" i="2" s="1"/>
  <c r="Q252" i="21"/>
  <c r="X252" i="21"/>
  <c r="AJ207" i="21"/>
  <c r="AK207" i="21"/>
  <c r="Q207" i="21"/>
  <c r="M207" i="21"/>
  <c r="AQ207" i="21"/>
  <c r="AQ135" i="21"/>
  <c r="S135" i="21"/>
  <c r="T135" i="21"/>
  <c r="Z135" i="21"/>
  <c r="H132" i="23"/>
  <c r="L132" i="23" s="1"/>
  <c r="H112" i="23"/>
  <c r="Z56" i="2"/>
  <c r="Z36" i="2"/>
  <c r="AB250" i="2"/>
  <c r="AF250" i="2" s="1"/>
  <c r="Z253" i="2"/>
  <c r="AB187" i="2"/>
  <c r="Z373" i="2"/>
  <c r="Z393" i="2"/>
  <c r="Z397" i="2"/>
  <c r="AB107" i="2"/>
  <c r="AF107" i="2" s="1"/>
  <c r="AB470" i="2"/>
  <c r="AF470" i="2" s="1"/>
  <c r="AR240" i="21"/>
  <c r="Z367" i="2"/>
  <c r="AT30" i="24"/>
  <c r="X342" i="2"/>
  <c r="J336" i="26"/>
  <c r="AG73" i="24"/>
  <c r="J336" i="30"/>
  <c r="J340" i="26"/>
  <c r="J340" i="30"/>
  <c r="AG70" i="24"/>
  <c r="Z204" i="2"/>
  <c r="AB204" i="2"/>
  <c r="J333" i="26"/>
  <c r="J333" i="30"/>
  <c r="X224" i="2"/>
  <c r="AH73" i="24" s="1"/>
  <c r="AC73" i="24"/>
  <c r="AB257" i="2"/>
  <c r="AF257" i="2" s="1"/>
  <c r="Z332" i="2"/>
  <c r="AB332" i="2"/>
  <c r="AF332" i="2" s="1"/>
  <c r="AV84" i="24"/>
  <c r="AW96" i="24"/>
  <c r="G280" i="23"/>
  <c r="S280" i="23" s="1"/>
  <c r="U280" i="23"/>
  <c r="AW15" i="24"/>
  <c r="AU233" i="21"/>
  <c r="AA233" i="21"/>
  <c r="AP233" i="21"/>
  <c r="AG233" i="21"/>
  <c r="AD233" i="21"/>
  <c r="AC233" i="21"/>
  <c r="R233" i="21"/>
  <c r="AE233" i="21"/>
  <c r="AF233" i="21"/>
  <c r="T233" i="21"/>
  <c r="AL233" i="21"/>
  <c r="J233" i="21"/>
  <c r="AQ233" i="21"/>
  <c r="M233" i="21"/>
  <c r="AT233" i="21"/>
  <c r="V233" i="21"/>
  <c r="AS233" i="21"/>
  <c r="AR233" i="21"/>
  <c r="X233" i="2"/>
  <c r="AB59" i="24"/>
  <c r="X270" i="2"/>
  <c r="AH94" i="24" s="1"/>
  <c r="AC94" i="24"/>
  <c r="AB336" i="2"/>
  <c r="AF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AD111" i="24"/>
  <c r="AT63" i="24"/>
  <c r="X296" i="2"/>
  <c r="AB159" i="2"/>
  <c r="Z167" i="2"/>
  <c r="AB167" i="2"/>
  <c r="AA232" i="21"/>
  <c r="J232" i="21"/>
  <c r="AH232" i="21"/>
  <c r="AV232" i="21"/>
  <c r="AJ232" i="21"/>
  <c r="Z232" i="21"/>
  <c r="AW232" i="21"/>
  <c r="AN232" i="21"/>
  <c r="X182" i="2"/>
  <c r="AC14" i="24"/>
  <c r="F281" i="30"/>
  <c r="H186" i="23"/>
  <c r="L186" i="23" s="1"/>
  <c r="AT68" i="24"/>
  <c r="X354" i="2"/>
  <c r="F309" i="26"/>
  <c r="H257" i="23"/>
  <c r="U233" i="23"/>
  <c r="AE59" i="24"/>
  <c r="X211" i="2"/>
  <c r="AC91" i="24"/>
  <c r="H156" i="23"/>
  <c r="AB156" i="2"/>
  <c r="X149" i="21"/>
  <c r="AG149" i="21"/>
  <c r="R149" i="21"/>
  <c r="AR149" i="21"/>
  <c r="AK149" i="21"/>
  <c r="AO149" i="21"/>
  <c r="AI42" i="21"/>
  <c r="AH42" i="21"/>
  <c r="AG42" i="21"/>
  <c r="Y42" i="21"/>
  <c r="R42" i="21"/>
  <c r="AW42" i="21"/>
  <c r="T42" i="21"/>
  <c r="N42" i="21"/>
  <c r="O42" i="21" s="1"/>
  <c r="AU42" i="21"/>
  <c r="AB42" i="21"/>
  <c r="AV42" i="21"/>
  <c r="U125" i="23"/>
  <c r="U133" i="23"/>
  <c r="G133" i="23"/>
  <c r="S133" i="23" s="1"/>
  <c r="AE226" i="21"/>
  <c r="AF226" i="21"/>
  <c r="X226" i="21"/>
  <c r="Z226" i="21"/>
  <c r="AD226" i="21"/>
  <c r="AW19" i="24"/>
  <c r="U193" i="23"/>
  <c r="S279" i="26"/>
  <c r="G193" i="23"/>
  <c r="J193" i="23" s="1"/>
  <c r="N175" i="21"/>
  <c r="O175" i="21" s="1"/>
  <c r="W230" i="21"/>
  <c r="AB598" i="2"/>
  <c r="AB590" i="2"/>
  <c r="AB582" i="2"/>
  <c r="AF582" i="2" s="1"/>
  <c r="AB574" i="2"/>
  <c r="AF574" i="2" s="1"/>
  <c r="AB566" i="2"/>
  <c r="AF566" i="2" s="1"/>
  <c r="AB558" i="2"/>
  <c r="AF558" i="2" s="1"/>
  <c r="AB550" i="2"/>
  <c r="AF550" i="2" s="1"/>
  <c r="AB542" i="2"/>
  <c r="AF542" i="2" s="1"/>
  <c r="AB534" i="2"/>
  <c r="AF534" i="2" s="1"/>
  <c r="AB516" i="2"/>
  <c r="AF516" i="2" s="1"/>
  <c r="AB445" i="2"/>
  <c r="AF445" i="2" s="1"/>
  <c r="G233" i="23"/>
  <c r="N233" i="23" s="1"/>
  <c r="F281" i="26"/>
  <c r="AM175" i="21"/>
  <c r="U175" i="21"/>
  <c r="AQ175" i="21"/>
  <c r="AV175" i="21"/>
  <c r="N51" i="23"/>
  <c r="AB94" i="24"/>
  <c r="AP42" i="21"/>
  <c r="AD42" i="21"/>
  <c r="F395" i="26"/>
  <c r="AD104" i="24"/>
  <c r="X233" i="21"/>
  <c r="AO233" i="21"/>
  <c r="W233" i="21"/>
  <c r="AB186" i="2"/>
  <c r="AS149" i="21"/>
  <c r="F309" i="30"/>
  <c r="Z524" i="2"/>
  <c r="Z461" i="2"/>
  <c r="Z381" i="2"/>
  <c r="W175" i="21"/>
  <c r="AB265" i="2"/>
  <c r="AC59" i="24"/>
  <c r="AB151" i="2"/>
  <c r="AF151" i="2" s="1"/>
  <c r="Y175" i="21"/>
  <c r="AK175" i="21"/>
  <c r="P175" i="21"/>
  <c r="AA42" i="21"/>
  <c r="AY42" i="21"/>
  <c r="AJ233" i="21"/>
  <c r="Y233" i="21"/>
  <c r="AM233" i="21"/>
  <c r="X232" i="21"/>
  <c r="J345" i="30"/>
  <c r="X228" i="2"/>
  <c r="AC66" i="24"/>
  <c r="W209" i="21"/>
  <c r="AQ209" i="21"/>
  <c r="AB452" i="2"/>
  <c r="AF452" i="2" s="1"/>
  <c r="X42" i="21"/>
  <c r="AB253" i="2"/>
  <c r="AF253" i="2" s="1"/>
  <c r="J279" i="26"/>
  <c r="AG71" i="24"/>
  <c r="AX175" i="21"/>
  <c r="AI175" i="21"/>
  <c r="Q175" i="21"/>
  <c r="X175" i="21"/>
  <c r="J42" i="21"/>
  <c r="Z257" i="2"/>
  <c r="AB73" i="24"/>
  <c r="K233" i="21"/>
  <c r="Z233" i="21"/>
  <c r="AX226" i="21"/>
  <c r="AQ232" i="21"/>
  <c r="L30" i="21"/>
  <c r="Z34" i="2"/>
  <c r="Z250" i="2"/>
  <c r="Z505" i="2"/>
  <c r="AB467" i="2"/>
  <c r="AF467" i="2" s="1"/>
  <c r="X218" i="2"/>
  <c r="AH60" i="24" s="1"/>
  <c r="AC60" i="24"/>
  <c r="Z486" i="2"/>
  <c r="AB451" i="2"/>
  <c r="AF451" i="2" s="1"/>
  <c r="Z435" i="2"/>
  <c r="AB357" i="2"/>
  <c r="AF357" i="2" s="1"/>
  <c r="AT33" i="24"/>
  <c r="X328" i="2"/>
  <c r="AG216" i="21"/>
  <c r="AM216" i="21"/>
  <c r="S216" i="21"/>
  <c r="Z216" i="21"/>
  <c r="AD216" i="21"/>
  <c r="AJ216" i="21"/>
  <c r="AB216" i="21"/>
  <c r="R216" i="21"/>
  <c r="J293" i="26"/>
  <c r="AG35" i="24"/>
  <c r="X260" i="2"/>
  <c r="AC39" i="24"/>
  <c r="L200" i="21"/>
  <c r="G289" i="23"/>
  <c r="J289" i="23" s="1"/>
  <c r="AB405" i="2"/>
  <c r="AF405" i="2" s="1"/>
  <c r="K252" i="21"/>
  <c r="AQ252" i="21"/>
  <c r="P252" i="21"/>
  <c r="X347" i="2"/>
  <c r="H273" i="23"/>
  <c r="AB254" i="2"/>
  <c r="AF254" i="2" s="1"/>
  <c r="Z292" i="2"/>
  <c r="E312" i="26"/>
  <c r="Z95" i="2"/>
  <c r="Z31" i="2"/>
  <c r="AB330" i="2"/>
  <c r="AF330" i="2" s="1"/>
  <c r="Z425" i="2"/>
  <c r="Z528" i="2"/>
  <c r="Z459" i="2"/>
  <c r="Z499" i="2"/>
  <c r="Z490" i="2"/>
  <c r="H127" i="23"/>
  <c r="L127" i="23" s="1"/>
  <c r="Z127" i="2"/>
  <c r="U104" i="23"/>
  <c r="S320" i="30"/>
  <c r="S320" i="26"/>
  <c r="AI237" i="21"/>
  <c r="AE208" i="21"/>
  <c r="K27" i="21"/>
  <c r="Z82" i="2"/>
  <c r="O82" i="23" s="1"/>
  <c r="Z62" i="2"/>
  <c r="AU27" i="21"/>
  <c r="AT84" i="24"/>
  <c r="X369" i="2"/>
  <c r="S293" i="32"/>
  <c r="AD35" i="24"/>
  <c r="Z225" i="2"/>
  <c r="F370" i="26"/>
  <c r="J330" i="30"/>
  <c r="AG72" i="24"/>
  <c r="Z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Z47" i="2"/>
  <c r="AB47" i="2"/>
  <c r="AF47" i="2" s="1"/>
  <c r="X258" i="2"/>
  <c r="AB85" i="24"/>
  <c r="AC86" i="24"/>
  <c r="AC85" i="24"/>
  <c r="S208" i="21"/>
  <c r="W222" i="21"/>
  <c r="AI222" i="21"/>
  <c r="AF144" i="21"/>
  <c r="AL27" i="21"/>
  <c r="AB31" i="2"/>
  <c r="AF31" i="2" s="1"/>
  <c r="Z171" i="2"/>
  <c r="T144" i="21"/>
  <c r="AB54" i="2"/>
  <c r="AF54" i="2" s="1"/>
  <c r="Z54" i="2"/>
  <c r="O54" i="23" s="1"/>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AB171" i="2"/>
  <c r="AF171" i="2" s="1"/>
  <c r="AB127" i="2"/>
  <c r="AF127" i="2" s="1"/>
  <c r="AB95" i="2"/>
  <c r="P144" i="21"/>
  <c r="M144" i="21"/>
  <c r="AB27" i="21"/>
  <c r="Z140" i="2"/>
  <c r="AT7" i="24"/>
  <c r="X318" i="2"/>
  <c r="X259" i="2"/>
  <c r="AH83" i="24" s="1"/>
  <c r="AB83" i="24"/>
  <c r="F279" i="30"/>
  <c r="I279" i="30" s="1"/>
  <c r="H193" i="23"/>
  <c r="L193" i="23" s="1"/>
  <c r="AA240" i="21"/>
  <c r="AU240" i="21"/>
  <c r="AG240" i="21"/>
  <c r="P240" i="21"/>
  <c r="H251" i="23"/>
  <c r="AF32" i="24"/>
  <c r="H144" i="23"/>
  <c r="Z144" i="2"/>
  <c r="X363" i="2"/>
  <c r="AT56" i="24"/>
  <c r="AX156" i="21"/>
  <c r="U156" i="21"/>
  <c r="Z156" i="21"/>
  <c r="S156" i="21"/>
  <c r="W156" i="21"/>
  <c r="V156" i="21"/>
  <c r="E312" i="30"/>
  <c r="J25" i="23"/>
  <c r="AB207" i="2"/>
  <c r="J345" i="26"/>
  <c r="F397" i="30"/>
  <c r="AG42" i="24"/>
  <c r="J294" i="26"/>
  <c r="R240" i="21"/>
  <c r="W240" i="21"/>
  <c r="L123" i="21"/>
  <c r="Z269" i="2"/>
  <c r="AB428" i="2"/>
  <c r="AF428" i="2" s="1"/>
  <c r="U178" i="23"/>
  <c r="AE52" i="24"/>
  <c r="J310" i="30"/>
  <c r="AG26" i="24"/>
  <c r="X352" i="2"/>
  <c r="X300" i="2"/>
  <c r="AO240" i="21"/>
  <c r="Y240" i="21"/>
  <c r="AE240" i="21"/>
  <c r="H269" i="23"/>
  <c r="AB144" i="2"/>
  <c r="X210" i="2"/>
  <c r="AH50" i="24" s="1"/>
  <c r="AB50" i="24"/>
  <c r="AB47" i="24"/>
  <c r="AB49" i="24"/>
  <c r="M162" i="21"/>
  <c r="AU162" i="21"/>
  <c r="K162" i="21"/>
  <c r="AB553" i="2"/>
  <c r="AF553" i="2" s="1"/>
  <c r="AB589" i="2"/>
  <c r="AB573" i="2"/>
  <c r="AF573" i="2" s="1"/>
  <c r="AB557" i="2"/>
  <c r="AF557" i="2" s="1"/>
  <c r="AB541" i="2"/>
  <c r="AF541" i="2" s="1"/>
  <c r="AB440" i="2"/>
  <c r="AF440" i="2" s="1"/>
  <c r="AB244" i="2"/>
  <c r="AF244" i="2" s="1"/>
  <c r="AC28" i="24"/>
  <c r="AB511" i="2"/>
  <c r="AF511" i="2" s="1"/>
  <c r="AB477" i="2"/>
  <c r="AF477" i="2" s="1"/>
  <c r="Z248" i="2"/>
  <c r="AE252" i="21"/>
  <c r="AG252" i="21"/>
  <c r="AC252" i="21"/>
  <c r="AO252" i="21"/>
  <c r="AJ224" i="21"/>
  <c r="AB292" i="2"/>
  <c r="AF292" i="2" s="1"/>
  <c r="AB561" i="2"/>
  <c r="AF561" i="2" s="1"/>
  <c r="AB30" i="2"/>
  <c r="AF30" i="2" s="1"/>
  <c r="Z519" i="2"/>
  <c r="Z596" i="2"/>
  <c r="Z588" i="2"/>
  <c r="Z580" i="2"/>
  <c r="Z572" i="2"/>
  <c r="Z564" i="2"/>
  <c r="Z556" i="2"/>
  <c r="Z548" i="2"/>
  <c r="Z540" i="2"/>
  <c r="Z532" i="2"/>
  <c r="Z510" i="2"/>
  <c r="Z506" i="2"/>
  <c r="Z465" i="2"/>
  <c r="Z462" i="2"/>
  <c r="N222" i="21"/>
  <c r="O222" i="21" s="1"/>
  <c r="S222" i="21"/>
  <c r="W203" i="21"/>
  <c r="AI224" i="21"/>
  <c r="AV224" i="21"/>
  <c r="AS224" i="21"/>
  <c r="AX224" i="21"/>
  <c r="AO224" i="21"/>
  <c r="AN224" i="21"/>
  <c r="R224" i="21"/>
  <c r="H240" i="23"/>
  <c r="Z240" i="2"/>
  <c r="AT106" i="24"/>
  <c r="X298" i="2"/>
  <c r="N224" i="21"/>
  <c r="O224" i="21" s="1"/>
  <c r="AE245" i="21"/>
  <c r="AU225" i="21"/>
  <c r="AQ211" i="21"/>
  <c r="AQ203" i="21"/>
  <c r="S203" i="21"/>
  <c r="AB522" i="2"/>
  <c r="AF522" i="2" s="1"/>
  <c r="AB488" i="2"/>
  <c r="AF488" i="2" s="1"/>
  <c r="AB447" i="2"/>
  <c r="AF447" i="2" s="1"/>
  <c r="AB384" i="2"/>
  <c r="AF384" i="2" s="1"/>
  <c r="Z372" i="2"/>
  <c r="L171" i="21"/>
  <c r="X277" i="2"/>
  <c r="AB61" i="24"/>
  <c r="AB93" i="24"/>
  <c r="AB64" i="24"/>
  <c r="AB191" i="2"/>
  <c r="H225" i="23"/>
  <c r="AW36" i="24"/>
  <c r="Z261" i="2"/>
  <c r="S302" i="30"/>
  <c r="F397" i="26"/>
  <c r="AD31" i="24"/>
  <c r="AB66" i="24"/>
  <c r="AB484" i="2"/>
  <c r="AF484" i="2" s="1"/>
  <c r="AC32" i="24"/>
  <c r="Y224" i="21"/>
  <c r="AH224" i="21"/>
  <c r="Q224" i="21"/>
  <c r="Z224" i="21"/>
  <c r="AE224" i="21"/>
  <c r="J370" i="26"/>
  <c r="AP240" i="21"/>
  <c r="X240" i="21"/>
  <c r="V240" i="21"/>
  <c r="Z214" i="2"/>
  <c r="U162" i="21"/>
  <c r="AR162" i="21"/>
  <c r="AB90" i="24"/>
  <c r="AB120" i="2"/>
  <c r="AF120" i="2" s="1"/>
  <c r="AT85" i="24"/>
  <c r="X366" i="2"/>
  <c r="AD106" i="24"/>
  <c r="S394" i="32"/>
  <c r="AQ239" i="21"/>
  <c r="AA239" i="21"/>
  <c r="AX239" i="21"/>
  <c r="AC239" i="21"/>
  <c r="AV239" i="21"/>
  <c r="T239" i="21"/>
  <c r="AF239" i="21"/>
  <c r="AD239" i="21"/>
  <c r="AK239" i="21"/>
  <c r="U239" i="21"/>
  <c r="AT55" i="24"/>
  <c r="X350" i="2"/>
  <c r="F320" i="30"/>
  <c r="AB104" i="2"/>
  <c r="AF104" i="2" s="1"/>
  <c r="X231" i="2"/>
  <c r="AH57" i="24" s="1"/>
  <c r="AC57" i="24"/>
  <c r="J224" i="21"/>
  <c r="V224" i="21"/>
  <c r="X224" i="21"/>
  <c r="AK224" i="21"/>
  <c r="AU224" i="21"/>
  <c r="L24" i="21"/>
  <c r="Z266" i="2"/>
  <c r="AB503" i="2"/>
  <c r="AB409" i="2"/>
  <c r="AF409" i="2" s="1"/>
  <c r="Z262" i="2"/>
  <c r="Z207" i="2"/>
  <c r="Z275" i="2"/>
  <c r="O275" i="23" s="1"/>
  <c r="AB545" i="2"/>
  <c r="AF545" i="2" s="1"/>
  <c r="AB585" i="2"/>
  <c r="AF585" i="2" s="1"/>
  <c r="AT29" i="24"/>
  <c r="X346" i="2"/>
  <c r="AE162" i="21"/>
  <c r="X162" i="21"/>
  <c r="J162" i="21"/>
  <c r="AO162" i="21"/>
  <c r="J325" i="26"/>
  <c r="J323" i="26" s="1"/>
  <c r="AG60" i="24"/>
  <c r="AQ240" i="21"/>
  <c r="AW240" i="21"/>
  <c r="J240" i="21"/>
  <c r="AS240" i="21"/>
  <c r="AV240" i="21"/>
  <c r="X243" i="2"/>
  <c r="AC16" i="24"/>
  <c r="Z52" i="2"/>
  <c r="H52" i="23"/>
  <c r="L52" i="23" s="1"/>
  <c r="G139" i="23"/>
  <c r="U139" i="23"/>
  <c r="X201" i="2"/>
  <c r="AB62" i="24"/>
  <c r="AW69" i="24"/>
  <c r="T79" i="26"/>
  <c r="AG156" i="21"/>
  <c r="AU156" i="21"/>
  <c r="T156" i="21"/>
  <c r="AD156" i="21"/>
  <c r="AH156" i="21"/>
  <c r="AF156" i="21"/>
  <c r="H146" i="23"/>
  <c r="AB146" i="2"/>
  <c r="AF146" i="2" s="1"/>
  <c r="L108" i="21"/>
  <c r="AB599" i="2"/>
  <c r="AF599" i="2" s="1"/>
  <c r="AB567" i="2"/>
  <c r="AF567" i="2" s="1"/>
  <c r="AB535" i="2"/>
  <c r="AF535" i="2" s="1"/>
  <c r="AB441" i="2"/>
  <c r="AF441" i="2" s="1"/>
  <c r="AB408" i="2"/>
  <c r="AF408" i="2" s="1"/>
  <c r="X312" i="2"/>
  <c r="L154" i="21"/>
  <c r="Z170" i="2"/>
  <c r="AC42" i="24"/>
  <c r="L33" i="21"/>
  <c r="L17" i="21"/>
  <c r="Z475" i="2"/>
  <c r="Z139" i="2"/>
  <c r="O139" i="23" s="1"/>
  <c r="Z163" i="2"/>
  <c r="Z75" i="2"/>
  <c r="Z406" i="2"/>
  <c r="Z432" i="2"/>
  <c r="Z569" i="2"/>
  <c r="U174" i="23"/>
  <c r="Z537" i="2"/>
  <c r="AB145" i="2"/>
  <c r="R72" i="21"/>
  <c r="AB140" i="2"/>
  <c r="AF140" i="2" s="1"/>
  <c r="Z460" i="2"/>
  <c r="Z419" i="2"/>
  <c r="Z512" i="2"/>
  <c r="Z489" i="2"/>
  <c r="Z507" i="2"/>
  <c r="Z415" i="2"/>
  <c r="Z561" i="2"/>
  <c r="Z472" i="2"/>
  <c r="AB569" i="2"/>
  <c r="AF569" i="2" s="1"/>
  <c r="Z527" i="2"/>
  <c r="Z468" i="2"/>
  <c r="AB537" i="2"/>
  <c r="AF537" i="2" s="1"/>
  <c r="Z464" i="2"/>
  <c r="Z411" i="2"/>
  <c r="Z553" i="2"/>
  <c r="Z514" i="2"/>
  <c r="Z592" i="2"/>
  <c r="Z584" i="2"/>
  <c r="Z576" i="2"/>
  <c r="Z568" i="2"/>
  <c r="Z560" i="2"/>
  <c r="Z552" i="2"/>
  <c r="Z544" i="2"/>
  <c r="Z536" i="2"/>
  <c r="Z463" i="2"/>
  <c r="Z410" i="2"/>
  <c r="Z545" i="2"/>
  <c r="Z466" i="2"/>
  <c r="Z427" i="2"/>
  <c r="Z478" i="2"/>
  <c r="Z403" i="2"/>
  <c r="Z454" i="2"/>
  <c r="S251" i="21"/>
  <c r="AU251" i="21"/>
  <c r="AA251" i="21"/>
  <c r="AW251" i="21"/>
  <c r="X251" i="21"/>
  <c r="AN251" i="21"/>
  <c r="K256" i="21"/>
  <c r="AD256" i="21"/>
  <c r="AG92" i="24"/>
  <c r="AY240" i="21"/>
  <c r="AI240" i="21"/>
  <c r="S240" i="21"/>
  <c r="AL240" i="21"/>
  <c r="Q240" i="21"/>
  <c r="AF240" i="21"/>
  <c r="AK240" i="21"/>
  <c r="AX240" i="21"/>
  <c r="AH240" i="21"/>
  <c r="K240" i="21"/>
  <c r="X227" i="2"/>
  <c r="AB7" i="24"/>
  <c r="P156" i="21"/>
  <c r="AS156" i="21"/>
  <c r="AC156" i="21"/>
  <c r="K156" i="21"/>
  <c r="AE156" i="21"/>
  <c r="AT156" i="21"/>
  <c r="X156" i="21"/>
  <c r="AM156" i="21"/>
  <c r="R156" i="21"/>
  <c r="AA156" i="21"/>
  <c r="H142" i="23"/>
  <c r="Z142" i="2"/>
  <c r="AB150" i="2"/>
  <c r="H154" i="23"/>
  <c r="Z154" i="2"/>
  <c r="H158" i="23"/>
  <c r="Z158" i="2"/>
  <c r="H162" i="23"/>
  <c r="Z162" i="2"/>
  <c r="Y27" i="21"/>
  <c r="AO27" i="21"/>
  <c r="X27" i="21"/>
  <c r="AV27" i="21"/>
  <c r="AF27" i="21"/>
  <c r="M27" i="21"/>
  <c r="AM27" i="21"/>
  <c r="V27" i="21"/>
  <c r="H10" i="23"/>
  <c r="AB10" i="2"/>
  <c r="Z10" i="2"/>
  <c r="X181" i="2"/>
  <c r="AB11" i="24"/>
  <c r="N251" i="21"/>
  <c r="O251" i="21" s="1"/>
  <c r="AE241" i="21"/>
  <c r="S237" i="21"/>
  <c r="AI211" i="21"/>
  <c r="W210" i="21"/>
  <c r="AB448" i="2"/>
  <c r="AF448" i="2" s="1"/>
  <c r="AY251" i="21"/>
  <c r="AP251" i="21"/>
  <c r="AK251" i="21"/>
  <c r="N256" i="21"/>
  <c r="O256" i="21" s="1"/>
  <c r="N211" i="21"/>
  <c r="O211" i="21" s="1"/>
  <c r="AM230" i="21"/>
  <c r="AA211" i="21"/>
  <c r="AI208" i="21"/>
  <c r="AC256" i="21"/>
  <c r="V256" i="21"/>
  <c r="AQ256" i="21"/>
  <c r="T256" i="21"/>
  <c r="AJ256" i="21"/>
  <c r="AS251" i="21"/>
  <c r="Z251" i="21"/>
  <c r="AG251" i="21"/>
  <c r="AB251" i="21"/>
  <c r="AR251" i="21"/>
  <c r="AB530" i="2"/>
  <c r="AF530" i="2" s="1"/>
  <c r="AB496" i="2"/>
  <c r="AF496" i="2" s="1"/>
  <c r="L163" i="21"/>
  <c r="AB275" i="2"/>
  <c r="L128" i="21"/>
  <c r="L18" i="21"/>
  <c r="AC84" i="24"/>
  <c r="J216" i="21"/>
  <c r="Y216" i="21"/>
  <c r="AH216" i="21"/>
  <c r="AC216" i="21"/>
  <c r="Q216" i="21"/>
  <c r="AS216" i="21"/>
  <c r="AF216" i="21"/>
  <c r="M216" i="21"/>
  <c r="AE216" i="21"/>
  <c r="AU216" i="21"/>
  <c r="Z521" i="2"/>
  <c r="AD251" i="21"/>
  <c r="U251" i="21"/>
  <c r="M251" i="21"/>
  <c r="AT251" i="21"/>
  <c r="AC74" i="24"/>
  <c r="Z215" i="2"/>
  <c r="L87" i="21"/>
  <c r="AB583" i="2"/>
  <c r="AF583" i="2" s="1"/>
  <c r="AB551" i="2"/>
  <c r="AF551" i="2" s="1"/>
  <c r="X324" i="2"/>
  <c r="X286" i="2"/>
  <c r="AB32" i="24"/>
  <c r="AC240" i="21"/>
  <c r="U240" i="21"/>
  <c r="AD240" i="21"/>
  <c r="AN240" i="21"/>
  <c r="AB240" i="21"/>
  <c r="M240" i="21"/>
  <c r="AM240" i="21"/>
  <c r="L111" i="21"/>
  <c r="AT69" i="24"/>
  <c r="F390" i="30"/>
  <c r="AC95" i="24"/>
  <c r="AB100" i="2"/>
  <c r="AB52" i="2"/>
  <c r="F381" i="26"/>
  <c r="F379" i="26" s="1"/>
  <c r="F378" i="26" s="1"/>
  <c r="H261" i="23"/>
  <c r="AA162" i="21"/>
  <c r="AC162" i="21"/>
  <c r="AG162" i="21"/>
  <c r="AP162" i="21"/>
  <c r="AJ162" i="21"/>
  <c r="AG63" i="24"/>
  <c r="J341" i="26"/>
  <c r="AP27" i="21"/>
  <c r="AQ237" i="21"/>
  <c r="W211" i="21"/>
  <c r="AY211" i="21"/>
  <c r="Z388" i="2"/>
  <c r="AB371" i="2"/>
  <c r="AF371" i="2" s="1"/>
  <c r="U311" i="23"/>
  <c r="AX251" i="21"/>
  <c r="AM251" i="21"/>
  <c r="R251" i="21"/>
  <c r="X306" i="2"/>
  <c r="F287" i="26"/>
  <c r="F285" i="26" s="1"/>
  <c r="AB339" i="2"/>
  <c r="AF339" i="2" s="1"/>
  <c r="AM224" i="21"/>
  <c r="AQ224" i="21"/>
  <c r="S224" i="21"/>
  <c r="AF224" i="21"/>
  <c r="Z232" i="2"/>
  <c r="W55" i="24" s="1"/>
  <c r="AB251" i="2"/>
  <c r="AT96" i="24"/>
  <c r="X351" i="2"/>
  <c r="AB331" i="2"/>
  <c r="AF331" i="2" s="1"/>
  <c r="AB125" i="2"/>
  <c r="Z80" i="2"/>
  <c r="Z184" i="2"/>
  <c r="AB593" i="2"/>
  <c r="AB255" i="2"/>
  <c r="AB263" i="2"/>
  <c r="AB337" i="2"/>
  <c r="AF337" i="2" s="1"/>
  <c r="Z359" i="2"/>
  <c r="AB319" i="2"/>
  <c r="AF319" i="2" s="1"/>
  <c r="Z487" i="2"/>
  <c r="AB161" i="2"/>
  <c r="S294" i="30"/>
  <c r="U208" i="23"/>
  <c r="X177" i="2"/>
  <c r="AC13" i="24"/>
  <c r="AW149" i="21"/>
  <c r="AF149" i="21"/>
  <c r="P149" i="21"/>
  <c r="AI149" i="21"/>
  <c r="AY149" i="21"/>
  <c r="AC149" i="21"/>
  <c r="AX149" i="21"/>
  <c r="AA149" i="21"/>
  <c r="U149" i="21"/>
  <c r="H107" i="23"/>
  <c r="Z107" i="2"/>
  <c r="H94" i="23"/>
  <c r="Z94" i="2"/>
  <c r="AB94" i="2"/>
  <c r="H70" i="23"/>
  <c r="L70" i="23" s="1"/>
  <c r="Z70" i="2"/>
  <c r="AB70" i="2"/>
  <c r="AO42" i="21"/>
  <c r="AC42" i="21"/>
  <c r="H46" i="23"/>
  <c r="AB46" i="2"/>
  <c r="AD67" i="24"/>
  <c r="U226" i="21"/>
  <c r="AY226" i="21"/>
  <c r="AI226" i="21"/>
  <c r="S226" i="21"/>
  <c r="AN226" i="21"/>
  <c r="R226" i="21"/>
  <c r="AG226" i="21"/>
  <c r="AT226" i="21"/>
  <c r="Q226" i="21"/>
  <c r="V226" i="21"/>
  <c r="AB226" i="21"/>
  <c r="AD94" i="24"/>
  <c r="N210" i="21"/>
  <c r="O210" i="21" s="1"/>
  <c r="N226" i="21"/>
  <c r="O226" i="21" s="1"/>
  <c r="N149" i="21"/>
  <c r="O149" i="21" s="1"/>
  <c r="AU245" i="21"/>
  <c r="AA245" i="21"/>
  <c r="AU238" i="21"/>
  <c r="AA238" i="21"/>
  <c r="AI230" i="21"/>
  <c r="S230" i="21"/>
  <c r="AM211" i="21"/>
  <c r="S211" i="21"/>
  <c r="AI210" i="21"/>
  <c r="S210" i="21"/>
  <c r="AU208" i="21"/>
  <c r="AA208" i="21"/>
  <c r="AI203" i="21"/>
  <c r="AE198" i="21"/>
  <c r="G255" i="21"/>
  <c r="AY203" i="21"/>
  <c r="AY230" i="21"/>
  <c r="Z498" i="2"/>
  <c r="AB423" i="2"/>
  <c r="AF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Z118" i="2"/>
  <c r="U51" i="23"/>
  <c r="Z11" i="2"/>
  <c r="T22" i="26"/>
  <c r="Z156" i="2"/>
  <c r="J335" i="26"/>
  <c r="AG64" i="24"/>
  <c r="AG76" i="24"/>
  <c r="Z242" i="2"/>
  <c r="AB242" i="2"/>
  <c r="J293" i="30"/>
  <c r="AG31" i="24"/>
  <c r="H268" i="23"/>
  <c r="L268" i="23" s="1"/>
  <c r="Z268" i="2"/>
  <c r="AT93" i="24"/>
  <c r="X338" i="2"/>
  <c r="G191" i="23"/>
  <c r="J191" i="23" s="1"/>
  <c r="U191" i="23"/>
  <c r="X196" i="2"/>
  <c r="AC109" i="24"/>
  <c r="U78" i="23"/>
  <c r="S319" i="30"/>
  <c r="F298" i="30"/>
  <c r="AB132" i="2"/>
  <c r="V132" i="21"/>
  <c r="AK132" i="21"/>
  <c r="AY135" i="21"/>
  <c r="AH135" i="21"/>
  <c r="R135" i="21"/>
  <c r="AE135" i="21"/>
  <c r="AT135" i="21"/>
  <c r="X135" i="21"/>
  <c r="AG135" i="21"/>
  <c r="AF135" i="21"/>
  <c r="AB135" i="21"/>
  <c r="P135" i="21"/>
  <c r="Z185" i="2"/>
  <c r="L280" i="32" s="1"/>
  <c r="F280" i="30"/>
  <c r="AY236" i="21"/>
  <c r="AI236" i="21"/>
  <c r="S236" i="21"/>
  <c r="AL236" i="21"/>
  <c r="Q236" i="21"/>
  <c r="AF236" i="21"/>
  <c r="AH236" i="21"/>
  <c r="AD236" i="21"/>
  <c r="AK236" i="21"/>
  <c r="AB397" i="2"/>
  <c r="AF397" i="2" s="1"/>
  <c r="AV207" i="21"/>
  <c r="AM207" i="21"/>
  <c r="W207" i="21"/>
  <c r="AR207" i="21"/>
  <c r="V207" i="21"/>
  <c r="AN207" i="21"/>
  <c r="AS207" i="21"/>
  <c r="P207" i="21"/>
  <c r="AC207" i="21"/>
  <c r="AH207" i="21"/>
  <c r="H138" i="23"/>
  <c r="Z138" i="2"/>
  <c r="AB138" i="2"/>
  <c r="AB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AB184" i="2"/>
  <c r="AF184" i="2" s="1"/>
  <c r="AB80" i="2"/>
  <c r="AF80" i="2" s="1"/>
  <c r="G243" i="21"/>
  <c r="G230" i="21"/>
  <c r="AC20" i="24"/>
  <c r="X238" i="2"/>
  <c r="AC89" i="24"/>
  <c r="AB89" i="24"/>
  <c r="X222" i="2"/>
  <c r="AH80" i="24" s="1"/>
  <c r="AC80" i="24"/>
  <c r="X206" i="2"/>
  <c r="AC49" i="24"/>
  <c r="AI162" i="21"/>
  <c r="AQ162" i="21"/>
  <c r="W162" i="21"/>
  <c r="AH162" i="21"/>
  <c r="AX162" i="21"/>
  <c r="V162" i="21"/>
  <c r="AF162" i="21"/>
  <c r="T162" i="21"/>
  <c r="L50" i="21"/>
  <c r="N230" i="21"/>
  <c r="O230" i="21" s="1"/>
  <c r="N238" i="21"/>
  <c r="O238" i="21" s="1"/>
  <c r="AU243" i="21"/>
  <c r="AQ230" i="21"/>
  <c r="AQ210" i="21"/>
  <c r="L125" i="21"/>
  <c r="L246" i="21"/>
  <c r="S42" i="21"/>
  <c r="AB495" i="2"/>
  <c r="AF495" i="2" s="1"/>
  <c r="G208" i="23"/>
  <c r="S208" i="23" s="1"/>
  <c r="P226" i="21"/>
  <c r="Y226" i="21"/>
  <c r="T226" i="21"/>
  <c r="K226" i="21"/>
  <c r="AS226" i="21"/>
  <c r="AA226" i="21"/>
  <c r="AU226" i="21"/>
  <c r="Z149" i="21"/>
  <c r="K42" i="21"/>
  <c r="AB13" i="24"/>
  <c r="M149" i="21"/>
  <c r="V149" i="21"/>
  <c r="K149" i="21"/>
  <c r="AM149" i="21"/>
  <c r="AD149" i="21"/>
  <c r="T149" i="21"/>
  <c r="AN149" i="21"/>
  <c r="Z110" i="2"/>
  <c r="Z30" i="2"/>
  <c r="Z493" i="2"/>
  <c r="AY256" i="21"/>
  <c r="L116" i="21"/>
  <c r="G125" i="23"/>
  <c r="N125" i="23" s="1"/>
  <c r="H184" i="23"/>
  <c r="L184" i="23" s="1"/>
  <c r="Z330" i="2"/>
  <c r="Z503" i="2"/>
  <c r="E290" i="30"/>
  <c r="AB435" i="2"/>
  <c r="AF435" i="2" s="1"/>
  <c r="AB217" i="2"/>
  <c r="AB209" i="2"/>
  <c r="Z209" i="2"/>
  <c r="X202" i="2"/>
  <c r="AH75" i="24" s="1"/>
  <c r="AC75" i="24"/>
  <c r="X198" i="2"/>
  <c r="AH48" i="24" s="1"/>
  <c r="AB48" i="24"/>
  <c r="AB239" i="2"/>
  <c r="Z416" i="2"/>
  <c r="Z333" i="2"/>
  <c r="AB412" i="2"/>
  <c r="AF412" i="2" s="1"/>
  <c r="Z348" i="2"/>
  <c r="AB133" i="2"/>
  <c r="Z143" i="2"/>
  <c r="Z147" i="2"/>
  <c r="Z186" i="2"/>
  <c r="L281" i="32" s="1"/>
  <c r="AB154" i="2"/>
  <c r="L193" i="21"/>
  <c r="L26" i="21"/>
  <c r="L105" i="21"/>
  <c r="AB517" i="2"/>
  <c r="AB471" i="2"/>
  <c r="AF471" i="2" s="1"/>
  <c r="AB389" i="2"/>
  <c r="AF389" i="2" s="1"/>
  <c r="X290" i="2"/>
  <c r="Z236" i="2"/>
  <c r="AG224" i="21"/>
  <c r="T224" i="21"/>
  <c r="AW224" i="21"/>
  <c r="AR224" i="21"/>
  <c r="AD224" i="21"/>
  <c r="U224" i="21"/>
  <c r="AP224" i="21"/>
  <c r="W224" i="21"/>
  <c r="X378" i="2"/>
  <c r="L86" i="21"/>
  <c r="Z335" i="2"/>
  <c r="AB236" i="2"/>
  <c r="AB193" i="2"/>
  <c r="Z317" i="2"/>
  <c r="AB329" i="2"/>
  <c r="AF329" i="2" s="1"/>
  <c r="AB577" i="2"/>
  <c r="AF577" i="2" s="1"/>
  <c r="AB142" i="2"/>
  <c r="AB62" i="2"/>
  <c r="G209" i="21"/>
  <c r="AB529" i="2"/>
  <c r="AF529" i="2" s="1"/>
  <c r="L209" i="30"/>
  <c r="N209" i="30" s="1"/>
  <c r="AE243" i="21"/>
  <c r="AE237" i="21"/>
  <c r="AE222" i="21"/>
  <c r="AE209" i="21"/>
  <c r="L218" i="21"/>
  <c r="L45" i="21"/>
  <c r="Z442" i="2"/>
  <c r="AB442" i="2"/>
  <c r="AF442" i="2" s="1"/>
  <c r="AB194" i="2"/>
  <c r="Z194" i="2"/>
  <c r="X208" i="2"/>
  <c r="AC26" i="24"/>
  <c r="X221" i="2"/>
  <c r="AH72" i="24" s="1"/>
  <c r="AC72" i="24"/>
  <c r="G267" i="23"/>
  <c r="N267" i="23" s="1"/>
  <c r="U267" i="23"/>
  <c r="S395" i="30"/>
  <c r="AT67" i="24"/>
  <c r="X313" i="2"/>
  <c r="AV87" i="24"/>
  <c r="AT88" i="24"/>
  <c r="X327" i="2"/>
  <c r="AY233" i="21"/>
  <c r="AI233" i="21"/>
  <c r="S233" i="21"/>
  <c r="AK233" i="21"/>
  <c r="AN233" i="21"/>
  <c r="AX233" i="21"/>
  <c r="P233" i="21"/>
  <c r="U233" i="21"/>
  <c r="AB233" i="21"/>
  <c r="Q233" i="21"/>
  <c r="AH233" i="21"/>
  <c r="H220" i="23"/>
  <c r="Z220" i="2"/>
  <c r="F392" i="26"/>
  <c r="H254" i="23"/>
  <c r="Z254" i="2"/>
  <c r="Z322" i="2"/>
  <c r="AB322" i="2"/>
  <c r="AF322" i="2" s="1"/>
  <c r="AV32" i="24"/>
  <c r="H24" i="23"/>
  <c r="Z24" i="2"/>
  <c r="AB24" i="2"/>
  <c r="AB32" i="2"/>
  <c r="H32" i="23"/>
  <c r="L32" i="23" s="1"/>
  <c r="H40" i="23"/>
  <c r="Z40" i="2"/>
  <c r="AB40" i="2"/>
  <c r="AB48" i="2"/>
  <c r="H48" i="23"/>
  <c r="L48" i="23" s="1"/>
  <c r="H53" i="23"/>
  <c r="L53" i="23" s="1"/>
  <c r="Z53" i="2"/>
  <c r="AB53" i="2"/>
  <c r="G58" i="23"/>
  <c r="U58" i="23"/>
  <c r="AB64" i="2"/>
  <c r="AF64" i="2" s="1"/>
  <c r="H64" i="23"/>
  <c r="L64" i="23" s="1"/>
  <c r="G70" i="23"/>
  <c r="J70" i="23" s="1"/>
  <c r="U70" i="23"/>
  <c r="Z76" i="2"/>
  <c r="AB76" i="2"/>
  <c r="H81" i="23"/>
  <c r="L81" i="23" s="1"/>
  <c r="Z81" i="2"/>
  <c r="H88" i="23"/>
  <c r="Z88" i="2"/>
  <c r="AB88" i="2"/>
  <c r="AB96" i="2"/>
  <c r="AD96" i="2" s="1"/>
  <c r="H96" i="23"/>
  <c r="L96" i="23" s="1"/>
  <c r="H101" i="23"/>
  <c r="Z101" i="2"/>
  <c r="AB101" i="2"/>
  <c r="H108" i="23"/>
  <c r="Z108" i="2"/>
  <c r="Z116" i="2"/>
  <c r="AB116" i="2"/>
  <c r="H121" i="23"/>
  <c r="Z121" i="2"/>
  <c r="AB121" i="2"/>
  <c r="H128" i="23"/>
  <c r="Z128" i="2"/>
  <c r="AB128" i="2"/>
  <c r="J304" i="30"/>
  <c r="J343" i="26"/>
  <c r="AB134" i="2"/>
  <c r="H141" i="23"/>
  <c r="Z141" i="2"/>
  <c r="AB174" i="2"/>
  <c r="Z174" i="2"/>
  <c r="Z187" i="2"/>
  <c r="J332" i="26"/>
  <c r="J332" i="30"/>
  <c r="X213" i="2"/>
  <c r="AH106" i="24" s="1"/>
  <c r="AC106" i="24"/>
  <c r="AD60" i="24"/>
  <c r="G247" i="23"/>
  <c r="U247" i="23"/>
  <c r="S391" i="30"/>
  <c r="Z267" i="2"/>
  <c r="H267" i="23"/>
  <c r="AV95" i="24"/>
  <c r="AV89" i="24"/>
  <c r="Z343" i="2"/>
  <c r="AB343" i="2"/>
  <c r="AF343" i="2" s="1"/>
  <c r="AB387" i="2"/>
  <c r="AF387" i="2" s="1"/>
  <c r="Z525" i="2"/>
  <c r="AB525" i="2"/>
  <c r="Z136" i="2"/>
  <c r="AB136" i="2"/>
  <c r="AF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X178" i="2"/>
  <c r="AH52" i="24" s="1"/>
  <c r="AB52" i="24"/>
  <c r="L204" i="21"/>
  <c r="AU241" i="21"/>
  <c r="AU237" i="21"/>
  <c r="AA237" i="21"/>
  <c r="AU222" i="21"/>
  <c r="AA222" i="21"/>
  <c r="AU211" i="21"/>
  <c r="AU209" i="21"/>
  <c r="AA209" i="21"/>
  <c r="AU203" i="21"/>
  <c r="AY208" i="21"/>
  <c r="L228" i="21"/>
  <c r="AB480" i="2"/>
  <c r="AF480" i="2" s="1"/>
  <c r="Z480" i="2"/>
  <c r="L235" i="21"/>
  <c r="L31" i="21"/>
  <c r="Z449" i="2"/>
  <c r="AB422" i="2"/>
  <c r="AF422" i="2" s="1"/>
  <c r="Z289" i="2"/>
  <c r="AB72" i="24"/>
  <c r="U203" i="23"/>
  <c r="F392" i="30"/>
  <c r="S391" i="26"/>
  <c r="Z96" i="2"/>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X252" i="2"/>
  <c r="AH56" i="24" s="1"/>
  <c r="AC56" i="24"/>
  <c r="AB267" i="2"/>
  <c r="AT13" i="24"/>
  <c r="X285" i="2"/>
  <c r="AT65" i="24"/>
  <c r="X293" i="2"/>
  <c r="AZ65" i="24" s="1"/>
  <c r="AV75" i="24"/>
  <c r="AT74" i="24"/>
  <c r="X309" i="2"/>
  <c r="AV44" i="24"/>
  <c r="Z360" i="2"/>
  <c r="AB360" i="2"/>
  <c r="AF360" i="2" s="1"/>
  <c r="AB373" i="2"/>
  <c r="AF373" i="2" s="1"/>
  <c r="AT52" i="24"/>
  <c r="X291" i="2"/>
  <c r="AT20" i="24"/>
  <c r="X271" i="2"/>
  <c r="AV88" i="24"/>
  <c r="AB256" i="2"/>
  <c r="Z256" i="2"/>
  <c r="X189" i="2"/>
  <c r="AH71" i="24" s="1"/>
  <c r="AC71" i="24"/>
  <c r="U277" i="23"/>
  <c r="AW22" i="24"/>
  <c r="AB460" i="2"/>
  <c r="AF460" i="2" s="1"/>
  <c r="Z438" i="2"/>
  <c r="AB438" i="2"/>
  <c r="AF438" i="2" s="1"/>
  <c r="L68" i="21"/>
  <c r="X304" i="2"/>
  <c r="S395" i="26"/>
  <c r="Z420" i="2"/>
  <c r="AT91" i="24"/>
  <c r="X362" i="2"/>
  <c r="Z334" i="2"/>
  <c r="AB334" i="2"/>
  <c r="AF334" i="2" s="1"/>
  <c r="AB317" i="2"/>
  <c r="AF317" i="2" s="1"/>
  <c r="AT39" i="24"/>
  <c r="X284" i="2"/>
  <c r="AB262" i="2"/>
  <c r="H262" i="23"/>
  <c r="AF84" i="24"/>
  <c r="AH256" i="21"/>
  <c r="AO256" i="21"/>
  <c r="AT256" i="21"/>
  <c r="AK256" i="21"/>
  <c r="Y256" i="21"/>
  <c r="AE256" i="21"/>
  <c r="Z256" i="21"/>
  <c r="R256" i="21"/>
  <c r="J256" i="21"/>
  <c r="M256" i="21"/>
  <c r="W256" i="21"/>
  <c r="AM256" i="21"/>
  <c r="AU256" i="21"/>
  <c r="Z247" i="2"/>
  <c r="F391" i="30"/>
  <c r="X235" i="2"/>
  <c r="AH58" i="24" s="1"/>
  <c r="AB58" i="24"/>
  <c r="X223" i="2"/>
  <c r="AH77" i="24" s="1"/>
  <c r="AB77" i="24"/>
  <c r="AG109" i="24"/>
  <c r="J287" i="30"/>
  <c r="J285" i="30" s="1"/>
  <c r="Z192" i="2"/>
  <c r="AB192" i="2"/>
  <c r="Z188" i="2"/>
  <c r="AB188" i="2"/>
  <c r="AB81" i="2"/>
  <c r="L38" i="21"/>
  <c r="L134" i="21"/>
  <c r="L172" i="21"/>
  <c r="J55" i="27"/>
  <c r="K242" i="26"/>
  <c r="K55" i="27" s="1"/>
  <c r="Z409" i="2"/>
  <c r="AW59" i="24"/>
  <c r="T110" i="26"/>
  <c r="AD95" i="24"/>
  <c r="AB289" i="2"/>
  <c r="G245" i="21"/>
  <c r="Z255" i="2"/>
  <c r="AV49" i="24"/>
  <c r="R299" i="23"/>
  <c r="AT71" i="24"/>
  <c r="X305" i="2"/>
  <c r="AZ71" i="24" s="1"/>
  <c r="Z319" i="2"/>
  <c r="AT44" i="24"/>
  <c r="X323" i="2"/>
  <c r="Z337" i="2"/>
  <c r="AB401" i="2"/>
  <c r="H25" i="23"/>
  <c r="L25" i="23" s="1"/>
  <c r="Z25" i="2"/>
  <c r="H33" i="23"/>
  <c r="L33" i="23" s="1"/>
  <c r="Z33" i="2"/>
  <c r="O33" i="23" s="1"/>
  <c r="H41" i="23"/>
  <c r="Z41" i="2"/>
  <c r="H49" i="23"/>
  <c r="Z49" i="2"/>
  <c r="G54" i="23"/>
  <c r="J54" i="23" s="1"/>
  <c r="U54" i="23"/>
  <c r="H65" i="23"/>
  <c r="L65" i="23" s="1"/>
  <c r="Z65" i="2"/>
  <c r="H77" i="23"/>
  <c r="Z77" i="2"/>
  <c r="G82" i="23"/>
  <c r="U82" i="23"/>
  <c r="H89" i="23"/>
  <c r="Z89" i="2"/>
  <c r="H97" i="23"/>
  <c r="L97" i="23" s="1"/>
  <c r="Z97" i="2"/>
  <c r="H109" i="23"/>
  <c r="L109" i="23" s="1"/>
  <c r="Z109" i="2"/>
  <c r="H129" i="23"/>
  <c r="Z129" i="2"/>
  <c r="AB214" i="2"/>
  <c r="AD73" i="24"/>
  <c r="AB406" i="2"/>
  <c r="AF406" i="2" s="1"/>
  <c r="Z421" i="2"/>
  <c r="AB432" i="2"/>
  <c r="AF432" i="2" s="1"/>
  <c r="AB454" i="2"/>
  <c r="AF454" i="2" s="1"/>
  <c r="AB487" i="2"/>
  <c r="AF487" i="2" s="1"/>
  <c r="Z134" i="2"/>
  <c r="AT76" i="24"/>
  <c r="X297" i="2"/>
  <c r="AB117" i="2"/>
  <c r="AB109" i="2"/>
  <c r="AB77" i="2"/>
  <c r="Z149" i="2"/>
  <c r="L339" i="32" s="1"/>
  <c r="Z161" i="2"/>
  <c r="Z169" i="2"/>
  <c r="L16" i="21"/>
  <c r="L56" i="27"/>
  <c r="L242" i="26"/>
  <c r="L55" i="27" s="1"/>
  <c r="AV10" i="24"/>
  <c r="AT36" i="24"/>
  <c r="X301" i="2"/>
  <c r="AZ36" i="24" s="1"/>
  <c r="AV25" i="24"/>
  <c r="AT89" i="24"/>
  <c r="X325" i="2"/>
  <c r="AZ89" i="24" s="1"/>
  <c r="AB190" i="2"/>
  <c r="H239" i="23"/>
  <c r="Z239" i="2"/>
  <c r="AV77" i="24"/>
  <c r="R301" i="23"/>
  <c r="AT43" i="24"/>
  <c r="X315" i="2"/>
  <c r="AZ43" i="24" s="1"/>
  <c r="Z329" i="2"/>
  <c r="AB345" i="2"/>
  <c r="AF345" i="2" s="1"/>
  <c r="AB367" i="2"/>
  <c r="AF367" i="2" s="1"/>
  <c r="H217" i="23"/>
  <c r="Z217" i="2"/>
  <c r="O217" i="23" s="1"/>
  <c r="AB268" i="2"/>
  <c r="AB333" i="2"/>
  <c r="AF333" i="2" s="1"/>
  <c r="G50" i="23"/>
  <c r="U50" i="23"/>
  <c r="H61" i="23"/>
  <c r="Z61" i="2"/>
  <c r="H73" i="23"/>
  <c r="L73" i="23" s="1"/>
  <c r="Z73" i="2"/>
  <c r="H105" i="23"/>
  <c r="L105" i="23" s="1"/>
  <c r="Z105" i="2"/>
  <c r="G118" i="23"/>
  <c r="J118" i="23" s="1"/>
  <c r="U118" i="23"/>
  <c r="H125" i="23"/>
  <c r="Z125" i="2"/>
  <c r="H157" i="23"/>
  <c r="Z157" i="2"/>
  <c r="Z241" i="2"/>
  <c r="AT75" i="24"/>
  <c r="X299" i="2"/>
  <c r="AZ75" i="24" s="1"/>
  <c r="AT100" i="24"/>
  <c r="X368" i="2"/>
  <c r="AB141" i="2"/>
  <c r="AB157" i="2"/>
  <c r="AB173" i="2"/>
  <c r="Z331" i="2"/>
  <c r="AB162" i="2"/>
  <c r="AB240" i="2"/>
  <c r="Z153" i="2"/>
  <c r="Z600" i="2"/>
  <c r="Z518" i="2"/>
  <c r="AB476" i="2"/>
  <c r="AF476" i="2" s="1"/>
  <c r="Z456" i="2"/>
  <c r="AB355" i="2"/>
  <c r="AF355" i="2" s="1"/>
  <c r="L120" i="21"/>
  <c r="L97" i="21"/>
  <c r="L84" i="21"/>
  <c r="L23" i="21"/>
  <c r="L3" i="21"/>
  <c r="Z597" i="2"/>
  <c r="AB513" i="2"/>
  <c r="AB491" i="2"/>
  <c r="AF491" i="2" s="1"/>
  <c r="X314" i="2"/>
  <c r="X302" i="2"/>
  <c r="X280" i="2"/>
  <c r="X226" i="2"/>
  <c r="AD162" i="21"/>
  <c r="P162" i="21"/>
  <c r="AK162" i="21"/>
  <c r="Q162" i="21"/>
  <c r="AL162" i="21"/>
  <c r="R162" i="21"/>
  <c r="AN162" i="21"/>
  <c r="S162" i="21"/>
  <c r="L40" i="21"/>
  <c r="Z441" i="2"/>
  <c r="L199" i="21"/>
  <c r="L103" i="21"/>
  <c r="L94" i="21"/>
  <c r="L110" i="21"/>
  <c r="L115" i="21"/>
  <c r="G222" i="21"/>
  <c r="Z428" i="2"/>
  <c r="Z412" i="2"/>
  <c r="AB403" i="2"/>
  <c r="AF403" i="2" s="1"/>
  <c r="AV83" i="24"/>
  <c r="Z357" i="2"/>
  <c r="AT95" i="24"/>
  <c r="X311" i="2"/>
  <c r="AT26" i="24"/>
  <c r="X303" i="2"/>
  <c r="AB248" i="2"/>
  <c r="Z219" i="2"/>
  <c r="Z244" i="2"/>
  <c r="AB247" i="2"/>
  <c r="AT92" i="24"/>
  <c r="X358" i="2"/>
  <c r="AZ92" i="24" s="1"/>
  <c r="AB393" i="2"/>
  <c r="AF393" i="2" s="1"/>
  <c r="AV60" i="24"/>
  <c r="Z193" i="2"/>
  <c r="L279" i="32" s="1"/>
  <c r="AD75" i="24"/>
  <c r="S332" i="32"/>
  <c r="Z251" i="2"/>
  <c r="Z265" i="2"/>
  <c r="AT14" i="24"/>
  <c r="X274" i="2"/>
  <c r="AV104" i="24"/>
  <c r="R293" i="23"/>
  <c r="AB335" i="2"/>
  <c r="AF335" i="2" s="1"/>
  <c r="AB359" i="2"/>
  <c r="AF359" i="2" s="1"/>
  <c r="AD50" i="24"/>
  <c r="AD64" i="24"/>
  <c r="AT78" i="24"/>
  <c r="X295" i="2"/>
  <c r="AT25" i="24"/>
  <c r="X307" i="2"/>
  <c r="AZ25" i="24" s="1"/>
  <c r="Z339" i="2"/>
  <c r="AT66" i="24"/>
  <c r="X386" i="2"/>
  <c r="G22" i="23"/>
  <c r="J22" i="23" s="1"/>
  <c r="U22" i="23"/>
  <c r="H29" i="23"/>
  <c r="L29" i="23" s="1"/>
  <c r="Z29" i="2"/>
  <c r="H37" i="23"/>
  <c r="Z37" i="2"/>
  <c r="H45" i="23"/>
  <c r="Z45" i="2"/>
  <c r="H57" i="23"/>
  <c r="Z57" i="2"/>
  <c r="G62" i="23"/>
  <c r="U62" i="23"/>
  <c r="H69" i="23"/>
  <c r="Z69" i="2"/>
  <c r="G74" i="23"/>
  <c r="U74" i="23"/>
  <c r="H85" i="23"/>
  <c r="L85" i="23" s="1"/>
  <c r="Z85" i="2"/>
  <c r="H93" i="23"/>
  <c r="Z93" i="2"/>
  <c r="G106" i="23"/>
  <c r="U106" i="23"/>
  <c r="H113" i="23"/>
  <c r="Z113" i="2"/>
  <c r="G126" i="23"/>
  <c r="U126" i="23"/>
  <c r="H133" i="23"/>
  <c r="Z133" i="2"/>
  <c r="O133" i="23" s="1"/>
  <c r="H173" i="23"/>
  <c r="Z173" i="2"/>
  <c r="Z263" i="2"/>
  <c r="AT16" i="24"/>
  <c r="X287" i="2"/>
  <c r="AZ16" i="24" s="1"/>
  <c r="AV74" i="24"/>
  <c r="R308" i="23"/>
  <c r="AT87" i="24"/>
  <c r="X321" i="2"/>
  <c r="AZ87" i="24" s="1"/>
  <c r="AB418" i="2"/>
  <c r="AF418" i="2" s="1"/>
  <c r="AB425" i="2"/>
  <c r="AF425" i="2" s="1"/>
  <c r="AB185" i="2"/>
  <c r="AB37" i="2"/>
  <c r="AB416" i="2"/>
  <c r="AF416" i="2" s="1"/>
  <c r="AB170" i="2"/>
  <c r="AB129" i="2"/>
  <c r="AB97" i="2"/>
  <c r="AB89" i="2"/>
  <c r="AB65" i="2"/>
  <c r="AB49" i="2"/>
  <c r="AB41" i="2"/>
  <c r="AB33" i="2"/>
  <c r="AB25" i="2"/>
  <c r="Z165" i="2"/>
  <c r="Z145" i="2"/>
  <c r="Z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AB512" i="2"/>
  <c r="J175" i="30"/>
  <c r="K176" i="30"/>
  <c r="N221" i="26"/>
  <c r="N217" i="26" s="1"/>
  <c r="L209" i="26"/>
  <c r="L37" i="27" s="1"/>
  <c r="AB594" i="2"/>
  <c r="AB586" i="2"/>
  <c r="AF586" i="2" s="1"/>
  <c r="AB578" i="2"/>
  <c r="AF578" i="2" s="1"/>
  <c r="AB570" i="2"/>
  <c r="AF570" i="2" s="1"/>
  <c r="AB562" i="2"/>
  <c r="AF562" i="2" s="1"/>
  <c r="AB554" i="2"/>
  <c r="AF554" i="2" s="1"/>
  <c r="AB546" i="2"/>
  <c r="AF546" i="2" s="1"/>
  <c r="AB538" i="2"/>
  <c r="AF538" i="2" s="1"/>
  <c r="AB524" i="2"/>
  <c r="AF524" i="2" s="1"/>
  <c r="L91" i="30"/>
  <c r="N91" i="30" s="1"/>
  <c r="L100" i="26"/>
  <c r="L18" i="27" s="1"/>
  <c r="Z508" i="2"/>
  <c r="AB509" i="2"/>
  <c r="Z583" i="2"/>
  <c r="L51" i="26"/>
  <c r="M51" i="26" s="1"/>
  <c r="AB492" i="2"/>
  <c r="AF492" i="2" s="1"/>
  <c r="Z551" i="2"/>
  <c r="N180" i="26"/>
  <c r="N32" i="27" s="1"/>
  <c r="J32" i="27"/>
  <c r="K180" i="26"/>
  <c r="K32" i="27" s="1"/>
  <c r="L147" i="21"/>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Z496" i="2"/>
  <c r="AB463" i="2"/>
  <c r="AF463" i="2" s="1"/>
  <c r="AB411" i="2"/>
  <c r="AF411" i="2" s="1"/>
  <c r="AB370" i="2"/>
  <c r="AF370" i="2" s="1"/>
  <c r="N277" i="23"/>
  <c r="S277" i="23"/>
  <c r="AB392" i="2"/>
  <c r="AF392" i="2" s="1"/>
  <c r="L11" i="21"/>
  <c r="AV64" i="24"/>
  <c r="AV85" i="24"/>
  <c r="Z534" i="2"/>
  <c r="Z542" i="2"/>
  <c r="Z550" i="2"/>
  <c r="Z558" i="2"/>
  <c r="Z566" i="2"/>
  <c r="Z574" i="2"/>
  <c r="Z582" i="2"/>
  <c r="Z590" i="2"/>
  <c r="Z598" i="2"/>
  <c r="Z530" i="2"/>
  <c r="AB494" i="2"/>
  <c r="AF494" i="2" s="1"/>
  <c r="AB462" i="2"/>
  <c r="AF462" i="2" s="1"/>
  <c r="Z439" i="2"/>
  <c r="AB439" i="2"/>
  <c r="AF439" i="2" s="1"/>
  <c r="Z433" i="2"/>
  <c r="AB433" i="2"/>
  <c r="AF433" i="2" s="1"/>
  <c r="Z429" i="2"/>
  <c r="AB429" i="2"/>
  <c r="Z399" i="2"/>
  <c r="AB399" i="2"/>
  <c r="AF399" i="2" s="1"/>
  <c r="L157" i="21"/>
  <c r="L77" i="21"/>
  <c r="AB519" i="2"/>
  <c r="Z471" i="2"/>
  <c r="AB407" i="2"/>
  <c r="AF407" i="2" s="1"/>
  <c r="Z511" i="2"/>
  <c r="AB499" i="2"/>
  <c r="AF499" i="2" s="1"/>
  <c r="Z446" i="2"/>
  <c r="Z526" i="2"/>
  <c r="Z484" i="2"/>
  <c r="Z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AB394" i="2"/>
  <c r="AF394" i="2" s="1"/>
  <c r="Z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Z595" i="2"/>
  <c r="AB595" i="2"/>
  <c r="Z579" i="2"/>
  <c r="Z563" i="2"/>
  <c r="AB563" i="2"/>
  <c r="AF563" i="2" s="1"/>
  <c r="Z547" i="2"/>
  <c r="AB547" i="2"/>
  <c r="AF547" i="2" s="1"/>
  <c r="Z531" i="2"/>
  <c r="AB531" i="2"/>
  <c r="AF531" i="2" s="1"/>
  <c r="Z450" i="2"/>
  <c r="L242" i="21"/>
  <c r="L148" i="21"/>
  <c r="L140" i="21"/>
  <c r="L129" i="21"/>
  <c r="L91" i="21"/>
  <c r="L114" i="21"/>
  <c r="L130" i="21"/>
  <c r="L12" i="21"/>
  <c r="L66" i="21"/>
  <c r="Z405" i="2"/>
  <c r="Z389" i="2"/>
  <c r="L189" i="21"/>
  <c r="L185" i="21"/>
  <c r="L212" i="21"/>
  <c r="L165" i="21"/>
  <c r="L107" i="21"/>
  <c r="L89" i="21"/>
  <c r="L19" i="21"/>
  <c r="L15" i="21"/>
  <c r="AV68" i="24"/>
  <c r="AB536" i="2"/>
  <c r="AF536" i="2" s="1"/>
  <c r="AB544" i="2"/>
  <c r="AF544" i="2" s="1"/>
  <c r="AB552" i="2"/>
  <c r="AF552" i="2" s="1"/>
  <c r="AB560" i="2"/>
  <c r="AF560" i="2" s="1"/>
  <c r="AB568" i="2"/>
  <c r="AF568" i="2" s="1"/>
  <c r="AB576" i="2"/>
  <c r="AF576" i="2" s="1"/>
  <c r="AB584" i="2"/>
  <c r="AF584" i="2" s="1"/>
  <c r="AB592" i="2"/>
  <c r="AB600" i="2"/>
  <c r="AF600" i="2" s="1"/>
  <c r="Z589" i="2"/>
  <c r="Z573" i="2"/>
  <c r="Z557" i="2"/>
  <c r="Z541" i="2"/>
  <c r="Z516" i="2"/>
  <c r="AB507" i="2"/>
  <c r="AF507" i="2" s="1"/>
  <c r="Z483" i="2"/>
  <c r="AB483" i="2"/>
  <c r="AF483" i="2" s="1"/>
  <c r="Z476" i="2"/>
  <c r="Z469" i="2"/>
  <c r="AB469" i="2"/>
  <c r="AF469" i="2" s="1"/>
  <c r="Z448" i="2"/>
  <c r="Z426" i="2"/>
  <c r="AB426" i="2"/>
  <c r="AF426" i="2" s="1"/>
  <c r="Z414" i="2"/>
  <c r="AB414" i="2"/>
  <c r="AF414" i="2" s="1"/>
  <c r="Z404" i="2"/>
  <c r="AB404" i="2"/>
  <c r="AF404" i="2" s="1"/>
  <c r="Z395" i="2"/>
  <c r="AB395" i="2"/>
  <c r="AF395" i="2" s="1"/>
  <c r="AB388" i="2"/>
  <c r="AF388" i="2" s="1"/>
  <c r="AB377" i="2"/>
  <c r="AF377" i="2" s="1"/>
  <c r="L234" i="21"/>
  <c r="L173" i="21"/>
  <c r="L127" i="21"/>
  <c r="L180" i="21"/>
  <c r="L64" i="21"/>
  <c r="L8" i="21"/>
  <c r="Z575" i="2"/>
  <c r="Z543" i="2"/>
  <c r="Z517" i="2"/>
  <c r="AB490" i="2"/>
  <c r="AF490" i="2" s="1"/>
  <c r="Z467" i="2"/>
  <c r="Z437" i="2"/>
  <c r="AB385" i="2"/>
  <c r="AF385" i="2" s="1"/>
  <c r="AX69" i="24"/>
  <c r="AX41" i="24"/>
  <c r="AB361" i="2"/>
  <c r="AF361" i="2" s="1"/>
  <c r="Z361" i="2"/>
  <c r="L158" i="21"/>
  <c r="AB472" i="2"/>
  <c r="AF472" i="2" s="1"/>
  <c r="AB527" i="2"/>
  <c r="AB505" i="2"/>
  <c r="AF505" i="2" s="1"/>
  <c r="AB468" i="2"/>
  <c r="AF468" i="2" s="1"/>
  <c r="Z376" i="2"/>
  <c r="S61" i="23"/>
  <c r="N61" i="23"/>
  <c r="N29" i="23"/>
  <c r="S29" i="23"/>
  <c r="L57" i="21"/>
  <c r="Z491" i="2"/>
  <c r="Z445" i="2"/>
  <c r="Z408" i="2"/>
  <c r="L102" i="21"/>
  <c r="Z522" i="2"/>
  <c r="Z504" i="2"/>
  <c r="Z470" i="2"/>
  <c r="Z382" i="2"/>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AB502" i="2"/>
  <c r="AF502" i="2" s="1"/>
  <c r="AW94" i="24"/>
  <c r="T211" i="26"/>
  <c r="N215" i="21"/>
  <c r="O215" i="21" s="1"/>
  <c r="N209" i="21"/>
  <c r="O209" i="21" s="1"/>
  <c r="N241" i="21"/>
  <c r="O241" i="21" s="1"/>
  <c r="N245" i="21"/>
  <c r="O245" i="21" s="1"/>
  <c r="N208" i="21"/>
  <c r="O208" i="21" s="1"/>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AB398" i="2"/>
  <c r="AF398" i="2" s="1"/>
  <c r="Z398" i="2"/>
  <c r="AB486" i="2"/>
  <c r="AF486" i="2" s="1"/>
  <c r="AB415" i="2"/>
  <c r="AF415" i="2" s="1"/>
  <c r="AX59" i="24"/>
  <c r="Z353" i="2"/>
  <c r="L195" i="21"/>
  <c r="L217" i="21"/>
  <c r="L99" i="21"/>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AB498" i="2"/>
  <c r="AF498" i="2" s="1"/>
  <c r="AB459" i="2"/>
  <c r="AF459" i="2" s="1"/>
  <c r="AB449" i="2"/>
  <c r="AF449" i="2" s="1"/>
  <c r="L244" i="21"/>
  <c r="L169" i="21"/>
  <c r="L191" i="21"/>
  <c r="L95" i="21"/>
  <c r="L60" i="21"/>
  <c r="L56" i="21"/>
  <c r="AB400" i="2"/>
  <c r="AF400" i="2" s="1"/>
  <c r="AB383" i="2"/>
  <c r="AF383" i="2" s="1"/>
  <c r="L220" i="21"/>
  <c r="L20" i="21"/>
  <c r="L113" i="21"/>
  <c r="L92" i="21"/>
  <c r="L81" i="21"/>
  <c r="AV37" i="24"/>
  <c r="Z538" i="2"/>
  <c r="Z546" i="2"/>
  <c r="Z554" i="2"/>
  <c r="Z562" i="2"/>
  <c r="Z570" i="2"/>
  <c r="Z586" i="2"/>
  <c r="Z594" i="2"/>
  <c r="Z523" i="2"/>
  <c r="AB523" i="2"/>
  <c r="AF523" i="2" s="1"/>
  <c r="Z501" i="2"/>
  <c r="AB501" i="2"/>
  <c r="AF501" i="2" s="1"/>
  <c r="Z492" i="2"/>
  <c r="Z457" i="2"/>
  <c r="AB457" i="2"/>
  <c r="AF457" i="2" s="1"/>
  <c r="Z443" i="2"/>
  <c r="AB443" i="2"/>
  <c r="AF443" i="2" s="1"/>
  <c r="AB410" i="2"/>
  <c r="AF410" i="2" s="1"/>
  <c r="Z391" i="2"/>
  <c r="AB391" i="2"/>
  <c r="AF391" i="2" s="1"/>
  <c r="L206" i="21"/>
  <c r="L170" i="21"/>
  <c r="L151" i="21"/>
  <c r="Z599" i="2"/>
  <c r="Z567" i="2"/>
  <c r="Z535" i="2"/>
  <c r="AB510" i="2"/>
  <c r="AF510" i="2" s="1"/>
  <c r="Z481" i="2"/>
  <c r="AB465" i="2"/>
  <c r="AF465" i="2" s="1"/>
  <c r="Z424" i="2"/>
  <c r="AB381" i="2"/>
  <c r="AF381" i="2" s="1"/>
  <c r="L152" i="21"/>
  <c r="L10" i="21"/>
  <c r="Z520" i="2"/>
  <c r="Z453" i="2"/>
  <c r="Z422" i="2"/>
  <c r="L73" i="21"/>
  <c r="L44" i="21"/>
  <c r="L37" i="21"/>
  <c r="Z515" i="2"/>
  <c r="AB489" i="2"/>
  <c r="AF489" i="2" s="1"/>
  <c r="Z458" i="2"/>
  <c r="L13" i="21"/>
  <c r="L131" i="21"/>
  <c r="Z529" i="2"/>
  <c r="AB478" i="2"/>
  <c r="AF478" i="2" s="1"/>
  <c r="Z444" i="2"/>
  <c r="Z390" i="2"/>
  <c r="AB518" i="2"/>
  <c r="Z500" i="2"/>
  <c r="AB456" i="2"/>
  <c r="AF456" i="2" s="1"/>
  <c r="Z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X375" i="2"/>
  <c r="L104" i="21"/>
  <c r="AB464" i="2"/>
  <c r="AF464" i="2" s="1"/>
  <c r="AB427" i="2"/>
  <c r="AF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Z587" i="2"/>
  <c r="AB587" i="2"/>
  <c r="AF587" i="2" s="1"/>
  <c r="Z571" i="2"/>
  <c r="AB571" i="2"/>
  <c r="AF571" i="2" s="1"/>
  <c r="Z555" i="2"/>
  <c r="AB555" i="2"/>
  <c r="AF555" i="2" s="1"/>
  <c r="Z539" i="2"/>
  <c r="AB539" i="2"/>
  <c r="AF539" i="2" s="1"/>
  <c r="AB508" i="2"/>
  <c r="Z485" i="2"/>
  <c r="AB485" i="2"/>
  <c r="AF485" i="2" s="1"/>
  <c r="Z447" i="2"/>
  <c r="AB372" i="2"/>
  <c r="AF372" i="2" s="1"/>
  <c r="AX57" i="24"/>
  <c r="Z355" i="2"/>
  <c r="L254" i="21"/>
  <c r="L181" i="21"/>
  <c r="L139" i="21"/>
  <c r="L161" i="21"/>
  <c r="AB396" i="2"/>
  <c r="AF396" i="2" s="1"/>
  <c r="AB379" i="2"/>
  <c r="AF379" i="2" s="1"/>
  <c r="AY210" i="21"/>
  <c r="L100" i="21"/>
  <c r="L47" i="21"/>
  <c r="AB532" i="2"/>
  <c r="AF532" i="2" s="1"/>
  <c r="AB540" i="2"/>
  <c r="AF540" i="2" s="1"/>
  <c r="AB548" i="2"/>
  <c r="AB556" i="2"/>
  <c r="AF556" i="2" s="1"/>
  <c r="AB564" i="2"/>
  <c r="AF564" i="2" s="1"/>
  <c r="AB572" i="2"/>
  <c r="AF572" i="2" s="1"/>
  <c r="AB580" i="2"/>
  <c r="AF580" i="2" s="1"/>
  <c r="AB588" i="2"/>
  <c r="AF588" i="2" s="1"/>
  <c r="AB596" i="2"/>
  <c r="AF596" i="2" s="1"/>
  <c r="Z581" i="2"/>
  <c r="Z565" i="2"/>
  <c r="Z549" i="2"/>
  <c r="Z533" i="2"/>
  <c r="Z495" i="2"/>
  <c r="Z479" i="2"/>
  <c r="AB479" i="2"/>
  <c r="AF479" i="2" s="1"/>
  <c r="Z473" i="2"/>
  <c r="AB473" i="2"/>
  <c r="AF473" i="2" s="1"/>
  <c r="AB466" i="2"/>
  <c r="AF466" i="2" s="1"/>
  <c r="Z451" i="2"/>
  <c r="Z423" i="2"/>
  <c r="Z402" i="2"/>
  <c r="AB402" i="2"/>
  <c r="AF402" i="2" s="1"/>
  <c r="Z371" i="2"/>
  <c r="L247" i="21"/>
  <c r="L48" i="21"/>
  <c r="Z591" i="2"/>
  <c r="Z559" i="2"/>
  <c r="AB528" i="2"/>
  <c r="AF528" i="2" s="1"/>
  <c r="AB506" i="2"/>
  <c r="AF506" i="2" s="1"/>
  <c r="Z477" i="2"/>
  <c r="AB461" i="2"/>
  <c r="AF461" i="2" s="1"/>
  <c r="AB419" i="2"/>
  <c r="AF419" i="2" s="1"/>
  <c r="Z497" i="2"/>
  <c r="Z452" i="2"/>
  <c r="Z417" i="2"/>
  <c r="Z513" i="2"/>
  <c r="AB482" i="2"/>
  <c r="AF482" i="2" s="1"/>
  <c r="Z455" i="2"/>
  <c r="L118" i="21"/>
  <c r="L9" i="21"/>
  <c r="S41" i="23"/>
  <c r="N41" i="23"/>
  <c r="N25" i="23"/>
  <c r="S25" i="23"/>
  <c r="L25" i="21"/>
  <c r="AB521" i="2"/>
  <c r="Z431" i="2"/>
  <c r="Z384" i="2"/>
  <c r="AB597" i="2"/>
  <c r="AF597" i="2" s="1"/>
  <c r="AB514" i="2"/>
  <c r="AF514" i="2" s="1"/>
  <c r="Z488" i="2"/>
  <c r="Z440" i="2"/>
  <c r="Z374" i="2"/>
  <c r="L90" i="21"/>
  <c r="L98" i="21"/>
  <c r="L69" i="21"/>
  <c r="L29" i="21"/>
  <c r="P80" i="23" l="1"/>
  <c r="Q80" i="23" s="1"/>
  <c r="P127" i="23"/>
  <c r="Q127" i="23" s="1"/>
  <c r="S80" i="23"/>
  <c r="P119" i="23"/>
  <c r="Q119" i="23" s="1"/>
  <c r="S35" i="23"/>
  <c r="P61" i="23"/>
  <c r="Q61" i="23" s="1"/>
  <c r="S27" i="23"/>
  <c r="N9" i="23"/>
  <c r="AD1160" i="2"/>
  <c r="AD1053" i="2"/>
  <c r="AE1007" i="2"/>
  <c r="AD1028" i="2"/>
  <c r="AD1079" i="2"/>
  <c r="AD1069" i="2"/>
  <c r="AD1176" i="2"/>
  <c r="AE1054" i="2"/>
  <c r="AD1112" i="2"/>
  <c r="AD1076" i="2"/>
  <c r="AD1117" i="2"/>
  <c r="AD1091" i="2"/>
  <c r="AD1019" i="2"/>
  <c r="AD1162" i="2"/>
  <c r="AD1014" i="2"/>
  <c r="AD1097" i="2"/>
  <c r="AD1161" i="2"/>
  <c r="AE1009" i="2"/>
  <c r="AD1128" i="2"/>
  <c r="AD1071" i="2"/>
  <c r="AD1052" i="2"/>
  <c r="AD1134" i="2"/>
  <c r="AD1074" i="2"/>
  <c r="AD1177" i="2"/>
  <c r="AD1157" i="2"/>
  <c r="AD1158" i="2"/>
  <c r="AD1099" i="2"/>
  <c r="AD1048" i="2"/>
  <c r="AD1153" i="2"/>
  <c r="AD1011" i="2"/>
  <c r="AD1126" i="2"/>
  <c r="AD1163" i="2"/>
  <c r="AN789" i="2"/>
  <c r="AD1166" i="2"/>
  <c r="AD1164" i="2"/>
  <c r="AD1125" i="2"/>
  <c r="AD1081" i="2"/>
  <c r="AD1101" i="2"/>
  <c r="AD1148" i="2"/>
  <c r="AD1113" i="2"/>
  <c r="AD1065" i="2"/>
  <c r="AD1029" i="2"/>
  <c r="AD1084" i="2"/>
  <c r="AD1056" i="2"/>
  <c r="AD1050" i="2"/>
  <c r="AD1168" i="2"/>
  <c r="AD1147" i="2"/>
  <c r="AD1150" i="2"/>
  <c r="AE1071" i="2"/>
  <c r="AD1096" i="2"/>
  <c r="AD1156" i="2"/>
  <c r="AD1067" i="2"/>
  <c r="AD1077" i="2"/>
  <c r="AD1092" i="2"/>
  <c r="AD1120" i="2"/>
  <c r="AD1098" i="2"/>
  <c r="AD1087" i="2"/>
  <c r="AD1082" i="2"/>
  <c r="AD1132" i="2"/>
  <c r="AD1017" i="2"/>
  <c r="AD1023" i="2"/>
  <c r="AD1139" i="2"/>
  <c r="AD1018" i="2"/>
  <c r="AD1012" i="2"/>
  <c r="AD1155" i="2"/>
  <c r="AD1072" i="2"/>
  <c r="AD1100" i="2"/>
  <c r="AD1008" i="2"/>
  <c r="AD1131" i="2"/>
  <c r="AD1043" i="2"/>
  <c r="AD1089" i="2"/>
  <c r="AD1152" i="2"/>
  <c r="AD1024" i="2"/>
  <c r="AD1037" i="2"/>
  <c r="AD1114" i="2"/>
  <c r="AD1137" i="2"/>
  <c r="AD1042" i="2"/>
  <c r="AD1116" i="2"/>
  <c r="AD1174" i="2"/>
  <c r="AD1078" i="2"/>
  <c r="AD1119" i="2"/>
  <c r="AD1020" i="2"/>
  <c r="AD1149" i="2"/>
  <c r="AD1178" i="2"/>
  <c r="AD1123" i="2"/>
  <c r="AD1059" i="2"/>
  <c r="AD1090" i="2"/>
  <c r="AD1004" i="2"/>
  <c r="AD1171" i="2"/>
  <c r="AD1032" i="2"/>
  <c r="AD1036" i="2"/>
  <c r="AD1038" i="2"/>
  <c r="AD1060" i="2"/>
  <c r="AD1055" i="2"/>
  <c r="AD1170" i="2"/>
  <c r="AD1025" i="2"/>
  <c r="AD1085" i="2"/>
  <c r="AD1010" i="2"/>
  <c r="AD1062" i="2"/>
  <c r="AD1044" i="2"/>
  <c r="AG39" i="24"/>
  <c r="J302" i="30"/>
  <c r="J300" i="30" s="1"/>
  <c r="AD1016" i="2"/>
  <c r="AE1001" i="2"/>
  <c r="AD1094" i="2"/>
  <c r="AD1080" i="2"/>
  <c r="AD1033" i="2"/>
  <c r="AD1121" i="2"/>
  <c r="AE1069" i="2"/>
  <c r="AD1105" i="2"/>
  <c r="AD1107" i="2"/>
  <c r="AD1073" i="2"/>
  <c r="AD1021" i="2"/>
  <c r="AD1039" i="2"/>
  <c r="AD1127" i="2"/>
  <c r="AD1169" i="2"/>
  <c r="AD1154" i="2"/>
  <c r="AD1095" i="2"/>
  <c r="AD1141" i="2"/>
  <c r="AD1002" i="2"/>
  <c r="AD1142" i="2"/>
  <c r="AD1135" i="2"/>
  <c r="AD1064" i="2"/>
  <c r="AD1066" i="2"/>
  <c r="AD1030" i="2"/>
  <c r="AD1026" i="2"/>
  <c r="AD1049" i="2"/>
  <c r="AD1005" i="2"/>
  <c r="AD1070" i="2"/>
  <c r="AD1109" i="2"/>
  <c r="AD1058" i="2"/>
  <c r="AD1088" i="2"/>
  <c r="AD1006" i="2"/>
  <c r="J302" i="26"/>
  <c r="AD1144" i="2"/>
  <c r="AD1061" i="2"/>
  <c r="AD1146" i="2"/>
  <c r="AD1022" i="2"/>
  <c r="AD1003" i="2"/>
  <c r="AD1136" i="2"/>
  <c r="AD1031" i="2"/>
  <c r="AD1172" i="2"/>
  <c r="AD1173" i="2"/>
  <c r="AD1057" i="2"/>
  <c r="AD1051" i="2"/>
  <c r="AD1159" i="2"/>
  <c r="AD1045" i="2"/>
  <c r="AD1046" i="2"/>
  <c r="AD1151" i="2"/>
  <c r="AD1040" i="2"/>
  <c r="AE1035" i="2"/>
  <c r="AD1111" i="2"/>
  <c r="AD1138" i="2"/>
  <c r="AD1013" i="2"/>
  <c r="AD1165" i="2"/>
  <c r="AD1027" i="2"/>
  <c r="AD1041" i="2"/>
  <c r="AD1122" i="2"/>
  <c r="AD1075" i="2"/>
  <c r="AD1175" i="2"/>
  <c r="AD1068" i="2"/>
  <c r="AD1108" i="2"/>
  <c r="AD1143" i="2"/>
  <c r="J381" i="26"/>
  <c r="J379" i="26" s="1"/>
  <c r="J378" i="26" s="1"/>
  <c r="K378" i="26" s="1"/>
  <c r="AC832" i="2"/>
  <c r="AE832" i="2" s="1"/>
  <c r="AN832" i="2"/>
  <c r="AN819" i="2"/>
  <c r="J376" i="32"/>
  <c r="J376" i="30"/>
  <c r="AG94" i="24"/>
  <c r="J390" i="26"/>
  <c r="J381" i="30"/>
  <c r="J379" i="30" s="1"/>
  <c r="K379" i="30" s="1"/>
  <c r="J376" i="26"/>
  <c r="J397" i="26"/>
  <c r="AG32" i="24"/>
  <c r="AN69" i="24"/>
  <c r="J395" i="26"/>
  <c r="J397" i="30"/>
  <c r="J390" i="30"/>
  <c r="AN41" i="24"/>
  <c r="J391" i="26"/>
  <c r="J391" i="30"/>
  <c r="J356" i="30"/>
  <c r="J356" i="32"/>
  <c r="J356" i="26"/>
  <c r="AC789" i="2"/>
  <c r="AE789" i="2" s="1"/>
  <c r="J395" i="32"/>
  <c r="J395" i="30"/>
  <c r="AN59" i="24"/>
  <c r="AG95" i="24"/>
  <c r="J375" i="30"/>
  <c r="J393" i="30"/>
  <c r="J375" i="26"/>
  <c r="AC819" i="2"/>
  <c r="AE819" i="2" s="1"/>
  <c r="AN817" i="2"/>
  <c r="AC817" i="2"/>
  <c r="AE817" i="2" s="1"/>
  <c r="J392" i="30"/>
  <c r="J392" i="32"/>
  <c r="J392" i="26"/>
  <c r="J393" i="26"/>
  <c r="AG86" i="24"/>
  <c r="J357" i="32"/>
  <c r="J334" i="26"/>
  <c r="J334" i="32"/>
  <c r="AN813" i="2"/>
  <c r="AG16" i="24"/>
  <c r="W260" i="2"/>
  <c r="AT260" i="2" s="1"/>
  <c r="J396" i="30"/>
  <c r="AC813" i="2"/>
  <c r="AE813" i="2" s="1"/>
  <c r="J309" i="26"/>
  <c r="J307" i="26" s="1"/>
  <c r="AG21" i="24"/>
  <c r="AT742" i="2"/>
  <c r="AT844" i="2"/>
  <c r="AT732" i="2"/>
  <c r="AT814" i="2"/>
  <c r="AT869" i="2"/>
  <c r="AN772" i="2"/>
  <c r="AT812" i="2"/>
  <c r="AT813" i="2"/>
  <c r="AC848" i="2"/>
  <c r="AE848" i="2" s="1"/>
  <c r="J391" i="32"/>
  <c r="J315" i="32"/>
  <c r="W262" i="2"/>
  <c r="W84" i="24" s="1"/>
  <c r="AG61" i="24"/>
  <c r="L391" i="32"/>
  <c r="J375" i="32"/>
  <c r="AN785" i="2"/>
  <c r="AC824" i="2"/>
  <c r="AE824" i="2" s="1"/>
  <c r="AN57" i="24"/>
  <c r="AC517" i="2"/>
  <c r="AE517" i="2" s="1"/>
  <c r="W44" i="24"/>
  <c r="L397" i="32"/>
  <c r="AC785" i="2"/>
  <c r="AE785" i="2" s="1"/>
  <c r="AN812" i="2"/>
  <c r="AN824" i="2"/>
  <c r="AC812" i="2"/>
  <c r="AE812" i="2" s="1"/>
  <c r="AN321" i="2"/>
  <c r="AT321" i="2"/>
  <c r="L395" i="32"/>
  <c r="AC513" i="2"/>
  <c r="AE513" i="2" s="1"/>
  <c r="AN509" i="2"/>
  <c r="AC814" i="2"/>
  <c r="AE814" i="2" s="1"/>
  <c r="AN513" i="2"/>
  <c r="W28" i="24"/>
  <c r="AN814" i="2"/>
  <c r="AY59" i="24"/>
  <c r="AY57" i="24"/>
  <c r="AN508" i="2"/>
  <c r="AN787" i="2"/>
  <c r="AC311" i="2"/>
  <c r="AE311" i="2" s="1"/>
  <c r="AN375" i="2"/>
  <c r="AC375" i="2"/>
  <c r="AE375" i="2" s="1"/>
  <c r="AT246" i="2"/>
  <c r="AN816" i="2"/>
  <c r="AN323" i="2"/>
  <c r="AC247" i="2"/>
  <c r="AE247" i="2" s="1"/>
  <c r="AC787" i="2"/>
  <c r="AE787" i="2" s="1"/>
  <c r="AN378" i="2"/>
  <c r="AT378" i="2"/>
  <c r="AN310" i="2"/>
  <c r="AT310" i="2"/>
  <c r="AN246" i="2"/>
  <c r="AC816" i="2"/>
  <c r="AE816" i="2" s="1"/>
  <c r="AN844" i="2"/>
  <c r="AT524" i="2"/>
  <c r="AN602" i="2"/>
  <c r="AC602" i="2"/>
  <c r="AE602" i="2" s="1"/>
  <c r="AC844" i="2"/>
  <c r="AE844" i="2" s="1"/>
  <c r="AC509" i="2"/>
  <c r="AE509" i="2" s="1"/>
  <c r="AN506" i="2"/>
  <c r="AC506" i="2"/>
  <c r="AE506" i="2" s="1"/>
  <c r="AT562" i="2"/>
  <c r="AT504" i="2"/>
  <c r="AN311" i="2"/>
  <c r="AT323" i="2"/>
  <c r="AN356" i="2"/>
  <c r="AC316" i="2"/>
  <c r="AE316" i="2" s="1"/>
  <c r="AN316" i="2"/>
  <c r="AT356" i="2"/>
  <c r="AN527" i="2"/>
  <c r="AC300" i="2"/>
  <c r="AE300" i="2" s="1"/>
  <c r="AT267" i="2"/>
  <c r="AN290" i="2"/>
  <c r="AC290" i="2"/>
  <c r="AE290" i="2" s="1"/>
  <c r="AN300" i="2"/>
  <c r="AC267" i="2"/>
  <c r="AE267" i="2" s="1"/>
  <c r="AN247" i="2"/>
  <c r="AN517" i="2"/>
  <c r="AT527" i="2"/>
  <c r="AN504" i="2"/>
  <c r="AT508" i="2"/>
  <c r="AC436" i="2"/>
  <c r="AE436" i="2" s="1"/>
  <c r="AN436" i="2"/>
  <c r="AN518" i="2"/>
  <c r="AT518" i="2"/>
  <c r="AC524" i="2"/>
  <c r="AE524" i="2" s="1"/>
  <c r="AN354" i="2"/>
  <c r="AT354" i="2"/>
  <c r="AN325" i="2"/>
  <c r="AN668" i="2"/>
  <c r="AC668" i="2"/>
  <c r="AE668" i="2" s="1"/>
  <c r="AN299" i="2"/>
  <c r="AT299" i="2"/>
  <c r="AN528" i="2"/>
  <c r="AC366" i="2"/>
  <c r="AE366" i="2" s="1"/>
  <c r="AN434" i="2"/>
  <c r="AT307" i="2"/>
  <c r="AN607" i="2"/>
  <c r="AT309" i="2"/>
  <c r="AT521" i="2"/>
  <c r="AN514" i="2"/>
  <c r="AN366" i="2"/>
  <c r="AT514" i="2"/>
  <c r="AN521" i="2"/>
  <c r="AC325" i="2"/>
  <c r="AE325" i="2" s="1"/>
  <c r="L393" i="32"/>
  <c r="AN309" i="2"/>
  <c r="AC434" i="2"/>
  <c r="AE434" i="2" s="1"/>
  <c r="AT528" i="2"/>
  <c r="AC270" i="2"/>
  <c r="AE270" i="2" s="1"/>
  <c r="AN270" i="2"/>
  <c r="AN917" i="2"/>
  <c r="AC917" i="2"/>
  <c r="AE917" i="2" s="1"/>
  <c r="AN926" i="2"/>
  <c r="AN515" i="2"/>
  <c r="AT526" i="2"/>
  <c r="AC601" i="2"/>
  <c r="AE601" i="2" s="1"/>
  <c r="AN658" i="2"/>
  <c r="AN673" i="2"/>
  <c r="AN548" i="2"/>
  <c r="AC294" i="2"/>
  <c r="AE294" i="2" s="1"/>
  <c r="AC793" i="2"/>
  <c r="AE793" i="2" s="1"/>
  <c r="AC842" i="2"/>
  <c r="AE842" i="2" s="1"/>
  <c r="AN876" i="2"/>
  <c r="AC430" i="2"/>
  <c r="AE430" i="2" s="1"/>
  <c r="AT548" i="2"/>
  <c r="AC365" i="2"/>
  <c r="AE365" i="2" s="1"/>
  <c r="AC369" i="2"/>
  <c r="AE369" i="2" s="1"/>
  <c r="AN369" i="2"/>
  <c r="AN430" i="2"/>
  <c r="AC608" i="2"/>
  <c r="AE608" i="2" s="1"/>
  <c r="AC828" i="2"/>
  <c r="AE828" i="2" s="1"/>
  <c r="AC519" i="2"/>
  <c r="AE519" i="2" s="1"/>
  <c r="AN519" i="2"/>
  <c r="AN365" i="2"/>
  <c r="AN294" i="2"/>
  <c r="AN986" i="2"/>
  <c r="L396" i="32"/>
  <c r="AC682" i="2"/>
  <c r="AE682" i="2" s="1"/>
  <c r="AN618" i="2"/>
  <c r="AC923" i="2"/>
  <c r="AE923" i="2" s="1"/>
  <c r="AN526" i="2"/>
  <c r="AC677" i="2"/>
  <c r="AE677" i="2" s="1"/>
  <c r="AT515" i="2"/>
  <c r="AC525" i="2"/>
  <c r="AE525" i="2" s="1"/>
  <c r="AN525" i="2"/>
  <c r="AN677" i="2"/>
  <c r="AN873" i="2"/>
  <c r="AN762" i="2"/>
  <c r="AC658" i="2"/>
  <c r="AE658" i="2" s="1"/>
  <c r="AN601" i="2"/>
  <c r="AC618" i="2"/>
  <c r="AE618" i="2" s="1"/>
  <c r="AN686" i="2"/>
  <c r="AN842" i="2"/>
  <c r="AN682" i="2"/>
  <c r="AC706" i="2"/>
  <c r="AE706" i="2" s="1"/>
  <c r="AC607" i="2"/>
  <c r="AE607" i="2" s="1"/>
  <c r="AN901" i="2"/>
  <c r="AC901" i="2"/>
  <c r="AE901" i="2" s="1"/>
  <c r="AN592" i="2"/>
  <c r="AN312" i="2"/>
  <c r="AN352" i="2"/>
  <c r="AN302" i="2"/>
  <c r="AT312" i="2"/>
  <c r="AC307" i="2"/>
  <c r="AE307" i="2" s="1"/>
  <c r="AT302" i="2"/>
  <c r="AN327" i="2"/>
  <c r="AN732" i="2"/>
  <c r="AT327" i="2"/>
  <c r="AC352" i="2"/>
  <c r="AE352" i="2" s="1"/>
  <c r="AC282" i="2"/>
  <c r="AE282" i="2" s="1"/>
  <c r="AC963" i="2"/>
  <c r="AE963" i="2" s="1"/>
  <c r="AN830" i="2"/>
  <c r="AN955" i="2"/>
  <c r="AC876" i="2"/>
  <c r="AE876" i="2" s="1"/>
  <c r="AN706" i="2"/>
  <c r="AN757" i="2"/>
  <c r="AN920" i="2"/>
  <c r="AC928" i="2"/>
  <c r="AE928" i="2" s="1"/>
  <c r="AC609" i="2"/>
  <c r="AE609" i="2" s="1"/>
  <c r="AN914" i="2"/>
  <c r="AN887" i="2"/>
  <c r="AN934" i="2"/>
  <c r="AN902" i="2"/>
  <c r="AN958" i="2"/>
  <c r="AN910" i="2"/>
  <c r="AC779" i="2"/>
  <c r="AE779" i="2" s="1"/>
  <c r="AC942" i="2"/>
  <c r="AE942" i="2" s="1"/>
  <c r="AC926" i="2"/>
  <c r="AE926" i="2" s="1"/>
  <c r="AC902" i="2"/>
  <c r="AE902" i="2" s="1"/>
  <c r="AC888" i="2"/>
  <c r="AE888" i="2" s="1"/>
  <c r="AN979" i="2"/>
  <c r="AN742" i="2"/>
  <c r="AC961" i="2"/>
  <c r="AE961" i="2" s="1"/>
  <c r="AC763" i="2"/>
  <c r="AE763" i="2" s="1"/>
  <c r="AC686" i="2"/>
  <c r="AE686" i="2" s="1"/>
  <c r="AC855" i="2"/>
  <c r="AE855" i="2" s="1"/>
  <c r="AC986" i="2"/>
  <c r="AE986" i="2" s="1"/>
  <c r="AN966" i="2"/>
  <c r="AN786" i="2"/>
  <c r="AN927" i="2"/>
  <c r="AN950" i="2"/>
  <c r="AC836" i="2"/>
  <c r="AE836" i="2" s="1"/>
  <c r="AC929" i="2"/>
  <c r="AE929" i="2" s="1"/>
  <c r="AC957" i="2"/>
  <c r="AE957" i="2" s="1"/>
  <c r="AN959" i="2"/>
  <c r="AT914" i="2"/>
  <c r="AN639" i="2"/>
  <c r="AC858" i="2"/>
  <c r="AE858" i="2" s="1"/>
  <c r="AC920" i="2"/>
  <c r="AE920" i="2" s="1"/>
  <c r="AN993" i="2"/>
  <c r="AC943" i="2"/>
  <c r="AE943" i="2" s="1"/>
  <c r="AC969" i="2"/>
  <c r="AE969" i="2" s="1"/>
  <c r="AN779" i="2"/>
  <c r="AC786" i="2"/>
  <c r="AE786" i="2" s="1"/>
  <c r="AC875" i="2"/>
  <c r="AE875" i="2" s="1"/>
  <c r="AN763" i="2"/>
  <c r="AC592" i="2"/>
  <c r="AE592" i="2" s="1"/>
  <c r="AC673" i="2"/>
  <c r="AE673" i="2" s="1"/>
  <c r="AC639" i="2"/>
  <c r="AE639" i="2" s="1"/>
  <c r="AC627" i="2"/>
  <c r="AE627" i="2" s="1"/>
  <c r="AN828" i="2"/>
  <c r="AN885" i="2"/>
  <c r="AC996" i="2"/>
  <c r="AE996" i="2" s="1"/>
  <c r="AN928" i="2"/>
  <c r="AN608" i="2"/>
  <c r="AC757" i="2"/>
  <c r="AE757" i="2" s="1"/>
  <c r="AC965" i="2"/>
  <c r="AE965" i="2" s="1"/>
  <c r="AN995" i="2"/>
  <c r="AN923" i="2"/>
  <c r="AN627" i="2"/>
  <c r="AN858" i="2"/>
  <c r="AC830" i="2"/>
  <c r="AE830" i="2" s="1"/>
  <c r="AC895" i="2"/>
  <c r="AE895" i="2" s="1"/>
  <c r="AC927" i="2"/>
  <c r="AE927" i="2" s="1"/>
  <c r="AC932" i="2"/>
  <c r="AE932" i="2" s="1"/>
  <c r="AC684" i="2"/>
  <c r="AE684" i="2" s="1"/>
  <c r="AC762" i="2"/>
  <c r="AE762" i="2" s="1"/>
  <c r="AN888" i="2"/>
  <c r="AN929" i="2"/>
  <c r="AC958" i="2"/>
  <c r="AE958" i="2" s="1"/>
  <c r="AN951" i="2"/>
  <c r="AN684" i="2"/>
  <c r="AN700" i="2"/>
  <c r="AC803" i="2"/>
  <c r="AE803" i="2" s="1"/>
  <c r="AN795" i="2"/>
  <c r="AN972" i="2"/>
  <c r="AC910" i="2"/>
  <c r="AE910" i="2" s="1"/>
  <c r="AC700" i="2"/>
  <c r="AE700" i="2" s="1"/>
  <c r="AC948" i="2"/>
  <c r="AE948" i="2" s="1"/>
  <c r="AN976" i="2"/>
  <c r="AC997" i="2"/>
  <c r="AE997" i="2" s="1"/>
  <c r="AT995" i="2"/>
  <c r="AC993" i="2"/>
  <c r="AE993" i="2" s="1"/>
  <c r="AC795" i="2"/>
  <c r="AE795" i="2" s="1"/>
  <c r="AN987" i="2"/>
  <c r="AC990" i="2"/>
  <c r="AE990" i="2" s="1"/>
  <c r="AT948" i="2"/>
  <c r="AN939" i="2"/>
  <c r="AC896" i="2"/>
  <c r="AE896" i="2" s="1"/>
  <c r="AC933" i="2"/>
  <c r="AE933" i="2" s="1"/>
  <c r="AC999" i="2"/>
  <c r="AE999" i="2" s="1"/>
  <c r="AT972" i="2"/>
  <c r="AC966" i="2"/>
  <c r="AE966" i="2" s="1"/>
  <c r="AN980" i="2"/>
  <c r="AC503" i="2"/>
  <c r="AE503" i="2" s="1"/>
  <c r="AN562" i="2"/>
  <c r="AN848" i="2"/>
  <c r="AN963" i="2"/>
  <c r="AC974" i="2"/>
  <c r="AE974" i="2" s="1"/>
  <c r="AC945" i="2"/>
  <c r="AE945" i="2" s="1"/>
  <c r="AC520" i="2"/>
  <c r="AE520" i="2" s="1"/>
  <c r="AC688" i="2"/>
  <c r="AE688" i="2" s="1"/>
  <c r="AN896" i="2"/>
  <c r="AC868" i="2"/>
  <c r="AE868" i="2" s="1"/>
  <c r="AC911" i="2"/>
  <c r="AE911" i="2" s="1"/>
  <c r="AN600" i="2"/>
  <c r="AC967" i="2"/>
  <c r="AE967" i="2" s="1"/>
  <c r="AC982" i="2"/>
  <c r="AE982" i="2" s="1"/>
  <c r="AN940" i="2"/>
  <c r="AC975" i="2"/>
  <c r="AE975" i="2" s="1"/>
  <c r="AN688" i="2"/>
  <c r="AC869" i="2"/>
  <c r="AE869" i="2" s="1"/>
  <c r="AC629" i="2"/>
  <c r="AE629" i="2" s="1"/>
  <c r="AC882" i="2"/>
  <c r="AE882" i="2" s="1"/>
  <c r="AC970" i="2"/>
  <c r="AE970" i="2" s="1"/>
  <c r="AC976" i="2"/>
  <c r="AE976" i="2" s="1"/>
  <c r="AC940" i="2"/>
  <c r="AE940" i="2" s="1"/>
  <c r="AN945" i="2"/>
  <c r="AT793" i="2"/>
  <c r="AT629" i="2"/>
  <c r="AN503" i="2"/>
  <c r="AC815" i="2"/>
  <c r="AE815" i="2" s="1"/>
  <c r="AN970" i="2"/>
  <c r="AN282" i="2"/>
  <c r="AC887" i="2"/>
  <c r="AE887" i="2" s="1"/>
  <c r="AN869" i="2"/>
  <c r="AN982" i="2"/>
  <c r="AT429" i="2"/>
  <c r="AN512" i="2"/>
  <c r="AC600" i="2"/>
  <c r="AE600" i="2" s="1"/>
  <c r="W21" i="24"/>
  <c r="AN429" i="2"/>
  <c r="AN520" i="2"/>
  <c r="AC512" i="2"/>
  <c r="AE512" i="2" s="1"/>
  <c r="AN868" i="2"/>
  <c r="AC977" i="2"/>
  <c r="AE977" i="2" s="1"/>
  <c r="AC987" i="2"/>
  <c r="AE987" i="2" s="1"/>
  <c r="AN978" i="2"/>
  <c r="AN150" i="2"/>
  <c r="AC150" i="2"/>
  <c r="AE150" i="2" s="1"/>
  <c r="AT772" i="2"/>
  <c r="AT676" i="2"/>
  <c r="AT803" i="2"/>
  <c r="AT965" i="2"/>
  <c r="AT890" i="2"/>
  <c r="AT867" i="2"/>
  <c r="AT930" i="2"/>
  <c r="AT609" i="2"/>
  <c r="AT922" i="2"/>
  <c r="AT855" i="2"/>
  <c r="AT938" i="2"/>
  <c r="AT1000" i="2"/>
  <c r="AC772" i="2"/>
  <c r="AE772" i="2" s="1"/>
  <c r="AC922" i="2"/>
  <c r="AE922" i="2" s="1"/>
  <c r="AN1000" i="2"/>
  <c r="AC890" i="2"/>
  <c r="AE890" i="2" s="1"/>
  <c r="AC867" i="2"/>
  <c r="AE867" i="2" s="1"/>
  <c r="AT979" i="2"/>
  <c r="AT951" i="2"/>
  <c r="AT943" i="2"/>
  <c r="AN676" i="2"/>
  <c r="AN938" i="2"/>
  <c r="AC930" i="2"/>
  <c r="AE930" i="2" s="1"/>
  <c r="AC742" i="2"/>
  <c r="AE742" i="2" s="1"/>
  <c r="AN977" i="2"/>
  <c r="AC912" i="2"/>
  <c r="AE912" i="2" s="1"/>
  <c r="AN912" i="2"/>
  <c r="AN895" i="2"/>
  <c r="AN911" i="2"/>
  <c r="AC954" i="2"/>
  <c r="AE954" i="2" s="1"/>
  <c r="AN981" i="2"/>
  <c r="AN942" i="2"/>
  <c r="AC978" i="2"/>
  <c r="AE978" i="2" s="1"/>
  <c r="AC936" i="2"/>
  <c r="AE936" i="2" s="1"/>
  <c r="AN937" i="2"/>
  <c r="AC937" i="2"/>
  <c r="AE937" i="2" s="1"/>
  <c r="AC998" i="2"/>
  <c r="AE998" i="2" s="1"/>
  <c r="AN998" i="2"/>
  <c r="AC984" i="2"/>
  <c r="AE984" i="2" s="1"/>
  <c r="AN984" i="2"/>
  <c r="AC952" i="2"/>
  <c r="AE952" i="2" s="1"/>
  <c r="AN952" i="2"/>
  <c r="AN992" i="2"/>
  <c r="AC992" i="2"/>
  <c r="AE992" i="2" s="1"/>
  <c r="AN989" i="2"/>
  <c r="AC989" i="2"/>
  <c r="AE989" i="2" s="1"/>
  <c r="AN971" i="2"/>
  <c r="AC971" i="2"/>
  <c r="AE971" i="2" s="1"/>
  <c r="AN947" i="2"/>
  <c r="AC947" i="2"/>
  <c r="AE947" i="2" s="1"/>
  <c r="AN836" i="2"/>
  <c r="AC991" i="2"/>
  <c r="AE991" i="2" s="1"/>
  <c r="AC960" i="2"/>
  <c r="AE960" i="2" s="1"/>
  <c r="AC934" i="2"/>
  <c r="AE934" i="2" s="1"/>
  <c r="AC941" i="2"/>
  <c r="AE941" i="2" s="1"/>
  <c r="AN999" i="2"/>
  <c r="AN941" i="2"/>
  <c r="AN990" i="2"/>
  <c r="AT988" i="2"/>
  <c r="AT961" i="2"/>
  <c r="AT989" i="2"/>
  <c r="AT939" i="2"/>
  <c r="AT971" i="2"/>
  <c r="AT949" i="2"/>
  <c r="AT947" i="2"/>
  <c r="AT997" i="2"/>
  <c r="AT957" i="2"/>
  <c r="AC956" i="2"/>
  <c r="AE956" i="2" s="1"/>
  <c r="AN956" i="2"/>
  <c r="AN983" i="2"/>
  <c r="AC983" i="2"/>
  <c r="AE983" i="2" s="1"/>
  <c r="AC964" i="2"/>
  <c r="AE964" i="2" s="1"/>
  <c r="AN964" i="2"/>
  <c r="AN946" i="2"/>
  <c r="AC946" i="2"/>
  <c r="AE946" i="2" s="1"/>
  <c r="AC988" i="2"/>
  <c r="AE988" i="2" s="1"/>
  <c r="AT967" i="2"/>
  <c r="AT873" i="2"/>
  <c r="AT848" i="2"/>
  <c r="AT953" i="2"/>
  <c r="AT956" i="2"/>
  <c r="AT983" i="2"/>
  <c r="AT964" i="2"/>
  <c r="AT946" i="2"/>
  <c r="AT924" i="2"/>
  <c r="AT950" i="2"/>
  <c r="AT932" i="2"/>
  <c r="AT969" i="2"/>
  <c r="AC732" i="2"/>
  <c r="AE732" i="2" s="1"/>
  <c r="AN875" i="2"/>
  <c r="AN815" i="2"/>
  <c r="AC953" i="2"/>
  <c r="AE953" i="2" s="1"/>
  <c r="AN960" i="2"/>
  <c r="AN996" i="2"/>
  <c r="AN949" i="2"/>
  <c r="AC924" i="2"/>
  <c r="AE924" i="2" s="1"/>
  <c r="AN974" i="2"/>
  <c r="AN931" i="2"/>
  <c r="AC931" i="2"/>
  <c r="AE931" i="2" s="1"/>
  <c r="AN935" i="2"/>
  <c r="AC935" i="2"/>
  <c r="AE935" i="2" s="1"/>
  <c r="AC973" i="2"/>
  <c r="AE973" i="2" s="1"/>
  <c r="AN973" i="2"/>
  <c r="AC921" i="2"/>
  <c r="AE921" i="2" s="1"/>
  <c r="AN921" i="2"/>
  <c r="AN944" i="2"/>
  <c r="AC944" i="2"/>
  <c r="AE944" i="2" s="1"/>
  <c r="AN962" i="2"/>
  <c r="AC962" i="2"/>
  <c r="AE962" i="2" s="1"/>
  <c r="AN882" i="2"/>
  <c r="AC885" i="2"/>
  <c r="AE885" i="2" s="1"/>
  <c r="AN933" i="2"/>
  <c r="AC981" i="2"/>
  <c r="AE981" i="2" s="1"/>
  <c r="AC994" i="2"/>
  <c r="AE994" i="2" s="1"/>
  <c r="AC955" i="2"/>
  <c r="AE955" i="2" s="1"/>
  <c r="AT991" i="2"/>
  <c r="AT973" i="2"/>
  <c r="AT921" i="2"/>
  <c r="AT954" i="2"/>
  <c r="AT944" i="2"/>
  <c r="AT962" i="2"/>
  <c r="AT959" i="2"/>
  <c r="AN985" i="2"/>
  <c r="AC985" i="2"/>
  <c r="AE985" i="2" s="1"/>
  <c r="AN925" i="2"/>
  <c r="AC925" i="2"/>
  <c r="AE925" i="2" s="1"/>
  <c r="AC968" i="2"/>
  <c r="AE968" i="2" s="1"/>
  <c r="AN968" i="2"/>
  <c r="AT985" i="2"/>
  <c r="AT925" i="2"/>
  <c r="AT936" i="2"/>
  <c r="AT968" i="2"/>
  <c r="AT994" i="2"/>
  <c r="AT980" i="2"/>
  <c r="P220" i="23"/>
  <c r="Q220" i="23" s="1"/>
  <c r="N188" i="23"/>
  <c r="P252" i="23"/>
  <c r="Q252" i="23" s="1"/>
  <c r="J315" i="26"/>
  <c r="J315" i="30"/>
  <c r="J297" i="26"/>
  <c r="J291" i="26" s="1"/>
  <c r="J366" i="32"/>
  <c r="J363" i="32" s="1"/>
  <c r="J366" i="26"/>
  <c r="J363" i="26" s="1"/>
  <c r="J297" i="32"/>
  <c r="J297" i="30"/>
  <c r="AG87" i="24"/>
  <c r="J338" i="32"/>
  <c r="J338" i="30"/>
  <c r="J357" i="30"/>
  <c r="AG83" i="24"/>
  <c r="J396" i="26"/>
  <c r="J357" i="26"/>
  <c r="J396" i="32"/>
  <c r="J351" i="30"/>
  <c r="J348" i="30" s="1"/>
  <c r="J347" i="30" s="1"/>
  <c r="J309" i="30"/>
  <c r="J307" i="30" s="1"/>
  <c r="AG80" i="24"/>
  <c r="J351" i="26"/>
  <c r="J348" i="26" s="1"/>
  <c r="J347" i="26" s="1"/>
  <c r="AG89" i="24"/>
  <c r="J283" i="30"/>
  <c r="J277" i="30" s="1"/>
  <c r="J276" i="30" s="1"/>
  <c r="J283" i="32"/>
  <c r="J277" i="32" s="1"/>
  <c r="AD134" i="2"/>
  <c r="J334" i="30"/>
  <c r="AG74" i="24"/>
  <c r="AG68" i="24"/>
  <c r="J344" i="30"/>
  <c r="AN764" i="2"/>
  <c r="AC764" i="2"/>
  <c r="AE764" i="2" s="1"/>
  <c r="AT764" i="2"/>
  <c r="AD52" i="2"/>
  <c r="J305" i="32"/>
  <c r="J300" i="32" s="1"/>
  <c r="J305" i="26"/>
  <c r="J361" i="30"/>
  <c r="J359" i="30" s="1"/>
  <c r="K359" i="30" s="1"/>
  <c r="J361" i="32"/>
  <c r="J359" i="32" s="1"/>
  <c r="K359" i="32" s="1"/>
  <c r="J344" i="26"/>
  <c r="AD193" i="2"/>
  <c r="AD158" i="2"/>
  <c r="AD116" i="2"/>
  <c r="AD117" i="2"/>
  <c r="J287" i="32"/>
  <c r="J285" i="32" s="1"/>
  <c r="K285" i="32" s="1"/>
  <c r="J330" i="26"/>
  <c r="J393" i="32"/>
  <c r="P105" i="23"/>
  <c r="Q105" i="23" s="1"/>
  <c r="AD108" i="2"/>
  <c r="AD137" i="2"/>
  <c r="AD132" i="2"/>
  <c r="AE718" i="2"/>
  <c r="AF700" i="2"/>
  <c r="AF739" i="2"/>
  <c r="AD739" i="2"/>
  <c r="AF752" i="2"/>
  <c r="AD752" i="2"/>
  <c r="AF714" i="2"/>
  <c r="AD714" i="2"/>
  <c r="AF774" i="2"/>
  <c r="AD774" i="2"/>
  <c r="AF905" i="2"/>
  <c r="AD905" i="2"/>
  <c r="AF1000" i="2"/>
  <c r="AD1000" i="2"/>
  <c r="AF910" i="2"/>
  <c r="AF828" i="2"/>
  <c r="AF913" i="2"/>
  <c r="AD913" i="2"/>
  <c r="AF796" i="2"/>
  <c r="AD796" i="2"/>
  <c r="AF834" i="2"/>
  <c r="AD834" i="2"/>
  <c r="AF896" i="2"/>
  <c r="AF810" i="2"/>
  <c r="AD810" i="2"/>
  <c r="AF822" i="2"/>
  <c r="AD822" i="2"/>
  <c r="AF940" i="2"/>
  <c r="AT582" i="2"/>
  <c r="AN582" i="2"/>
  <c r="AC582" i="2"/>
  <c r="AT164" i="2"/>
  <c r="AN164" i="2"/>
  <c r="AC164" i="2"/>
  <c r="AT65" i="2"/>
  <c r="AN65" i="2"/>
  <c r="AC65" i="2"/>
  <c r="AT17" i="2"/>
  <c r="AN17" i="2"/>
  <c r="AC17" i="2"/>
  <c r="AT791" i="2"/>
  <c r="AN791" i="2"/>
  <c r="AC791" i="2"/>
  <c r="AT357" i="2"/>
  <c r="AN357" i="2"/>
  <c r="AC357" i="2"/>
  <c r="AT197" i="2"/>
  <c r="AN197" i="2"/>
  <c r="AC197" i="2"/>
  <c r="AT427" i="2"/>
  <c r="AC427" i="2"/>
  <c r="AN427" i="2"/>
  <c r="AT415" i="2"/>
  <c r="AN415" i="2"/>
  <c r="AC415" i="2"/>
  <c r="AT359" i="2"/>
  <c r="AN359" i="2"/>
  <c r="AC359" i="2"/>
  <c r="AG62" i="24"/>
  <c r="AT201" i="2"/>
  <c r="AN201" i="2"/>
  <c r="AC201" i="2"/>
  <c r="AT396" i="2"/>
  <c r="AN396" i="2"/>
  <c r="AC396" i="2"/>
  <c r="AT336" i="2"/>
  <c r="AN336" i="2"/>
  <c r="AC336" i="2"/>
  <c r="AT62" i="2"/>
  <c r="AC62" i="2"/>
  <c r="AN62" i="2"/>
  <c r="AT61" i="2"/>
  <c r="AN61" i="2"/>
  <c r="AC61" i="2"/>
  <c r="AT272" i="2"/>
  <c r="AN272" i="2"/>
  <c r="AC272" i="2"/>
  <c r="AT483" i="2"/>
  <c r="AC483" i="2"/>
  <c r="AN483" i="2"/>
  <c r="AT487" i="2"/>
  <c r="AN487" i="2"/>
  <c r="AC487" i="2"/>
  <c r="AT630" i="2"/>
  <c r="AC630" i="2"/>
  <c r="AN630" i="2"/>
  <c r="AT92" i="2"/>
  <c r="AN92" i="2"/>
  <c r="AC92" i="2"/>
  <c r="AT93" i="2"/>
  <c r="AN93" i="2"/>
  <c r="AC93" i="2"/>
  <c r="AT81" i="2"/>
  <c r="AN81" i="2"/>
  <c r="AC81" i="2"/>
  <c r="AT734" i="2"/>
  <c r="AN734" i="2"/>
  <c r="AC734" i="2"/>
  <c r="AT185" i="2"/>
  <c r="AN185" i="2"/>
  <c r="AC185" i="2"/>
  <c r="AT494" i="2"/>
  <c r="AC494" i="2"/>
  <c r="AN494" i="2"/>
  <c r="AG56" i="24"/>
  <c r="AT252" i="2"/>
  <c r="AN252" i="2"/>
  <c r="AC252" i="2"/>
  <c r="AT84" i="2"/>
  <c r="AN84" i="2"/>
  <c r="AC84" i="2"/>
  <c r="AT105" i="2"/>
  <c r="AN105" i="2"/>
  <c r="AC105" i="2"/>
  <c r="AT653" i="2"/>
  <c r="AN653" i="2"/>
  <c r="AC653" i="2"/>
  <c r="AT398" i="2"/>
  <c r="AN398" i="2"/>
  <c r="AC398" i="2"/>
  <c r="AT37" i="2"/>
  <c r="AC37" i="2"/>
  <c r="AN37" i="2"/>
  <c r="AT457" i="2"/>
  <c r="AN457" i="2"/>
  <c r="AC457" i="2"/>
  <c r="AT277" i="2"/>
  <c r="AN277" i="2"/>
  <c r="AC277" i="2"/>
  <c r="AT628" i="2"/>
  <c r="AN628" i="2"/>
  <c r="AC628" i="2"/>
  <c r="AT40" i="2"/>
  <c r="AC40" i="2"/>
  <c r="AN40" i="2"/>
  <c r="AT161" i="2"/>
  <c r="AN161" i="2"/>
  <c r="AC161" i="2"/>
  <c r="AT409" i="2"/>
  <c r="AN409" i="2"/>
  <c r="AC409" i="2"/>
  <c r="AT54" i="2"/>
  <c r="AC54" i="2"/>
  <c r="AN54" i="2"/>
  <c r="AT234" i="2"/>
  <c r="AN234" i="2"/>
  <c r="AC234" i="2"/>
  <c r="AT308" i="2"/>
  <c r="AN308" i="2"/>
  <c r="AC308" i="2"/>
  <c r="AT72" i="2"/>
  <c r="AN72" i="2"/>
  <c r="AC72" i="2"/>
  <c r="AT13" i="2"/>
  <c r="AC13" i="2"/>
  <c r="AN13" i="2"/>
  <c r="AT656" i="2"/>
  <c r="AN656" i="2"/>
  <c r="AC656" i="2"/>
  <c r="AT293" i="2"/>
  <c r="AN293" i="2"/>
  <c r="AC293" i="2"/>
  <c r="AT569" i="2"/>
  <c r="AN569" i="2"/>
  <c r="AC569" i="2"/>
  <c r="AT435" i="2"/>
  <c r="AN435" i="2"/>
  <c r="AC435" i="2"/>
  <c r="AT652" i="2"/>
  <c r="AN652" i="2"/>
  <c r="AC652" i="2"/>
  <c r="AT177" i="2"/>
  <c r="AN177" i="2"/>
  <c r="AC177" i="2"/>
  <c r="AT417" i="2"/>
  <c r="AN417" i="2"/>
  <c r="AC417" i="2"/>
  <c r="AD825" i="2"/>
  <c r="AD514" i="2"/>
  <c r="AD736" i="2"/>
  <c r="AD743" i="2"/>
  <c r="AD759" i="2"/>
  <c r="AF548" i="2"/>
  <c r="AD548" i="2"/>
  <c r="AF504" i="2"/>
  <c r="AD504" i="2"/>
  <c r="AF627" i="2"/>
  <c r="AF631" i="2"/>
  <c r="AD631" i="2"/>
  <c r="AF680" i="2"/>
  <c r="AD680" i="2"/>
  <c r="AF686" i="2"/>
  <c r="AF729" i="2"/>
  <c r="AD729" i="2"/>
  <c r="AF772" i="2"/>
  <c r="AF775" i="2"/>
  <c r="AD775" i="2"/>
  <c r="AF987" i="2"/>
  <c r="AF839" i="2"/>
  <c r="AD839" i="2"/>
  <c r="AF819" i="2"/>
  <c r="AF958" i="2"/>
  <c r="AF943" i="2"/>
  <c r="AF802" i="2"/>
  <c r="AD802" i="2"/>
  <c r="AF904" i="2"/>
  <c r="AD904" i="2"/>
  <c r="AF994" i="2"/>
  <c r="AF903" i="2"/>
  <c r="AD903" i="2"/>
  <c r="AF899" i="2"/>
  <c r="AD899" i="2"/>
  <c r="AT543" i="2"/>
  <c r="AN543" i="2"/>
  <c r="AC543" i="2"/>
  <c r="AT486" i="2"/>
  <c r="AN486" i="2"/>
  <c r="AC486" i="2"/>
  <c r="AT374" i="2"/>
  <c r="AN374" i="2"/>
  <c r="AC374" i="2"/>
  <c r="AT151" i="2"/>
  <c r="AC151" i="2"/>
  <c r="AN151" i="2"/>
  <c r="AT162" i="2"/>
  <c r="AN162" i="2"/>
  <c r="AC162" i="2"/>
  <c r="AT746" i="2"/>
  <c r="AC746" i="2"/>
  <c r="AN746" i="2"/>
  <c r="AT472" i="2"/>
  <c r="AC472" i="2"/>
  <c r="AN472" i="2"/>
  <c r="AG66" i="24"/>
  <c r="AT228" i="2"/>
  <c r="AN228" i="2"/>
  <c r="AC228" i="2"/>
  <c r="AT538" i="2"/>
  <c r="AN538" i="2"/>
  <c r="AC538" i="2"/>
  <c r="AT748" i="2"/>
  <c r="AC748" i="2"/>
  <c r="AN748" i="2"/>
  <c r="AT480" i="2"/>
  <c r="AN480" i="2"/>
  <c r="AC480" i="2"/>
  <c r="AT122" i="2"/>
  <c r="AN122" i="2"/>
  <c r="AC122" i="2"/>
  <c r="AT22" i="2"/>
  <c r="AN22" i="2"/>
  <c r="AC22" i="2"/>
  <c r="AT186" i="2"/>
  <c r="AN186" i="2"/>
  <c r="AC186" i="2"/>
  <c r="AT89" i="2"/>
  <c r="AN89" i="2"/>
  <c r="AC89" i="2"/>
  <c r="AT587" i="2"/>
  <c r="AN587" i="2"/>
  <c r="AC587" i="2"/>
  <c r="AT285" i="2"/>
  <c r="AC285" i="2"/>
  <c r="AN285" i="2"/>
  <c r="AT469" i="2"/>
  <c r="AN469" i="2"/>
  <c r="AC469" i="2"/>
  <c r="AT167" i="2"/>
  <c r="AN167" i="2"/>
  <c r="AC167" i="2"/>
  <c r="AT660" i="2"/>
  <c r="AN660" i="2"/>
  <c r="AC660" i="2"/>
  <c r="AT35" i="2"/>
  <c r="AN35" i="2"/>
  <c r="AC35" i="2"/>
  <c r="AT401" i="2"/>
  <c r="AC401" i="2"/>
  <c r="AN401" i="2"/>
  <c r="AT335" i="2"/>
  <c r="AN335" i="2"/>
  <c r="AC335" i="2"/>
  <c r="AT209" i="2"/>
  <c r="AC209" i="2"/>
  <c r="AN209" i="2"/>
  <c r="AT462" i="2"/>
  <c r="AN462" i="2"/>
  <c r="AC462" i="2"/>
  <c r="AT143" i="2"/>
  <c r="AN143" i="2"/>
  <c r="AC143" i="2"/>
  <c r="AT174" i="2"/>
  <c r="AN174" i="2"/>
  <c r="AC174" i="2"/>
  <c r="AT664" i="2"/>
  <c r="AN664" i="2"/>
  <c r="AC664" i="2"/>
  <c r="AT537" i="2"/>
  <c r="AN537" i="2"/>
  <c r="AC537" i="2"/>
  <c r="AT30" i="2"/>
  <c r="AN30" i="2"/>
  <c r="AC30" i="2"/>
  <c r="AT657" i="2"/>
  <c r="AN657" i="2"/>
  <c r="AC657" i="2"/>
  <c r="AT351" i="2"/>
  <c r="AN351" i="2"/>
  <c r="AC351" i="2"/>
  <c r="AT501" i="2"/>
  <c r="AN501" i="2"/>
  <c r="AC501" i="2"/>
  <c r="AT485" i="2"/>
  <c r="AN485" i="2"/>
  <c r="AC485" i="2"/>
  <c r="AT195" i="2"/>
  <c r="AC195" i="2"/>
  <c r="AN195" i="2"/>
  <c r="AT712" i="2"/>
  <c r="AN712" i="2"/>
  <c r="AC712" i="2"/>
  <c r="AT458" i="2"/>
  <c r="AC458" i="2"/>
  <c r="AN458" i="2"/>
  <c r="AT146" i="2"/>
  <c r="AC146" i="2"/>
  <c r="AN146" i="2"/>
  <c r="AT376" i="2"/>
  <c r="AN376" i="2"/>
  <c r="AC376" i="2"/>
  <c r="AT76" i="2"/>
  <c r="AN76" i="2"/>
  <c r="AC76" i="2"/>
  <c r="AT651" i="2"/>
  <c r="AN651" i="2"/>
  <c r="AC651" i="2"/>
  <c r="AT460" i="2"/>
  <c r="AC460" i="2"/>
  <c r="AN460" i="2"/>
  <c r="AT278" i="2"/>
  <c r="AC278" i="2"/>
  <c r="AN278" i="2"/>
  <c r="AT530" i="2"/>
  <c r="AN530" i="2"/>
  <c r="AC530" i="2"/>
  <c r="AD717" i="2"/>
  <c r="AD675" i="2"/>
  <c r="AD613" i="2"/>
  <c r="AD781" i="2"/>
  <c r="AD838" i="2"/>
  <c r="AD612" i="2"/>
  <c r="AD665" i="2"/>
  <c r="AD777" i="2"/>
  <c r="AD745" i="2"/>
  <c r="AF592" i="2"/>
  <c r="AF595" i="2"/>
  <c r="AD595" i="2"/>
  <c r="AF525" i="2"/>
  <c r="AF517" i="2"/>
  <c r="AF191" i="2"/>
  <c r="AD191" i="2"/>
  <c r="AF515" i="2"/>
  <c r="AD515" i="2"/>
  <c r="AF679" i="2"/>
  <c r="AD679" i="2"/>
  <c r="AF706" i="2"/>
  <c r="AF705" i="2"/>
  <c r="AD705" i="2"/>
  <c r="AF735" i="2"/>
  <c r="AD735" i="2"/>
  <c r="AF672" i="2"/>
  <c r="AD672" i="2"/>
  <c r="AF779" i="2"/>
  <c r="AF790" i="2"/>
  <c r="AD790" i="2"/>
  <c r="AF778" i="2"/>
  <c r="AD778" i="2"/>
  <c r="AF800" i="2"/>
  <c r="AD800" i="2"/>
  <c r="AF841" i="2"/>
  <c r="AD841" i="2"/>
  <c r="AF978" i="2"/>
  <c r="AF963" i="2"/>
  <c r="AF889" i="2"/>
  <c r="AD889" i="2"/>
  <c r="AF955" i="2"/>
  <c r="AF950" i="2"/>
  <c r="AD950" i="2"/>
  <c r="AF993" i="2"/>
  <c r="AF908" i="2"/>
  <c r="AD908" i="2"/>
  <c r="AF916" i="2"/>
  <c r="AD916" i="2"/>
  <c r="AF956" i="2"/>
  <c r="AF969" i="2"/>
  <c r="AF944" i="2"/>
  <c r="AT584" i="2"/>
  <c r="AN584" i="2"/>
  <c r="AC584" i="2"/>
  <c r="AT567" i="2"/>
  <c r="AN567" i="2"/>
  <c r="AC567" i="2"/>
  <c r="AT148" i="2"/>
  <c r="AN148" i="2"/>
  <c r="AC148" i="2"/>
  <c r="AT215" i="2"/>
  <c r="AN215" i="2"/>
  <c r="AC215" i="2"/>
  <c r="AT83" i="2"/>
  <c r="AN83" i="2"/>
  <c r="AC83" i="2"/>
  <c r="AT649" i="2"/>
  <c r="AN649" i="2"/>
  <c r="AC649" i="2"/>
  <c r="AT119" i="2"/>
  <c r="AN119" i="2"/>
  <c r="AC119" i="2"/>
  <c r="AT412" i="2"/>
  <c r="AN412" i="2"/>
  <c r="AC412" i="2"/>
  <c r="AT574" i="2"/>
  <c r="AN574" i="2"/>
  <c r="AC574" i="2"/>
  <c r="AT655" i="2"/>
  <c r="AC655" i="2"/>
  <c r="AN655" i="2"/>
  <c r="AT127" i="2"/>
  <c r="AN127" i="2"/>
  <c r="AC127" i="2"/>
  <c r="AT418" i="2"/>
  <c r="AC418" i="2"/>
  <c r="AN418" i="2"/>
  <c r="AT236" i="2"/>
  <c r="AN236" i="2"/>
  <c r="AC236" i="2"/>
  <c r="AT393" i="2"/>
  <c r="AN393" i="2"/>
  <c r="AC393" i="2"/>
  <c r="AT253" i="2"/>
  <c r="AN253" i="2"/>
  <c r="AC253" i="2"/>
  <c r="AT273" i="2"/>
  <c r="AN273" i="2"/>
  <c r="AC273" i="2"/>
  <c r="AT271" i="2"/>
  <c r="AN271" i="2"/>
  <c r="AC271" i="2"/>
  <c r="AT463" i="2"/>
  <c r="AC463" i="2"/>
  <c r="AN463" i="2"/>
  <c r="AT163" i="2"/>
  <c r="AN163" i="2"/>
  <c r="AC163" i="2"/>
  <c r="AT599" i="2"/>
  <c r="AC599" i="2"/>
  <c r="AN599" i="2"/>
  <c r="AT103" i="2"/>
  <c r="AN103" i="2"/>
  <c r="AC103" i="2"/>
  <c r="AG58" i="24"/>
  <c r="AT235" i="2"/>
  <c r="AN235" i="2"/>
  <c r="AC235" i="2"/>
  <c r="AT25" i="2"/>
  <c r="AN25" i="2"/>
  <c r="AC25" i="2"/>
  <c r="AT678" i="2"/>
  <c r="AN678" i="2"/>
  <c r="AC678" i="2"/>
  <c r="AT388" i="2"/>
  <c r="AN388" i="2"/>
  <c r="AC388" i="2"/>
  <c r="AT322" i="2"/>
  <c r="AN322" i="2"/>
  <c r="AC322" i="2"/>
  <c r="AT493" i="2"/>
  <c r="AN493" i="2"/>
  <c r="AC493" i="2"/>
  <c r="AT281" i="2"/>
  <c r="AN281" i="2"/>
  <c r="AC281" i="2"/>
  <c r="AT147" i="2"/>
  <c r="AN147" i="2"/>
  <c r="AC147" i="2"/>
  <c r="AT23" i="2"/>
  <c r="AN23" i="2"/>
  <c r="AC23" i="2"/>
  <c r="AT179" i="2"/>
  <c r="AN179" i="2"/>
  <c r="AC179" i="2"/>
  <c r="AT529" i="2"/>
  <c r="AN529" i="2"/>
  <c r="AC529" i="2"/>
  <c r="AT298" i="2"/>
  <c r="AN298" i="2"/>
  <c r="AC298" i="2"/>
  <c r="AG11" i="24"/>
  <c r="AT181" i="2"/>
  <c r="AN181" i="2"/>
  <c r="AC181" i="2"/>
  <c r="J320" i="32"/>
  <c r="J317" i="32" s="1"/>
  <c r="AT104" i="2"/>
  <c r="AN104" i="2"/>
  <c r="AC104" i="2"/>
  <c r="AT648" i="2"/>
  <c r="AN648" i="2"/>
  <c r="AC648" i="2"/>
  <c r="AT221" i="2"/>
  <c r="AN221" i="2"/>
  <c r="AC221" i="2"/>
  <c r="AT549" i="2"/>
  <c r="AN549" i="2"/>
  <c r="AC549" i="2"/>
  <c r="AT368" i="2"/>
  <c r="AN368" i="2"/>
  <c r="AC368" i="2"/>
  <c r="AT564" i="2"/>
  <c r="AN564" i="2"/>
  <c r="AC564" i="2"/>
  <c r="AT771" i="2"/>
  <c r="AC771" i="2"/>
  <c r="AN771" i="2"/>
  <c r="AT289" i="2"/>
  <c r="AN289" i="2"/>
  <c r="AC289" i="2"/>
  <c r="AT478" i="2"/>
  <c r="AN478" i="2"/>
  <c r="AC478" i="2"/>
  <c r="AT329" i="2"/>
  <c r="AN329" i="2"/>
  <c r="AC329" i="2"/>
  <c r="AT41" i="2"/>
  <c r="AN41" i="2"/>
  <c r="AC41" i="2"/>
  <c r="AT588" i="2"/>
  <c r="AN588" i="2"/>
  <c r="AC588" i="2"/>
  <c r="AT63" i="2"/>
  <c r="AN63" i="2"/>
  <c r="AC63" i="2"/>
  <c r="AT250" i="2"/>
  <c r="AN250" i="2"/>
  <c r="AC250" i="2"/>
  <c r="AT467" i="2"/>
  <c r="AN467" i="2"/>
  <c r="AC467" i="2"/>
  <c r="AT541" i="2"/>
  <c r="AN541" i="2"/>
  <c r="AC541" i="2"/>
  <c r="AT67" i="2"/>
  <c r="AN67" i="2"/>
  <c r="AC67" i="2"/>
  <c r="AT400" i="2"/>
  <c r="AC400" i="2"/>
  <c r="AN400" i="2"/>
  <c r="AT570" i="2"/>
  <c r="AN570" i="2"/>
  <c r="AC570" i="2"/>
  <c r="AD738" i="2"/>
  <c r="AD725" i="2"/>
  <c r="AD915" i="2"/>
  <c r="AD851" i="2"/>
  <c r="AD715" i="2"/>
  <c r="AF521" i="2"/>
  <c r="AD521" i="2"/>
  <c r="AF512" i="2"/>
  <c r="AF636" i="2"/>
  <c r="AD636" i="2"/>
  <c r="AF663" i="2"/>
  <c r="AD663" i="2"/>
  <c r="AF677" i="2"/>
  <c r="AF698" i="2"/>
  <c r="AD698" i="2"/>
  <c r="AF731" i="2"/>
  <c r="AD731" i="2"/>
  <c r="AF754" i="2"/>
  <c r="AD754" i="2"/>
  <c r="AF741" i="2"/>
  <c r="AD741" i="2"/>
  <c r="AF760" i="2"/>
  <c r="AD760" i="2"/>
  <c r="AF991" i="2"/>
  <c r="AF922" i="2"/>
  <c r="AF868" i="2"/>
  <c r="AF930" i="2"/>
  <c r="AF867" i="2"/>
  <c r="AF816" i="2"/>
  <c r="AF811" i="2"/>
  <c r="AD811" i="2"/>
  <c r="AF845" i="2"/>
  <c r="AD845" i="2"/>
  <c r="AF847" i="2"/>
  <c r="AD847" i="2"/>
  <c r="AF929" i="2"/>
  <c r="AF980" i="2"/>
  <c r="AD980" i="2"/>
  <c r="AT571" i="2"/>
  <c r="AC571" i="2"/>
  <c r="AN571" i="2"/>
  <c r="AT249" i="2"/>
  <c r="AN249" i="2"/>
  <c r="AC249" i="2"/>
  <c r="AT349" i="2"/>
  <c r="AN349" i="2"/>
  <c r="AC349" i="2"/>
  <c r="AT332" i="2"/>
  <c r="AN332" i="2"/>
  <c r="AC332" i="2"/>
  <c r="AT642" i="2"/>
  <c r="AN642" i="2"/>
  <c r="AC642" i="2"/>
  <c r="AT7" i="2"/>
  <c r="AN7" i="2"/>
  <c r="AC7" i="2"/>
  <c r="AE7" i="2" s="1"/>
  <c r="AT439" i="2"/>
  <c r="AC439" i="2"/>
  <c r="AN439" i="2"/>
  <c r="AT397" i="2"/>
  <c r="AN397" i="2"/>
  <c r="AC397" i="2"/>
  <c r="AT596" i="2"/>
  <c r="AN596" i="2"/>
  <c r="AC596" i="2"/>
  <c r="AT11" i="2"/>
  <c r="AN11" i="2"/>
  <c r="AC11" i="2"/>
  <c r="AT431" i="2"/>
  <c r="AN431" i="2"/>
  <c r="AC431" i="2"/>
  <c r="AT99" i="2"/>
  <c r="AC99" i="2"/>
  <c r="AN99" i="2"/>
  <c r="AG47" i="24"/>
  <c r="AT206" i="2"/>
  <c r="AN206" i="2"/>
  <c r="AC206" i="2"/>
  <c r="AT53" i="2"/>
  <c r="AC53" i="2"/>
  <c r="AN53" i="2"/>
  <c r="AT450" i="2"/>
  <c r="AN450" i="2"/>
  <c r="AC450" i="2"/>
  <c r="AT416" i="2"/>
  <c r="AN416" i="2"/>
  <c r="AC416" i="2"/>
  <c r="AT80" i="2"/>
  <c r="AN80" i="2"/>
  <c r="AC80" i="2"/>
  <c r="AT502" i="2"/>
  <c r="AN502" i="2"/>
  <c r="AC502" i="2"/>
  <c r="J331" i="32"/>
  <c r="AT200" i="2"/>
  <c r="AN200" i="2"/>
  <c r="AC200" i="2"/>
  <c r="AT556" i="2"/>
  <c r="AN556" i="2"/>
  <c r="AC556" i="2"/>
  <c r="AT58" i="2"/>
  <c r="AN58" i="2"/>
  <c r="AC58" i="2"/>
  <c r="AT131" i="2"/>
  <c r="AN131" i="2"/>
  <c r="AC131" i="2"/>
  <c r="AT542" i="2"/>
  <c r="AN542" i="2"/>
  <c r="AC542" i="2"/>
  <c r="AT468" i="2"/>
  <c r="AN468" i="2"/>
  <c r="AC468" i="2"/>
  <c r="AT113" i="2"/>
  <c r="AN113" i="2"/>
  <c r="AC113" i="2"/>
  <c r="AT707" i="2"/>
  <c r="AN707" i="2"/>
  <c r="AC707" i="2"/>
  <c r="AT110" i="2"/>
  <c r="AN110" i="2"/>
  <c r="AC110" i="2"/>
  <c r="AT440" i="2"/>
  <c r="AN440" i="2"/>
  <c r="AC440" i="2"/>
  <c r="AT534" i="2"/>
  <c r="AN534" i="2"/>
  <c r="AC534" i="2"/>
  <c r="AT169" i="2"/>
  <c r="AN169" i="2"/>
  <c r="AC169" i="2"/>
  <c r="AT318" i="2"/>
  <c r="AN318" i="2"/>
  <c r="AC318" i="2"/>
  <c r="AT638" i="2"/>
  <c r="AN638" i="2"/>
  <c r="AC638" i="2"/>
  <c r="AT42" i="2"/>
  <c r="AC42" i="2"/>
  <c r="AN42" i="2"/>
  <c r="AT535" i="2"/>
  <c r="AN535" i="2"/>
  <c r="AC535" i="2"/>
  <c r="AT237" i="2"/>
  <c r="AN237" i="2"/>
  <c r="AC237" i="2"/>
  <c r="AT573" i="2"/>
  <c r="AN573" i="2"/>
  <c r="AC573" i="2"/>
  <c r="AT380" i="2"/>
  <c r="AN380" i="2"/>
  <c r="AC380" i="2"/>
  <c r="AT488" i="2"/>
  <c r="AN488" i="2"/>
  <c r="AC488" i="2"/>
  <c r="AD604" i="2"/>
  <c r="AD804" i="2"/>
  <c r="AD562" i="2"/>
  <c r="AD798" i="2"/>
  <c r="AD647" i="2"/>
  <c r="AD861" i="2"/>
  <c r="AD831" i="2"/>
  <c r="AD900" i="2"/>
  <c r="AD880" i="2"/>
  <c r="AD737" i="2"/>
  <c r="AD898" i="2"/>
  <c r="AD634" i="2"/>
  <c r="AD695" i="2"/>
  <c r="AF520" i="2"/>
  <c r="AF605" i="2"/>
  <c r="AD605" i="2"/>
  <c r="AF617" i="2"/>
  <c r="AD617" i="2"/>
  <c r="AF646" i="2"/>
  <c r="AD646" i="2"/>
  <c r="AF704" i="2"/>
  <c r="AD704" i="2"/>
  <c r="AF708" i="2"/>
  <c r="AD708" i="2"/>
  <c r="AF722" i="2"/>
  <c r="AD722" i="2"/>
  <c r="AF723" i="2"/>
  <c r="AD723" i="2"/>
  <c r="AF726" i="2"/>
  <c r="AD726" i="2"/>
  <c r="AF740" i="2"/>
  <c r="AD740" i="2"/>
  <c r="AF789" i="2"/>
  <c r="AF788" i="2"/>
  <c r="AD788" i="2"/>
  <c r="AF792" i="2"/>
  <c r="AD792" i="2"/>
  <c r="AF891" i="2"/>
  <c r="AD891" i="2"/>
  <c r="AF982" i="2"/>
  <c r="AF837" i="2"/>
  <c r="AD837" i="2"/>
  <c r="AF946" i="2"/>
  <c r="AF866" i="2"/>
  <c r="AD866" i="2"/>
  <c r="AF921" i="2"/>
  <c r="AF919" i="2"/>
  <c r="AD919" i="2"/>
  <c r="AF928" i="2"/>
  <c r="AF814" i="2"/>
  <c r="AF856" i="2"/>
  <c r="AD856" i="2"/>
  <c r="AF835" i="2"/>
  <c r="AD835" i="2"/>
  <c r="AF823" i="2"/>
  <c r="AD823" i="2"/>
  <c r="AF882" i="2"/>
  <c r="AT21" i="2"/>
  <c r="AN21" i="2"/>
  <c r="AC21" i="2"/>
  <c r="AT18" i="2"/>
  <c r="AN18" i="2"/>
  <c r="AC18" i="2"/>
  <c r="AT710" i="2"/>
  <c r="AN710" i="2"/>
  <c r="AC710" i="2"/>
  <c r="AT331" i="2"/>
  <c r="AN331" i="2"/>
  <c r="AC331" i="2"/>
  <c r="AT172" i="2"/>
  <c r="AC172" i="2"/>
  <c r="AN172" i="2"/>
  <c r="AT477" i="2"/>
  <c r="AN477" i="2"/>
  <c r="AC477" i="2"/>
  <c r="AT57" i="2"/>
  <c r="AN57" i="2"/>
  <c r="AC57" i="2"/>
  <c r="AT555" i="2"/>
  <c r="AN555" i="2"/>
  <c r="AC555" i="2"/>
  <c r="AT341" i="2"/>
  <c r="AC341" i="2"/>
  <c r="AN341" i="2"/>
  <c r="AT296" i="2"/>
  <c r="AN296" i="2"/>
  <c r="AC296" i="2"/>
  <c r="AT544" i="2"/>
  <c r="AN544" i="2"/>
  <c r="AC544" i="2"/>
  <c r="AT363" i="2"/>
  <c r="AN363" i="2"/>
  <c r="AC363" i="2"/>
  <c r="AT444" i="2"/>
  <c r="AN444" i="2"/>
  <c r="AC444" i="2"/>
  <c r="AT231" i="2"/>
  <c r="AC231" i="2"/>
  <c r="AN231" i="2"/>
  <c r="AT190" i="2"/>
  <c r="AN190" i="2"/>
  <c r="AC190" i="2"/>
  <c r="AT91" i="2"/>
  <c r="AN91" i="2"/>
  <c r="AC91" i="2"/>
  <c r="AT142" i="2"/>
  <c r="AN142" i="2"/>
  <c r="AC142" i="2"/>
  <c r="AT340" i="2"/>
  <c r="AN340" i="2"/>
  <c r="AC340" i="2"/>
  <c r="AT226" i="2"/>
  <c r="AN226" i="2"/>
  <c r="AC226" i="2"/>
  <c r="AT100" i="2"/>
  <c r="AN100" i="2"/>
  <c r="AC100" i="2"/>
  <c r="AT451" i="2"/>
  <c r="AN451" i="2"/>
  <c r="AC451" i="2"/>
  <c r="J397" i="32"/>
  <c r="AT251" i="2"/>
  <c r="AN251" i="2"/>
  <c r="AC251" i="2"/>
  <c r="AT319" i="2"/>
  <c r="AN319" i="2"/>
  <c r="AC319" i="2"/>
  <c r="AT442" i="2"/>
  <c r="AC442" i="2"/>
  <c r="AN442" i="2"/>
  <c r="AT337" i="2"/>
  <c r="AN337" i="2"/>
  <c r="AC337" i="2"/>
  <c r="AT168" i="2"/>
  <c r="AN168" i="2"/>
  <c r="AC168" i="2"/>
  <c r="AT344" i="2"/>
  <c r="AN344" i="2"/>
  <c r="AC344" i="2"/>
  <c r="AT88" i="2"/>
  <c r="AN88" i="2"/>
  <c r="AC88" i="2"/>
  <c r="AT157" i="2"/>
  <c r="AC157" i="2"/>
  <c r="AN157" i="2"/>
  <c r="AT31" i="2"/>
  <c r="AC31" i="2"/>
  <c r="AN31" i="2"/>
  <c r="AT361" i="2"/>
  <c r="AN361" i="2"/>
  <c r="AC361" i="2"/>
  <c r="AT581" i="2"/>
  <c r="AN581" i="2"/>
  <c r="AC581" i="2"/>
  <c r="AT408" i="2"/>
  <c r="AC408" i="2"/>
  <c r="AN408" i="2"/>
  <c r="AT240" i="2"/>
  <c r="AN240" i="2"/>
  <c r="AC240" i="2"/>
  <c r="AT459" i="2"/>
  <c r="AC459" i="2"/>
  <c r="AN459" i="2"/>
  <c r="AT97" i="2"/>
  <c r="AN97" i="2"/>
  <c r="AC97" i="2"/>
  <c r="AT645" i="2"/>
  <c r="AN645" i="2"/>
  <c r="AC645" i="2"/>
  <c r="AT454" i="2"/>
  <c r="AN454" i="2"/>
  <c r="AC454" i="2"/>
  <c r="AT386" i="2"/>
  <c r="AN386" i="2"/>
  <c r="AC386" i="2"/>
  <c r="AT47" i="2"/>
  <c r="AN47" i="2"/>
  <c r="AC47" i="2"/>
  <c r="AT125" i="2"/>
  <c r="AC125" i="2"/>
  <c r="AN125" i="2"/>
  <c r="AT603" i="2"/>
  <c r="AC603" i="2"/>
  <c r="AN603" i="2"/>
  <c r="AG59" i="24"/>
  <c r="AT233" i="2"/>
  <c r="AN233" i="2"/>
  <c r="AC233" i="2"/>
  <c r="AT364" i="2"/>
  <c r="AN364" i="2"/>
  <c r="AC364" i="2"/>
  <c r="AT126" i="2"/>
  <c r="AN126" i="2"/>
  <c r="AC126" i="2"/>
  <c r="AT533" i="2"/>
  <c r="AN533" i="2"/>
  <c r="AC533" i="2"/>
  <c r="AT156" i="2"/>
  <c r="AN156" i="2"/>
  <c r="AC156" i="2"/>
  <c r="AT471" i="2"/>
  <c r="AN471" i="2"/>
  <c r="AC471" i="2"/>
  <c r="AT149" i="2"/>
  <c r="AC149" i="2"/>
  <c r="AN149" i="2"/>
  <c r="AD894" i="2"/>
  <c r="AD859" i="2"/>
  <c r="AD797" i="2"/>
  <c r="AD877" i="2"/>
  <c r="AD633" i="2"/>
  <c r="AD951" i="2"/>
  <c r="AD611" i="2"/>
  <c r="AD694" i="2"/>
  <c r="AF589" i="2"/>
  <c r="AD589" i="2"/>
  <c r="AF685" i="2"/>
  <c r="AD685" i="2"/>
  <c r="AF701" i="2"/>
  <c r="AD701" i="2"/>
  <c r="AF709" i="2"/>
  <c r="AD709" i="2"/>
  <c r="AF728" i="2"/>
  <c r="AD728" i="2"/>
  <c r="AF733" i="2"/>
  <c r="AD733" i="2"/>
  <c r="AF765" i="2"/>
  <c r="AD765" i="2"/>
  <c r="AF776" i="2"/>
  <c r="AD776" i="2"/>
  <c r="AF881" i="2"/>
  <c r="AD881" i="2"/>
  <c r="AF934" i="2"/>
  <c r="AF873" i="2"/>
  <c r="AD873" i="2"/>
  <c r="AF860" i="2"/>
  <c r="AD860" i="2"/>
  <c r="AF853" i="2"/>
  <c r="AD853" i="2"/>
  <c r="AF949" i="2"/>
  <c r="AD949" i="2"/>
  <c r="AF964" i="2"/>
  <c r="AF948" i="2"/>
  <c r="AF813" i="2"/>
  <c r="AT144" i="2"/>
  <c r="AN144" i="2"/>
  <c r="AC144" i="2"/>
  <c r="AT373" i="2"/>
  <c r="AN373" i="2"/>
  <c r="AC373" i="2"/>
  <c r="AT102" i="2"/>
  <c r="AN102" i="2"/>
  <c r="AC102" i="2"/>
  <c r="AT387" i="2"/>
  <c r="AN387" i="2"/>
  <c r="AC387" i="2"/>
  <c r="AT43" i="2"/>
  <c r="AN43" i="2"/>
  <c r="AC43" i="2"/>
  <c r="AT637" i="2"/>
  <c r="AN637" i="2"/>
  <c r="AC637" i="2"/>
  <c r="AT69" i="2"/>
  <c r="AN69" i="2"/>
  <c r="AC69" i="2"/>
  <c r="AT621" i="2"/>
  <c r="AN621" i="2"/>
  <c r="AC621" i="2"/>
  <c r="AT492" i="2"/>
  <c r="AN492" i="2"/>
  <c r="AC492" i="2"/>
  <c r="AG9" i="24"/>
  <c r="AT180" i="2"/>
  <c r="AN180" i="2"/>
  <c r="AC180" i="2"/>
  <c r="AT578" i="2"/>
  <c r="AC578" i="2"/>
  <c r="AN578" i="2"/>
  <c r="AT292" i="2"/>
  <c r="AN292" i="2"/>
  <c r="AC292" i="2"/>
  <c r="AT87" i="2"/>
  <c r="AC87" i="2"/>
  <c r="AN87" i="2"/>
  <c r="AT410" i="2"/>
  <c r="AN410" i="2"/>
  <c r="AC410" i="2"/>
  <c r="AT118" i="2"/>
  <c r="AN118" i="2"/>
  <c r="AC118" i="2"/>
  <c r="AT275" i="2"/>
  <c r="AN275" i="2"/>
  <c r="AC275" i="2"/>
  <c r="AT313" i="2"/>
  <c r="AN313" i="2"/>
  <c r="AC313" i="2"/>
  <c r="AT248" i="2"/>
  <c r="AN248" i="2"/>
  <c r="AC248" i="2"/>
  <c r="AT194" i="2"/>
  <c r="AN194" i="2"/>
  <c r="AC194" i="2"/>
  <c r="AT291" i="2"/>
  <c r="AN291" i="2"/>
  <c r="AC291" i="2"/>
  <c r="AT280" i="2"/>
  <c r="AN280" i="2"/>
  <c r="AC280" i="2"/>
  <c r="AT14" i="2"/>
  <c r="AN14" i="2"/>
  <c r="AC14" i="2"/>
  <c r="AT32" i="2"/>
  <c r="AN32" i="2"/>
  <c r="AC32" i="2"/>
  <c r="AT256" i="2"/>
  <c r="AC256" i="2"/>
  <c r="AN256" i="2"/>
  <c r="AT74" i="2"/>
  <c r="AN74" i="2"/>
  <c r="AC74" i="2"/>
  <c r="AT214" i="2"/>
  <c r="AN214" i="2"/>
  <c r="AC214" i="2"/>
  <c r="AT345" i="2"/>
  <c r="AN345" i="2"/>
  <c r="AC345" i="2"/>
  <c r="AT183" i="2"/>
  <c r="AN183" i="2"/>
  <c r="AC183" i="2"/>
  <c r="AT550" i="2"/>
  <c r="AN550" i="2"/>
  <c r="AC550" i="2"/>
  <c r="AT547" i="2"/>
  <c r="AN547" i="2"/>
  <c r="AC547" i="2"/>
  <c r="AT34" i="2"/>
  <c r="AN34" i="2"/>
  <c r="AC34" i="2"/>
  <c r="AT650" i="2"/>
  <c r="AN650" i="2"/>
  <c r="AC650" i="2"/>
  <c r="AT44" i="2"/>
  <c r="AN44" i="2"/>
  <c r="AC44" i="2"/>
  <c r="AT350" i="2"/>
  <c r="AC350" i="2"/>
  <c r="AN350" i="2"/>
  <c r="AT70" i="2"/>
  <c r="AN70" i="2"/>
  <c r="AC70" i="2"/>
  <c r="AT516" i="2"/>
  <c r="AN516" i="2"/>
  <c r="AC516" i="2"/>
  <c r="AT424" i="2"/>
  <c r="AN424" i="2"/>
  <c r="AC424" i="2"/>
  <c r="AT120" i="2"/>
  <c r="AC120" i="2"/>
  <c r="AN120" i="2"/>
  <c r="AT141" i="2"/>
  <c r="AN141" i="2"/>
  <c r="AC141" i="2"/>
  <c r="AT106" i="2"/>
  <c r="AN106" i="2"/>
  <c r="AC106" i="2"/>
  <c r="AT9" i="2"/>
  <c r="AN9" i="2"/>
  <c r="AC9" i="2"/>
  <c r="AT428" i="2"/>
  <c r="AN428" i="2"/>
  <c r="AC428" i="2"/>
  <c r="AT254" i="2"/>
  <c r="AN254" i="2"/>
  <c r="AC254" i="2"/>
  <c r="AT46" i="2"/>
  <c r="AN46" i="2"/>
  <c r="AC46" i="2"/>
  <c r="AT59" i="2"/>
  <c r="AN59" i="2"/>
  <c r="AC59" i="2"/>
  <c r="AD641" i="2"/>
  <c r="AD826" i="2"/>
  <c r="AD719" i="2"/>
  <c r="AD972" i="2"/>
  <c r="AD865" i="2"/>
  <c r="AD644" i="2"/>
  <c r="AD756" i="2"/>
  <c r="AD135" i="2"/>
  <c r="AD849" i="2"/>
  <c r="AF509" i="2"/>
  <c r="AF594" i="2"/>
  <c r="AD594" i="2"/>
  <c r="AF78" i="2"/>
  <c r="AD78" i="2"/>
  <c r="AF622" i="2"/>
  <c r="AD622" i="2"/>
  <c r="AF676" i="2"/>
  <c r="AD676" i="2"/>
  <c r="AF770" i="2"/>
  <c r="AD770" i="2"/>
  <c r="AF769" i="2"/>
  <c r="AD769" i="2"/>
  <c r="AF786" i="2"/>
  <c r="AF988" i="2"/>
  <c r="AF909" i="2"/>
  <c r="AD909" i="2"/>
  <c r="AF975" i="2"/>
  <c r="AF809" i="2"/>
  <c r="AD809" i="2"/>
  <c r="AF886" i="2"/>
  <c r="AD886" i="2"/>
  <c r="AF806" i="2"/>
  <c r="AD806" i="2"/>
  <c r="AF924" i="2"/>
  <c r="AF878" i="2"/>
  <c r="AD878" i="2"/>
  <c r="AF935" i="2"/>
  <c r="AF874" i="2"/>
  <c r="AD874" i="2"/>
  <c r="AT8" i="2"/>
  <c r="AN8" i="2"/>
  <c r="AC8" i="2"/>
  <c r="AT220" i="2"/>
  <c r="AN220" i="2"/>
  <c r="AC220" i="2"/>
  <c r="AT423" i="2"/>
  <c r="AN423" i="2"/>
  <c r="AC423" i="2"/>
  <c r="AT563" i="2"/>
  <c r="AN563" i="2"/>
  <c r="AC563" i="2"/>
  <c r="AT490" i="2"/>
  <c r="AN490" i="2"/>
  <c r="AC490" i="2"/>
  <c r="AT264" i="2"/>
  <c r="AN264" i="2"/>
  <c r="AC264" i="2"/>
  <c r="AT155" i="2"/>
  <c r="AN155" i="2"/>
  <c r="AC155" i="2"/>
  <c r="AT115" i="2"/>
  <c r="AN115" i="2"/>
  <c r="AC115" i="2"/>
  <c r="AT532" i="2"/>
  <c r="AN532" i="2"/>
  <c r="AC532" i="2"/>
  <c r="AT583" i="2"/>
  <c r="AC583" i="2"/>
  <c r="AN583" i="2"/>
  <c r="AT443" i="2"/>
  <c r="AN443" i="2"/>
  <c r="AC443" i="2"/>
  <c r="AT77" i="2"/>
  <c r="AC77" i="2"/>
  <c r="AN77" i="2"/>
  <c r="AT12" i="2"/>
  <c r="AN12" i="2"/>
  <c r="AC12" i="2"/>
  <c r="AT205" i="2"/>
  <c r="AN205" i="2"/>
  <c r="AC205" i="2"/>
  <c r="AT130" i="2"/>
  <c r="AC130" i="2"/>
  <c r="AN130" i="2"/>
  <c r="AT338" i="2"/>
  <c r="AN338" i="2"/>
  <c r="AC338" i="2"/>
  <c r="AT317" i="2"/>
  <c r="AC317" i="2"/>
  <c r="AN317" i="2"/>
  <c r="AT371" i="2"/>
  <c r="AN371" i="2"/>
  <c r="AC371" i="2"/>
  <c r="AT432" i="2"/>
  <c r="AN432" i="2"/>
  <c r="AC432" i="2"/>
  <c r="AT399" i="2"/>
  <c r="AN399" i="2"/>
  <c r="AC399" i="2"/>
  <c r="AT391" i="2"/>
  <c r="AN391" i="2"/>
  <c r="AC391" i="2"/>
  <c r="AT481" i="2"/>
  <c r="AN481" i="2"/>
  <c r="AC481" i="2"/>
  <c r="AT15" i="2"/>
  <c r="AN15" i="2"/>
  <c r="AC15" i="2"/>
  <c r="AT753" i="2"/>
  <c r="AN753" i="2"/>
  <c r="AC753" i="2"/>
  <c r="AT498" i="2"/>
  <c r="AN498" i="2"/>
  <c r="AC498" i="2"/>
  <c r="AT405" i="2"/>
  <c r="AC405" i="2"/>
  <c r="AN405" i="2"/>
  <c r="AT449" i="2"/>
  <c r="AN449" i="2"/>
  <c r="AC449" i="2"/>
  <c r="AT283" i="2"/>
  <c r="AN283" i="2"/>
  <c r="AC283" i="2"/>
  <c r="AT545" i="2"/>
  <c r="AN545" i="2"/>
  <c r="AC545" i="2"/>
  <c r="AT176" i="2"/>
  <c r="AN176" i="2"/>
  <c r="AC176" i="2"/>
  <c r="AT346" i="2"/>
  <c r="AN346" i="2"/>
  <c r="AC346" i="2"/>
  <c r="AT360" i="2"/>
  <c r="AN360" i="2"/>
  <c r="AC360" i="2"/>
  <c r="AT112" i="2"/>
  <c r="AC112" i="2"/>
  <c r="AN112" i="2"/>
  <c r="AT198" i="2"/>
  <c r="AN198" i="2"/>
  <c r="AC198" i="2"/>
  <c r="AT301" i="2"/>
  <c r="AN301" i="2"/>
  <c r="AC301" i="2"/>
  <c r="AT121" i="2"/>
  <c r="AN121" i="2"/>
  <c r="AC121" i="2"/>
  <c r="AT55" i="2"/>
  <c r="AN55" i="2"/>
  <c r="AC55" i="2"/>
  <c r="AT635" i="2"/>
  <c r="AN635" i="2"/>
  <c r="AC635" i="2"/>
  <c r="AT561" i="2"/>
  <c r="AN561" i="2"/>
  <c r="AC561" i="2"/>
  <c r="AT266" i="2"/>
  <c r="AN266" i="2"/>
  <c r="AC266" i="2"/>
  <c r="AT531" i="2"/>
  <c r="AC531" i="2"/>
  <c r="AN531" i="2"/>
  <c r="AT553" i="2"/>
  <c r="AN553" i="2"/>
  <c r="AC553" i="2"/>
  <c r="AT339" i="2"/>
  <c r="AN339" i="2"/>
  <c r="AC339" i="2"/>
  <c r="AT320" i="2"/>
  <c r="AN320" i="2"/>
  <c r="AC320" i="2"/>
  <c r="AT330" i="2"/>
  <c r="AC330" i="2"/>
  <c r="AN330" i="2"/>
  <c r="AT559" i="2"/>
  <c r="AN559" i="2"/>
  <c r="AC559" i="2"/>
  <c r="AT370" i="2"/>
  <c r="AN370" i="2"/>
  <c r="AC370" i="2"/>
  <c r="AT145" i="2"/>
  <c r="AN145" i="2"/>
  <c r="AC145" i="2"/>
  <c r="AT50" i="2"/>
  <c r="AN50" i="2"/>
  <c r="AC50" i="2"/>
  <c r="AD693" i="2"/>
  <c r="AD720" i="2"/>
  <c r="AD850" i="2"/>
  <c r="AD893" i="2"/>
  <c r="AD747" i="2"/>
  <c r="AD892" i="2"/>
  <c r="AF508" i="2"/>
  <c r="AD508" i="2"/>
  <c r="AF527" i="2"/>
  <c r="AD527" i="2"/>
  <c r="AF519" i="2"/>
  <c r="AF518" i="2"/>
  <c r="AD518" i="2"/>
  <c r="AF609" i="2"/>
  <c r="AF658" i="2"/>
  <c r="AF670" i="2"/>
  <c r="AD670" i="2"/>
  <c r="AF683" i="2"/>
  <c r="AD683" i="2"/>
  <c r="AF721" i="2"/>
  <c r="AD721" i="2"/>
  <c r="AF742" i="2"/>
  <c r="AF762" i="2"/>
  <c r="AF794" i="2"/>
  <c r="AD794" i="2"/>
  <c r="AF911" i="2"/>
  <c r="AF884" i="2"/>
  <c r="AD884" i="2"/>
  <c r="AF805" i="2"/>
  <c r="AD805" i="2"/>
  <c r="AF901" i="2"/>
  <c r="AF997" i="2"/>
  <c r="AF926" i="2"/>
  <c r="AF920" i="2"/>
  <c r="AF897" i="2"/>
  <c r="AD897" i="2"/>
  <c r="AF864" i="2"/>
  <c r="AD864" i="2"/>
  <c r="AF977" i="2"/>
  <c r="AF827" i="2"/>
  <c r="AD827" i="2"/>
  <c r="AF936" i="2"/>
  <c r="AF981" i="2"/>
  <c r="J381" i="32"/>
  <c r="J379" i="32" s="1"/>
  <c r="J378" i="32" s="1"/>
  <c r="K378" i="32" s="1"/>
  <c r="AT261" i="2"/>
  <c r="AC261" i="2"/>
  <c r="AN261" i="2"/>
  <c r="AT536" i="2"/>
  <c r="AN536" i="2"/>
  <c r="AC536" i="2"/>
  <c r="AT326" i="2"/>
  <c r="AN326" i="2"/>
  <c r="AC326" i="2"/>
  <c r="AT29" i="2"/>
  <c r="AN29" i="2"/>
  <c r="AC29" i="2"/>
  <c r="AT579" i="2"/>
  <c r="AN579" i="2"/>
  <c r="AC579" i="2"/>
  <c r="AT223" i="2"/>
  <c r="AC223" i="2"/>
  <c r="AN223" i="2"/>
  <c r="AT575" i="2"/>
  <c r="AN575" i="2"/>
  <c r="AC575" i="2"/>
  <c r="AG44" i="24"/>
  <c r="AT265" i="2"/>
  <c r="AN265" i="2"/>
  <c r="AC265" i="2"/>
  <c r="AT268" i="2"/>
  <c r="AN268" i="2"/>
  <c r="AC268" i="2"/>
  <c r="AT479" i="2"/>
  <c r="AN479" i="2"/>
  <c r="AC479" i="2"/>
  <c r="AT390" i="2"/>
  <c r="AN390" i="2"/>
  <c r="AC390" i="2"/>
  <c r="AT242" i="2"/>
  <c r="AN242" i="2"/>
  <c r="AC242" i="2"/>
  <c r="AT16" i="2"/>
  <c r="AN16" i="2"/>
  <c r="AC16" i="2"/>
  <c r="AT27" i="2"/>
  <c r="AN27" i="2"/>
  <c r="AC27" i="2"/>
  <c r="AT305" i="2"/>
  <c r="AC305" i="2"/>
  <c r="AN305" i="2"/>
  <c r="AT491" i="2"/>
  <c r="AN491" i="2"/>
  <c r="AC491" i="2"/>
  <c r="AT419" i="2"/>
  <c r="AN419" i="2"/>
  <c r="AC419" i="2"/>
  <c r="AT279" i="2"/>
  <c r="AN279" i="2"/>
  <c r="AC279" i="2"/>
  <c r="AT456" i="2"/>
  <c r="AN456" i="2"/>
  <c r="AC456" i="2"/>
  <c r="AT107" i="2"/>
  <c r="AN107" i="2"/>
  <c r="AC107" i="2"/>
  <c r="AT101" i="2"/>
  <c r="AC101" i="2"/>
  <c r="AN101" i="2"/>
  <c r="AT659" i="2"/>
  <c r="AN659" i="2"/>
  <c r="AC659" i="2"/>
  <c r="AT394" i="2"/>
  <c r="AN394" i="2"/>
  <c r="AC394" i="2"/>
  <c r="AT66" i="2"/>
  <c r="AC66" i="2"/>
  <c r="AN66" i="2"/>
  <c r="AT358" i="2"/>
  <c r="AN358" i="2"/>
  <c r="AC358" i="2"/>
  <c r="AT495" i="2"/>
  <c r="AN495" i="2"/>
  <c r="AC495" i="2"/>
  <c r="AT476" i="2"/>
  <c r="AN476" i="2"/>
  <c r="AC476" i="2"/>
  <c r="AT86" i="2"/>
  <c r="AN86" i="2"/>
  <c r="AC86" i="2"/>
  <c r="AT64" i="2"/>
  <c r="AC64" i="2"/>
  <c r="AN64" i="2"/>
  <c r="AT187" i="2"/>
  <c r="AN187" i="2"/>
  <c r="AC187" i="2"/>
  <c r="AT610" i="2"/>
  <c r="AN610" i="2"/>
  <c r="AC610" i="2"/>
  <c r="AT225" i="2"/>
  <c r="AN225" i="2"/>
  <c r="AC225" i="2"/>
  <c r="AT138" i="2"/>
  <c r="AN138" i="2"/>
  <c r="AC138" i="2"/>
  <c r="AT411" i="2"/>
  <c r="AN411" i="2"/>
  <c r="AC411" i="2"/>
  <c r="AT402" i="2"/>
  <c r="AC402" i="2"/>
  <c r="AN402" i="2"/>
  <c r="AT565" i="2"/>
  <c r="AN565" i="2"/>
  <c r="AC565" i="2"/>
  <c r="AT355" i="2"/>
  <c r="AC355" i="2"/>
  <c r="AN355" i="2"/>
  <c r="AT140" i="2"/>
  <c r="AN140" i="2"/>
  <c r="AC140" i="2"/>
  <c r="AT241" i="2"/>
  <c r="AN241" i="2"/>
  <c r="AC241" i="2"/>
  <c r="AT124" i="2"/>
  <c r="AN124" i="2"/>
  <c r="AC124" i="2"/>
  <c r="AD713" i="2"/>
  <c r="AD528" i="2"/>
  <c r="AD799" i="2"/>
  <c r="AD939" i="2"/>
  <c r="AD606" i="2"/>
  <c r="AD852" i="2"/>
  <c r="AD526" i="2"/>
  <c r="AD71" i="2"/>
  <c r="AF513" i="2"/>
  <c r="AF590" i="2"/>
  <c r="AD590" i="2"/>
  <c r="AF608" i="2"/>
  <c r="AF614" i="2"/>
  <c r="AD614" i="2"/>
  <c r="AF643" i="2"/>
  <c r="AD643" i="2"/>
  <c r="AF761" i="2"/>
  <c r="AD761" i="2"/>
  <c r="AF784" i="2"/>
  <c r="AD784" i="2"/>
  <c r="AF833" i="2"/>
  <c r="AD833" i="2"/>
  <c r="AF872" i="2"/>
  <c r="AD872" i="2"/>
  <c r="AF966" i="2"/>
  <c r="AF807" i="2"/>
  <c r="AD807" i="2"/>
  <c r="AF842" i="2"/>
  <c r="AF820" i="2"/>
  <c r="AD820" i="2"/>
  <c r="AF846" i="2"/>
  <c r="AD846" i="2"/>
  <c r="AF996" i="2"/>
  <c r="AF952" i="2"/>
  <c r="AF879" i="2"/>
  <c r="AD879" i="2"/>
  <c r="AT353" i="2"/>
  <c r="AN353" i="2"/>
  <c r="AC353" i="2"/>
  <c r="J333" i="32"/>
  <c r="AT189" i="2"/>
  <c r="AN189" i="2"/>
  <c r="AC189" i="2"/>
  <c r="AT286" i="2"/>
  <c r="AN286" i="2"/>
  <c r="AC286" i="2"/>
  <c r="AT572" i="2"/>
  <c r="AN572" i="2"/>
  <c r="AC572" i="2"/>
  <c r="AT255" i="2"/>
  <c r="AN255" i="2"/>
  <c r="AC255" i="2"/>
  <c r="AT441" i="2"/>
  <c r="AN441" i="2"/>
  <c r="AC441" i="2"/>
  <c r="AT20" i="2"/>
  <c r="AN20" i="2"/>
  <c r="AC20" i="2"/>
  <c r="AT45" i="2"/>
  <c r="AN45" i="2"/>
  <c r="AC45" i="2"/>
  <c r="AT85" i="2"/>
  <c r="AN85" i="2"/>
  <c r="AC85" i="2"/>
  <c r="AT773" i="2"/>
  <c r="AN773" i="2"/>
  <c r="AC773" i="2"/>
  <c r="AT153" i="2"/>
  <c r="AN153" i="2"/>
  <c r="AC153" i="2"/>
  <c r="AT426" i="2"/>
  <c r="AN426" i="2"/>
  <c r="AC426" i="2"/>
  <c r="AT395" i="2"/>
  <c r="AN395" i="2"/>
  <c r="AC395" i="2"/>
  <c r="AT165" i="2"/>
  <c r="AN165" i="2"/>
  <c r="AC165" i="2"/>
  <c r="AT554" i="2"/>
  <c r="AN554" i="2"/>
  <c r="AC554" i="2"/>
  <c r="AT95" i="2"/>
  <c r="AN95" i="2"/>
  <c r="AC95" i="2"/>
  <c r="AT171" i="2"/>
  <c r="AC171" i="2"/>
  <c r="AN171" i="2"/>
  <c r="AT123" i="2"/>
  <c r="AN123" i="2"/>
  <c r="AC123" i="2"/>
  <c r="AT681" i="2"/>
  <c r="AN681" i="2"/>
  <c r="AC681" i="2"/>
  <c r="AT523" i="2"/>
  <c r="AN523" i="2"/>
  <c r="AC523" i="2"/>
  <c r="AT558" i="2"/>
  <c r="AC558" i="2"/>
  <c r="AN558" i="2"/>
  <c r="AT696" i="2"/>
  <c r="AN696" i="2"/>
  <c r="AC696" i="2"/>
  <c r="AT446" i="2"/>
  <c r="AN446" i="2"/>
  <c r="AC446" i="2"/>
  <c r="AG55" i="24"/>
  <c r="AT232" i="2"/>
  <c r="AN232" i="2"/>
  <c r="AC232" i="2"/>
  <c r="AG85" i="24"/>
  <c r="AT258" i="2"/>
  <c r="AN258" i="2"/>
  <c r="AC258" i="2"/>
  <c r="AT407" i="2"/>
  <c r="AN407" i="2"/>
  <c r="AC407" i="2"/>
  <c r="AT484" i="2"/>
  <c r="AN484" i="2"/>
  <c r="AC484" i="2"/>
  <c r="AT222" i="2"/>
  <c r="AC222" i="2"/>
  <c r="AN222" i="2"/>
  <c r="AT304" i="2"/>
  <c r="AN304" i="2"/>
  <c r="AC304" i="2"/>
  <c r="AT297" i="2"/>
  <c r="AN297" i="2"/>
  <c r="AC297" i="2"/>
  <c r="AT314" i="2"/>
  <c r="AC314" i="2"/>
  <c r="AN314" i="2"/>
  <c r="AT56" i="2"/>
  <c r="AN56" i="2"/>
  <c r="AC56" i="2"/>
  <c r="AT546" i="2"/>
  <c r="AC546" i="2"/>
  <c r="AN546" i="2"/>
  <c r="AT414" i="2"/>
  <c r="AN414" i="2"/>
  <c r="AC414" i="2"/>
  <c r="AG28" i="24"/>
  <c r="AT244" i="2"/>
  <c r="AN244" i="2"/>
  <c r="AC244" i="2"/>
  <c r="AT372" i="2"/>
  <c r="AN372" i="2"/>
  <c r="AC372" i="2"/>
  <c r="AT505" i="2"/>
  <c r="AN505" i="2"/>
  <c r="AC505" i="2"/>
  <c r="AT730" i="2"/>
  <c r="AC730" i="2"/>
  <c r="AN730" i="2"/>
  <c r="AT136" i="2"/>
  <c r="AN136" i="2"/>
  <c r="AC136" i="2"/>
  <c r="AT90" i="2"/>
  <c r="AN90" i="2"/>
  <c r="AC90" i="2"/>
  <c r="AT383" i="2"/>
  <c r="AN383" i="2"/>
  <c r="AC383" i="2"/>
  <c r="AT403" i="2"/>
  <c r="AN403" i="2"/>
  <c r="AC403" i="2"/>
  <c r="AT343" i="2"/>
  <c r="AN343" i="2"/>
  <c r="AC343" i="2"/>
  <c r="AT207" i="2"/>
  <c r="AN207" i="2"/>
  <c r="AC207" i="2"/>
  <c r="AT466" i="2"/>
  <c r="AN466" i="2"/>
  <c r="AC466" i="2"/>
  <c r="AD843" i="2"/>
  <c r="AF593" i="2"/>
  <c r="AD593" i="2"/>
  <c r="AF503" i="2"/>
  <c r="AF598" i="2"/>
  <c r="AD598" i="2"/>
  <c r="AF626" i="2"/>
  <c r="AD626" i="2"/>
  <c r="AF662" i="2"/>
  <c r="AD662" i="2"/>
  <c r="AF689" i="2"/>
  <c r="AD689" i="2"/>
  <c r="AF619" i="2"/>
  <c r="AD619" i="2"/>
  <c r="AF697" i="2"/>
  <c r="AD697" i="2"/>
  <c r="AF727" i="2"/>
  <c r="AD727" i="2"/>
  <c r="AF780" i="2"/>
  <c r="AD780" i="2"/>
  <c r="AF763" i="2"/>
  <c r="AF869" i="2"/>
  <c r="AF871" i="2"/>
  <c r="AD871" i="2"/>
  <c r="AF974" i="2"/>
  <c r="AF862" i="2"/>
  <c r="AD862" i="2"/>
  <c r="AF954" i="2"/>
  <c r="AF995" i="2"/>
  <c r="AD995" i="2"/>
  <c r="AF942" i="2"/>
  <c r="AF968" i="2"/>
  <c r="AF984" i="2"/>
  <c r="AF976" i="2"/>
  <c r="AT470" i="2"/>
  <c r="AN470" i="2"/>
  <c r="AC470" i="2"/>
  <c r="AT73" i="2"/>
  <c r="AN73" i="2"/>
  <c r="AC73" i="2"/>
  <c r="AT82" i="2"/>
  <c r="AN82" i="2"/>
  <c r="AC82" i="2"/>
  <c r="AT154" i="2"/>
  <c r="AC154" i="2"/>
  <c r="AN154" i="2"/>
  <c r="J295" i="30"/>
  <c r="AT166" i="2"/>
  <c r="AN166" i="2"/>
  <c r="AC166" i="2"/>
  <c r="AT334" i="2"/>
  <c r="AN334" i="2"/>
  <c r="AC334" i="2"/>
  <c r="AT182" i="2"/>
  <c r="AN182" i="2"/>
  <c r="AC182" i="2"/>
  <c r="AT438" i="2"/>
  <c r="AN438" i="2"/>
  <c r="AC438" i="2"/>
  <c r="AT455" i="2"/>
  <c r="AC455" i="2"/>
  <c r="AN455" i="2"/>
  <c r="AT159" i="2"/>
  <c r="AC159" i="2"/>
  <c r="AN159" i="2"/>
  <c r="AT420" i="2"/>
  <c r="AN420" i="2"/>
  <c r="AC420" i="2"/>
  <c r="AT749" i="2"/>
  <c r="AC749" i="2"/>
  <c r="AN749" i="2"/>
  <c r="AT347" i="2"/>
  <c r="AN347" i="2"/>
  <c r="AC347" i="2"/>
  <c r="AT19" i="2"/>
  <c r="AN19" i="2"/>
  <c r="AC19" i="2"/>
  <c r="AT303" i="2"/>
  <c r="AN303" i="2"/>
  <c r="AC303" i="2"/>
  <c r="AT433" i="2"/>
  <c r="AN433" i="2"/>
  <c r="AC433" i="2"/>
  <c r="AT692" i="2"/>
  <c r="AN692" i="2"/>
  <c r="AC692" i="2"/>
  <c r="AT192" i="2"/>
  <c r="AN192" i="2"/>
  <c r="AC192" i="2"/>
  <c r="AT447" i="2"/>
  <c r="AC447" i="2"/>
  <c r="AN447" i="2"/>
  <c r="AT586" i="2"/>
  <c r="AC586" i="2"/>
  <c r="AN586" i="2"/>
  <c r="AT421" i="2"/>
  <c r="AN421" i="2"/>
  <c r="AC421" i="2"/>
  <c r="AT379" i="2"/>
  <c r="AN379" i="2"/>
  <c r="AC379" i="2"/>
  <c r="AT422" i="2"/>
  <c r="AN422" i="2"/>
  <c r="AC422" i="2"/>
  <c r="AT239" i="2"/>
  <c r="AN239" i="2"/>
  <c r="AC239" i="2"/>
  <c r="AT585" i="2"/>
  <c r="AN585" i="2"/>
  <c r="AC585" i="2"/>
  <c r="AT170" i="2"/>
  <c r="AN170" i="2"/>
  <c r="AC170" i="2"/>
  <c r="AT216" i="2"/>
  <c r="AN216" i="2"/>
  <c r="AC216" i="2"/>
  <c r="AT453" i="2"/>
  <c r="AN453" i="2"/>
  <c r="AC453" i="2"/>
  <c r="AT539" i="2"/>
  <c r="AN539" i="2"/>
  <c r="AC539" i="2"/>
  <c r="AT674" i="2"/>
  <c r="AN674" i="2"/>
  <c r="AC674" i="2"/>
  <c r="AT36" i="2"/>
  <c r="AN36" i="2"/>
  <c r="AC36" i="2"/>
  <c r="AT497" i="2"/>
  <c r="AN497" i="2"/>
  <c r="AC497" i="2"/>
  <c r="AT111" i="2"/>
  <c r="AN111" i="2"/>
  <c r="AC111" i="2"/>
  <c r="AT507" i="2"/>
  <c r="AN507" i="2"/>
  <c r="AC507" i="2"/>
  <c r="AT551" i="2"/>
  <c r="AN551" i="2"/>
  <c r="AC551" i="2"/>
  <c r="AT465" i="2"/>
  <c r="AN465" i="2"/>
  <c r="AC465" i="2"/>
  <c r="AT566" i="2"/>
  <c r="AN566" i="2"/>
  <c r="AC566" i="2"/>
  <c r="AT716" i="2"/>
  <c r="AN716" i="2"/>
  <c r="AC716" i="2"/>
  <c r="AT482" i="2"/>
  <c r="AN482" i="2"/>
  <c r="AC482" i="2"/>
  <c r="AT413" i="2"/>
  <c r="AC413" i="2"/>
  <c r="AN413" i="2"/>
  <c r="AT750" i="2"/>
  <c r="AN750" i="2"/>
  <c r="AC750" i="2"/>
  <c r="J309" i="32"/>
  <c r="J307" i="32" s="1"/>
  <c r="AT257" i="2"/>
  <c r="AC257" i="2"/>
  <c r="AN257" i="2"/>
  <c r="AT367" i="2"/>
  <c r="AN367" i="2"/>
  <c r="AC367" i="2"/>
  <c r="AT328" i="2"/>
  <c r="AC328" i="2"/>
  <c r="AN328" i="2"/>
  <c r="AT461" i="2"/>
  <c r="AN461" i="2"/>
  <c r="AC461" i="2"/>
  <c r="AD691" i="2"/>
  <c r="AD863" i="2"/>
  <c r="AD870" i="2"/>
  <c r="AD68" i="2"/>
  <c r="AD616" i="2"/>
  <c r="AD918" i="2"/>
  <c r="AF429" i="2"/>
  <c r="AD429" i="2"/>
  <c r="AF620" i="2"/>
  <c r="AD620" i="2"/>
  <c r="AF624" i="2"/>
  <c r="AD624" i="2"/>
  <c r="AF625" i="2"/>
  <c r="AD625" i="2"/>
  <c r="AF702" i="2"/>
  <c r="AD702" i="2"/>
  <c r="AF711" i="2"/>
  <c r="AD711" i="2"/>
  <c r="AF767" i="2"/>
  <c r="AD767" i="2"/>
  <c r="AF787" i="2"/>
  <c r="AF854" i="2"/>
  <c r="AD854" i="2"/>
  <c r="AF983" i="2"/>
  <c r="AF840" i="2"/>
  <c r="AD840" i="2"/>
  <c r="AF938" i="2"/>
  <c r="AD938" i="2"/>
  <c r="AF875" i="2"/>
  <c r="AF817" i="2"/>
  <c r="AF959" i="2"/>
  <c r="AD959" i="2"/>
  <c r="AF925" i="2"/>
  <c r="AF801" i="2"/>
  <c r="AD801" i="2"/>
  <c r="AF890" i="2"/>
  <c r="AF937" i="2"/>
  <c r="AF917" i="2"/>
  <c r="AF902" i="2"/>
  <c r="AT661" i="2"/>
  <c r="AN661" i="2"/>
  <c r="AC661" i="2"/>
  <c r="AT75" i="2"/>
  <c r="AN75" i="2"/>
  <c r="AC75" i="2"/>
  <c r="AT406" i="2"/>
  <c r="AN406" i="2"/>
  <c r="AC406" i="2"/>
  <c r="AT437" i="2"/>
  <c r="AN437" i="2"/>
  <c r="AC437" i="2"/>
  <c r="AT109" i="2"/>
  <c r="AN109" i="2"/>
  <c r="AC109" i="2"/>
  <c r="AT259" i="2"/>
  <c r="AN259" i="2"/>
  <c r="AC259" i="2"/>
  <c r="AT263" i="2"/>
  <c r="AN263" i="2"/>
  <c r="AC263" i="2"/>
  <c r="AT377" i="2"/>
  <c r="AC377" i="2"/>
  <c r="AN377" i="2"/>
  <c r="AT382" i="2"/>
  <c r="AN382" i="2"/>
  <c r="AC382" i="2"/>
  <c r="AT60" i="2"/>
  <c r="AN60" i="2"/>
  <c r="AC60" i="2"/>
  <c r="AT24" i="2"/>
  <c r="AN24" i="2"/>
  <c r="AC24" i="2"/>
  <c r="AG7" i="24"/>
  <c r="AT227" i="2"/>
  <c r="AN227" i="2"/>
  <c r="AC227" i="2"/>
  <c r="AT381" i="2"/>
  <c r="AN381" i="2"/>
  <c r="AC381" i="2"/>
  <c r="AT576" i="2"/>
  <c r="AN576" i="2"/>
  <c r="AC576" i="2"/>
  <c r="AT188" i="2"/>
  <c r="AN188" i="2"/>
  <c r="AC188" i="2"/>
  <c r="AT552" i="2"/>
  <c r="AN552" i="2"/>
  <c r="AC552" i="2"/>
  <c r="AT654" i="2"/>
  <c r="AC654" i="2"/>
  <c r="AN654" i="2"/>
  <c r="AT384" i="2"/>
  <c r="AN384" i="2"/>
  <c r="AC384" i="2"/>
  <c r="AT10" i="2"/>
  <c r="AN10" i="2"/>
  <c r="AC10" i="2"/>
  <c r="AT464" i="2"/>
  <c r="AN464" i="2"/>
  <c r="AC464" i="2"/>
  <c r="AT475" i="2"/>
  <c r="AN475" i="2"/>
  <c r="AC475" i="2"/>
  <c r="AT28" i="2"/>
  <c r="AC28" i="2"/>
  <c r="AN28" i="2"/>
  <c r="AT333" i="2"/>
  <c r="AN333" i="2"/>
  <c r="AC333" i="2"/>
  <c r="AT160" i="2"/>
  <c r="AN160" i="2"/>
  <c r="AC160" i="2"/>
  <c r="AT133" i="2"/>
  <c r="AN133" i="2"/>
  <c r="AC133" i="2"/>
  <c r="AT557" i="2"/>
  <c r="AC557" i="2"/>
  <c r="AN557" i="2"/>
  <c r="AT26" i="2"/>
  <c r="AN26" i="2"/>
  <c r="AC26" i="2"/>
  <c r="AT425" i="2"/>
  <c r="AC425" i="2"/>
  <c r="AN425" i="2"/>
  <c r="AT703" i="2"/>
  <c r="AN703" i="2"/>
  <c r="AC703" i="2"/>
  <c r="AT288" i="2"/>
  <c r="AN288" i="2"/>
  <c r="AC288" i="2"/>
  <c r="AT362" i="2"/>
  <c r="AN362" i="2"/>
  <c r="AC362" i="2"/>
  <c r="AT560" i="2"/>
  <c r="AN560" i="2"/>
  <c r="AC560" i="2"/>
  <c r="AT287" i="2"/>
  <c r="AN287" i="2"/>
  <c r="AC287" i="2"/>
  <c r="AT474" i="2"/>
  <c r="AN474" i="2"/>
  <c r="AC474" i="2"/>
  <c r="AT39" i="2"/>
  <c r="AN39" i="2"/>
  <c r="AC39" i="2"/>
  <c r="AT348" i="2"/>
  <c r="AN348" i="2"/>
  <c r="AC348" i="2"/>
  <c r="AT79" i="2"/>
  <c r="AN79" i="2"/>
  <c r="AC79" i="2"/>
  <c r="AT128" i="2"/>
  <c r="AN128" i="2"/>
  <c r="AC128" i="2"/>
  <c r="AT230" i="2"/>
  <c r="AN230" i="2"/>
  <c r="AC230" i="2"/>
  <c r="AT324" i="2"/>
  <c r="AN324" i="2"/>
  <c r="AC324" i="2"/>
  <c r="AT38" i="2"/>
  <c r="AN38" i="2"/>
  <c r="AC38" i="2"/>
  <c r="AT489" i="2"/>
  <c r="AN489" i="2"/>
  <c r="AC489" i="2"/>
  <c r="AT540" i="2"/>
  <c r="AN540" i="2"/>
  <c r="AC540" i="2"/>
  <c r="AT243" i="2"/>
  <c r="AN243" i="2"/>
  <c r="AC243" i="2"/>
  <c r="AT173" i="2"/>
  <c r="AN173" i="2"/>
  <c r="AC173" i="2"/>
  <c r="AT204" i="2"/>
  <c r="AN204" i="2"/>
  <c r="AC204" i="2"/>
  <c r="AT522" i="2"/>
  <c r="AN522" i="2"/>
  <c r="AC522" i="2"/>
  <c r="AT615" i="2"/>
  <c r="AN615" i="2"/>
  <c r="AC615" i="2"/>
  <c r="AT94" i="2"/>
  <c r="AN94" i="2"/>
  <c r="AC94" i="2"/>
  <c r="AT404" i="2"/>
  <c r="AN404" i="2"/>
  <c r="AC404" i="2"/>
  <c r="AD744" i="2"/>
  <c r="AD687" i="2"/>
  <c r="AD782" i="2"/>
  <c r="AF602" i="2"/>
  <c r="AF640" i="2"/>
  <c r="AD640" i="2"/>
  <c r="AF607" i="2"/>
  <c r="AF668" i="2"/>
  <c r="AF688" i="2"/>
  <c r="AF755" i="2"/>
  <c r="AD755" i="2"/>
  <c r="AF751" i="2"/>
  <c r="AD751" i="2"/>
  <c r="AF783" i="2"/>
  <c r="AD783" i="2"/>
  <c r="AF992" i="2"/>
  <c r="AF979" i="2"/>
  <c r="AD979" i="2"/>
  <c r="AF967" i="2"/>
  <c r="AF855" i="2"/>
  <c r="AF962" i="2"/>
  <c r="AF829" i="2"/>
  <c r="AD829" i="2"/>
  <c r="AF906" i="2"/>
  <c r="AD906" i="2"/>
  <c r="AF821" i="2"/>
  <c r="AD821" i="2"/>
  <c r="AF990" i="2"/>
  <c r="AF907" i="2"/>
  <c r="AD907" i="2"/>
  <c r="AF883" i="2"/>
  <c r="AD883" i="2"/>
  <c r="AT591" i="2"/>
  <c r="AN591" i="2"/>
  <c r="AC591" i="2"/>
  <c r="AT315" i="2"/>
  <c r="AN315" i="2"/>
  <c r="AC315" i="2"/>
  <c r="AT577" i="2"/>
  <c r="AN577" i="2"/>
  <c r="AC577" i="2"/>
  <c r="AT473" i="2"/>
  <c r="AC473" i="2"/>
  <c r="AN473" i="2"/>
  <c r="AT48" i="2"/>
  <c r="AN48" i="2"/>
  <c r="AC48" i="2"/>
  <c r="AT114" i="2"/>
  <c r="AN114" i="2"/>
  <c r="AC114" i="2"/>
  <c r="AT389" i="2"/>
  <c r="AC389" i="2"/>
  <c r="AN389" i="2"/>
  <c r="J390" i="32"/>
  <c r="AT269" i="2"/>
  <c r="AN269" i="2"/>
  <c r="AC269" i="2"/>
  <c r="AT139" i="2"/>
  <c r="AC139" i="2"/>
  <c r="AN139" i="2"/>
  <c r="AT49" i="2"/>
  <c r="AN49" i="2"/>
  <c r="AC49" i="2"/>
  <c r="AT496" i="2"/>
  <c r="AC496" i="2"/>
  <c r="AN496" i="2"/>
  <c r="AT445" i="2"/>
  <c r="AN445" i="2"/>
  <c r="AC445" i="2"/>
  <c r="AT580" i="2"/>
  <c r="AN580" i="2"/>
  <c r="AC580" i="2"/>
  <c r="AT667" i="2"/>
  <c r="AN667" i="2"/>
  <c r="AC667" i="2"/>
  <c r="AT500" i="2"/>
  <c r="AN500" i="2"/>
  <c r="AC500" i="2"/>
  <c r="AT276" i="2"/>
  <c r="AN276" i="2"/>
  <c r="AC276" i="2"/>
  <c r="AT499" i="2"/>
  <c r="AC499" i="2"/>
  <c r="AN499" i="2"/>
  <c r="AT699" i="2"/>
  <c r="AN699" i="2"/>
  <c r="AC699" i="2"/>
  <c r="AT342" i="2"/>
  <c r="AC342" i="2"/>
  <c r="AN342" i="2"/>
  <c r="AT51" i="2"/>
  <c r="AN51" i="2"/>
  <c r="AC51" i="2"/>
  <c r="AT511" i="2"/>
  <c r="AN511" i="2"/>
  <c r="AC511" i="2"/>
  <c r="AT295" i="2"/>
  <c r="AN295" i="2"/>
  <c r="AC295" i="2"/>
  <c r="AT284" i="2"/>
  <c r="AN284" i="2"/>
  <c r="AC284" i="2"/>
  <c r="AT152" i="2"/>
  <c r="AN152" i="2"/>
  <c r="AC152" i="2"/>
  <c r="AT623" i="2"/>
  <c r="AN623" i="2"/>
  <c r="AC623" i="2"/>
  <c r="AT217" i="2"/>
  <c r="AN217" i="2"/>
  <c r="AC217" i="2"/>
  <c r="AT33" i="2"/>
  <c r="AN33" i="2"/>
  <c r="AC33" i="2"/>
  <c r="AT669" i="2"/>
  <c r="AN669" i="2"/>
  <c r="AC669" i="2"/>
  <c r="AT448" i="2"/>
  <c r="AN448" i="2"/>
  <c r="AC448" i="2"/>
  <c r="AT184" i="2"/>
  <c r="AC184" i="2"/>
  <c r="AN184" i="2"/>
  <c r="AT129" i="2"/>
  <c r="AN129" i="2"/>
  <c r="AC129" i="2"/>
  <c r="AT452" i="2"/>
  <c r="AN452" i="2"/>
  <c r="AC452" i="2"/>
  <c r="AT690" i="2"/>
  <c r="AN690" i="2"/>
  <c r="AC690" i="2"/>
  <c r="AT392" i="2"/>
  <c r="AN392" i="2"/>
  <c r="AC392" i="2"/>
  <c r="AT274" i="2"/>
  <c r="AC274" i="2"/>
  <c r="AN274" i="2"/>
  <c r="AT568" i="2"/>
  <c r="AN568" i="2"/>
  <c r="AC568" i="2"/>
  <c r="AT671" i="2"/>
  <c r="AN671" i="2"/>
  <c r="AC671" i="2"/>
  <c r="AT306" i="2"/>
  <c r="AN306" i="2"/>
  <c r="AC306" i="2"/>
  <c r="AT510" i="2"/>
  <c r="AN510" i="2"/>
  <c r="AC510" i="2"/>
  <c r="AT211" i="2"/>
  <c r="AN211" i="2"/>
  <c r="AC211" i="2"/>
  <c r="AT385" i="2"/>
  <c r="AN385" i="2"/>
  <c r="AC385" i="2"/>
  <c r="AD857" i="2"/>
  <c r="AD597" i="2"/>
  <c r="AD818" i="2"/>
  <c r="AD768" i="2"/>
  <c r="AD914" i="2"/>
  <c r="AD724" i="2"/>
  <c r="AD666" i="2"/>
  <c r="AD808" i="2"/>
  <c r="AD632" i="2"/>
  <c r="AD758" i="2"/>
  <c r="AD766" i="2"/>
  <c r="AE245" i="2"/>
  <c r="M262" i="23"/>
  <c r="AI54" i="24"/>
  <c r="M86" i="23"/>
  <c r="M52" i="23"/>
  <c r="M167" i="23"/>
  <c r="P49" i="23"/>
  <c r="Q49" i="23" s="1"/>
  <c r="M139" i="23"/>
  <c r="M232" i="23"/>
  <c r="M8" i="23"/>
  <c r="M7" i="23"/>
  <c r="M95" i="23"/>
  <c r="P12" i="23"/>
  <c r="Q12" i="23" s="1"/>
  <c r="S11" i="23"/>
  <c r="P8" i="23"/>
  <c r="Q8" i="23" s="1"/>
  <c r="S36" i="23"/>
  <c r="N12" i="23"/>
  <c r="M83" i="23"/>
  <c r="P144" i="23"/>
  <c r="Q144" i="23" s="1"/>
  <c r="AI44" i="24"/>
  <c r="M11" i="23"/>
  <c r="M39" i="23"/>
  <c r="M272" i="23"/>
  <c r="J295" i="32"/>
  <c r="M125" i="23"/>
  <c r="M130" i="23"/>
  <c r="M98" i="23"/>
  <c r="S8" i="23"/>
  <c r="AN13" i="24"/>
  <c r="AZ13" i="24"/>
  <c r="AN78" i="24"/>
  <c r="AZ78" i="24"/>
  <c r="L335" i="32"/>
  <c r="AN68" i="24"/>
  <c r="AZ68" i="24"/>
  <c r="O78" i="23"/>
  <c r="AZ42" i="24"/>
  <c r="AZ70" i="24"/>
  <c r="AX83" i="24"/>
  <c r="AZ83" i="24"/>
  <c r="AH42" i="24"/>
  <c r="AH70" i="24"/>
  <c r="O138" i="23"/>
  <c r="T138" i="23" s="1"/>
  <c r="O257" i="23"/>
  <c r="AN100" i="24"/>
  <c r="AZ100" i="24"/>
  <c r="Z177" i="2"/>
  <c r="W13" i="24" s="1"/>
  <c r="AH13" i="24"/>
  <c r="AN91" i="24"/>
  <c r="AZ91" i="24"/>
  <c r="AN93" i="24"/>
  <c r="AZ93" i="24"/>
  <c r="H168" i="23"/>
  <c r="AH59" i="24"/>
  <c r="O43" i="23"/>
  <c r="T43" i="23" s="1"/>
  <c r="O193" i="23"/>
  <c r="O94" i="23"/>
  <c r="O113" i="23"/>
  <c r="T113" i="23" s="1"/>
  <c r="O173" i="23"/>
  <c r="O9" i="23"/>
  <c r="T9" i="23" s="1"/>
  <c r="O80" i="23"/>
  <c r="T80" i="23" s="1"/>
  <c r="O105" i="23"/>
  <c r="T105" i="23" s="1"/>
  <c r="AN74" i="24"/>
  <c r="AZ74" i="24"/>
  <c r="AB274" i="2"/>
  <c r="AF274" i="2" s="1"/>
  <c r="AZ14" i="24"/>
  <c r="AN26" i="24"/>
  <c r="AZ26" i="24"/>
  <c r="AN54" i="24"/>
  <c r="AZ54" i="24"/>
  <c r="AH47" i="24"/>
  <c r="AH49" i="24"/>
  <c r="AN22" i="24"/>
  <c r="AZ22" i="24"/>
  <c r="AN104" i="24"/>
  <c r="AZ104" i="24"/>
  <c r="O174" i="23"/>
  <c r="T174" i="23" s="1"/>
  <c r="AN37" i="24"/>
  <c r="AZ37" i="24"/>
  <c r="O56" i="23"/>
  <c r="T56" i="23" s="1"/>
  <c r="Z276" i="2"/>
  <c r="AY9" i="24" s="1"/>
  <c r="AZ9" i="24"/>
  <c r="O146" i="23"/>
  <c r="T146" i="23" s="1"/>
  <c r="O45" i="23"/>
  <c r="T45" i="23" s="1"/>
  <c r="O60" i="23"/>
  <c r="T60" i="23" s="1"/>
  <c r="O136" i="23"/>
  <c r="T136" i="23" s="1"/>
  <c r="O171" i="23"/>
  <c r="O140" i="23"/>
  <c r="T140" i="23" s="1"/>
  <c r="O240" i="23"/>
  <c r="T240" i="23" s="1"/>
  <c r="O120" i="23"/>
  <c r="AX49" i="24"/>
  <c r="AZ49" i="24"/>
  <c r="Z283" i="2"/>
  <c r="AY17" i="24" s="1"/>
  <c r="AZ17" i="24"/>
  <c r="O122" i="23"/>
  <c r="T122" i="23" s="1"/>
  <c r="O250" i="23"/>
  <c r="T250" i="23" s="1"/>
  <c r="O72" i="23"/>
  <c r="T72" i="23" s="1"/>
  <c r="AN32" i="24"/>
  <c r="AZ32" i="24"/>
  <c r="AN55" i="24"/>
  <c r="AZ55" i="24"/>
  <c r="Z298" i="2"/>
  <c r="O297" i="23" s="1"/>
  <c r="AZ106" i="24"/>
  <c r="AX64" i="24"/>
  <c r="AZ64" i="24"/>
  <c r="AH31" i="24"/>
  <c r="AH35" i="24"/>
  <c r="O134" i="23"/>
  <c r="O123" i="23"/>
  <c r="T123" i="23" s="1"/>
  <c r="O57" i="23"/>
  <c r="O267" i="23"/>
  <c r="O93" i="23"/>
  <c r="T93" i="23" s="1"/>
  <c r="O248" i="23"/>
  <c r="T248" i="23" s="1"/>
  <c r="O24" i="23"/>
  <c r="T24" i="23" s="1"/>
  <c r="O255" i="23"/>
  <c r="AN12" i="24"/>
  <c r="AZ12" i="24"/>
  <c r="AN53" i="24"/>
  <c r="AZ53" i="24"/>
  <c r="AB243" i="2"/>
  <c r="AF243" i="2" s="1"/>
  <c r="AH16" i="24"/>
  <c r="Z228" i="2"/>
  <c r="W66" i="24" s="1"/>
  <c r="AH66" i="24"/>
  <c r="H151" i="23"/>
  <c r="AH14" i="24"/>
  <c r="AN63" i="24"/>
  <c r="AZ63" i="24"/>
  <c r="AB349" i="2"/>
  <c r="AF349" i="2" s="1"/>
  <c r="AZ45" i="24"/>
  <c r="AX28" i="24"/>
  <c r="AZ28" i="24"/>
  <c r="Z320" i="2"/>
  <c r="AY97" i="24" s="1"/>
  <c r="AZ97" i="24"/>
  <c r="AB279" i="2"/>
  <c r="AF279" i="2" s="1"/>
  <c r="AZ18" i="24"/>
  <c r="O13" i="23"/>
  <c r="T13" i="23" s="1"/>
  <c r="O247" i="23"/>
  <c r="O242" i="23"/>
  <c r="T242" i="23" s="1"/>
  <c r="O10" i="23"/>
  <c r="T10" i="23" s="1"/>
  <c r="O214" i="23"/>
  <c r="T214" i="23" s="1"/>
  <c r="O61" i="23"/>
  <c r="T61" i="23" s="1"/>
  <c r="P268" i="23"/>
  <c r="Q268" i="23" s="1"/>
  <c r="AN95" i="24"/>
  <c r="AZ95" i="24"/>
  <c r="H226" i="23"/>
  <c r="L226" i="23" s="1"/>
  <c r="AH90" i="24"/>
  <c r="AH89" i="24"/>
  <c r="F294" i="32"/>
  <c r="AH26" i="24"/>
  <c r="AN77" i="24"/>
  <c r="AZ77" i="24"/>
  <c r="AN76" i="24"/>
  <c r="AZ76" i="24"/>
  <c r="AB324" i="2"/>
  <c r="AF324" i="2" s="1"/>
  <c r="AZ48" i="24"/>
  <c r="AN85" i="24"/>
  <c r="AZ85" i="24"/>
  <c r="O131" i="23"/>
  <c r="T131" i="23" s="1"/>
  <c r="AB229" i="2"/>
  <c r="AD229" i="2" s="1"/>
  <c r="AH111" i="24"/>
  <c r="AH104" i="24"/>
  <c r="O117" i="23"/>
  <c r="O97" i="23"/>
  <c r="T97" i="23" s="1"/>
  <c r="O130" i="23"/>
  <c r="T130" i="23" s="1"/>
  <c r="O148" i="23"/>
  <c r="O188" i="23"/>
  <c r="T188" i="23" s="1"/>
  <c r="O27" i="23"/>
  <c r="T27" i="23" s="1"/>
  <c r="O143" i="23"/>
  <c r="T143" i="23" s="1"/>
  <c r="AN72" i="24"/>
  <c r="AZ72" i="24"/>
  <c r="Z306" i="2"/>
  <c r="AY8" i="24" s="1"/>
  <c r="AZ8" i="24"/>
  <c r="AN56" i="24"/>
  <c r="AZ56" i="24"/>
  <c r="AB375" i="2"/>
  <c r="AZ94" i="24"/>
  <c r="AX66" i="24"/>
  <c r="AZ66" i="24"/>
  <c r="AN101" i="24"/>
  <c r="AZ101" i="24"/>
  <c r="AN44" i="24"/>
  <c r="AZ44" i="24"/>
  <c r="AB271" i="2"/>
  <c r="AF271" i="2" s="1"/>
  <c r="AZ20" i="24"/>
  <c r="Z238" i="2"/>
  <c r="W20" i="24" s="1"/>
  <c r="AH20" i="24"/>
  <c r="Z227" i="2"/>
  <c r="W7" i="24" s="1"/>
  <c r="AH7" i="24"/>
  <c r="AB346" i="2"/>
  <c r="AF346" i="2" s="1"/>
  <c r="AZ29" i="24"/>
  <c r="AN7" i="24"/>
  <c r="AZ7" i="24"/>
  <c r="F302" i="32"/>
  <c r="F300" i="32" s="1"/>
  <c r="AH39" i="24"/>
  <c r="AN33" i="24"/>
  <c r="AZ33" i="24"/>
  <c r="Z211" i="2"/>
  <c r="W91" i="24" s="1"/>
  <c r="AH91" i="24"/>
  <c r="AX60" i="24"/>
  <c r="AZ60" i="24"/>
  <c r="O64" i="23"/>
  <c r="O256" i="23"/>
  <c r="T256" i="23" s="1"/>
  <c r="O7" i="23"/>
  <c r="T7" i="23" s="1"/>
  <c r="O86" i="23"/>
  <c r="T86" i="23" s="1"/>
  <c r="AN15" i="24"/>
  <c r="AZ15" i="24"/>
  <c r="AN88" i="24"/>
  <c r="AZ88" i="24"/>
  <c r="Z284" i="2"/>
  <c r="AY39" i="24" s="1"/>
  <c r="AZ39" i="24"/>
  <c r="AN96" i="24"/>
  <c r="AZ96" i="24"/>
  <c r="AN19" i="24"/>
  <c r="AZ19" i="24"/>
  <c r="AN51" i="24"/>
  <c r="AZ51" i="24"/>
  <c r="Z180" i="2"/>
  <c r="W9" i="24" s="1"/>
  <c r="AH9" i="24"/>
  <c r="O77" i="23"/>
  <c r="T77" i="23" s="1"/>
  <c r="O87" i="23"/>
  <c r="T87" i="23" s="1"/>
  <c r="O89" i="23"/>
  <c r="T89" i="23" s="1"/>
  <c r="O49" i="23"/>
  <c r="T49" i="23" s="1"/>
  <c r="O160" i="23"/>
  <c r="T160" i="23" s="1"/>
  <c r="O99" i="23"/>
  <c r="T99" i="23" s="1"/>
  <c r="O291" i="23"/>
  <c r="T291" i="23" s="1"/>
  <c r="F342" i="32"/>
  <c r="AH67" i="24"/>
  <c r="Z288" i="2"/>
  <c r="AY46" i="24" s="1"/>
  <c r="AZ46" i="24"/>
  <c r="AB341" i="2"/>
  <c r="AF341" i="2" s="1"/>
  <c r="AZ79" i="24"/>
  <c r="AZ82" i="24"/>
  <c r="O55" i="23"/>
  <c r="T55" i="23" s="1"/>
  <c r="O132" i="23"/>
  <c r="O103" i="23"/>
  <c r="O95" i="23"/>
  <c r="T95" i="23" s="1"/>
  <c r="O112" i="23"/>
  <c r="T112" i="23" s="1"/>
  <c r="O124" i="23"/>
  <c r="T124" i="23" s="1"/>
  <c r="O91" i="23"/>
  <c r="T91" i="23" s="1"/>
  <c r="AN52" i="24"/>
  <c r="AZ52" i="24"/>
  <c r="Z196" i="2"/>
  <c r="W109" i="24" s="1"/>
  <c r="AH109" i="24"/>
  <c r="Z369" i="2"/>
  <c r="AY84" i="24" s="1"/>
  <c r="AZ84" i="24"/>
  <c r="Z249" i="2"/>
  <c r="W61" i="24" s="1"/>
  <c r="AH61" i="24"/>
  <c r="AN11" i="24"/>
  <c r="AZ11" i="24"/>
  <c r="O137" i="23"/>
  <c r="O83" i="23"/>
  <c r="T83" i="23" s="1"/>
  <c r="O16" i="23"/>
  <c r="O263" i="23"/>
  <c r="AN67" i="24"/>
  <c r="AZ67" i="24"/>
  <c r="Z181" i="2"/>
  <c r="W11" i="24" s="1"/>
  <c r="AH11" i="24"/>
  <c r="Z201" i="2"/>
  <c r="W62" i="24" s="1"/>
  <c r="AH62" i="24"/>
  <c r="AB258" i="2"/>
  <c r="AF258" i="2" s="1"/>
  <c r="AH85" i="24"/>
  <c r="AH86" i="24"/>
  <c r="AN73" i="24"/>
  <c r="AZ73" i="24"/>
  <c r="AN30" i="24"/>
  <c r="AZ30" i="24"/>
  <c r="Z310" i="2"/>
  <c r="AY23" i="24" s="1"/>
  <c r="AZ23" i="24"/>
  <c r="H176" i="23"/>
  <c r="AH53" i="24"/>
  <c r="AN62" i="24"/>
  <c r="AZ62" i="24"/>
  <c r="AN10" i="24"/>
  <c r="AZ10" i="24"/>
  <c r="AX21" i="24"/>
  <c r="AZ21" i="24"/>
  <c r="O194" i="23"/>
  <c r="T194" i="23" s="1"/>
  <c r="O44" i="23"/>
  <c r="T44" i="23" s="1"/>
  <c r="O29" i="23"/>
  <c r="O268" i="23"/>
  <c r="T268" i="23" s="1"/>
  <c r="AN42" i="24"/>
  <c r="O381" i="26"/>
  <c r="R269" i="23"/>
  <c r="P269" i="23" s="1"/>
  <c r="Q269" i="23" s="1"/>
  <c r="T255" i="32"/>
  <c r="R183" i="23"/>
  <c r="P183" i="23" s="1"/>
  <c r="Q183" i="23" s="1"/>
  <c r="O393" i="32"/>
  <c r="N393" i="32" s="1"/>
  <c r="O305" i="32"/>
  <c r="N305" i="32" s="1"/>
  <c r="O280" i="32"/>
  <c r="N280" i="32" s="1"/>
  <c r="O361" i="32"/>
  <c r="N361" i="32" s="1"/>
  <c r="N359" i="32" s="1"/>
  <c r="O356" i="32"/>
  <c r="N356" i="32" s="1"/>
  <c r="T10" i="32"/>
  <c r="R254" i="23"/>
  <c r="P254" i="23" s="1"/>
  <c r="Q254" i="23" s="1"/>
  <c r="O281" i="32"/>
  <c r="N281" i="32" s="1"/>
  <c r="O295" i="32"/>
  <c r="N295" i="32" s="1"/>
  <c r="T11" i="30"/>
  <c r="T26" i="32"/>
  <c r="O303" i="32"/>
  <c r="N303" i="32" s="1"/>
  <c r="O287" i="32"/>
  <c r="N287" i="32" s="1"/>
  <c r="N285" i="32" s="1"/>
  <c r="R257" i="23"/>
  <c r="T27" i="32"/>
  <c r="T19" i="30"/>
  <c r="O283" i="32"/>
  <c r="N283" i="32" s="1"/>
  <c r="R263" i="23"/>
  <c r="T13" i="30"/>
  <c r="AF757" i="2"/>
  <c r="M115" i="23"/>
  <c r="J226" i="23"/>
  <c r="AF83" i="2"/>
  <c r="M99" i="23"/>
  <c r="AF8" i="2"/>
  <c r="P7" i="23"/>
  <c r="Q7" i="23" s="1"/>
  <c r="AE68" i="24"/>
  <c r="S49" i="23"/>
  <c r="T10" i="30"/>
  <c r="T11" i="32"/>
  <c r="T26" i="30"/>
  <c r="T19" i="32"/>
  <c r="T13" i="32"/>
  <c r="T27" i="30"/>
  <c r="S105" i="23"/>
  <c r="G221" i="23"/>
  <c r="S221" i="23" s="1"/>
  <c r="S255" i="23"/>
  <c r="S366" i="30"/>
  <c r="G232" i="23"/>
  <c r="N232" i="23" s="1"/>
  <c r="T129" i="26"/>
  <c r="S153" i="23"/>
  <c r="N183" i="23"/>
  <c r="N105" i="23"/>
  <c r="O114" i="23"/>
  <c r="T114" i="23" s="1"/>
  <c r="AE71" i="24"/>
  <c r="O19" i="23"/>
  <c r="T19" i="23" s="1"/>
  <c r="N240" i="23"/>
  <c r="G189" i="23"/>
  <c r="J189" i="23" s="1"/>
  <c r="G223" i="23"/>
  <c r="S223" i="23" s="1"/>
  <c r="N239" i="23"/>
  <c r="AE28" i="24"/>
  <c r="T58" i="26"/>
  <c r="N114" i="23"/>
  <c r="U302" i="23"/>
  <c r="O232" i="23"/>
  <c r="T232" i="23" s="1"/>
  <c r="R184" i="23"/>
  <c r="P184" i="23" s="1"/>
  <c r="Q184" i="23" s="1"/>
  <c r="R244" i="23"/>
  <c r="P244" i="23" s="1"/>
  <c r="Q244" i="23" s="1"/>
  <c r="N165" i="23"/>
  <c r="G274" i="23"/>
  <c r="N274" i="23" s="1"/>
  <c r="AE77" i="24"/>
  <c r="AE55" i="24"/>
  <c r="U181" i="23"/>
  <c r="AE72" i="24"/>
  <c r="S244" i="23"/>
  <c r="AW71" i="24"/>
  <c r="N225" i="23"/>
  <c r="G181" i="23"/>
  <c r="J181" i="23" s="1"/>
  <c r="U304" i="23"/>
  <c r="U244" i="23"/>
  <c r="N269" i="23"/>
  <c r="U205" i="23"/>
  <c r="N85" i="23"/>
  <c r="S338" i="26"/>
  <c r="G303" i="23"/>
  <c r="S303" i="23" s="1"/>
  <c r="T106" i="26"/>
  <c r="U232" i="23"/>
  <c r="O26" i="23"/>
  <c r="T26" i="23" s="1"/>
  <c r="N161" i="23"/>
  <c r="P161" i="23"/>
  <c r="Q161" i="23" s="1"/>
  <c r="O100" i="23"/>
  <c r="T100" i="23" s="1"/>
  <c r="AW92" i="24"/>
  <c r="S371" i="26"/>
  <c r="S254" i="23"/>
  <c r="N14" i="23"/>
  <c r="O288" i="23"/>
  <c r="T288" i="23" s="1"/>
  <c r="O36" i="23"/>
  <c r="T36" i="23" s="1"/>
  <c r="O12" i="23"/>
  <c r="T12" i="23" s="1"/>
  <c r="O153" i="23"/>
  <c r="T153" i="23" s="1"/>
  <c r="P153" i="23"/>
  <c r="Q153" i="23" s="1"/>
  <c r="U230" i="23"/>
  <c r="O161" i="23"/>
  <c r="T161" i="23" s="1"/>
  <c r="O8" i="23"/>
  <c r="T8" i="23" s="1"/>
  <c r="S333" i="30"/>
  <c r="U189" i="23"/>
  <c r="S333" i="26"/>
  <c r="S371" i="30"/>
  <c r="S65" i="23"/>
  <c r="AE93" i="24"/>
  <c r="G237" i="23"/>
  <c r="S237" i="23" s="1"/>
  <c r="S371" i="32"/>
  <c r="U231" i="23"/>
  <c r="P240" i="23"/>
  <c r="Q240" i="23" s="1"/>
  <c r="AW12" i="24"/>
  <c r="O37" i="23"/>
  <c r="O30" i="23"/>
  <c r="T30" i="23" s="1"/>
  <c r="O46" i="23"/>
  <c r="O207" i="23"/>
  <c r="T207" i="23" s="1"/>
  <c r="P129" i="23"/>
  <c r="Q129" i="23" s="1"/>
  <c r="N261" i="23"/>
  <c r="S37" i="23"/>
  <c r="O204" i="23"/>
  <c r="T204" i="23" s="1"/>
  <c r="O183" i="23"/>
  <c r="O254" i="23"/>
  <c r="P165" i="23"/>
  <c r="Q165" i="23" s="1"/>
  <c r="AW29" i="24"/>
  <c r="P239" i="23"/>
  <c r="Q239" i="23" s="1"/>
  <c r="O272" i="23"/>
  <c r="O145" i="23"/>
  <c r="T145" i="23" s="1"/>
  <c r="O163" i="23"/>
  <c r="T163" i="23" s="1"/>
  <c r="T63" i="26"/>
  <c r="G281" i="23"/>
  <c r="N281" i="23" s="1"/>
  <c r="T85" i="26"/>
  <c r="AW100" i="24"/>
  <c r="P38" i="23"/>
  <c r="Q38" i="23" s="1"/>
  <c r="S21" i="23"/>
  <c r="N38" i="23"/>
  <c r="AW51" i="24"/>
  <c r="T87" i="26"/>
  <c r="N49" i="23"/>
  <c r="O172" i="23"/>
  <c r="O170" i="23"/>
  <c r="T170" i="23" s="1"/>
  <c r="N141" i="23"/>
  <c r="J166" i="23"/>
  <c r="G177" i="23"/>
  <c r="S177" i="23" s="1"/>
  <c r="AE65" i="24"/>
  <c r="N263" i="23"/>
  <c r="U179" i="23"/>
  <c r="O273" i="23"/>
  <c r="T273" i="23" s="1"/>
  <c r="S45" i="23"/>
  <c r="G201" i="23"/>
  <c r="N201" i="23" s="1"/>
  <c r="S345" i="26"/>
  <c r="N146" i="23"/>
  <c r="R179" i="23"/>
  <c r="U177" i="23"/>
  <c r="G198" i="23"/>
  <c r="S198" i="23" s="1"/>
  <c r="U241" i="23"/>
  <c r="S351" i="30"/>
  <c r="G231" i="23"/>
  <c r="S231" i="23" s="1"/>
  <c r="AE62" i="24"/>
  <c r="AE80" i="24"/>
  <c r="S122" i="23"/>
  <c r="R281" i="23"/>
  <c r="S129" i="23"/>
  <c r="S215" i="23"/>
  <c r="S190" i="23"/>
  <c r="G284" i="23"/>
  <c r="S284" i="23" s="1"/>
  <c r="R305" i="23"/>
  <c r="P305" i="23" s="1"/>
  <c r="Q305" i="23" s="1"/>
  <c r="R265" i="23"/>
  <c r="AW30" i="24"/>
  <c r="G265" i="23"/>
  <c r="N265" i="23" s="1"/>
  <c r="U227" i="23"/>
  <c r="N305" i="23"/>
  <c r="N121" i="23"/>
  <c r="T102" i="26"/>
  <c r="AW7" i="24"/>
  <c r="R286" i="23"/>
  <c r="P275" i="23"/>
  <c r="Q275" i="23" s="1"/>
  <c r="O129" i="23"/>
  <c r="T129" i="23" s="1"/>
  <c r="T275" i="23"/>
  <c r="O75" i="23"/>
  <c r="N272" i="23"/>
  <c r="S366" i="26"/>
  <c r="U223" i="23"/>
  <c r="S338" i="30"/>
  <c r="AW28" i="24"/>
  <c r="P88" i="23"/>
  <c r="Q88" i="23" s="1"/>
  <c r="S88" i="23"/>
  <c r="S338" i="32"/>
  <c r="AE7" i="24"/>
  <c r="AW39" i="24"/>
  <c r="J20" i="25" s="1"/>
  <c r="K20" i="25" s="1"/>
  <c r="U305" i="23"/>
  <c r="G230" i="23"/>
  <c r="N230" i="23" s="1"/>
  <c r="O21" i="23"/>
  <c r="T21" i="23" s="1"/>
  <c r="AW8" i="24"/>
  <c r="U265" i="23"/>
  <c r="S331" i="26"/>
  <c r="P138" i="23"/>
  <c r="Q138" i="23" s="1"/>
  <c r="S297" i="26"/>
  <c r="AE34" i="24"/>
  <c r="R227" i="23"/>
  <c r="N192" i="23"/>
  <c r="N132" i="23"/>
  <c r="AW20" i="24"/>
  <c r="U200" i="23"/>
  <c r="G200" i="23"/>
  <c r="S200" i="23" s="1"/>
  <c r="S145" i="23"/>
  <c r="G227" i="23"/>
  <c r="S227" i="23" s="1"/>
  <c r="N113" i="23"/>
  <c r="G271" i="23"/>
  <c r="N271" i="23" s="1"/>
  <c r="S331" i="30"/>
  <c r="AW78" i="24"/>
  <c r="S297" i="30"/>
  <c r="R271" i="23"/>
  <c r="T10" i="26"/>
  <c r="AW45" i="24"/>
  <c r="G286" i="23"/>
  <c r="S286" i="23" s="1"/>
  <c r="P21" i="23"/>
  <c r="Q21" i="23" s="1"/>
  <c r="U286" i="23"/>
  <c r="G179" i="23"/>
  <c r="S179" i="23" s="1"/>
  <c r="S194" i="23"/>
  <c r="AW9" i="24"/>
  <c r="G241" i="23"/>
  <c r="N241" i="23" s="1"/>
  <c r="AE21" i="24"/>
  <c r="G222" i="23"/>
  <c r="S222" i="23" s="1"/>
  <c r="AW21" i="24"/>
  <c r="P14" i="23"/>
  <c r="Q14" i="23" s="1"/>
  <c r="R241" i="23"/>
  <c r="S351" i="32"/>
  <c r="S86" i="23"/>
  <c r="AE48" i="24"/>
  <c r="P86" i="23"/>
  <c r="Q86" i="23" s="1"/>
  <c r="P45" i="23"/>
  <c r="Q45" i="23" s="1"/>
  <c r="S93" i="23"/>
  <c r="AE13" i="24"/>
  <c r="U197" i="23"/>
  <c r="S345" i="30"/>
  <c r="AE57" i="24"/>
  <c r="S166" i="23"/>
  <c r="S257" i="23"/>
  <c r="AW33" i="24"/>
  <c r="U198" i="23"/>
  <c r="S351" i="26"/>
  <c r="G276" i="23"/>
  <c r="S276" i="23" s="1"/>
  <c r="U201" i="23"/>
  <c r="G197" i="23"/>
  <c r="N197" i="23" s="1"/>
  <c r="N42" i="23"/>
  <c r="AE54" i="24"/>
  <c r="U276" i="23"/>
  <c r="T95" i="26"/>
  <c r="R201" i="23"/>
  <c r="R198" i="23"/>
  <c r="O239" i="23"/>
  <c r="T239" i="23" s="1"/>
  <c r="O119" i="23"/>
  <c r="T119" i="23" s="1"/>
  <c r="O393" i="30"/>
  <c r="N393" i="30" s="1"/>
  <c r="R217" i="23"/>
  <c r="P217" i="23" s="1"/>
  <c r="Q217" i="23" s="1"/>
  <c r="O195" i="23"/>
  <c r="T195" i="23" s="1"/>
  <c r="R255" i="23"/>
  <c r="P255" i="23" s="1"/>
  <c r="Q255" i="23" s="1"/>
  <c r="O39" i="23"/>
  <c r="T39" i="23" s="1"/>
  <c r="O190" i="23"/>
  <c r="O220" i="23"/>
  <c r="T220" i="23" s="1"/>
  <c r="O38" i="23"/>
  <c r="T38" i="23" s="1"/>
  <c r="O393" i="26"/>
  <c r="N393" i="26" s="1"/>
  <c r="O107" i="23"/>
  <c r="T107" i="23" s="1"/>
  <c r="O142" i="23"/>
  <c r="T142" i="23" s="1"/>
  <c r="O28" i="23"/>
  <c r="T28" i="23" s="1"/>
  <c r="O295" i="30"/>
  <c r="N295" i="30" s="1"/>
  <c r="O40" i="23"/>
  <c r="T40" i="23" s="1"/>
  <c r="O141" i="23"/>
  <c r="T141" i="23" s="1"/>
  <c r="O295" i="26"/>
  <c r="N295" i="26" s="1"/>
  <c r="R166" i="23"/>
  <c r="P166" i="23" s="1"/>
  <c r="Q166" i="23" s="1"/>
  <c r="N275" i="23"/>
  <c r="G205" i="23"/>
  <c r="S205" i="23" s="1"/>
  <c r="AW14" i="24"/>
  <c r="S330" i="26"/>
  <c r="AW72" i="24"/>
  <c r="R296" i="23"/>
  <c r="AW76" i="24"/>
  <c r="G296" i="23"/>
  <c r="N296" i="23" s="1"/>
  <c r="P34" i="23"/>
  <c r="Q34" i="23" s="1"/>
  <c r="N214" i="23"/>
  <c r="P225" i="23"/>
  <c r="Q225" i="23" s="1"/>
  <c r="AE87" i="24"/>
  <c r="AE11" i="24"/>
  <c r="U274" i="23"/>
  <c r="U221" i="23"/>
  <c r="S330" i="30"/>
  <c r="U264" i="23"/>
  <c r="S344" i="26"/>
  <c r="G307" i="23"/>
  <c r="S307" i="23" s="1"/>
  <c r="U296" i="23"/>
  <c r="S48" i="23"/>
  <c r="S330" i="32"/>
  <c r="U216" i="23"/>
  <c r="S344" i="30"/>
  <c r="T108" i="26"/>
  <c r="U307" i="23"/>
  <c r="R221" i="23"/>
  <c r="P48" i="23"/>
  <c r="Q48" i="23" s="1"/>
  <c r="G304" i="23"/>
  <c r="S304" i="23" s="1"/>
  <c r="N91" i="23"/>
  <c r="R307" i="23"/>
  <c r="T307" i="23" s="1"/>
  <c r="P91" i="23"/>
  <c r="Q91" i="23" s="1"/>
  <c r="P214" i="23"/>
  <c r="Q214" i="23" s="1"/>
  <c r="O53" i="23"/>
  <c r="O48" i="23"/>
  <c r="T48" i="23" s="1"/>
  <c r="O111" i="23"/>
  <c r="T111" i="23" s="1"/>
  <c r="O42" i="23"/>
  <c r="T42" i="23" s="1"/>
  <c r="R278" i="23"/>
  <c r="R290" i="23"/>
  <c r="O261" i="23"/>
  <c r="N234" i="23"/>
  <c r="N101" i="23"/>
  <c r="T93" i="26"/>
  <c r="R249" i="23"/>
  <c r="O266" i="23"/>
  <c r="T266" i="23" s="1"/>
  <c r="O164" i="23"/>
  <c r="O144" i="23"/>
  <c r="T144" i="23" s="1"/>
  <c r="O165" i="23"/>
  <c r="T165" i="23" s="1"/>
  <c r="O88" i="23"/>
  <c r="T88" i="23" s="1"/>
  <c r="O67" i="23"/>
  <c r="O179" i="23"/>
  <c r="T255" i="26"/>
  <c r="T255" i="30"/>
  <c r="O14" i="23"/>
  <c r="T14" i="23" s="1"/>
  <c r="G290" i="23"/>
  <c r="N290" i="23" s="1"/>
  <c r="G262" i="23"/>
  <c r="P262" i="23" s="1"/>
  <c r="Q262" i="23" s="1"/>
  <c r="G176" i="23"/>
  <c r="N176" i="23" s="1"/>
  <c r="R243" i="23"/>
  <c r="T20" i="26"/>
  <c r="AE92" i="24"/>
  <c r="O262" i="23"/>
  <c r="T262" i="23" s="1"/>
  <c r="G283" i="23"/>
  <c r="N283" i="23" s="1"/>
  <c r="AW13" i="24"/>
  <c r="R234" i="23"/>
  <c r="P234" i="23" s="1"/>
  <c r="Q234" i="23" s="1"/>
  <c r="T103" i="26"/>
  <c r="N7" i="23"/>
  <c r="G235" i="23"/>
  <c r="S235" i="23" s="1"/>
  <c r="AW17" i="24"/>
  <c r="AW46" i="24"/>
  <c r="S89" i="23"/>
  <c r="AE84" i="24"/>
  <c r="AW52" i="24"/>
  <c r="U262" i="23"/>
  <c r="R283" i="23"/>
  <c r="N143" i="23"/>
  <c r="P114" i="23"/>
  <c r="Q114" i="23" s="1"/>
  <c r="O151" i="23"/>
  <c r="O280" i="30"/>
  <c r="N280" i="30" s="1"/>
  <c r="N34" i="23"/>
  <c r="G264" i="23"/>
  <c r="N264" i="23" s="1"/>
  <c r="R274" i="23"/>
  <c r="R303" i="23"/>
  <c r="T303" i="23" s="1"/>
  <c r="S366" i="32"/>
  <c r="U180" i="23"/>
  <c r="S334" i="26"/>
  <c r="O150" i="23"/>
  <c r="T59" i="26"/>
  <c r="S334" i="30"/>
  <c r="U303" i="23"/>
  <c r="G302" i="23"/>
  <c r="N302" i="23" s="1"/>
  <c r="J268" i="23"/>
  <c r="S268" i="23"/>
  <c r="G216" i="23"/>
  <c r="J216" i="23" s="1"/>
  <c r="AE74" i="24"/>
  <c r="G180" i="23"/>
  <c r="N180" i="23" s="1"/>
  <c r="R302" i="23"/>
  <c r="R180" i="23"/>
  <c r="P124" i="23"/>
  <c r="Q124" i="23" s="1"/>
  <c r="S124" i="23"/>
  <c r="R185" i="23"/>
  <c r="P185" i="23" s="1"/>
  <c r="Q185" i="23" s="1"/>
  <c r="O185" i="23"/>
  <c r="O280" i="26"/>
  <c r="N280" i="26" s="1"/>
  <c r="AE91" i="24"/>
  <c r="R284" i="23"/>
  <c r="S331" i="32"/>
  <c r="P30" i="23"/>
  <c r="Q30" i="23" s="1"/>
  <c r="P145" i="23"/>
  <c r="Q145" i="23" s="1"/>
  <c r="G294" i="23"/>
  <c r="N294" i="23" s="1"/>
  <c r="U271" i="23"/>
  <c r="U294" i="23"/>
  <c r="N138" i="23"/>
  <c r="N30" i="23"/>
  <c r="R294" i="23"/>
  <c r="P113" i="23"/>
  <c r="Q113" i="23" s="1"/>
  <c r="P258" i="23"/>
  <c r="Q258" i="23" s="1"/>
  <c r="U284" i="23"/>
  <c r="T198" i="26"/>
  <c r="U234" i="23"/>
  <c r="AE53" i="24"/>
  <c r="AE14" i="24"/>
  <c r="U278" i="23"/>
  <c r="G295" i="23"/>
  <c r="S295" i="23" s="1"/>
  <c r="G279" i="23"/>
  <c r="N279" i="23" s="1"/>
  <c r="U285" i="23"/>
  <c r="G285" i="23"/>
  <c r="S285" i="23" s="1"/>
  <c r="P26" i="23"/>
  <c r="Q26" i="23" s="1"/>
  <c r="U279" i="23"/>
  <c r="AE61" i="24"/>
  <c r="R235" i="23"/>
  <c r="P142" i="23"/>
  <c r="Q142" i="23" s="1"/>
  <c r="P143" i="23"/>
  <c r="Q143" i="23" s="1"/>
  <c r="U243" i="23"/>
  <c r="AE58" i="24"/>
  <c r="G243" i="23"/>
  <c r="N243" i="23" s="1"/>
  <c r="N26" i="23"/>
  <c r="U235" i="23"/>
  <c r="T200" i="26"/>
  <c r="AW11" i="24"/>
  <c r="G249" i="23"/>
  <c r="J249" i="23" s="1"/>
  <c r="G278" i="23"/>
  <c r="N278" i="23" s="1"/>
  <c r="R279" i="23"/>
  <c r="R151" i="23"/>
  <c r="P151" i="23" s="1"/>
  <c r="Q151" i="23" s="1"/>
  <c r="R285" i="23"/>
  <c r="R176" i="23"/>
  <c r="P121" i="23"/>
  <c r="Q121" i="23" s="1"/>
  <c r="P89" i="23"/>
  <c r="Q89" i="23" s="1"/>
  <c r="N142" i="23"/>
  <c r="O225" i="23"/>
  <c r="T225" i="23" s="1"/>
  <c r="O241" i="23"/>
  <c r="O35" i="23"/>
  <c r="T35" i="23" s="1"/>
  <c r="O168" i="23"/>
  <c r="O236" i="23"/>
  <c r="T236" i="23" s="1"/>
  <c r="O128" i="23"/>
  <c r="T128" i="23" s="1"/>
  <c r="O396" i="32"/>
  <c r="N396" i="32" s="1"/>
  <c r="O23" i="23"/>
  <c r="T23" i="23" s="1"/>
  <c r="O396" i="30"/>
  <c r="N396" i="30" s="1"/>
  <c r="O90" i="23"/>
  <c r="O396" i="26"/>
  <c r="N396" i="26" s="1"/>
  <c r="O34" i="23"/>
  <c r="T34" i="23" s="1"/>
  <c r="O66" i="23"/>
  <c r="T66" i="23" s="1"/>
  <c r="O215" i="23"/>
  <c r="O32" i="23"/>
  <c r="T32" i="23" s="1"/>
  <c r="O121" i="23"/>
  <c r="T121" i="23" s="1"/>
  <c r="O63" i="23"/>
  <c r="T63" i="23" s="1"/>
  <c r="P146" i="23"/>
  <c r="Q146" i="23" s="1"/>
  <c r="T24" i="26"/>
  <c r="N236" i="23"/>
  <c r="P42" i="23"/>
  <c r="Q42" i="23" s="1"/>
  <c r="R177" i="23"/>
  <c r="P93" i="23"/>
  <c r="Q93" i="23" s="1"/>
  <c r="P87" i="23"/>
  <c r="Q87" i="23" s="1"/>
  <c r="S87" i="23"/>
  <c r="R231" i="23"/>
  <c r="P141" i="23"/>
  <c r="Q141" i="23" s="1"/>
  <c r="P122" i="23"/>
  <c r="Q122" i="23" s="1"/>
  <c r="P236" i="23"/>
  <c r="Q236" i="23" s="1"/>
  <c r="O11" i="23"/>
  <c r="T11" i="23" s="1"/>
  <c r="O281" i="26"/>
  <c r="N281" i="26" s="1"/>
  <c r="R186" i="23"/>
  <c r="P186" i="23" s="1"/>
  <c r="Q186" i="23" s="1"/>
  <c r="O392" i="32"/>
  <c r="N392" i="32" s="1"/>
  <c r="O269" i="23"/>
  <c r="O31" i="23"/>
  <c r="T31" i="23" s="1"/>
  <c r="O392" i="30"/>
  <c r="N392" i="30" s="1"/>
  <c r="O127" i="23"/>
  <c r="T127" i="23" s="1"/>
  <c r="O281" i="30"/>
  <c r="N281" i="30" s="1"/>
  <c r="O392" i="26"/>
  <c r="N392" i="26" s="1"/>
  <c r="J258" i="23"/>
  <c r="G211" i="23"/>
  <c r="S211" i="23" s="1"/>
  <c r="R295" i="23"/>
  <c r="O92" i="23"/>
  <c r="U295" i="23"/>
  <c r="S130" i="23"/>
  <c r="R211" i="23"/>
  <c r="S258" i="23"/>
  <c r="P10" i="23"/>
  <c r="Q10" i="23" s="1"/>
  <c r="S10" i="23"/>
  <c r="S53" i="23"/>
  <c r="AW91" i="24"/>
  <c r="N94" i="23"/>
  <c r="P130" i="23"/>
  <c r="Q130" i="23" s="1"/>
  <c r="O356" i="26"/>
  <c r="N356" i="26" s="1"/>
  <c r="O356" i="30"/>
  <c r="N356" i="30" s="1"/>
  <c r="R272" i="23"/>
  <c r="P272" i="23" s="1"/>
  <c r="Q272" i="23" s="1"/>
  <c r="O309" i="26"/>
  <c r="N309" i="26" s="1"/>
  <c r="O309" i="30"/>
  <c r="N309" i="30" s="1"/>
  <c r="O309" i="32"/>
  <c r="N309" i="32" s="1"/>
  <c r="O390" i="26"/>
  <c r="N390" i="26" s="1"/>
  <c r="O390" i="32"/>
  <c r="N390" i="32" s="1"/>
  <c r="O390" i="30"/>
  <c r="N390" i="30" s="1"/>
  <c r="R261" i="23"/>
  <c r="P261" i="23" s="1"/>
  <c r="Q261" i="23" s="1"/>
  <c r="O154" i="23"/>
  <c r="O361" i="26"/>
  <c r="N361" i="26" s="1"/>
  <c r="N359" i="26" s="1"/>
  <c r="O381" i="32"/>
  <c r="O381" i="30"/>
  <c r="O361" i="30"/>
  <c r="O283" i="30"/>
  <c r="N283" i="30" s="1"/>
  <c r="O305" i="30"/>
  <c r="N305" i="30" s="1"/>
  <c r="R215" i="23"/>
  <c r="P215" i="23" s="1"/>
  <c r="Q215" i="23" s="1"/>
  <c r="R190" i="23"/>
  <c r="P190" i="23" s="1"/>
  <c r="Q190" i="23" s="1"/>
  <c r="O283" i="26"/>
  <c r="O305" i="26"/>
  <c r="N305" i="26" s="1"/>
  <c r="O287" i="26"/>
  <c r="O287" i="30"/>
  <c r="N287" i="30" s="1"/>
  <c r="N285" i="30" s="1"/>
  <c r="R192" i="23"/>
  <c r="P192" i="23" s="1"/>
  <c r="Q192" i="23" s="1"/>
  <c r="P194" i="23"/>
  <c r="Q194" i="23" s="1"/>
  <c r="O282" i="32"/>
  <c r="N282" i="32" s="1"/>
  <c r="O282" i="30"/>
  <c r="N282" i="30" s="1"/>
  <c r="O282" i="26"/>
  <c r="N282" i="26" s="1"/>
  <c r="N134" i="23"/>
  <c r="N157" i="23"/>
  <c r="J134" i="23"/>
  <c r="S132" i="23"/>
  <c r="K359" i="26"/>
  <c r="N52" i="23"/>
  <c r="K285" i="26"/>
  <c r="J368" i="26"/>
  <c r="J368" i="30"/>
  <c r="J368" i="32"/>
  <c r="P100" i="23"/>
  <c r="Q100" i="23" s="1"/>
  <c r="O303" i="30"/>
  <c r="N303" i="30" s="1"/>
  <c r="O303" i="26"/>
  <c r="N303" i="26" s="1"/>
  <c r="R98" i="23"/>
  <c r="P98" i="23" s="1"/>
  <c r="Q98" i="23" s="1"/>
  <c r="S321" i="32"/>
  <c r="L343" i="32"/>
  <c r="L304" i="32"/>
  <c r="H210" i="23"/>
  <c r="F321" i="32"/>
  <c r="F317" i="32" s="1"/>
  <c r="Z224" i="2"/>
  <c r="L336" i="26" s="1"/>
  <c r="F336" i="32"/>
  <c r="AB230" i="2"/>
  <c r="AF230" i="2" s="1"/>
  <c r="F297" i="32"/>
  <c r="L298" i="30"/>
  <c r="L298" i="32"/>
  <c r="F334" i="26"/>
  <c r="F334" i="32"/>
  <c r="L361" i="26"/>
  <c r="L359" i="26" s="1"/>
  <c r="L361" i="32"/>
  <c r="L359" i="32" s="1"/>
  <c r="I279" i="32"/>
  <c r="F277" i="32"/>
  <c r="F276" i="32" s="1"/>
  <c r="F275" i="32" s="1"/>
  <c r="F274" i="32" s="1"/>
  <c r="S375" i="32"/>
  <c r="AB213" i="2"/>
  <c r="AD213" i="2" s="1"/>
  <c r="F394" i="32"/>
  <c r="F388" i="32" s="1"/>
  <c r="F387" i="32" s="1"/>
  <c r="F386" i="32" s="1"/>
  <c r="F385" i="32" s="1"/>
  <c r="F384" i="32" s="1"/>
  <c r="F383" i="32" s="1"/>
  <c r="L392" i="30"/>
  <c r="L392" i="32"/>
  <c r="Z222" i="2"/>
  <c r="L351" i="32" s="1"/>
  <c r="L348" i="32" s="1"/>
  <c r="L347" i="32" s="1"/>
  <c r="F351" i="32"/>
  <c r="F348" i="32" s="1"/>
  <c r="F347" i="32" s="1"/>
  <c r="L381" i="26"/>
  <c r="L379" i="26" s="1"/>
  <c r="L378" i="26" s="1"/>
  <c r="L381" i="32"/>
  <c r="L379" i="32" s="1"/>
  <c r="L378" i="32" s="1"/>
  <c r="L283" i="30"/>
  <c r="L283" i="32"/>
  <c r="L356" i="30"/>
  <c r="L356" i="32"/>
  <c r="AB205" i="2"/>
  <c r="AF205" i="2" s="1"/>
  <c r="F366" i="32"/>
  <c r="F363" i="32" s="1"/>
  <c r="AB197" i="2"/>
  <c r="AF197" i="2" s="1"/>
  <c r="F345" i="32"/>
  <c r="L320" i="30"/>
  <c r="L320" i="32"/>
  <c r="AF68" i="24"/>
  <c r="F344" i="32"/>
  <c r="S340" i="32"/>
  <c r="S310" i="32"/>
  <c r="H246" i="23"/>
  <c r="F375" i="32"/>
  <c r="F340" i="30"/>
  <c r="F310" i="32"/>
  <c r="F307" i="32" s="1"/>
  <c r="F340" i="32"/>
  <c r="J347" i="32"/>
  <c r="S335" i="32"/>
  <c r="S336" i="32"/>
  <c r="AB189" i="2"/>
  <c r="F333" i="32"/>
  <c r="S325" i="32"/>
  <c r="S376" i="32"/>
  <c r="L305" i="30"/>
  <c r="L305" i="32"/>
  <c r="AB259" i="2"/>
  <c r="F357" i="32"/>
  <c r="F354" i="32" s="1"/>
  <c r="L370" i="26"/>
  <c r="L370" i="32"/>
  <c r="L303" i="26"/>
  <c r="L303" i="32"/>
  <c r="AB237" i="2"/>
  <c r="F371" i="32"/>
  <c r="F368" i="32" s="1"/>
  <c r="W63" i="24"/>
  <c r="L341" i="32"/>
  <c r="L287" i="30"/>
  <c r="L285" i="30" s="1"/>
  <c r="L287" i="32"/>
  <c r="L285" i="32" s="1"/>
  <c r="AB223" i="2"/>
  <c r="F338" i="32"/>
  <c r="AB221" i="2"/>
  <c r="F330" i="32"/>
  <c r="Z202" i="2"/>
  <c r="L332" i="32" s="1"/>
  <c r="F332" i="32"/>
  <c r="S342" i="32"/>
  <c r="L390" i="30"/>
  <c r="L390" i="32"/>
  <c r="AB218" i="2"/>
  <c r="AD218" i="2" s="1"/>
  <c r="F325" i="32"/>
  <c r="F323" i="32" s="1"/>
  <c r="K323" i="32" s="1"/>
  <c r="L309" i="30"/>
  <c r="L307" i="30" s="1"/>
  <c r="L309" i="32"/>
  <c r="L307" i="32" s="1"/>
  <c r="AB270" i="2"/>
  <c r="F376" i="32"/>
  <c r="L282" i="30"/>
  <c r="L282" i="32"/>
  <c r="Z245" i="2"/>
  <c r="W31" i="24" s="1"/>
  <c r="F293" i="32"/>
  <c r="Z200" i="2"/>
  <c r="W76" i="24" s="1"/>
  <c r="F331"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O279" i="32"/>
  <c r="N279" i="32" s="1"/>
  <c r="T252" i="26"/>
  <c r="T252" i="32"/>
  <c r="R135" i="23"/>
  <c r="P135" i="23" s="1"/>
  <c r="Q135" i="23" s="1"/>
  <c r="O296" i="32"/>
  <c r="N296" i="32" s="1"/>
  <c r="R208" i="23"/>
  <c r="O294" i="32"/>
  <c r="N294" i="32" s="1"/>
  <c r="R132" i="23"/>
  <c r="P132" i="23" s="1"/>
  <c r="Q132" i="23" s="1"/>
  <c r="O298" i="32"/>
  <c r="N298" i="32" s="1"/>
  <c r="L211" i="21"/>
  <c r="S185" i="23"/>
  <c r="N173" i="23"/>
  <c r="S69" i="23"/>
  <c r="S169" i="23"/>
  <c r="S148" i="23"/>
  <c r="N217" i="23"/>
  <c r="J148" i="23"/>
  <c r="S90" i="23"/>
  <c r="S238" i="23"/>
  <c r="S178" i="23"/>
  <c r="AB436" i="2"/>
  <c r="Z436" i="2"/>
  <c r="AY110" i="24" s="1"/>
  <c r="S108" i="23"/>
  <c r="J52" i="23"/>
  <c r="P207" i="23"/>
  <c r="Q207" i="23" s="1"/>
  <c r="Z430" i="2"/>
  <c r="AY107" i="24" s="1"/>
  <c r="J71" i="23"/>
  <c r="AB430" i="2"/>
  <c r="S110" i="23"/>
  <c r="N102" i="23"/>
  <c r="S46" i="23"/>
  <c r="N71" i="23"/>
  <c r="AB434" i="2"/>
  <c r="N186" i="23"/>
  <c r="N158" i="23"/>
  <c r="N199" i="23"/>
  <c r="N116" i="23"/>
  <c r="S68" i="23"/>
  <c r="Z434" i="2"/>
  <c r="AY58" i="24" s="1"/>
  <c r="P71" i="23"/>
  <c r="Q71" i="23" s="1"/>
  <c r="L122" i="21"/>
  <c r="P238" i="23"/>
  <c r="Q238" i="23" s="1"/>
  <c r="Z474" i="2"/>
  <c r="AY105" i="24" s="1"/>
  <c r="AB474" i="2"/>
  <c r="AF474" i="2" s="1"/>
  <c r="O96" i="23"/>
  <c r="T96" i="23" s="1"/>
  <c r="P204" i="23"/>
  <c r="Q204" i="23" s="1"/>
  <c r="P187" i="23"/>
  <c r="Q187" i="23" s="1"/>
  <c r="O104" i="23"/>
  <c r="T104" i="23" s="1"/>
  <c r="P203" i="23"/>
  <c r="Q203" i="23" s="1"/>
  <c r="J203" i="23"/>
  <c r="S203" i="23"/>
  <c r="P19" i="23"/>
  <c r="Q19" i="23" s="1"/>
  <c r="P110" i="23"/>
  <c r="Q110" i="23" s="1"/>
  <c r="P79" i="23"/>
  <c r="Q79" i="23" s="1"/>
  <c r="J102" i="23"/>
  <c r="O85" i="23"/>
  <c r="O84" i="23"/>
  <c r="R306" i="23"/>
  <c r="T306" i="23" s="1"/>
  <c r="R282" i="23"/>
  <c r="R310" i="23"/>
  <c r="T310" i="23" s="1"/>
  <c r="R57" i="23"/>
  <c r="P57" i="23" s="1"/>
  <c r="Q57" i="23" s="1"/>
  <c r="R118" i="23"/>
  <c r="P118" i="23" s="1"/>
  <c r="Q118" i="23" s="1"/>
  <c r="R178" i="23"/>
  <c r="P178" i="23" s="1"/>
  <c r="Q178" i="23" s="1"/>
  <c r="O156" i="23"/>
  <c r="O65" i="23"/>
  <c r="O192" i="23"/>
  <c r="O191" i="23"/>
  <c r="O166" i="23"/>
  <c r="O187" i="23"/>
  <c r="T187" i="23" s="1"/>
  <c r="O73" i="23"/>
  <c r="O62" i="23"/>
  <c r="O69" i="23"/>
  <c r="O157" i="23"/>
  <c r="O147" i="23"/>
  <c r="O22" i="23"/>
  <c r="O118" i="23"/>
  <c r="O155" i="23"/>
  <c r="R298" i="23"/>
  <c r="O51" i="23"/>
  <c r="O70" i="23"/>
  <c r="T70" i="23" s="1"/>
  <c r="O102"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AW110" i="24"/>
  <c r="M144" i="23"/>
  <c r="R309" i="23"/>
  <c r="T309" i="23" s="1"/>
  <c r="R50" i="23"/>
  <c r="P50" i="23" s="1"/>
  <c r="Q50" i="23" s="1"/>
  <c r="G309" i="23"/>
  <c r="N75" i="23"/>
  <c r="S75" i="23"/>
  <c r="AW107" i="24"/>
  <c r="J285" i="23"/>
  <c r="R289" i="23"/>
  <c r="N92" i="23"/>
  <c r="S92" i="23"/>
  <c r="J284" i="23"/>
  <c r="AN107" i="24"/>
  <c r="J295" i="23"/>
  <c r="S19" i="23"/>
  <c r="N19" i="23"/>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AW58" i="24"/>
  <c r="G209" i="23"/>
  <c r="J222" i="23"/>
  <c r="H187" i="23"/>
  <c r="L187" i="23" s="1"/>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P125" i="23"/>
  <c r="Q125" i="23" s="1"/>
  <c r="P81" i="23"/>
  <c r="Q81" i="23" s="1"/>
  <c r="O319" i="26"/>
  <c r="N319" i="26" s="1"/>
  <c r="T139" i="23"/>
  <c r="O279" i="30"/>
  <c r="L143" i="21"/>
  <c r="L112" i="21"/>
  <c r="T17" i="23"/>
  <c r="O294" i="30"/>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O279" i="26"/>
  <c r="O366" i="26"/>
  <c r="N366" i="26" s="1"/>
  <c r="O304" i="30"/>
  <c r="N304" i="30" s="1"/>
  <c r="T106" i="23"/>
  <c r="T126" i="23"/>
  <c r="P109" i="23"/>
  <c r="Q109" i="23" s="1"/>
  <c r="O298" i="26"/>
  <c r="N298" i="26" s="1"/>
  <c r="O294" i="26"/>
  <c r="O302" i="30"/>
  <c r="N302" i="30" s="1"/>
  <c r="O296" i="26"/>
  <c r="N296" i="26" s="1"/>
  <c r="O341" i="30"/>
  <c r="O343" i="26"/>
  <c r="N343" i="26" s="1"/>
  <c r="O302" i="26"/>
  <c r="N302" i="26" s="1"/>
  <c r="O304" i="26"/>
  <c r="N304" i="26" s="1"/>
  <c r="T59" i="23"/>
  <c r="O296" i="30"/>
  <c r="N296" i="30" s="1"/>
  <c r="O343" i="30"/>
  <c r="N343" i="30" s="1"/>
  <c r="O395" i="30"/>
  <c r="N395" i="30" s="1"/>
  <c r="O339" i="30"/>
  <c r="N339" i="30" s="1"/>
  <c r="O391" i="26"/>
  <c r="N391" i="26" s="1"/>
  <c r="O337" i="30"/>
  <c r="N337" i="30" s="1"/>
  <c r="R149" i="23"/>
  <c r="T33" i="23"/>
  <c r="O341" i="26"/>
  <c r="O391" i="30"/>
  <c r="N391" i="30" s="1"/>
  <c r="O395" i="26"/>
  <c r="N395" i="26" s="1"/>
  <c r="T82" i="23"/>
  <c r="O298" i="30"/>
  <c r="N298" i="30" s="1"/>
  <c r="O365" i="26"/>
  <c r="O337" i="26"/>
  <c r="N337" i="26" s="1"/>
  <c r="G212" i="23"/>
  <c r="S212" i="23" s="1"/>
  <c r="P133" i="23"/>
  <c r="Q133" i="23" s="1"/>
  <c r="G245" i="23"/>
  <c r="S245" i="23" s="1"/>
  <c r="R206" i="23"/>
  <c r="P292" i="23"/>
  <c r="Q292" i="23" s="1"/>
  <c r="T308" i="23"/>
  <c r="P77" i="23"/>
  <c r="Q77" i="23" s="1"/>
  <c r="P287" i="23"/>
  <c r="Q287" i="23" s="1"/>
  <c r="P97" i="23"/>
  <c r="Q97" i="23" s="1"/>
  <c r="AX18" i="24"/>
  <c r="N81" i="23"/>
  <c r="N57" i="23"/>
  <c r="AB276" i="2"/>
  <c r="AB278" i="2"/>
  <c r="S81" i="23"/>
  <c r="L361" i="30"/>
  <c r="L359" i="30" s="1"/>
  <c r="AB282" i="2"/>
  <c r="O41" i="23"/>
  <c r="T41" i="23" s="1"/>
  <c r="H283" i="23"/>
  <c r="Z278" i="2"/>
  <c r="AY11" i="24" s="1"/>
  <c r="Z356" i="2"/>
  <c r="AY37" i="24" s="1"/>
  <c r="Z279" i="2"/>
  <c r="AY18" i="24" s="1"/>
  <c r="AN18" i="24"/>
  <c r="N311" i="23"/>
  <c r="AB294" i="2"/>
  <c r="M67" i="23"/>
  <c r="AF272" i="2"/>
  <c r="AX17" i="24"/>
  <c r="AN17" i="24"/>
  <c r="L5" i="21"/>
  <c r="AF67" i="2"/>
  <c r="L223" i="21"/>
  <c r="N137" i="23"/>
  <c r="M12" i="23"/>
  <c r="O15" i="23"/>
  <c r="T15" i="23" s="1"/>
  <c r="S109" i="23"/>
  <c r="M35" i="23"/>
  <c r="J363" i="30"/>
  <c r="O109" i="23"/>
  <c r="T109" i="23" s="1"/>
  <c r="AF7" i="2"/>
  <c r="AF15" i="2"/>
  <c r="S97" i="23"/>
  <c r="N228" i="23"/>
  <c r="L39" i="21"/>
  <c r="H293" i="23"/>
  <c r="L293" i="23" s="1"/>
  <c r="AB283" i="2"/>
  <c r="AX104" i="24"/>
  <c r="AN9" i="24"/>
  <c r="H282" i="23"/>
  <c r="AX9" i="24"/>
  <c r="AE47" i="24"/>
  <c r="M113" i="23"/>
  <c r="Z294" i="2"/>
  <c r="AY104" i="24" s="1"/>
  <c r="J109" i="23"/>
  <c r="AF232" i="2"/>
  <c r="AB180" i="2"/>
  <c r="J137" i="23"/>
  <c r="AN79" i="24"/>
  <c r="M91" i="23"/>
  <c r="AF225" i="2"/>
  <c r="Z341" i="2"/>
  <c r="AY79" i="24" s="1"/>
  <c r="AN82" i="24"/>
  <c r="P33" i="23"/>
  <c r="Q33" i="23" s="1"/>
  <c r="M56" i="23"/>
  <c r="J97" i="23"/>
  <c r="S33" i="23"/>
  <c r="M15" i="23"/>
  <c r="AF147" i="2"/>
  <c r="S397" i="30"/>
  <c r="AF72" i="2"/>
  <c r="N33" i="23"/>
  <c r="O52" i="23"/>
  <c r="O135" i="23"/>
  <c r="Z308" i="2"/>
  <c r="AY62" i="24" s="1"/>
  <c r="AF70" i="24"/>
  <c r="AN21" i="24"/>
  <c r="AF79" i="2"/>
  <c r="Z197" i="2"/>
  <c r="L155" i="21"/>
  <c r="N109" i="23"/>
  <c r="L341" i="26"/>
  <c r="AN83" i="24"/>
  <c r="M118" i="23"/>
  <c r="M71" i="23"/>
  <c r="AN46" i="24"/>
  <c r="AB176" i="2"/>
  <c r="O81" i="23"/>
  <c r="T81" i="23" s="1"/>
  <c r="O25" i="23"/>
  <c r="T25" i="23" s="1"/>
  <c r="O108" i="23"/>
  <c r="H278" i="23"/>
  <c r="H279" i="23"/>
  <c r="AB356" i="2"/>
  <c r="M123" i="23"/>
  <c r="AX10" i="24"/>
  <c r="N260" i="23"/>
  <c r="AX11" i="24"/>
  <c r="AX37" i="24"/>
  <c r="Z282" i="2"/>
  <c r="AY10" i="24" s="1"/>
  <c r="H295" i="23"/>
  <c r="L295" i="23" s="1"/>
  <c r="L58" i="21"/>
  <c r="S310" i="30"/>
  <c r="L70" i="21"/>
  <c r="L82" i="21"/>
  <c r="S104" i="23"/>
  <c r="M153" i="23"/>
  <c r="AB281" i="2"/>
  <c r="AF281" i="2" s="1"/>
  <c r="S260" i="23"/>
  <c r="AF179" i="2"/>
  <c r="S162" i="23"/>
  <c r="M111" i="23"/>
  <c r="AI64" i="24"/>
  <c r="L76" i="21"/>
  <c r="L146" i="21"/>
  <c r="L214" i="21"/>
  <c r="L150" i="21"/>
  <c r="L216" i="21"/>
  <c r="AF90" i="2"/>
  <c r="N117" i="23"/>
  <c r="AB246" i="2"/>
  <c r="AD246" i="2" s="1"/>
  <c r="F375" i="26"/>
  <c r="AB344" i="2"/>
  <c r="AF344" i="2" s="1"/>
  <c r="AF204" i="2"/>
  <c r="H281" i="23"/>
  <c r="L281" i="23" s="1"/>
  <c r="M16" i="23"/>
  <c r="Z212" i="2"/>
  <c r="W70" i="24" s="1"/>
  <c r="L74" i="21"/>
  <c r="L133" i="21"/>
  <c r="AF152" i="2"/>
  <c r="N77" i="23"/>
  <c r="L341" i="30"/>
  <c r="Z176" i="2"/>
  <c r="W53" i="24" s="1"/>
  <c r="Z365" i="2"/>
  <c r="AY83" i="24" s="1"/>
  <c r="AF203" i="2"/>
  <c r="Z237" i="2"/>
  <c r="L232" i="21"/>
  <c r="M78" i="23"/>
  <c r="S310" i="26"/>
  <c r="AE70" i="24"/>
  <c r="AF50" i="2"/>
  <c r="S340" i="26"/>
  <c r="S340" i="30"/>
  <c r="J17" i="23"/>
  <c r="F371" i="30"/>
  <c r="F368" i="30" s="1"/>
  <c r="AB354" i="2"/>
  <c r="AF53" i="24"/>
  <c r="M43" i="23"/>
  <c r="AX46" i="24"/>
  <c r="Z354" i="2"/>
  <c r="AY68" i="24" s="1"/>
  <c r="L156" i="21"/>
  <c r="P17" i="23"/>
  <c r="Q17" i="23" s="1"/>
  <c r="M58" i="23"/>
  <c r="L117" i="21"/>
  <c r="L303" i="30"/>
  <c r="F310" i="26"/>
  <c r="F307" i="26" s="1"/>
  <c r="F375" i="30"/>
  <c r="AF102" i="2"/>
  <c r="M57" i="23"/>
  <c r="S117" i="23"/>
  <c r="S397" i="26"/>
  <c r="AF269" i="2"/>
  <c r="M72" i="23"/>
  <c r="AX62" i="24"/>
  <c r="AF139" i="2"/>
  <c r="M18" i="23"/>
  <c r="M164" i="23"/>
  <c r="AF130" i="2"/>
  <c r="M124" i="23"/>
  <c r="L36" i="21"/>
  <c r="L6" i="21"/>
  <c r="H212" i="23"/>
  <c r="H307" i="23"/>
  <c r="Z246" i="2"/>
  <c r="AF18" i="2"/>
  <c r="F340" i="26"/>
  <c r="F310" i="30"/>
  <c r="F307" i="30" s="1"/>
  <c r="M92" i="23"/>
  <c r="AF95" i="24"/>
  <c r="U251" i="23"/>
  <c r="M269" i="23"/>
  <c r="M160" i="23"/>
  <c r="Z281" i="2"/>
  <c r="AY21" i="24" s="1"/>
  <c r="L42" i="21"/>
  <c r="AB212" i="2"/>
  <c r="AD212" i="2" s="1"/>
  <c r="AF42" i="24"/>
  <c r="AB308" i="2"/>
  <c r="AF308" i="2" s="1"/>
  <c r="AB328" i="2"/>
  <c r="AF328" i="2" s="1"/>
  <c r="G251" i="23"/>
  <c r="AB363" i="2"/>
  <c r="AF363" i="2" s="1"/>
  <c r="N135" i="23"/>
  <c r="J135" i="23"/>
  <c r="P18" i="23"/>
  <c r="Q18" i="23" s="1"/>
  <c r="L65" i="21"/>
  <c r="L160" i="21"/>
  <c r="L61" i="21"/>
  <c r="L231" i="21"/>
  <c r="AB316" i="2"/>
  <c r="H237" i="23"/>
  <c r="N78" i="23"/>
  <c r="AB288" i="2"/>
  <c r="AF288" i="2" s="1"/>
  <c r="S78" i="23"/>
  <c r="S17" i="23"/>
  <c r="AF93" i="24"/>
  <c r="L53" i="21"/>
  <c r="L320" i="26"/>
  <c r="N280" i="23"/>
  <c r="M27" i="23"/>
  <c r="N287" i="23"/>
  <c r="AB224" i="2"/>
  <c r="F371" i="26"/>
  <c r="F368" i="26" s="1"/>
  <c r="M148" i="23"/>
  <c r="O76" i="23"/>
  <c r="T76" i="23" s="1"/>
  <c r="AE32" i="24"/>
  <c r="S135" i="23"/>
  <c r="J18" i="23"/>
  <c r="M23" i="23"/>
  <c r="N18" i="23"/>
  <c r="L219" i="21"/>
  <c r="F277" i="26"/>
  <c r="F276" i="26" s="1"/>
  <c r="F275" i="26" s="1"/>
  <c r="F274" i="26" s="1"/>
  <c r="M85" i="23"/>
  <c r="O152" i="23"/>
  <c r="T152" i="23" s="1"/>
  <c r="O158" i="23"/>
  <c r="O68" i="23"/>
  <c r="L32" i="21"/>
  <c r="L249" i="21"/>
  <c r="L142" i="21"/>
  <c r="L253" i="21"/>
  <c r="L251" i="21"/>
  <c r="L239" i="21"/>
  <c r="L41" i="21"/>
  <c r="L176" i="21"/>
  <c r="O71" i="23"/>
  <c r="T71" i="23" s="1"/>
  <c r="M30" i="23"/>
  <c r="AB304" i="2"/>
  <c r="AF304" i="2" s="1"/>
  <c r="AF86" i="2"/>
  <c r="M119" i="23"/>
  <c r="M110" i="23"/>
  <c r="M87" i="23"/>
  <c r="AF93" i="2"/>
  <c r="M103" i="23"/>
  <c r="J317" i="26"/>
  <c r="J317" i="30"/>
  <c r="J277" i="26"/>
  <c r="J276" i="26" s="1"/>
  <c r="K276" i="26" s="1"/>
  <c r="L390" i="26"/>
  <c r="L287" i="26"/>
  <c r="L285" i="26" s="1"/>
  <c r="S73" i="23"/>
  <c r="AI63" i="24"/>
  <c r="F344" i="30"/>
  <c r="L83" i="21"/>
  <c r="S292" i="23"/>
  <c r="AF39" i="2"/>
  <c r="M183" i="23"/>
  <c r="AN70" i="24"/>
  <c r="O79" i="23"/>
  <c r="T79" i="23" s="1"/>
  <c r="N73" i="23"/>
  <c r="M220" i="23"/>
  <c r="M63" i="23"/>
  <c r="AB200" i="2"/>
  <c r="M108" i="23"/>
  <c r="AN97" i="24"/>
  <c r="L35" i="21"/>
  <c r="AB364" i="2"/>
  <c r="AF364" i="2" s="1"/>
  <c r="AB320" i="2"/>
  <c r="AF320" i="2" s="1"/>
  <c r="AF98" i="2"/>
  <c r="AX84" i="24"/>
  <c r="M19" i="23"/>
  <c r="Z216" i="2"/>
  <c r="AF11" i="2"/>
  <c r="M22" i="23"/>
  <c r="L78" i="21"/>
  <c r="AW182" i="21"/>
  <c r="AO287" i="21" s="1"/>
  <c r="AB216" i="2"/>
  <c r="Y182" i="21"/>
  <c r="AI287" i="21" s="1"/>
  <c r="Z364" i="2"/>
  <c r="AY19" i="24" s="1"/>
  <c r="S226" i="23"/>
  <c r="AE182" i="21"/>
  <c r="AL281" i="21" s="1"/>
  <c r="AX19" i="24"/>
  <c r="AF95" i="2"/>
  <c r="AX97" i="24"/>
  <c r="M265" i="23"/>
  <c r="F344" i="26"/>
  <c r="M253" i="23"/>
  <c r="M61" i="23"/>
  <c r="AB249" i="2"/>
  <c r="AF144" i="2"/>
  <c r="Z342" i="2"/>
  <c r="AY30" i="24" s="1"/>
  <c r="Z218" i="2"/>
  <c r="AF29" i="2"/>
  <c r="M82" i="23"/>
  <c r="M114" i="23"/>
  <c r="S43" i="23"/>
  <c r="P43" i="23"/>
  <c r="Q43" i="23" s="1"/>
  <c r="N43" i="23"/>
  <c r="AF155" i="2"/>
  <c r="AF261" i="2"/>
  <c r="M179" i="23"/>
  <c r="M34" i="23"/>
  <c r="M135" i="23"/>
  <c r="M51" i="23"/>
  <c r="L121" i="21"/>
  <c r="L141" i="21"/>
  <c r="L7" i="21"/>
  <c r="L79" i="21"/>
  <c r="AF158" i="2"/>
  <c r="M140" i="23"/>
  <c r="N289" i="23"/>
  <c r="AF55" i="2"/>
  <c r="H216" i="23"/>
  <c r="L216" i="23" s="1"/>
  <c r="M29" i="23"/>
  <c r="AE83" i="24"/>
  <c r="AF219" i="2"/>
  <c r="M47" i="23"/>
  <c r="N193" i="23"/>
  <c r="S297" i="23"/>
  <c r="K285" i="30"/>
  <c r="M66" i="23"/>
  <c r="AF69" i="2"/>
  <c r="L224" i="21"/>
  <c r="N79" i="23"/>
  <c r="S79" i="23"/>
  <c r="F331" i="30"/>
  <c r="F331" i="26"/>
  <c r="AF76" i="24"/>
  <c r="H200" i="23"/>
  <c r="L200" i="23" s="1"/>
  <c r="H224" i="23"/>
  <c r="L224" i="23" s="1"/>
  <c r="AF169" i="2"/>
  <c r="L135" i="21"/>
  <c r="M59" i="23"/>
  <c r="AE42" i="24"/>
  <c r="U212" i="23"/>
  <c r="Z286" i="2"/>
  <c r="AY12" i="24" s="1"/>
  <c r="M244" i="23"/>
  <c r="AB369" i="2"/>
  <c r="S300" i="23"/>
  <c r="AX68" i="24"/>
  <c r="S289" i="23"/>
  <c r="M131" i="23"/>
  <c r="M36" i="23"/>
  <c r="M20" i="23"/>
  <c r="Z259" i="2"/>
  <c r="O259" i="23" s="1"/>
  <c r="L233" i="21"/>
  <c r="O116" i="23"/>
  <c r="AX56" i="24"/>
  <c r="AB306" i="2"/>
  <c r="AF306" i="2" s="1"/>
  <c r="AB365" i="2"/>
  <c r="AB326" i="2"/>
  <c r="AF326" i="2" s="1"/>
  <c r="AF108" i="2"/>
  <c r="J149" i="23"/>
  <c r="AX79" i="24"/>
  <c r="AX82" i="24"/>
  <c r="H309" i="23"/>
  <c r="AN84" i="24"/>
  <c r="AF168" i="2"/>
  <c r="S149" i="23"/>
  <c r="N252" i="23"/>
  <c r="AF163" i="2"/>
  <c r="M73" i="23"/>
  <c r="Z264" i="2"/>
  <c r="M74" i="23"/>
  <c r="M42" i="23"/>
  <c r="M122" i="23"/>
  <c r="AB245" i="2"/>
  <c r="M38" i="23"/>
  <c r="AB350" i="2"/>
  <c r="AF350" i="2" s="1"/>
  <c r="M44" i="23"/>
  <c r="AF105" i="2"/>
  <c r="E289" i="30"/>
  <c r="E273" i="30" s="1"/>
  <c r="E272" i="30" s="1"/>
  <c r="M120" i="23"/>
  <c r="AB300" i="2"/>
  <c r="AI28" i="24"/>
  <c r="AI84" i="24"/>
  <c r="Z363" i="2"/>
  <c r="AY56" i="24" s="1"/>
  <c r="H311" i="23"/>
  <c r="S196" i="23"/>
  <c r="L309" i="26"/>
  <c r="L307" i="26" s="1"/>
  <c r="L370" i="30"/>
  <c r="M172" i="23"/>
  <c r="L52" i="21"/>
  <c r="L137" i="21"/>
  <c r="S96" i="23"/>
  <c r="N96" i="23"/>
  <c r="P96" i="23"/>
  <c r="Q96" i="23" s="1"/>
  <c r="H180" i="23"/>
  <c r="AF9" i="24"/>
  <c r="AF137" i="2"/>
  <c r="M137" i="23"/>
  <c r="AF45" i="2"/>
  <c r="M45" i="23"/>
  <c r="H197" i="23"/>
  <c r="F345" i="30"/>
  <c r="F345" i="26"/>
  <c r="AF65" i="24"/>
  <c r="N59" i="23"/>
  <c r="S59" i="23"/>
  <c r="F334" i="30"/>
  <c r="AB264" i="2"/>
  <c r="H264" i="23"/>
  <c r="AF74" i="24"/>
  <c r="AF26" i="2"/>
  <c r="M26" i="23"/>
  <c r="AF106" i="2"/>
  <c r="M106" i="23"/>
  <c r="AF14" i="2"/>
  <c r="M14" i="23"/>
  <c r="L221" i="21"/>
  <c r="J196" i="23"/>
  <c r="O199" i="23"/>
  <c r="O203" i="23"/>
  <c r="T203" i="23" s="1"/>
  <c r="O253" i="23"/>
  <c r="T253" i="23" s="1"/>
  <c r="L207" i="21"/>
  <c r="Z350" i="2"/>
  <c r="AY55" i="24" s="1"/>
  <c r="AL182" i="21"/>
  <c r="AL288" i="21" s="1"/>
  <c r="AT182" i="21"/>
  <c r="AO284" i="21" s="1"/>
  <c r="AU182" i="21"/>
  <c r="AO285" i="21" s="1"/>
  <c r="AI55" i="24"/>
  <c r="Z304" i="2"/>
  <c r="AY72" i="24" s="1"/>
  <c r="Z344" i="2"/>
  <c r="AY51" i="24" s="1"/>
  <c r="Z277" i="2"/>
  <c r="AY22" i="24" s="1"/>
  <c r="Z243" i="2"/>
  <c r="W16" i="24" s="1"/>
  <c r="Z205" i="2"/>
  <c r="Z229" i="2"/>
  <c r="M229" i="23" s="1"/>
  <c r="L356" i="26"/>
  <c r="H249" i="23"/>
  <c r="L249" i="23" s="1"/>
  <c r="L213" i="21"/>
  <c r="M64" i="23"/>
  <c r="M225" i="23"/>
  <c r="L282" i="26"/>
  <c r="AF61" i="24"/>
  <c r="M60" i="23"/>
  <c r="AB277" i="2"/>
  <c r="M80" i="23"/>
  <c r="AX55" i="24"/>
  <c r="R182" i="21"/>
  <c r="AI280" i="21" s="1"/>
  <c r="AF182" i="21"/>
  <c r="AL282" i="21" s="1"/>
  <c r="Z312" i="2"/>
  <c r="AY53" i="24" s="1"/>
  <c r="AX51" i="24"/>
  <c r="AX22" i="24"/>
  <c r="U213" i="23"/>
  <c r="AN182" i="21"/>
  <c r="AO278" i="21" s="1"/>
  <c r="M182" i="21"/>
  <c r="AF90" i="24"/>
  <c r="S98" i="23"/>
  <c r="H238" i="23"/>
  <c r="AX53" i="24"/>
  <c r="H277" i="23"/>
  <c r="M291" i="23"/>
  <c r="S394" i="30"/>
  <c r="M126" i="23"/>
  <c r="L72" i="21"/>
  <c r="O98" i="23"/>
  <c r="H175" i="23"/>
  <c r="F342" i="26"/>
  <c r="Z175" i="2"/>
  <c r="L342" i="32" s="1"/>
  <c r="F342" i="30"/>
  <c r="AB175" i="2"/>
  <c r="AD175" i="2" s="1"/>
  <c r="AF67" i="24"/>
  <c r="H234" i="23"/>
  <c r="AF92" i="24"/>
  <c r="Z378" i="2"/>
  <c r="AY32" i="24" s="1"/>
  <c r="M241" i="23"/>
  <c r="AB378" i="2"/>
  <c r="AB362" i="2"/>
  <c r="AF362" i="2" s="1"/>
  <c r="AB352" i="2"/>
  <c r="AF352" i="2" s="1"/>
  <c r="AB234" i="2"/>
  <c r="AN60" i="24"/>
  <c r="L227" i="21"/>
  <c r="H229" i="23"/>
  <c r="L229" i="23" s="1"/>
  <c r="AF104" i="24"/>
  <c r="AF111" i="24"/>
  <c r="H205" i="23"/>
  <c r="F366" i="26"/>
  <c r="F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V182" i="21"/>
  <c r="AI284" i="21" s="1"/>
  <c r="AS182" i="21"/>
  <c r="AO283" i="21" s="1"/>
  <c r="P182" i="21"/>
  <c r="AI278" i="21" s="1"/>
  <c r="AI182" i="21"/>
  <c r="AL285" i="21" s="1"/>
  <c r="Z316" i="2"/>
  <c r="AY60" i="24" s="1"/>
  <c r="M75" i="23"/>
  <c r="L298" i="26"/>
  <c r="AX91" i="24"/>
  <c r="Z324" i="2"/>
  <c r="AY48" i="24" s="1"/>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Z280" i="2"/>
  <c r="AY15" i="24" s="1"/>
  <c r="H301" i="23"/>
  <c r="L301" i="23" s="1"/>
  <c r="M171" i="23"/>
  <c r="AF24" i="2"/>
  <c r="AB238" i="2"/>
  <c r="AD238" i="2" s="1"/>
  <c r="AB312" i="2"/>
  <c r="AF52" i="2"/>
  <c r="Z346" i="2"/>
  <c r="AY29" i="24" s="1"/>
  <c r="F376" i="26"/>
  <c r="L283" i="26"/>
  <c r="Z258" i="2"/>
  <c r="O258" i="23" s="1"/>
  <c r="T258" i="23" s="1"/>
  <c r="Z234" i="2"/>
  <c r="W92" i="24" s="1"/>
  <c r="AF35" i="24"/>
  <c r="F293" i="30"/>
  <c r="F293" i="26"/>
  <c r="AF31" i="24"/>
  <c r="H245" i="23"/>
  <c r="L245" i="23" s="1"/>
  <c r="L144" i="21"/>
  <c r="AF266" i="2"/>
  <c r="M266" i="23"/>
  <c r="L145" i="21"/>
  <c r="N104" i="23"/>
  <c r="M261" i="23"/>
  <c r="AX73" i="24"/>
  <c r="AX15" i="24"/>
  <c r="AX23" i="24"/>
  <c r="AX45" i="24"/>
  <c r="N133" i="23"/>
  <c r="M204" i="23"/>
  <c r="AX8" i="24"/>
  <c r="T182" i="26"/>
  <c r="Z270" i="2"/>
  <c r="AI21" i="24"/>
  <c r="M143" i="23"/>
  <c r="AF94" i="24"/>
  <c r="F376" i="30"/>
  <c r="AN23" i="24"/>
  <c r="Z326" i="2"/>
  <c r="L381" i="30"/>
  <c r="L379" i="30" s="1"/>
  <c r="L378" i="30" s="1"/>
  <c r="AB351" i="2"/>
  <c r="AF351" i="2" s="1"/>
  <c r="AB310" i="2"/>
  <c r="AB338" i="2"/>
  <c r="AF338" i="2" s="1"/>
  <c r="M31" i="23"/>
  <c r="AW84" i="24"/>
  <c r="AB227" i="2"/>
  <c r="M227" i="23" s="1"/>
  <c r="AX96" i="24"/>
  <c r="M136" i="23"/>
  <c r="G213" i="23"/>
  <c r="J213" i="23" s="1"/>
  <c r="H284" i="23"/>
  <c r="L284" i="23" s="1"/>
  <c r="AX48" i="24"/>
  <c r="H270" i="23"/>
  <c r="L270" i="23" s="1"/>
  <c r="M54" i="23"/>
  <c r="AI283" i="21"/>
  <c r="L252" i="21"/>
  <c r="J78" i="23"/>
  <c r="S357" i="26"/>
  <c r="Z290" i="2"/>
  <c r="AY54" i="24" s="1"/>
  <c r="AB298" i="2"/>
  <c r="M127" i="23"/>
  <c r="L149" i="21"/>
  <c r="F277" i="30"/>
  <c r="F276" i="30" s="1"/>
  <c r="F275" i="30" s="1"/>
  <c r="F274" i="30" s="1"/>
  <c r="M195" i="23"/>
  <c r="M68" i="23"/>
  <c r="Z300" i="2"/>
  <c r="AY49" i="24" s="1"/>
  <c r="AF28" i="2"/>
  <c r="U259" i="23"/>
  <c r="H289" i="23"/>
  <c r="L289" i="23" s="1"/>
  <c r="H299" i="23"/>
  <c r="AN28" i="24"/>
  <c r="AB340" i="2"/>
  <c r="S357" i="30"/>
  <c r="E289" i="26"/>
  <c r="E273" i="26" s="1"/>
  <c r="E272" i="26" s="1"/>
  <c r="AB366" i="2"/>
  <c r="AF366" i="2" s="1"/>
  <c r="Z318" i="2"/>
  <c r="AY7" i="24" s="1"/>
  <c r="AF167" i="2"/>
  <c r="Z340" i="2"/>
  <c r="AY28" i="24" s="1"/>
  <c r="H297" i="23"/>
  <c r="L297" i="23" s="1"/>
  <c r="L256" i="21"/>
  <c r="G259" i="23"/>
  <c r="AX54" i="24"/>
  <c r="Z351" i="2"/>
  <c r="AY96" i="24" s="1"/>
  <c r="AX7" i="24"/>
  <c r="AN8" i="24"/>
  <c r="AF20" i="24"/>
  <c r="N208" i="23"/>
  <c r="S252" i="23"/>
  <c r="S394" i="26"/>
  <c r="AB284" i="2"/>
  <c r="AX106" i="24"/>
  <c r="M254" i="23"/>
  <c r="M250" i="23"/>
  <c r="L175" i="21"/>
  <c r="L132" i="21"/>
  <c r="L236" i="21"/>
  <c r="O20" i="23"/>
  <c r="T20" i="23" s="1"/>
  <c r="AF215" i="2"/>
  <c r="M215" i="23"/>
  <c r="Z366" i="2"/>
  <c r="AY85" i="24" s="1"/>
  <c r="AB226" i="2"/>
  <c r="AX77" i="24"/>
  <c r="Z352" i="2"/>
  <c r="AY64" i="24" s="1"/>
  <c r="AF84" i="2"/>
  <c r="L392" i="26"/>
  <c r="AF187" i="2"/>
  <c r="AN64" i="24"/>
  <c r="Z210" i="2"/>
  <c r="M107" i="23"/>
  <c r="M273" i="23"/>
  <c r="H230" i="23"/>
  <c r="Z230" i="2"/>
  <c r="W34" i="24" s="1"/>
  <c r="F297" i="30"/>
  <c r="AF34" i="24"/>
  <c r="F297" i="26"/>
  <c r="AX12" i="24"/>
  <c r="Z328" i="2"/>
  <c r="AY33" i="24" s="1"/>
  <c r="Z338" i="2"/>
  <c r="AY93" i="24" s="1"/>
  <c r="O125" i="23"/>
  <c r="T125" i="23" s="1"/>
  <c r="L240" i="21"/>
  <c r="L162" i="21"/>
  <c r="AN45" i="24"/>
  <c r="J98" i="23"/>
  <c r="AX70" i="24"/>
  <c r="AX42" i="24"/>
  <c r="AF89" i="24"/>
  <c r="M24" i="23"/>
  <c r="H286" i="23"/>
  <c r="L286" i="23" s="1"/>
  <c r="AX33" i="24"/>
  <c r="Z347" i="2"/>
  <c r="AY73" i="24" s="1"/>
  <c r="AX85" i="24"/>
  <c r="Z226" i="2"/>
  <c r="AB302" i="2"/>
  <c r="AX93" i="24"/>
  <c r="Z349" i="2"/>
  <c r="AY45" i="24" s="1"/>
  <c r="AB296" i="2"/>
  <c r="S267" i="23"/>
  <c r="AB368" i="2"/>
  <c r="AF368" i="2" s="1"/>
  <c r="S233" i="23"/>
  <c r="M257" i="23"/>
  <c r="AF76" i="2"/>
  <c r="AF262" i="2"/>
  <c r="AB347" i="2"/>
  <c r="AF347" i="2" s="1"/>
  <c r="Z302" i="2"/>
  <c r="AY77" i="24" s="1"/>
  <c r="AB342" i="2"/>
  <c r="AF342" i="2" s="1"/>
  <c r="S193" i="23"/>
  <c r="Z296" i="2"/>
  <c r="AY63" i="24" s="1"/>
  <c r="AX72" i="24"/>
  <c r="AF199" i="2"/>
  <c r="AF265" i="2"/>
  <c r="AE106" i="24"/>
  <c r="AF149" i="2"/>
  <c r="M149" i="23"/>
  <c r="AF112" i="2"/>
  <c r="M112" i="23"/>
  <c r="AE49" i="24"/>
  <c r="G206" i="23"/>
  <c r="AF39" i="24"/>
  <c r="F302" i="30"/>
  <c r="F300" i="30" s="1"/>
  <c r="F302" i="26"/>
  <c r="F300" i="26" s="1"/>
  <c r="H260" i="23"/>
  <c r="AF91" i="24"/>
  <c r="AB211" i="2"/>
  <c r="Z182" i="2"/>
  <c r="W14" i="24" s="1"/>
  <c r="H182" i="23"/>
  <c r="AB182" i="2"/>
  <c r="M151" i="23" s="1"/>
  <c r="AF14" i="24"/>
  <c r="H233" i="23"/>
  <c r="AF59" i="24"/>
  <c r="AB233" i="2"/>
  <c r="M168" i="23" s="1"/>
  <c r="M76" i="23"/>
  <c r="AB314" i="2"/>
  <c r="AF314" i="2" s="1"/>
  <c r="AX29" i="24"/>
  <c r="AB260" i="2"/>
  <c r="H211" i="23"/>
  <c r="AF156" i="2"/>
  <c r="M156" i="23"/>
  <c r="AN49" i="24"/>
  <c r="M146" i="23"/>
  <c r="Z233" i="2"/>
  <c r="F325" i="26"/>
  <c r="F323" i="26" s="1"/>
  <c r="K323" i="26" s="1"/>
  <c r="AF60" i="24"/>
  <c r="F325" i="30"/>
  <c r="F323" i="30" s="1"/>
  <c r="K323" i="30" s="1"/>
  <c r="H218" i="23"/>
  <c r="AF66" i="24"/>
  <c r="H228" i="23"/>
  <c r="AB228" i="2"/>
  <c r="M166" i="23" s="1"/>
  <c r="AF186" i="2"/>
  <c r="M186" i="23"/>
  <c r="AX101" i="24"/>
  <c r="AB318" i="2"/>
  <c r="AX30" i="24"/>
  <c r="AN29" i="24"/>
  <c r="S125" i="23"/>
  <c r="AX63" i="24"/>
  <c r="N247" i="23"/>
  <c r="H305" i="23"/>
  <c r="Z260" i="2"/>
  <c r="O260" i="23" s="1"/>
  <c r="M191" i="23"/>
  <c r="AF159" i="2"/>
  <c r="G229" i="23"/>
  <c r="AE111" i="24"/>
  <c r="AE104" i="24"/>
  <c r="O167" i="23"/>
  <c r="F336" i="30"/>
  <c r="AF73" i="24"/>
  <c r="F336" i="26"/>
  <c r="H258" i="23"/>
  <c r="L258" i="23" s="1"/>
  <c r="AF86" i="24"/>
  <c r="AF85" i="24"/>
  <c r="L27" i="21"/>
  <c r="F357" i="26"/>
  <c r="F354" i="26" s="1"/>
  <c r="F353" i="26" s="1"/>
  <c r="H259" i="23"/>
  <c r="AF83" i="24"/>
  <c r="F357" i="30"/>
  <c r="F354" i="30" s="1"/>
  <c r="F353" i="30" s="1"/>
  <c r="M104" i="23"/>
  <c r="AB210" i="2"/>
  <c r="AD210" i="2" s="1"/>
  <c r="F321" i="26"/>
  <c r="F317" i="26" s="1"/>
  <c r="F313" i="26" s="1"/>
  <c r="AF50" i="24"/>
  <c r="F321" i="30"/>
  <c r="F317" i="30" s="1"/>
  <c r="F313" i="30" s="1"/>
  <c r="AF207" i="2"/>
  <c r="M207" i="23"/>
  <c r="U245" i="23"/>
  <c r="AE31" i="24"/>
  <c r="S293" i="26"/>
  <c r="S293" i="30"/>
  <c r="AE35" i="24"/>
  <c r="AF145" i="2"/>
  <c r="M145" i="23"/>
  <c r="AF57" i="24"/>
  <c r="H231" i="23"/>
  <c r="Z314" i="2"/>
  <c r="AY101" i="24" s="1"/>
  <c r="N139" i="23"/>
  <c r="S139" i="23"/>
  <c r="AF16" i="24"/>
  <c r="H243" i="23"/>
  <c r="AN66" i="24"/>
  <c r="AF125" i="2"/>
  <c r="AB231" i="2"/>
  <c r="AB286" i="2"/>
  <c r="AB290" i="2"/>
  <c r="H280" i="23"/>
  <c r="L280" i="23" s="1"/>
  <c r="Z386" i="2"/>
  <c r="AY66" i="24" s="1"/>
  <c r="AN106" i="24"/>
  <c r="H303" i="23"/>
  <c r="Z362" i="2"/>
  <c r="AY91" i="24" s="1"/>
  <c r="S247" i="23"/>
  <c r="Z231" i="2"/>
  <c r="W57" i="24" s="1"/>
  <c r="AB201" i="2"/>
  <c r="AF62" i="24"/>
  <c r="H201" i="23"/>
  <c r="AF263" i="2"/>
  <c r="M263" i="23"/>
  <c r="AF100" i="2"/>
  <c r="M100" i="23"/>
  <c r="AF275" i="2"/>
  <c r="M275" i="23"/>
  <c r="L203" i="21"/>
  <c r="AB196" i="2"/>
  <c r="M255" i="23"/>
  <c r="AF255" i="2"/>
  <c r="AB181" i="2"/>
  <c r="M150" i="23" s="1"/>
  <c r="H181" i="23"/>
  <c r="L181" i="23" s="1"/>
  <c r="AF11" i="24"/>
  <c r="P70" i="23"/>
  <c r="Q70" i="23" s="1"/>
  <c r="AF251" i="2"/>
  <c r="AI32" i="24"/>
  <c r="M251" i="23"/>
  <c r="AF7" i="24"/>
  <c r="H227" i="23"/>
  <c r="AB280" i="2"/>
  <c r="AB386" i="2"/>
  <c r="AF161" i="2"/>
  <c r="M161" i="23"/>
  <c r="AF10" i="2"/>
  <c r="M10" i="23"/>
  <c r="AF150" i="2"/>
  <c r="M142" i="23"/>
  <c r="AF142" i="2"/>
  <c r="AF154" i="2"/>
  <c r="M133" i="23"/>
  <c r="AF133" i="2"/>
  <c r="Z198" i="2"/>
  <c r="W48" i="24" s="1"/>
  <c r="AF48" i="24"/>
  <c r="H198" i="23"/>
  <c r="L198" i="23" s="1"/>
  <c r="AF209" i="2"/>
  <c r="M209" i="23"/>
  <c r="AF80" i="24"/>
  <c r="AB222" i="2"/>
  <c r="F351" i="30"/>
  <c r="F348" i="30" s="1"/>
  <c r="F351" i="26"/>
  <c r="F348" i="26" s="1"/>
  <c r="H222" i="23"/>
  <c r="L222" i="23" s="1"/>
  <c r="AF165" i="2"/>
  <c r="M165" i="23"/>
  <c r="AF132" i="2"/>
  <c r="M132" i="23"/>
  <c r="AF242" i="2"/>
  <c r="M242" i="23"/>
  <c r="S376" i="30"/>
  <c r="S376" i="26"/>
  <c r="AE94" i="24"/>
  <c r="G270" i="23"/>
  <c r="L237" i="21"/>
  <c r="AX39" i="24"/>
  <c r="AF193" i="2"/>
  <c r="M193" i="23"/>
  <c r="L281" i="30"/>
  <c r="L281" i="26"/>
  <c r="M217" i="23"/>
  <c r="AF217" i="2"/>
  <c r="L226" i="21"/>
  <c r="Z206" i="2"/>
  <c r="AB206" i="2"/>
  <c r="AF49" i="24"/>
  <c r="AF47" i="24"/>
  <c r="H206" i="23"/>
  <c r="L206" i="23" s="1"/>
  <c r="AF138" i="2"/>
  <c r="M138" i="23"/>
  <c r="AF109" i="24"/>
  <c r="H196" i="23"/>
  <c r="L196" i="23" s="1"/>
  <c r="U175" i="23"/>
  <c r="S342" i="30"/>
  <c r="AE67" i="24"/>
  <c r="G175" i="23"/>
  <c r="S342" i="26"/>
  <c r="AF13" i="24"/>
  <c r="AB177" i="2"/>
  <c r="H177" i="23"/>
  <c r="L245" i="21"/>
  <c r="M154" i="23"/>
  <c r="AF236" i="2"/>
  <c r="M236" i="23"/>
  <c r="AF239" i="2"/>
  <c r="M239" i="23"/>
  <c r="F332" i="30"/>
  <c r="AB202" i="2"/>
  <c r="F332" i="26"/>
  <c r="AF75" i="24"/>
  <c r="H202" i="23"/>
  <c r="L202" i="23" s="1"/>
  <c r="AB198" i="2"/>
  <c r="AF94" i="2"/>
  <c r="M94" i="23"/>
  <c r="AN39" i="24"/>
  <c r="AF62" i="2"/>
  <c r="M62" i="23"/>
  <c r="L280" i="30"/>
  <c r="L280" i="26"/>
  <c r="N191" i="23"/>
  <c r="S191" i="23"/>
  <c r="AF46" i="2"/>
  <c r="M46" i="23"/>
  <c r="AF70" i="2"/>
  <c r="M70" i="23"/>
  <c r="L365" i="30"/>
  <c r="L365" i="26"/>
  <c r="AF33" i="2"/>
  <c r="M33" i="23"/>
  <c r="M89" i="23"/>
  <c r="AF89" i="2"/>
  <c r="L396" i="30"/>
  <c r="L396" i="26"/>
  <c r="S126" i="23"/>
  <c r="N126" i="23"/>
  <c r="P126" i="23"/>
  <c r="Q126" i="23" s="1"/>
  <c r="N106" i="23"/>
  <c r="S106" i="23"/>
  <c r="S22" i="23"/>
  <c r="N22" i="23"/>
  <c r="Z307" i="2"/>
  <c r="AY25" i="24" s="1"/>
  <c r="AX25" i="24"/>
  <c r="AB307" i="2"/>
  <c r="H306" i="23"/>
  <c r="AW104" i="24"/>
  <c r="G293" i="23"/>
  <c r="P293" i="23" s="1"/>
  <c r="Q293" i="23" s="1"/>
  <c r="AB358" i="2"/>
  <c r="AN92" i="24"/>
  <c r="AX92" i="24"/>
  <c r="Z358" i="2"/>
  <c r="AY92" i="24" s="1"/>
  <c r="M248" i="23"/>
  <c r="AF248" i="2"/>
  <c r="AF162" i="2"/>
  <c r="M162" i="23"/>
  <c r="AX100" i="24"/>
  <c r="Z368" i="2"/>
  <c r="AY100" i="24" s="1"/>
  <c r="AX89" i="24"/>
  <c r="AB325" i="2"/>
  <c r="Z325" i="2"/>
  <c r="AY89" i="24" s="1"/>
  <c r="AW10" i="24"/>
  <c r="G282" i="23"/>
  <c r="AF77" i="2"/>
  <c r="M77" i="23"/>
  <c r="S54" i="23"/>
  <c r="N54" i="23"/>
  <c r="AN89" i="24"/>
  <c r="AF289" i="2"/>
  <c r="M288" i="23"/>
  <c r="AF192" i="2"/>
  <c r="M192" i="23"/>
  <c r="Z271" i="2"/>
  <c r="AY20" i="24" s="1"/>
  <c r="AX20" i="24"/>
  <c r="H271" i="23"/>
  <c r="Z309" i="2"/>
  <c r="AY74" i="24" s="1"/>
  <c r="AX74" i="24"/>
  <c r="AB309" i="2"/>
  <c r="H308" i="23"/>
  <c r="Z252" i="2"/>
  <c r="W56" i="24" s="1"/>
  <c r="AF56" i="24"/>
  <c r="AB252" i="2"/>
  <c r="H252" i="23"/>
  <c r="L395" i="30"/>
  <c r="L395" i="26"/>
  <c r="U218" i="23"/>
  <c r="G218" i="23"/>
  <c r="AE60" i="24"/>
  <c r="S325" i="30"/>
  <c r="S325" i="26"/>
  <c r="AF134" i="2"/>
  <c r="M134" i="23"/>
  <c r="AF40" i="2"/>
  <c r="M40" i="23"/>
  <c r="AF32" i="2"/>
  <c r="M32" i="23"/>
  <c r="AW32" i="24"/>
  <c r="AN25" i="24"/>
  <c r="AW87" i="24"/>
  <c r="T190" i="26"/>
  <c r="Z221" i="2"/>
  <c r="L330" i="32" s="1"/>
  <c r="H221" i="23"/>
  <c r="F330" i="30"/>
  <c r="F330" i="26"/>
  <c r="AF72" i="24"/>
  <c r="AF194" i="2"/>
  <c r="M194" i="23"/>
  <c r="AF41" i="2"/>
  <c r="M41" i="23"/>
  <c r="M97" i="23"/>
  <c r="AF97" i="2"/>
  <c r="AF37" i="2"/>
  <c r="M37" i="23"/>
  <c r="AX87" i="24"/>
  <c r="Z321" i="2"/>
  <c r="AY87" i="24" s="1"/>
  <c r="AB321" i="2"/>
  <c r="S335" i="26"/>
  <c r="AE64" i="24"/>
  <c r="G219" i="23"/>
  <c r="S335" i="30"/>
  <c r="L397" i="26"/>
  <c r="L397" i="30"/>
  <c r="W32" i="24"/>
  <c r="L279" i="30"/>
  <c r="L279" i="26"/>
  <c r="AW60" i="24"/>
  <c r="T111" i="26"/>
  <c r="W64" i="24"/>
  <c r="L335" i="30"/>
  <c r="L335" i="26"/>
  <c r="Z311" i="2"/>
  <c r="AY95" i="24" s="1"/>
  <c r="AX95" i="24"/>
  <c r="AB311" i="2"/>
  <c r="H310" i="23"/>
  <c r="AW83" i="24"/>
  <c r="J37" i="25" s="1"/>
  <c r="K37" i="25" s="1"/>
  <c r="T178" i="26"/>
  <c r="AF173" i="2"/>
  <c r="M173" i="23"/>
  <c r="M268" i="23"/>
  <c r="AF268" i="2"/>
  <c r="AW77" i="24"/>
  <c r="G301" i="23"/>
  <c r="J301" i="23" s="1"/>
  <c r="AF190" i="2"/>
  <c r="M190" i="23"/>
  <c r="Z301" i="2"/>
  <c r="AY36" i="24" s="1"/>
  <c r="AX36" i="24"/>
  <c r="AB301" i="2"/>
  <c r="H300" i="23"/>
  <c r="L300" i="23" s="1"/>
  <c r="AF109" i="2"/>
  <c r="M109" i="23"/>
  <c r="L343" i="26"/>
  <c r="L304" i="26"/>
  <c r="L304" i="30"/>
  <c r="L343" i="30"/>
  <c r="U224" i="23"/>
  <c r="S336" i="26"/>
  <c r="AE73" i="24"/>
  <c r="G224" i="23"/>
  <c r="J224" i="23" s="1"/>
  <c r="S336" i="30"/>
  <c r="L393" i="26"/>
  <c r="L393" i="30"/>
  <c r="S375" i="30"/>
  <c r="AE95" i="24"/>
  <c r="S375" i="26"/>
  <c r="U246" i="23"/>
  <c r="G246" i="23"/>
  <c r="AF81" i="2"/>
  <c r="M81" i="23"/>
  <c r="Z235" i="2"/>
  <c r="W58" i="24" s="1"/>
  <c r="AF58" i="24"/>
  <c r="AB235" i="2"/>
  <c r="H235" i="23"/>
  <c r="AF256" i="2"/>
  <c r="M256" i="23"/>
  <c r="Z293" i="2"/>
  <c r="H292" i="23"/>
  <c r="AB293" i="2"/>
  <c r="AX65" i="24"/>
  <c r="AW95" i="24"/>
  <c r="J43" i="25" s="1"/>
  <c r="K43" i="25" s="1"/>
  <c r="G310" i="23"/>
  <c r="AF174" i="2"/>
  <c r="M174" i="23"/>
  <c r="AF116" i="2"/>
  <c r="M116" i="23"/>
  <c r="AF101" i="2"/>
  <c r="M101" i="23"/>
  <c r="AF96" i="2"/>
  <c r="M96" i="23"/>
  <c r="L209" i="21"/>
  <c r="L208" i="21"/>
  <c r="L210" i="21"/>
  <c r="M49" i="23"/>
  <c r="AF49" i="2"/>
  <c r="AF129" i="2"/>
  <c r="M129" i="23"/>
  <c r="M185" i="23"/>
  <c r="AF185" i="2"/>
  <c r="Z287" i="2"/>
  <c r="AB287" i="2"/>
  <c r="AX16" i="24"/>
  <c r="H287" i="23"/>
  <c r="AN16" i="24"/>
  <c r="N74" i="23"/>
  <c r="S74" i="23"/>
  <c r="S62" i="23"/>
  <c r="N62" i="23"/>
  <c r="Z295" i="2"/>
  <c r="AY78" i="24" s="1"/>
  <c r="AB295" i="2"/>
  <c r="H294" i="23"/>
  <c r="AX78" i="24"/>
  <c r="Z274" i="2"/>
  <c r="AY14" i="24" s="1"/>
  <c r="H274" i="23"/>
  <c r="AX14" i="24"/>
  <c r="AN14" i="24"/>
  <c r="AF157" i="2"/>
  <c r="M157" i="23"/>
  <c r="Z299" i="2"/>
  <c r="AY75" i="24" s="1"/>
  <c r="AX75" i="24"/>
  <c r="H298" i="23"/>
  <c r="L298" i="23" s="1"/>
  <c r="N118" i="23"/>
  <c r="S118" i="23"/>
  <c r="S50" i="23"/>
  <c r="N50" i="23"/>
  <c r="AN87" i="24"/>
  <c r="AN36" i="24"/>
  <c r="L339" i="26"/>
  <c r="L339" i="30"/>
  <c r="M117" i="23"/>
  <c r="AF117" i="2"/>
  <c r="S82" i="23"/>
  <c r="N82" i="23"/>
  <c r="Z305" i="2"/>
  <c r="AY71" i="24" s="1"/>
  <c r="AB305" i="2"/>
  <c r="AX71" i="24"/>
  <c r="H304" i="23"/>
  <c r="AW49" i="24"/>
  <c r="G299" i="23"/>
  <c r="P299" i="23" s="1"/>
  <c r="Q299" i="23" s="1"/>
  <c r="AF188" i="2"/>
  <c r="M188" i="23"/>
  <c r="AB299" i="2"/>
  <c r="AD299" i="2" s="1"/>
  <c r="AW88" i="24"/>
  <c r="T191" i="26"/>
  <c r="Z291" i="2"/>
  <c r="AY52" i="24" s="1"/>
  <c r="H290" i="23"/>
  <c r="AX52" i="24"/>
  <c r="AB291" i="2"/>
  <c r="AW44" i="24"/>
  <c r="T86" i="26"/>
  <c r="AN71" i="24"/>
  <c r="AN20" i="24"/>
  <c r="J74" i="23"/>
  <c r="Z178" i="2"/>
  <c r="W52" i="24" s="1"/>
  <c r="AB178" i="2"/>
  <c r="AD178" i="2" s="1"/>
  <c r="H178" i="23"/>
  <c r="AF52" i="24"/>
  <c r="AF121" i="2"/>
  <c r="M121" i="23"/>
  <c r="AF88" i="2"/>
  <c r="M88" i="23"/>
  <c r="S70" i="23"/>
  <c r="N70" i="23"/>
  <c r="N58" i="23"/>
  <c r="S58" i="23"/>
  <c r="J58" i="23"/>
  <c r="AX88" i="24"/>
  <c r="AB327" i="2"/>
  <c r="Z327" i="2"/>
  <c r="AY88" i="24" s="1"/>
  <c r="AX67" i="24"/>
  <c r="Z313" i="2"/>
  <c r="AY67" i="24" s="1"/>
  <c r="AB313" i="2"/>
  <c r="F294" i="30"/>
  <c r="Z208" i="2"/>
  <c r="L294" i="32" s="1"/>
  <c r="AF26" i="24"/>
  <c r="AB208" i="2"/>
  <c r="AD208" i="2" s="1"/>
  <c r="F294" i="26"/>
  <c r="H208" i="23"/>
  <c r="L238" i="21"/>
  <c r="L215" i="21"/>
  <c r="M25" i="23"/>
  <c r="AF25" i="2"/>
  <c r="M65" i="23"/>
  <c r="AF65" i="2"/>
  <c r="AF170" i="2"/>
  <c r="M170" i="23"/>
  <c r="G308" i="23"/>
  <c r="P308" i="23" s="1"/>
  <c r="Q308" i="23" s="1"/>
  <c r="AW74" i="24"/>
  <c r="U210" i="23"/>
  <c r="AE50" i="24"/>
  <c r="S321" i="26"/>
  <c r="G210" i="23"/>
  <c r="S321" i="30"/>
  <c r="U202" i="23"/>
  <c r="G202" i="23"/>
  <c r="S332" i="26"/>
  <c r="AE75" i="24"/>
  <c r="O159" i="23"/>
  <c r="S332" i="30"/>
  <c r="AF247" i="2"/>
  <c r="M247" i="23"/>
  <c r="Z303" i="2"/>
  <c r="AY26" i="24" s="1"/>
  <c r="AB303" i="2"/>
  <c r="AX26" i="24"/>
  <c r="H302" i="23"/>
  <c r="AF240" i="2"/>
  <c r="M240" i="23"/>
  <c r="AF141" i="2"/>
  <c r="M141" i="23"/>
  <c r="AX43" i="24"/>
  <c r="AB315" i="2"/>
  <c r="Z315" i="2"/>
  <c r="AY43" i="24" s="1"/>
  <c r="G306" i="23"/>
  <c r="AW25" i="24"/>
  <c r="AN43" i="24"/>
  <c r="Z297" i="2"/>
  <c r="AY76" i="24" s="1"/>
  <c r="AX76" i="24"/>
  <c r="H296" i="23"/>
  <c r="L296" i="23" s="1"/>
  <c r="AB297" i="2"/>
  <c r="AN65" i="24"/>
  <c r="M214" i="23"/>
  <c r="AF214" i="2"/>
  <c r="AX44" i="24"/>
  <c r="Z323" i="2"/>
  <c r="AY44" i="24" s="1"/>
  <c r="AB323" i="2"/>
  <c r="Z223" i="2"/>
  <c r="L338" i="32" s="1"/>
  <c r="F338" i="30"/>
  <c r="H223" i="23"/>
  <c r="F338" i="26"/>
  <c r="AF77" i="24"/>
  <c r="L391" i="26"/>
  <c r="L391" i="30"/>
  <c r="AN75" i="24"/>
  <c r="Z189" i="2"/>
  <c r="L333" i="32" s="1"/>
  <c r="AF71" i="24"/>
  <c r="F333" i="26"/>
  <c r="H189" i="23"/>
  <c r="L189" i="23" s="1"/>
  <c r="F333" i="30"/>
  <c r="AW75" i="24"/>
  <c r="G298" i="23"/>
  <c r="Z285" i="2"/>
  <c r="AY13" i="24" s="1"/>
  <c r="AX13" i="24"/>
  <c r="AB285" i="2"/>
  <c r="H285" i="23"/>
  <c r="L285" i="23" s="1"/>
  <c r="AF267" i="2"/>
  <c r="M267" i="23"/>
  <c r="AW89" i="24"/>
  <c r="T192" i="26"/>
  <c r="Z213" i="2"/>
  <c r="L394" i="32" s="1"/>
  <c r="H213" i="23"/>
  <c r="L213" i="23" s="1"/>
  <c r="F394" i="26"/>
  <c r="F388" i="26" s="1"/>
  <c r="F387" i="26" s="1"/>
  <c r="F386" i="26" s="1"/>
  <c r="F385" i="26" s="1"/>
  <c r="F384" i="26" s="1"/>
  <c r="F383" i="26" s="1"/>
  <c r="AF106" i="24"/>
  <c r="F394" i="30"/>
  <c r="F388" i="30" s="1"/>
  <c r="F387" i="30" s="1"/>
  <c r="F386" i="30" s="1"/>
  <c r="F385" i="30" s="1"/>
  <c r="F384" i="30" s="1"/>
  <c r="F383" i="30" s="1"/>
  <c r="AF128" i="2"/>
  <c r="M128" i="23"/>
  <c r="AF53" i="2"/>
  <c r="M53" i="23"/>
  <c r="AF48" i="2"/>
  <c r="M48" i="23"/>
  <c r="J106" i="23"/>
  <c r="N188" i="26"/>
  <c r="N33" i="27" s="1"/>
  <c r="N234" i="30"/>
  <c r="N233" i="30" s="1"/>
  <c r="N82" i="30"/>
  <c r="L179" i="28"/>
  <c r="M179" i="28" s="1"/>
  <c r="L7" i="30"/>
  <c r="L6" i="30" s="1"/>
  <c r="L5" i="30" s="1"/>
  <c r="N140" i="30"/>
  <c r="N139" i="30" s="1"/>
  <c r="J231" i="30"/>
  <c r="K231" i="30" s="1"/>
  <c r="K230" i="30" s="1"/>
  <c r="K229" i="30" s="1"/>
  <c r="K228" i="30" s="1"/>
  <c r="K227" i="30" s="1"/>
  <c r="K226" i="30" s="1"/>
  <c r="L241" i="30"/>
  <c r="L231" i="30" s="1"/>
  <c r="L230" i="30" s="1"/>
  <c r="L229" i="30" s="1"/>
  <c r="L228" i="30" s="1"/>
  <c r="L227" i="30" s="1"/>
  <c r="L226" i="30" s="1"/>
  <c r="N31" i="27"/>
  <c r="L116" i="26"/>
  <c r="L19" i="27" s="1"/>
  <c r="L14" i="27"/>
  <c r="L13" i="27"/>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M82" i="26"/>
  <c r="M15" i="27" s="1"/>
  <c r="L118" i="28"/>
  <c r="M118" i="28" s="1"/>
  <c r="L90" i="30"/>
  <c r="N8" i="27"/>
  <c r="N7" i="26"/>
  <c r="K209" i="28"/>
  <c r="K41" i="28"/>
  <c r="J40" i="28"/>
  <c r="K179" i="28"/>
  <c r="L222" i="21"/>
  <c r="L174" i="21"/>
  <c r="L241" i="21"/>
  <c r="J12" i="27"/>
  <c r="M13" i="27"/>
  <c r="M150" i="28"/>
  <c r="M149" i="28" s="1"/>
  <c r="J149" i="28"/>
  <c r="K149" i="28" s="1"/>
  <c r="K150" i="28"/>
  <c r="J7" i="28"/>
  <c r="K8" i="28"/>
  <c r="K76" i="28"/>
  <c r="K160" i="28"/>
  <c r="L230" i="21"/>
  <c r="L41" i="28"/>
  <c r="N117" i="30"/>
  <c r="N116" i="30" s="1"/>
  <c r="AW68" i="24"/>
  <c r="T124" i="26"/>
  <c r="J117" i="28"/>
  <c r="K117" i="28" s="1"/>
  <c r="K118" i="28"/>
  <c r="L61" i="28"/>
  <c r="M61" i="28" s="1"/>
  <c r="L98" i="28"/>
  <c r="L97" i="28" s="1"/>
  <c r="K166" i="28"/>
  <c r="K207" i="28"/>
  <c r="M207" i="28"/>
  <c r="L50" i="26"/>
  <c r="AW37" i="24"/>
  <c r="T67" i="26"/>
  <c r="M123" i="28"/>
  <c r="K123" i="28"/>
  <c r="K154" i="28"/>
  <c r="L84" i="28"/>
  <c r="M84" i="28" s="1"/>
  <c r="J46" i="27"/>
  <c r="J231" i="26"/>
  <c r="K233" i="26"/>
  <c r="K46" i="27" s="1"/>
  <c r="J7" i="27"/>
  <c r="K7" i="26"/>
  <c r="K7" i="27" s="1"/>
  <c r="J6" i="26"/>
  <c r="N37" i="30"/>
  <c r="K61" i="28"/>
  <c r="AW64" i="24"/>
  <c r="T121" i="26"/>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N47" i="27"/>
  <c r="N233" i="26"/>
  <c r="N46" i="27" s="1"/>
  <c r="L233" i="26"/>
  <c r="L47" i="27"/>
  <c r="K33" i="28"/>
  <c r="AX94" i="24"/>
  <c r="Z375" i="2"/>
  <c r="AY94" i="24" s="1"/>
  <c r="L57" i="27"/>
  <c r="L241" i="26"/>
  <c r="L54" i="27" s="1"/>
  <c r="AN94" i="24"/>
  <c r="L68" i="28"/>
  <c r="M68" i="28" s="1"/>
  <c r="L8" i="28"/>
  <c r="L76" i="28"/>
  <c r="M76" i="28" s="1"/>
  <c r="L183" i="21"/>
  <c r="L225" i="21"/>
  <c r="L243" i="21"/>
  <c r="AY69" i="24"/>
  <c r="AY41" i="24"/>
  <c r="K201" i="28"/>
  <c r="J200" i="28"/>
  <c r="M8" i="26"/>
  <c r="L198" i="21"/>
  <c r="AW85" i="24"/>
  <c r="T183" i="26"/>
  <c r="K98" i="28"/>
  <c r="J97" i="28"/>
  <c r="K97" i="28" s="1"/>
  <c r="L166" i="28"/>
  <c r="M166" i="28" s="1"/>
  <c r="AD832" i="2" l="1"/>
  <c r="J300" i="26"/>
  <c r="K379" i="26"/>
  <c r="J378" i="30"/>
  <c r="K378" i="30" s="1"/>
  <c r="J373" i="32"/>
  <c r="J373" i="30"/>
  <c r="J373" i="26"/>
  <c r="J354" i="32"/>
  <c r="J353" i="32" s="1"/>
  <c r="J354" i="30"/>
  <c r="J353" i="30" s="1"/>
  <c r="K353" i="30" s="1"/>
  <c r="J354" i="26"/>
  <c r="J353" i="26" s="1"/>
  <c r="K353" i="26" s="1"/>
  <c r="AD789" i="2"/>
  <c r="AD819" i="2"/>
  <c r="AD817" i="2"/>
  <c r="J388" i="30"/>
  <c r="J387" i="30" s="1"/>
  <c r="J386" i="30" s="1"/>
  <c r="J385" i="30" s="1"/>
  <c r="J384" i="30" s="1"/>
  <c r="J383" i="30" s="1"/>
  <c r="J388" i="26"/>
  <c r="J387" i="26" s="1"/>
  <c r="J386" i="26" s="1"/>
  <c r="J385" i="26" s="1"/>
  <c r="J384" i="26" s="1"/>
  <c r="J383" i="26" s="1"/>
  <c r="AT262" i="2"/>
  <c r="AN260" i="2"/>
  <c r="AC260" i="2"/>
  <c r="AE260" i="2" s="1"/>
  <c r="AD813" i="2"/>
  <c r="J313" i="32"/>
  <c r="AC262" i="2"/>
  <c r="AE262" i="2" s="1"/>
  <c r="AN262" i="2"/>
  <c r="AD848" i="2"/>
  <c r="AD517" i="2"/>
  <c r="AD824" i="2"/>
  <c r="AD785" i="2"/>
  <c r="AD513" i="2"/>
  <c r="AD812" i="2"/>
  <c r="O177" i="23"/>
  <c r="T177" i="23" s="1"/>
  <c r="AD814" i="2"/>
  <c r="AD247" i="2"/>
  <c r="AD375" i="2"/>
  <c r="O211" i="23"/>
  <c r="T211" i="23" s="1"/>
  <c r="AD787" i="2"/>
  <c r="AD602" i="2"/>
  <c r="AD844" i="2"/>
  <c r="AD509" i="2"/>
  <c r="AD816" i="2"/>
  <c r="AD506" i="2"/>
  <c r="AD267" i="2"/>
  <c r="O180" i="23"/>
  <c r="T180" i="23" s="1"/>
  <c r="AD290" i="2"/>
  <c r="AD300" i="2"/>
  <c r="AD524" i="2"/>
  <c r="AD668" i="2"/>
  <c r="O228" i="23"/>
  <c r="T228" i="23" s="1"/>
  <c r="O196" i="23"/>
  <c r="T196" i="23" s="1"/>
  <c r="AD992" i="2"/>
  <c r="AD525" i="2"/>
  <c r="AD982" i="2"/>
  <c r="AD901" i="2"/>
  <c r="AD842" i="2"/>
  <c r="AD961" i="2"/>
  <c r="AF375" i="2"/>
  <c r="O227" i="23"/>
  <c r="T227" i="23" s="1"/>
  <c r="J313" i="26"/>
  <c r="K313" i="26" s="1"/>
  <c r="AD763" i="2"/>
  <c r="AD673" i="2"/>
  <c r="AD931" i="2"/>
  <c r="AD890" i="2"/>
  <c r="AD885" i="2"/>
  <c r="AD282" i="2"/>
  <c r="AD946" i="2"/>
  <c r="AD917" i="2"/>
  <c r="AD952" i="2"/>
  <c r="AD974" i="2"/>
  <c r="J328" i="32"/>
  <c r="J327" i="32" s="1"/>
  <c r="J313" i="30"/>
  <c r="K313" i="30" s="1"/>
  <c r="AD977" i="2"/>
  <c r="AD779" i="2"/>
  <c r="AD927" i="2"/>
  <c r="AD876" i="2"/>
  <c r="AD945" i="2"/>
  <c r="AD968" i="2"/>
  <c r="AD869" i="2"/>
  <c r="AD973" i="2"/>
  <c r="AD895" i="2"/>
  <c r="AD941" i="2"/>
  <c r="AD920" i="2"/>
  <c r="AD682" i="2"/>
  <c r="AD925" i="2"/>
  <c r="AD986" i="2"/>
  <c r="AD601" i="2"/>
  <c r="AD942" i="2"/>
  <c r="AD965" i="2"/>
  <c r="AD962" i="2"/>
  <c r="AD270" i="2"/>
  <c r="AD912" i="2"/>
  <c r="O201" i="23"/>
  <c r="T201" i="23" s="1"/>
  <c r="AD957" i="2"/>
  <c r="AD600" i="2"/>
  <c r="AD911" i="2"/>
  <c r="AD875" i="2"/>
  <c r="AD609" i="2"/>
  <c r="AD997" i="2"/>
  <c r="AD607" i="2"/>
  <c r="AD929" i="2"/>
  <c r="AD519" i="2"/>
  <c r="AD966" i="2"/>
  <c r="AD928" i="2"/>
  <c r="AD706" i="2"/>
  <c r="AD828" i="2"/>
  <c r="AD677" i="2"/>
  <c r="AD608" i="2"/>
  <c r="AD958" i="2"/>
  <c r="AD793" i="2"/>
  <c r="AD922" i="2"/>
  <c r="AD947" i="2"/>
  <c r="AD923" i="2"/>
  <c r="AD910" i="2"/>
  <c r="AD867" i="2"/>
  <c r="AD960" i="2"/>
  <c r="AD985" i="2"/>
  <c r="AD686" i="2"/>
  <c r="AD988" i="2"/>
  <c r="AD639" i="2"/>
  <c r="AD963" i="2"/>
  <c r="AD858" i="2"/>
  <c r="AD981" i="2"/>
  <c r="AD658" i="2"/>
  <c r="AD934" i="2"/>
  <c r="AD830" i="2"/>
  <c r="AD803" i="2"/>
  <c r="AD815" i="2"/>
  <c r="AD855" i="2"/>
  <c r="AD732" i="2"/>
  <c r="AD990" i="2"/>
  <c r="AD954" i="2"/>
  <c r="AD975" i="2"/>
  <c r="AD618" i="2"/>
  <c r="AD935" i="2"/>
  <c r="AD512" i="2"/>
  <c r="AD688" i="2"/>
  <c r="AD882" i="2"/>
  <c r="AD684" i="2"/>
  <c r="AD969" i="2"/>
  <c r="AD933" i="2"/>
  <c r="AD989" i="2"/>
  <c r="AD936" i="2"/>
  <c r="AD926" i="2"/>
  <c r="AD991" i="2"/>
  <c r="AD955" i="2"/>
  <c r="AD994" i="2"/>
  <c r="AD943" i="2"/>
  <c r="AD627" i="2"/>
  <c r="AD896" i="2"/>
  <c r="AD700" i="2"/>
  <c r="AD984" i="2"/>
  <c r="AD503" i="2"/>
  <c r="AD967" i="2"/>
  <c r="J291" i="30"/>
  <c r="J290" i="30" s="1"/>
  <c r="AD887" i="2"/>
  <c r="AD772" i="2"/>
  <c r="AD996" i="2"/>
  <c r="AD953" i="2"/>
  <c r="AD921" i="2"/>
  <c r="AD520" i="2"/>
  <c r="AD978" i="2"/>
  <c r="AD932" i="2"/>
  <c r="AD629" i="2"/>
  <c r="AD976" i="2"/>
  <c r="AD987" i="2"/>
  <c r="AD592" i="2"/>
  <c r="AD993" i="2"/>
  <c r="AD868" i="2"/>
  <c r="AD836" i="2"/>
  <c r="AD888" i="2"/>
  <c r="AD786" i="2"/>
  <c r="AD956" i="2"/>
  <c r="AD930" i="2"/>
  <c r="AD762" i="2"/>
  <c r="AD902" i="2"/>
  <c r="AD970" i="2"/>
  <c r="AD999" i="2"/>
  <c r="AD948" i="2"/>
  <c r="AD757" i="2"/>
  <c r="AD150" i="2"/>
  <c r="AD940" i="2"/>
  <c r="AD742" i="2"/>
  <c r="AD998" i="2"/>
  <c r="AD924" i="2"/>
  <c r="AD937" i="2"/>
  <c r="AD944" i="2"/>
  <c r="AD971" i="2"/>
  <c r="AD983" i="2"/>
  <c r="AD964" i="2"/>
  <c r="T193" i="23"/>
  <c r="J291" i="32"/>
  <c r="J290" i="32" s="1"/>
  <c r="T78" i="23"/>
  <c r="J328" i="30"/>
  <c r="J327" i="30" s="1"/>
  <c r="AD764" i="2"/>
  <c r="AD7" i="2"/>
  <c r="J328" i="26"/>
  <c r="J327" i="26" s="1"/>
  <c r="J388" i="32"/>
  <c r="J387" i="32" s="1"/>
  <c r="J386" i="32" s="1"/>
  <c r="J385" i="32" s="1"/>
  <c r="J384" i="32" s="1"/>
  <c r="J383" i="32" s="1"/>
  <c r="M200" i="23"/>
  <c r="AF229" i="2"/>
  <c r="K379" i="32"/>
  <c r="AI31" i="24"/>
  <c r="AI68" i="24"/>
  <c r="M307" i="32"/>
  <c r="K307" i="32"/>
  <c r="AF325" i="2"/>
  <c r="AD325" i="2"/>
  <c r="AF310" i="2"/>
  <c r="AD310" i="2"/>
  <c r="AF316" i="2"/>
  <c r="AD316" i="2"/>
  <c r="AE557" i="2"/>
  <c r="AD557" i="2"/>
  <c r="AD28" i="2"/>
  <c r="AE28" i="2"/>
  <c r="AE60" i="2"/>
  <c r="AD60" i="2"/>
  <c r="AE259" i="2"/>
  <c r="AD259" i="2"/>
  <c r="AD75" i="2"/>
  <c r="AE75" i="2"/>
  <c r="AE159" i="2"/>
  <c r="AD159" i="2"/>
  <c r="AE73" i="2"/>
  <c r="AD73" i="2"/>
  <c r="AD484" i="2"/>
  <c r="AE484" i="2"/>
  <c r="AE241" i="2"/>
  <c r="AD241" i="2"/>
  <c r="AD610" i="2"/>
  <c r="AE610" i="2"/>
  <c r="AD476" i="2"/>
  <c r="AE476" i="2"/>
  <c r="AD394" i="2"/>
  <c r="AE394" i="2"/>
  <c r="AE456" i="2"/>
  <c r="AD456" i="2"/>
  <c r="AD390" i="2"/>
  <c r="AE390" i="2"/>
  <c r="AD145" i="2"/>
  <c r="AE145" i="2"/>
  <c r="AD320" i="2"/>
  <c r="AE320" i="2"/>
  <c r="AD266" i="2"/>
  <c r="AE266" i="2"/>
  <c r="AE121" i="2"/>
  <c r="AD121" i="2"/>
  <c r="AE360" i="2"/>
  <c r="AD360" i="2"/>
  <c r="AD283" i="2"/>
  <c r="AE283" i="2"/>
  <c r="AE753" i="2"/>
  <c r="AD753" i="2"/>
  <c r="AE399" i="2"/>
  <c r="AD399" i="2"/>
  <c r="AE338" i="2"/>
  <c r="AD338" i="2"/>
  <c r="AD115" i="2"/>
  <c r="AE115" i="2"/>
  <c r="AE563" i="2"/>
  <c r="AD563" i="2"/>
  <c r="AE578" i="2"/>
  <c r="AD578" i="2"/>
  <c r="AE69" i="2"/>
  <c r="AD69" i="2"/>
  <c r="AD102" i="2"/>
  <c r="AE102" i="2"/>
  <c r="AD386" i="2"/>
  <c r="AE386" i="2"/>
  <c r="AD361" i="2"/>
  <c r="AE361" i="2"/>
  <c r="AD344" i="2"/>
  <c r="AE344" i="2"/>
  <c r="AD319" i="2"/>
  <c r="AE319" i="2"/>
  <c r="AD380" i="2"/>
  <c r="AE380" i="2"/>
  <c r="AD534" i="2"/>
  <c r="AE534" i="2"/>
  <c r="AD113" i="2"/>
  <c r="AE113" i="2"/>
  <c r="AE58" i="2"/>
  <c r="AD58" i="2"/>
  <c r="AD400" i="2"/>
  <c r="AE400" i="2"/>
  <c r="AD376" i="2"/>
  <c r="AE376" i="2"/>
  <c r="AE657" i="2"/>
  <c r="AD657" i="2"/>
  <c r="AD174" i="2"/>
  <c r="AE174" i="2"/>
  <c r="AD335" i="2"/>
  <c r="AE335" i="2"/>
  <c r="AD167" i="2"/>
  <c r="AE167" i="2"/>
  <c r="AE89" i="2"/>
  <c r="AD89" i="2"/>
  <c r="AD480" i="2"/>
  <c r="AE480" i="2"/>
  <c r="AD93" i="2"/>
  <c r="AE93" i="2"/>
  <c r="AE336" i="2"/>
  <c r="AD336" i="2"/>
  <c r="AF323" i="2"/>
  <c r="AD323" i="2"/>
  <c r="AF312" i="2"/>
  <c r="AD312" i="2"/>
  <c r="AF430" i="2"/>
  <c r="AD430" i="2"/>
  <c r="AD352" i="2"/>
  <c r="AD473" i="2"/>
  <c r="AE473" i="2"/>
  <c r="AE461" i="2"/>
  <c r="AD461" i="2"/>
  <c r="AE314" i="2"/>
  <c r="AD314" i="2"/>
  <c r="AD402" i="2"/>
  <c r="AE402" i="2"/>
  <c r="AD305" i="2"/>
  <c r="AE305" i="2"/>
  <c r="AD575" i="2"/>
  <c r="AE575" i="2"/>
  <c r="AE326" i="2"/>
  <c r="AD326" i="2"/>
  <c r="AD77" i="2"/>
  <c r="AE77" i="2"/>
  <c r="AD459" i="2"/>
  <c r="AE459" i="2"/>
  <c r="AE226" i="2"/>
  <c r="AD226" i="2"/>
  <c r="AE190" i="2"/>
  <c r="AD190" i="2"/>
  <c r="AE544" i="2"/>
  <c r="AD544" i="2"/>
  <c r="AD57" i="2"/>
  <c r="AE57" i="2"/>
  <c r="AD710" i="2"/>
  <c r="AE710" i="2"/>
  <c r="AE42" i="2"/>
  <c r="AD42" i="2"/>
  <c r="AE80" i="2"/>
  <c r="AD80" i="2"/>
  <c r="AD206" i="2"/>
  <c r="AE206" i="2"/>
  <c r="AE529" i="2"/>
  <c r="AD529" i="2"/>
  <c r="AE281" i="2"/>
  <c r="AD281" i="2"/>
  <c r="AD678" i="2"/>
  <c r="AE678" i="2"/>
  <c r="AE278" i="2"/>
  <c r="AD278" i="2"/>
  <c r="AD195" i="2"/>
  <c r="AE195" i="2"/>
  <c r="AE374" i="2"/>
  <c r="AD374" i="2"/>
  <c r="AE494" i="2"/>
  <c r="AD494" i="2"/>
  <c r="AD483" i="2"/>
  <c r="AE483" i="2"/>
  <c r="AD415" i="2"/>
  <c r="AE415" i="2"/>
  <c r="AD791" i="2"/>
  <c r="AE791" i="2"/>
  <c r="AD582" i="2"/>
  <c r="AE582" i="2"/>
  <c r="AD245" i="2"/>
  <c r="AD510" i="2"/>
  <c r="AE510" i="2"/>
  <c r="AD129" i="2"/>
  <c r="AE129" i="2"/>
  <c r="AD33" i="2"/>
  <c r="AE33" i="2"/>
  <c r="AD284" i="2"/>
  <c r="AE284" i="2"/>
  <c r="AD500" i="2"/>
  <c r="AE500" i="2"/>
  <c r="AD94" i="2"/>
  <c r="AE94" i="2"/>
  <c r="AE173" i="2"/>
  <c r="AD173" i="2"/>
  <c r="AD38" i="2"/>
  <c r="AE38" i="2"/>
  <c r="AD79" i="2"/>
  <c r="AE79" i="2"/>
  <c r="AD287" i="2"/>
  <c r="AE287" i="2"/>
  <c r="AE703" i="2"/>
  <c r="AD703" i="2"/>
  <c r="AD133" i="2"/>
  <c r="AE133" i="2"/>
  <c r="AD475" i="2"/>
  <c r="AE475" i="2"/>
  <c r="AD381" i="2"/>
  <c r="AE381" i="2"/>
  <c r="AD750" i="2"/>
  <c r="AE750" i="2"/>
  <c r="AE566" i="2"/>
  <c r="AD566" i="2"/>
  <c r="AE111" i="2"/>
  <c r="AD111" i="2"/>
  <c r="AE539" i="2"/>
  <c r="AD539" i="2"/>
  <c r="AD585" i="2"/>
  <c r="AE585" i="2"/>
  <c r="AE421" i="2"/>
  <c r="AD421" i="2"/>
  <c r="AD692" i="2"/>
  <c r="AE692" i="2"/>
  <c r="AE347" i="2"/>
  <c r="AD347" i="2"/>
  <c r="AD166" i="2"/>
  <c r="AE166" i="2"/>
  <c r="AE403" i="2"/>
  <c r="AD403" i="2"/>
  <c r="AD446" i="2"/>
  <c r="AE446" i="2"/>
  <c r="AD681" i="2"/>
  <c r="AE681" i="2"/>
  <c r="AD554" i="2"/>
  <c r="AE554" i="2"/>
  <c r="AD153" i="2"/>
  <c r="AE153" i="2"/>
  <c r="AD20" i="2"/>
  <c r="AE20" i="2"/>
  <c r="AE286" i="2"/>
  <c r="AD286" i="2"/>
  <c r="AD428" i="2"/>
  <c r="AE428" i="2"/>
  <c r="AD547" i="2"/>
  <c r="AE547" i="2"/>
  <c r="AD214" i="2"/>
  <c r="AE214" i="2"/>
  <c r="AD14" i="2"/>
  <c r="AE14" i="2"/>
  <c r="AD248" i="2"/>
  <c r="AE248" i="2"/>
  <c r="AD410" i="2"/>
  <c r="AE410" i="2"/>
  <c r="AD180" i="2"/>
  <c r="AE180" i="2"/>
  <c r="AD533" i="2"/>
  <c r="AE533" i="2"/>
  <c r="AD596" i="2"/>
  <c r="AE596" i="2"/>
  <c r="AE642" i="2"/>
  <c r="AD642" i="2"/>
  <c r="AD67" i="2"/>
  <c r="AE67" i="2"/>
  <c r="AE63" i="2"/>
  <c r="AD63" i="2"/>
  <c r="AD478" i="2"/>
  <c r="AE478" i="2"/>
  <c r="AE368" i="2"/>
  <c r="AD368" i="2"/>
  <c r="AD104" i="2"/>
  <c r="AE104" i="2"/>
  <c r="AD273" i="2"/>
  <c r="AE273" i="2"/>
  <c r="AD412" i="2"/>
  <c r="AE412" i="2"/>
  <c r="AE215" i="2"/>
  <c r="AD215" i="2"/>
  <c r="AD472" i="2"/>
  <c r="AE472" i="2"/>
  <c r="AD652" i="2"/>
  <c r="AE652" i="2"/>
  <c r="AE656" i="2"/>
  <c r="AD656" i="2"/>
  <c r="AE234" i="2"/>
  <c r="AD234" i="2"/>
  <c r="AE161" i="2"/>
  <c r="AD161" i="2"/>
  <c r="AE457" i="2"/>
  <c r="AD457" i="2"/>
  <c r="AD105" i="2"/>
  <c r="AE105" i="2"/>
  <c r="M159" i="23"/>
  <c r="AD202" i="2"/>
  <c r="AE274" i="2"/>
  <c r="AD274" i="2"/>
  <c r="AE342" i="2"/>
  <c r="AD342" i="2"/>
  <c r="AD496" i="2"/>
  <c r="AE496" i="2"/>
  <c r="AE577" i="2"/>
  <c r="AD577" i="2"/>
  <c r="AE654" i="2"/>
  <c r="AD654" i="2"/>
  <c r="AD382" i="2"/>
  <c r="AE382" i="2"/>
  <c r="AE109" i="2"/>
  <c r="AD109" i="2"/>
  <c r="AE661" i="2"/>
  <c r="AD661" i="2"/>
  <c r="AE455" i="2"/>
  <c r="AD455" i="2"/>
  <c r="AE470" i="2"/>
  <c r="AD470" i="2"/>
  <c r="AD730" i="2"/>
  <c r="AE730" i="2"/>
  <c r="AE414" i="2"/>
  <c r="AD414" i="2"/>
  <c r="AE297" i="2"/>
  <c r="AD297" i="2"/>
  <c r="AD407" i="2"/>
  <c r="AE407" i="2"/>
  <c r="AE140" i="2"/>
  <c r="AD140" i="2"/>
  <c r="AD411" i="2"/>
  <c r="AE411" i="2"/>
  <c r="AE187" i="2"/>
  <c r="AD187" i="2"/>
  <c r="AE495" i="2"/>
  <c r="AD495" i="2"/>
  <c r="AD659" i="2"/>
  <c r="AE659" i="2"/>
  <c r="AE279" i="2"/>
  <c r="AD279" i="2"/>
  <c r="AD27" i="2"/>
  <c r="AE27" i="2"/>
  <c r="AD479" i="2"/>
  <c r="AE479" i="2"/>
  <c r="AD370" i="2"/>
  <c r="AE370" i="2"/>
  <c r="AE339" i="2"/>
  <c r="AD339" i="2"/>
  <c r="AD561" i="2"/>
  <c r="AE561" i="2"/>
  <c r="AD301" i="2"/>
  <c r="AE301" i="2"/>
  <c r="AD346" i="2"/>
  <c r="AE346" i="2"/>
  <c r="AD449" i="2"/>
  <c r="AE449" i="2"/>
  <c r="AD15" i="2"/>
  <c r="AE15" i="2"/>
  <c r="AE432" i="2"/>
  <c r="AD432" i="2"/>
  <c r="AD443" i="2"/>
  <c r="AE443" i="2"/>
  <c r="AD155" i="2"/>
  <c r="AE155" i="2"/>
  <c r="AD423" i="2"/>
  <c r="AE423" i="2"/>
  <c r="AE120" i="2"/>
  <c r="AD120" i="2"/>
  <c r="AE350" i="2"/>
  <c r="AD350" i="2"/>
  <c r="AE637" i="2"/>
  <c r="AD637" i="2"/>
  <c r="AE373" i="2"/>
  <c r="AD373" i="2"/>
  <c r="AD454" i="2"/>
  <c r="AE454" i="2"/>
  <c r="AD240" i="2"/>
  <c r="AE240" i="2"/>
  <c r="AD168" i="2"/>
  <c r="AE168" i="2"/>
  <c r="AE251" i="2"/>
  <c r="AD251" i="2"/>
  <c r="AE573" i="2"/>
  <c r="AD573" i="2"/>
  <c r="AD638" i="2"/>
  <c r="AE638" i="2"/>
  <c r="AD440" i="2"/>
  <c r="AE440" i="2"/>
  <c r="AD468" i="2"/>
  <c r="AE468" i="2"/>
  <c r="AD556" i="2"/>
  <c r="AE556" i="2"/>
  <c r="AD571" i="2"/>
  <c r="AE571" i="2"/>
  <c r="AD599" i="2"/>
  <c r="AE599" i="2"/>
  <c r="AE418" i="2"/>
  <c r="AD418" i="2"/>
  <c r="AD485" i="2"/>
  <c r="AE485" i="2"/>
  <c r="AD30" i="2"/>
  <c r="AE30" i="2"/>
  <c r="AE143" i="2"/>
  <c r="AD143" i="2"/>
  <c r="AE469" i="2"/>
  <c r="AD469" i="2"/>
  <c r="AE186" i="2"/>
  <c r="AD186" i="2"/>
  <c r="AD185" i="2"/>
  <c r="AE185" i="2"/>
  <c r="AE92" i="2"/>
  <c r="AD92" i="2"/>
  <c r="AD272" i="2"/>
  <c r="AE272" i="2"/>
  <c r="AE396" i="2"/>
  <c r="AD396" i="2"/>
  <c r="AF307" i="2"/>
  <c r="AD307" i="2"/>
  <c r="AF354" i="2"/>
  <c r="AD354" i="2"/>
  <c r="AD389" i="2"/>
  <c r="AE389" i="2"/>
  <c r="AE536" i="2"/>
  <c r="AD536" i="2"/>
  <c r="AD130" i="2"/>
  <c r="AE130" i="2"/>
  <c r="AD603" i="2"/>
  <c r="AE603" i="2"/>
  <c r="AD31" i="2"/>
  <c r="AE31" i="2"/>
  <c r="AE340" i="2"/>
  <c r="AD340" i="2"/>
  <c r="AD296" i="2"/>
  <c r="AE296" i="2"/>
  <c r="AD477" i="2"/>
  <c r="AE477" i="2"/>
  <c r="AE18" i="2"/>
  <c r="AD18" i="2"/>
  <c r="AD416" i="2"/>
  <c r="AE416" i="2"/>
  <c r="AD179" i="2"/>
  <c r="AE179" i="2"/>
  <c r="AE493" i="2"/>
  <c r="AD493" i="2"/>
  <c r="AE25" i="2"/>
  <c r="AD25" i="2"/>
  <c r="AD460" i="2"/>
  <c r="AE460" i="2"/>
  <c r="AD146" i="2"/>
  <c r="AE146" i="2"/>
  <c r="AD401" i="2"/>
  <c r="AE401" i="2"/>
  <c r="AD748" i="2"/>
  <c r="AE748" i="2"/>
  <c r="AD486" i="2"/>
  <c r="AE486" i="2"/>
  <c r="AE17" i="2"/>
  <c r="AD17" i="2"/>
  <c r="AF321" i="2"/>
  <c r="AD321" i="2"/>
  <c r="AF365" i="2"/>
  <c r="AD365" i="2"/>
  <c r="AF369" i="2"/>
  <c r="AD369" i="2"/>
  <c r="AD366" i="2"/>
  <c r="AD306" i="2"/>
  <c r="AE306" i="2"/>
  <c r="AD392" i="2"/>
  <c r="AE392" i="2"/>
  <c r="AD217" i="2"/>
  <c r="AE217" i="2"/>
  <c r="AD295" i="2"/>
  <c r="AE295" i="2"/>
  <c r="AD699" i="2"/>
  <c r="AE699" i="2"/>
  <c r="AD667" i="2"/>
  <c r="AE667" i="2"/>
  <c r="AE49" i="2"/>
  <c r="AD49" i="2"/>
  <c r="AE615" i="2"/>
  <c r="AD615" i="2"/>
  <c r="AD243" i="2"/>
  <c r="AE243" i="2"/>
  <c r="AD324" i="2"/>
  <c r="AE324" i="2"/>
  <c r="AE348" i="2"/>
  <c r="AD348" i="2"/>
  <c r="AE560" i="2"/>
  <c r="AD560" i="2"/>
  <c r="AD160" i="2"/>
  <c r="AE160" i="2"/>
  <c r="AD464" i="2"/>
  <c r="AE464" i="2"/>
  <c r="AE552" i="2"/>
  <c r="AD552" i="2"/>
  <c r="AD227" i="2"/>
  <c r="AE227" i="2"/>
  <c r="AD328" i="2"/>
  <c r="AE328" i="2"/>
  <c r="AD465" i="2"/>
  <c r="AE465" i="2"/>
  <c r="AE497" i="2"/>
  <c r="AD497" i="2"/>
  <c r="AD453" i="2"/>
  <c r="AE453" i="2"/>
  <c r="AE239" i="2"/>
  <c r="AD239" i="2"/>
  <c r="AE433" i="2"/>
  <c r="AD433" i="2"/>
  <c r="AD438" i="2"/>
  <c r="AE438" i="2"/>
  <c r="AE466" i="2"/>
  <c r="AD466" i="2"/>
  <c r="AD383" i="2"/>
  <c r="AE383" i="2"/>
  <c r="AE505" i="2"/>
  <c r="AD505" i="2"/>
  <c r="AE696" i="2"/>
  <c r="AD696" i="2"/>
  <c r="AD123" i="2"/>
  <c r="AE123" i="2"/>
  <c r="AD165" i="2"/>
  <c r="AE165" i="2"/>
  <c r="AE773" i="2"/>
  <c r="AD773" i="2"/>
  <c r="AE441" i="2"/>
  <c r="AD441" i="2"/>
  <c r="AE189" i="2"/>
  <c r="AD189" i="2"/>
  <c r="AD223" i="2"/>
  <c r="AE223" i="2"/>
  <c r="AE59" i="2"/>
  <c r="AD59" i="2"/>
  <c r="AE9" i="2"/>
  <c r="AD9" i="2"/>
  <c r="AE424" i="2"/>
  <c r="AD424" i="2"/>
  <c r="AD44" i="2"/>
  <c r="AE44" i="2"/>
  <c r="AD550" i="2"/>
  <c r="AE550" i="2"/>
  <c r="AD74" i="2"/>
  <c r="AE74" i="2"/>
  <c r="AD280" i="2"/>
  <c r="AE280" i="2"/>
  <c r="AD313" i="2"/>
  <c r="AE313" i="2"/>
  <c r="AE126" i="2"/>
  <c r="AD126" i="2"/>
  <c r="AD231" i="2"/>
  <c r="AE231" i="2"/>
  <c r="AD397" i="2"/>
  <c r="AE397" i="2"/>
  <c r="AE332" i="2"/>
  <c r="AD332" i="2"/>
  <c r="AD541" i="2"/>
  <c r="AE541" i="2"/>
  <c r="AE588" i="2"/>
  <c r="AD588" i="2"/>
  <c r="AE289" i="2"/>
  <c r="AD289" i="2"/>
  <c r="AD549" i="2"/>
  <c r="AE549" i="2"/>
  <c r="AD163" i="2"/>
  <c r="AE163" i="2"/>
  <c r="AE253" i="2"/>
  <c r="AD253" i="2"/>
  <c r="AE127" i="2"/>
  <c r="AD127" i="2"/>
  <c r="AE119" i="2"/>
  <c r="AD119" i="2"/>
  <c r="AE148" i="2"/>
  <c r="AD148" i="2"/>
  <c r="AD746" i="2"/>
  <c r="AE746" i="2"/>
  <c r="AE435" i="2"/>
  <c r="AD435" i="2"/>
  <c r="AE84" i="2"/>
  <c r="AD84" i="2"/>
  <c r="AD427" i="2"/>
  <c r="AE427" i="2"/>
  <c r="AF309" i="2"/>
  <c r="AD309" i="2"/>
  <c r="AF294" i="2"/>
  <c r="AD294" i="2"/>
  <c r="AE184" i="2"/>
  <c r="AD184" i="2"/>
  <c r="AD114" i="2"/>
  <c r="AE114" i="2"/>
  <c r="AD315" i="2"/>
  <c r="AE315" i="2"/>
  <c r="AD425" i="2"/>
  <c r="AE425" i="2"/>
  <c r="AD437" i="2"/>
  <c r="AE437" i="2"/>
  <c r="AD413" i="2"/>
  <c r="AE413" i="2"/>
  <c r="AE586" i="2"/>
  <c r="AD586" i="2"/>
  <c r="AD749" i="2"/>
  <c r="AE749" i="2"/>
  <c r="AD304" i="2"/>
  <c r="AE304" i="2"/>
  <c r="AD258" i="2"/>
  <c r="AE258" i="2"/>
  <c r="AE138" i="2"/>
  <c r="AD138" i="2"/>
  <c r="AE358" i="2"/>
  <c r="AD358" i="2"/>
  <c r="AE419" i="2"/>
  <c r="AD419" i="2"/>
  <c r="AD16" i="2"/>
  <c r="AE16" i="2"/>
  <c r="AD268" i="2"/>
  <c r="AE268" i="2"/>
  <c r="AD559" i="2"/>
  <c r="AE559" i="2"/>
  <c r="AE553" i="2"/>
  <c r="AD553" i="2"/>
  <c r="AE635" i="2"/>
  <c r="AD635" i="2"/>
  <c r="AE198" i="2"/>
  <c r="AD198" i="2"/>
  <c r="AD176" i="2"/>
  <c r="AE176" i="2"/>
  <c r="AD481" i="2"/>
  <c r="AE481" i="2"/>
  <c r="AD371" i="2"/>
  <c r="AE371" i="2"/>
  <c r="AD205" i="2"/>
  <c r="AE205" i="2"/>
  <c r="AD264" i="2"/>
  <c r="AE264" i="2"/>
  <c r="AE220" i="2"/>
  <c r="AD220" i="2"/>
  <c r="AE87" i="2"/>
  <c r="AD87" i="2"/>
  <c r="AD492" i="2"/>
  <c r="AE492" i="2"/>
  <c r="AE43" i="2"/>
  <c r="AD43" i="2"/>
  <c r="AE144" i="2"/>
  <c r="AD144" i="2"/>
  <c r="AE149" i="2"/>
  <c r="AD149" i="2"/>
  <c r="AD645" i="2"/>
  <c r="AE645" i="2"/>
  <c r="AD337" i="2"/>
  <c r="AE337" i="2"/>
  <c r="AD237" i="2"/>
  <c r="AE237" i="2"/>
  <c r="AE318" i="2"/>
  <c r="AD318" i="2"/>
  <c r="AD110" i="2"/>
  <c r="AE110" i="2"/>
  <c r="AE542" i="2"/>
  <c r="AD542" i="2"/>
  <c r="AD200" i="2"/>
  <c r="AE200" i="2"/>
  <c r="AD99" i="2"/>
  <c r="AE99" i="2"/>
  <c r="AD181" i="2"/>
  <c r="AE181" i="2"/>
  <c r="AE651" i="2"/>
  <c r="AD651" i="2"/>
  <c r="AE501" i="2"/>
  <c r="AD501" i="2"/>
  <c r="AD537" i="2"/>
  <c r="AE537" i="2"/>
  <c r="AE462" i="2"/>
  <c r="AD462" i="2"/>
  <c r="AE35" i="2"/>
  <c r="AD35" i="2"/>
  <c r="AD22" i="2"/>
  <c r="AE22" i="2"/>
  <c r="AD538" i="2"/>
  <c r="AE538" i="2"/>
  <c r="AD13" i="2"/>
  <c r="AE13" i="2"/>
  <c r="AD54" i="2"/>
  <c r="AE54" i="2"/>
  <c r="AD40" i="2"/>
  <c r="AE40" i="2"/>
  <c r="AE37" i="2"/>
  <c r="AD37" i="2"/>
  <c r="AD734" i="2"/>
  <c r="AE734" i="2"/>
  <c r="AD61" i="2"/>
  <c r="AE61" i="2"/>
  <c r="AE201" i="2"/>
  <c r="AD201" i="2"/>
  <c r="AE377" i="2"/>
  <c r="AD377" i="2"/>
  <c r="AD367" i="2"/>
  <c r="AE367" i="2"/>
  <c r="AD154" i="2"/>
  <c r="AE154" i="2"/>
  <c r="AD546" i="2"/>
  <c r="AE546" i="2"/>
  <c r="AD355" i="2"/>
  <c r="AE355" i="2"/>
  <c r="AD64" i="2"/>
  <c r="AE64" i="2"/>
  <c r="AD101" i="2"/>
  <c r="AE101" i="2"/>
  <c r="AD579" i="2"/>
  <c r="AE579" i="2"/>
  <c r="AD405" i="2"/>
  <c r="AE405" i="2"/>
  <c r="AD583" i="2"/>
  <c r="AE583" i="2"/>
  <c r="AD125" i="2"/>
  <c r="AE125" i="2"/>
  <c r="AD408" i="2"/>
  <c r="AE408" i="2"/>
  <c r="AD157" i="2"/>
  <c r="AE157" i="2"/>
  <c r="AE451" i="2"/>
  <c r="AD451" i="2"/>
  <c r="AE142" i="2"/>
  <c r="AD142" i="2"/>
  <c r="AE444" i="2"/>
  <c r="AD444" i="2"/>
  <c r="AD21" i="2"/>
  <c r="AE21" i="2"/>
  <c r="AE450" i="2"/>
  <c r="AD450" i="2"/>
  <c r="AE23" i="2"/>
  <c r="AD23" i="2"/>
  <c r="AD322" i="2"/>
  <c r="AE322" i="2"/>
  <c r="AD235" i="2"/>
  <c r="AE235" i="2"/>
  <c r="AE458" i="2"/>
  <c r="AD458" i="2"/>
  <c r="AE285" i="2"/>
  <c r="AD285" i="2"/>
  <c r="AE162" i="2"/>
  <c r="AD162" i="2"/>
  <c r="AD543" i="2"/>
  <c r="AE543" i="2"/>
  <c r="AE630" i="2"/>
  <c r="AD630" i="2"/>
  <c r="AE197" i="2"/>
  <c r="AD197" i="2"/>
  <c r="AD65" i="2"/>
  <c r="AE65" i="2"/>
  <c r="AF356" i="2"/>
  <c r="AD356" i="2"/>
  <c r="AF434" i="2"/>
  <c r="AD434" i="2"/>
  <c r="AF436" i="2"/>
  <c r="AD436" i="2"/>
  <c r="AE385" i="2"/>
  <c r="AD385" i="2"/>
  <c r="AD671" i="2"/>
  <c r="AE671" i="2"/>
  <c r="AE690" i="2"/>
  <c r="AD690" i="2"/>
  <c r="AD448" i="2"/>
  <c r="AE448" i="2"/>
  <c r="AE623" i="2"/>
  <c r="AD623" i="2"/>
  <c r="AE511" i="2"/>
  <c r="AD511" i="2"/>
  <c r="AE580" i="2"/>
  <c r="AD580" i="2"/>
  <c r="AD522" i="2"/>
  <c r="AE522" i="2"/>
  <c r="AE540" i="2"/>
  <c r="AD540" i="2"/>
  <c r="AD230" i="2"/>
  <c r="AE230" i="2"/>
  <c r="AD39" i="2"/>
  <c r="AE39" i="2"/>
  <c r="AD362" i="2"/>
  <c r="AE362" i="2"/>
  <c r="AD26" i="2"/>
  <c r="AE26" i="2"/>
  <c r="AD333" i="2"/>
  <c r="AE333" i="2"/>
  <c r="AE10" i="2"/>
  <c r="AD10" i="2"/>
  <c r="AE188" i="2"/>
  <c r="AD188" i="2"/>
  <c r="AE482" i="2"/>
  <c r="AD482" i="2"/>
  <c r="AD551" i="2"/>
  <c r="AE551" i="2"/>
  <c r="AD36" i="2"/>
  <c r="AE36" i="2"/>
  <c r="AD216" i="2"/>
  <c r="AE216" i="2"/>
  <c r="AE422" i="2"/>
  <c r="AD422" i="2"/>
  <c r="AE303" i="2"/>
  <c r="AD303" i="2"/>
  <c r="AD420" i="2"/>
  <c r="AE420" i="2"/>
  <c r="AE182" i="2"/>
  <c r="AD182" i="2"/>
  <c r="AD207" i="2"/>
  <c r="AE207" i="2"/>
  <c r="AD90" i="2"/>
  <c r="AE90" i="2"/>
  <c r="AD372" i="2"/>
  <c r="AE372" i="2"/>
  <c r="AE395" i="2"/>
  <c r="AD395" i="2"/>
  <c r="AD85" i="2"/>
  <c r="AE85" i="2"/>
  <c r="AD255" i="2"/>
  <c r="AE255" i="2"/>
  <c r="AE261" i="2"/>
  <c r="AD261" i="2"/>
  <c r="AD46" i="2"/>
  <c r="AE46" i="2"/>
  <c r="AD106" i="2"/>
  <c r="AE106" i="2"/>
  <c r="AE516" i="2"/>
  <c r="AD516" i="2"/>
  <c r="AE650" i="2"/>
  <c r="AD650" i="2"/>
  <c r="AD183" i="2"/>
  <c r="AE183" i="2"/>
  <c r="AD291" i="2"/>
  <c r="AE291" i="2"/>
  <c r="AE275" i="2"/>
  <c r="AD275" i="2"/>
  <c r="AD292" i="2"/>
  <c r="AE292" i="2"/>
  <c r="AD471" i="2"/>
  <c r="AE471" i="2"/>
  <c r="AE364" i="2"/>
  <c r="AD364" i="2"/>
  <c r="AD341" i="2"/>
  <c r="AE341" i="2"/>
  <c r="AE172" i="2"/>
  <c r="AD172" i="2"/>
  <c r="AD431" i="2"/>
  <c r="AE431" i="2"/>
  <c r="AD349" i="2"/>
  <c r="AE349" i="2"/>
  <c r="AE570" i="2"/>
  <c r="AD570" i="2"/>
  <c r="AD467" i="2"/>
  <c r="AE467" i="2"/>
  <c r="AD41" i="2"/>
  <c r="AE41" i="2"/>
  <c r="AE221" i="2"/>
  <c r="AD221" i="2"/>
  <c r="AD393" i="2"/>
  <c r="AE393" i="2"/>
  <c r="AD649" i="2"/>
  <c r="AE649" i="2"/>
  <c r="AE567" i="2"/>
  <c r="AD567" i="2"/>
  <c r="AE417" i="2"/>
  <c r="AD417" i="2"/>
  <c r="AD569" i="2"/>
  <c r="AE569" i="2"/>
  <c r="AE72" i="2"/>
  <c r="AD72" i="2"/>
  <c r="AE409" i="2"/>
  <c r="AD409" i="2"/>
  <c r="AD628" i="2"/>
  <c r="AE628" i="2"/>
  <c r="AD398" i="2"/>
  <c r="AE398" i="2"/>
  <c r="AD252" i="2"/>
  <c r="AE252" i="2"/>
  <c r="AF378" i="2"/>
  <c r="AD378" i="2"/>
  <c r="AD499" i="2"/>
  <c r="AE499" i="2"/>
  <c r="AD139" i="2"/>
  <c r="AE139" i="2"/>
  <c r="AE48" i="2"/>
  <c r="AD48" i="2"/>
  <c r="AD591" i="2"/>
  <c r="AE591" i="2"/>
  <c r="AD24" i="2"/>
  <c r="AE24" i="2"/>
  <c r="AD263" i="2"/>
  <c r="AE263" i="2"/>
  <c r="AD406" i="2"/>
  <c r="AE406" i="2"/>
  <c r="AD447" i="2"/>
  <c r="AE447" i="2"/>
  <c r="AE82" i="2"/>
  <c r="AD82" i="2"/>
  <c r="AE56" i="2"/>
  <c r="AD56" i="2"/>
  <c r="AE558" i="2"/>
  <c r="AD558" i="2"/>
  <c r="AD171" i="2"/>
  <c r="AE171" i="2"/>
  <c r="AD353" i="2"/>
  <c r="AE353" i="2"/>
  <c r="AE124" i="2"/>
  <c r="AD124" i="2"/>
  <c r="AE565" i="2"/>
  <c r="AD565" i="2"/>
  <c r="AE225" i="2"/>
  <c r="AD225" i="2"/>
  <c r="AD86" i="2"/>
  <c r="AE86" i="2"/>
  <c r="AD107" i="2"/>
  <c r="AE107" i="2"/>
  <c r="AD491" i="2"/>
  <c r="AE491" i="2"/>
  <c r="AD242" i="2"/>
  <c r="AE242" i="2"/>
  <c r="AE265" i="2"/>
  <c r="AD265" i="2"/>
  <c r="AD50" i="2"/>
  <c r="AE50" i="2"/>
  <c r="AD55" i="2"/>
  <c r="AE55" i="2"/>
  <c r="AE545" i="2"/>
  <c r="AD545" i="2"/>
  <c r="AD498" i="2"/>
  <c r="AE498" i="2"/>
  <c r="AD391" i="2"/>
  <c r="AE391" i="2"/>
  <c r="AD12" i="2"/>
  <c r="AE12" i="2"/>
  <c r="AD532" i="2"/>
  <c r="AE532" i="2"/>
  <c r="AE490" i="2"/>
  <c r="AD490" i="2"/>
  <c r="AD8" i="2"/>
  <c r="AE8" i="2"/>
  <c r="AD256" i="2"/>
  <c r="AE256" i="2"/>
  <c r="AD621" i="2"/>
  <c r="AE621" i="2"/>
  <c r="AD387" i="2"/>
  <c r="AE387" i="2"/>
  <c r="AD47" i="2"/>
  <c r="AE47" i="2"/>
  <c r="AD97" i="2"/>
  <c r="AE97" i="2"/>
  <c r="AD581" i="2"/>
  <c r="AE581" i="2"/>
  <c r="AD88" i="2"/>
  <c r="AE88" i="2"/>
  <c r="AE488" i="2"/>
  <c r="AD488" i="2"/>
  <c r="AE535" i="2"/>
  <c r="AD535" i="2"/>
  <c r="AD169" i="2"/>
  <c r="AE169" i="2"/>
  <c r="AD707" i="2"/>
  <c r="AE707" i="2"/>
  <c r="AE131" i="2"/>
  <c r="AD131" i="2"/>
  <c r="AD439" i="2"/>
  <c r="AE439" i="2"/>
  <c r="AE771" i="2"/>
  <c r="AD771" i="2"/>
  <c r="AE463" i="2"/>
  <c r="AD463" i="2"/>
  <c r="AE655" i="2"/>
  <c r="AD655" i="2"/>
  <c r="AE530" i="2"/>
  <c r="AD530" i="2"/>
  <c r="AD76" i="2"/>
  <c r="AE76" i="2"/>
  <c r="AE712" i="2"/>
  <c r="AD712" i="2"/>
  <c r="AE351" i="2"/>
  <c r="AD351" i="2"/>
  <c r="AD664" i="2"/>
  <c r="AE664" i="2"/>
  <c r="AD660" i="2"/>
  <c r="AE660" i="2"/>
  <c r="AE587" i="2"/>
  <c r="AD587" i="2"/>
  <c r="AE122" i="2"/>
  <c r="AD122" i="2"/>
  <c r="AD228" i="2"/>
  <c r="AE228" i="2"/>
  <c r="AE81" i="2"/>
  <c r="AD81" i="2"/>
  <c r="AD487" i="2"/>
  <c r="AE487" i="2"/>
  <c r="AF327" i="2"/>
  <c r="AD327" i="2"/>
  <c r="M155" i="23"/>
  <c r="AD196" i="2"/>
  <c r="AF302" i="2"/>
  <c r="AD302" i="2"/>
  <c r="AE222" i="2"/>
  <c r="AD222" i="2"/>
  <c r="AD232" i="2"/>
  <c r="AE232" i="2"/>
  <c r="AD66" i="2"/>
  <c r="AE66" i="2"/>
  <c r="AE29" i="2"/>
  <c r="AD29" i="2"/>
  <c r="AE330" i="2"/>
  <c r="AD330" i="2"/>
  <c r="AD531" i="2"/>
  <c r="AE531" i="2"/>
  <c r="AE112" i="2"/>
  <c r="AD112" i="2"/>
  <c r="AE317" i="2"/>
  <c r="AD317" i="2"/>
  <c r="AE442" i="2"/>
  <c r="AD442" i="2"/>
  <c r="AD100" i="2"/>
  <c r="AE100" i="2"/>
  <c r="AD91" i="2"/>
  <c r="AE91" i="2"/>
  <c r="AE363" i="2"/>
  <c r="AD363" i="2"/>
  <c r="AD555" i="2"/>
  <c r="AE555" i="2"/>
  <c r="AD331" i="2"/>
  <c r="AE331" i="2"/>
  <c r="AE502" i="2"/>
  <c r="AD502" i="2"/>
  <c r="AE298" i="2"/>
  <c r="AD298" i="2"/>
  <c r="AE147" i="2"/>
  <c r="AD147" i="2"/>
  <c r="AE388" i="2"/>
  <c r="AD388" i="2"/>
  <c r="AD209" i="2"/>
  <c r="AE209" i="2"/>
  <c r="AD62" i="2"/>
  <c r="AE62" i="2"/>
  <c r="AD359" i="2"/>
  <c r="AE359" i="2"/>
  <c r="AD357" i="2"/>
  <c r="AE357" i="2"/>
  <c r="AE164" i="2"/>
  <c r="AD164" i="2"/>
  <c r="AF311" i="2"/>
  <c r="AD311" i="2"/>
  <c r="AI73" i="24"/>
  <c r="AD224" i="2"/>
  <c r="AD211" i="2"/>
  <c r="AE211" i="2"/>
  <c r="AD568" i="2"/>
  <c r="AE568" i="2"/>
  <c r="AE452" i="2"/>
  <c r="AD452" i="2"/>
  <c r="AD669" i="2"/>
  <c r="AE669" i="2"/>
  <c r="AE152" i="2"/>
  <c r="AD152" i="2"/>
  <c r="AD51" i="2"/>
  <c r="AE51" i="2"/>
  <c r="AE276" i="2"/>
  <c r="AD276" i="2"/>
  <c r="AD445" i="2"/>
  <c r="AE445" i="2"/>
  <c r="AD269" i="2"/>
  <c r="AE269" i="2"/>
  <c r="AD404" i="2"/>
  <c r="AE404" i="2"/>
  <c r="AD204" i="2"/>
  <c r="AE204" i="2"/>
  <c r="AD489" i="2"/>
  <c r="AE489" i="2"/>
  <c r="AE128" i="2"/>
  <c r="AD128" i="2"/>
  <c r="AE474" i="2"/>
  <c r="AD474" i="2"/>
  <c r="AD288" i="2"/>
  <c r="AE288" i="2"/>
  <c r="AD384" i="2"/>
  <c r="AE384" i="2"/>
  <c r="AE576" i="2"/>
  <c r="AD576" i="2"/>
  <c r="AE257" i="2"/>
  <c r="AD257" i="2"/>
  <c r="AD716" i="2"/>
  <c r="AE716" i="2"/>
  <c r="AD507" i="2"/>
  <c r="AE507" i="2"/>
  <c r="AE674" i="2"/>
  <c r="AD674" i="2"/>
  <c r="AE170" i="2"/>
  <c r="AD170" i="2"/>
  <c r="AD379" i="2"/>
  <c r="AE379" i="2"/>
  <c r="AD192" i="2"/>
  <c r="AE192" i="2"/>
  <c r="AD19" i="2"/>
  <c r="AE19" i="2"/>
  <c r="AD334" i="2"/>
  <c r="AE334" i="2"/>
  <c r="AD343" i="2"/>
  <c r="AE343" i="2"/>
  <c r="AE136" i="2"/>
  <c r="AD136" i="2"/>
  <c r="AD244" i="2"/>
  <c r="AE244" i="2"/>
  <c r="AD523" i="2"/>
  <c r="AE523" i="2"/>
  <c r="AE95" i="2"/>
  <c r="AD95" i="2"/>
  <c r="AD426" i="2"/>
  <c r="AE426" i="2"/>
  <c r="AD45" i="2"/>
  <c r="AE45" i="2"/>
  <c r="AD572" i="2"/>
  <c r="AE572" i="2"/>
  <c r="AD254" i="2"/>
  <c r="AE254" i="2"/>
  <c r="AD141" i="2"/>
  <c r="AE141" i="2"/>
  <c r="AE70" i="2"/>
  <c r="AD70" i="2"/>
  <c r="AE34" i="2"/>
  <c r="AD34" i="2"/>
  <c r="AD345" i="2"/>
  <c r="AE345" i="2"/>
  <c r="AD32" i="2"/>
  <c r="AE32" i="2"/>
  <c r="AE194" i="2"/>
  <c r="AD194" i="2"/>
  <c r="AD118" i="2"/>
  <c r="AE118" i="2"/>
  <c r="AE156" i="2"/>
  <c r="AD156" i="2"/>
  <c r="AD233" i="2"/>
  <c r="AE233" i="2"/>
  <c r="AE53" i="2"/>
  <c r="AD53" i="2"/>
  <c r="AE11" i="2"/>
  <c r="AD11" i="2"/>
  <c r="AD249" i="2"/>
  <c r="AE249" i="2"/>
  <c r="AE250" i="2"/>
  <c r="AD250" i="2"/>
  <c r="AD329" i="2"/>
  <c r="AE329" i="2"/>
  <c r="AD564" i="2"/>
  <c r="AE564" i="2"/>
  <c r="AD648" i="2"/>
  <c r="AE648" i="2"/>
  <c r="AE103" i="2"/>
  <c r="AD103" i="2"/>
  <c r="AD271" i="2"/>
  <c r="AE271" i="2"/>
  <c r="AE236" i="2"/>
  <c r="AD236" i="2"/>
  <c r="AD574" i="2"/>
  <c r="AE574" i="2"/>
  <c r="AD83" i="2"/>
  <c r="AE83" i="2"/>
  <c r="AE584" i="2"/>
  <c r="AD584" i="2"/>
  <c r="AE151" i="2"/>
  <c r="AD151" i="2"/>
  <c r="AD177" i="2"/>
  <c r="AE177" i="2"/>
  <c r="AE293" i="2"/>
  <c r="AD293" i="2"/>
  <c r="AE308" i="2"/>
  <c r="AD308" i="2"/>
  <c r="AD277" i="2"/>
  <c r="AE277" i="2"/>
  <c r="AD653" i="2"/>
  <c r="AE653" i="2"/>
  <c r="T257" i="23"/>
  <c r="AI111" i="24"/>
  <c r="AI95" i="24"/>
  <c r="AI93" i="24"/>
  <c r="M271" i="23"/>
  <c r="M282" i="23"/>
  <c r="M270" i="23"/>
  <c r="AI71" i="24"/>
  <c r="M274" i="23"/>
  <c r="AI104" i="24"/>
  <c r="M279" i="23"/>
  <c r="AI16" i="24"/>
  <c r="AI60" i="24"/>
  <c r="M259" i="23"/>
  <c r="M243" i="23"/>
  <c r="M234" i="23"/>
  <c r="M299" i="23"/>
  <c r="AI86" i="24"/>
  <c r="M258" i="23"/>
  <c r="AI85" i="24"/>
  <c r="M212" i="23"/>
  <c r="AI106" i="24"/>
  <c r="T263" i="23"/>
  <c r="W59" i="24"/>
  <c r="O233" i="23"/>
  <c r="T233" i="23" s="1"/>
  <c r="O252" i="23"/>
  <c r="T252" i="23" s="1"/>
  <c r="O279" i="23"/>
  <c r="T279" i="23" s="1"/>
  <c r="O264" i="23"/>
  <c r="O231" i="23"/>
  <c r="T231" i="23" s="1"/>
  <c r="AY16" i="24"/>
  <c r="O287" i="23"/>
  <c r="T287" i="23" s="1"/>
  <c r="W90" i="24"/>
  <c r="O226" i="23"/>
  <c r="T226" i="23" s="1"/>
  <c r="O278" i="23"/>
  <c r="T278" i="23" s="1"/>
  <c r="O289" i="23"/>
  <c r="T289" i="23" s="1"/>
  <c r="AY65" i="24"/>
  <c r="O292" i="23"/>
  <c r="T292" i="23" s="1"/>
  <c r="O284" i="23"/>
  <c r="T284" i="23" s="1"/>
  <c r="O198" i="23"/>
  <c r="T198" i="23" s="1"/>
  <c r="O230" i="23"/>
  <c r="O300" i="23"/>
  <c r="T300" i="23" s="1"/>
  <c r="O277" i="23"/>
  <c r="T277" i="23" s="1"/>
  <c r="O296" i="23"/>
  <c r="T296" i="23" s="1"/>
  <c r="O208" i="23"/>
  <c r="T208" i="23" s="1"/>
  <c r="O178" i="23"/>
  <c r="T178" i="23" s="1"/>
  <c r="O280" i="23"/>
  <c r="T280" i="23" s="1"/>
  <c r="O223" i="23"/>
  <c r="O238" i="23"/>
  <c r="T238" i="23" s="1"/>
  <c r="O243" i="23"/>
  <c r="T243" i="23" s="1"/>
  <c r="O286" i="23"/>
  <c r="T286" i="23" s="1"/>
  <c r="O222" i="23"/>
  <c r="T222" i="23" s="1"/>
  <c r="O235" i="23"/>
  <c r="T235" i="23" s="1"/>
  <c r="O274" i="23"/>
  <c r="T274" i="23" s="1"/>
  <c r="O221" i="23"/>
  <c r="T221" i="23" s="1"/>
  <c r="O285" i="23"/>
  <c r="T285" i="23" s="1"/>
  <c r="O271" i="23"/>
  <c r="T271" i="23" s="1"/>
  <c r="O294" i="23"/>
  <c r="T294" i="23" s="1"/>
  <c r="P221" i="23"/>
  <c r="Q221" i="23" s="1"/>
  <c r="P257" i="23"/>
  <c r="Q257" i="23" s="1"/>
  <c r="T269" i="23"/>
  <c r="T183" i="23"/>
  <c r="P263" i="23"/>
  <c r="Q263" i="23" s="1"/>
  <c r="T254" i="23"/>
  <c r="O333" i="32"/>
  <c r="N333" i="32" s="1"/>
  <c r="T245" i="32"/>
  <c r="O394" i="32"/>
  <c r="N394" i="32" s="1"/>
  <c r="O325" i="32"/>
  <c r="N325" i="32" s="1"/>
  <c r="N323" i="32" s="1"/>
  <c r="O334" i="26"/>
  <c r="N334" i="26" s="1"/>
  <c r="R237" i="23"/>
  <c r="P237" i="23" s="1"/>
  <c r="Q237" i="23" s="1"/>
  <c r="O375" i="26"/>
  <c r="N375" i="26" s="1"/>
  <c r="O397" i="32"/>
  <c r="N397" i="32" s="1"/>
  <c r="R216" i="23"/>
  <c r="P216" i="23" s="1"/>
  <c r="Q216" i="23" s="1"/>
  <c r="T246" i="32"/>
  <c r="R224" i="23"/>
  <c r="P224" i="23" s="1"/>
  <c r="Q224" i="23" s="1"/>
  <c r="R230" i="23"/>
  <c r="P230" i="23" s="1"/>
  <c r="Q230" i="23" s="1"/>
  <c r="O357" i="32"/>
  <c r="N357" i="32" s="1"/>
  <c r="N354" i="32" s="1"/>
  <c r="N353" i="32" s="1"/>
  <c r="O338" i="26"/>
  <c r="N338" i="26" s="1"/>
  <c r="O335" i="26"/>
  <c r="N335" i="26" s="1"/>
  <c r="R210" i="23"/>
  <c r="P210" i="23" s="1"/>
  <c r="Q210" i="23" s="1"/>
  <c r="O293" i="32"/>
  <c r="N293" i="32" s="1"/>
  <c r="O342" i="32"/>
  <c r="N342" i="32" s="1"/>
  <c r="O376" i="32"/>
  <c r="N376" i="32" s="1"/>
  <c r="O331" i="32"/>
  <c r="N331" i="32" s="1"/>
  <c r="T256" i="26"/>
  <c r="O345" i="32"/>
  <c r="N345" i="32" s="1"/>
  <c r="S201" i="23"/>
  <c r="S271" i="23"/>
  <c r="AF213" i="2"/>
  <c r="AF189" i="2"/>
  <c r="S243" i="23"/>
  <c r="N177" i="23"/>
  <c r="N222" i="23"/>
  <c r="S181" i="23"/>
  <c r="S274" i="23"/>
  <c r="M213" i="23"/>
  <c r="L351" i="30"/>
  <c r="L348" i="30" s="1"/>
  <c r="L347" i="30" s="1"/>
  <c r="S241" i="23"/>
  <c r="S302" i="23"/>
  <c r="S294" i="23"/>
  <c r="N237" i="23"/>
  <c r="P181" i="23"/>
  <c r="Q181" i="23" s="1"/>
  <c r="N205" i="23"/>
  <c r="N181" i="23"/>
  <c r="AI87" i="24"/>
  <c r="M223" i="23"/>
  <c r="N231" i="23"/>
  <c r="N189" i="23"/>
  <c r="M189" i="23"/>
  <c r="N179" i="23"/>
  <c r="N235" i="23"/>
  <c r="N221" i="23"/>
  <c r="N223" i="23"/>
  <c r="N227" i="23"/>
  <c r="S189" i="23"/>
  <c r="W80" i="24"/>
  <c r="S265" i="23"/>
  <c r="M221" i="23"/>
  <c r="N276" i="23"/>
  <c r="S232" i="23"/>
  <c r="P232" i="23"/>
  <c r="Q232" i="23" s="1"/>
  <c r="W35" i="24"/>
  <c r="AI72" i="24"/>
  <c r="L332" i="26"/>
  <c r="S197" i="23"/>
  <c r="L332" i="30"/>
  <c r="J198" i="23"/>
  <c r="N198" i="23"/>
  <c r="S290" i="23"/>
  <c r="O189" i="23"/>
  <c r="S281" i="23"/>
  <c r="N303" i="23"/>
  <c r="AF221" i="2"/>
  <c r="AF259" i="2"/>
  <c r="AI83" i="24"/>
  <c r="AF270" i="2"/>
  <c r="AI94" i="24"/>
  <c r="S230" i="23"/>
  <c r="AF218" i="2"/>
  <c r="N286" i="23"/>
  <c r="S176" i="23"/>
  <c r="AF223" i="2"/>
  <c r="L331" i="26"/>
  <c r="K363" i="26"/>
  <c r="J21" i="25"/>
  <c r="K21" i="25" s="1"/>
  <c r="L336" i="30"/>
  <c r="M205" i="23"/>
  <c r="P276" i="23"/>
  <c r="Q276" i="23" s="1"/>
  <c r="N295" i="23"/>
  <c r="P222" i="23"/>
  <c r="Q222" i="23" s="1"/>
  <c r="M197" i="23"/>
  <c r="AI65" i="24"/>
  <c r="N200" i="23"/>
  <c r="S216" i="23"/>
  <c r="N216" i="23"/>
  <c r="S296" i="23"/>
  <c r="M230" i="23"/>
  <c r="N307" i="23"/>
  <c r="P274" i="23"/>
  <c r="Q274" i="23" s="1"/>
  <c r="T55" i="26"/>
  <c r="M237" i="23"/>
  <c r="T127" i="26"/>
  <c r="O244" i="23"/>
  <c r="T244" i="23" s="1"/>
  <c r="T184" i="23"/>
  <c r="P281" i="23"/>
  <c r="Q281" i="23" s="1"/>
  <c r="AI77" i="24"/>
  <c r="W75" i="24"/>
  <c r="S262" i="23"/>
  <c r="N262" i="23"/>
  <c r="P283" i="23"/>
  <c r="Q283" i="23" s="1"/>
  <c r="AF237" i="2"/>
  <c r="S279" i="23"/>
  <c r="O371" i="26"/>
  <c r="N371" i="26" s="1"/>
  <c r="N368" i="26" s="1"/>
  <c r="J40" i="25"/>
  <c r="K40" i="25" s="1"/>
  <c r="R189" i="23"/>
  <c r="P189" i="23" s="1"/>
  <c r="Q189" i="23" s="1"/>
  <c r="O333" i="30"/>
  <c r="N333" i="30" s="1"/>
  <c r="O371" i="32"/>
  <c r="N371" i="32" s="1"/>
  <c r="N368" i="32" s="1"/>
  <c r="O371" i="30"/>
  <c r="N371" i="30" s="1"/>
  <c r="N368" i="30" s="1"/>
  <c r="O333" i="26"/>
  <c r="N333" i="26" s="1"/>
  <c r="T241" i="23"/>
  <c r="O237" i="23"/>
  <c r="N211" i="23"/>
  <c r="S283" i="23"/>
  <c r="S180" i="23"/>
  <c r="S278" i="23"/>
  <c r="P304" i="23"/>
  <c r="Q304" i="23" s="1"/>
  <c r="M218" i="23"/>
  <c r="N304" i="23"/>
  <c r="P265" i="23"/>
  <c r="Q265" i="23" s="1"/>
  <c r="N285" i="23"/>
  <c r="P179" i="23"/>
  <c r="Q179" i="23" s="1"/>
  <c r="N284" i="23"/>
  <c r="P201" i="23"/>
  <c r="Q201" i="23" s="1"/>
  <c r="T179" i="23"/>
  <c r="J23" i="25"/>
  <c r="K23" i="25" s="1"/>
  <c r="O276" i="23"/>
  <c r="T276" i="23" s="1"/>
  <c r="T305" i="23"/>
  <c r="O338" i="32"/>
  <c r="N338" i="32" s="1"/>
  <c r="O338" i="30"/>
  <c r="N338" i="30" s="1"/>
  <c r="R223" i="23"/>
  <c r="P271" i="23"/>
  <c r="Q271" i="23" s="1"/>
  <c r="R197" i="23"/>
  <c r="P197" i="23" s="1"/>
  <c r="Q197" i="23" s="1"/>
  <c r="O265" i="23"/>
  <c r="T265" i="23" s="1"/>
  <c r="T11" i="26"/>
  <c r="T15" i="26"/>
  <c r="O197" i="23"/>
  <c r="O200" i="23"/>
  <c r="P241" i="23"/>
  <c r="Q241" i="23" s="1"/>
  <c r="P227" i="23"/>
  <c r="Q227" i="23" s="1"/>
  <c r="O297" i="26"/>
  <c r="N297" i="26" s="1"/>
  <c r="O297" i="32"/>
  <c r="N297" i="32" s="1"/>
  <c r="O297" i="30"/>
  <c r="N297" i="30" s="1"/>
  <c r="O345" i="26"/>
  <c r="N345" i="26" s="1"/>
  <c r="O345" i="30"/>
  <c r="T217" i="23"/>
  <c r="T12" i="26"/>
  <c r="P176" i="23"/>
  <c r="Q176" i="23" s="1"/>
  <c r="T255" i="23"/>
  <c r="R264" i="23"/>
  <c r="T17" i="26"/>
  <c r="P295" i="23"/>
  <c r="Q295" i="23" s="1"/>
  <c r="P285" i="23"/>
  <c r="Q285" i="23" s="1"/>
  <c r="J14" i="25"/>
  <c r="K14" i="25" s="1"/>
  <c r="T166" i="23"/>
  <c r="P290" i="23"/>
  <c r="Q290" i="23" s="1"/>
  <c r="P278" i="23"/>
  <c r="Q278" i="23" s="1"/>
  <c r="O216" i="23"/>
  <c r="P296" i="23"/>
  <c r="Q296" i="23" s="1"/>
  <c r="O334" i="30"/>
  <c r="N334" i="30" s="1"/>
  <c r="O334" i="32"/>
  <c r="N334" i="32" s="1"/>
  <c r="T119" i="26"/>
  <c r="T132" i="26"/>
  <c r="O344" i="26"/>
  <c r="N344" i="26" s="1"/>
  <c r="O344" i="32"/>
  <c r="N344" i="32" s="1"/>
  <c r="O344" i="30"/>
  <c r="N344" i="30" s="1"/>
  <c r="O249" i="23"/>
  <c r="T249" i="23" s="1"/>
  <c r="O283" i="23"/>
  <c r="T283" i="23" s="1"/>
  <c r="AI34" i="24"/>
  <c r="S264" i="23"/>
  <c r="P302" i="23"/>
  <c r="Q302" i="23" s="1"/>
  <c r="P243" i="23"/>
  <c r="Q243" i="23" s="1"/>
  <c r="O182" i="23"/>
  <c r="T128" i="26"/>
  <c r="T21" i="26"/>
  <c r="O290" i="23"/>
  <c r="T290" i="23" s="1"/>
  <c r="S249" i="23"/>
  <c r="N249" i="23"/>
  <c r="P249" i="23"/>
  <c r="Q249" i="23" s="1"/>
  <c r="K300" i="32"/>
  <c r="O331" i="30"/>
  <c r="N331" i="30" s="1"/>
  <c r="T256" i="30"/>
  <c r="O302" i="23"/>
  <c r="T302" i="23" s="1"/>
  <c r="O181" i="23"/>
  <c r="T181" i="23" s="1"/>
  <c r="T77" i="26"/>
  <c r="O205" i="23"/>
  <c r="T205" i="23" s="1"/>
  <c r="P294" i="23"/>
  <c r="Q294" i="23" s="1"/>
  <c r="T16" i="26"/>
  <c r="T256" i="32"/>
  <c r="T185" i="23"/>
  <c r="R182" i="23"/>
  <c r="P182" i="23" s="1"/>
  <c r="Q182" i="23" s="1"/>
  <c r="O331" i="26"/>
  <c r="N331" i="26" s="1"/>
  <c r="T134" i="26"/>
  <c r="T23" i="26"/>
  <c r="R200" i="23"/>
  <c r="P200" i="23" s="1"/>
  <c r="Q200" i="23" s="1"/>
  <c r="P279" i="23"/>
  <c r="Q279" i="23" s="1"/>
  <c r="O234" i="23"/>
  <c r="T234" i="23" s="1"/>
  <c r="P235" i="23"/>
  <c r="Q235" i="23" s="1"/>
  <c r="O176" i="23"/>
  <c r="T176" i="23" s="1"/>
  <c r="T151" i="23"/>
  <c r="T14" i="26"/>
  <c r="P231" i="23"/>
  <c r="Q231" i="23" s="1"/>
  <c r="T186" i="23"/>
  <c r="T120" i="26"/>
  <c r="O295" i="23"/>
  <c r="T295" i="23" s="1"/>
  <c r="T272" i="23"/>
  <c r="T261" i="23"/>
  <c r="T215" i="23"/>
  <c r="T190" i="23"/>
  <c r="N283" i="26"/>
  <c r="T192" i="23"/>
  <c r="N277" i="32"/>
  <c r="N276" i="32" s="1"/>
  <c r="N275" i="32" s="1"/>
  <c r="N274" i="32" s="1"/>
  <c r="L351" i="26"/>
  <c r="L348" i="26" s="1"/>
  <c r="L347" i="26" s="1"/>
  <c r="M307" i="26"/>
  <c r="K307" i="26"/>
  <c r="K347" i="32"/>
  <c r="K317" i="32"/>
  <c r="F313" i="32"/>
  <c r="K368" i="26"/>
  <c r="F291" i="32"/>
  <c r="F290" i="32" s="1"/>
  <c r="M307" i="30"/>
  <c r="L291" i="32"/>
  <c r="K368" i="32"/>
  <c r="K368" i="30"/>
  <c r="L277" i="32"/>
  <c r="L276" i="32" s="1"/>
  <c r="L275" i="32" s="1"/>
  <c r="L274" i="32" s="1"/>
  <c r="R246" i="23"/>
  <c r="P246" i="23" s="1"/>
  <c r="Q246" i="23" s="1"/>
  <c r="K363" i="32"/>
  <c r="K348" i="32"/>
  <c r="O376" i="26"/>
  <c r="N376"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F373" i="32"/>
  <c r="K373" i="32" s="1"/>
  <c r="L344" i="26"/>
  <c r="L344" i="32"/>
  <c r="L345" i="26"/>
  <c r="L345" i="32"/>
  <c r="L331" i="30"/>
  <c r="L331" i="32"/>
  <c r="W95" i="24"/>
  <c r="L375" i="32"/>
  <c r="L371" i="26"/>
  <c r="L368" i="26" s="1"/>
  <c r="L371" i="32"/>
  <c r="L368" i="32" s="1"/>
  <c r="F328" i="32"/>
  <c r="F327" i="32" s="1"/>
  <c r="W73" i="24"/>
  <c r="L336" i="32"/>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T135" i="23"/>
  <c r="N300" i="32"/>
  <c r="O310" i="32"/>
  <c r="N310" i="32" s="1"/>
  <c r="N307" i="32" s="1"/>
  <c r="O340" i="32"/>
  <c r="N340" i="32" s="1"/>
  <c r="O332" i="30"/>
  <c r="N332" i="30" s="1"/>
  <c r="O332" i="32"/>
  <c r="N332" i="32" s="1"/>
  <c r="J245" i="23"/>
  <c r="S182" i="23"/>
  <c r="J24" i="25"/>
  <c r="K24" i="25" s="1"/>
  <c r="J51" i="25"/>
  <c r="K51" i="25" s="1"/>
  <c r="T158" i="23"/>
  <c r="P306" i="23"/>
  <c r="Q306" i="23" s="1"/>
  <c r="P303" i="23"/>
  <c r="Q303" i="23" s="1"/>
  <c r="P282" i="23"/>
  <c r="Q282" i="23" s="1"/>
  <c r="T47" i="23"/>
  <c r="T116" i="23"/>
  <c r="T297" i="23"/>
  <c r="T108" i="23"/>
  <c r="P307" i="23"/>
  <c r="Q307" i="23" s="1"/>
  <c r="T118" i="23"/>
  <c r="P284" i="23"/>
  <c r="Q284" i="23" s="1"/>
  <c r="P310" i="23"/>
  <c r="Q310" i="23" s="1"/>
  <c r="T57" i="23"/>
  <c r="T73" i="23"/>
  <c r="T115" i="23"/>
  <c r="T162" i="23"/>
  <c r="O332" i="26"/>
  <c r="N332" i="26" s="1"/>
  <c r="P180" i="23"/>
  <c r="Q180" i="23" s="1"/>
  <c r="P298" i="23"/>
  <c r="Q298" i="23" s="1"/>
  <c r="T68" i="23"/>
  <c r="T51" i="23"/>
  <c r="P73" i="23"/>
  <c r="Q73" i="23" s="1"/>
  <c r="T54" i="23"/>
  <c r="T149" i="23"/>
  <c r="T74" i="23"/>
  <c r="P311" i="23"/>
  <c r="Q311" i="23" s="1"/>
  <c r="P198" i="23"/>
  <c r="Q198" i="23" s="1"/>
  <c r="P162" i="23"/>
  <c r="Q162" i="23" s="1"/>
  <c r="T84" i="23"/>
  <c r="T22" i="23"/>
  <c r="T62" i="23"/>
  <c r="T103" i="23"/>
  <c r="T171" i="23"/>
  <c r="P177" i="23"/>
  <c r="Q177" i="23" s="1"/>
  <c r="P211" i="23"/>
  <c r="Q211" i="23" s="1"/>
  <c r="T52" i="23"/>
  <c r="T64" i="23"/>
  <c r="T16" i="23"/>
  <c r="T191" i="23"/>
  <c r="T148" i="23"/>
  <c r="P280" i="23"/>
  <c r="Q280" i="23" s="1"/>
  <c r="P289" i="23"/>
  <c r="Q289" i="23" s="1"/>
  <c r="AF278" i="2"/>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F282" i="2"/>
  <c r="N212" i="23"/>
  <c r="N300" i="26"/>
  <c r="N341" i="30"/>
  <c r="N300" i="30"/>
  <c r="N341" i="26"/>
  <c r="O251" i="23"/>
  <c r="P149" i="23"/>
  <c r="Q149" i="23" s="1"/>
  <c r="O213" i="23"/>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F276" i="2"/>
  <c r="M276" i="23"/>
  <c r="M278" i="23"/>
  <c r="N361" i="30"/>
  <c r="N359" i="30" s="1"/>
  <c r="M283" i="23"/>
  <c r="AI53" i="24"/>
  <c r="L375" i="26"/>
  <c r="W42" i="24"/>
  <c r="M216" i="23"/>
  <c r="M297" i="23"/>
  <c r="AF216" i="2"/>
  <c r="AF180" i="2"/>
  <c r="AF283" i="2"/>
  <c r="AF246" i="2"/>
  <c r="W87" i="24"/>
  <c r="L371" i="30"/>
  <c r="L368" i="30" s="1"/>
  <c r="M281" i="23"/>
  <c r="AI9" i="24"/>
  <c r="L345" i="30"/>
  <c r="L366" i="30"/>
  <c r="L363" i="30" s="1"/>
  <c r="M176" i="23"/>
  <c r="AF176" i="2"/>
  <c r="M246" i="23"/>
  <c r="M238" i="23"/>
  <c r="W93" i="24"/>
  <c r="W65" i="24"/>
  <c r="L375" i="30"/>
  <c r="M293" i="23"/>
  <c r="S213" i="23"/>
  <c r="AI20" i="24"/>
  <c r="AI42" i="24"/>
  <c r="AI90" i="24"/>
  <c r="S251" i="23"/>
  <c r="M277" i="23"/>
  <c r="N259" i="23"/>
  <c r="AF296" i="2"/>
  <c r="W89" i="24"/>
  <c r="S259" i="23"/>
  <c r="L344" i="30"/>
  <c r="K363" i="30"/>
  <c r="AF277" i="2"/>
  <c r="W83" i="24"/>
  <c r="AY82" i="24"/>
  <c r="AF224" i="2"/>
  <c r="AF238" i="2"/>
  <c r="AF300" i="2"/>
  <c r="AI76" i="24"/>
  <c r="AI70" i="24"/>
  <c r="N251" i="23"/>
  <c r="M224" i="23"/>
  <c r="M284" i="23"/>
  <c r="J275" i="26"/>
  <c r="K275" i="26" s="1"/>
  <c r="AF212" i="2"/>
  <c r="L325" i="30"/>
  <c r="L323" i="30" s="1"/>
  <c r="M295" i="23"/>
  <c r="M280" i="23"/>
  <c r="AI92" i="24"/>
  <c r="F373" i="26"/>
  <c r="K277" i="26"/>
  <c r="K277" i="30"/>
  <c r="AF298" i="2"/>
  <c r="W39" i="24"/>
  <c r="F373" i="30"/>
  <c r="K373" i="30" s="1"/>
  <c r="AF286" i="2"/>
  <c r="M260" i="23"/>
  <c r="AF234" i="2"/>
  <c r="L182" i="21"/>
  <c r="K317" i="30"/>
  <c r="N287" i="26"/>
  <c r="N285" i="26" s="1"/>
  <c r="K307" i="30"/>
  <c r="AF290" i="2"/>
  <c r="W60" i="24"/>
  <c r="AF284" i="2"/>
  <c r="N213" i="23"/>
  <c r="F291" i="26"/>
  <c r="F290" i="26" s="1"/>
  <c r="J290" i="26"/>
  <c r="M301" i="23"/>
  <c r="M249" i="23"/>
  <c r="AF249" i="2"/>
  <c r="AI89" i="24"/>
  <c r="W50" i="24"/>
  <c r="AI35" i="24"/>
  <c r="AI61" i="24"/>
  <c r="L321" i="30"/>
  <c r="L317" i="30" s="1"/>
  <c r="L313" i="30" s="1"/>
  <c r="AF200" i="2"/>
  <c r="M286" i="23"/>
  <c r="AF226" i="2"/>
  <c r="K317" i="26"/>
  <c r="W68" i="24"/>
  <c r="L357" i="26"/>
  <c r="L354" i="26" s="1"/>
  <c r="L353" i="26" s="1"/>
  <c r="M226" i="23"/>
  <c r="AF280" i="2"/>
  <c r="AI7" i="24"/>
  <c r="O212" i="23"/>
  <c r="F291" i="30"/>
  <c r="J38" i="25"/>
  <c r="K38" i="25" s="1"/>
  <c r="K300" i="30"/>
  <c r="L334" i="30"/>
  <c r="L334" i="26"/>
  <c r="AF245" i="2"/>
  <c r="M245" i="23"/>
  <c r="AF227" i="2"/>
  <c r="AF264" i="2"/>
  <c r="AI74" i="24"/>
  <c r="M264" i="23"/>
  <c r="W104" i="24"/>
  <c r="W111" i="24"/>
  <c r="W86" i="24"/>
  <c r="W85" i="24"/>
  <c r="W67" i="24"/>
  <c r="L342" i="26"/>
  <c r="L342" i="30"/>
  <c r="M175" i="23"/>
  <c r="AF175" i="2"/>
  <c r="AI67" i="24"/>
  <c r="B7" i="19"/>
  <c r="B8" i="19" s="1"/>
  <c r="M289" i="23"/>
  <c r="L302" i="26"/>
  <c r="L300" i="26" s="1"/>
  <c r="AF260" i="2"/>
  <c r="K300" i="26"/>
  <c r="AY70" i="24"/>
  <c r="AY42" i="24"/>
  <c r="AI39" i="24"/>
  <c r="W94" i="24"/>
  <c r="L376" i="26"/>
  <c r="AF340" i="2"/>
  <c r="O206" i="23"/>
  <c r="T206" i="23" s="1"/>
  <c r="P206" i="23"/>
  <c r="Q206" i="23" s="1"/>
  <c r="N206" i="23"/>
  <c r="J206" i="23"/>
  <c r="S206" i="23"/>
  <c r="O229" i="23"/>
  <c r="AF318" i="2"/>
  <c r="M211" i="23"/>
  <c r="AF211" i="2"/>
  <c r="AI91" i="24"/>
  <c r="AI59" i="24"/>
  <c r="AF233" i="2"/>
  <c r="M233" i="23"/>
  <c r="M182" i="23"/>
  <c r="AI14" i="24"/>
  <c r="AF182" i="2"/>
  <c r="M228" i="23"/>
  <c r="AI66" i="24"/>
  <c r="AF228" i="2"/>
  <c r="J229" i="23"/>
  <c r="N229" i="23"/>
  <c r="S229" i="23"/>
  <c r="F328" i="26"/>
  <c r="F327" i="26" s="1"/>
  <c r="O245" i="23"/>
  <c r="M210" i="23"/>
  <c r="AI50" i="24"/>
  <c r="AF210" i="2"/>
  <c r="J19" i="25"/>
  <c r="K19" i="25" s="1"/>
  <c r="M231" i="23"/>
  <c r="AF231" i="2"/>
  <c r="AI57" i="24"/>
  <c r="J26" i="25"/>
  <c r="K26" i="25" s="1"/>
  <c r="M201" i="23"/>
  <c r="AI62" i="24"/>
  <c r="AF201" i="2"/>
  <c r="AF386" i="2"/>
  <c r="M196" i="23"/>
  <c r="AI109" i="24"/>
  <c r="AF196" i="2"/>
  <c r="M181" i="23"/>
  <c r="AI11" i="24"/>
  <c r="AF181" i="2"/>
  <c r="M198" i="23"/>
  <c r="AI48" i="24"/>
  <c r="AF198" i="2"/>
  <c r="O270" i="23"/>
  <c r="F347" i="30"/>
  <c r="K347" i="30" s="1"/>
  <c r="K348" i="30"/>
  <c r="F328" i="30"/>
  <c r="F327" i="30" s="1"/>
  <c r="AI80" i="24"/>
  <c r="M222" i="23"/>
  <c r="O175" i="23"/>
  <c r="AI49" i="24"/>
  <c r="AF206" i="2"/>
  <c r="AI47" i="24"/>
  <c r="M206" i="23"/>
  <c r="J270" i="23"/>
  <c r="N270" i="23"/>
  <c r="S270" i="23"/>
  <c r="M202" i="23"/>
  <c r="AI75" i="24"/>
  <c r="AF202" i="2"/>
  <c r="M177" i="23"/>
  <c r="AF177" i="2"/>
  <c r="AI13" i="24"/>
  <c r="S175" i="23"/>
  <c r="N175" i="23"/>
  <c r="W47" i="24"/>
  <c r="W49" i="24"/>
  <c r="F347" i="26"/>
  <c r="K347" i="26" s="1"/>
  <c r="K348" i="26"/>
  <c r="N306" i="23"/>
  <c r="S306" i="23"/>
  <c r="O210" i="23"/>
  <c r="N308" i="23"/>
  <c r="S308" i="23"/>
  <c r="AF208" i="2"/>
  <c r="AI26" i="24"/>
  <c r="M208" i="23"/>
  <c r="AF313" i="2"/>
  <c r="M298" i="23"/>
  <c r="AF299" i="2"/>
  <c r="M294" i="23"/>
  <c r="AF295" i="2"/>
  <c r="O219" i="23"/>
  <c r="J39" i="25"/>
  <c r="K39" i="25" s="1"/>
  <c r="M252" i="23"/>
  <c r="AI56" i="24"/>
  <c r="AF252" i="2"/>
  <c r="J298" i="23"/>
  <c r="N298" i="23"/>
  <c r="S298" i="23"/>
  <c r="L333" i="30"/>
  <c r="L333" i="26"/>
  <c r="W71" i="24"/>
  <c r="W77" i="24"/>
  <c r="L338" i="30"/>
  <c r="L338" i="26"/>
  <c r="M178" i="23"/>
  <c r="AI52" i="24"/>
  <c r="AF178" i="2"/>
  <c r="AF291" i="2"/>
  <c r="M290" i="23"/>
  <c r="O299" i="23"/>
  <c r="T299" i="23" s="1"/>
  <c r="AF287" i="2"/>
  <c r="M287" i="23"/>
  <c r="AI58" i="24"/>
  <c r="M235" i="23"/>
  <c r="AF235" i="2"/>
  <c r="O224" i="23"/>
  <c r="M300" i="23"/>
  <c r="AF301" i="2"/>
  <c r="S219" i="23"/>
  <c r="N219" i="23"/>
  <c r="J219" i="23"/>
  <c r="L330" i="30"/>
  <c r="L330" i="26"/>
  <c r="W72" i="24"/>
  <c r="O218" i="23"/>
  <c r="O282" i="23"/>
  <c r="T282" i="23" s="1"/>
  <c r="AF358" i="2"/>
  <c r="N365" i="26"/>
  <c r="N363" i="26" s="1"/>
  <c r="AF285" i="2"/>
  <c r="M285" i="23"/>
  <c r="M296" i="23"/>
  <c r="AF297" i="2"/>
  <c r="J202" i="23"/>
  <c r="N202" i="23"/>
  <c r="S202" i="23"/>
  <c r="S210" i="23"/>
  <c r="N210" i="23"/>
  <c r="W26" i="24"/>
  <c r="L294" i="30"/>
  <c r="L294" i="26"/>
  <c r="S299" i="23"/>
  <c r="N299" i="23"/>
  <c r="AF305" i="2"/>
  <c r="O246" i="23"/>
  <c r="P301" i="23"/>
  <c r="Q301" i="23" s="1"/>
  <c r="N301" i="23"/>
  <c r="S301" i="23"/>
  <c r="L277" i="26"/>
  <c r="N279" i="26"/>
  <c r="O293" i="23"/>
  <c r="T293" i="23" s="1"/>
  <c r="N365" i="30"/>
  <c r="N363" i="30" s="1"/>
  <c r="L394" i="26"/>
  <c r="L388" i="26" s="1"/>
  <c r="L387" i="26" s="1"/>
  <c r="L386" i="26" s="1"/>
  <c r="L385" i="26" s="1"/>
  <c r="L384" i="26" s="1"/>
  <c r="L383" i="26" s="1"/>
  <c r="W106" i="24"/>
  <c r="L394" i="30"/>
  <c r="L388" i="30" s="1"/>
  <c r="L387" i="30" s="1"/>
  <c r="L386" i="30" s="1"/>
  <c r="L385" i="30" s="1"/>
  <c r="L384" i="30" s="1"/>
  <c r="L383" i="30" s="1"/>
  <c r="O298" i="23"/>
  <c r="T298" i="23" s="1"/>
  <c r="AF315" i="2"/>
  <c r="AF303" i="2"/>
  <c r="M302" i="23"/>
  <c r="O202" i="23"/>
  <c r="S310" i="23"/>
  <c r="N310" i="23"/>
  <c r="M292" i="23"/>
  <c r="AF293" i="2"/>
  <c r="S246" i="23"/>
  <c r="N246" i="23"/>
  <c r="N224" i="23"/>
  <c r="S224" i="23"/>
  <c r="O301" i="23"/>
  <c r="T301" i="23" s="1"/>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N50" i="26"/>
  <c r="L12" i="27"/>
  <c r="L40" i="28"/>
  <c r="K7" i="28"/>
  <c r="J6" i="28"/>
  <c r="M41" i="28"/>
  <c r="M40" i="28" s="1"/>
  <c r="L7" i="27"/>
  <c r="L6" i="26"/>
  <c r="N90" i="26"/>
  <c r="N16" i="27" s="1"/>
  <c r="M117" i="28"/>
  <c r="J75" i="28"/>
  <c r="K75" i="28" s="1"/>
  <c r="N6" i="26"/>
  <c r="N7" i="27"/>
  <c r="K354" i="26" l="1"/>
  <c r="K373" i="26"/>
  <c r="K388" i="30"/>
  <c r="K387" i="30" s="1"/>
  <c r="K386" i="30" s="1"/>
  <c r="K385" i="30" s="1"/>
  <c r="K384" i="30" s="1"/>
  <c r="K383" i="30" s="1"/>
  <c r="K354" i="30"/>
  <c r="K388" i="26"/>
  <c r="K387" i="26" s="1"/>
  <c r="K386" i="26" s="1"/>
  <c r="K385" i="26" s="1"/>
  <c r="K384" i="26" s="1"/>
  <c r="K383" i="26" s="1"/>
  <c r="M291" i="32"/>
  <c r="M290" i="32" s="1"/>
  <c r="M289" i="32" s="1"/>
  <c r="K313" i="32"/>
  <c r="J312" i="32"/>
  <c r="J289" i="32" s="1"/>
  <c r="AD260" i="2"/>
  <c r="B8" i="18"/>
  <c r="B9" i="18"/>
  <c r="AD262" i="2"/>
  <c r="K388" i="32"/>
  <c r="K387" i="32" s="1"/>
  <c r="K386" i="32" s="1"/>
  <c r="K385" i="32" s="1"/>
  <c r="K384" i="32" s="1"/>
  <c r="K383" i="32" s="1"/>
  <c r="J312" i="26"/>
  <c r="J289" i="26" s="1"/>
  <c r="J312" i="30"/>
  <c r="J289" i="30" s="1"/>
  <c r="T264" i="23"/>
  <c r="T223" i="23"/>
  <c r="N291" i="32"/>
  <c r="N290" i="32" s="1"/>
  <c r="T237" i="23"/>
  <c r="T230" i="23"/>
  <c r="T216" i="23"/>
  <c r="N373" i="32"/>
  <c r="T224" i="23"/>
  <c r="N388" i="32"/>
  <c r="N387" i="32" s="1"/>
  <c r="N386" i="32" s="1"/>
  <c r="N385" i="32" s="1"/>
  <c r="N384" i="32" s="1"/>
  <c r="N383" i="32" s="1"/>
  <c r="N373" i="26"/>
  <c r="T210" i="23"/>
  <c r="T189" i="23"/>
  <c r="P223" i="23"/>
  <c r="Q223" i="23" s="1"/>
  <c r="T197" i="23"/>
  <c r="N345" i="30"/>
  <c r="N328" i="30" s="1"/>
  <c r="N327" i="30" s="1"/>
  <c r="P264" i="23"/>
  <c r="Q264" i="23" s="1"/>
  <c r="T182" i="23"/>
  <c r="T200" i="23"/>
  <c r="N277" i="26"/>
  <c r="N276" i="26" s="1"/>
  <c r="N275" i="26" s="1"/>
  <c r="N274" i="26" s="1"/>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328" i="32"/>
  <c r="N327" i="32" s="1"/>
  <c r="T159" i="23"/>
  <c r="T202" i="23"/>
  <c r="T229" i="23"/>
  <c r="T167" i="23"/>
  <c r="T251" i="23"/>
  <c r="P259" i="23"/>
  <c r="Q259" i="23" s="1"/>
  <c r="T212" i="23"/>
  <c r="N328" i="26"/>
  <c r="N327"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M6" i="26"/>
  <c r="M7" i="27"/>
  <c r="N45" i="27"/>
  <c r="N230" i="26"/>
  <c r="N229" i="26" s="1"/>
  <c r="N228" i="26" s="1"/>
  <c r="N227" i="26" s="1"/>
  <c r="N312" i="32" l="1"/>
  <c r="N289" i="32" s="1"/>
  <c r="N273" i="32" s="1"/>
  <c r="N272" i="32" s="1"/>
  <c r="N312" i="26"/>
  <c r="N289" i="26" s="1"/>
  <c r="N273" i="26" s="1"/>
  <c r="N272" i="26" s="1"/>
  <c r="L312" i="30"/>
  <c r="K289" i="32"/>
  <c r="K312" i="32"/>
  <c r="L312" i="32"/>
  <c r="L289" i="32" s="1"/>
  <c r="L273" i="32" s="1"/>
  <c r="L272" i="32" s="1"/>
  <c r="N312" i="30"/>
  <c r="N289" i="30" s="1"/>
  <c r="N273" i="30" s="1"/>
  <c r="N272" i="30" s="1"/>
  <c r="J274" i="32"/>
  <c r="K275" i="32"/>
  <c r="L312" i="26"/>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 r="Y795" i="2" l="1"/>
  <c r="Z795" i="2" s="1"/>
  <c r="AB795" i="2" l="1"/>
  <c r="AD795" i="2" l="1"/>
  <c r="AF79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LIZETH JAHIRA GONZALEZ VARGAS</author>
    <author>LIZETH</author>
  </authors>
  <commentList>
    <comment ref="AS23" authorId="0" shapeId="0" xr:uid="{00000000-0006-0000-0400-000001000000}">
      <text>
        <r>
          <rPr>
            <b/>
            <sz val="9"/>
            <color indexed="81"/>
            <rFont val="Tahoma"/>
            <family val="2"/>
          </rPr>
          <t>LIZETH JAHIRA GONZALEZ VARGAS:</t>
        </r>
        <r>
          <rPr>
            <sz val="9"/>
            <color indexed="81"/>
            <rFont val="Tahoma"/>
            <family val="2"/>
          </rPr>
          <t xml:space="preserve">
radicado el 21-05-2014</t>
        </r>
      </text>
    </comment>
    <comment ref="AS35" authorId="0" shapeId="0" xr:uid="{00000000-0006-0000-0400-000002000000}">
      <text>
        <r>
          <rPr>
            <b/>
            <sz val="9"/>
            <color indexed="81"/>
            <rFont val="Tahoma"/>
            <family val="2"/>
          </rPr>
          <t>LIZETH JAHIRA GONZALEZ VARGAS:</t>
        </r>
        <r>
          <rPr>
            <sz val="9"/>
            <color indexed="81"/>
            <rFont val="Tahoma"/>
            <family val="2"/>
          </rPr>
          <t xml:space="preserve">
Sin firma ordenador</t>
        </r>
      </text>
    </comment>
    <comment ref="T68" authorId="0" shapeId="0" xr:uid="{00000000-0006-0000-0400-000003000000}">
      <text>
        <r>
          <rPr>
            <b/>
            <sz val="9"/>
            <color indexed="81"/>
            <rFont val="Tahoma"/>
            <family val="2"/>
          </rPr>
          <t>LIZETH JAHIRA GONZALEZ VARGAS:</t>
        </r>
        <r>
          <rPr>
            <sz val="9"/>
            <color indexed="81"/>
            <rFont val="Tahoma"/>
            <family val="2"/>
          </rPr>
          <t xml:space="preserve">
Terminación</t>
        </r>
      </text>
    </comment>
    <comment ref="Y68" authorId="1" shapeId="0" xr:uid="{00000000-0006-0000-0400-000004000000}">
      <text>
        <r>
          <rPr>
            <b/>
            <sz val="9"/>
            <color indexed="81"/>
            <rFont val="Tahoma"/>
            <family val="2"/>
          </rPr>
          <t>LIZETH:</t>
        </r>
        <r>
          <rPr>
            <sz val="9"/>
            <color indexed="81"/>
            <rFont val="Tahoma"/>
            <family val="2"/>
          </rPr>
          <t xml:space="preserve">
Estaba en $0</t>
        </r>
      </text>
    </comment>
    <comment ref="F170" authorId="1" shapeId="0" xr:uid="{00000000-0006-0000-0400-000005000000}">
      <text>
        <r>
          <rPr>
            <b/>
            <sz val="9"/>
            <color indexed="81"/>
            <rFont val="Tahoma"/>
            <family val="2"/>
          </rPr>
          <t>LIZETH:</t>
        </r>
        <r>
          <rPr>
            <sz val="9"/>
            <color indexed="81"/>
            <rFont val="Tahoma"/>
            <family val="2"/>
          </rPr>
          <t xml:space="preserve">
Antes: AMANDA ISLENY ALFONSO VELÁSQUEZ</t>
        </r>
      </text>
    </comment>
    <comment ref="F172" authorId="1" shapeId="0" xr:uid="{00000000-0006-0000-0400-000006000000}">
      <text>
        <r>
          <rPr>
            <b/>
            <sz val="9"/>
            <color indexed="81"/>
            <rFont val="Tahoma"/>
            <family val="2"/>
          </rPr>
          <t>LIZETH:</t>
        </r>
        <r>
          <rPr>
            <sz val="9"/>
            <color indexed="81"/>
            <rFont val="Tahoma"/>
            <family val="2"/>
          </rPr>
          <t xml:space="preserve">
Antes: GERARDO ANTONIO ALFONSO VELÁSQUEZ</t>
        </r>
      </text>
    </comment>
    <comment ref="T193" authorId="0" shapeId="0" xr:uid="{00000000-0006-0000-0400-000007000000}">
      <text>
        <r>
          <rPr>
            <b/>
            <sz val="9"/>
            <color indexed="81"/>
            <rFont val="Tahoma"/>
            <family val="2"/>
          </rPr>
          <t>LIZETH JAHIRA GONZALEZ VARGAS:</t>
        </r>
        <r>
          <rPr>
            <sz val="9"/>
            <color indexed="81"/>
            <rFont val="Tahoma"/>
            <family val="2"/>
          </rPr>
          <t xml:space="preserve">
Fecha terminación anticipada</t>
        </r>
      </text>
    </comment>
    <comment ref="T251" authorId="0" shapeId="0" xr:uid="{00000000-0006-0000-0400-000008000000}">
      <text>
        <r>
          <rPr>
            <b/>
            <sz val="9"/>
            <color indexed="81"/>
            <rFont val="Tahoma"/>
            <family val="2"/>
          </rPr>
          <t>LIZETH JAHIRA GONZALEZ VARGAS:</t>
        </r>
        <r>
          <rPr>
            <sz val="9"/>
            <color indexed="81"/>
            <rFont val="Tahoma"/>
            <family val="2"/>
          </rPr>
          <t xml:space="preserve">
Suspensión</t>
        </r>
      </text>
    </comment>
    <comment ref="S282" authorId="0" shapeId="0" xr:uid="{00000000-0006-0000-0400-000009000000}">
      <text>
        <r>
          <rPr>
            <b/>
            <sz val="9"/>
            <color indexed="81"/>
            <rFont val="Tahoma"/>
            <family val="2"/>
          </rPr>
          <t>LIZETH JAHIRA GONZALEZ VARGAS:</t>
        </r>
        <r>
          <rPr>
            <sz val="9"/>
            <color indexed="81"/>
            <rFont val="Tahoma"/>
            <family val="2"/>
          </rPr>
          <t xml:space="preserve">
Suspensión</t>
        </r>
      </text>
    </comment>
    <comment ref="I347" authorId="0" shapeId="0" xr:uid="{00000000-0006-0000-0400-00000A00000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LIZETH</author>
    <author>LIZETH JAHIRA GONZALEZ VARGAS</author>
    <author>KAROL YESNID CABALLERO RESTREPO</author>
  </authors>
  <commentList>
    <comment ref="S68" authorId="0" shapeId="0" xr:uid="{00000000-0006-0000-0700-000001000000}">
      <text>
        <r>
          <rPr>
            <b/>
            <sz val="9"/>
            <color indexed="81"/>
            <rFont val="Tahoma"/>
            <family val="2"/>
          </rPr>
          <t>Suspensión</t>
        </r>
      </text>
    </comment>
    <comment ref="U68" authorId="0" shapeId="0" xr:uid="{00000000-0006-0000-0700-000002000000}">
      <text>
        <r>
          <rPr>
            <b/>
            <sz val="9"/>
            <color indexed="81"/>
            <rFont val="Tahoma"/>
            <family val="2"/>
          </rPr>
          <t>Suspensión</t>
        </r>
      </text>
    </comment>
    <comment ref="W68" authorId="0" shapeId="0" xr:uid="{00000000-0006-0000-0700-000003000000}">
      <text>
        <r>
          <rPr>
            <b/>
            <sz val="9"/>
            <color indexed="81"/>
            <rFont val="Tahoma"/>
            <family val="2"/>
          </rPr>
          <t>Suspensión</t>
        </r>
      </text>
    </comment>
    <comment ref="Z68" authorId="1" shapeId="0" xr:uid="{00000000-0006-0000-0700-000004000000}">
      <text>
        <r>
          <rPr>
            <b/>
            <sz val="9"/>
            <color indexed="81"/>
            <rFont val="Tahoma"/>
            <family val="2"/>
          </rPr>
          <t>LIZETH JAHIRA GONZALEZ VARGAS:</t>
        </r>
        <r>
          <rPr>
            <sz val="9"/>
            <color indexed="81"/>
            <rFont val="Tahoma"/>
            <family val="2"/>
          </rPr>
          <t xml:space="preserve">
Terminación</t>
        </r>
      </text>
    </comment>
    <comment ref="U74" authorId="0" shapeId="0" xr:uid="{00000000-0006-0000-0700-000005000000}">
      <text>
        <r>
          <rPr>
            <b/>
            <sz val="9"/>
            <color indexed="81"/>
            <rFont val="Tahoma"/>
            <family val="2"/>
          </rPr>
          <t>Suspensión</t>
        </r>
      </text>
    </comment>
    <comment ref="S139" authorId="1" shapeId="0" xr:uid="{00000000-0006-0000-0700-000006000000}">
      <text>
        <r>
          <rPr>
            <b/>
            <sz val="9"/>
            <color indexed="81"/>
            <rFont val="Tahoma"/>
            <family val="2"/>
          </rPr>
          <t>LIZETH JAHIRA GONZALEZ VARGAS:</t>
        </r>
        <r>
          <rPr>
            <sz val="9"/>
            <color indexed="81"/>
            <rFont val="Tahoma"/>
            <family val="2"/>
          </rPr>
          <t xml:space="preserve">
SUSPENSIÓN</t>
        </r>
      </text>
    </comment>
    <comment ref="C151" authorId="0" shapeId="0" xr:uid="{00000000-0006-0000-0700-000007000000}">
      <text>
        <r>
          <rPr>
            <b/>
            <sz val="9"/>
            <color indexed="81"/>
            <rFont val="Tahoma"/>
            <family val="2"/>
          </rPr>
          <t>LIZETH:</t>
        </r>
        <r>
          <rPr>
            <sz val="9"/>
            <color indexed="81"/>
            <rFont val="Tahoma"/>
            <family val="2"/>
          </rPr>
          <t xml:space="preserve">
Aparece el Concejo D.C.</t>
        </r>
      </text>
    </comment>
    <comment ref="C170" authorId="0" shapeId="0" xr:uid="{00000000-0006-0000-0700-000008000000}">
      <text>
        <r>
          <rPr>
            <b/>
            <sz val="9"/>
            <color indexed="81"/>
            <rFont val="Tahoma"/>
            <family val="2"/>
          </rPr>
          <t>LIZETH:</t>
        </r>
        <r>
          <rPr>
            <sz val="9"/>
            <color indexed="81"/>
            <rFont val="Tahoma"/>
            <family val="2"/>
          </rPr>
          <t xml:space="preserve">
Antes: AMANDA ISLENY ALFONSO VELÁSQUEZ</t>
        </r>
      </text>
    </comment>
    <comment ref="C172" authorId="0" shapeId="0" xr:uid="{00000000-0006-0000-0700-000009000000}">
      <text>
        <r>
          <rPr>
            <b/>
            <sz val="9"/>
            <color indexed="81"/>
            <rFont val="Tahoma"/>
            <family val="2"/>
          </rPr>
          <t>LIZETH:</t>
        </r>
        <r>
          <rPr>
            <sz val="9"/>
            <color indexed="81"/>
            <rFont val="Tahoma"/>
            <family val="2"/>
          </rPr>
          <t xml:space="preserve">
Antes: GERARDO ANTONIO ALFONSO VELASQUEZ</t>
        </r>
      </text>
    </comment>
    <comment ref="AT185" authorId="1" shapeId="0" xr:uid="{00000000-0006-0000-0700-00000A000000}">
      <text>
        <r>
          <rPr>
            <b/>
            <sz val="9"/>
            <color indexed="81"/>
            <rFont val="Tahoma"/>
            <family val="2"/>
          </rPr>
          <t>LIZETH JAHIRA GONZALEZ VARGAS:</t>
        </r>
        <r>
          <rPr>
            <sz val="9"/>
            <color indexed="81"/>
            <rFont val="Tahoma"/>
            <family val="2"/>
          </rPr>
          <t xml:space="preserve">
Lorenza</t>
        </r>
      </text>
    </comment>
    <comment ref="T191" authorId="0" shapeId="0" xr:uid="{00000000-0006-0000-0700-00000B000000}">
      <text>
        <r>
          <rPr>
            <b/>
            <sz val="9"/>
            <color indexed="81"/>
            <rFont val="Tahoma"/>
            <family val="2"/>
          </rPr>
          <t>LIZETH:</t>
        </r>
        <r>
          <rPr>
            <sz val="9"/>
            <color indexed="81"/>
            <rFont val="Tahoma"/>
            <family val="2"/>
          </rPr>
          <t xml:space="preserve">
</t>
        </r>
      </text>
    </comment>
    <comment ref="V193" authorId="1" shapeId="0" xr:uid="{00000000-0006-0000-0700-00000C000000}">
      <text>
        <r>
          <rPr>
            <b/>
            <sz val="9"/>
            <color indexed="81"/>
            <rFont val="Tahoma"/>
            <family val="2"/>
          </rPr>
          <t>Terminación anticipada</t>
        </r>
      </text>
    </comment>
    <comment ref="T251" authorId="1" shapeId="0" xr:uid="{00000000-0006-0000-0700-00000D000000}">
      <text>
        <r>
          <rPr>
            <b/>
            <sz val="9"/>
            <color indexed="81"/>
            <rFont val="Tahoma"/>
            <family val="2"/>
          </rPr>
          <t>LIZETH JAHIRA GONZALEZ VARGAS:</t>
        </r>
        <r>
          <rPr>
            <sz val="9"/>
            <color indexed="81"/>
            <rFont val="Tahoma"/>
            <family val="2"/>
          </rPr>
          <t xml:space="preserve">
Suspensión</t>
        </r>
      </text>
    </comment>
    <comment ref="AN738" authorId="2" shapeId="0" xr:uid="{00000000-0006-0000-0700-00000E000000}">
      <text>
        <r>
          <rPr>
            <b/>
            <sz val="9"/>
            <color indexed="81"/>
            <rFont val="Tahoma"/>
            <family val="2"/>
          </rPr>
          <t>KAROL YESNID CABALLERO RESTREPO:</t>
        </r>
        <r>
          <rPr>
            <sz val="9"/>
            <color indexed="81"/>
            <rFont val="Tahoma"/>
            <family val="2"/>
          </rPr>
          <t xml:space="preserve">
marcelita falta un pago de $11296250
</t>
        </r>
      </text>
    </comment>
    <comment ref="AO738" authorId="2" shapeId="0" xr:uid="{00000000-0006-0000-0700-00000F000000}">
      <text>
        <r>
          <rPr>
            <b/>
            <sz val="9"/>
            <color indexed="81"/>
            <rFont val="Tahoma"/>
            <family val="2"/>
          </rPr>
          <t>KAROL YESNID CABALLERO RESTREPO:</t>
        </r>
        <r>
          <rPr>
            <sz val="9"/>
            <color indexed="81"/>
            <rFont val="Tahoma"/>
            <family val="2"/>
          </rPr>
          <t xml:space="preserve">
este valor no esta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LIZETH</author>
  </authors>
  <commentList>
    <comment ref="C116" authorId="0" shapeId="0" xr:uid="{00000000-0006-0000-0900-000001000000}">
      <text>
        <r>
          <rPr>
            <b/>
            <sz val="9"/>
            <color indexed="81"/>
            <rFont val="Tahoma"/>
            <family val="2"/>
          </rPr>
          <t>LIZETH:</t>
        </r>
        <r>
          <rPr>
            <sz val="9"/>
            <color indexed="81"/>
            <rFont val="Tahoma"/>
            <family val="2"/>
          </rPr>
          <t xml:space="preserve">
Antes: AMANDA ISLENY ALFONSO VELÁSQUEZ</t>
        </r>
      </text>
    </comment>
    <comment ref="C123" authorId="0" shapeId="0" xr:uid="{00000000-0006-0000-0900-000002000000}">
      <text>
        <r>
          <rPr>
            <b/>
            <sz val="9"/>
            <color indexed="81"/>
            <rFont val="Tahoma"/>
            <family val="2"/>
          </rPr>
          <t>LIZETH:</t>
        </r>
        <r>
          <rPr>
            <sz val="9"/>
            <color indexed="81"/>
            <rFont val="Tahoma"/>
            <family val="2"/>
          </rPr>
          <t xml:space="preserve">
Antes: GERARDO ANTONIO ALFONSO VELÁSQUEZ</t>
        </r>
      </text>
    </comment>
    <comment ref="E217" authorId="0" shapeId="0" xr:uid="{00000000-0006-0000-0900-00000300000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LIZETH JAHIRA GONZALEZ VARGAS</author>
  </authors>
  <commentList>
    <comment ref="B67" authorId="0" shapeId="0" xr:uid="{00000000-0006-0000-0D00-00000100000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<sst xmlns="http://schemas.openxmlformats.org/spreadsheetml/2006/main" count="27401" uniqueCount="6579">
  <si>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</si>
  <si>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</si>
  <si>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</si>
  <si>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</si>
  <si>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</si>
  <si>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</si>
  <si>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</si>
  <si>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</si>
  <si>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</si>
  <si>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</si>
  <si>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</si>
  <si>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</si>
  <si>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</si>
  <si>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</si>
  <si>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</si>
  <si>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</si>
  <si>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</si>
  <si>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</si>
  <si>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</si>
  <si>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</si>
  <si>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</si>
  <si>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</si>
  <si>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</si>
  <si>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</si>
  <si>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</si>
  <si>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</si>
  <si>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</si>
  <si>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</si>
  <si>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</si>
  <si>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</si>
  <si>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</si>
  <si>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</si>
  <si>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</si>
  <si>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</si>
  <si>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</si>
  <si>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</si>
  <si>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</si>
  <si>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</si>
  <si>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</si>
  <si>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</si>
  <si>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</si>
  <si>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</si>
  <si>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</si>
  <si>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</si>
  <si>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</si>
  <si>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</si>
  <si>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</si>
  <si>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</si>
  <si>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</si>
  <si>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</si>
  <si>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</si>
  <si>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</si>
  <si>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</si>
  <si>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</si>
  <si>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</si>
  <si>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</si>
  <si>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</si>
  <si>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</si>
  <si>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</si>
  <si>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</si>
  <si>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</si>
  <si>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</si>
  <si>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</si>
  <si>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</si>
  <si>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</si>
  <si>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</si>
  <si>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</si>
  <si>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</si>
  <si>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</si>
  <si>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</si>
  <si>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</si>
  <si>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</si>
  <si>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</si>
  <si>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</si>
  <si>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</si>
  <si>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</si>
  <si>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</si>
  <si>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</si>
  <si>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</si>
  <si>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</si>
  <si>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</si>
  <si>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</si>
  <si>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</si>
  <si>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</si>
  <si>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</si>
  <si>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</si>
  <si>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</si>
  <si>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</si>
  <si>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</si>
  <si>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</si>
  <si>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</si>
  <si>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</si>
  <si>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</si>
  <si>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</si>
  <si>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</si>
  <si>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</si>
  <si>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</si>
  <si>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</si>
  <si>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</si>
  <si>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</si>
  <si>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</si>
  <si>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</si>
  <si>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</si>
  <si>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</si>
  <si>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</si>
  <si>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</si>
  <si>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</si>
  <si>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</si>
  <si>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</si>
  <si>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</si>
  <si>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</si>
  <si>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</si>
  <si>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</si>
  <si>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</si>
  <si>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</si>
  <si>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</si>
  <si>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</si>
  <si>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</si>
  <si>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</si>
  <si>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</si>
  <si>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</si>
  <si>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</si>
  <si>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</si>
  <si>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</si>
  <si>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</si>
  <si>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</si>
  <si>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</si>
  <si>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</si>
  <si>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</si>
  <si>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</si>
  <si>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</si>
  <si>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</si>
  <si>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</si>
  <si>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</si>
  <si>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</si>
  <si>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</si>
  <si>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</si>
  <si>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</si>
  <si>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</si>
  <si>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</si>
  <si>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</si>
  <si>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</si>
  <si>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</si>
  <si>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</si>
  <si>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</si>
  <si>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</si>
  <si>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</si>
  <si>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</si>
  <si>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</si>
  <si>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</si>
  <si>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</si>
  <si>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</si>
  <si>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</si>
  <si>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</si>
  <si>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</si>
  <si>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</si>
  <si>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</si>
  <si>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</si>
  <si>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</si>
  <si>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</si>
  <si>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</si>
  <si>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</si>
  <si>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</si>
  <si>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</si>
  <si>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</si>
  <si>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</si>
  <si>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</si>
  <si>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</si>
  <si>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</si>
  <si>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</si>
  <si>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</si>
  <si>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</si>
  <si>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</si>
  <si>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</si>
  <si>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</si>
  <si>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</si>
  <si>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</si>
  <si>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</si>
  <si>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</si>
  <si>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</si>
  <si>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</si>
  <si>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</si>
  <si>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</si>
  <si>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</si>
  <si>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</si>
  <si>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</si>
  <si>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</si>
  <si>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</si>
  <si>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</si>
  <si>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</si>
  <si>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</si>
  <si>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</si>
  <si>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</si>
  <si>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</si>
  <si>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</si>
  <si>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</si>
  <si>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</si>
  <si>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</si>
  <si>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</si>
  <si>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</si>
  <si>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</si>
  <si>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</si>
  <si>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</si>
  <si>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</si>
  <si>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</si>
  <si>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</si>
  <si>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</si>
  <si>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</si>
  <si>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</si>
  <si>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</si>
  <si>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</si>
  <si>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</si>
  <si>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</si>
  <si>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</si>
  <si>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</si>
  <si>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</si>
  <si>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</si>
  <si>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</si>
  <si>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</si>
  <si>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</si>
  <si>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</si>
  <si>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</si>
  <si>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</si>
  <si>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</si>
  <si>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</si>
  <si>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</si>
  <si>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</si>
  <si>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</si>
  <si>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</si>
  <si>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</si>
  <si>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</si>
  <si>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</si>
  <si>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</si>
  <si>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</si>
  <si>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</si>
  <si>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</si>
  <si>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</si>
  <si>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</si>
  <si>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</si>
  <si>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</si>
  <si>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</si>
  <si>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</si>
  <si>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</si>
  <si>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</si>
  <si>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</si>
  <si>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</si>
  <si>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</si>
  <si>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</si>
  <si>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</si>
  <si>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</si>
  <si>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</si>
  <si>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</si>
  <si>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</si>
  <si>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</si>
  <si>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</si>
  <si>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</si>
  <si>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</si>
  <si>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</si>
  <si>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</si>
  <si>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</si>
  <si>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</si>
  <si>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</si>
  <si>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</si>
  <si>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</si>
  <si>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</si>
  <si>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</si>
  <si>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</si>
  <si>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</si>
  <si>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</si>
  <si>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</si>
  <si>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</si>
  <si>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</si>
  <si>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</si>
  <si>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</si>
  <si>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</si>
  <si>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</si>
  <si>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</si>
  <si>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</si>
  <si>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</si>
  <si>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</si>
  <si>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</si>
  <si>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</si>
  <si>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</si>
  <si>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</si>
  <si>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</si>
  <si>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</si>
  <si>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</si>
  <si>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</si>
  <si>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</si>
  <si>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</si>
  <si>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</si>
  <si>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</si>
  <si>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</si>
  <si>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</si>
  <si>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</si>
  <si>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</si>
  <si>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</si>
  <si>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</si>
  <si>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</si>
  <si>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</si>
  <si>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</si>
  <si>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</si>
  <si>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</si>
  <si>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</si>
  <si>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</si>
  <si>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</si>
  <si>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</si>
  <si>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</si>
  <si>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</si>
  <si>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</si>
  <si>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</si>
  <si>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</si>
  <si>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</si>
  <si>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</si>
  <si>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</si>
  <si>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</si>
  <si>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</si>
  <si>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</si>
  <si>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</si>
  <si>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</si>
  <si>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</si>
  <si>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</si>
  <si>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</si>
  <si>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</si>
  <si>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</si>
  <si>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</si>
  <si>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</si>
  <si>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</si>
  <si>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</si>
  <si>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</si>
  <si>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</si>
  <si>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</si>
  <si>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</si>
  <si>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</si>
  <si>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</si>
  <si>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</si>
  <si>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</si>
  <si>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</si>
  <si>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</si>
  <si>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</si>
  <si>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</si>
  <si>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</si>
  <si>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</si>
  <si>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</si>
  <si>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</si>
  <si>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</si>
  <si>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</si>
  <si>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</si>
  <si>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</si>
  <si>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</si>
  <si>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</si>
  <si>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</si>
  <si>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</si>
  <si>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</si>
  <si>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</si>
  <si>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</si>
  <si>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</si>
  <si>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</si>
  <si>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</si>
  <si>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</si>
  <si>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</si>
  <si>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</si>
  <si>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</si>
  <si>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</si>
  <si>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</si>
  <si>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</si>
  <si>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</si>
  <si>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</si>
  <si>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</si>
  <si>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</si>
  <si>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</si>
  <si>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</si>
  <si>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</si>
  <si>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</si>
  <si>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</si>
  <si>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</si>
  <si>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</si>
  <si>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</si>
  <si>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</si>
  <si>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</si>
  <si>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</si>
  <si>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</si>
  <si>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</si>
  <si>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</si>
  <si>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</si>
  <si>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</si>
  <si>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</si>
  <si>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</si>
  <si>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</si>
  <si>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</si>
  <si>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</si>
  <si>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</si>
  <si>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</si>
  <si>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</si>
  <si>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</si>
  <si>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</si>
  <si>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</si>
  <si>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</si>
  <si>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</si>
  <si>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</si>
  <si>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</si>
  <si>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</si>
  <si>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</si>
  <si>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</si>
  <si>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</si>
  <si>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</si>
  <si>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</si>
  <si>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</si>
  <si>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</si>
  <si>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</si>
  <si>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</si>
  <si>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</si>
  <si>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</si>
  <si>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</si>
  <si>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</si>
  <si>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</si>
  <si>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</si>
  <si>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</si>
  <si>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</si>
  <si>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</si>
  <si>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</si>
  <si>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</si>
  <si>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</si>
  <si>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</si>
  <si>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</si>
  <si>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</si>
  <si>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</si>
  <si>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</si>
  <si>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</si>
  <si>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</si>
  <si>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</si>
  <si>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</si>
  <si>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</si>
  <si>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</si>
  <si>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</si>
  <si>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</si>
  <si>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</si>
  <si>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</si>
  <si>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</si>
  <si>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</si>
  <si>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</si>
  <si>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</si>
  <si>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</si>
  <si>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</si>
  <si>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</si>
  <si>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</si>
  <si>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</si>
  <si>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</si>
  <si>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</si>
  <si>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</si>
  <si>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</si>
  <si>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</si>
  <si>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</si>
  <si>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</si>
  <si>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</si>
  <si>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</si>
  <si>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</si>
  <si>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</si>
  <si>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</si>
  <si>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</si>
  <si>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</si>
  <si>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</si>
  <si>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</si>
  <si>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</si>
  <si>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</si>
  <si>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</si>
  <si>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</si>
  <si>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</si>
  <si>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</si>
  <si>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</si>
  <si>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</si>
  <si>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</si>
  <si>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</si>
  <si>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</si>
  <si>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</si>
  <si>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</si>
  <si>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</si>
  <si>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</si>
  <si>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</si>
  <si>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</si>
  <si>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</si>
  <si>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</si>
  <si>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</si>
  <si>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</si>
  <si>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</si>
  <si>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</si>
  <si>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</si>
  <si>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</si>
  <si>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</si>
  <si>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</si>
  <si>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</si>
  <si>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</si>
  <si>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</si>
  <si>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</si>
  <si>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</si>
  <si>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</si>
  <si>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</si>
  <si>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</si>
  <si>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</si>
  <si>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</si>
  <si>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</si>
  <si>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</si>
  <si>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</si>
  <si>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</si>
  <si>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</si>
  <si>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</si>
  <si>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</si>
  <si>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</si>
  <si>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</si>
  <si>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</si>
  <si>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</si>
  <si>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</si>
  <si>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</si>
  <si>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</si>
  <si>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</si>
  <si>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</si>
  <si>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</si>
  <si>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</si>
  <si>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</si>
  <si>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</si>
  <si>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</si>
  <si>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</si>
  <si>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</si>
  <si>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</si>
  <si>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</si>
  <si>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</si>
  <si>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</si>
  <si>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</si>
  <si>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</si>
  <si>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</si>
  <si>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</si>
  <si>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</si>
  <si>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</si>
  <si>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</si>
  <si>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</si>
  <si>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</si>
  <si>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</si>
  <si>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</si>
  <si>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</si>
  <si>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</si>
  <si>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</si>
  <si>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</si>
  <si>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</si>
  <si>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</si>
  <si>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</si>
  <si>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</si>
  <si>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</si>
  <si>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</si>
  <si>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</si>
  <si>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</si>
  <si>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</si>
  <si>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</si>
  <si>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</si>
  <si>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</si>
  <si>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</si>
  <si>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</si>
  <si>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</si>
  <si>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</si>
  <si>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</si>
  <si>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</si>
  <si>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</si>
  <si>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</si>
  <si>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</si>
  <si>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</si>
  <si>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</si>
  <si>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</si>
  <si>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</si>
  <si>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</si>
  <si>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</si>
  <si>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</si>
  <si>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</si>
  <si>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</si>
  <si>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</si>
  <si>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</si>
  <si>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</si>
  <si>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</si>
  <si>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</si>
  <si>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</si>
  <si>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</si>
  <si>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</si>
  <si>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</si>
  <si>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</si>
  <si>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</si>
  <si>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</si>
  <si>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</si>
  <si>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</si>
  <si>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</si>
  <si>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</si>
  <si>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</si>
  <si>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</si>
  <si>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</si>
  <si>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</si>
  <si>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</si>
  <si>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</si>
  <si>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</si>
  <si>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</si>
  <si>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</si>
  <si>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</si>
  <si>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</si>
  <si>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</si>
  <si>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</si>
  <si>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</si>
  <si>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</si>
  <si>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</si>
  <si>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</si>
  <si>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</si>
  <si>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</si>
  <si>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</si>
  <si>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</si>
  <si>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</si>
  <si>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</si>
  <si>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</si>
  <si>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</si>
  <si>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</si>
  <si>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</si>
  <si>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</si>
  <si>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</si>
  <si>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</si>
  <si>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</si>
  <si>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</si>
  <si>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</si>
  <si>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</si>
  <si>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</si>
  <si>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</si>
  <si>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</si>
  <si>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</si>
  <si>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</si>
  <si>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</si>
  <si>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</si>
  <si>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</si>
  <si>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</si>
  <si>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</si>
  <si>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</si>
  <si>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</si>
  <si>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</si>
  <si>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</si>
  <si>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</si>
  <si>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</si>
  <si>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</si>
  <si>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</si>
  <si>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</si>
  <si>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</si>
  <si>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</si>
  <si>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</si>
  <si>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</si>
  <si>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</si>
  <si>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</si>
  <si>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</si>
  <si>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</si>
  <si>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</si>
  <si>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</si>
  <si>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</si>
  <si>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</si>
  <si>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</si>
  <si>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</si>
  <si>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</si>
  <si>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</si>
  <si>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</si>
  <si>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</si>
  <si>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</si>
  <si>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</si>
  <si>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</si>
  <si>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</si>
  <si>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</si>
  <si>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</si>
  <si>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</si>
  <si>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</si>
  <si>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</si>
  <si>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</si>
  <si>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</si>
  <si>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</si>
  <si>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</si>
  <si>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</si>
  <si>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</si>
  <si>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</si>
  <si>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</si>
  <si>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</si>
  <si>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</si>
  <si>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</si>
  <si>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</si>
  <si>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</si>
  <si>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</si>
  <si>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</si>
  <si>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</si>
  <si>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</si>
  <si>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</si>
  <si>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</si>
  <si>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</si>
  <si>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</si>
  <si>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</si>
  <si>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</si>
  <si>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</si>
  <si>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</si>
  <si>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</si>
  <si>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</si>
  <si>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</si>
  <si>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</si>
  <si>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</si>
  <si>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</si>
  <si>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</si>
  <si>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</si>
  <si>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</si>
  <si>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</si>
  <si>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</si>
  <si>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</si>
  <si>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</si>
  <si>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</si>
  <si>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</si>
  <si>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</si>
  <si>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</si>
  <si>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</si>
  <si>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</si>
  <si>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</si>
  <si>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</si>
  <si>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</si>
  <si>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</si>
  <si>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</si>
  <si>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</si>
  <si>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</si>
  <si>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</si>
  <si>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</si>
  <si>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</si>
  <si>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</si>
  <si>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</si>
  <si>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</si>
  <si>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</si>
  <si>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</si>
  <si>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</si>
  <si>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</si>
  <si>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</si>
  <si>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</si>
  <si>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</si>
  <si>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</si>
  <si>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</si>
  <si>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</si>
  <si>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</si>
  <si>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</si>
  <si>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</si>
  <si>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</si>
  <si>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</si>
  <si>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</si>
  <si>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</si>
  <si>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</si>
  <si>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</si>
  <si>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</si>
  <si>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</si>
  <si>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</si>
  <si>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</si>
  <si>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</si>
  <si>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</si>
  <si>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</si>
  <si>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</si>
  <si>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</si>
  <si>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</si>
  <si>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</si>
  <si>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</si>
  <si>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</si>
  <si>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</si>
  <si>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</si>
  <si>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</si>
  <si>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</si>
  <si>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</si>
  <si>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</si>
  <si>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</si>
  <si>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</si>
  <si>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</si>
  <si>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</si>
  <si>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</si>
  <si>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</si>
  <si>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</si>
  <si>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</si>
  <si>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</si>
  <si>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</si>
  <si>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</si>
  <si>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</si>
  <si>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</si>
  <si>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</si>
  <si>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</si>
  <si>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</si>
  <si>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</si>
  <si>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</si>
  <si>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</si>
  <si>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</si>
  <si>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</si>
  <si>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</si>
  <si>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</si>
  <si>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</si>
  <si>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</si>
  <si>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</si>
  <si>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</si>
  <si>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</si>
  <si>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</si>
  <si>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</si>
  <si>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</si>
  <si>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</si>
  <si>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</si>
  <si>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</si>
  <si>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</si>
  <si>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</si>
  <si>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</si>
  <si>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</si>
  <si>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</si>
  <si>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</si>
  <si>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</si>
  <si>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</si>
  <si>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</si>
  <si>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</si>
  <si>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</si>
  <si>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</si>
  <si>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</si>
  <si>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</si>
  <si>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</si>
  <si>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</si>
  <si>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</si>
  <si>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</si>
  <si>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</si>
  <si>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</si>
  <si>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</si>
  <si>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</si>
  <si>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</si>
  <si>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</si>
  <si>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</si>
  <si>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</si>
  <si>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</si>
  <si>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</si>
  <si>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</si>
  <si>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</si>
  <si>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</si>
  <si>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</si>
  <si>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</si>
  <si>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</si>
  <si>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</si>
  <si>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</si>
  <si>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</si>
  <si>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</si>
  <si>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</si>
  <si>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</si>
  <si>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</si>
  <si>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</si>
  <si>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</si>
  <si>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</si>
  <si>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</si>
  <si>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</si>
  <si>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</si>
  <si>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</si>
  <si>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</si>
  <si>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</si>
  <si>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</si>
  <si>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</si>
  <si>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</si>
  <si>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</si>
  <si>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</si>
  <si>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</si>
  <si>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</si>
  <si>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</si>
  <si>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</si>
  <si>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</si>
  <si>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</si>
  <si>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</si>
  <si>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</si>
  <si>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</si>
  <si>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</si>
  <si>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</si>
  <si>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</si>
  <si>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</si>
  <si>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</si>
  <si>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</si>
  <si>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</si>
  <si>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</si>
  <si>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</si>
  <si>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</si>
  <si>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</si>
  <si>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</si>
  <si>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</si>
  <si>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</si>
  <si>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</si>
  <si>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</si>
  <si>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</si>
  <si>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</si>
  <si>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</si>
  <si>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</si>
  <si>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</si>
  <si>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</si>
  <si>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</si>
  <si>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</si>
  <si>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</si>
  <si>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</si>
  <si>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</si>
  <si>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</si>
  <si>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</si>
  <si>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</si>
  <si>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</si>
  <si>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</si>
  <si>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</si>
  <si>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</si>
  <si>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</si>
  <si>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</si>
  <si>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</si>
  <si>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</si>
  <si>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</si>
  <si>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</si>
  <si>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</si>
  <si>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</si>
  <si>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</si>
  <si>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</si>
  <si>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</si>
  <si>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</si>
  <si>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</si>
  <si>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</si>
  <si>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</si>
  <si>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</si>
  <si>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</si>
  <si>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</si>
  <si>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</si>
  <si>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</si>
  <si>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</si>
  <si>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</si>
  <si>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</si>
  <si>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</si>
  <si>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</si>
  <si>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</si>
  <si>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</si>
  <si>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</si>
  <si>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</si>
  <si>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</si>
  <si>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</si>
  <si>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</si>
  <si>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</si>
  <si>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</si>
  <si>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</si>
  <si>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</si>
  <si>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</si>
  <si>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</si>
  <si>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</si>
  <si>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</si>
  <si>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</si>
  <si>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</si>
  <si>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</si>
  <si>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</si>
  <si>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</si>
  <si>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</si>
  <si>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</si>
  <si>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</si>
  <si>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</si>
  <si>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</si>
  <si>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</si>
  <si>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</si>
  <si>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</si>
  <si>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</si>
  <si>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</si>
  <si>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</si>
  <si>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</si>
  <si>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</si>
  <si>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</si>
  <si>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</si>
  <si>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</si>
  <si>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</si>
  <si>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</si>
  <si>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</si>
  <si>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</si>
  <si>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</si>
  <si>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</si>
  <si>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</si>
  <si>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</si>
  <si>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</si>
  <si>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</si>
  <si>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</si>
  <si>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</si>
  <si>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</si>
  <si>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</si>
  <si>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</si>
  <si>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</si>
  <si>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</si>
  <si>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</si>
  <si>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</si>
  <si>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</si>
  <si>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</si>
  <si>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</si>
  <si>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</si>
  <si>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</si>
  <si>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</si>
  <si>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</si>
  <si>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</si>
  <si>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</si>
  <si>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</si>
  <si>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</si>
  <si>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</si>
  <si>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</si>
  <si>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</si>
  <si>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</si>
  <si>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</si>
  <si>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</si>
  <si>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</si>
  <si>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</si>
  <si>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</si>
  <si>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</si>
  <si>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</si>
  <si>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</si>
  <si>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</si>
  <si>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</si>
  <si>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</si>
  <si>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</si>
  <si>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</si>
  <si>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</si>
  <si>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</si>
  <si>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</si>
  <si>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</si>
  <si>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</si>
  <si>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</si>
  <si>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</si>
  <si>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</si>
  <si>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</si>
  <si>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</si>
  <si>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</si>
  <si>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</si>
  <si>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</si>
  <si>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</si>
  <si>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</si>
  <si>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</si>
  <si>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</si>
  <si>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</si>
  <si>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</si>
  <si>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</si>
  <si>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</si>
  <si>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</si>
  <si>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</si>
  <si>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</si>
  <si>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</si>
  <si>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</si>
  <si>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</si>
  <si>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</si>
  <si>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</si>
  <si>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</si>
  <si>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</si>
  <si>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</si>
  <si>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</si>
  <si>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</si>
  <si>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</si>
  <si>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</si>
  <si>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</si>
  <si>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</si>
  <si>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</si>
  <si>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</si>
  <si>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</si>
  <si>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</si>
  <si>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</si>
  <si>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</si>
  <si>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</si>
  <si>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</si>
  <si>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</si>
  <si>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</si>
  <si>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</si>
  <si>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</si>
  <si>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</si>
  <si>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</si>
  <si>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</si>
  <si>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</si>
  <si>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</si>
  <si>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</si>
  <si>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</si>
  <si>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</si>
  <si>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</si>
  <si>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</si>
  <si>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</si>
  <si>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</si>
  <si>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</si>
  <si>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</si>
  <si>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</si>
  <si>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</si>
  <si>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</si>
  <si>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</si>
  <si>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</si>
  <si>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</si>
  <si>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</si>
  <si>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</si>
  <si>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</si>
  <si>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</si>
  <si>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</si>
  <si>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</si>
  <si>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</si>
  <si>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</si>
  <si>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</si>
  <si>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</si>
  <si>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</si>
  <si>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</si>
  <si>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</si>
  <si>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</si>
  <si>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</si>
  <si>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</si>
  <si>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</si>
  <si>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</si>
  <si>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</si>
  <si>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</si>
  <si>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</si>
  <si>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</si>
  <si>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</si>
  <si>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</si>
  <si>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</si>
  <si>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</si>
  <si>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</si>
  <si>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</si>
  <si>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</si>
  <si>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</si>
  <si>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</si>
  <si>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</si>
  <si>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</si>
  <si>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</si>
  <si>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</si>
  <si>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</si>
  <si>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</si>
  <si>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</si>
  <si>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</si>
  <si>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</si>
  <si>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</si>
  <si>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</si>
  <si>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</si>
  <si>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</si>
  <si>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</si>
  <si>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</si>
  <si>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</si>
  <si>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</si>
  <si>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</si>
  <si>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</si>
  <si>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</si>
  <si>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</si>
  <si>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</si>
  <si>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</si>
  <si>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</si>
  <si>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</si>
  <si>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</si>
  <si>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</si>
  <si>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</si>
  <si>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</si>
  <si>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</si>
  <si>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</si>
  <si>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</si>
  <si>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</si>
  <si>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</si>
  <si>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</si>
  <si>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</si>
  <si>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</si>
  <si>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</si>
  <si>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</si>
  <si>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</si>
  <si>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</si>
  <si>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</si>
  <si>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</si>
  <si>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</si>
  <si>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</si>
  <si>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</si>
  <si>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</si>
  <si>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</si>
  <si>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</si>
  <si>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</si>
  <si>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</si>
  <si>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</si>
  <si>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</si>
  <si>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</si>
  <si>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</si>
  <si>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</si>
  <si>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</si>
  <si>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</si>
  <si>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</si>
  <si>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</si>
  <si>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</si>
  <si>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</si>
  <si>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</si>
  <si>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</si>
  <si>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</si>
  <si>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</si>
  <si>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</si>
  <si>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</si>
  <si>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</si>
  <si>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</si>
  <si>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</si>
  <si>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</si>
  <si>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</si>
  <si>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</si>
  <si>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</si>
  <si>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</si>
  <si>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</si>
  <si>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</si>
  <si>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</si>
  <si>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</si>
  <si>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</si>
  <si>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</si>
  <si>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</si>
  <si>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</si>
  <si>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</si>
  <si>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</si>
  <si>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</si>
  <si>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</si>
  <si>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</si>
  <si>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</si>
  <si>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</si>
  <si>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</si>
  <si>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</si>
  <si>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</si>
  <si>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</si>
  <si>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</si>
  <si>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</si>
  <si>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</si>
  <si>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</si>
  <si>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</si>
  <si>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</si>
  <si>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</si>
  <si>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</si>
  <si>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</si>
  <si>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</si>
  <si>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</si>
  <si>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</si>
  <si>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</si>
  <si>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</si>
  <si>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</si>
  <si>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</si>
  <si>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</si>
  <si>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</si>
  <si>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</si>
  <si>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</si>
  <si>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</si>
  <si>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</si>
  <si>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</si>
  <si>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</si>
  <si>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</si>
  <si>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</si>
  <si>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</si>
  <si>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</si>
  <si>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</si>
  <si>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</si>
  <si>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</si>
  <si>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</si>
  <si>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</si>
  <si>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</si>
  <si>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</si>
  <si>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</si>
  <si>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</si>
  <si>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</si>
  <si>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</si>
  <si>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</si>
  <si>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</si>
  <si>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</si>
  <si>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</si>
  <si>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</si>
  <si>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</si>
  <si>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</si>
  <si>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</si>
  <si>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</si>
  <si>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</si>
  <si>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</si>
  <si>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</si>
  <si>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</si>
  <si>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</si>
  <si>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</si>
  <si>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</si>
  <si>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</si>
  <si>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</si>
  <si>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</si>
  <si>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</si>
  <si>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</si>
  <si>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</si>
  <si>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</si>
  <si>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</si>
  <si>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</si>
  <si>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</si>
  <si>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</si>
  <si>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</si>
  <si>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</si>
  <si>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</si>
  <si>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</si>
  <si>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</si>
  <si>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</si>
  <si>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</si>
  <si>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</si>
  <si>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</si>
  <si>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</si>
  <si>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</si>
  <si>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</si>
  <si>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</si>
  <si>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</si>
  <si>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</si>
  <si>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</si>
  <si>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</si>
  <si>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</si>
  <si>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</si>
  <si>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</si>
  <si>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</si>
  <si>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</si>
  <si>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</si>
  <si>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</si>
  <si>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</si>
  <si>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</si>
  <si>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</si>
  <si>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</si>
  <si>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</si>
  <si>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</si>
  <si>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</si>
  <si>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</si>
  <si>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</si>
  <si>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</si>
  <si>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</si>
  <si>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</si>
  <si>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</si>
  <si>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</si>
  <si>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</si>
  <si>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</si>
  <si>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</si>
  <si>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</si>
  <si>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</si>
  <si>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</si>
  <si>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</si>
  <si>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</si>
  <si>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</si>
  <si>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</si>
  <si>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</si>
  <si>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</si>
  <si>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</si>
  <si>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</si>
  <si>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</si>
  <si>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</si>
  <si>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</si>
  <si>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</si>
  <si>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</si>
  <si>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</si>
  <si>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</si>
  <si>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</si>
  <si>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</si>
  <si>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</si>
  <si>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</si>
  <si>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</si>
  <si>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</si>
  <si>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</si>
  <si>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</si>
  <si>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</si>
  <si>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</si>
  <si>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</si>
  <si>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</si>
  <si>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</si>
  <si>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</si>
  <si>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</si>
  <si>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</si>
  <si>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</si>
  <si>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</si>
  <si>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</si>
  <si>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</si>
  <si>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</si>
  <si>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</si>
  <si>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</si>
  <si>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</si>
  <si>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</si>
  <si>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</si>
  <si>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</si>
  <si>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</si>
  <si>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</si>
  <si>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</si>
  <si>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</si>
  <si>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</si>
  <si>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</si>
  <si>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</si>
  <si>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</si>
  <si>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</si>
  <si>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</si>
  <si>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</si>
  <si>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</si>
  <si>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</si>
  <si>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</si>
  <si>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</si>
  <si>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</si>
  <si>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</si>
  <si>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</si>
  <si>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</si>
  <si>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</si>
  <si>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</si>
  <si>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</si>
  <si>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</si>
  <si>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</si>
  <si>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</si>
  <si>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</si>
  <si>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</si>
  <si>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</si>
  <si>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</si>
  <si>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</si>
  <si>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</si>
  <si>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</si>
  <si>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</si>
  <si>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</si>
  <si>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</si>
  <si>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</si>
  <si>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</si>
  <si>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</si>
  <si>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</si>
  <si>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</si>
  <si>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</si>
  <si>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</si>
  <si>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</si>
  <si>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</si>
  <si>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</si>
  <si>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</si>
  <si>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</si>
  <si>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</si>
  <si>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</si>
  <si>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</si>
  <si>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</si>
  <si>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</si>
  <si>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</si>
  <si>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</si>
  <si>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</si>
  <si>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</si>
  <si>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</si>
  <si>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</si>
  <si>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</si>
  <si>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</si>
  <si>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</si>
  <si>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</si>
  <si>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</si>
  <si>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</si>
  <si>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</si>
  <si>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</si>
  <si>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</si>
  <si>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</si>
  <si>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</si>
  <si>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</si>
  <si>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</si>
  <si>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</si>
  <si>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</si>
  <si>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</si>
  <si>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</si>
  <si>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</si>
  <si>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</si>
  <si>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</si>
  <si>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</si>
  <si>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</si>
  <si>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</si>
  <si>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</si>
  <si>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</si>
  <si>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</si>
  <si>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</si>
  <si>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</si>
  <si>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</si>
  <si>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</si>
  <si>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</si>
  <si>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</si>
  <si>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</si>
  <si>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</si>
  <si>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</si>
  <si>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</si>
  <si>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</si>
  <si>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</si>
  <si>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</si>
  <si>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</si>
  <si>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</si>
  <si>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</si>
  <si>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</si>
  <si>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</si>
  <si>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</si>
  <si>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</si>
  <si>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</si>
  <si>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</si>
  <si>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</si>
  <si>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</si>
  <si>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</si>
  <si>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</si>
  <si>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</si>
  <si>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</si>
  <si>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</si>
  <si>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</si>
  <si>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</si>
  <si>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</si>
  <si>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</si>
  <si>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</si>
  <si>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</si>
  <si>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</si>
  <si>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</si>
  <si>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</si>
  <si>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</si>
  <si>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</si>
  <si>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</si>
  <si>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</si>
  <si>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</si>
  <si>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</si>
  <si>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</si>
  <si>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</si>
  <si>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</si>
  <si>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</si>
  <si>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</si>
  <si>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</si>
  <si>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</si>
  <si>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</si>
  <si>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</si>
  <si>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</si>
  <si>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</si>
  <si>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</si>
  <si>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</si>
  <si>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</si>
  <si>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</si>
  <si>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</si>
  <si>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</si>
  <si>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</si>
  <si>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</si>
  <si>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</si>
  <si>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</si>
  <si>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</si>
  <si>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</si>
  <si>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</si>
  <si>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</si>
  <si>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</si>
  <si>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</si>
  <si>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</si>
  <si>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</si>
  <si>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</si>
  <si>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</si>
  <si>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</si>
  <si>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</si>
  <si>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</si>
  <si>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</si>
  <si>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</si>
  <si>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</si>
  <si>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</si>
  <si>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</si>
  <si>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</si>
  <si>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</si>
  <si>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</si>
  <si>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</si>
  <si>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</si>
  <si>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</si>
  <si>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</si>
  <si>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</si>
  <si>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</si>
  <si>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</si>
  <si>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</si>
  <si>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</si>
  <si>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</si>
  <si>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</si>
  <si>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</si>
  <si>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</si>
  <si>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</si>
  <si>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</si>
  <si>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</si>
  <si>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</si>
  <si>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</si>
  <si>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</si>
  <si>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</si>
  <si>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</si>
  <si>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</si>
  <si>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</si>
  <si>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</si>
  <si>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</si>
  <si>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</si>
  <si>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</si>
  <si>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</si>
  <si>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</si>
  <si>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</si>
  <si>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</si>
  <si>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</si>
  <si>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</si>
  <si>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</si>
  <si>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</si>
  <si>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</si>
  <si>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</si>
  <si>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</si>
  <si>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</si>
  <si>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</si>
  <si>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</si>
  <si>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</si>
  <si>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</si>
  <si>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</si>
  <si>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</si>
  <si>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</si>
  <si>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</si>
  <si>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</si>
  <si>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</si>
  <si>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</si>
  <si>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</si>
  <si>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</si>
  <si>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</si>
  <si>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</si>
  <si>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</si>
  <si>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</si>
  <si>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</si>
  <si>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</si>
  <si>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</si>
  <si>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</si>
  <si>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</si>
  <si>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</si>
  <si>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</si>
  <si>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</si>
  <si>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</si>
  <si>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</si>
  <si>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</si>
  <si>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</si>
  <si>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</si>
  <si>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</si>
  <si>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</si>
  <si>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</si>
  <si>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</si>
  <si>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</si>
  <si>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</si>
  <si>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</si>
  <si>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</si>
  <si>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</si>
  <si>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</si>
  <si>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</si>
  <si>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</si>
  <si>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</si>
  <si>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</si>
  <si>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</si>
  <si>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</si>
  <si>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</si>
  <si>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</si>
  <si>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</si>
  <si>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</si>
  <si>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</si>
  <si>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</si>
  <si>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</si>
  <si>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</si>
  <si>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</si>
  <si>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</si>
  <si>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</si>
  <si>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</si>
  <si>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</si>
  <si>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</si>
  <si>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</si>
  <si>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</si>
  <si>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</si>
  <si>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</si>
  <si>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</si>
  <si>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</si>
  <si>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</si>
  <si>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</si>
  <si>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</si>
  <si>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</si>
  <si>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</si>
  <si>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</si>
  <si>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</si>
  <si>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</si>
  <si>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</si>
  <si>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</si>
  <si>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</si>
  <si>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</si>
  <si>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</si>
  <si>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</si>
  <si>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</si>
  <si>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</si>
  <si>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</si>
  <si>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</si>
  <si>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</si>
  <si>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</si>
  <si>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</si>
  <si>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</si>
  <si>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</si>
  <si>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</si>
  <si>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</si>
  <si>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</si>
  <si>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</si>
  <si>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</si>
  <si>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</si>
  <si>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</si>
  <si>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</si>
  <si>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</si>
  <si>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</si>
  <si>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</si>
  <si>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</si>
  <si>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</si>
  <si>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</si>
  <si>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</si>
  <si>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</si>
  <si>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</si>
  <si>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</si>
  <si>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</si>
  <si>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</si>
  <si>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</si>
  <si>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</si>
  <si>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</si>
  <si>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</si>
  <si>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</si>
  <si>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</si>
  <si>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</si>
  <si>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</si>
  <si>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</si>
  <si>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</si>
  <si>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</si>
  <si>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</si>
  <si>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</si>
  <si>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</si>
  <si>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</si>
  <si>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</si>
  <si>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</si>
  <si>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</si>
  <si>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</si>
  <si>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</si>
  <si>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</si>
  <si>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</si>
  <si>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</si>
  <si>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</si>
  <si>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</si>
  <si>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</si>
  <si>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</si>
  <si>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</si>
  <si>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</si>
  <si>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</si>
  <si>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</si>
  <si>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</si>
  <si>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</si>
  <si>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</si>
  <si>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</si>
  <si>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</si>
  <si>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</si>
  <si>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</si>
  <si>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</si>
  <si>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</si>
  <si>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</si>
  <si>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</si>
  <si>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</si>
  <si>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</si>
  <si>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</si>
  <si>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</si>
  <si>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</si>
  <si>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</si>
  <si>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</si>
  <si>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</si>
  <si>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</si>
  <si>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</si>
  <si>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</si>
  <si>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</si>
  <si>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</si>
  <si>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</si>
  <si>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</si>
  <si>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</si>
  <si>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</si>
  <si>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</si>
  <si>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</si>
  <si>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</si>
  <si>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</si>
  <si>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</si>
  <si>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</si>
  <si>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</si>
  <si>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</si>
  <si>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</si>
  <si>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</si>
  <si>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</si>
  <si>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</si>
  <si>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</si>
  <si>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</si>
  <si>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</si>
  <si>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</si>
  <si>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</si>
  <si>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</si>
  <si>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</si>
  <si>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</si>
  <si>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</si>
  <si>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</si>
  <si>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</si>
  <si>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</si>
  <si>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</si>
  <si>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</si>
  <si>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</si>
  <si>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</si>
  <si>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</si>
  <si>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</si>
  <si>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</si>
  <si>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</si>
  <si>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</si>
  <si>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</si>
  <si>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</si>
  <si>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</si>
  <si>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</si>
  <si>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</si>
  <si>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</si>
  <si>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</si>
  <si>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</si>
  <si>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</si>
  <si>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</si>
  <si>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</si>
  <si>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</si>
  <si>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</si>
  <si>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</si>
  <si>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</si>
  <si>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</si>
  <si>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</si>
  <si>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</si>
  <si>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</si>
  <si>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</si>
  <si>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</si>
  <si>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</si>
  <si>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</si>
  <si>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</si>
  <si>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</si>
  <si>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</si>
  <si>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</si>
  <si>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</si>
  <si>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</si>
  <si>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</si>
  <si>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</si>
  <si>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</si>
  <si>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</si>
  <si>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</si>
  <si>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</si>
  <si>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</si>
  <si>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</si>
  <si>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</si>
  <si>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</si>
  <si>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</si>
  <si>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</si>
  <si>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</si>
  <si>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</si>
  <si>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</si>
  <si>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</si>
  <si>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</si>
  <si>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</si>
  <si>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</si>
  <si>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</si>
  <si>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</si>
  <si>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</si>
  <si>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</si>
  <si>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</si>
  <si>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</si>
  <si>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</si>
  <si>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</si>
  <si>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</si>
  <si>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</si>
  <si>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</si>
  <si>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</si>
  <si>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</si>
  <si>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</si>
  <si>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</si>
  <si>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</si>
  <si>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</si>
  <si>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</si>
  <si>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</si>
  <si>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</si>
  <si>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</si>
  <si>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</si>
  <si>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</si>
  <si>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</si>
  <si>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</si>
  <si>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</si>
  <si>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</si>
  <si>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</si>
  <si>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</si>
  <si>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</si>
  <si>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</si>
  <si>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</si>
  <si>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</si>
  <si>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</si>
  <si>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</si>
  <si>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</si>
  <si>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</si>
  <si>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</si>
  <si>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</si>
  <si>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</si>
  <si>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</si>
  <si>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</si>
  <si>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</si>
  <si>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</si>
  <si>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</si>
  <si>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</si>
  <si>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</si>
  <si>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</si>
  <si>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</si>
  <si>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</si>
  <si>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</si>
  <si>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</si>
  <si>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</si>
  <si>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</si>
  <si>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</si>
  <si>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</si>
  <si>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</si>
  <si>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</si>
  <si>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</si>
  <si>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</si>
  <si>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</si>
  <si>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</si>
  <si>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</si>
  <si>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</si>
  <si>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</si>
  <si>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</si>
  <si>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</si>
  <si>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</si>
  <si>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</si>
  <si>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</si>
  <si>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</si>
  <si>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</si>
  <si>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</si>
  <si>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</si>
  <si>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</si>
  <si>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</si>
  <si>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</si>
  <si>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</si>
  <si>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</si>
  <si>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</si>
  <si>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</si>
  <si>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</si>
  <si>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</si>
  <si>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</si>
  <si>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</si>
  <si>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</si>
  <si>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</si>
  <si>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</si>
  <si>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</si>
  <si>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</si>
  <si>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</si>
  <si>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</si>
  <si>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</si>
  <si>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</si>
  <si>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</si>
  <si>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</si>
  <si>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</si>
  <si>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</si>
  <si>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</si>
  <si>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</si>
  <si>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</si>
  <si>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</si>
  <si>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</si>
  <si>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</si>
  <si>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</si>
  <si>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</si>
  <si>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</si>
  <si>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</si>
  <si>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</si>
  <si>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</si>
  <si>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</si>
  <si>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</si>
  <si>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</si>
  <si>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</si>
  <si>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</si>
  <si>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</si>
  <si>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</si>
  <si>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</si>
  <si>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</si>
  <si>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</si>
  <si>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</si>
  <si>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</si>
  <si>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</si>
  <si>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</si>
  <si>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</si>
  <si>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</si>
  <si>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</si>
  <si>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</si>
  <si>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</si>
  <si>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</si>
  <si>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</si>
  <si>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</si>
  <si>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</si>
  <si>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</si>
  <si>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</si>
  <si>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</si>
  <si>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</si>
  <si>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</si>
  <si>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</si>
  <si>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</si>
  <si>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</si>
  <si>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</si>
  <si>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</si>
  <si>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</si>
  <si>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</si>
  <si>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</si>
  <si>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</si>
  <si>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</si>
  <si>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</si>
  <si>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</si>
  <si>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</si>
  <si>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</si>
  <si>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</si>
  <si>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</si>
  <si>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</si>
  <si>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</si>
  <si>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</si>
  <si>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</si>
  <si>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</si>
  <si>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</si>
  <si>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</si>
  <si>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</si>
  <si>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</si>
  <si>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</si>
  <si>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</si>
  <si>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</si>
  <si>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</si>
  <si>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</si>
  <si>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</si>
  <si>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</si>
  <si>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</si>
  <si>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</si>
  <si>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</si>
  <si>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</si>
  <si>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</si>
  <si>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</si>
  <si>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</si>
  <si>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</si>
  <si>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</si>
  <si>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</si>
  <si>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</si>
  <si>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</si>
  <si>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</si>
  <si>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</si>
  <si>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</si>
  <si>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</si>
  <si>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</si>
  <si>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</si>
  <si>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</si>
  <si>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</si>
  <si>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</si>
  <si>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</si>
  <si>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</si>
  <si>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</si>
  <si>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</si>
  <si>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</si>
  <si>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</si>
  <si>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</si>
  <si>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</si>
  <si>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</si>
  <si>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</si>
  <si>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</si>
  <si>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</si>
  <si>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</si>
  <si>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</si>
  <si>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</si>
  <si>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</si>
  <si>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</si>
  <si>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</si>
  <si>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</si>
  <si>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</si>
  <si>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</si>
  <si>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</si>
  <si>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</si>
  <si>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</si>
  <si>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</si>
  <si>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</si>
  <si>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</si>
  <si>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</si>
  <si>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</si>
  <si>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</si>
  <si>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</si>
  <si>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</si>
  <si>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</si>
  <si>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</si>
  <si>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</si>
  <si>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</si>
  <si>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</si>
  <si>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</si>
  <si>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</si>
  <si>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</si>
  <si>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</si>
  <si>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</si>
  <si>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</si>
  <si>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</si>
  <si>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</si>
  <si>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</si>
  <si>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</si>
  <si>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</si>
  <si>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</si>
  <si>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</si>
  <si>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</si>
  <si>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</si>
  <si>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</si>
  <si>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</si>
  <si>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</si>
  <si>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</si>
  <si>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</si>
  <si>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</si>
  <si>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</si>
  <si>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</si>
  <si>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</si>
  <si>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</si>
  <si>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</si>
  <si>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</si>
  <si>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</si>
  <si>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</si>
  <si>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</si>
  <si>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</si>
  <si>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</si>
  <si>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</si>
  <si>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</si>
  <si>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</si>
  <si>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</si>
  <si>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</si>
  <si>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</si>
  <si>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</si>
  <si>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</si>
  <si>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</si>
  <si>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</si>
  <si>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</si>
  <si>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</si>
  <si>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</si>
  <si>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</si>
  <si>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</si>
  <si>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</si>
  <si>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</si>
  <si>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</si>
  <si>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</si>
  <si>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</si>
  <si>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</si>
  <si>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</si>
  <si>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</si>
  <si>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</si>
  <si>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</si>
  <si>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</si>
  <si>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</si>
  <si>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</si>
  <si>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</si>
  <si>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</si>
  <si>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</si>
  <si>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</si>
  <si>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</si>
  <si>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</si>
  <si>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</si>
  <si>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</si>
  <si>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</si>
  <si>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</si>
  <si>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</si>
  <si>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</si>
  <si>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</si>
  <si>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</si>
  <si>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</si>
  <si>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</si>
  <si>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</si>
  <si>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</si>
  <si>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</si>
  <si>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</si>
  <si>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</si>
  <si>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</si>
  <si>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</si>
  <si>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</si>
  <si>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</si>
  <si>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</si>
  <si>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</si>
  <si>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</si>
  <si>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</si>
  <si>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</si>
  <si>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</si>
  <si>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</si>
  <si>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</si>
  <si>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</si>
  <si>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</si>
  <si>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</si>
  <si>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</si>
  <si>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</si>
  <si>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</si>
  <si>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</si>
  <si>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</si>
  <si>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</si>
  <si>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</si>
  <si>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</si>
  <si>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</si>
  <si>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</si>
  <si>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</si>
  <si>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</si>
  <si>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</si>
  <si>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</si>
  <si>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</si>
  <si>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</si>
  <si>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</si>
  <si>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</si>
  <si>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</si>
  <si>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</si>
  <si>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</si>
  <si>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</si>
  <si>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</si>
  <si>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</si>
  <si>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</si>
  <si>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</si>
  <si>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</si>
  <si>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</si>
  <si>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</si>
  <si>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</si>
  <si>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</si>
  <si>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</si>
  <si>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</si>
  <si>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</si>
  <si>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</si>
  <si>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</si>
  <si>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</si>
  <si>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</si>
  <si>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</si>
  <si>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</si>
  <si>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</si>
  <si>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</si>
  <si>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</si>
  <si>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</si>
  <si>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</si>
  <si>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</si>
  <si>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</si>
  <si>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</si>
  <si>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</si>
  <si>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</si>
  <si>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</si>
  <si>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</si>
  <si>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</si>
  <si>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</si>
  <si>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</si>
  <si>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</si>
  <si>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</si>
  <si>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</si>
  <si>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</si>
  <si>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</si>
  <si>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</si>
  <si>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</si>
  <si>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</si>
  <si>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</si>
  <si>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</si>
  <si>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</si>
  <si>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</si>
  <si>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</si>
  <si>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</si>
  <si>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</si>
  <si>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</si>
  <si>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</si>
  <si>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</si>
  <si>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</si>
  <si>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</si>
  <si>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</si>
  <si>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</si>
  <si>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</si>
  <si>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</si>
  <si>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</si>
  <si>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</si>
  <si>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</si>
  <si>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</si>
  <si>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</si>
  <si>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</si>
  <si>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</si>
  <si>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</si>
  <si>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</si>
  <si>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</si>
  <si>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</si>
  <si>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</si>
  <si>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</si>
  <si>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</si>
  <si>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</si>
  <si>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</si>
  <si>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</si>
  <si>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</si>
  <si>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</si>
  <si>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</si>
  <si>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</si>
  <si>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</si>
  <si>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</si>
  <si>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</si>
  <si>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</si>
  <si>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</si>
  <si>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</si>
  <si>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</si>
  <si>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</si>
  <si>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</si>
  <si>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</si>
  <si>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</si>
  <si>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</si>
  <si>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</si>
  <si>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</si>
  <si>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</si>
  <si>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</si>
  <si>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</si>
  <si>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</si>
  <si>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</si>
  <si>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</si>
  <si>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</si>
  <si>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</si>
  <si>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</si>
  <si>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</si>
  <si>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</si>
  <si>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</si>
  <si>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</si>
  <si>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</si>
  <si>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</si>
  <si>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</si>
  <si>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</si>
  <si>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</si>
  <si>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</si>
  <si>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</si>
  <si>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</si>
  <si>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</si>
  <si>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</si>
  <si>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</si>
  <si>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</si>
  <si>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</si>
  <si>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</si>
  <si>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</si>
  <si>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</si>
  <si>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</si>
  <si>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</si>
  <si>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</si>
  <si>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</si>
  <si>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</si>
  <si>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</si>
  <si>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</si>
  <si>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</si>
  <si>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</si>
  <si>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</si>
  <si>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</si>
  <si>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</si>
  <si>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</si>
  <si>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</si>
  <si>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</si>
  <si>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</si>
  <si>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</si>
  <si>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</si>
  <si>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</si>
  <si>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</si>
  <si>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</si>
  <si>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</si>
  <si>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</si>
  <si>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</si>
  <si>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</si>
  <si>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</si>
  <si>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</si>
  <si>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</si>
  <si>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</si>
  <si>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</si>
  <si>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</si>
  <si>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</si>
  <si>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</si>
  <si>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</si>
  <si>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</si>
  <si>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</si>
  <si>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</si>
  <si>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</si>
  <si>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</si>
  <si>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</si>
  <si>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</si>
  <si>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</si>
  <si>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</si>
  <si>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</si>
  <si>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</si>
  <si>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</si>
  <si>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</si>
  <si>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</si>
  <si>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</si>
  <si>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</si>
  <si>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</si>
  <si>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</si>
  <si>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</si>
  <si>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</si>
  <si>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</si>
  <si>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</si>
  <si>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</si>
  <si>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</si>
  <si>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</si>
  <si>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</si>
  <si>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</si>
  <si>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</si>
  <si>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</si>
  <si>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</si>
  <si>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</si>
  <si>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</si>
  <si>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</si>
  <si>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</si>
  <si>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</si>
  <si>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</si>
  <si>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</si>
  <si>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</si>
  <si>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</si>
  <si>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</si>
  <si>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</si>
  <si>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</si>
  <si>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</si>
  <si>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</si>
  <si>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</si>
  <si>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</si>
  <si>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</si>
  <si>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</si>
  <si>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</si>
  <si>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</si>
  <si>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</si>
  <si>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</si>
  <si>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</si>
  <si>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</si>
  <si>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</si>
  <si>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</si>
  <si>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</si>
  <si>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</si>
  <si>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</si>
  <si>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</si>
  <si>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</si>
  <si>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</si>
  <si>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</si>
  <si>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</si>
  <si>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</si>
  <si>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</si>
  <si>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</si>
  <si>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</si>
  <si>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</si>
  <si>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</si>
  <si>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</si>
  <si>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</si>
  <si>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</si>
  <si>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</si>
  <si>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</si>
  <si>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</si>
  <si>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</si>
  <si>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</si>
  <si>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</si>
  <si>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</si>
  <si>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</si>
  <si>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</si>
  <si>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</si>
  <si>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</si>
  <si>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</si>
  <si>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</si>
  <si>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</si>
  <si>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</si>
  <si>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</si>
  <si>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</si>
  <si>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</si>
  <si>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</si>
  <si>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</si>
  <si>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</si>
  <si>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</si>
  <si>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</si>
  <si>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</si>
  <si>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</si>
  <si>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</si>
  <si>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</si>
  <si>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</si>
  <si>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</si>
  <si>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</si>
  <si>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</si>
  <si>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</si>
  <si>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</si>
  <si>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</si>
  <si>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</si>
  <si>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</si>
  <si>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</si>
  <si>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</si>
  <si>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</si>
  <si>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</si>
  <si>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</si>
  <si>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</si>
  <si>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</si>
  <si>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</si>
  <si>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</si>
  <si>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</si>
  <si>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</si>
  <si>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</si>
  <si>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</si>
  <si>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</si>
  <si>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</si>
  <si>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</si>
  <si>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</si>
  <si>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</si>
  <si>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</si>
  <si>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</si>
  <si>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</si>
  <si>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</si>
  <si>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</si>
  <si>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</si>
  <si>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</si>
  <si>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</si>
  <si>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</si>
  <si>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</si>
  <si>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</si>
  <si>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</si>
  <si>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</si>
  <si>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</si>
  <si>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</si>
  <si>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</si>
  <si>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</si>
  <si>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</si>
  <si>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</si>
  <si>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</si>
  <si>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</si>
  <si>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</si>
  <si>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</si>
  <si>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</si>
  <si>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</si>
  <si>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</si>
  <si>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</si>
  <si>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</si>
  <si>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</si>
  <si>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</si>
  <si>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</si>
  <si>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</si>
  <si>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</si>
  <si>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</si>
  <si>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</si>
  <si>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</si>
  <si>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</si>
  <si>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</si>
  <si>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</si>
  <si>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</si>
  <si>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</si>
  <si>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</si>
  <si>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</si>
  <si>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</si>
  <si>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</si>
  <si>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</si>
  <si>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</si>
  <si>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</si>
  <si>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</si>
  <si>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</si>
  <si>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</si>
  <si>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</si>
  <si>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</si>
  <si>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</si>
  <si>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</si>
  <si>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</si>
  <si>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</si>
  <si>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</si>
  <si>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</si>
  <si>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</si>
  <si>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</si>
  <si>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</si>
  <si>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</si>
  <si>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</si>
  <si>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</si>
  <si>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</si>
  <si>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</si>
  <si>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</si>
  <si>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</si>
  <si>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</si>
  <si>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</si>
  <si>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</si>
  <si>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</si>
  <si>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</si>
  <si>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</si>
  <si>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</si>
  <si>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</si>
  <si>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</si>
  <si>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</si>
  <si>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</si>
  <si>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</si>
  <si>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</si>
  <si>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</si>
  <si>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</si>
  <si>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</si>
  <si>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</si>
  <si>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</si>
  <si>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</si>
  <si>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</si>
  <si>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</si>
  <si>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</si>
  <si>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</si>
  <si>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</si>
  <si>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</si>
  <si>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</si>
  <si>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</si>
  <si>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</si>
  <si>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</si>
  <si>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</si>
  <si>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</si>
  <si>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</si>
  <si>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</si>
  <si>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</si>
  <si>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</si>
  <si>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</si>
  <si>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</si>
  <si>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</si>
  <si>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</si>
  <si>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</si>
  <si>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</si>
  <si>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</si>
  <si>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</si>
  <si>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</si>
  <si>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</si>
  <si>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</si>
  <si>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</si>
  <si>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</si>
  <si>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</si>
  <si>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</si>
  <si>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</si>
  <si>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</si>
  <si>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</si>
  <si>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</si>
  <si>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</si>
  <si>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</si>
  <si>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</si>
  <si>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</si>
  <si>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</si>
  <si>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</si>
  <si>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</si>
  <si>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</si>
  <si>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</si>
  <si>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</si>
  <si>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</si>
  <si>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</si>
  <si>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</si>
  <si>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</si>
  <si>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</si>
  <si>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</si>
  <si>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</si>
  <si>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</si>
  <si>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</si>
  <si>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</si>
  <si>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</si>
  <si>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</si>
  <si>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</si>
  <si>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</si>
  <si>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</si>
  <si>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</si>
  <si>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</si>
  <si>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</si>
  <si>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</si>
  <si>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</si>
  <si>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</si>
  <si>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</si>
  <si>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</si>
  <si>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</si>
  <si>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</si>
  <si>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</si>
  <si>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</si>
  <si>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</si>
  <si>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</si>
  <si>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</si>
  <si>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</si>
  <si>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</si>
  <si>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</si>
  <si>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</si>
  <si>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</si>
  <si>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</si>
  <si>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</si>
  <si>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</si>
  <si>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</si>
  <si>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</si>
  <si>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</si>
  <si>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</si>
  <si>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</si>
  <si>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</si>
  <si>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</si>
  <si>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</si>
  <si>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</si>
  <si>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</si>
  <si>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</si>
  <si>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</si>
  <si>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</si>
  <si>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</si>
  <si>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</si>
  <si>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</si>
  <si>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</si>
  <si>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</si>
  <si>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</si>
  <si>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</si>
  <si>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</si>
  <si>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</si>
  <si>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</si>
  <si>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</si>
  <si>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</si>
  <si>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</si>
  <si>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</si>
  <si>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</si>
  <si>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</si>
  <si>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</si>
  <si>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</si>
  <si>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</si>
  <si>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</si>
  <si>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</si>
  <si>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</si>
  <si>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</si>
  <si>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</si>
  <si>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</si>
  <si>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</si>
  <si>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</si>
  <si>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</si>
  <si>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</si>
  <si>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</si>
  <si>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</si>
  <si>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</si>
  <si>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</si>
  <si>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</si>
  <si>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</si>
  <si>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</si>
  <si>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</si>
  <si>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</si>
  <si>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</si>
  <si>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</si>
  <si>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</si>
  <si>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</si>
  <si>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</si>
  <si>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</si>
  <si>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</si>
  <si>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</si>
  <si>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</si>
  <si>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</si>
  <si>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</si>
  <si>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</si>
  <si>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</si>
  <si>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</si>
  <si>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</si>
  <si>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</si>
  <si>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</si>
  <si>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</si>
  <si>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</si>
  <si>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</si>
  <si>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</si>
  <si>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</si>
  <si>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</si>
  <si>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</si>
  <si>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</si>
  <si>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</si>
  <si>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</si>
  <si>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</si>
  <si>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</si>
  <si>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</si>
  <si>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</si>
  <si>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</si>
  <si>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</si>
  <si>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</si>
  <si>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</si>
  <si>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</si>
  <si>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</si>
  <si>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</si>
  <si>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</si>
  <si>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</si>
  <si>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</si>
  <si>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</si>
  <si>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</si>
  <si>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</si>
  <si>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</si>
  <si>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</si>
  <si>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</si>
  <si>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</si>
  <si>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</si>
  <si>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</si>
  <si>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</si>
  <si>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</si>
  <si>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</si>
  <si>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</si>
  <si>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</si>
  <si>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</si>
  <si>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</si>
  <si>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</si>
  <si>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</si>
  <si>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</si>
  <si>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</si>
  <si>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</si>
  <si>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</si>
  <si>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</si>
  <si>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</si>
  <si>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</si>
  <si>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</si>
  <si>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</si>
  <si>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</si>
  <si>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</si>
  <si>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</si>
  <si>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</si>
  <si>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</si>
  <si>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</si>
  <si>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</si>
  <si>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</si>
  <si>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</si>
  <si>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</si>
  <si>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</si>
  <si>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</si>
  <si>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</si>
  <si>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</si>
  <si>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</si>
  <si>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</si>
  <si>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</si>
  <si>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</si>
  <si>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</si>
  <si>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</si>
  <si>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</si>
  <si>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</si>
  <si>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</si>
  <si>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</si>
  <si>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</si>
  <si>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</si>
  <si>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</si>
  <si>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</si>
  <si>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</si>
  <si>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</si>
  <si>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</si>
  <si>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</si>
  <si>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</si>
  <si>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</si>
  <si>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</si>
  <si>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</si>
  <si>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</si>
  <si>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</si>
  <si>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</si>
  <si>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</si>
  <si>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</si>
  <si>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</si>
  <si>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</si>
  <si>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</si>
  <si>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</si>
  <si>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</si>
  <si>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</si>
  <si>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</si>
  <si>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</si>
  <si>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</si>
  <si>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</si>
  <si>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</si>
  <si>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</si>
  <si>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</si>
  <si>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</si>
  <si>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</si>
  <si>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</si>
  <si>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</si>
  <si>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</si>
  <si>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</si>
  <si>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</si>
  <si>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</si>
  <si>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</si>
  <si>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</si>
  <si>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</si>
  <si>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</si>
  <si>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</si>
  <si>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</si>
  <si>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</si>
  <si>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</si>
  <si>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</si>
  <si>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</si>
  <si>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</si>
  <si>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</si>
  <si>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</si>
  <si>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</si>
  <si>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</si>
  <si>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</si>
  <si>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</si>
  <si>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</si>
  <si>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</si>
  <si>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</si>
  <si>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</si>
  <si>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</si>
  <si>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</si>
  <si>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</si>
  <si>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</si>
  <si>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</si>
  <si>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</si>
  <si>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</si>
  <si>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</si>
  <si>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</si>
  <si>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</si>
  <si>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</si>
  <si>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</si>
  <si>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</si>
  <si>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</si>
  <si>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</si>
  <si>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</si>
  <si>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</si>
  <si>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</si>
  <si>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</si>
  <si>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</si>
  <si>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</si>
  <si>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</si>
  <si>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</si>
  <si>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</si>
  <si>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</si>
  <si>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</si>
  <si>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</si>
  <si>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</si>
  <si>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</si>
  <si>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</si>
  <si>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</si>
  <si>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</si>
  <si>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</si>
  <si>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</si>
  <si>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</si>
  <si>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</si>
  <si>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</si>
  <si>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</si>
  <si>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</si>
  <si>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</si>
  <si>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</si>
  <si>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</si>
  <si>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</si>
  <si>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</si>
  <si>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</si>
  <si>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</si>
  <si>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</si>
  <si>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</si>
  <si>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</si>
  <si>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</si>
  <si>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</si>
  <si>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</si>
  <si>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</si>
  <si>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</si>
  <si>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</si>
  <si>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</si>
  <si>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</si>
  <si>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</si>
  <si>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</si>
  <si>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</si>
  <si>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</si>
  <si>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</si>
  <si>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</si>
  <si>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</si>
  <si>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</si>
  <si>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</si>
  <si>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</si>
  <si>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</si>
  <si>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</si>
  <si>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</si>
  <si>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</si>
  <si>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</si>
  <si>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</si>
  <si>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</si>
  <si>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</si>
  <si>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</si>
  <si>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</si>
  <si>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</si>
  <si>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</si>
  <si>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</si>
  <si>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</si>
  <si>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</si>
  <si>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</si>
  <si>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</si>
  <si>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</si>
  <si>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</si>
  <si>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</si>
  <si>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</si>
  <si>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</si>
  <si>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</si>
  <si>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</si>
  <si>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</si>
  <si>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</si>
  <si>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</si>
  <si>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</si>
  <si>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</si>
  <si>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</si>
  <si>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</si>
  <si>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</si>
  <si>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</si>
  <si>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</si>
  <si>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</si>
  <si>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</si>
  <si>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</si>
  <si>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</si>
  <si>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</si>
  <si>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</si>
  <si>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</si>
  <si>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</si>
  <si>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</si>
  <si>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</si>
  <si>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</si>
  <si>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</si>
  <si>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</si>
  <si>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</si>
  <si>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</si>
  <si>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</si>
  <si>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</si>
  <si>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</si>
  <si>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</si>
  <si>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</si>
  <si>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</si>
  <si>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</si>
  <si>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</si>
  <si>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</si>
  <si>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</si>
  <si>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</si>
  <si>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</si>
  <si>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</si>
  <si>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</si>
  <si>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</si>
  <si>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</si>
  <si>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</si>
  <si>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</si>
  <si>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</si>
  <si>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</si>
  <si>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</si>
  <si>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</si>
  <si>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</si>
  <si>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</si>
  <si>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</si>
  <si>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</si>
  <si>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</si>
  <si>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</si>
  <si>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</si>
  <si>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</si>
  <si>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</si>
  <si>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</si>
  <si>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</si>
  <si>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</si>
  <si>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</si>
  <si>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</si>
  <si>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</si>
  <si>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</si>
  <si>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</si>
  <si>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</si>
  <si>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</si>
  <si>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</si>
  <si>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</si>
  <si>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</si>
  <si>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</si>
  <si>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</si>
  <si>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</si>
  <si>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</si>
  <si>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</si>
  <si>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</si>
  <si>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</si>
  <si>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</si>
  <si>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</si>
  <si>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</si>
  <si>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</si>
  <si>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</si>
  <si>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</si>
  <si>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</si>
  <si>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</si>
  <si>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</si>
  <si>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</si>
  <si>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</si>
  <si>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</si>
  <si>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</si>
  <si>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</si>
  <si>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</si>
  <si>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</si>
  <si>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</si>
  <si>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</si>
  <si>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</si>
  <si>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</si>
  <si>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</si>
  <si>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</si>
  <si>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</si>
  <si>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</si>
  <si>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</si>
  <si>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</si>
  <si>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</si>
  <si>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</si>
  <si>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</si>
  <si>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</si>
  <si>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</si>
  <si>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</si>
  <si>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</si>
  <si>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</si>
  <si>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</si>
  <si>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</si>
  <si>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</si>
  <si>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</si>
  <si>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</si>
  <si>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</si>
  <si>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</si>
  <si>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</si>
  <si>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</si>
  <si>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</si>
  <si>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</si>
  <si>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</si>
  <si>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</si>
  <si>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</si>
  <si>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</si>
  <si>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</si>
  <si>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</si>
  <si>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</si>
  <si>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</si>
  <si>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</si>
  <si>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</si>
  <si>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</si>
  <si>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</si>
  <si>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</si>
  <si>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</si>
  <si>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</si>
  <si>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</si>
  <si>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</si>
  <si>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</si>
  <si>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</si>
  <si>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</si>
  <si>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</si>
  <si>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</si>
  <si>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</si>
  <si>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</si>
  <si>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</si>
  <si>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</si>
  <si>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</si>
  <si>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</si>
  <si>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</si>
  <si>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</si>
  <si>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</si>
  <si>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</si>
  <si>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SDH-SIE-04-2017</t>
  </si>
  <si>
    <t>170185-0-2017</t>
  </si>
  <si>
    <t>170196-0-2017</t>
  </si>
  <si>
    <t>Adquisición de grabadoras digitales para el Concejo de Bogotá.</t>
  </si>
  <si>
    <t>Grabadoras Digitales</t>
  </si>
  <si>
    <t>170195-0-2017</t>
  </si>
  <si>
    <t>JOHN ALEXANDER SUAREZ SALGUERO</t>
  </si>
  <si>
    <t xml:space="preserve">Prestar servicios de apoyo administrativo a la Dirección Jurídica del Concejo de Bogotá </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</si>
  <si>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</si>
  <si>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</si>
  <si>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</si>
  <si>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</si>
  <si>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</si>
  <si>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</si>
  <si>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</si>
  <si>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</si>
  <si>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</si>
  <si>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</si>
  <si>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</si>
  <si>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</si>
  <si>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</si>
  <si>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</si>
  <si>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</si>
  <si>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</si>
  <si>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</si>
  <si>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</si>
  <si>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</si>
  <si>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</si>
  <si>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</si>
  <si>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</si>
  <si>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</si>
  <si>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</si>
  <si>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</si>
  <si>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</si>
  <si>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</si>
  <si>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</si>
  <si>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</si>
  <si>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</si>
  <si>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</si>
  <si>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</si>
  <si>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</si>
  <si>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</si>
  <si>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</si>
  <si>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</si>
  <si>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</si>
  <si>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</si>
  <si>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</si>
  <si>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</si>
  <si>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</si>
  <si>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</si>
  <si>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</si>
  <si>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</si>
  <si>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</si>
  <si>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</si>
  <si>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</si>
  <si>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</si>
  <si>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</si>
  <si>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</si>
  <si>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</si>
  <si>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</si>
  <si>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</si>
  <si>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</si>
  <si>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</si>
  <si>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</si>
  <si>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</si>
  <si>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</si>
  <si>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</si>
  <si>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</si>
  <si>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</si>
  <si>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</si>
  <si>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</si>
  <si>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</si>
  <si>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</si>
  <si>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</si>
  <si>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</si>
  <si>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</si>
  <si>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</si>
  <si>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</si>
  <si>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</si>
  <si>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</si>
  <si>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</si>
  <si>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</si>
  <si>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</si>
  <si>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</si>
  <si>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</si>
  <si>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</si>
  <si>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</si>
  <si>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</si>
  <si>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</si>
  <si>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</si>
  <si>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</si>
  <si>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</si>
  <si>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</si>
  <si>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</si>
  <si>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</si>
  <si>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</si>
  <si>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</si>
  <si>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</si>
  <si>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</si>
  <si>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</si>
  <si>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</si>
  <si>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</si>
  <si>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</si>
  <si>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</si>
  <si>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</si>
  <si>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</si>
  <si>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</si>
  <si>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</si>
  <si>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</si>
  <si>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</si>
  <si>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</si>
  <si>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</si>
  <si>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</si>
  <si>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</si>
  <si>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</si>
  <si>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</si>
  <si>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</si>
  <si>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</si>
  <si>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</si>
  <si>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</si>
  <si>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</si>
  <si>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</si>
  <si>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</si>
  <si>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</si>
  <si>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</si>
  <si>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</si>
  <si>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</si>
  <si>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</si>
  <si>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</si>
  <si>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</si>
  <si>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</si>
  <si>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</si>
  <si>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</si>
  <si>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</si>
  <si>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</si>
  <si>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</si>
  <si>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</si>
  <si>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</si>
  <si>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</si>
  <si>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</si>
  <si>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</si>
  <si>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</si>
  <si>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</si>
  <si>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</si>
  <si>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</si>
  <si>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</si>
  <si>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</si>
  <si>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</si>
  <si>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</si>
  <si>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</si>
  <si>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</si>
  <si>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</si>
  <si>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</si>
  <si>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</si>
  <si>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</si>
  <si>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</si>
  <si>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</si>
  <si>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</si>
  <si>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</si>
  <si>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</si>
  <si>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</si>
  <si>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</si>
  <si>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</si>
  <si>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</si>
  <si>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</si>
  <si>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</si>
  <si>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</si>
  <si>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</si>
  <si>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</si>
  <si>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</si>
  <si>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</si>
  <si>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</si>
  <si>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</si>
  <si>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</si>
  <si>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</si>
  <si>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</si>
  <si>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</si>
  <si>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</si>
  <si>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</si>
  <si>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</si>
  <si>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</si>
  <si>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</si>
  <si>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</si>
  <si>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</si>
  <si>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</si>
  <si>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</si>
  <si>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</si>
  <si>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</si>
  <si>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</si>
  <si>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</si>
  <si>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</si>
  <si>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</si>
  <si>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</si>
  <si>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</si>
  <si>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</si>
  <si>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</si>
  <si>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</si>
  <si>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</si>
  <si>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</si>
  <si>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</si>
  <si>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</si>
  <si>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</si>
  <si>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</si>
  <si>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</si>
  <si>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</si>
  <si>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</si>
  <si>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</si>
  <si>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</si>
  <si>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</si>
  <si>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</si>
  <si>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</si>
  <si>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</si>
  <si>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</si>
  <si>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</si>
  <si>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</si>
  <si>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</si>
  <si>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</si>
  <si>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</si>
  <si>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</si>
  <si>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</si>
  <si>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</si>
  <si>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</si>
  <si>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</si>
  <si>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</si>
  <si>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</si>
  <si>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</si>
  <si>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</si>
  <si>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</si>
  <si>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</si>
  <si>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</si>
  <si>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</si>
  <si>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</si>
  <si>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</si>
  <si>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</si>
  <si>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</si>
  <si>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</si>
  <si>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</si>
  <si>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</si>
  <si>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</si>
  <si>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</si>
  <si>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</si>
  <si>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</si>
  <si>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</si>
  <si>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</si>
  <si>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</si>
  <si>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</si>
  <si>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</si>
  <si>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</si>
  <si>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</si>
  <si>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</si>
  <si>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</si>
  <si>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</si>
  <si>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</si>
  <si>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</si>
  <si>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</si>
  <si>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</si>
  <si>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</si>
  <si>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</si>
  <si>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</si>
  <si>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</si>
  <si>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</si>
  <si>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</si>
  <si>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</si>
  <si>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</si>
  <si>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</si>
  <si>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</si>
  <si>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</si>
  <si>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</si>
  <si>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</si>
  <si>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</si>
  <si>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</si>
  <si>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</si>
  <si>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</si>
  <si>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</si>
  <si>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</si>
  <si>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</si>
  <si>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</si>
  <si>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</si>
  <si>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</si>
  <si>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</si>
  <si>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</si>
  <si>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</si>
  <si>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</si>
  <si>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</si>
  <si>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</si>
  <si>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</si>
  <si>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</si>
  <si>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</si>
  <si>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</si>
  <si>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</si>
  <si>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</si>
  <si>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</si>
  <si>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</si>
  <si>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</si>
  <si>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</si>
  <si>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</si>
  <si>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</si>
  <si>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</si>
  <si>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</si>
  <si>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</si>
  <si>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</si>
  <si>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</si>
  <si>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</si>
  <si>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</si>
  <si>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</si>
  <si>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</si>
  <si>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</si>
  <si>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</si>
  <si>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</si>
  <si>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</si>
  <si>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</si>
  <si>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</si>
  <si>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</si>
  <si>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</si>
  <si>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</si>
  <si>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</si>
  <si>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</si>
  <si>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</si>
  <si>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</si>
  <si>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</si>
  <si>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</si>
  <si>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</si>
  <si>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</si>
  <si>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</si>
  <si>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</si>
  <si>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</si>
  <si>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</si>
  <si>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</si>
  <si>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</si>
  <si>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</si>
  <si>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</si>
  <si>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</si>
  <si>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</si>
  <si>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</si>
  <si>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</si>
  <si>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</si>
  <si>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</si>
  <si>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</si>
  <si>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</si>
  <si>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</si>
  <si>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</si>
  <si>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</si>
  <si>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</si>
  <si>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</si>
  <si>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</si>
  <si>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</si>
  <si>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</si>
  <si>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</si>
  <si>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</si>
  <si>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</si>
  <si>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</si>
  <si>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</si>
  <si>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</si>
  <si>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</si>
  <si>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</si>
  <si>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</si>
  <si>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</si>
  <si>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</si>
  <si>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</si>
  <si>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</si>
  <si>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</si>
  <si>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</si>
  <si>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</si>
  <si>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</si>
  <si>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</si>
  <si>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</si>
  <si>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</si>
  <si>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</si>
  <si>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</si>
  <si>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</si>
  <si>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</si>
  <si>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</si>
  <si>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</si>
  <si>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</si>
  <si>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</si>
  <si>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</si>
  <si>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</si>
  <si>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</si>
  <si>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</si>
  <si>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</si>
  <si>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</si>
  <si>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</si>
  <si>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</si>
  <si>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</si>
  <si>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</si>
  <si>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</si>
  <si>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</si>
  <si>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</si>
  <si>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</si>
  <si>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</si>
  <si>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</si>
  <si>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</si>
  <si>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</si>
  <si>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</si>
  <si>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</si>
  <si>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</si>
  <si>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</si>
  <si>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</si>
  <si>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</si>
  <si>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</si>
  <si>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</si>
  <si>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</si>
  <si>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</si>
  <si>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</si>
  <si>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</si>
  <si>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</si>
  <si>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</si>
  <si>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</si>
  <si>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</si>
  <si>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</si>
  <si>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</si>
  <si>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</si>
  <si>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</si>
  <si>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</si>
  <si>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</si>
  <si>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</si>
  <si>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</si>
  <si>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</si>
  <si>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</si>
  <si>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</si>
  <si>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</si>
  <si>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</si>
  <si>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</si>
  <si>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</si>
  <si>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</si>
  <si>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</si>
  <si>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</si>
  <si>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</si>
  <si>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</si>
  <si>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</si>
  <si>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</si>
  <si>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</si>
  <si>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</si>
  <si>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</si>
  <si>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</si>
  <si>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</si>
  <si>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</si>
  <si>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</si>
  <si>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</si>
  <si>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</si>
  <si>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</si>
  <si>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</si>
  <si>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</si>
  <si>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</si>
  <si>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</si>
  <si>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</si>
  <si>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</si>
  <si>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</si>
  <si>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</si>
  <si>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</si>
  <si>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</si>
  <si>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</si>
  <si>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</si>
  <si>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</si>
  <si>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</si>
  <si>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</si>
  <si>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</si>
  <si>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</si>
  <si>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</si>
  <si>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</si>
  <si>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</si>
  <si>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</si>
  <si>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</si>
  <si>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</si>
  <si>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</si>
  <si>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</si>
  <si>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</si>
  <si>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</si>
  <si>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</si>
  <si>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</si>
  <si>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</si>
  <si>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</si>
  <si>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</si>
  <si>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</si>
  <si>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</si>
  <si>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</si>
  <si>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</si>
  <si>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</si>
  <si>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</si>
  <si>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</si>
  <si>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</si>
  <si>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</si>
  <si>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</si>
  <si>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</si>
  <si>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</si>
  <si>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</si>
  <si>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</si>
  <si>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</si>
  <si>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</si>
  <si>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</si>
  <si>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</si>
  <si>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</si>
  <si>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</si>
  <si>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</si>
  <si>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</si>
  <si>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</si>
  <si>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</si>
  <si>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</si>
  <si>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</si>
  <si>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</si>
  <si>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</si>
  <si>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</si>
  <si>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</si>
  <si>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</si>
  <si>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</si>
  <si>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</si>
  <si>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</si>
  <si>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</si>
  <si>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</si>
  <si>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</si>
  <si>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</si>
  <si>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</si>
  <si>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</si>
  <si>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</si>
  <si>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</si>
  <si>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</si>
  <si>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</si>
  <si>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</si>
  <si>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</si>
  <si>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</si>
  <si>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</si>
  <si>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</si>
  <si>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</si>
  <si>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</si>
  <si>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</si>
  <si>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</si>
  <si>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</si>
  <si>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</si>
  <si>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</si>
  <si>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</si>
  <si>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</si>
  <si>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</si>
  <si>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</si>
  <si>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</si>
  <si>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</si>
  <si>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</si>
  <si>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</si>
  <si>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</si>
  <si>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</si>
  <si>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</si>
  <si>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</si>
  <si>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</si>
  <si>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</si>
  <si>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</si>
  <si>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</si>
  <si>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</si>
  <si>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</si>
  <si>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</si>
  <si>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</si>
  <si>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</si>
  <si>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</si>
  <si>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</si>
  <si>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</si>
  <si>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</si>
  <si>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</si>
  <si>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</si>
  <si>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</si>
  <si>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</si>
  <si>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</si>
  <si>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</si>
  <si>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</si>
  <si>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</si>
  <si>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</si>
  <si>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</si>
  <si>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</si>
  <si>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</si>
  <si>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</si>
  <si>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</si>
  <si>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</si>
  <si>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</si>
  <si>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</si>
  <si>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</si>
  <si>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</si>
  <si>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</si>
  <si>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</si>
  <si>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</si>
  <si>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</si>
  <si>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</si>
  <si>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</si>
  <si>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</si>
  <si>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</si>
  <si>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</si>
  <si>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</si>
  <si>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</si>
  <si>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</si>
  <si>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</si>
  <si>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</si>
  <si>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</si>
  <si>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</si>
  <si>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</si>
  <si>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</si>
  <si>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</si>
  <si>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</si>
  <si>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</si>
  <si>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</si>
  <si>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</si>
  <si>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</si>
  <si>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</si>
  <si>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</si>
  <si>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</si>
  <si>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</si>
  <si>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</si>
  <si>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</si>
  <si>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</si>
  <si>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</si>
  <si>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</si>
  <si>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</si>
  <si>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</si>
  <si>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</si>
  <si>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</si>
  <si>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</si>
  <si>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</si>
  <si>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</si>
  <si>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</si>
  <si>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</si>
  <si>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</si>
  <si>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</si>
  <si>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</si>
  <si>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</si>
  <si>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</si>
  <si>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</si>
  <si>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</si>
  <si>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</si>
  <si>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</si>
  <si>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</si>
  <si>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</si>
  <si>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</si>
  <si>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</si>
  <si>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</si>
  <si>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</si>
  <si>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</si>
  <si>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</si>
  <si>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</si>
  <si>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</si>
  <si>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</si>
  <si>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</si>
  <si>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</si>
  <si>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</si>
  <si>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</si>
  <si>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</si>
  <si>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</si>
  <si>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</si>
  <si>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</si>
  <si>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</si>
  <si>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</si>
  <si>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</si>
  <si>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</si>
  <si>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</si>
  <si>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</si>
  <si>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</si>
  <si>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</si>
  <si>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</si>
  <si>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</si>
  <si>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</si>
  <si>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</si>
  <si>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</si>
  <si>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</si>
  <si>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</si>
  <si>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</si>
  <si>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</si>
  <si>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</si>
  <si>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</si>
  <si>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</si>
  <si>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</si>
  <si>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</si>
  <si>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Licenciamiento de correo electrónico</t>
  </si>
  <si>
    <t>ORDEN DE COMPRA 22825</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</si>
  <si>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</si>
  <si>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</si>
  <si>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</si>
  <si>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</si>
  <si>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</si>
  <si>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</si>
  <si>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</si>
  <si>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</si>
  <si>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</si>
  <si>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</si>
  <si>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</si>
  <si>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</si>
  <si>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</si>
  <si>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</si>
  <si>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</si>
  <si>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</si>
  <si>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</si>
  <si>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</si>
  <si>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</si>
  <si>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</si>
  <si>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</si>
  <si>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</si>
  <si>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</si>
  <si>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</si>
  <si>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</si>
  <si>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</si>
  <si>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</si>
  <si>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</si>
  <si>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</si>
  <si>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</si>
  <si>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</si>
  <si>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</si>
  <si>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</si>
  <si>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</si>
  <si>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</si>
  <si>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</si>
  <si>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</si>
  <si>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</si>
  <si>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</si>
  <si>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</si>
  <si>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</si>
  <si>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</si>
  <si>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</si>
  <si>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</si>
  <si>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</si>
  <si>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</si>
  <si>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</si>
  <si>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</si>
  <si>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</si>
  <si>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</si>
  <si>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</si>
  <si>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</si>
  <si>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</si>
  <si>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</si>
  <si>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</si>
  <si>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</si>
  <si>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</si>
  <si>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</si>
  <si>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</si>
  <si>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</si>
  <si>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</si>
  <si>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</si>
  <si>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</si>
  <si>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</si>
  <si>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</si>
  <si>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</si>
  <si>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</si>
  <si>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</si>
  <si>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</si>
  <si>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</si>
  <si>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</si>
  <si>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</si>
  <si>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</si>
  <si>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</si>
  <si>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</si>
  <si>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</si>
  <si>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</si>
  <si>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</si>
  <si>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</si>
  <si>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</si>
  <si>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</si>
  <si>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</si>
  <si>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</si>
  <si>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</si>
  <si>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</si>
  <si>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</si>
  <si>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</si>
  <si>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</si>
  <si>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</si>
  <si>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</si>
  <si>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</si>
  <si>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</si>
  <si>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</si>
  <si>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</si>
  <si>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</si>
  <si>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</si>
  <si>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</si>
  <si>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</si>
  <si>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19/01/2017    2017ER5760</t>
  </si>
  <si>
    <t>se volvio a radicar el informe final el 22/01/2018  ER6643</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</si>
  <si>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</si>
  <si>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</si>
  <si>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</si>
  <si>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</si>
  <si>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</si>
  <si>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</si>
  <si>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</si>
  <si>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</si>
  <si>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</si>
  <si>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</si>
  <si>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</si>
  <si>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</si>
  <si>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</si>
  <si>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</si>
  <si>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</si>
  <si>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</si>
  <si>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</si>
  <si>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</si>
  <si>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</si>
  <si>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</si>
  <si>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</si>
  <si>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</si>
  <si>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</si>
  <si>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</si>
  <si>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</si>
  <si>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</si>
  <si>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180085-0-2018</t>
  </si>
  <si>
    <t>180103-0-2018</t>
  </si>
  <si>
    <t>WILLIAM TEJADA CELIS</t>
  </si>
  <si>
    <t>3 meses y 27 días calendario</t>
  </si>
  <si>
    <t>4 meses y 57 días calendario</t>
  </si>
  <si>
    <t>4 meses y 15 dias calendario</t>
  </si>
  <si>
    <t>180129-0-2018</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</si>
  <si>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</si>
  <si>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</si>
  <si>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</si>
  <si>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</si>
  <si>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</si>
  <si>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</si>
  <si>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</si>
  <si>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</si>
  <si>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</si>
  <si>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</si>
  <si>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</si>
  <si>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</si>
  <si>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Cuatro (4) meses y 14 días calendario</t>
  </si>
  <si>
    <t>Cuatro(4) meses y Once (11) días calendario</t>
  </si>
  <si>
    <t>16/02/2018
2018ER17827</t>
  </si>
  <si>
    <t>devuelta por la SDH el     ER  , entregada a Manuel Rojas</t>
  </si>
  <si>
    <t>180087-0-2018</t>
  </si>
  <si>
    <t>Prestar servicios de soporte y mantenimiento de todos los productos Oracle adquiridos por el Concejo de Bogotá.</t>
  </si>
  <si>
    <t>Soporte  y mantenimiento / Oracle</t>
  </si>
  <si>
    <t>Jorge Luis Peñuela Ramos</t>
  </si>
  <si>
    <t>Tres (3) meses y 2 días calendario</t>
  </si>
  <si>
    <t>09/02/2018
ER14669</t>
  </si>
  <si>
    <t>21/02/2018
ER19805</t>
  </si>
  <si>
    <t>09/02/2018
ER14668</t>
  </si>
  <si>
    <t>20/02/2018
ER19143</t>
  </si>
  <si>
    <t>180140-0-2018</t>
  </si>
  <si>
    <t>Yudis Nayibe Sierra Dunnan</t>
  </si>
  <si>
    <t>180149-0-2018</t>
  </si>
  <si>
    <t>EL RINCON DEPORTIVO DE LA 24 / CLAUDIA ROCIO MARIN ROJAS</t>
  </si>
  <si>
    <t>Suministro de uniformes y elementos deportivos para los funcionarios del Concejo de Bogotá.</t>
  </si>
  <si>
    <t>SDH-SMINC-05-2018</t>
  </si>
  <si>
    <t>180151-0-2018</t>
  </si>
  <si>
    <t>SDH-SMINC-01-2018</t>
  </si>
  <si>
    <t xml:space="preserve">Dirección Administrativa </t>
  </si>
  <si>
    <t>45 días calendario</t>
  </si>
  <si>
    <t xml:space="preserve">3 meses y 13 días </t>
  </si>
  <si>
    <t>2 meses y 2 días calendario</t>
  </si>
  <si>
    <t>180156-0-2018</t>
  </si>
  <si>
    <t xml:space="preserve">CENCOSUD COLOMBIA </t>
  </si>
  <si>
    <t>900155107-1</t>
  </si>
  <si>
    <t>Proveer televisores para el Concejo de Bogotá</t>
  </si>
  <si>
    <t>LUZ ANGELA CARDENAS MORENO (Cesionaria) / IVON ADRIANA JIMENEZ ZAPATA (Antes)</t>
  </si>
  <si>
    <t>ORDEN DE COMPRA 26881</t>
  </si>
  <si>
    <t>EDITORIAL EL GLOBO SA</t>
  </si>
  <si>
    <t>03/04/2018
SELLO</t>
  </si>
  <si>
    <t>JUAN DIEGO ESPITIA</t>
  </si>
  <si>
    <t>22/03/2018
ER32797</t>
  </si>
  <si>
    <t>3 meses y 5 días calendario</t>
  </si>
  <si>
    <t>MARIA ALEJANDRA GAITÁN NAVARRETE (Cesionaria) / ÁNGELA MARÍA CANIZALEZ HERRERA (Antes)</t>
  </si>
  <si>
    <t>3 meses de suspensión</t>
  </si>
  <si>
    <t>160164-0-2016</t>
  </si>
  <si>
    <t>JAVIER ANTONIO AVENDAÑO</t>
  </si>
  <si>
    <t>ULTIMO TRAMITE POR JUAN DIEGO ESPITIA</t>
  </si>
  <si>
    <t>UT HACIENDA BOGOTA</t>
  </si>
  <si>
    <t>SE VOLVIOA RADICAR EN LA SDH EL 06/04/2018, POR JUAN DIEGO ESPITIA</t>
  </si>
  <si>
    <t>SE VOLVIO A RADICAR EL 12/03/2018 EN LA SDH, POR JUAN DIEGO ESPITIA</t>
  </si>
  <si>
    <t>VALORACIONES EMPRESARIALES</t>
  </si>
  <si>
    <t>02/04/2018
ER36264</t>
  </si>
  <si>
    <t>JHON ALEXANDRA SUAREZ SALGUERO</t>
  </si>
  <si>
    <t>02/04/2018
ER36266</t>
  </si>
  <si>
    <t>11/04/2018
ER40732</t>
  </si>
  <si>
    <t>ECA INTERVENTORIAS Y CONSULTORIAS DE COLOMBIA SAS</t>
  </si>
  <si>
    <t>09/04/2018
ER39110</t>
  </si>
  <si>
    <t>180163-0-2018</t>
  </si>
  <si>
    <t>ACOMEDIOS PUBLICIDAD Y MERCADEO</t>
  </si>
  <si>
    <t>Prestar servicios de diseño, producción y ejecución de estrategias de divulgación en medios de comunicación de carácter masivo y alternativo para el Concejo de Bogotá; D.C.</t>
  </si>
  <si>
    <t xml:space="preserve">Oficina Asesora de Comunicaciones </t>
  </si>
  <si>
    <t>SDH-SIE-03-2018</t>
  </si>
  <si>
    <t>Anderson Gutierrez</t>
  </si>
  <si>
    <t>22/03/2018
2018ER33206</t>
  </si>
  <si>
    <t>HIUSTY NAYET LOPEZ VELEZ (Cesionaria) / YOANA INES TRUJILLO AGUDELO (Antes)</t>
  </si>
  <si>
    <t xml:space="preserve">RED COMPUTO </t>
  </si>
  <si>
    <t>180162-0-2018</t>
  </si>
  <si>
    <t>900981247-9</t>
  </si>
  <si>
    <t>Prestar servicios de soporte y actualización del software antivirus para el Concejo de Bogotá</t>
  </si>
  <si>
    <t>El pago se realizará así:
- Un pago correspondiente al valor de las licencias actualizadas.
-Dos pagos iguales correspondientes a los servicios conexos.</t>
  </si>
  <si>
    <t>SDH-SMINC-15-2018</t>
  </si>
  <si>
    <t>KEY MARKET SAS EN REORGANIZACION</t>
  </si>
  <si>
    <t>180169-0-2018</t>
  </si>
  <si>
    <t>SDH-SMINC-16-2018</t>
  </si>
  <si>
    <t>180158-0-2018</t>
  </si>
  <si>
    <t>CAR SCANNERS SAS</t>
  </si>
  <si>
    <t>Prestar los servicios de mantenimiento periódico preventivo para los vehículos del Concejo de Bogotá D.C.</t>
  </si>
  <si>
    <t>SDH-SMINC-11-2018</t>
  </si>
  <si>
    <t xml:space="preserve">Dirección Financiera </t>
  </si>
  <si>
    <t>3 MESES</t>
  </si>
  <si>
    <t>2 meses y 10 días calendario</t>
  </si>
  <si>
    <t>2 meses y 5 días</t>
  </si>
  <si>
    <t>180172-0-2018</t>
  </si>
  <si>
    <t>J Y F INVERSIONES SAS</t>
  </si>
  <si>
    <t>SDH-SMINC-26-2018</t>
  </si>
  <si>
    <t>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t>
  </si>
  <si>
    <t>SE VOLVIO A ENVIAR EL 08/05/2018 ER51907, POR JULIETH ANGARITA</t>
  </si>
  <si>
    <t>GRUPO TITANIUM SAS (cesionario) / GENESIS CONSTRUCCIONES SAS(Cedente)</t>
  </si>
  <si>
    <t>31 días calendario</t>
  </si>
  <si>
    <t>2 meses y 15 días calendario</t>
  </si>
  <si>
    <t>180171-0-2018</t>
  </si>
  <si>
    <t>M.A. ELECTRONIKA SAS</t>
  </si>
  <si>
    <t>Adquisición de monitores industriales para el Concejo de Bogotá</t>
  </si>
  <si>
    <t>Adquisición de monitores Industriales</t>
  </si>
  <si>
    <t>SE ENVIO EL 15/05/2018 CORDIS ER54220</t>
  </si>
  <si>
    <t>180177-0-2018</t>
  </si>
  <si>
    <t>901179382-6</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</si>
  <si>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t>
  </si>
  <si>
    <t>SDH-LP-01-2018</t>
  </si>
  <si>
    <t>SDH-SMINC-25-2018</t>
  </si>
  <si>
    <t>180175-0-2018</t>
  </si>
  <si>
    <t>8908900943-1</t>
  </si>
  <si>
    <t>Adquirir tablets para el Concejo de Bogotá</t>
  </si>
  <si>
    <t>Adquisición de tablets</t>
  </si>
  <si>
    <t>ORDEN DE COMPRA 28271</t>
  </si>
  <si>
    <t>180174-0-2018</t>
  </si>
  <si>
    <t>MACHINETRONICS SAS</t>
  </si>
  <si>
    <t>900042114-6</t>
  </si>
  <si>
    <t>Proveer solución de pantallas Video Wall para el Concejo de Bogotá</t>
  </si>
  <si>
    <t xml:space="preserve">Se realizará de la siguiente manera:
- Un primer pago correspondiente a la entrega del video wall de 2x2, incluyendo licencia.
- Un segundo pago correspondiente al servicio de instalación, configuración y puesta en funcionamiento del equipo adquirido y capacitación. </t>
  </si>
  <si>
    <t>Adquisición de video wall</t>
  </si>
  <si>
    <t>180176-0-2018</t>
  </si>
  <si>
    <t xml:space="preserve">COMERCIALIZADORA, SERVICIOS Y MANTENIMIENTO "DICXON ALEXANDER PATIÑO MORENO" SAS- COSERMAN SAS CC </t>
  </si>
  <si>
    <t>901148476-1</t>
  </si>
  <si>
    <t xml:space="preserve">Prestar los servicios de mantenimiento correctivo  correspondiente a la reparación y corrección de las sillas existentes en el Concejo de Bogotá, D.C., con el suministro de repuestos necesarios para su correcto funcionamiento. </t>
  </si>
  <si>
    <t>SDH-SMINC-18-2018</t>
  </si>
  <si>
    <t>SDH- SMINC-22-2018</t>
  </si>
  <si>
    <t>3 meses y 2 días calendario</t>
  </si>
  <si>
    <t>1 mes y 29 días</t>
  </si>
  <si>
    <t>180179-0-2018</t>
  </si>
  <si>
    <t>GRUPO JARVAN Y DYS SAS</t>
  </si>
  <si>
    <t>900921716-1</t>
  </si>
  <si>
    <t>Suministro de elementos de promoción institucional y actos protocolarios del Concejo de Bogotá</t>
  </si>
  <si>
    <t>pagos mensuales</t>
  </si>
  <si>
    <t>DAGOBERTO GARCIA BAQUERO</t>
  </si>
  <si>
    <t xml:space="preserve">Secretaria General </t>
  </si>
  <si>
    <t>SDH-SMINC-20-2018</t>
  </si>
  <si>
    <t>BUSINESS INTELLIGENCE</t>
  </si>
  <si>
    <t>ORGANIZACIÓN TERPEL</t>
  </si>
  <si>
    <t xml:space="preserve"> SDH-SMINC-45-2013</t>
  </si>
  <si>
    <t xml:space="preserve"> SDH-SMINC-06-2013</t>
  </si>
  <si>
    <t xml:space="preserve"> 040000-221-0-2012</t>
  </si>
  <si>
    <t>EL TIEMPO</t>
  </si>
  <si>
    <t>Branch of microsoft</t>
  </si>
  <si>
    <t>Orden de compra 19093</t>
  </si>
  <si>
    <t>SOLUCIONES ICG</t>
  </si>
  <si>
    <t>TECNOLOGIA BIOMEDICA Y SUMINISTROS</t>
  </si>
  <si>
    <t>180181-0-2018</t>
  </si>
  <si>
    <t>ASEAR S.A. ESP</t>
  </si>
  <si>
    <t>Prestar servicios integrales de aseo y cafetería y servicio de fumigación para las instalaciones del Concejo de Bogotá, D.C., de conformidad con lo establecido en el pliego de condiciones de la Licitación Pública No. SDH-LP-02-2018 y la propuesta presentada por el contratista.</t>
  </si>
  <si>
    <t>SDH-LP-02-2018</t>
  </si>
  <si>
    <t>2 meses y 10 días</t>
  </si>
  <si>
    <t>180184-0-2018</t>
  </si>
  <si>
    <t>INGENIERIA DE BOMBAS Y PLANTAS SAS</t>
  </si>
  <si>
    <t>Prestar servicios de mantenimiento para los tanques de almacenamiento y equipos de bombeo hidráulicos de agua potable, residual y aguas negras del Concejo de Bogotá.</t>
  </si>
  <si>
    <t>SDH-SMINC-27-2018</t>
  </si>
  <si>
    <t>MAP INGENIEROS</t>
  </si>
  <si>
    <t xml:space="preserve">07/05/2018
ER51276
</t>
  </si>
  <si>
    <t>DOUGLAS TRADE</t>
  </si>
  <si>
    <t>24/05/2018
ER58534</t>
  </si>
  <si>
    <t>10/05/2018
ER53120</t>
  </si>
  <si>
    <t>INGEBIERIA Y SOLUCIONES EN CONTROL</t>
  </si>
  <si>
    <t>29/05/2018
ER60041</t>
  </si>
  <si>
    <t>COMERCIALIZADORA VIMEL</t>
  </si>
  <si>
    <t>29/05/2018
ER60039</t>
  </si>
  <si>
    <t>UT ZONA SECANCOL 2018</t>
  </si>
  <si>
    <t>120000-0-177-2012</t>
  </si>
  <si>
    <t>FERNANDO SOTOMONTE</t>
  </si>
  <si>
    <t xml:space="preserve"> SDH-SMINC-033-2014</t>
  </si>
  <si>
    <t xml:space="preserve"> SDH-SIE-015-2013</t>
  </si>
  <si>
    <t>CESAR ALEJANDRO GUERRRERO</t>
  </si>
  <si>
    <t xml:space="preserve"> SHD-SMINC-26-2012</t>
  </si>
  <si>
    <t>180182-0-2018</t>
  </si>
  <si>
    <t>Realizar las auditorias para la recertificación del Sistema de Gestión de Calidad del Concejo de Bogotá</t>
  </si>
  <si>
    <t>Un solo pago, una vez se haya realizado la auditoria de recertificación y entrega del informe del resultado de la misma.</t>
  </si>
  <si>
    <t>CESAR AUGUSTO MELENDEZ DÍAZ</t>
  </si>
  <si>
    <t xml:space="preserve">Jefe Oficina de Planeación           </t>
  </si>
  <si>
    <t>SDH-SMINC-24-2018</t>
  </si>
  <si>
    <t xml:space="preserve">EL 25 DE MAYO SE RADICO EN S.H.D. INFORME FINAL DE SUPERVISIÓN PORQUE SE PERDIO COMPETENCIA. </t>
  </si>
  <si>
    <t xml:space="preserve">NO SE PUEDE LIQUIDAR SE PERDIO COMPETENCIA- 31/01/2017- SE ELABORA INFORME DE SUPERVISIÓN </t>
  </si>
  <si>
    <t xml:space="preserve"> SDH-SIE-12-2012</t>
  </si>
  <si>
    <t xml:space="preserve"> 130116-0-2013</t>
  </si>
  <si>
    <t xml:space="preserve">INGEAL </t>
  </si>
  <si>
    <t>01/06/2018
ER62265</t>
  </si>
  <si>
    <t>DORA MESA</t>
  </si>
  <si>
    <t>COLSOFT</t>
  </si>
  <si>
    <t>ORACLE</t>
  </si>
  <si>
    <t>22/03/2018
ER33084</t>
  </si>
  <si>
    <t>16/05/2018
ER54391</t>
  </si>
  <si>
    <t>DELL COLOMBIA</t>
  </si>
  <si>
    <t>01/06/2018
ER62267</t>
  </si>
  <si>
    <t>DEVUELTA NUEVAMENTE Y ESTA PARA LA FIRMA DEL CONTRATISTA</t>
  </si>
  <si>
    <t>15/05/2018
ER30355</t>
  </si>
  <si>
    <t>16/05/2018
ER54392</t>
  </si>
  <si>
    <t>02/05/2018
ER49524</t>
  </si>
  <si>
    <t>15/03/2018
ER30356</t>
  </si>
  <si>
    <t>25/05/2018
ER58852</t>
  </si>
  <si>
    <t>MARTHA LILIANA SALAZAR</t>
  </si>
  <si>
    <t>SDH-SMINC-21-2018</t>
  </si>
  <si>
    <t>180173-0-2018</t>
  </si>
  <si>
    <t>Proveer Licenciamiento Data protector, de conformidad con lo establecido en la invitación pública del proceso citado en el asunto y la propuesta por usted presentada.</t>
  </si>
  <si>
    <t>Un pago por el 100% del valor total del licenciamiento, posterior a la entrega del software adquirido.</t>
  </si>
  <si>
    <t>Licenciamiento Data Protector</t>
  </si>
  <si>
    <t xml:space="preserve"> SDH-SMINC-007-2013</t>
  </si>
  <si>
    <t xml:space="preserve"> 130161-0-2013</t>
  </si>
  <si>
    <t>AUGUSTO MENDILVIESO</t>
  </si>
  <si>
    <t xml:space="preserve"> 130227-0-2013</t>
  </si>
  <si>
    <t xml:space="preserve"> SDH-SMINC-34-2012</t>
  </si>
  <si>
    <t xml:space="preserve"> SDH-SAMC-01-2013</t>
  </si>
  <si>
    <t xml:space="preserve"> 130301-0-2013</t>
  </si>
  <si>
    <t xml:space="preserve"> 012000-466-0-2012</t>
  </si>
  <si>
    <t>JARDIN BOTANICO</t>
  </si>
  <si>
    <t xml:space="preserve"> SDH-LP-001-2012</t>
  </si>
  <si>
    <t xml:space="preserve"> SDH-SIE-013-2013</t>
  </si>
  <si>
    <t>PUBBLICA</t>
  </si>
  <si>
    <t xml:space="preserve"> SDH-SMINC-64-2012</t>
  </si>
  <si>
    <t xml:space="preserve"> SDH-SMINC-042-2011</t>
  </si>
  <si>
    <t xml:space="preserve"> SDH-SMINC-027-2011</t>
  </si>
  <si>
    <t>180205-0-2018</t>
  </si>
  <si>
    <t>Prestar servicios de actualización y soporte para el software para la gestión de la mesa de servicios - Aranda para el Concejo de Bogotá</t>
  </si>
  <si>
    <t>Los pagos se efectuarán así:
A. Un primer pago con la entrega de la actualización e instalación de las licencias.
B. Un segundo pago correspondiente al valor del soporte objeto de este contrato a los 5 (cinco) meses posterior a la fecha.
C. Un segundo pago correspondiente al valor del soporte objeto de este contrato a los 9 (nueve) meses posterior a la fecha.</t>
  </si>
  <si>
    <t>180195-0-2018</t>
  </si>
  <si>
    <t>HECTOR MANUEL LEON URQUIJO</t>
  </si>
  <si>
    <t>Adquisición e instalación de mobiliario y adeacuación de las áreas para los servicios ubicados en el sotano de parqueaderos y para la oficina de presidencia del Concejo de Bogotá.</t>
  </si>
  <si>
    <t>180192-0-2018</t>
  </si>
  <si>
    <t>TEAM MANAGEMENT INFRASTRUCTURE SAS</t>
  </si>
  <si>
    <t>Prestar servicios de soporte y mantenimiento para la plataforma VMware del Concejo de Bogotá.</t>
  </si>
  <si>
    <t xml:space="preserve">Los pagos se realizarán así:
- Un primer pago correspondiente al valor de las licencias actualizadas (ítems 1y2), contraentrega del certificado de renovación de la actualización.
- Pagos bimestrales vencidos de acuerdo con las horas de soporte técnico. (ítem 3)
</t>
  </si>
  <si>
    <t>180186-0-2018</t>
  </si>
  <si>
    <t>PURIFICADORES Y FILTROS INTERNACIONAL LTDA</t>
  </si>
  <si>
    <t>830021842-6</t>
  </si>
  <si>
    <t>Prestar servicios de mantenimiento preventivo con suministro de repuestos para plantas purificadoras semi-industriales de agua de la Secretaría Distrital de Hacienda y el Concejo de Bogotá.</t>
  </si>
  <si>
    <t>SDH-SMINC-33-2018</t>
  </si>
  <si>
    <t>SDH-SMINC-35-2018</t>
  </si>
  <si>
    <t>SDH-SMINC-30-2018</t>
  </si>
  <si>
    <t>SOLUCIONES H&amp; S</t>
  </si>
  <si>
    <t>17/04/2018
ER43409</t>
  </si>
  <si>
    <t>MONICA PATRICIA SERRANO</t>
  </si>
  <si>
    <t>07/05/2018
ER51277</t>
  </si>
  <si>
    <t>09/07/2018
ER75588</t>
  </si>
  <si>
    <t>PUBLICACIONES SEMANA</t>
  </si>
  <si>
    <t>03/04/2018
sello</t>
  </si>
  <si>
    <t>AGR SOLUCIONES</t>
  </si>
  <si>
    <t>14/03/2018
ER29545</t>
  </si>
  <si>
    <t>ALL IN SERVICES</t>
  </si>
  <si>
    <t>10/07/2018
ER76363</t>
  </si>
  <si>
    <t>CENCOSUD COLOMBIA SA</t>
  </si>
  <si>
    <t>10/07/2018
ER76361</t>
  </si>
  <si>
    <t>AUTOGAS</t>
  </si>
  <si>
    <t>10/07/2018
ER76362</t>
  </si>
  <si>
    <t>09/07/2018
ER75589</t>
  </si>
  <si>
    <t>JAVIER AVENDAÑO</t>
  </si>
  <si>
    <t>04/07/2018
ER73842</t>
  </si>
  <si>
    <t>180207-0-2018</t>
  </si>
  <si>
    <t>TRANSPORTES COCOCARGA LTDA</t>
  </si>
  <si>
    <t>SDH-SMINC-36-2018</t>
  </si>
  <si>
    <t>180208-0-2018</t>
  </si>
  <si>
    <t>Contratar la adqusición, entrega y montaje de mobiliario para el salón Lara Bonilla del Concejo de Bogotá</t>
  </si>
  <si>
    <t>HANS OLIVER BELTRAN PALMA</t>
  </si>
  <si>
    <t>SDH-SMINC-34 -2018</t>
  </si>
  <si>
    <t>180210-0-2018</t>
  </si>
  <si>
    <t>PC MICROS SAS</t>
  </si>
  <si>
    <t>Proveer el servicio de migración de Microsoft Exchange 2010 a 2016 para el Concejo de Bogotá</t>
  </si>
  <si>
    <t>SDH-SMINC-38-2018</t>
  </si>
  <si>
    <t>Los pagos se efectuarán así:
- Un primer pago por el 100% del valor de la oferta del ítem 1.
-Un segundo pago por el 100% del valor de la oferta del ítem 2</t>
  </si>
  <si>
    <t>Migración de Microsft Exchange</t>
  </si>
  <si>
    <t>Servicio</t>
  </si>
  <si>
    <t>180197-0-2018</t>
  </si>
  <si>
    <t xml:space="preserve">LUZ ANGELA CARDENAS MORENO </t>
  </si>
  <si>
    <t>6 MESES</t>
  </si>
  <si>
    <t>180200-0-2018</t>
  </si>
  <si>
    <t>1 mes y 4 días</t>
  </si>
  <si>
    <t>180206-0-2018</t>
  </si>
  <si>
    <t>OPENLINK SISTEMA DE REDES DE DATOS SA</t>
  </si>
  <si>
    <t>Adquirir switches de acceso para el Concejo de Bogotá</t>
  </si>
  <si>
    <t>Los pagos se efectuarán así:
- Un proimer pago el valor de la oferta económica , correspondiente a la entrega de los bienes adquiridos.
- Un segundo pago el valor de la oferta correspondiente a la instalación, configuración, puesta en marcha y transferencia de conocimiento</t>
  </si>
  <si>
    <t>Adquisición switches</t>
  </si>
  <si>
    <t>SDH-SIE-09-2018</t>
  </si>
  <si>
    <t>30/05/2018
ER60768</t>
  </si>
  <si>
    <t>14/06/2018
ER66171</t>
  </si>
  <si>
    <t>21/06/2018
ER68769</t>
  </si>
  <si>
    <t>18/06/2018
ER67285</t>
  </si>
  <si>
    <t>DORA LILIA MESA</t>
  </si>
  <si>
    <t>LA SDH DEVOVIO LA CARPETA PARA AJUSTES EL 24/07/2018 ER18017</t>
  </si>
  <si>
    <t>LA SDH DEVOVIO LA CARPETA PARA AJUSTES EL 24/07/2018 ER18018</t>
  </si>
  <si>
    <t>LA SDH DEVOVIO LA CARPETA PARA AJUSTES EL 23/07/2018 ER17941</t>
  </si>
  <si>
    <t>180212-0-2018</t>
  </si>
  <si>
    <t>JARGU SA</t>
  </si>
  <si>
    <t>180218-0-2018</t>
  </si>
  <si>
    <t xml:space="preserve">DIEGO EDUARDO PABON BULLA </t>
  </si>
  <si>
    <t>180221-0-2018</t>
  </si>
  <si>
    <t>Se efectuaran 4 desembolsos así:
-El primero euqivalente al 40% de los recursos estimados para el convenio, una vez implementados los esquemas de seguridad.
-El segundo correspondiente al 30% de los recursos estimados para el convenio, una vez finalizado el segundo mes de ejecución.
-El tercero correspondiente al 20% de los recursos estimados para el convenio, una vez finalizado el tercer mes de ejecución.
-El último correspondiente al saldo del valor efectivamente efectuado, una vez finalizado el convenio.</t>
  </si>
  <si>
    <t>180216-0-2018</t>
  </si>
  <si>
    <t>AURA ELISA GUERRERO MORENO</t>
  </si>
  <si>
    <t>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</si>
  <si>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180209-0-2018</t>
  </si>
  <si>
    <t>Realizar las auditorías para el seguimiento de la certificación para los sistemas de Gestión Ambiental y Seguridad y Salud Ocupacional bajo las normas ISO 14001:2004 y OHSAS 18001:2007 al Concejo de Bogotá D.C.</t>
  </si>
  <si>
    <t xml:space="preserve">Jefe Oficina de Planeación            </t>
  </si>
  <si>
    <t>180217-0-2018</t>
  </si>
  <si>
    <t>ANDRES FELIPE CORZO VILLAMIZAR</t>
  </si>
  <si>
    <t>Prestar los servicios profesionales para apoyar la Dirección Financiera en la gestión de las actividades relacionadas con el seguimiento a la ejecución contractual del Concejo de Bogotá D.C.</t>
  </si>
  <si>
    <t>180232-0-2018</t>
  </si>
  <si>
    <t>NIDIA GOMÉS CORTÉS</t>
  </si>
  <si>
    <t>Prestar servicios profesionales para apoyar en las diferentes comisiones permanentes del Concejo de Bogotá en la respuesta a los derechos de petición, solicitudes, quejas, consultas y reclamos que reciba la corporación.</t>
  </si>
  <si>
    <t>180231-0-2018</t>
  </si>
  <si>
    <t>DANIEL ALBERTO PIEDRAHITA NUÑEZ</t>
  </si>
  <si>
    <t>Prestar los servicios profesionales para apoyar el proceso de auditorías internas en el área de control interno del Concejo de Bogotá.</t>
  </si>
  <si>
    <t>180229-0-2018</t>
  </si>
  <si>
    <t>JEFFERSON FARUK CAMPOS RAMIREZ</t>
  </si>
  <si>
    <t>Prestar los servicios profesionales para apoyar el proceso de sistemas y seguridad de la información del Concejo de Bogotá en materia de seguridad informática.</t>
  </si>
  <si>
    <t>180228-0-2018</t>
  </si>
  <si>
    <t>DANY ALEXANDER FONSECA SANABRIA</t>
  </si>
  <si>
    <t>180223-0-2018</t>
  </si>
  <si>
    <t>180227-0-2018</t>
  </si>
  <si>
    <t>ANABIA JULIETH ANGARITA GALINDO</t>
  </si>
  <si>
    <t>180222-0-2018</t>
  </si>
  <si>
    <t>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t>
  </si>
  <si>
    <t>SDH-CD-005-2018</t>
  </si>
  <si>
    <t>SDH-CD-0010-2018</t>
  </si>
  <si>
    <t>SDH-CD-007-2018</t>
  </si>
  <si>
    <t>SDH-CD-023-2018</t>
  </si>
  <si>
    <t>SDH-CD-002-2018</t>
  </si>
  <si>
    <t>SDH-CD-020-2018</t>
  </si>
  <si>
    <t>SHD-CD-009-2018</t>
  </si>
  <si>
    <t>180234-0-2018</t>
  </si>
  <si>
    <t>CONSTANZA BRIGITTE MAHECHA JIMENEZ</t>
  </si>
  <si>
    <t>180263-0-2018</t>
  </si>
  <si>
    <t>VIVIANA MARCELA RODRIGUEZ OTAVO</t>
  </si>
  <si>
    <t xml:space="preserve">Dirección Jurídica </t>
  </si>
  <si>
    <t>180280-0-2018</t>
  </si>
  <si>
    <t>ANDRES FERNANDO ZUÑIGA FORERO</t>
  </si>
  <si>
    <t>Prestar los servicios como apoyo administrativo a la Comisión del Plan de desarrollo y ordenamiento Territorial del Concejo de Bogotá.</t>
  </si>
  <si>
    <t>Servicios profesionales / Apoyo Comision del plan</t>
  </si>
  <si>
    <t>180211-0-2018</t>
  </si>
  <si>
    <t>Prestar los servicios de mantenimiento preventivo y correctivo con suministro de repuestos para los vehículos marca chevrolet al servicio del Concejo de Bogotá, D.C.</t>
  </si>
  <si>
    <t>Jaime Alberto García Romero</t>
  </si>
  <si>
    <t>180213-0-2018</t>
  </si>
  <si>
    <t>830012587-4</t>
  </si>
  <si>
    <t>SDH-SMINC-37-2018</t>
  </si>
  <si>
    <t>29 días</t>
  </si>
  <si>
    <t>2 meses y 29 días</t>
  </si>
  <si>
    <t>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t>
  </si>
  <si>
    <t>180226-0-2018</t>
  </si>
  <si>
    <t>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t>
  </si>
  <si>
    <t>Carolina Niño</t>
  </si>
  <si>
    <t>180284-0-2018</t>
  </si>
  <si>
    <t>VICTOR MANUEL BARAHONA ARIZA</t>
  </si>
  <si>
    <t>Prestar servicios de apoyo para sistematizar y verificar la información relacionada con la generación de la nómina y los registros contables.</t>
  </si>
  <si>
    <t>180281-0-2018</t>
  </si>
  <si>
    <t>ANDREA PAOLA MELENDEZ PINEDA</t>
  </si>
  <si>
    <t>180279-0-2018</t>
  </si>
  <si>
    <t>LUIS FERNANDO MEZA DAZA</t>
  </si>
  <si>
    <t>Prestar servicios profesionales para apoyar  a la Dirección Administrativa en la gestión de las actividades relacionadas con el seguimiento  a los temas de infraestructura física que requiera el Concejo de Bogotá.</t>
  </si>
  <si>
    <t>Servicios de Apoyo/ Dirección Administrativa</t>
  </si>
  <si>
    <t xml:space="preserve">Prestar servicios profesionales para apoyar jurídicamente a la Dirección Administrativa del Concejo de Bogotá en el seguimiento a los procesos contractuales y ejecución de los contratos a cargo del área. </t>
  </si>
  <si>
    <t>180214-0-2018</t>
  </si>
  <si>
    <t>SISDATA SAS</t>
  </si>
  <si>
    <t>Proveer computadores al Concejo de Bogotá, de acuerdo con lo establecido en el pliego de condiciones de la Subasta inversa electrónica SDH-SIE-07-2018 y la propuesta presentada por el contratista.</t>
  </si>
  <si>
    <t>Adquisición computadores</t>
  </si>
  <si>
    <t>Aura Elisa Guerrero</t>
  </si>
  <si>
    <t>180283-0-2018</t>
  </si>
  <si>
    <t>180290-0-2018</t>
  </si>
  <si>
    <t>Prestar servicios de actualización y soporte para el software para el manejo documental Infodoc para el Concejo de Bogotá</t>
  </si>
  <si>
    <t>Se efectura así:
- Un pago correspondiente al valor de las licencias.
- Soporte Técnico, 6 pagos mensuales iguales mes vencido.</t>
  </si>
  <si>
    <t>Entregar a título de compraventa vehículos con destino al parque automotor del Concejo de Bogotá D.C.</t>
  </si>
  <si>
    <t>ORDEN DE COMPRA 30559</t>
  </si>
  <si>
    <t>180291-0-2018</t>
  </si>
  <si>
    <t>SONIA MARINA SAAVEDRA CACERES</t>
  </si>
  <si>
    <t>180287-0-2018</t>
  </si>
  <si>
    <t>180293-0-2018</t>
  </si>
  <si>
    <t>180295-0-2018</t>
  </si>
  <si>
    <t>ANA MARIA MONROY MORA</t>
  </si>
  <si>
    <t>Prestar servicios profesionales para apoyar la ejecución de las actividades contenidas en el Plan de Bienestar Social del Concejo de Bogotá.</t>
  </si>
  <si>
    <t>Servicios Profesionales/ Bienestar Social</t>
  </si>
  <si>
    <t>Luis Fernado Meza</t>
  </si>
  <si>
    <t>Halia Zambrano</t>
  </si>
  <si>
    <t>Sonia Saavedra</t>
  </si>
  <si>
    <t>Gloria Hidalid Gonzalez</t>
  </si>
  <si>
    <t>180224-0-2018</t>
  </si>
  <si>
    <t>180296-0-2018</t>
  </si>
  <si>
    <t>FELIPE RUEDA POSADA</t>
  </si>
  <si>
    <t>Prestar servicios profesionales para apoyar la formulación al plan estratégico de tecnología (PETIC) del Concejo de Bogotá.</t>
  </si>
  <si>
    <t>Servicios profesionales / Apoyo formulación PETIC</t>
  </si>
  <si>
    <t>180302-0-2018</t>
  </si>
  <si>
    <t>PANAMERICANA LIBRERÍA Y PAPELERIA SA</t>
  </si>
  <si>
    <t>830037946-3</t>
  </si>
  <si>
    <t>Proveer de equipos y elementos para dotar la sala de lactancia  del Concejo de Bogotá.</t>
  </si>
  <si>
    <t>Orden de compra 30874</t>
  </si>
  <si>
    <t>Datación para la sala de lactancia</t>
  </si>
  <si>
    <t>Marhha Valencia</t>
  </si>
  <si>
    <t>180306-0-2018</t>
  </si>
  <si>
    <t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t>
  </si>
  <si>
    <t>Efvanni Paola Palmariny Peñaranda</t>
  </si>
  <si>
    <t>SDH-SIE-11-2018</t>
  </si>
  <si>
    <t>Luis Fernando Meza</t>
  </si>
  <si>
    <t>Andres Felipe Corzo</t>
  </si>
  <si>
    <t>180309-0-2018</t>
  </si>
  <si>
    <t>YENNY SOLEDAD CAMARGO PEREZ</t>
  </si>
  <si>
    <t>180204-0-2018</t>
  </si>
  <si>
    <t>180308-0-2018</t>
  </si>
  <si>
    <t>EDGAR OSIRIS QUIJANO GOMEZ</t>
  </si>
  <si>
    <t>Prestar servicios profesionales para apoyar técnicamente al Concejo de Bogotá en la estructuración de las solicitudes de contratción, definición y seguimiento de los procesos relacionados con la infraestructura física que requiera el Concejo de Bogotá.</t>
  </si>
  <si>
    <t>180301-0-2018</t>
  </si>
  <si>
    <t>800230639-4</t>
  </si>
  <si>
    <t>Prestar servicios de actualización, mantenimiento y soporte con el suministro de repuestos para la infraestructura de telecomunicaciones , cableado estructurado (voz y datos), fibra óptica, energía normal y regulada del Concejo de Bogotá, D.C.</t>
  </si>
  <si>
    <t>SDH-SMINC-40-2018</t>
  </si>
  <si>
    <t>180203-0-2018</t>
  </si>
  <si>
    <t>180316-0-2018</t>
  </si>
  <si>
    <t>NANCY MORENO LOPEZ</t>
  </si>
  <si>
    <t>Prestar servicios profesionales para apoyar la actualización y publicación de la información en la página WEB e intranet y otros medios que disponga el Concejo de Bogotá, D.C.</t>
  </si>
  <si>
    <t>Servicios profesionales / actualización y publicación de la  información página Web</t>
  </si>
  <si>
    <t>180315-0-2018</t>
  </si>
  <si>
    <t>BUSINESSMIND COLOMBIA SA - BMIND COLOMBIA SA</t>
  </si>
  <si>
    <t>Prestar servicios de administración y operación de la plataforma oracle del Concejo de Bogotá</t>
  </si>
  <si>
    <t>180320-0-2018</t>
  </si>
  <si>
    <t>ERIKA ALEXANDRA MORALES VASQUEZ</t>
  </si>
  <si>
    <t>Servicios Profesionales/ Estudio Cargas Laborales</t>
  </si>
  <si>
    <t>180319-0-2018</t>
  </si>
  <si>
    <t>LINA ADELAIDA JIMENEZ AVELLANEDA</t>
  </si>
  <si>
    <t>Prestar los servicios profesionales en la realización de las actividades requeridas para el análisis y estudio de cargas laborales para el Concejo de Bogotá.</t>
  </si>
  <si>
    <t>46 días calendario</t>
  </si>
  <si>
    <t xml:space="preserve"> SMINC-35-2012</t>
  </si>
  <si>
    <t xml:space="preserve"> SDH-SMINC-042-2013</t>
  </si>
  <si>
    <t xml:space="preserve">vuelta a radicar el 06/09/2018 ER100394, Por Juan Diego </t>
  </si>
  <si>
    <t>ingenieria de bombas</t>
  </si>
  <si>
    <t>26/09/2018 
ER108510</t>
  </si>
  <si>
    <t>JESUS RAFAEL AGUAS</t>
  </si>
  <si>
    <t>25/09/2018
ER107860</t>
  </si>
  <si>
    <t>REVISTA EL CONGRESO SIGLO XXI</t>
  </si>
  <si>
    <t>27/09/2018
ER108947</t>
  </si>
  <si>
    <t xml:space="preserve">ZILL BUSINESS SOLUTIONS </t>
  </si>
  <si>
    <t>17/09/2018
ER104091</t>
  </si>
  <si>
    <t>150302-0-2015</t>
  </si>
  <si>
    <t>AXA COLPATRIA</t>
  </si>
  <si>
    <t>LA UNIDAD</t>
  </si>
  <si>
    <t xml:space="preserve"> SDH-SAMC-004-2012</t>
  </si>
  <si>
    <t xml:space="preserve"> 120000-125-0-2012</t>
  </si>
  <si>
    <t>REVISTA EL CONGRESO</t>
  </si>
  <si>
    <t xml:space="preserve"> 130372-0-2013</t>
  </si>
  <si>
    <t>VICTOR ARMELLA</t>
  </si>
  <si>
    <t xml:space="preserve"> 050000-348-0-2012</t>
  </si>
  <si>
    <t>10 días calendario</t>
  </si>
  <si>
    <t>10 días hábiles</t>
  </si>
  <si>
    <t>MEDIDORES TÉCNICA EQUIPOS S.A</t>
  </si>
  <si>
    <t xml:space="preserve"> 120000-177-0-2012</t>
  </si>
  <si>
    <t xml:space="preserve"> 050000-427-0-2012</t>
  </si>
  <si>
    <t xml:space="preserve"> SDH-SMINC-45-2012</t>
  </si>
  <si>
    <t>180340-0-2018</t>
  </si>
  <si>
    <t>Suministro de combustible para el parque automotor asignado al Concejo de Bogotá D.C.</t>
  </si>
  <si>
    <t>Karol Caballero</t>
  </si>
  <si>
    <t>ORDEN DE COMPRA 31794</t>
  </si>
  <si>
    <t xml:space="preserve"> SDH-SAMC-002-2012</t>
  </si>
  <si>
    <t xml:space="preserve"> SDH-SMINC-65-2014</t>
  </si>
  <si>
    <t xml:space="preserve"> SDH-SIE-08-2014</t>
  </si>
  <si>
    <t xml:space="preserve"> 120000-196-0-2012</t>
  </si>
  <si>
    <t xml:space="preserve"> 140243-0-2014</t>
  </si>
  <si>
    <t xml:space="preserve"> SDH-SMINC-52-2012</t>
  </si>
  <si>
    <t>180335-0-2018</t>
  </si>
  <si>
    <t>6/09/17
ER100393</t>
  </si>
  <si>
    <t xml:space="preserve"> SE VOLVIO A ENVIAR EL 6/SEP/17 ER100391</t>
  </si>
  <si>
    <t>180333-0-2018</t>
  </si>
  <si>
    <t>ABC INTERCARGO SAS</t>
  </si>
  <si>
    <t>900654487-4</t>
  </si>
  <si>
    <t>180337-0-2018</t>
  </si>
  <si>
    <t>BLANCA LISBETH CAMARGO BARRERA</t>
  </si>
  <si>
    <t>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t>
  </si>
  <si>
    <t>Servicios Profesionales/ Fondo Cuenta</t>
  </si>
  <si>
    <t>Gesión Financiera</t>
  </si>
  <si>
    <t>180339-0-2018</t>
  </si>
  <si>
    <t>JAMES RINCON CASTAÑO</t>
  </si>
  <si>
    <t>Servicios Profesionales/ Jurídica</t>
  </si>
  <si>
    <t>Gesión Jurídica</t>
  </si>
  <si>
    <t>SDH-CD-70-2018</t>
  </si>
  <si>
    <t>180336-0-2018</t>
  </si>
  <si>
    <t>SEGURIDAD PERCOL LTDA</t>
  </si>
  <si>
    <t>900230597-6</t>
  </si>
  <si>
    <t>180347-0-2018</t>
  </si>
  <si>
    <t>JOSE FERNANDO PARRA ORDUS</t>
  </si>
  <si>
    <t>Prestar servicios profesionales para apooyar la proposición de mejores prácticas que mejoren la experiencia de usuario  y usabilidad de la página Web del Concejo y realizar la administración y salvaguarda de la información publicada en la página web e Intranet del Concjeo de Bogotá D.C.</t>
  </si>
  <si>
    <t>180342-0-2018</t>
  </si>
  <si>
    <t>MANUEL FELIPE VEGA NOVOA</t>
  </si>
  <si>
    <t>Prestar servicios para apoyar el procedimiento de bonos pensionales para coadyuvar con las actualización y administración de la información de los funcionarios y exfuncionarios en cuanto a los trámites pensionales.</t>
  </si>
  <si>
    <t>SDH-SMINC-45-2018</t>
  </si>
  <si>
    <t>Shirley Piminento</t>
  </si>
  <si>
    <t>180341-0-2018</t>
  </si>
  <si>
    <t>PATRICIA VILLEGAS RODRIGUEZ</t>
  </si>
  <si>
    <t>180343-0-2018</t>
  </si>
  <si>
    <t>180344-0-2018</t>
  </si>
  <si>
    <t>JEAN CLAUDE WILLINGTON CORTES MANCERA (Cesionario) /  HALIA CLIMENE ZAMBRANO ACOSTA (Antes)</t>
  </si>
  <si>
    <t>30 días calendario</t>
  </si>
  <si>
    <t>180323-0-2018</t>
  </si>
  <si>
    <t>Realizar la auditoria de certficación de la norma ISO27001:2013 sobre el sistema de gestión de seguridad de la Información del Concejo de Bogotá.</t>
  </si>
  <si>
    <t>Un pago del 100% del valor total de la entrega a satisfacción de la certificación, previo visto bueno del supervisor del contrato.</t>
  </si>
  <si>
    <t xml:space="preserve">40 días </t>
  </si>
  <si>
    <t>SDH-SMINC-46-2018</t>
  </si>
  <si>
    <t>180353-0-2018</t>
  </si>
  <si>
    <t>UT- SDH- TSSYRTECT-2018</t>
  </si>
  <si>
    <t>901222588-1</t>
  </si>
  <si>
    <t xml:space="preserve">Prestar el outsoursing integral para los servicios de mesa de ayuda y gestión de impresión para el Concejo de Bogotá, de conformidad con lo establecido en el complemento del pliego de condiciones, de la selección abreviada de menor cuantía No. SDH-SAMC-06-2018 y la propuesta presentada por el contratista. </t>
  </si>
  <si>
    <t>180351-0-2018</t>
  </si>
  <si>
    <t>900254691-4</t>
  </si>
  <si>
    <t>Actualizar la solución Fortianalyzer para el Concejo de Bogotá.</t>
  </si>
  <si>
    <t>Un solo pago equivalente al 100% del valor del contrato.</t>
  </si>
  <si>
    <t xml:space="preserve">Actualizar la solución Fortianalyzer </t>
  </si>
  <si>
    <t>180348-0-2018</t>
  </si>
  <si>
    <t>SDH-SMINC-53-2018</t>
  </si>
  <si>
    <t>180352-0-2018</t>
  </si>
  <si>
    <t>MONRAK INGENIERIA LTDA</t>
  </si>
  <si>
    <t>Prestar servicios de mantenimiento correctivo y preventivo para las  máquinas: Guillotina y cizalla manual, ubicada en la oficina de anales y publicaciones del Concejo de Bogotá D.C.</t>
  </si>
  <si>
    <t>SDH-SMINC-44-2018</t>
  </si>
  <si>
    <t>180350-0-2018</t>
  </si>
  <si>
    <t>INVERSION Y HOGAR SAS</t>
  </si>
  <si>
    <t>Proveer los elementos e insumos necesarios para atender los primeros auxilios y dotar los botiquines de la Secretaria de Hacienda y  del Concejo de Bogotá, D.C.</t>
  </si>
  <si>
    <t>SDH-SMINC-52-2018</t>
  </si>
  <si>
    <t>180361-0-2018</t>
  </si>
  <si>
    <t>FALABELLA DE COLOMBIA SA</t>
  </si>
  <si>
    <t>900017447-8</t>
  </si>
  <si>
    <t>Proveer computadores especializados para el Concejo de Bogotá y software correspondiente.</t>
  </si>
  <si>
    <t>180360-0-2018</t>
  </si>
  <si>
    <t>Adquirir televisores para áreas sociales del Concejo de Bogotá y televisor de gran formato para el salón presidentes del Concejo de Bogotá</t>
  </si>
  <si>
    <t>A &amp; G INGENIERIA Y SOLUCIONES</t>
  </si>
  <si>
    <t>901020853-1</t>
  </si>
  <si>
    <t>Un primer pago: Previo recibo a satisfacción de los bienes, acompañados de la certificación de cumplimiento.
Un segundo pago: A la entrega del servicio de acuerdo con el número de mantenimiento, repuestos y recargas realizados a los extintores.</t>
  </si>
  <si>
    <t>SDH-SMINC-48-2018</t>
  </si>
  <si>
    <t>ORDEN DE COMPRA 32348</t>
  </si>
  <si>
    <t>ORDEN DE COMPRA 32379</t>
  </si>
  <si>
    <t>180346-0-2018</t>
  </si>
  <si>
    <t>180369-0-2018</t>
  </si>
  <si>
    <t>UNIÓN TEMPORAL LA PREVISORA SA. COMPAÑÍA DE SEGUROS  - AXA COLPATRIA SEGUROS SA</t>
  </si>
  <si>
    <t>860002184-6</t>
  </si>
  <si>
    <t>Seguros intereses patrimoniales / Seguros de Vida de los Concejales</t>
  </si>
  <si>
    <t xml:space="preserve">El valor de las primas de las pólizas dentro de los 30 días calendario siguientes nal recibo del original de las pólizas.
</t>
  </si>
  <si>
    <t>Prestar servicios de revisión, mantenimiento y recarga de extintores y gabinetes contra incendio con suministro de repuestos y otros elementos de seguridad para el Concejo de Bogotá.</t>
  </si>
  <si>
    <t>180357-0-2018</t>
  </si>
  <si>
    <t>Prestación de servicios de apoyo a la gestión para el desarrollo y apoyo logístico de las actividades contenidas dentro de los programas de bienestar, incentivos y mejoramiento del clima laboral para los servidores (as) del Concejo de Bogotá y sus familias.</t>
  </si>
  <si>
    <t>ORDEN DE COMPRA 6210</t>
  </si>
  <si>
    <t>180370-0-2018</t>
  </si>
  <si>
    <t>180371-0-2018</t>
  </si>
  <si>
    <t>ORDEN DE COMPRA 32595</t>
  </si>
  <si>
    <t>ORDEN DE COMPRA 32596</t>
  </si>
  <si>
    <t>4 meses y 11 días</t>
  </si>
  <si>
    <t>180368-0-2018</t>
  </si>
  <si>
    <t>Proveer aires acondicionados para el centro de datos y de cableado para el Concejo de Bogotá.</t>
  </si>
  <si>
    <t>Único pago contra entrega</t>
  </si>
  <si>
    <t xml:space="preserve">Adquisición de aires acondicionados </t>
  </si>
  <si>
    <t>180359-0-2018</t>
  </si>
  <si>
    <t>ENLACES INALAMBRICOS DIGITALES SAS</t>
  </si>
  <si>
    <t>900408815-3</t>
  </si>
  <si>
    <t>Adquisición de Equipos portátiles de comunicación</t>
  </si>
  <si>
    <t>SDH-SMINC-54-2018</t>
  </si>
  <si>
    <t xml:space="preserve"> SDH-SMINC-31-2013</t>
  </si>
  <si>
    <t xml:space="preserve"> SDH-SIE-01-2013</t>
  </si>
  <si>
    <t xml:space="preserve"> SDH-SAMC-02-2013</t>
  </si>
  <si>
    <t xml:space="preserve">  140317-0-2014</t>
  </si>
  <si>
    <t>180374-0-2018</t>
  </si>
  <si>
    <t>Adquirir cámara fotográfica y elementos para la oficina de prensa del Concejo de Bogotá</t>
  </si>
  <si>
    <t>ORDEN DE COMPRA 32741</t>
  </si>
  <si>
    <t>Adquisición cámara fotográfica y elementos</t>
  </si>
  <si>
    <t xml:space="preserve"> 130385-0-2013</t>
  </si>
  <si>
    <t xml:space="preserve"> 130139-0-2013</t>
  </si>
  <si>
    <t xml:space="preserve"> SHD-SIE-020-2013</t>
  </si>
  <si>
    <t xml:space="preserve"> SDH-SMINC-001-2013</t>
  </si>
  <si>
    <t xml:space="preserve"> SDH-SMINC-19-2012</t>
  </si>
  <si>
    <t xml:space="preserve"> SDH-SMINC-029-2012</t>
  </si>
  <si>
    <t xml:space="preserve"> 130364-0-2013</t>
  </si>
  <si>
    <t>Proveer equipos portátiles de comunicación para la brigada de emergencias del Concejo de Bogotá</t>
  </si>
  <si>
    <t>8/11/2018
ER123158</t>
  </si>
  <si>
    <t>SONIA CACERES</t>
  </si>
  <si>
    <t>PERIODICOS Y PUBLICACIONES</t>
  </si>
  <si>
    <t>01/11/2018
ER121281</t>
  </si>
  <si>
    <t>180321-0-2018</t>
  </si>
  <si>
    <t xml:space="preserve">Suscripción al sistema de televisión satelital para el Concejo de Bogotá. </t>
  </si>
  <si>
    <t>SDH-SMINC-51-2018</t>
  </si>
  <si>
    <t>180380-0-2018</t>
  </si>
  <si>
    <t>LINDA ROSA CAMPO RODRIGUEZ</t>
  </si>
  <si>
    <t>SDH-CD-100-2018</t>
  </si>
  <si>
    <t>Servicios profesionales / Nómina</t>
  </si>
  <si>
    <t>Prestar servicios profesionales para apoyar al proceso de nómina de Concejo de Bogotá, y a la Dirección Financiera en los asuntos propios de la dependencia.</t>
  </si>
  <si>
    <t xml:space="preserve"> SDH-SMINC-043-2011</t>
  </si>
  <si>
    <t>8 días</t>
  </si>
  <si>
    <t>180378-0-2018</t>
  </si>
  <si>
    <t>UNIVERSAL DE PRODUCTOS Y SERVICIOS LTDA. UNIPRODUCTOS</t>
  </si>
  <si>
    <t>Proveer un sistema de detención de incendios para el centro de cableado del edificio del Concejo de Bogotá</t>
  </si>
  <si>
    <t>SDH-SMINC-56-2018</t>
  </si>
  <si>
    <t>Los pagos se realizaran:
- Un primer pago correspondiente al 100% del valor del item 1.
- Un segundo pago correspondiente al 100% del valor del ítem 2</t>
  </si>
  <si>
    <t>Adquisición sistema de detanción de incendios</t>
  </si>
  <si>
    <t>180379-0-2018</t>
  </si>
  <si>
    <t>UNION TEMPORAL SICVEL VIDEO HACIENDA 2018</t>
  </si>
  <si>
    <t>Proveer un sistema de audio y video para el Concejo de Bogotá, de conformidad con lo establecido en el pliego de condiciones de la subasta inversa electrónica No. SDH-SIE-16-2018</t>
  </si>
  <si>
    <t>SDH-SIE-16-2018</t>
  </si>
  <si>
    <t>Adquisición sistema de audio y video</t>
  </si>
  <si>
    <t xml:space="preserve">Se efectuarán los apgos así:
- El 100% del valor total de los bienes que conforman el sistema de audio y video, a la entrega a satisfacción e ingreso al almacen.
- El 100% por valor total de los servicios de instalación, configuración y puesta en marcha del sistema. </t>
  </si>
  <si>
    <t>180382-0-2018</t>
  </si>
  <si>
    <t>Adquisición de sillas para el salon presidentes del Concejo de Bogotá D.C.</t>
  </si>
  <si>
    <t>ORDEN DE COMPRA 33008</t>
  </si>
  <si>
    <t>Adquisición de silla salon presidente</t>
  </si>
  <si>
    <t>180375-0-2018</t>
  </si>
  <si>
    <t>Prestar servicios de soporte técnico especializado y mantenimiento preventivo, correctivo para los servidores y sus dispositivos del Concejo de Bogotá.</t>
  </si>
  <si>
    <t>SDH-SIE-17-2018</t>
  </si>
  <si>
    <t>Se realizarán pagos iguales trimestre vencido</t>
  </si>
  <si>
    <t>180377-0-2018</t>
  </si>
  <si>
    <t>Proveer elementos ergonómicos para los puestos de trabajo de los servidores públicos del Concejo de Bogotá, D.C.</t>
  </si>
  <si>
    <t>SDH-SMINC-55-2018</t>
  </si>
  <si>
    <t>180383-0-2018</t>
  </si>
  <si>
    <t>Prestar los servicios de manteniemiento, suministro de partes, repuestos y soporte para la planta telefónica y terminlaes telefónicos del Concejo de Bogotá.</t>
  </si>
  <si>
    <t>El pago se realizará:
- Un primer pago por el 25% del valor asignado a servicios de mantenimiento preventivo y correctivo(ítem 1).
- Un segundo pago por el 25% del valor asignado a servicios de mantenimiento preventivo y correctivo (tem 1).
- Un tercer pago por el 25% del valor asignado a servicios de mantenimiento preventivo y correctivo (tem 1).
- Un cuarto pago por el 25% del valor asignado a servicios de mantenimiento preventivo y correctivo (tem 1).</t>
  </si>
  <si>
    <t>Soporte y mantenimiento panta telefónica</t>
  </si>
  <si>
    <t>180388-0-2018</t>
  </si>
  <si>
    <t>RONALD STIVE SANCHEZ POSADA</t>
  </si>
  <si>
    <t>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t>
  </si>
  <si>
    <t>SDH-CD-93-2018</t>
  </si>
  <si>
    <t>Servicios profesionales / Secretaría General</t>
  </si>
  <si>
    <t>180393-0-2018</t>
  </si>
  <si>
    <t>SDH-SMINC-64-2018</t>
  </si>
  <si>
    <t>SDH-CD-92-2018</t>
  </si>
  <si>
    <t>180429-0-2018</t>
  </si>
  <si>
    <t>CAJA COLOMBIANA DE SUBSIDIO FAMILIAR COLSUBSIDIO</t>
  </si>
  <si>
    <t>860007336-1</t>
  </si>
  <si>
    <t xml:space="preserve">SDH-SAMC-11-2018 </t>
  </si>
  <si>
    <t xml:space="preserve">Se pagará el valor de los bonos navideños recibidos a satisfacción por parte de la Entidad. </t>
  </si>
  <si>
    <t>180435-0-2018</t>
  </si>
  <si>
    <t>Adquirir televisor de gran formato para el salon comuneros</t>
  </si>
  <si>
    <t>180437-0-2018</t>
  </si>
  <si>
    <t>Adquirir equipo de computo especializado para la Secretaría General del Concejo de Bogotá y software correspondiente.</t>
  </si>
  <si>
    <t>180438-0-2018</t>
  </si>
  <si>
    <t>830001338-1</t>
  </si>
  <si>
    <t>Adquirir impresoras y complementarios para el Concejo de Bogotá</t>
  </si>
  <si>
    <t>Adquisición Impresoras</t>
  </si>
  <si>
    <t>180396-0-2018</t>
  </si>
  <si>
    <t>LEGARCHIVO SAS</t>
  </si>
  <si>
    <t xml:space="preserve">Suministro de elementos de protección y embalaje de documentos para el Concejo de Bogotá </t>
  </si>
  <si>
    <t>SDH-SMINC-63-2018</t>
  </si>
  <si>
    <t>180439-0-2018</t>
  </si>
  <si>
    <t>Adquirir solución de video conferencia para el Concejo de Bogotá</t>
  </si>
  <si>
    <t>Adquisición solución video conferencia</t>
  </si>
  <si>
    <t>180431-0-2018</t>
  </si>
  <si>
    <t>GOLD SYS LTDA</t>
  </si>
  <si>
    <t>830038304-1</t>
  </si>
  <si>
    <t>Proveer servicios de soporte y actualización de licencias Corel Draw y suscripción de licencias adobe photoshop del Concejo de Bogotá.</t>
  </si>
  <si>
    <t>Selección de Menor cuantía</t>
  </si>
  <si>
    <t>SDH-SMINC-67-2018</t>
  </si>
  <si>
    <t>19 días calendario</t>
  </si>
  <si>
    <t>3 meses y 19 días calendario</t>
  </si>
  <si>
    <t>Orden de compra 34344</t>
  </si>
  <si>
    <t>Orden de compra 34346</t>
  </si>
  <si>
    <t>Orden de compra 34351</t>
  </si>
  <si>
    <t>Orden de compra 34468</t>
  </si>
  <si>
    <t>180436-0-2018</t>
  </si>
  <si>
    <t>TECHNOLOGY SERVICES LTDA</t>
  </si>
  <si>
    <t xml:space="preserve">Prestar servicios de recuperación de información de cintas históricas del Concejo de Bogotá </t>
  </si>
  <si>
    <t>Se realizarán tres pagos bimestrales del 33,3% del valor de la oferta económica, previa entrega de la información extraida.</t>
  </si>
  <si>
    <t>Recuperación de información</t>
  </si>
  <si>
    <t>SDH-SMINC-68-2018</t>
  </si>
  <si>
    <t>180451-0-2018</t>
  </si>
  <si>
    <t>JARDIN BOTÁNICO JOSE CELESTINO MUTIS</t>
  </si>
  <si>
    <t>860030197-0</t>
  </si>
  <si>
    <t>Aunar esfuerzos institucionales, técnicos y financieros para realizar actividades de jardinería integral en las instalaciones del Concejo de Bogotá y manejo integral del arbolado antiguo, de conformidad con lo establecido en los estudios previos y las especificaciones técnicas establecidas en la propuesta técnico - financiera del convenio interadministrativo presentada por el Jardín Botánico.</t>
  </si>
  <si>
    <t>SDH.CD-107-2018</t>
  </si>
  <si>
    <t>Contratación directa</t>
  </si>
  <si>
    <t>180454-0-2018</t>
  </si>
  <si>
    <t xml:space="preserve">UT SDH COMUNEROS MATIZZO KEY MARKET </t>
  </si>
  <si>
    <t>Adquisición de una solución integral de conferencia y debate para el Concejo de Boogtá, D.C., de conformidad con lo establecido en el pliego electrónico y su complemento de la licitación pública No. SDH-LP-04-2018_3 y la propuesta presentada por el contratista.</t>
  </si>
  <si>
    <t>Los pagos se realizarán:
1. El 100% del valor ofertado correspondiente a los items 2 y 3,1
2, El 100% del valor ofertado a los items 1, 5 y 3,2  y el 100% del valor ofertado para el diseño e implementación del condicionamiento acústico.
3,El 100% del valor ofertado en el item 4</t>
  </si>
  <si>
    <t>Solución integral de conferencia y debate</t>
  </si>
  <si>
    <t>180443-0-2018</t>
  </si>
  <si>
    <t>SPEED WIRELESS NETWORKS SAS</t>
  </si>
  <si>
    <t>Proveer un sistema de wifi para el Concejo de Bogotá D.C., de conformidad con lo establecido en el pliego de condiciones del proceso de selección abreviada - Subasta inversa electrónica N. SDH-SIE-13-2018 y la oferta presentada por el contratista.</t>
  </si>
  <si>
    <t xml:space="preserve">Los pagos se realizarán:
1, Un primer pago correspondiente al valor de los equipos y demás elementos.
2, Un segundo pago correspondiente al valor de la instalación, configuración y puesta en funcionamiento  </t>
  </si>
  <si>
    <t>Sistema de wifi</t>
  </si>
  <si>
    <t>180450-0-2018</t>
  </si>
  <si>
    <t>AGENCIA NACIONAL INMOBILIARIA VIRGILIO BARCO</t>
  </si>
  <si>
    <t>900483991-0</t>
  </si>
  <si>
    <t>Aunar esfuerzos para formular, estructurar y ejecutar proyectos de infraestructura física y usos complementarios que requiera la Secretaría Distrital de Hacienda para el Concejo de Bogotá</t>
  </si>
  <si>
    <t>Los pagos se realizarán de acuerdo a acada una de las etapas a desarrollar</t>
  </si>
  <si>
    <t>180387-0-2018</t>
  </si>
  <si>
    <t>JOHN ALEJANDRO FRANCO OTERO</t>
  </si>
  <si>
    <t>Proveer muebles archivadores para el almacenamiento de cintas Tape Backup para las cintotecas del Concejo de Bogotá de conformidad con lo establecido en la invitación pública electrónica y su complemento</t>
  </si>
  <si>
    <t>Almacenamiento cintoteca</t>
  </si>
  <si>
    <t>SDH-SMINC-57-2018</t>
  </si>
  <si>
    <t>SDH-SIE-13-2018</t>
  </si>
  <si>
    <t>SDH-LP-4-2018_3</t>
  </si>
  <si>
    <t xml:space="preserve"> SDH-CD-106-2018 </t>
  </si>
  <si>
    <t>ESTACION DE SERVICIOS CARRERA 50</t>
  </si>
  <si>
    <t>ARANDA SOFTWARE</t>
  </si>
  <si>
    <t>MEDICAL PROTECTION</t>
  </si>
  <si>
    <t>GREEN FON GROUP</t>
  </si>
  <si>
    <t>SDH-SMINC-34-2017</t>
  </si>
  <si>
    <t>GRUPO TITANIUM</t>
  </si>
  <si>
    <t>AXEDE DE COLOMBIA</t>
  </si>
  <si>
    <t>SILVERIO MONTAÑA</t>
  </si>
  <si>
    <t>NUEVA ERA SOLUCIONES</t>
  </si>
  <si>
    <t>AUTOMOTORES COMAGRO</t>
  </si>
  <si>
    <t>180441-0-2018</t>
  </si>
  <si>
    <t>Realizar la adecuación de los baños 1, 2 y del salón comuneros del Claustro del Concejo de Bogotá</t>
  </si>
  <si>
    <t>Se efectuarán 4 pagos así:
- Tres pagos mensuales parciales; un primer pago correspondiente al 20% del valor del contrato, un segundo pago correspondiente al 30% del valor del contrato y un tercer pago correspondiente al 20% del valor del contrato.
- Un cuarto pago final correspondiente al 30% del valor del contrato, el cual se realizará una vez se suscriba el acata final de obra.</t>
  </si>
  <si>
    <t>180448-0-2018</t>
  </si>
  <si>
    <t>DOGER HERNAN DAZA MORENO</t>
  </si>
  <si>
    <t>Prestar servicios profesionales para apoyar a la Dirección Financiera del Concejo de Bogotá D.C., en los asuntos propios de la dependencia y en el seguimiento al plan de acción y transparencia de acuerdo con la normatividad vigente.</t>
  </si>
  <si>
    <t>Servicios profesionales / Dirección Financiera</t>
  </si>
  <si>
    <t xml:space="preserve">SDH-SAMC-10-2018 </t>
  </si>
  <si>
    <t>SDH-CD-80-2018</t>
  </si>
  <si>
    <t>SDH-CD-109-2018</t>
  </si>
  <si>
    <t>SERVIASEO</t>
  </si>
  <si>
    <t>JOANNA PATRICIA GONZALEZ P</t>
  </si>
  <si>
    <t>27/08/2018
ER108948</t>
  </si>
  <si>
    <t>1/11/2018
ER121280</t>
  </si>
  <si>
    <t xml:space="preserve">EL RINCON DEPORTIVO </t>
  </si>
  <si>
    <t>26/10/2018
ER119215</t>
  </si>
  <si>
    <t>ANABIA JULIETH ANGARITA</t>
  </si>
  <si>
    <t>02/10/2018
ER110880</t>
  </si>
  <si>
    <t>02/10/2018
ER110879</t>
  </si>
  <si>
    <t>17/08/2018
ER93419</t>
  </si>
  <si>
    <t>13/07/2018
ER78531</t>
  </si>
  <si>
    <t xml:space="preserve"> SDH-SMINC-59-2012</t>
  </si>
  <si>
    <t>21/06/2018
ER68768</t>
  </si>
  <si>
    <t>27/06/2018
ER68767</t>
  </si>
  <si>
    <t>09/08/2018
ER90058</t>
  </si>
  <si>
    <t>SDH-SAMC-6-2018</t>
  </si>
  <si>
    <t>190018-0-2019</t>
  </si>
  <si>
    <t>190020-0-2019</t>
  </si>
  <si>
    <t>Se efectuaran 4 desembolsos así:
-El primero euqivalente al 40% de los recursos estimados para el convenio, una vez implementados los esquemas de seguridad.
-El segundo correspondiente al 30%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</si>
  <si>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SDH-SAMC-12-2018</t>
  </si>
  <si>
    <t>SDH-CD-9-2019</t>
  </si>
  <si>
    <t>190023-0-2019</t>
  </si>
  <si>
    <t>ORDEN DE COMPRA 35327</t>
  </si>
  <si>
    <t>Pablo García</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</si>
  <si>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cuantía No. SDH-SAMC-12-2018 y la propuesta presentada por el contratista. </t>
  </si>
  <si>
    <t xml:space="preserve"> SDH-SMINC-68-2013</t>
  </si>
  <si>
    <t xml:space="preserve"> 130365-0-2013</t>
  </si>
  <si>
    <t xml:space="preserve"> 130361-2013</t>
  </si>
  <si>
    <t xml:space="preserve"> SDH-SAMC-010-2013</t>
  </si>
  <si>
    <t xml:space="preserve"> SDH-SIE-010-2013</t>
  </si>
  <si>
    <t xml:space="preserve"> SDH-SMINC-53-2013</t>
  </si>
  <si>
    <t xml:space="preserve"> SDH-SMINC-51-2013</t>
  </si>
  <si>
    <t xml:space="preserve"> 130228-0-2013</t>
  </si>
  <si>
    <t xml:space="preserve"> 130220-0-2013</t>
  </si>
  <si>
    <t>WEISNER FABIAN ROBAYO</t>
  </si>
  <si>
    <t xml:space="preserve"> 130121-0-2013</t>
  </si>
  <si>
    <t>SDH-CD-14-2018</t>
  </si>
  <si>
    <t>SDH-CD-76-2018</t>
  </si>
  <si>
    <t>1 mes y 27 días</t>
  </si>
  <si>
    <t>2 meses y 28 días</t>
  </si>
  <si>
    <t>190078-0-2019</t>
  </si>
  <si>
    <t>SDH-CD-28-2019</t>
  </si>
  <si>
    <t>190082-0-2019</t>
  </si>
  <si>
    <t>SDH-CD-36-2019</t>
  </si>
  <si>
    <t>1 mes y 28 días</t>
  </si>
  <si>
    <t>Katerin Guerrero</t>
  </si>
  <si>
    <t>190083-0-2019</t>
  </si>
  <si>
    <t>Prestar servicios profesionales para apoyar la definición contratación y seguimiento a los temas de infraestructura física que requiera el Concejo de Bogotá</t>
  </si>
  <si>
    <t>SDH-CD-37-2019</t>
  </si>
  <si>
    <t>190084-0-2019</t>
  </si>
  <si>
    <t>SDH-CD-38-2019</t>
  </si>
  <si>
    <t>2 meses y 28 días calendario</t>
  </si>
  <si>
    <t>SOLICITUD DE CONTRATACION</t>
  </si>
  <si>
    <t>SOLICITUD DE MODIFICACION</t>
  </si>
  <si>
    <t>Radicado 08/02/2019 ER14059 - 
prorroga hasta el 25/02/2019</t>
  </si>
  <si>
    <t>SDH-CD-32-2018</t>
  </si>
  <si>
    <t>190086-0-2019</t>
  </si>
  <si>
    <t xml:space="preserve">ANDREA PAOLA MELENDEZ PINEDA </t>
  </si>
  <si>
    <t>Prestar servicios profesionales en apoyo y acompañamiento en los asuntos inherentes al sistema de control interno del Concejo de Bogotá, D.C.</t>
  </si>
  <si>
    <t>Servicios profesionales / control Interno</t>
  </si>
  <si>
    <t>Oficina de Control Interno</t>
  </si>
  <si>
    <t>190079-0-2019</t>
  </si>
  <si>
    <t>ANIBAL ROBERTO ENDARA RAMIREZ</t>
  </si>
  <si>
    <t>190087-0-2019</t>
  </si>
  <si>
    <t>190119-0-2019</t>
  </si>
  <si>
    <t>JUAN DIEGO ESPITIA ROA</t>
  </si>
  <si>
    <t>190120-0-2019</t>
  </si>
  <si>
    <t>DIEGO EDUARDO PABON BULLA</t>
  </si>
  <si>
    <t>EDGAR HUMBERTO CARDENAS SARMIENTO</t>
  </si>
  <si>
    <t>190118-0-2019</t>
  </si>
  <si>
    <t>LUZ ANGELA CARDENAS MORENO</t>
  </si>
  <si>
    <t>190121-0-2019</t>
  </si>
  <si>
    <t>Saidy Garnica</t>
  </si>
  <si>
    <t>190122-0-2019</t>
  </si>
  <si>
    <t xml:space="preserve">Prestar servicios profesionales para apoyar la Dirección Administrativa en la gestión de las actividades relacionadas con el seguimiento a la ejecución contractual relacionada con técnología e informática del Concejo de Bogotá </t>
  </si>
  <si>
    <t>Servicios Profesionales/ Sistemas</t>
  </si>
  <si>
    <t>190123-0-2019</t>
  </si>
  <si>
    <t>Prestar servicios profesionales para apoyar la formulación, implementación y seguimiento al plan estratégico de tecnología, información y comunicaciones - PETIC del Concejo de Bogotá.</t>
  </si>
  <si>
    <t>190145-0-2019</t>
  </si>
  <si>
    <t>SDH-CD-44-2019</t>
  </si>
  <si>
    <t>SDH-CD-32-2019</t>
  </si>
  <si>
    <t>SDH-CD-45-2019</t>
  </si>
  <si>
    <t>SDH-CD-62-2019</t>
  </si>
  <si>
    <t>SDH-CD-47-2019</t>
  </si>
  <si>
    <t>SDH-CD-48-2019</t>
  </si>
  <si>
    <t>SDH-CD-46-2019</t>
  </si>
  <si>
    <t>SDH-CD-55-2019</t>
  </si>
  <si>
    <t>SDH-CD-54-2019</t>
  </si>
  <si>
    <t>SDH-CD-64-2019</t>
  </si>
  <si>
    <t>1 mes y 17 días</t>
  </si>
  <si>
    <t>180452-0-2018</t>
  </si>
  <si>
    <t>Prestar el servicio de mantenimiento correctivo con suministro de repuestos para los vehículos marca SUBARU al servicio del Concejo de Bogotá</t>
  </si>
  <si>
    <t xml:space="preserve">Mensualidades vencidas de acuerdo a los servicios </t>
  </si>
  <si>
    <t>190163-0-2019</t>
  </si>
  <si>
    <t>800103052-8</t>
  </si>
  <si>
    <t>190170-0-2019</t>
  </si>
  <si>
    <t>PABLO RAUL RODRIGUEZ MOJICA</t>
  </si>
  <si>
    <t>Prestar servicios para apoyar el proceso de grabación y sonido en el recinto los comuneros del Concejo de Bogotá en los asuntos propios de la dependencia</t>
  </si>
  <si>
    <t>Servicios profesionales / Apoyo al proceso de grabación y sonido</t>
  </si>
  <si>
    <t>SDH-CD-110-2018</t>
  </si>
  <si>
    <t>ORDEN DE COMPRA 35606</t>
  </si>
  <si>
    <t>SDH-CD-53-2019</t>
  </si>
  <si>
    <t>2 meses y 17 días</t>
  </si>
  <si>
    <t>15 días calendario</t>
  </si>
  <si>
    <t>Los pagos se realizarán así:
- Mensualidades vencidas por conecpto de los servicios de outsoursing integral para los servicios de mesa de ayuda y de gestión de impresión.
- El valor correspondiente del valor que hace parte del cupo de repuestos.
- Para el servicio intergral de impresión , en lo que corresponde a las impresiones realizadas durante el mes.
- Los  servicios de mantenimiento preventivo y correctivo  para la infraestructura tecnológica se pagarán una vez sean prestados a satisfacción</t>
  </si>
  <si>
    <t>* la primera se radico el  28/11/2018 ER130672
*se volvio a radicar el 25/02/2019 ER19637</t>
  </si>
  <si>
    <t>se radico el 06/04/2018 ER38289</t>
  </si>
  <si>
    <t>se radico el 6/09/2018 ER100291</t>
  </si>
  <si>
    <t>se radico el 19/09/2018 ER105404</t>
  </si>
  <si>
    <t>se radico el 28/11/2018 ER128465</t>
  </si>
  <si>
    <t>se radico el 23/11/2018 ER128966</t>
  </si>
  <si>
    <t>se radico el 26/11/2018 ER129231</t>
  </si>
  <si>
    <t>*La primera se radico el 26/11/2018 ER129407
* Se volvio a radicar el 27/02/2019 ER21048</t>
  </si>
  <si>
    <t>se radico el 30/11/2018 ER131679</t>
  </si>
  <si>
    <t>se radico el 12/12/2018 ER135307</t>
  </si>
  <si>
    <t>se radico el 12/12/2018 ER135309</t>
  </si>
  <si>
    <t>se radico el 12/12/2018 ER135304</t>
  </si>
  <si>
    <t>se radico el 14/12/2018 ER135897</t>
  </si>
  <si>
    <t>se radico el 17/12/2018 ER136637</t>
  </si>
  <si>
    <t>Prestar servicios profesionales de apoyo a la oficina de comunicaciones del Concejo de Bogotá, en la generación de estrategias que permitan la socialización divulagación y comunicación de la ley de transparencia y demás políticas institucionales, así como prestar apoyo en el cubrimiento mediático de las diferentes sesiones de la corporación.</t>
  </si>
  <si>
    <t>se radico el 26/06/2018 ER70508</t>
  </si>
  <si>
    <t>se radico el 28/02/2019 ER21696, 
(Constanza B. Mahecha)</t>
  </si>
  <si>
    <t>se radico el 27/02/2019 ER21050 
(Doger Hernan Daza)</t>
  </si>
  <si>
    <t xml:space="preserve"> SDH-SMINC-39-2014</t>
  </si>
  <si>
    <t xml:space="preserve"> SDH-SAMC-013-2014</t>
  </si>
  <si>
    <t xml:space="preserve"> 140168-0-2014</t>
  </si>
  <si>
    <t xml:space="preserve"> 130297-0-2013</t>
  </si>
  <si>
    <t xml:space="preserve"> SDH-SMINC-60-2013</t>
  </si>
  <si>
    <t xml:space="preserve"> 140319-0-2014</t>
  </si>
  <si>
    <t>se radico el 1/03/2019 ER22366
 (Aura Elisa Guerrero)</t>
  </si>
  <si>
    <t>se radico el 01/03/2019 ER22368 
(Jean Claude Cortes)</t>
  </si>
  <si>
    <t>190193-0-2019</t>
  </si>
  <si>
    <t>900062917-9</t>
  </si>
  <si>
    <t>SDH-CD-57-2019</t>
  </si>
  <si>
    <t>2 meses y 3 días</t>
  </si>
  <si>
    <t>Se radica el 13/02/2019 ER15523, para adición y prorroga hasta el 16/04/2019 - salio el 15/02/2019</t>
  </si>
  <si>
    <t>190201-0-2019</t>
  </si>
  <si>
    <t>Prestar los servicios de mantenimiento preventivo y correctivo de elementos que soportan la infraestructura tecnológica del centro de cómputo y centros de cableado del Concjeo de Bogotá, de conformidad con lo establecido en el pliego de condiciones de la subasta inversa electrónica SDH-SIE-19-2018 y la propuesta presentada por el contratista.</t>
  </si>
  <si>
    <t>SDH-SIE-19-2018</t>
  </si>
  <si>
    <t xml:space="preserve">cuatro pagos efectuados trimestralmente </t>
  </si>
  <si>
    <t>se radico el 11/03/2019 ER25822</t>
  </si>
  <si>
    <t>190214-0-2019</t>
  </si>
  <si>
    <t>UNIVERSIDAD DE ANTIOQUIA</t>
  </si>
  <si>
    <t>890980040-8</t>
  </si>
  <si>
    <t xml:space="preserve">Prestar de servicios para adelantar el proceso de convocatoria pública para la elección del Secretario General del Concejo y Subsecretarios de las comisiones del Concejo de Bogotá D.C., conforme al alcance y obligaciones determinados en los estudios previos.  </t>
  </si>
  <si>
    <t>Se realizara en tres pagos así:
*En el primer pago el 40% a la entrega del cronograma, plan y protocolo de trabajo.
*El segundo pago 40% A la entrega del olistado de admitidos y no admitidos.
*El tercer pago 20%, a la entrega del informe final con todos los soportes.</t>
  </si>
  <si>
    <t>Convenio interadministrativo</t>
  </si>
  <si>
    <t>SDH-CD-108-2019</t>
  </si>
  <si>
    <t>Se pagará:
- Un primer pago  correspondientes al 80% del valor del contrato, una vez sea puesta en funcionamiento la instalación de la iluminación.
-Un último pago correspondiente al 20% del saldo del valor del contrato, una vez realizado el desmonte de la instalación de la iluminación.</t>
  </si>
  <si>
    <t>190215-0-2019</t>
  </si>
  <si>
    <t>SDH-CD-101-2019</t>
  </si>
  <si>
    <t>Se radica el 14/02/2019 ER15834 para adición y prorroga hasta el 10 de junio/19 (legalizado el 8/3/19)</t>
  </si>
  <si>
    <t xml:space="preserve"> LP-AMP-011-2013</t>
  </si>
  <si>
    <t>*Se radico el 08/11/2018 ER 123231
*Se volvio a radicar el 13/03/2019 ER27596</t>
  </si>
  <si>
    <t>se radico el 14/03/2019 ER27677</t>
  </si>
  <si>
    <t>se radico el 20/12/2018 ER137918, se volvio a radicar el 14/03/2019 ER27870</t>
  </si>
  <si>
    <t>190217-0-2019</t>
  </si>
  <si>
    <t>se realizarán once pagos mensaules iguales</t>
  </si>
  <si>
    <t>Sandra Patricia Otero Agudelo</t>
  </si>
  <si>
    <t>SDH-CD-109-2019</t>
  </si>
  <si>
    <t>se radica el 28/02/2019 ER21630</t>
  </si>
  <si>
    <t>* se radico el 21/12/2018 ER138223
* se volvio a radicar el 15/03/2019 ER28545</t>
  </si>
  <si>
    <t>*se radico el 23/11/2018 ER128963
*se volvio a radicar el 18/03/2019 ER29426</t>
  </si>
  <si>
    <t xml:space="preserve"> SDH-SIE-019-2013</t>
  </si>
  <si>
    <t>LUIS CARVAJALINO</t>
  </si>
  <si>
    <t>INVERSIONES INARDEX</t>
  </si>
  <si>
    <t>MOTORYSA</t>
  </si>
  <si>
    <t>JHON KENNEDY</t>
  </si>
  <si>
    <t>27/12/2018
ER139410</t>
  </si>
  <si>
    <t>24/01/2019
ER7662</t>
  </si>
  <si>
    <t>12/12/2018
ER135516</t>
  </si>
  <si>
    <t>01/03/2018
ER22383</t>
  </si>
  <si>
    <t xml:space="preserve">BRAYAN BARON </t>
  </si>
  <si>
    <t>JOSE GABRIEL PARRA</t>
  </si>
  <si>
    <t>KAREN LILIANA ANGULO</t>
  </si>
  <si>
    <t>MANGUARE</t>
  </si>
  <si>
    <t>GRUPO EMPRESARIAL SOLUCIONES CUATRO EN UNO</t>
  </si>
  <si>
    <t>OPENLLINK SISTEMS</t>
  </si>
  <si>
    <t>ANDREA PAOLA MELENDEZ</t>
  </si>
  <si>
    <t xml:space="preserve">LIBRERÍA PANAMERICANA </t>
  </si>
  <si>
    <t>21/02/2019
ER18777</t>
  </si>
  <si>
    <t>SONIA SAAVEDRA</t>
  </si>
  <si>
    <t>15/02/2019
ER16783</t>
  </si>
  <si>
    <t>24/01/2019
ER7661</t>
  </si>
  <si>
    <t>22/02/2018
ER20401</t>
  </si>
  <si>
    <t>22/02/2018
ER20397</t>
  </si>
  <si>
    <t>22/08/2018
ER94383</t>
  </si>
  <si>
    <t>25/02/2019
ER19759</t>
  </si>
  <si>
    <t>01/03/2019
ER22386</t>
  </si>
  <si>
    <t>17/10/2018
ER115967</t>
  </si>
  <si>
    <t>24/01/2019
ER7658</t>
  </si>
  <si>
    <t>12/03/2018
ER28087</t>
  </si>
  <si>
    <t>24/04/2018
ER46853</t>
  </si>
  <si>
    <t>24/04/2018
ER46856</t>
  </si>
  <si>
    <t>14/03/2019
ER28055</t>
  </si>
  <si>
    <t>17/08/2018
ER93420</t>
  </si>
  <si>
    <t>03/08/2018
ER88486</t>
  </si>
  <si>
    <t>12/04/2018
ER41439</t>
  </si>
  <si>
    <t>27/09/2018
ER108946</t>
  </si>
  <si>
    <t>23/10/2018
ER117890</t>
  </si>
  <si>
    <t>23/10/2018
ER117889</t>
  </si>
  <si>
    <t>12/03/2018
ER28089</t>
  </si>
  <si>
    <t>12/12/2018
ER135515</t>
  </si>
  <si>
    <t>13/11/2018
ER124597</t>
  </si>
  <si>
    <t>01/02/2019
ER11246</t>
  </si>
  <si>
    <t>01/02/2019
ER11245</t>
  </si>
  <si>
    <t>21/02/2019
ER18704</t>
  </si>
  <si>
    <t>21/02/2019
ER18707</t>
  </si>
  <si>
    <t>15/03/2019
ER28640</t>
  </si>
  <si>
    <t>04/03/2019
ER22836</t>
  </si>
  <si>
    <t>04/03/2019
ER22835</t>
  </si>
  <si>
    <t>24/01/2019
ER7666</t>
  </si>
  <si>
    <t>05/06/2018
ER62419</t>
  </si>
  <si>
    <t>18/01/2019
ER5536</t>
  </si>
  <si>
    <t>12/12/2018
ER135521</t>
  </si>
  <si>
    <t>07/02/2019
ER13383</t>
  </si>
  <si>
    <t xml:space="preserve"> SDH-SIE-18-2013</t>
  </si>
  <si>
    <t xml:space="preserve"> SDH-SMINC-67-2013</t>
  </si>
  <si>
    <t xml:space="preserve"> SDH-SAMC-11-2013</t>
  </si>
  <si>
    <t xml:space="preserve"> SDH-SIE-11-2013</t>
  </si>
  <si>
    <t xml:space="preserve"> SDH-SMINC-44-2013</t>
  </si>
  <si>
    <t xml:space="preserve"> SDH-SMINC-43-2013</t>
  </si>
  <si>
    <t xml:space="preserve"> SDH-SMINC-40-2013</t>
  </si>
  <si>
    <t xml:space="preserve"> SDH-SMINC-39-2013</t>
  </si>
  <si>
    <t xml:space="preserve"> SDH-SAMC-06-2013</t>
  </si>
  <si>
    <t>*se radico el 5/09/2018 ER99991
*se volvio a radicar el 13/02/2019ER15471</t>
  </si>
  <si>
    <t>se radico el 19/03/20198 ER30158 (Contrato para el mismo contratista diferente objeto contractual)</t>
  </si>
  <si>
    <t>se radico el 21/03/2019 ER31400</t>
  </si>
  <si>
    <t>Se radico el 21/03/2019ER31403</t>
  </si>
  <si>
    <t>*Se radico el 14/03/2019 ER27679
*Se volvio a radicar el 21/03/2019ER31397</t>
  </si>
  <si>
    <t>se radica el 21/03/2019ER31656, prorroga por un mes hasta el 10 de junio/19</t>
  </si>
  <si>
    <t>190221-0-2019</t>
  </si>
  <si>
    <t>se radico el 26/03/2019 ER3396 
(Viviana Marcela Rodirguez)</t>
  </si>
  <si>
    <t>se radico el 26/03/2019 ER3397 
(Patricia Villegas)</t>
  </si>
  <si>
    <t>*se radico el 12/12/2018 ER135303
*se volvio a radicar el 27/03/2019 ER33661</t>
  </si>
  <si>
    <t>se radico el 21/03/2019ER31652
(ANDRES FERNANDO ZUÑIGA)</t>
  </si>
  <si>
    <t>*se radico el 17/12/2018 ER 136491
*se volvio a radicar el 07/03/2019ER24629
*se vovlio a radicar el 29/03/2019ER35577</t>
  </si>
  <si>
    <t>190225-0-2019</t>
  </si>
  <si>
    <t>190226-0-2019</t>
  </si>
  <si>
    <t>comunicaciones</t>
  </si>
  <si>
    <t xml:space="preserve">DIANA CAROLINA RIVEROS BEJARANO  (Cesionaria) / ANA MARIA MONROY MORA (Antes)
</t>
  </si>
  <si>
    <t>SDH-SMINC-2-2019</t>
  </si>
  <si>
    <t>*se radico el  21/11/2018 ER128073.
*se volvio a radicar el 8/03/2019 ER25240
*se vovlio a radicar el 29/03/2019ER35757</t>
  </si>
  <si>
    <t>190228-0-2019</t>
  </si>
  <si>
    <t>190231-0-2019</t>
  </si>
  <si>
    <t>190233-0-2019</t>
  </si>
  <si>
    <t>se radico el 02/04/2019 ER37105
(HERNANDO REYES ARANGO)</t>
  </si>
  <si>
    <t>se radico el 03/04/2019ER37981</t>
  </si>
  <si>
    <t>190237-0-2019</t>
  </si>
  <si>
    <t>JEAN CLAUDE WILLINGTON CORTES MANCERA</t>
  </si>
  <si>
    <t>MILTON JAVIER LATORRE MARIÑO</t>
  </si>
  <si>
    <t>Blanca Lisbeth Camargo</t>
  </si>
  <si>
    <t xml:space="preserve">Jean Claude Willington Cortes </t>
  </si>
  <si>
    <t>Yolanda Canchila</t>
  </si>
  <si>
    <t>SDH-SIE-8-2018</t>
  </si>
  <si>
    <t>SDH-SAMC-7-2018</t>
  </si>
  <si>
    <t>SDH-CD-51-2018</t>
  </si>
  <si>
    <t>SDH-CD-55-2018</t>
  </si>
  <si>
    <t>SDH-CD-74-2018</t>
  </si>
  <si>
    <t>SDH-CD-78-2018</t>
  </si>
  <si>
    <t>SDH-CD-79-2018</t>
  </si>
  <si>
    <t>SDH-CD-75-2018</t>
  </si>
  <si>
    <t>SDH-SMINC-47-2018</t>
  </si>
  <si>
    <t>SDH-CD-54-2018</t>
  </si>
  <si>
    <t>SDH-CD-37-2018</t>
  </si>
  <si>
    <t>SDH-SMINC-43-2018</t>
  </si>
  <si>
    <t>SDH-CD-61-2018</t>
  </si>
  <si>
    <t>SDH - CD -26-2018</t>
  </si>
  <si>
    <t>SDH-CD-56-2018</t>
  </si>
  <si>
    <t>SDH-CD-45-2018</t>
  </si>
  <si>
    <t>SDH-CD-6-2018</t>
  </si>
  <si>
    <t>SDH-CD-34-2018</t>
  </si>
  <si>
    <t>SDH-SAMC-4-2018</t>
  </si>
  <si>
    <t>SDH-CD-39-2018</t>
  </si>
  <si>
    <t>SDH-CD-40-2018</t>
  </si>
  <si>
    <t>SDH-CD-17-2018</t>
  </si>
  <si>
    <t>SDH-SIE-7-2018</t>
  </si>
  <si>
    <t>SDH-CD-30-2018</t>
  </si>
  <si>
    <t>CD-SHD-36-2018</t>
  </si>
  <si>
    <t>SDH-SAMC- 1-2018 </t>
  </si>
  <si>
    <t>SDH-CD-4-2018</t>
  </si>
  <si>
    <t>SDH-CD-33-2018</t>
  </si>
  <si>
    <t>SDH-CD-13-2018</t>
  </si>
  <si>
    <t>SHD-CD-16-2018</t>
  </si>
  <si>
    <t>SDH-CD-12-2018</t>
  </si>
  <si>
    <t>SDH-CD-11-2018</t>
  </si>
  <si>
    <t>SDH-CD-18-2018</t>
  </si>
  <si>
    <t>SDH-CD-26-2018</t>
  </si>
  <si>
    <t>ANGELA IBETH DÍAZ REY (Cesionaria) /MARICELA CASTRO DELGADO  (Antes)</t>
  </si>
  <si>
    <t>190243-0-2019</t>
  </si>
  <si>
    <t>MARIA PAULA RODRIGUEZ HERNANDEZ</t>
  </si>
  <si>
    <t xml:space="preserve">Prestar los servicios profesionales para apoyar al Concejo de Bogotá D.C., en el desarrollo de las actividades protocolarias de los diferentes eventos que lleva a cabo la Corporación en  ejercicio de sus funciones. </t>
  </si>
  <si>
    <t>Servicios Profesionales/ Oficina de Comunicaciones</t>
  </si>
  <si>
    <t>1 mes y 8 días</t>
  </si>
  <si>
    <t>190227-0-2019</t>
  </si>
  <si>
    <t>GENEVA INGENIERIA SAS</t>
  </si>
  <si>
    <t>adquirir monitores industriales para el salón Lara Bonilla para el Concejo de Bogotá.</t>
  </si>
  <si>
    <t>Adquisición Monitores Industriales</t>
  </si>
  <si>
    <t>Francisco Javier Bernal García</t>
  </si>
  <si>
    <t>NANCY ADRIANA SANDOVAL ÁVILA</t>
  </si>
  <si>
    <t>Francisco Bernal</t>
  </si>
  <si>
    <t>190247-0-2019</t>
  </si>
  <si>
    <t>MARIA ALEJANDRA GAITAN NAVARRETE</t>
  </si>
  <si>
    <t>Prestar servicios profesionales para apoyar a la oficina de comunicaciones del Concejo de Bogotá D.C. en la generación de estrategias que permitan la socialización divulgación y comunicación de la Ley de Transparecia y demás políticas institucionales, así como prestar apoyo en el cubrimiento mediático de las diferentes sesiones de la coproración, de conformidad con lo establecido en los estuduios previos.</t>
  </si>
  <si>
    <t xml:space="preserve">Comunicaciones </t>
  </si>
  <si>
    <t>se radico el 09/04/2019ER41345 una prorroga hasta el 20/05/2019</t>
  </si>
  <si>
    <t>Se radico el 09/04/2019ER41464 una solicitud de adición y de prorroga hasta el 30/05/2019</t>
  </si>
  <si>
    <t>*se radica el 8/03/2019 ER25516 una prorroga hasta el 14/04/2019
*se radica el 11/04/2019ER42822 una prorroga hasta el 14/05/2019</t>
  </si>
  <si>
    <t>*se radica el 10/04/2019ER42289 una prorroga hasta el 10/06/2019</t>
  </si>
  <si>
    <t>Leidy Adriana Gomez Pajarito</t>
  </si>
  <si>
    <t>Se radico el 12/04/2019ER43344</t>
  </si>
  <si>
    <t>190247-0-0-2019</t>
  </si>
  <si>
    <t>SDH-SMINC-6-2019</t>
  </si>
  <si>
    <t>190249-0-2019</t>
  </si>
  <si>
    <t>Servicios Profesionales/ Comisión del Plan</t>
  </si>
  <si>
    <t>se radico el 10/04/2019ER42286 
(Martha P. Ortiz)</t>
  </si>
  <si>
    <t>190246-0-2019</t>
  </si>
  <si>
    <t>GRAN IMAGEN SAS</t>
  </si>
  <si>
    <t>190250-0-2019</t>
  </si>
  <si>
    <t>Prestar servicios profesionales para apoyar la gestión Administrativa documental y contractual en los asuntos de competencia del Concejo de Bogotá D.C.</t>
  </si>
  <si>
    <t>Servicios Profesionales/ Dirección Administrativa</t>
  </si>
  <si>
    <t>Gestión Administrativa</t>
  </si>
  <si>
    <t>SDH-SMINC-9-2019</t>
  </si>
  <si>
    <t>se radico el 25/04/2019 ER47920</t>
  </si>
  <si>
    <t>*se radico el 29/04/2019ER49368</t>
  </si>
  <si>
    <t>190252-0-2019</t>
  </si>
  <si>
    <t>Servicios Profesionales/ Dirección Jurídica</t>
  </si>
  <si>
    <t>Gestión Jurídica</t>
  </si>
  <si>
    <t>Prestar los servicios de producción y trasmisión de programas de televisión para el Concejo de Bogotá.</t>
  </si>
  <si>
    <t xml:space="preserve">Prestar servicios de producción y trasmisión de programas de televisión para el Concejo de Bogotá. </t>
  </si>
  <si>
    <t>190253-0-2019</t>
  </si>
  <si>
    <t>Servicios Profesionales/ Plataforma Oracle</t>
  </si>
  <si>
    <t>190259-0-2019</t>
  </si>
  <si>
    <t>INSTITUTO DISTRITAL DE LAS ARTES - IDARTES</t>
  </si>
  <si>
    <t xml:space="preserve">Entregar en comodato el teatro Jorge Eliécer Gaítan al Concejo de Bogotá para realizar el evento "Premios de Periodismo Álvaro Gómez Hurtado", que se llevará acabo el día 8 de mayo de 2019 </t>
  </si>
  <si>
    <t>Se efectuarán dos pagos:
- correspondiente al 10% del valor total de los gastos operativos.
- correspondiente al 90% del valor total del contrato.</t>
  </si>
  <si>
    <t>COMODATO</t>
  </si>
  <si>
    <t>CONTRATO DE COMODATO</t>
  </si>
  <si>
    <t>190255-0-2019</t>
  </si>
  <si>
    <t>Servicios Profesionales/ Pensiones</t>
  </si>
  <si>
    <t>900413030-9</t>
  </si>
  <si>
    <r>
      <t xml:space="preserve">se radico adición y prorroga hasta el </t>
    </r>
    <r>
      <rPr>
        <b/>
        <sz val="8"/>
        <color theme="1"/>
        <rFont val="Arial"/>
        <family val="2"/>
      </rPr>
      <t>15/06/2019</t>
    </r>
    <r>
      <rPr>
        <sz val="8"/>
        <color theme="1"/>
        <rFont val="Arial"/>
        <family val="2"/>
      </rPr>
      <t>, el 02/05/2019 ER50651</t>
    </r>
  </si>
  <si>
    <t>Aura Elisa Guerrero - 
LUIS FERNANDO MEZA DAZA</t>
  </si>
  <si>
    <t>190262-0-2019</t>
  </si>
  <si>
    <t>MIACOM SAS</t>
  </si>
  <si>
    <t>900677188-6</t>
  </si>
  <si>
    <t>Prestar servicios de diseño producción y ejecución de estrategias de divulgación en medios de comunicación de carácter masivo y alternativo para el Concejo de Bogotá.</t>
  </si>
  <si>
    <t>mensualidades vencidad de acuerdo con los servicios efectivamente prestados.</t>
  </si>
  <si>
    <t xml:space="preserve">Selección Abreviada Subasta inversa </t>
  </si>
  <si>
    <t>se radica una prorroga hasta el 22/05/2019 el 7/05/2019 ER52413</t>
  </si>
  <si>
    <t>SDH-SIE-5-2019</t>
  </si>
  <si>
    <t>*Se radico el 09/05/2019ER54023</t>
  </si>
  <si>
    <t xml:space="preserve">se radico el 10/05/2019ER54947 una adicón y prorroga hasta el 19/07/2019, </t>
  </si>
  <si>
    <t xml:space="preserve">*se radico el 11/03/2019 ER25823
</t>
  </si>
  <si>
    <t>190260-0-2019</t>
  </si>
  <si>
    <t>Los pagos se efectuarán así:
A. Un primer pago con la entrega de la actualización e instalación de las licencias.
B. Un segundo pago correspondiente al valor del soporte objeto de este contrato a los 5 (cinco) meses posterior a la fecha.
C. Un tercer pago correspondiente al valor del soporte objeto de este contrato a los 11 (once) meses posterior a la fecha.</t>
  </si>
  <si>
    <t>*se radico el 28/02/2019 ER21630
*se volvio a radicar el 27/03/2019 ER33664</t>
  </si>
  <si>
    <t>190263-0-2019</t>
  </si>
  <si>
    <t>Prestar servicios profesionales para apoyar a la Secretaría General del Concejo de Bogotá en la respuesta a derechos de petición solicitudes quejas consultas  y reclamos que reciba la Corporación.</t>
  </si>
  <si>
    <t>Servicios profesionales / Secretaria General</t>
  </si>
  <si>
    <t>ROSA ELENA MORALES MENESES</t>
  </si>
  <si>
    <t>190267-0-2019</t>
  </si>
  <si>
    <t>Presatar servicios profesionales para apoyar el proceso de sistemas y seguirdad de la información del Concejo de Bogotá en materia de seguridad informática.</t>
  </si>
  <si>
    <t>*Se radico el 21/08/2018 ER93834</t>
  </si>
  <si>
    <t>ARLEZ DONELLY MOGOLLÓN ZUÑIGA</t>
  </si>
  <si>
    <t>4 mes</t>
  </si>
  <si>
    <t>190269-0-2019</t>
  </si>
  <si>
    <t>Los pagos serán:
-primer pago el valor correspondiente a la entrega de la actualización de las licencias.
-Mensualidades vencidas correspondientes al mantenimiento y soporte mensual. 
-Un pago a la entrega de los ajustes a las plantillas definidas.</t>
  </si>
  <si>
    <t>PRESTACIÓN DE SERVICIOS</t>
  </si>
  <si>
    <t>Mantenimiento / licencias sitio web</t>
  </si>
  <si>
    <t>AURA ELISA GUERRERO</t>
  </si>
  <si>
    <t>SDH-CD-190269-0-2019</t>
  </si>
  <si>
    <t>12 días calendario</t>
  </si>
  <si>
    <t>INFORMATICA DOCUMENTAL</t>
  </si>
  <si>
    <t>MITSUBISHI ELECTRIC</t>
  </si>
  <si>
    <t>190270-0-2019</t>
  </si>
  <si>
    <t>SDH-SMINC-16-2019</t>
  </si>
  <si>
    <t>Se realizará en Tres pagos así:
- Un pago correspondiente al valor de las licencias.
-Dos pago iguales a los servicios conexos</t>
  </si>
  <si>
    <t xml:space="preserve">Mantenimiento / SOFTWARE ANTIVIRUS </t>
  </si>
  <si>
    <t xml:space="preserve"> SDH-SAMC-003-2012</t>
  </si>
  <si>
    <t xml:space="preserve"> SDH-LP-003-2012</t>
  </si>
  <si>
    <t xml:space="preserve"> 130336-0-2013</t>
  </si>
  <si>
    <t xml:space="preserve"> SDH-SMINC-023-2013</t>
  </si>
  <si>
    <t xml:space="preserve"> SDH-SAMC-001-2012</t>
  </si>
  <si>
    <t xml:space="preserve"> 130106-0-2013</t>
  </si>
  <si>
    <t xml:space="preserve"> SDH-SMINC-27-2013</t>
  </si>
  <si>
    <t>9 meses y 7 días</t>
  </si>
  <si>
    <t>el 30/05/2019 ER62124, SE RADICA CESIÓN DEL CONTRATO (Jose Neftalí Perea Holguin)</t>
  </si>
  <si>
    <t>190279-0-2019</t>
  </si>
  <si>
    <t>SEGURIDAD ATLAS LTDA</t>
  </si>
  <si>
    <t xml:space="preserve">Prestar servicio de vigilancia y seguridad privada, para la permanente y adecuada protección de los funcionarios, contratistas y visitantes del Concejo de Bogotá, D.C., y de los bienes muebles e inmuebles objeto de esta contratación. </t>
  </si>
  <si>
    <t>SDH-LP-1-2019</t>
  </si>
  <si>
    <t>190283-0-2019</t>
  </si>
  <si>
    <t>Prestar servicios profesionales a la Dirección Jurídica del Concejo de Bogotá D.C., en el marco de los asuntos de su competencia y de acuerdo a la normatividad vigente con el fin de realizar las actividades necesarias para la depuración y actualización normativa del periodo 2015-2018.</t>
  </si>
  <si>
    <t>Servicios profesionales /Depuración Normativa</t>
  </si>
  <si>
    <t>190284-0-2019</t>
  </si>
  <si>
    <t xml:space="preserve">Prestar servicios de actualización, mantenimiento y soporte para las licencias del sitio WEB e intraet y de streaming del Concejo de Bogotá. </t>
  </si>
  <si>
    <t>190287-0-2019</t>
  </si>
  <si>
    <t>JOSE VICENTE PEÑA PINZON</t>
  </si>
  <si>
    <t>Prestar servicios profesionales para elaborar estudios de justificación técnica del rediseño organizacional del Concejo de Bogotá D.C., con sus respectivos anexos, de acuerdo con las especificaciones normativas vigentes  y los lineamientos técnicos  del Departamento Administrativo del Servicio Civil Distrital.</t>
  </si>
  <si>
    <t>Servicios profesionales /rediseño organizacional</t>
  </si>
  <si>
    <t>190293-0-2019</t>
  </si>
  <si>
    <t>IVONNE ALEXANDRA RODRIGUEZ RUEDA</t>
  </si>
  <si>
    <t>*se radico el 20/12/2018 ER137781
* se volvio a radicar el 04/06/2019ER63433</t>
  </si>
  <si>
    <t>190287-02019</t>
  </si>
  <si>
    <t>190286-0-2019</t>
  </si>
  <si>
    <t>FELIX ENRIQUE GONZALEZ CALDERON</t>
  </si>
  <si>
    <t>Prestar servicios profesionales para apoyar a la Oficina de comunicaciones del Concejo de Bogotá D.C., en la conceptualización, elaboración, diseño y desarrollo de piezas graficas comunicativas, impresas y digitales que se requieran para la difusión de convocatorias, eventos, sesiones y demás actividades.</t>
  </si>
  <si>
    <t>Servicios profesionales / diseño y desarrollo de piezas graficas</t>
  </si>
  <si>
    <t>190294-0-2019</t>
  </si>
  <si>
    <t>NIDIA GOMEZ CORTES</t>
  </si>
  <si>
    <t xml:space="preserve">Servicios profesionales / comisiones </t>
  </si>
  <si>
    <t>Comisiones</t>
  </si>
  <si>
    <t>DANILSON GUEVARA VILLABON</t>
  </si>
  <si>
    <t>190285-0-2019</t>
  </si>
  <si>
    <t>COMERCIALIZADORA BENDITO SAS</t>
  </si>
  <si>
    <t>Suministro y elementos deportivos para los funcionarios del Concejo de Bogotá.</t>
  </si>
  <si>
    <t>suministro de elementos deportivos</t>
  </si>
  <si>
    <t>* se radico el 12/12/2018 ER135301
*se vovlio a radicar el 11/06/2019 ER65880</t>
  </si>
  <si>
    <t>SDH-SMINC-15-2019</t>
  </si>
  <si>
    <t>* La primera solicitud se radico el 14/12/2018
ER136160.
* Se volvio a radicar el 25/02/2019 ER19638.
* *Se volvio a radicar el 13/03/2019 ER27576
*Se volvio a radicar el 02/05/2019 ER50643
*SE VOLVIO A RADICAR EL 07/06/2019
ER64780
* SE RADICO UN ALCANCE  EL 13/06/2019ER66858</t>
  </si>
  <si>
    <t>190296-0-2019</t>
  </si>
  <si>
    <t>ARIOS COLOMBIA SAS</t>
  </si>
  <si>
    <t>Selección abreviada de menor cuantía</t>
  </si>
  <si>
    <t>SDH-SAMC-4-2019</t>
  </si>
  <si>
    <t>*se radico el 17/06/2019 ER68203, con otro objeto contractual</t>
  </si>
  <si>
    <t>*se radico el 17/06/2019ER68147</t>
  </si>
  <si>
    <t>*se radico el 17/12/2018 ER136487
*se volvio a radicar el 9/04/2019 ER41359
*se volvio a radicar el 17/06/2019ER68149</t>
  </si>
  <si>
    <t>pagos mensuales vencidos</t>
  </si>
  <si>
    <t>*Se radico el 02/05/2019ER50644
*Se volvio a radicar el 6/05/2019 ER52244 - SOLICITUD DEVUELTA POR LA SDH ER14555-18/06/2019
*Se volvio a radicar el 10/05/2019ER54932
*se radico un alcance el 12/06/2019ER66413</t>
  </si>
  <si>
    <t>Prestar servicios integrales de aseo y cafeteria y servicio de fumigación para las instalaciones del Concejo de Bogotá D.C., de conformidad con lo establecido en el pliego de condiciones del proceso de selección abreviada de menor cuantía No. SDH-SAMC-4-2019 y la propuesta presentada por el contratista.</t>
  </si>
  <si>
    <r>
      <t>se radico 20/06/2019ER69368</t>
    </r>
    <r>
      <rPr>
        <b/>
        <sz val="8"/>
        <color theme="1"/>
        <rFont val="Arial"/>
        <family val="2"/>
      </rPr>
      <t xml:space="preserve"> PRORROGA HASTA EL 20 DE JULIO/2019</t>
    </r>
    <r>
      <rPr>
        <sz val="8"/>
        <color theme="1"/>
        <rFont val="Arial"/>
        <family val="2"/>
      </rPr>
      <t xml:space="preserve"> </t>
    </r>
  </si>
  <si>
    <t>se efectuaran los pagos así:
- un primer pago el 30% del valor del contrato.
- un segundo pago por el 70% del valor del contrato</t>
  </si>
  <si>
    <t>Ünico pago</t>
  </si>
  <si>
    <t>190298-0-2019</t>
  </si>
  <si>
    <t>Prestar servicios de alquiler de escenarios como salones, auditorios y espacios abiertos, apoyo logístico y servicio de catering para el desarrollo de eventos que requiera el Concejo de Bogotá.</t>
  </si>
  <si>
    <t>SDH-SAMC-3-2019</t>
  </si>
  <si>
    <t>alquiler de  salones</t>
  </si>
  <si>
    <t>190308-0-2019</t>
  </si>
  <si>
    <t>DORA QUIROGA MENDOZA</t>
  </si>
  <si>
    <t>Prestar servicios para apoyar la atención, recepción, orientación y direccionamiento de los ciudadanos y visitantes, para el fortalecimiento de la Oficina de atención al ciudadano del Concejo de Bogotá D.C.</t>
  </si>
  <si>
    <t xml:space="preserve">Servicios de apoyo / atención al ciudadano </t>
  </si>
  <si>
    <t>190309-0-2019</t>
  </si>
  <si>
    <t>CAROLINA ZARATE ARCOS</t>
  </si>
  <si>
    <t>Prestar servicios profesionales para apoyar la oficina asesora de planeación del Concejo de Bogotá en el seguimiento del plan anticorrupción y atención al ciudadano en todos sus componentes, y la construcción e implementación de las herramientas al modelo integrado de planeación y gestión.</t>
  </si>
  <si>
    <t>Servicios profesionales / Planeación</t>
  </si>
  <si>
    <t>planeación</t>
  </si>
  <si>
    <t>SANTIAGO GUTIERREZ MENDOZA</t>
  </si>
  <si>
    <t>Jefe Oficina de Planeación</t>
  </si>
  <si>
    <t>190306-0-2019</t>
  </si>
  <si>
    <t>CLAUDIA MARCELA HOLGUIN HERRERA</t>
  </si>
  <si>
    <t>Prestar servicios de apoyo a la Dirección Administrativa en la gestión de las actividades contenidas en el plan de bienestar e incentivos y plan de capacitación del Concejo de Bogotá D.C.</t>
  </si>
  <si>
    <t>Servicios de apoyo/ bienestar</t>
  </si>
  <si>
    <t>190305-0-2019</t>
  </si>
  <si>
    <t>HERNANDO REYES ARANGO</t>
  </si>
  <si>
    <t>Prestar servicios profesionales para apoyar la supervisión técnica de los temas de infraestructura física asociados al desarrollo del Convenio Interadministrativo suscrito entre la Agencia Inmobiliaria y la Secretaria Distrital de Hacienda para el edificio nuevo del Concejo de Bogotá.</t>
  </si>
  <si>
    <t>Servicios profesionales / infraestructura</t>
  </si>
  <si>
    <t xml:space="preserve">Gestion financiera </t>
  </si>
  <si>
    <t>190300-0-2019</t>
  </si>
  <si>
    <t>SDH-SMINC-20-2019</t>
  </si>
  <si>
    <t>medios de respaldo</t>
  </si>
  <si>
    <t>190312-0-2019</t>
  </si>
  <si>
    <t>JHON ELKIN GARIBELLO CORREA</t>
  </si>
  <si>
    <t>190303-0-2019</t>
  </si>
  <si>
    <t>EVALUA SALUD IPS SAS</t>
  </si>
  <si>
    <t>Realizar exámenes médicos ocupacionales y complementarios igualmente la aplicación de vacunas para los funcionarios del Concejo de Bogotá.</t>
  </si>
  <si>
    <t>exámenes médicos</t>
  </si>
  <si>
    <t>SDH-SAMC-6-2019</t>
  </si>
  <si>
    <t>190310-0-2019</t>
  </si>
  <si>
    <t>LUZ DARY BARON RINCON</t>
  </si>
  <si>
    <t xml:space="preserve">Prestar servicios profesionales para apoyar la dirección Financiera del Concejo de Bogota D.C., en el área de nómina en lo referente sistema general de seguridad social en salud y riesgos profesionales  </t>
  </si>
  <si>
    <t xml:space="preserve">Sistemas de seguridad social </t>
  </si>
  <si>
    <t xml:space="preserve">Jeyckson Alejandro Lopez Carlos </t>
  </si>
  <si>
    <t xml:space="preserve">Jeyckson alejandro Lopez Carlos </t>
  </si>
  <si>
    <t>Cesar Delgado Aguilar</t>
  </si>
  <si>
    <t>Proveer bonos navideños para los hijos de los funcionarios del Concejo de Bogotá.</t>
  </si>
  <si>
    <t>Se radico el 2019 ER72333 del 28 de junio de 2019</t>
  </si>
  <si>
    <t>190315-0-2019</t>
  </si>
  <si>
    <t>JORGE EDUARDO RUGE GOMEZ</t>
  </si>
  <si>
    <t xml:space="preserve">Luz Angela Cardenas </t>
  </si>
  <si>
    <t>190322-0-2019</t>
  </si>
  <si>
    <t>SOCIEDAD DE TELEVISION DE CALDAS RISARALDA Y QUINDIO LTDA TELECAFE LTDA</t>
  </si>
  <si>
    <t>190320-0-2019</t>
  </si>
  <si>
    <t>NATALIA ALEJANDRA OSORIO ESPINOSA</t>
  </si>
  <si>
    <t>190316-0-2019</t>
  </si>
  <si>
    <t xml:space="preserve">JAIME ENRIQUE ZAMBRANO SALAZAR </t>
  </si>
  <si>
    <t>190318-0-2019</t>
  </si>
  <si>
    <t>Suministro de papelería útiles de escritorio para  el Concejo de Bogotá</t>
  </si>
  <si>
    <t>SDH-SMINC-25-2019</t>
  </si>
  <si>
    <t>se radico el 01/07/2019 ER72942</t>
  </si>
  <si>
    <t>Jaime Zambrano</t>
  </si>
  <si>
    <t>Anabia angarita</t>
  </si>
  <si>
    <t>Adriana Ruiz</t>
  </si>
  <si>
    <t>Jorge Ruge</t>
  </si>
  <si>
    <t>Nohemi feliciano</t>
  </si>
  <si>
    <t>Natalia Osorio</t>
  </si>
  <si>
    <t>Guillermo Matallana</t>
  </si>
  <si>
    <t>190319-0-2019</t>
  </si>
  <si>
    <t>LAURA CATALINA GUITERREZ MENDEZ</t>
  </si>
  <si>
    <t>Prestar servicios profesionales para apoyar al Concejo de Bogotá D.C. en la realización de las actividades necesarias para la estructuración, supervisión y seguimiento contractual</t>
  </si>
  <si>
    <t xml:space="preserve">1 mes Y 20 dias </t>
  </si>
  <si>
    <t xml:space="preserve">mensualidades vencidas </t>
  </si>
  <si>
    <t xml:space="preserve">1 MESES Y 13 DIAS </t>
  </si>
  <si>
    <t xml:space="preserve">1 MES </t>
  </si>
  <si>
    <t>190317-0-2019</t>
  </si>
  <si>
    <t>TRANSPORTE LOGISTICA MUDANZAS EL NOGAL SAS</t>
  </si>
  <si>
    <t xml:space="preserve">Prestar servicios de transporte de bienes muebles equipos de oficina y cajas de archivo documental para el Concejo de Bogotá </t>
  </si>
  <si>
    <t>SDH-SMINC-26-2019</t>
  </si>
  <si>
    <t xml:space="preserve">Adriana Ruiz </t>
  </si>
  <si>
    <t>190333-0-2019</t>
  </si>
  <si>
    <t xml:space="preserve">GUILLERMO ALEXANDER GARCIA HERNANDEZ </t>
  </si>
  <si>
    <t>*Se radico 11/07/2019 2019ER77108</t>
  </si>
  <si>
    <t>1MES 13 DIAS</t>
  </si>
  <si>
    <t>190334-0-2019</t>
  </si>
  <si>
    <t>190330-0-2019</t>
  </si>
  <si>
    <t>RODRIGO GONZALEZ ANDRADE</t>
  </si>
  <si>
    <t>Contratar la consultoría para los estudios, memorias de cálculo, planos y presupuesto para la reubicación de la red de acometida de agua potable y red contra incendios, de la red eléctrica de alta tensión del edificio de 6 pisos del concejo de Bogotá</t>
  </si>
  <si>
    <t>SDH-SMINC-22-2019</t>
  </si>
  <si>
    <t>190343-0-2019</t>
  </si>
  <si>
    <t>GABINO HERNANDEZ BLANCO</t>
  </si>
  <si>
    <t>Prestar servicios profesionales para apoyar las diferentes dependencias del Concejo de Bogotá, en lo referente a procesos de liquidación y cierre de procesos contractuales.</t>
  </si>
  <si>
    <t>190337-0-2019</t>
  </si>
  <si>
    <t>MARTHA MIREYA SANCHEZ FIGUEROA</t>
  </si>
  <si>
    <t>190338-0-2019</t>
  </si>
  <si>
    <t>MARIA ALEJANDRA SANCHEZ SIERRA</t>
  </si>
  <si>
    <t>Prestar servicios profesionales para apoyar las diferentes dependencias del Concejo de Bogotá, en lo referente a procesos de liquidación y cierre de procesos contractuales</t>
  </si>
  <si>
    <t>190351-0-2019</t>
  </si>
  <si>
    <t xml:space="preserve">JOSE NEFTALI PEREA HOLGUIN </t>
  </si>
  <si>
    <t xml:space="preserve">Prestar servicios profesionales para apoyar al Concejo de Bogotá en el seguimiento al cumplimiento del Plan de Acción de la Corporación. </t>
  </si>
  <si>
    <t xml:space="preserve">Servicios de Profesionales/ secretaria General </t>
  </si>
  <si>
    <t>Servicios de profesionales / Dirección Financiera</t>
  </si>
  <si>
    <t>Servicios profesionales/ Dirección Financiera</t>
  </si>
  <si>
    <t>Servicios profesionales / Dirección Administrativa</t>
  </si>
  <si>
    <t xml:space="preserve">Servicios profesionales / Oficina Control Interno </t>
  </si>
  <si>
    <t>*La primera se radico el 23/11/2018 ER129078
*Se volvio a radicar el 20/12/2018 ER137780
*se volvio a radicar el 15/05/2019ER56489 *Se volvio a radicar el 15/07/2019 2019ER78003</t>
  </si>
  <si>
    <t>*se radico el 17/12/2018 ER136490
*se volvio a radicar el 16/05/2019ER57280
* se volvio a radicar el 31/05/2019ER62579 *Se volvio a radicar el 15/07/2019 cordis 2019ER78005</t>
  </si>
  <si>
    <t xml:space="preserve">JAIRO MOISES MARTÍNEZ QUIROGA </t>
  </si>
  <si>
    <t>Prestar servicios profesionales para apoyar a la Dirección Jurídica del Concejo de Bogotá D.C., en la implementación de políticas y procedimientos para el fortalecimiento del proceso de atención a la ciudadanía.</t>
  </si>
  <si>
    <t>190345-0-2019</t>
  </si>
  <si>
    <t>Juridica</t>
  </si>
  <si>
    <t>Secretaria General</t>
  </si>
  <si>
    <t>LUIS MAURICIO GARCÍA NIÑO</t>
  </si>
  <si>
    <t>Prestar servicios de apoyo a la Dirección Jurídica del Concejo de Bogotá D.C., que permitan realizar las actividades necesarias para la depuración y actualización normativa del periodo 2015-2018.</t>
  </si>
  <si>
    <t>190350-0-2019</t>
  </si>
  <si>
    <t xml:space="preserve">Servicios de Profesionales/ Dirección Jurídica </t>
  </si>
  <si>
    <t>190356-0-2019</t>
  </si>
  <si>
    <t xml:space="preserve">WILLIAM ANDRES GUERRERO CABALLERO </t>
  </si>
  <si>
    <t xml:space="preserve">Prestar servicios de apoyo a la Dirección Financiera del Concejo del Bogotá relacionados con el proceso de nómina </t>
  </si>
  <si>
    <t>Servicios de apoyo / Dirección Financiera</t>
  </si>
  <si>
    <t xml:space="preserve">Gestión de nomina </t>
  </si>
  <si>
    <t>190353-0-2019</t>
  </si>
  <si>
    <t>DENIS ADRIANA CRISTANCHO SALAS</t>
  </si>
  <si>
    <t>Prestar servicios de apoyo a la Dirección Financiera del Concejo del Bogotá relacionados con el proceso de nómina</t>
  </si>
  <si>
    <t>190336-0-2019</t>
  </si>
  <si>
    <t>Adquirir tóner para las impresoras propiedad del Concejo de Bogotá</t>
  </si>
  <si>
    <t>Orden de compra 39204</t>
  </si>
  <si>
    <t>Adquisición tóner</t>
  </si>
  <si>
    <t>SDH-SIE-6-2019</t>
  </si>
  <si>
    <t>Administración plataforma oracle</t>
  </si>
  <si>
    <t>190321-0-2019</t>
  </si>
  <si>
    <t>Selección abreviada subasta inversa</t>
  </si>
  <si>
    <t>190335-0-2019</t>
  </si>
  <si>
    <t>MAKRO SUPERMAYORISTAS SAS</t>
  </si>
  <si>
    <t>900059238-5</t>
  </si>
  <si>
    <t>Adquirir papel para las impresoras propiedad del Concejo de Bogotá</t>
  </si>
  <si>
    <t>Orden de compra 39152</t>
  </si>
  <si>
    <t>Adquisición papel para impresoras</t>
  </si>
  <si>
    <t>190332-0-2019</t>
  </si>
  <si>
    <t>CENTRO CAR 19 LIMITADA</t>
  </si>
  <si>
    <t>800250589-1</t>
  </si>
  <si>
    <t>SDH-SMINC-30-2019</t>
  </si>
  <si>
    <t>190352-0-2019</t>
  </si>
  <si>
    <t>VICTOR HUGO ORTEGA MONTERO</t>
  </si>
  <si>
    <t>Prestar servicios de apoyo a la Dirección Jurídica del Concejo de Bogotá D.C. en lo referente a los proyectos de respuesta de los derechos de petición, solicitudes y quejas.</t>
  </si>
  <si>
    <t>190341-0-2019</t>
  </si>
  <si>
    <t>860015685-0</t>
  </si>
  <si>
    <t>Prestar servicios para realizar las actividades de capacitación previstas en el plan institucional de capacitación para los funcionarios del Concejo de Bogotá.</t>
  </si>
  <si>
    <t>SDH-SAMC-1-2019</t>
  </si>
  <si>
    <t>capacitación</t>
  </si>
  <si>
    <t>*El 22/07/2019 ER81290, se radico una adición y una prorroga hasta el 7/11/2019</t>
  </si>
  <si>
    <t>se radico el 17/05/2019ER57725, solicitud devuelta por la SDH el 11/07/2018 ER16668</t>
  </si>
  <si>
    <t>se radica el 23/07/2019ER81647, una adición y prorroga hasta el 6/11/2019</t>
  </si>
  <si>
    <t>190344-0-2019</t>
  </si>
  <si>
    <t>Prestar servicios profesionales para apoyar a la Dirección Financiera en el marco de los asuntos jurídicos de acuerdo a la normatividad vigente</t>
  </si>
  <si>
    <t>Servicios de Profesionales/ Dirección Financiera</t>
  </si>
  <si>
    <t>190329-0-2019</t>
  </si>
  <si>
    <t>Adquirir licencias de software Acrobat Prodoc 2017</t>
  </si>
  <si>
    <t>SDH-SMINC-27-2019</t>
  </si>
  <si>
    <t>Adquisición licencias softwrae acrobat</t>
  </si>
  <si>
    <t>190359-0-2019</t>
  </si>
  <si>
    <t>COMWARE SA</t>
  </si>
  <si>
    <t>860045379-1</t>
  </si>
  <si>
    <t>Prestar el servicio integral de mesa de ayuda y gestión de impresión con suministro de repuestos para el Concejo de Bogotá.</t>
  </si>
  <si>
    <t>190339-0-2019</t>
  </si>
  <si>
    <t>UNIVERSIDAD EAN</t>
  </si>
  <si>
    <t>860026058-1</t>
  </si>
  <si>
    <t>SDH-SAMC-7-2019</t>
  </si>
  <si>
    <t>Diego Vargas</t>
  </si>
  <si>
    <t>190340-0-2019</t>
  </si>
  <si>
    <t>830040274-3</t>
  </si>
  <si>
    <t>CERTIFICATION QUALITY RESOURCES SAS</t>
  </si>
  <si>
    <t>se radica el 30/07/2019ER84470, una adición y prorroga hasta el 26/oct/19</t>
  </si>
  <si>
    <t xml:space="preserve">AXA COLPATRIA </t>
  </si>
  <si>
    <t>CARLOS ALBERTO CASTELLANOS</t>
  </si>
  <si>
    <t>Laura Gutierrez</t>
  </si>
  <si>
    <t xml:space="preserve">UT INGECOM </t>
  </si>
  <si>
    <t>INSTITUCIONAL STAR SERVICES</t>
  </si>
  <si>
    <t xml:space="preserve">PUBLICACIONES SEMANA </t>
  </si>
  <si>
    <t>ALIADOS DE COLOMBIA</t>
  </si>
  <si>
    <t xml:space="preserve">COMUNICAN </t>
  </si>
  <si>
    <t>UT GRANADINA SERACIS</t>
  </si>
  <si>
    <t>*se radico la solicitud el 22/07/2019 ER81296
*se vovlio a radicar el 31/07/2019 ER85292</t>
  </si>
  <si>
    <t>190348-0-2019</t>
  </si>
  <si>
    <t>MICROS COMPATIBILIDAD REDES Y ELEMENTOS SAS</t>
  </si>
  <si>
    <t>MENSUAL</t>
  </si>
  <si>
    <t>190362-0-2019</t>
  </si>
  <si>
    <t>JUAN FELIPE GALINDO NIÑO</t>
  </si>
  <si>
    <t>Prestar servicios profesionales para apoyar a la Dirección Jurídica del Concejo de Bogotá en la respuesta a derechos de petición solicitudes, denuncias quejas consultas y reclamos que reciba la corporación.</t>
  </si>
  <si>
    <t>GRISELDA USECHE MEDINA (Cesionaria) / LILIANA BASTIDAS LINARES (Antes)</t>
  </si>
  <si>
    <t>190364-0-2019</t>
  </si>
  <si>
    <t>LUZ AIDA ANGULO ANGULO</t>
  </si>
  <si>
    <t>Prestar servicios de apoyo al Concejo de Bogotá en lo referente a logística documental.</t>
  </si>
  <si>
    <t>Servicios de apoyo/ Logística documental</t>
  </si>
  <si>
    <t>4 meses y 13 días</t>
  </si>
  <si>
    <t>190355-0-2019</t>
  </si>
  <si>
    <t>Prestar servicios de mantenimiento preventivo, correctivo y traslado, incluyendo los repuestos y elementos que requieran los sistemas de archivos rodantes del Concejo de Bogotá, de conformidad con lo establecido en la invitación pública del proceso de mínima cuantía No. SDH-SMINC-31-2019 y la propuesta presentada por el contratista.</t>
  </si>
  <si>
    <t xml:space="preserve">Mensual </t>
  </si>
  <si>
    <t>190365-0-2019</t>
  </si>
  <si>
    <t>ORLANDO RUBIO RICO</t>
  </si>
  <si>
    <t>*se radico la solicitud el 22/07/2019 ER81292
*se volvio a radicar el 5/08/2019 ER87068</t>
  </si>
  <si>
    <t xml:space="preserve">*Se radico el 8/08/2019ER88327 </t>
  </si>
  <si>
    <t>*se radico el 09/08/2019 ER88425, una prorroga hasta el 9/09/2019</t>
  </si>
  <si>
    <t>190368-0-2019</t>
  </si>
  <si>
    <t xml:space="preserve">Prestar servicios de administración y soporte técnico para todos los productos Microsoft instalados o por instalar en el Concejo de Bogotá. </t>
  </si>
  <si>
    <t>Se pagará:
- Un primer pago  correspondientes al 90% del valor del contrato.
-Un segundo pago correspondiente al 10% del valor del contrato, previa entrega y recibo a satisfacción.</t>
  </si>
  <si>
    <t>Administración y soporte Microsoft</t>
  </si>
  <si>
    <t>*se radico la solicitud el 22/07/2019 ER81295
*se volvio a radicar el 14/08/2019 ER90367</t>
  </si>
  <si>
    <t>*La primera se radico el 19/11/2018 ER126518
*se volvio a radicar el 21/11/2018 ER128075
**Se  volvio a radicar el 15/05/2019ER56492
* se radico un alcance el 23/08/2019 ER93619</t>
  </si>
  <si>
    <t>190375-0-2019</t>
  </si>
  <si>
    <t>Suministro de elementos de promoción institucional y actos protocolarios del Concejo de Bogotá.</t>
  </si>
  <si>
    <t>SDH-SMINC-35-2019</t>
  </si>
  <si>
    <t>2 meses y 11 días</t>
  </si>
  <si>
    <t>190378-0-2019</t>
  </si>
  <si>
    <t xml:space="preserve">COLOMBIANA DE SOFTWARE Y HARDWARE COLSOF SA </t>
  </si>
  <si>
    <t>SDH-SIE-9-2019</t>
  </si>
  <si>
    <t xml:space="preserve">4 pagos bimestrales </t>
  </si>
  <si>
    <t>Soporte técnico a los servidores</t>
  </si>
  <si>
    <t>Selección Abreviada subasta Inversa</t>
  </si>
  <si>
    <t>Francisco Bernal - Aura Elisa Guerrero</t>
  </si>
  <si>
    <t>ANDRES FERNANDO GARZÓN GARZÓN (cesionario) / DOUGLAS ALBERTO CAVANZO BARRAGAN(Antes)</t>
  </si>
  <si>
    <t>RONALD STEVE SANCHEZ</t>
  </si>
  <si>
    <t>EDITORIAL LA REPÚBLICA SAS</t>
  </si>
  <si>
    <t>ORACLE  COLOMBIA</t>
  </si>
  <si>
    <t>MA ELECTRONIKA</t>
  </si>
  <si>
    <t>TRANSPORTES COCOCARGA</t>
  </si>
  <si>
    <t>28/06/2019
ER72854</t>
  </si>
  <si>
    <t>04/06/2019
ER63221</t>
  </si>
  <si>
    <t>27/06/2019
ER71596</t>
  </si>
  <si>
    <t>16/07/2019
ER11041</t>
  </si>
  <si>
    <t>30/07/2019
ER84680</t>
  </si>
  <si>
    <t>29/07/2019
ER84038</t>
  </si>
  <si>
    <t>15/07/2019
ER11041</t>
  </si>
  <si>
    <t>30/08/2019
ER96056</t>
  </si>
  <si>
    <t>J &amp; F INVERSIONES</t>
  </si>
  <si>
    <t>21/08/2019
ER92211</t>
  </si>
  <si>
    <t>SDH-CD-15-2018</t>
  </si>
  <si>
    <t xml:space="preserve">UNP </t>
  </si>
  <si>
    <t>12/08/2019
ER89439</t>
  </si>
  <si>
    <t>13/08/2019
ER89711</t>
  </si>
  <si>
    <t>30/08/2019
ER96058</t>
  </si>
  <si>
    <t>190371-0-2019</t>
  </si>
  <si>
    <t>INTEC PROYECTOS Y SERVICIOS SAS</t>
  </si>
  <si>
    <t>Prestar servicios de mantenimiento preventivo y correctivo al sistema de generación y transferencia eléctrica de emergencia del Concejo de Bogotá, de conformidad con lo establecido en la invitación pública del proceso citado en el asunto y la propuesta por ustedes presentada.</t>
  </si>
  <si>
    <t>SDH-SMINC-33-2019</t>
  </si>
  <si>
    <t>Los pagos se realizarán bimensualmente, de acuerdo a los servicios efectivamente prestados por mantenimiento preventivo y correctivo. Los insumos y respuestos se cancelarán de acuerdo a la demanda requerida en el respectivo periodo.</t>
  </si>
  <si>
    <t>Mantenimiento Transferencia eléctrica</t>
  </si>
  <si>
    <t>*se radico el 10/05/2019ER54307 una adición
* se radico el 18/9/2019ER102310, una prorroga hasta el 1/11/2019</t>
  </si>
  <si>
    <t>190392-0-2019</t>
  </si>
  <si>
    <t>ALL IN SERVICES SAS</t>
  </si>
  <si>
    <t>Prestar servicios de mantenimiento correctivo correspondiente a la reparación y corrección del mobiliario existentes en el Concejo de Bogotá con el suministro de repuestos necesarios para su correcto funcionamiento.</t>
  </si>
  <si>
    <t>SDH-SMINC-39-2019</t>
  </si>
  <si>
    <t>Mantenimeinto mobiliario</t>
  </si>
  <si>
    <t>190419-0-2019</t>
  </si>
  <si>
    <t>SUSCRIPCIÓN</t>
  </si>
  <si>
    <t>190414-0-2019</t>
  </si>
  <si>
    <t>GESTIONAMOS CONSULTORES EMPRESARIALES SAS</t>
  </si>
  <si>
    <t>Contratar el servicio de evaluación del riesgo Psicosocial para el Concejo de Bogotá.</t>
  </si>
  <si>
    <t>SDH-SMINC-42-2019</t>
  </si>
  <si>
    <t>Se realizarán dos pagos cada uno del 50%</t>
  </si>
  <si>
    <t>Evaluación del riesgo Psicosocial</t>
  </si>
  <si>
    <t>Seguridad y salud en el trabajo</t>
  </si>
  <si>
    <t>Shirley Pimiento</t>
  </si>
  <si>
    <t>190417-0-2019</t>
  </si>
  <si>
    <t>FEC SUMINISTROS Y SERVICIOS SAS</t>
  </si>
  <si>
    <t>900975944-6</t>
  </si>
  <si>
    <t>SDH-SMINC-46-2019</t>
  </si>
  <si>
    <t>190426-0-2019</t>
  </si>
  <si>
    <t>Prestar servicios profesionales de apoyo y acompañamiento en los asuntos inherentes al sistema de control interno del Concejo de Bogotá D.C.</t>
  </si>
  <si>
    <t>Servicios Profesionales / Control Interno</t>
  </si>
  <si>
    <t>*se radico la solicitud el 22/07/2019 ER81294
*se volvio a radicar el 25/9/2019 ER105473</t>
  </si>
  <si>
    <t>ROYAL PARK</t>
  </si>
  <si>
    <t xml:space="preserve">    SDH-SMINC-035-2015        </t>
  </si>
  <si>
    <t>* se radico el 3/10/2019 una prorroga hasta el 29/10/2019</t>
  </si>
  <si>
    <t>Orden de compra 24917</t>
  </si>
  <si>
    <t>SDH-SMINC-50-2017</t>
  </si>
  <si>
    <t>EMINSER SOLO ASEO</t>
  </si>
  <si>
    <t xml:space="preserve"> SDH-SIE-03-2012</t>
  </si>
  <si>
    <t xml:space="preserve"> SDH-SAMC-02-2014</t>
  </si>
  <si>
    <t>SDH-SMINC-03-2013</t>
  </si>
  <si>
    <t xml:space="preserve"> SDH-SMINC-032-2014</t>
  </si>
  <si>
    <t xml:space="preserve"> SDH-SAMC-004-2014</t>
  </si>
  <si>
    <t xml:space="preserve"> 130152-0-2013</t>
  </si>
  <si>
    <t xml:space="preserve"> SDH-SAMC-10-2014</t>
  </si>
  <si>
    <t xml:space="preserve">  140169-0-2014</t>
  </si>
  <si>
    <t xml:space="preserve"> SDH-SMINC-55-2013</t>
  </si>
  <si>
    <t xml:space="preserve"> SDH-SMINC-020-2011</t>
  </si>
  <si>
    <t xml:space="preserve"> 050000-356-0-2012</t>
  </si>
  <si>
    <t>AMANDA LILIANA RICO</t>
  </si>
  <si>
    <t xml:space="preserve"> SDH-SIE-032-2011</t>
  </si>
  <si>
    <t>PAPELERIA LOS LASGOS</t>
  </si>
  <si>
    <t xml:space="preserve"> SDH-SIE-02-2013</t>
  </si>
  <si>
    <t xml:space="preserve"> 130141-0-2013</t>
  </si>
  <si>
    <t xml:space="preserve"> SDH-SMINC-040-2014</t>
  </si>
  <si>
    <t xml:space="preserve"> SDH-SMINC-046-2012</t>
  </si>
  <si>
    <t xml:space="preserve"> 140140-0-2014</t>
  </si>
  <si>
    <t xml:space="preserve">  130261-0-2013</t>
  </si>
  <si>
    <t xml:space="preserve"> SDH-SMINC-008-2011</t>
  </si>
  <si>
    <t xml:space="preserve"> 140345-0-2014</t>
  </si>
  <si>
    <t xml:space="preserve"> SDH-SMINC-26-2014</t>
  </si>
  <si>
    <t xml:space="preserve"> 140312-0-2014</t>
  </si>
  <si>
    <t xml:space="preserve"> SDH-SMINC-26-2013</t>
  </si>
  <si>
    <t xml:space="preserve"> 140153-0-2014</t>
  </si>
  <si>
    <t>22 días</t>
  </si>
  <si>
    <t>3 meses y 22 días</t>
  </si>
  <si>
    <t>8/10/2019
ER110811</t>
  </si>
  <si>
    <t>MARIA ALEJANDRA SANCHEZ</t>
  </si>
  <si>
    <t xml:space="preserve">LEONARDO ARTURO ZAMORA </t>
  </si>
  <si>
    <t>8/10/2019
ER110809</t>
  </si>
  <si>
    <t>SHIRLEY BETANCURT RINCON</t>
  </si>
  <si>
    <t>8/10/2019
ER110807</t>
  </si>
  <si>
    <t>8/10/2019
ER110812</t>
  </si>
  <si>
    <t>TITTANIUM SAS</t>
  </si>
  <si>
    <t>8/10/2019
ER110806</t>
  </si>
  <si>
    <t>190402-0-2019</t>
  </si>
  <si>
    <t>COLOMBIANA DE SOFTWARE Y HARDWARE COLSOF</t>
  </si>
  <si>
    <t xml:space="preserve">Adquisición e Instalación a todo costo de la ampliación del sistema de almacenamiento Hewlett Packard - 3 par del Concejo de Bogotá </t>
  </si>
  <si>
    <t xml:space="preserve">Adquisición e Instalación  Hewlett Packard - 3 </t>
  </si>
  <si>
    <t>SDH-SMINC-43-2019</t>
  </si>
  <si>
    <t>190447-0-2019</t>
  </si>
  <si>
    <t>TECNOLOGIA BIOMEDICA Y SUMINISTROS SAS</t>
  </si>
  <si>
    <t>900207129-6</t>
  </si>
  <si>
    <t xml:space="preserve">Proveer elementos e insumos necesarios para atender los primeros auxilios y dotar los botiquines de Concejo de Bogotá D.C. </t>
  </si>
  <si>
    <t>Insumos de primeros auxilios</t>
  </si>
  <si>
    <t>SDH-SMINC-51-2019</t>
  </si>
  <si>
    <t>190442-0-2019</t>
  </si>
  <si>
    <t>SSL COLOMBIA SAS</t>
  </si>
  <si>
    <t>Elementos ergonómicos</t>
  </si>
  <si>
    <t>21/10/2019
ER114440</t>
  </si>
  <si>
    <t>GABINO HERNANDEZ</t>
  </si>
  <si>
    <t>21/10/2019
ER114442</t>
  </si>
  <si>
    <t>21/10/2019
ER114444</t>
  </si>
  <si>
    <t>21/10/2019
ER114447</t>
  </si>
  <si>
    <t>JOSE FERNANDO PARRA ORDUZ</t>
  </si>
  <si>
    <t>12/08/2019
ER89182</t>
  </si>
  <si>
    <t>12/08/2019
ER89184</t>
  </si>
  <si>
    <t>SDH-SMINC-48-2019</t>
  </si>
  <si>
    <t>*El 15/10/2019 ER112706, se radica una suspensión del contrato de 11 días (11/10/2019 - 21/10/2019)
*Se radica el 21/10/2019, una adicón y prorroga hasta el 21/12/2019</t>
  </si>
  <si>
    <t>Se radica el 21/10/2019ER114628, una adición y prorroga hasta el 20/11/2019</t>
  </si>
  <si>
    <t>El 21/10/2019ER114625, se radico una adicón y prorroga hasta el 15/12/2019</t>
  </si>
  <si>
    <t>190450-0-2019</t>
  </si>
  <si>
    <t>VICTOR MANUEL CARO VARGAS</t>
  </si>
  <si>
    <t>Presatar servicios profesionales para el apoyo en la revisión de los procedimientos de contabilidad y acompañamiento en la elaboración de políticas de operación contable para el proceso de Gestión Financiera para el Concejo de Bogotá D.C.</t>
  </si>
  <si>
    <t>mensual</t>
  </si>
  <si>
    <t>Servicios Profesionales / Contabilidad</t>
  </si>
  <si>
    <t>Contabilidad</t>
  </si>
  <si>
    <t>Sandra Carrera</t>
  </si>
  <si>
    <t>Esperanza Martinez</t>
  </si>
  <si>
    <t>17/10/2019
ER113598</t>
  </si>
  <si>
    <t>MARTHA SANCHEZ</t>
  </si>
  <si>
    <t xml:space="preserve">ANDRES MAURICIO BARRERA </t>
  </si>
  <si>
    <t>17/10/2019
ER113595</t>
  </si>
  <si>
    <t>16/08/2019
ER91118</t>
  </si>
  <si>
    <t>16/08/2019
ER91120</t>
  </si>
  <si>
    <t>SERVICIOS POSTALES NACIONALES</t>
  </si>
  <si>
    <t>29/03/2019
ER35596</t>
  </si>
  <si>
    <t>JUAN DIEGO ESPÍTIA</t>
  </si>
  <si>
    <t>28/03/2019
ER35021</t>
  </si>
  <si>
    <t>28/03/2019
ER35019</t>
  </si>
  <si>
    <t>28/03/2019
ER35023</t>
  </si>
  <si>
    <t>11/04/2019
ER42975</t>
  </si>
  <si>
    <t>03/05/2019
ER51066</t>
  </si>
  <si>
    <t>PANAMERICANA</t>
  </si>
  <si>
    <t>29/04/2019
ER49153</t>
  </si>
  <si>
    <t>17/05/2019
ER57645</t>
  </si>
  <si>
    <t>LUZ ANGELA CARDENAS</t>
  </si>
  <si>
    <t>22/05/2019
ER59219</t>
  </si>
  <si>
    <t>17/09/2019
ER101851</t>
  </si>
  <si>
    <t>02/09/2019
ER96621</t>
  </si>
  <si>
    <t>26/09/2019
ER106021</t>
  </si>
  <si>
    <t>COLSUBSIDIO</t>
  </si>
  <si>
    <t>09/09/2019
ER99060</t>
  </si>
  <si>
    <t>09/09/2019
ER99061</t>
  </si>
  <si>
    <t>11/09/2019
ER99706</t>
  </si>
  <si>
    <t>21/10/2019
ER114709</t>
  </si>
  <si>
    <t>HANS OLIVER BELTRAN</t>
  </si>
  <si>
    <t>18/10/2019
ER114141</t>
  </si>
  <si>
    <t>21/10/2019
ER114708</t>
  </si>
  <si>
    <t>07/10/2019
ER109846</t>
  </si>
  <si>
    <t>190435-0-2019</t>
  </si>
  <si>
    <t>860536029-4</t>
  </si>
  <si>
    <t>Suscripción el Nuevo Siglo</t>
  </si>
  <si>
    <t>190457-0-2019</t>
  </si>
  <si>
    <t>Suscripción a la Revista Semana para el Concejo de Bogotá.</t>
  </si>
  <si>
    <t>Suscripción Revista Semana</t>
  </si>
  <si>
    <t>190454-0-2019</t>
  </si>
  <si>
    <t>TRANSPORTE COCOCARGA LTDA</t>
  </si>
  <si>
    <t>900332934-3</t>
  </si>
  <si>
    <t>Prestar servicios de almacenamiento y custodia de los médios mágneticos correspondientes a las copias de respaldo de los sistemas de información del Concejo de Bogotá.</t>
  </si>
  <si>
    <t>SDH-SMINC-55-2019</t>
  </si>
  <si>
    <t>Tres pagos bimestre vencido y un (1) último pago correspondiente al último mes de ejecución del contrato.</t>
  </si>
  <si>
    <t>Almacenamiento y custodia de los medios magnéticos</t>
  </si>
  <si>
    <t>190444-0-2019</t>
  </si>
  <si>
    <t>ACUIFEROS SAS</t>
  </si>
  <si>
    <t>Prestar el servicio de mantenimiento preventivo y correctivo para los tanques de almacenamiento y equipos de bombeo hidráulicos de agua potable, residual y aguas negras del Concejo de Bogotá y el sistema hidráulico de la SDH.</t>
  </si>
  <si>
    <t>SDH-SMINC-49-2019</t>
  </si>
  <si>
    <t>mes vencido</t>
  </si>
  <si>
    <t>Mantenimiento tanques de almacenamiento</t>
  </si>
  <si>
    <t>Gestión de Recursos físicos</t>
  </si>
  <si>
    <t>se radico el 31/10/2019ER118224</t>
  </si>
  <si>
    <t>5 MESES</t>
  </si>
  <si>
    <t>se radico el 29/10/2019 ER117338
se volvio a radicar el 6/11/2019ER120112</t>
  </si>
  <si>
    <t>190462-0-2019</t>
  </si>
  <si>
    <t>BIBLIOWEB SAS</t>
  </si>
  <si>
    <t>900098581-7</t>
  </si>
  <si>
    <t>Proveer el soporte y actualización del software de gestión documental - Winisis para el Concejo de Bogotá.</t>
  </si>
  <si>
    <t>SDH-SMINC-54-2019</t>
  </si>
  <si>
    <t>se radico el 7/11/2019ER120495, una suspensión desde el 8 de nov hasta el 20 de nov de 2019
* se radica el 8/11/2019ER120977, una adición y prorroga hasta el 22/02/2020</t>
  </si>
  <si>
    <t>se radico el 8/11/2019ER120980</t>
  </si>
  <si>
    <t>siete mensualidades vencidas</t>
  </si>
  <si>
    <t>soporte y actualización Winisis</t>
  </si>
  <si>
    <t>190474-0-2019</t>
  </si>
  <si>
    <t>Servicios Profesionales / Liquidación</t>
  </si>
  <si>
    <t>Gestión Financiera</t>
  </si>
  <si>
    <t>SONIA MARINA SAAVEDRA</t>
  </si>
  <si>
    <t>13/11/2019
ER122151</t>
  </si>
  <si>
    <t>13/11/2019
ER122149</t>
  </si>
  <si>
    <t>13/11/2019
ER122148</t>
  </si>
  <si>
    <t>MARTHA PATRICIA ORTIZ</t>
  </si>
  <si>
    <t>13/11/2019
ER122146</t>
  </si>
  <si>
    <t>890900608-9</t>
  </si>
  <si>
    <t>Bonos Navideños</t>
  </si>
  <si>
    <t>190460-0-2019</t>
  </si>
  <si>
    <t>190476-0-2019</t>
  </si>
  <si>
    <t>Servicios Profesionales /  Comunicaciones</t>
  </si>
  <si>
    <t>190477-0-2019</t>
  </si>
  <si>
    <t>ANGELA IBETH DIAZ REY</t>
  </si>
  <si>
    <t>25/10/2019
ER116254</t>
  </si>
  <si>
    <t>15/11/2019
ER123191</t>
  </si>
  <si>
    <t>DIEGO EDURADO PABON BULLA</t>
  </si>
  <si>
    <t>25/10/2019
ER116350</t>
  </si>
  <si>
    <t>25/10/2019
ER116352</t>
  </si>
  <si>
    <t>15/11/2019
ER123194</t>
  </si>
  <si>
    <t>15/11/2019
ER123352</t>
  </si>
  <si>
    <t xml:space="preserve">MANUEL FELIPE VEGA </t>
  </si>
  <si>
    <t>15/11/2019
ER123197</t>
  </si>
  <si>
    <t>JORGE HERNAN SANCHEZ PINEDA</t>
  </si>
  <si>
    <t>15/11/2019
ER123195</t>
  </si>
  <si>
    <t>15/11/2019
ER123354</t>
  </si>
  <si>
    <t>15/11/2019
ER123198</t>
  </si>
  <si>
    <t xml:space="preserve">* se radica el 7/10/2019ER109628, una adición por $241,350,000
* se volvio a radicar el 8/11/2019ER120854, la adicón con las correcciones
* el 27/11/2019er126652, se radica un alcance </t>
  </si>
  <si>
    <t>*se radico el 27/11/2019ER126403 una suspensión desde el 29/11/2019 hasta el 10/12/2019</t>
  </si>
  <si>
    <t>El 29/11/2019 ER128647, se radica una adición y una prorroga hasta el 14/01/2020</t>
  </si>
  <si>
    <t>El 29/11/2019 ER128644, se radica una adicón y una prorroga hasta el 26/01/2020</t>
  </si>
  <si>
    <t>*tiene una suspensión por 13 días calendario, iniciando el 13 de agosto y terminando el 25 de agosto/19
*EL 29/11/2019ER128648, se radica una adición y una prorroga hasta el 20/01/2020</t>
  </si>
  <si>
    <t>*se radiica el 28/11/2019ER        una suspensión por trece días desde el 29/11/2019 hasta el 11/12/2019
*El 29/11/2019ER128641, se radica una adción y una prorroga hasta el 14/02/2020</t>
  </si>
  <si>
    <t>*El 17/10/2019 ER113720 se radica una adicón y una prorroga hasta el 1/12/2019
*se radica una suspensión el 28/11/2019ER126883, desde el 29/11/2019 hasta el 11/12/2019
* El 29/11/2019ER128637 se radica una adicón y una prorroga hasta el 14/01/2020</t>
  </si>
  <si>
    <t>*El 29/11/2019ER128635, se radica una adición y una prorroga hasta el 10/03/2019</t>
  </si>
  <si>
    <t>*El 29/11/2019ER128650, se radica una adicón y una prorroga hasta el 15/01/2020
*El 29/11/2019ER128507, se radica una suspensión hasta el 10/12/2019</t>
  </si>
  <si>
    <t>190482-0-2019</t>
  </si>
  <si>
    <t xml:space="preserve">DIANA CAROLINA CLAVIJO SEPULVEDA
</t>
  </si>
  <si>
    <t>181 días para los seguros generales excepto el SOAT el cual es de 364 días y 94 días para el seguro de vida de grupo</t>
  </si>
  <si>
    <t>* se radico el 2/12/2019 ER129434, una adción y una prorroga hasta el 15/01/2020</t>
  </si>
  <si>
    <t>el 6/12/2019 ER130912, se radico una adición y una prorroga hasta el 26/01/2020</t>
  </si>
  <si>
    <t>*se radico el 6/12/2019ER130914 una adión y una prorroga hasta el 14/02/2020</t>
  </si>
  <si>
    <t>*se radico el 6/12/2019ER130915 una adicón y una prorroga hasta el 27/01/2020</t>
  </si>
  <si>
    <t>*se radico el 6/12/2019ER130920 una adición y una prorroga hasta el 29/02/2020</t>
  </si>
  <si>
    <t>*se radico el 6/12/2019ER130918 una adción y una prorroga hasta el 25/02/2020</t>
  </si>
  <si>
    <t>*se radico EL 6/12/2019 ER130916 una adicón y una prorroga hasta el 20/01/2020</t>
  </si>
  <si>
    <t>*El 6/11/2019ER120125, se radica una suspensión del contrato a partir del 12 de sept hasta el 16 enero /20
*El 6/12/2019 ER130921 se radica una adicióon y una prorroga hasta el 14/02/2020</t>
  </si>
  <si>
    <t>*se radica el 6/12/2019ER130923 una adición y una prorroga hasta el 19/01/2020</t>
  </si>
  <si>
    <t>*se radica el 6/12/2019 ER130925 una adición y una prorroga hasta el 19/01/2020</t>
  </si>
  <si>
    <t>*se radica el 6/12/2019ER130926 una adición y una prorroga hasta el 26/02/2020</t>
  </si>
  <si>
    <t>*se radica el 6/12/2019ER130927 una adición y una prorroga hasta el 24/01/2020</t>
  </si>
  <si>
    <t>*se radica el 9/12/2019 ER131759 una adición y una prorroga hasta el 17/02/2020</t>
  </si>
  <si>
    <t>190494-0-2019</t>
  </si>
  <si>
    <t>CASTOR DATA SAS</t>
  </si>
  <si>
    <t>Adquisición de impresoras a color para la Secretaría General del Concejo de Bogotá</t>
  </si>
  <si>
    <t>SDH-SMINC-62-2019</t>
  </si>
  <si>
    <t>ünico pago</t>
  </si>
  <si>
    <t>Impresoraas a color</t>
  </si>
  <si>
    <t>Minima Cuantía</t>
  </si>
  <si>
    <t>190452-0-2019</t>
  </si>
  <si>
    <t>Mantenimiento ascensores</t>
  </si>
  <si>
    <t xml:space="preserve">*se radica el 10/12/2019ER132307, el levantamiento de la prescindencia </t>
  </si>
  <si>
    <t>*se radica el 10/12/2019ER132309, el levantamiento de la prescindencia</t>
  </si>
  <si>
    <t>*se radica el 10/12/2019ER132310, el levantamiento de la prescindencia</t>
  </si>
  <si>
    <t>*se radica el 10/12/2019ER132312, el levantamiento de la prescindencia</t>
  </si>
  <si>
    <t>se radico el 19/07/2019ER80385, una cesion del contrato
* se radica el 10/12/2019ER132314, el levantamiento de prescindencia</t>
  </si>
  <si>
    <t xml:space="preserve">*se radica el 10/12/2019ER132318, el levantamiento de la prescindencia </t>
  </si>
  <si>
    <t>*se radica el 10/12/2019ER132320, el levantamiento de la prescindencia</t>
  </si>
  <si>
    <t>*se radica el 10/12/2019ER132316, una adión y una prorroga hasta el 19/01/2020</t>
  </si>
  <si>
    <t>*se radica el 10/12/2019ER132308, el levanmiento de la prescindencia</t>
  </si>
  <si>
    <t>9/12/2019
ER131964</t>
  </si>
  <si>
    <t>11/12/2019
ER132627</t>
  </si>
  <si>
    <t>9/12/2019
ER131961</t>
  </si>
  <si>
    <t>9/12/2019
ER131963</t>
  </si>
  <si>
    <t>ERIKA ALEXANDRA MORALES</t>
  </si>
  <si>
    <t>11/12/2019
ER132629</t>
  </si>
  <si>
    <t>190495-0-2019</t>
  </si>
  <si>
    <t>SOLUCIONES H&amp;S S.A.S</t>
  </si>
  <si>
    <t>Prestar el servicio de alquiler, instalación y desmontaje de la decoración navideña para el Concejo de Bogotá D.C.</t>
  </si>
  <si>
    <t>SDH-SMINC-64-2019</t>
  </si>
  <si>
    <t>Decoración Navideña</t>
  </si>
  <si>
    <t>*se radica el 11/12/2019ER132833, el levantamiento de la prescindencia</t>
  </si>
  <si>
    <t>*se radica el 11/12/2019ER132832, el levantamiento de la prescindencia</t>
  </si>
  <si>
    <t>*se radica el 11/12/2019ER132835, el levantamiento de la prescindencia</t>
  </si>
  <si>
    <t>*se radica el 11/12/2019ER132947, el levantamiento de la prescindencia</t>
  </si>
  <si>
    <t>Los pagos se realizarán:
- Un primer pago correspondiente al 80% del valor del contrato, una vez puesta en funcionamiento la instalación de la iluminación y la decoración.
-Un segundo pago por el 20%, una vez haya realizado el desmonte.</t>
  </si>
  <si>
    <t>Se vovlvio a radicar el 12/08/2019ER89184, por Gabino Hernandez</t>
  </si>
  <si>
    <t>WILLIAN TEJADA CELIS</t>
  </si>
  <si>
    <t>26/11/2019
ER126331</t>
  </si>
  <si>
    <t>12/11/2019
ER121760</t>
  </si>
  <si>
    <t>04/12/2019
ER130113</t>
  </si>
  <si>
    <t>22/11/2019
ER125304</t>
  </si>
  <si>
    <t>11/12/2019
ER132885</t>
  </si>
  <si>
    <t>10/12/2019
ER132447</t>
  </si>
  <si>
    <t xml:space="preserve">DANIEL ALBERTO PIEDRAHITA </t>
  </si>
  <si>
    <t>09/12/2019
ER131774</t>
  </si>
  <si>
    <t>09/12/2019
ER131775</t>
  </si>
  <si>
    <t>10/12/2019
ER132450</t>
  </si>
  <si>
    <t>Suspensión 1</t>
  </si>
  <si>
    <t>Suspensión 2</t>
  </si>
  <si>
    <t>Total Suspensión</t>
  </si>
  <si>
    <t>Fecha de Terminación</t>
  </si>
  <si>
    <t>Suspensión</t>
  </si>
  <si>
    <t>Tiempo Total
(días)</t>
  </si>
  <si>
    <t>Fecha de terminación con suspensión</t>
  </si>
  <si>
    <t>Fecha de terminación Final</t>
  </si>
  <si>
    <t>Fecha final con suspensión 1</t>
  </si>
  <si>
    <t>Fecha final con suspensión 2</t>
  </si>
  <si>
    <t>Fecha final de terminación con suspensiones</t>
  </si>
  <si>
    <t>Nueva fecha sin prescindencia</t>
  </si>
  <si>
    <t>*se radico el 13/12/2019ER134613, levantamiento de prescindencia</t>
  </si>
  <si>
    <t>*se radico el 13/12/2019ER134617, levantamiento de prescindencia</t>
  </si>
  <si>
    <t>*se radico el 13/12/2019ER134621, levantamiento de prescindencia</t>
  </si>
  <si>
    <t>*se radico el 13/12/2019ER133923 levantamiento de prescindencia</t>
  </si>
  <si>
    <t>*se radico el 13/12/2019ER133488 el levantamiento de la prescindencia</t>
  </si>
  <si>
    <t>190493-0-2019</t>
  </si>
  <si>
    <t>SEGURIDAD INDUSTRIAL EL FARO SAS</t>
  </si>
  <si>
    <t>Prestar servicios de revisión mantenimiento y recarga de extintores y gabinetes contra incendio con suministro de repuestos y otros elementos de seguridad para el Concejo de Bogotá D.C.</t>
  </si>
  <si>
    <t>SDH-SMINC-61-2019</t>
  </si>
  <si>
    <t>Se realizará así:
- Un primer pago previo recibo a satisfacción de los bienes.
-Un segundo pago a la entrega del servicio efectivamente prestado.</t>
  </si>
  <si>
    <t>Recarga de extintores</t>
  </si>
  <si>
    <t>*Se radico el  12/12/2019er133182, el levantamiento de la prescindencia</t>
  </si>
  <si>
    <t>190479-0-2019</t>
  </si>
  <si>
    <t xml:space="preserve">DIRECTV COLOMBIA LTDA
</t>
  </si>
  <si>
    <t>SDH-SMINC-60-2019</t>
  </si>
  <si>
    <t>único pago</t>
  </si>
  <si>
    <t>Televisión satelital</t>
  </si>
  <si>
    <t>19/02/2019 ER17488, Se solicita Adición
* Se volvio a radicar el 10/05/2019ER54761
* se radica una prorroga hasta el 29/12/2024</t>
  </si>
  <si>
    <t>*el 17/12/2019ER135759 se radica el levantamiento de prescindencia</t>
  </si>
  <si>
    <t>2 MES</t>
  </si>
  <si>
    <t xml:space="preserve">Tiempo total Prórroga </t>
  </si>
  <si>
    <t>190497-0-2019</t>
  </si>
  <si>
    <t>se efectuarán los pagos así:
- Un primer pago correspondiente al valor de las licencias actualizadas  (ítems 1 y 2).
-Pagos bimestrales vencidos de acuerdo con las horas de soporte técnico (ítem3)</t>
  </si>
  <si>
    <t>soporte y mantenimiento Vmware</t>
  </si>
  <si>
    <t>SDH-SMINC-63-2019</t>
  </si>
  <si>
    <t>22 días calendario</t>
  </si>
  <si>
    <t>190500-0-2019</t>
  </si>
  <si>
    <t>UNIÓN TEMPORAL JLT - DELIMA - WILLIS-SDH- CMA - 01-2019</t>
  </si>
  <si>
    <t>901345080-9</t>
  </si>
  <si>
    <t>El corredor de seguros seleccionado realizará la intermediación y asesoría integral del programa de seguros del Concejo de Bogotá D.C., de conformidad con lo establecido en el pliego de condiciones del Concurso de Méritos Abierto N. SDH-CMA-01-2019 y la propuesta presentada por el contratista.</t>
  </si>
  <si>
    <t xml:space="preserve">SDH-CMA-1-2019 </t>
  </si>
  <si>
    <t>No Aplica</t>
  </si>
  <si>
    <t>CORRETAJE</t>
  </si>
  <si>
    <t>Intermediación y assesoría Integral de seguros</t>
  </si>
  <si>
    <t>190513-0-2019</t>
  </si>
  <si>
    <t>8999999063-3</t>
  </si>
  <si>
    <t>Se pagará:
- Primer pago 30%, previa entrega , un 15% plan de trabajo y 15% a la aprobación del plan de trabajo
-Segundo pago 40%, previa entrega, un 20% a la publicación del resultado definitivo, un 20% a la publicación del resultado 
-Tercer pago 30% previa entrega , un 15% a la entrega del informe final y un 15% a la entrega del informe final con todos los productos.</t>
  </si>
  <si>
    <t>Selección Personero y Contralor de Bogotá</t>
  </si>
  <si>
    <t xml:space="preserve">Prestar los servicios para adelantar los procesos de selección, basados en el mérito, mediante procedimientos  y medios técnicos, objetivos e imparciales, que permitan la participación en igualdad de condiciones de quienes se presenten como aspirantes para proveer los cargos de Personero de Bogotá y Contralor de Bogotá, conforma  a las disposiciones constitucionales, legales y reglamentarias que regulan la materia. </t>
  </si>
  <si>
    <t>190496-0-2019</t>
  </si>
  <si>
    <t>Prestar servicios de mantenimiento preventivo con suministro de repuestos para plantas purificadoras semi-industriales de agua para el Concejo de Bogotá.</t>
  </si>
  <si>
    <t>SDH-SMINC-59-2019</t>
  </si>
  <si>
    <t>se radico el 20/12/2019ER137253</t>
  </si>
  <si>
    <t>se radico el 16/12/2019ER135198, una prorroga hasta el 15/04/2020</t>
  </si>
  <si>
    <t>3 meses y 25 días calendario</t>
  </si>
  <si>
    <t>16 meses y 25 días calendario</t>
  </si>
  <si>
    <t>1 mes y 2 días</t>
  </si>
  <si>
    <t>HIUSTY NAYET LOPES</t>
  </si>
  <si>
    <t>23/12/2019
ER137757</t>
  </si>
  <si>
    <t>JEAN CLAUDE WILLINTONG CORTES</t>
  </si>
  <si>
    <t>19/12/2019
ER136785</t>
  </si>
  <si>
    <t>EDGAR OSIRIS QUIJANO</t>
  </si>
  <si>
    <t>19/12/2019
ER136784</t>
  </si>
  <si>
    <t xml:space="preserve">ARANDA SOFTWARE </t>
  </si>
  <si>
    <t>26/12/2019
ER138306</t>
  </si>
  <si>
    <t>COSERMAN</t>
  </si>
  <si>
    <t>26/12/2019
ER138303</t>
  </si>
  <si>
    <t>5 años</t>
  </si>
  <si>
    <t>8/10/2019
ER110808</t>
  </si>
  <si>
    <t>INGEAL</t>
  </si>
  <si>
    <t>SEGURIDAD PERCOL</t>
  </si>
  <si>
    <t>ENLACES INALAMBRICOS DIGITALES</t>
  </si>
  <si>
    <t>LA PREVISORA</t>
  </si>
  <si>
    <t>31/10/2019
ER118274</t>
  </si>
  <si>
    <t>se volvio a radicar el 15/01/2019ER3002, con los ajustes.</t>
  </si>
  <si>
    <t>09/01/2020
ER1550</t>
  </si>
  <si>
    <t>Carpeta devuelta por la SDH, EL 14/01/2020, ER610. carpeta en el archivador de Fondo Cuenta</t>
  </si>
  <si>
    <t xml:space="preserve">MOTORYSA </t>
  </si>
  <si>
    <t>09/01/2020
ER1551</t>
  </si>
  <si>
    <t>09/01/2020
ER1548</t>
  </si>
  <si>
    <t>UNION TEMPORAL ZONA SECANCOL</t>
  </si>
  <si>
    <t>26/12/2019
ER138359</t>
  </si>
  <si>
    <t>se volvio a radicar el 6/6/2019ER64027, con las correcciones</t>
  </si>
  <si>
    <t>04/10/2019
ER109248</t>
  </si>
  <si>
    <t>13/12/2019
ER133914</t>
  </si>
  <si>
    <t>se volvio a radicar el 13/12/2019ER133920</t>
  </si>
  <si>
    <t>carpeta devuelta por la SDH, el 15/01/2019ER842, carpeta en el archivador de Fondo Cuenta.</t>
  </si>
  <si>
    <t>el 8/01/2020ER1153, se radicaron las correcciones</t>
  </si>
  <si>
    <t>2 mseses</t>
  </si>
  <si>
    <t>ICOMM SOLUTION SAS</t>
  </si>
  <si>
    <t>190525-0-2019</t>
  </si>
  <si>
    <t>SDH-SIE-17-2019</t>
  </si>
  <si>
    <t xml:space="preserve">Los pagos serán:
- Un primer pago a la entrega de los equipos y elementos, incluyendo licencias.
-Un segundo pago al servicio de desmonte, instalación, configuración, capacitación y puesta en funcionamiento. </t>
  </si>
  <si>
    <t>Pantallas Video Wall</t>
  </si>
  <si>
    <t>selección abreviada subasta inversa</t>
  </si>
  <si>
    <t>190506-0-2019</t>
  </si>
  <si>
    <t>Un solo pago</t>
  </si>
  <si>
    <t xml:space="preserve">carpeta devuelta por la sdh, el 17/01/2020ER959, </t>
  </si>
  <si>
    <t>carpeta devuelta por la SDH, el 13/01/2019ER577</t>
  </si>
  <si>
    <t>CARPETA DEVUELTA POR LA SDH, 13/01/2019ER565</t>
  </si>
  <si>
    <t>17/12/2019
ER135739</t>
  </si>
  <si>
    <t>LAURA GUTIERREZ</t>
  </si>
  <si>
    <t>se radica el 17/01/2020, una prorroga hasta el 24/02/2020</t>
  </si>
  <si>
    <t>etb</t>
  </si>
  <si>
    <t>17/01/2020
ER3748</t>
  </si>
  <si>
    <t>20/01/2020
ER4146</t>
  </si>
  <si>
    <t>ANA MARIA MONROY</t>
  </si>
  <si>
    <t>17/12/2019
ER135737</t>
  </si>
  <si>
    <t>carpeta devuelta por la SDH, 13/01/2020ER566</t>
  </si>
  <si>
    <t>PABLO RAÚL RODRIGUEZ</t>
  </si>
  <si>
    <t>27/12/2019
ER13899</t>
  </si>
  <si>
    <t>carpeta devuelta por la sDH, el 13/01/2019ER569</t>
  </si>
  <si>
    <t>CONSTANZA MAHECHA</t>
  </si>
  <si>
    <t>30/12/2019
ER139515</t>
  </si>
  <si>
    <t>carpeta devuelta por la SDH. EL 13/01/2020ER562</t>
  </si>
  <si>
    <t>se volvio a enviar con las correciones el 17/01/2020ER3918</t>
  </si>
  <si>
    <t>se volvio a radicar con las correciones el 17/01/2020ER3917</t>
  </si>
  <si>
    <t>TEAM MANAGEMENT</t>
  </si>
  <si>
    <t>17/01/2019
ER3916</t>
  </si>
  <si>
    <t>se volvio a radicar con las correciones el 17/01/2020ER3915</t>
  </si>
  <si>
    <t>J Y F INVERSIONES</t>
  </si>
  <si>
    <t>17/01/2020
ER3912</t>
  </si>
  <si>
    <t>se volvio a radicar con las correciones el 17/01/2020ER3911</t>
  </si>
  <si>
    <t>se radica una prorroga hasta el 2/3/2020 el 20/12/2019 ER137252</t>
  </si>
  <si>
    <t>190515-0-2019</t>
  </si>
  <si>
    <t>CLARYICON SAS</t>
  </si>
  <si>
    <t>900442893-1</t>
  </si>
  <si>
    <t>Adquisición e instalación de un sistema para la transmisión Full HD de las sesiones del Concejo de Bogotá a las pantallas de la corporación.</t>
  </si>
  <si>
    <t>Los pagos se efectuarán así:
-un primer pago al valor de los equipos.
-un segundo pago una vez se concluyan las actividades de instalación y puesta en funcionamiento.</t>
  </si>
  <si>
    <t>sistema Full HD</t>
  </si>
  <si>
    <t>190521-0-2019</t>
  </si>
  <si>
    <t>OBSERVER MONITORING ON LINE LTDA</t>
  </si>
  <si>
    <t>900227804-5</t>
  </si>
  <si>
    <t>Proveer un sistema de contrro de acceso y talanqueras de control de acceso para el Concejo de Bogotá.</t>
  </si>
  <si>
    <t>Sistema de control de acceso y talanqueras</t>
  </si>
  <si>
    <t>SDH-SIE-15-2019</t>
  </si>
  <si>
    <t xml:space="preserve">SDH-SIE-18-2019 </t>
  </si>
  <si>
    <t>190514-0-2019</t>
  </si>
  <si>
    <t>ARCHIVOS FUNCIONALES &amp; OFICINAS EFICIENTES ZZETA SAS</t>
  </si>
  <si>
    <t>Adquisición, transporte e instalación de mobiliario para el Concejo de Bogotá D.C.</t>
  </si>
  <si>
    <t>SDH-SAMC-11-2019</t>
  </si>
  <si>
    <t>se efectuarán los pagos así:
- Un primer pago una vez se realice la entrega de las sillas tipo teatro o cine correpondiente al item 1.
-Un segundo pago una vez se realice la entrega, transporte e instalación de la totalidad de los demas ítems</t>
  </si>
  <si>
    <t>Adquisición de mobiliario</t>
  </si>
  <si>
    <t>190512-0-2019</t>
  </si>
  <si>
    <t>selección abreviada de menor cuantía</t>
  </si>
  <si>
    <t>LUIS FERNANDO MEZA</t>
  </si>
  <si>
    <t>JAMES RINCON</t>
  </si>
  <si>
    <t xml:space="preserve">devueltopor la SDH, el 10/09/2019EE167776 </t>
  </si>
  <si>
    <t>30/12/2019
ER139511</t>
  </si>
  <si>
    <t>carpeta devuelta por la SDH el 21/01/2020ER1147</t>
  </si>
  <si>
    <t>02/01/2020
ER202</t>
  </si>
  <si>
    <t>carpeta devuelta por la SDH, el 21/01/2020, ER1143</t>
  </si>
  <si>
    <t>02/01/2020
ER201</t>
  </si>
  <si>
    <t>carpeta devuelta por la SDH, el 21/01/2020ER1145</t>
  </si>
  <si>
    <t>carpeta devuelta por la SDH, el 23/01/2020ER1403</t>
  </si>
  <si>
    <t>Prestar servicios integrales de fotocopiado y servicios afines para el Concejo de Bogotá, D.C., de conformidad con lo establecido en la invitación pública del proceso de mínima cuantía No. SDH-SMINC-09-2019</t>
  </si>
  <si>
    <t>Prestar servicios profesionales a la oficina de control interno del Concejo de Bogotá., para el apoyo administrativo en las auditorias internas que se llevará a cabo.</t>
  </si>
  <si>
    <t>190524-0-2019</t>
  </si>
  <si>
    <t>Prestar servicios de mantenimiento preventivo y correctivo con suministro de repuestos para los vehículos marca Ford al servicio del Concejo de Bogotá.</t>
  </si>
  <si>
    <t>Mantenimiento Automotor/ Ford</t>
  </si>
  <si>
    <t>Mínima Cuantía</t>
  </si>
  <si>
    <t>190519-0-2019</t>
  </si>
  <si>
    <t>ADSUM SOLUCIONES TECNOLOGICAS SAS</t>
  </si>
  <si>
    <t>900425697-2</t>
  </si>
  <si>
    <t>Renovación de servicio de actualización, soporte y mantenimiento de los equipos de seguridad y monitoreo informátcio del Concejo de Bogotá.</t>
  </si>
  <si>
    <t>SDH-SIE-12-2019</t>
  </si>
  <si>
    <t>Autorización monitoreo informátco</t>
  </si>
  <si>
    <t>SDH-SMINC-67-2019</t>
  </si>
  <si>
    <t>22/01/2020
ER5267</t>
  </si>
  <si>
    <t>carpeta devuelta por la SDH el 27/01/2020EE7747</t>
  </si>
  <si>
    <t xml:space="preserve"> SDH-SMINC-14-2013</t>
  </si>
  <si>
    <t xml:space="preserve"> SDH-SMINC-55-2014</t>
  </si>
  <si>
    <t xml:space="preserve">  140316-0-2014</t>
  </si>
  <si>
    <t xml:space="preserve"> 050000-353-0-2012</t>
  </si>
  <si>
    <t>COMUNICAN</t>
  </si>
  <si>
    <t>31/01/2020
ER9053</t>
  </si>
  <si>
    <t>LINA ADELAIDA JIMENEZ</t>
  </si>
  <si>
    <t>31/01/2020
ER9032</t>
  </si>
  <si>
    <t>31/01/2020
ER9054</t>
  </si>
  <si>
    <t xml:space="preserve"> SDH-SMINC-23-2012</t>
  </si>
  <si>
    <t xml:space="preserve"> SDH-SMINC-25-2012</t>
  </si>
  <si>
    <t xml:space="preserve"> 050000-346-0-2012</t>
  </si>
  <si>
    <t xml:space="preserve"> 050000-342-0-2012</t>
  </si>
  <si>
    <t xml:space="preserve"> SDH-SMINC-17-2012</t>
  </si>
  <si>
    <t xml:space="preserve"> SDH-SMINC-21-2012</t>
  </si>
  <si>
    <t xml:space="preserve"> SDH-SMINC-16-2012</t>
  </si>
  <si>
    <t xml:space="preserve"> 050000-155-0-2012</t>
  </si>
  <si>
    <t xml:space="preserve"> 050000-131-0-2012</t>
  </si>
  <si>
    <t>SDH-SMINC-11-2012</t>
  </si>
  <si>
    <t xml:space="preserve"> SDH-SMINC-028-2011</t>
  </si>
  <si>
    <t>14 días calendario</t>
  </si>
  <si>
    <t xml:space="preserve"> SDH-SMINC-08-2013</t>
  </si>
  <si>
    <t xml:space="preserve"> SDH-SMINC-04-2013</t>
  </si>
  <si>
    <t>se radica el 30/01/2020ER8441, una prorroga hasta el 2/03/2020</t>
  </si>
  <si>
    <t xml:space="preserve"> SDH-SIE-014-2013</t>
  </si>
  <si>
    <t xml:space="preserve"> SDH-SIE-003-2013</t>
  </si>
  <si>
    <t xml:space="preserve"> SDH-SMINC-58-2013</t>
  </si>
  <si>
    <t xml:space="preserve"> SDH-SMINC-038-2013</t>
  </si>
  <si>
    <t xml:space="preserve"> SDH-SMINC-28-2013</t>
  </si>
  <si>
    <t xml:space="preserve"> SDH-SIE-08-2013</t>
  </si>
  <si>
    <t xml:space="preserve"> SDH-SIE-03-2014</t>
  </si>
  <si>
    <t xml:space="preserve"> SDH-SMINC-25-2013</t>
  </si>
  <si>
    <t>carpeta devuelta por la SDH, 4/02/2020ER3225</t>
  </si>
  <si>
    <t xml:space="preserve"> SDH-SMINC-20-2013</t>
  </si>
  <si>
    <t xml:space="preserve"> LP-AMP-010-2013</t>
  </si>
  <si>
    <t xml:space="preserve"> SDH-SIE-07-2013</t>
  </si>
  <si>
    <t xml:space="preserve"> SDH-SMINC-12-2013</t>
  </si>
  <si>
    <t xml:space="preserve"> SDH-SAMC-03-2013</t>
  </si>
  <si>
    <t xml:space="preserve"> SDH-SAMC-03-2014</t>
  </si>
  <si>
    <t xml:space="preserve"> SDH-SIE-21-2014</t>
  </si>
  <si>
    <t xml:space="preserve"> SDH-LP-02-2014</t>
  </si>
  <si>
    <t xml:space="preserve"> SDH-SIE-27-2014</t>
  </si>
  <si>
    <t xml:space="preserve"> 140292-0-2014</t>
  </si>
  <si>
    <t xml:space="preserve"> 140291-0-2014</t>
  </si>
  <si>
    <t xml:space="preserve"> SDH-SMINC-037-2014</t>
  </si>
  <si>
    <t>se radico el 19/11/2019 ER124339
* se radico el 23/01/2020 ER6349
* se radico un alcance 06/02/2020ER11028</t>
  </si>
  <si>
    <t>22/01/2020
ER5269</t>
  </si>
  <si>
    <t>carpeta devuelta por la SDH, el 4/02/2020ER3221</t>
  </si>
  <si>
    <t>carpeta devuelta por la SDH, 5/02/2020ER3472</t>
  </si>
  <si>
    <t>carpeta devuelta por la SDH, el 7/02/2020, ER3944</t>
  </si>
  <si>
    <t>carpeta devuelta el 7/02/2020ER3946</t>
  </si>
  <si>
    <t>22/01/2020
ER5268</t>
  </si>
  <si>
    <t>carpeta devuelta por la SDH, el 29/01/2020ER2053</t>
  </si>
  <si>
    <t>190458-0-2019</t>
  </si>
  <si>
    <t>901017183-2</t>
  </si>
  <si>
    <t>Suscripción al diario de la República para el Concejo de Bogotá.</t>
  </si>
  <si>
    <t>Diario La República</t>
  </si>
  <si>
    <t>carpeta devuelta por la SDH el 12/02/2020ER4287</t>
  </si>
  <si>
    <t>carpeta devuelta por la SDH el 12/02/2020ER4285</t>
  </si>
  <si>
    <t>se radica el 18/02/2020ER15225, una proroorga por 4 meses, hasta el 21/07/2020</t>
  </si>
  <si>
    <t>se radica el 18/02/2020ER15223, una proroorga por 4 meses, hasta el 21/07/2020</t>
  </si>
  <si>
    <t>carpeta devuelta por la SDH el 18/02/2020ER4989</t>
  </si>
  <si>
    <t>carpeta devuelta por la SDH, 18/02/2020ER4988</t>
  </si>
  <si>
    <t>carpeta devuelta por la SDH, 18/02/2020ER4986</t>
  </si>
  <si>
    <t>se radico el 10/02/2020ER12105, una prorroga hasta el 30/05/2020
*se radica un alcance el 18/02/2020ER15338</t>
  </si>
  <si>
    <t>SDH-SMINC-31-2019</t>
  </si>
  <si>
    <t>200043-0-2020</t>
  </si>
  <si>
    <t>Prestar los servicios de soporte y mantenimiento de todos los productos Oracle adquiridos por el Concejo de Bogotá.</t>
  </si>
  <si>
    <t>ORDEN DE COMPRA 45117</t>
  </si>
  <si>
    <t>Mantenimiento productos Oracle</t>
  </si>
  <si>
    <t>DANIEL ANDRES GARCIA CAÑÓN</t>
  </si>
  <si>
    <t>radicada el 20/02/2020ER16362, prorroga 21/07/2020</t>
  </si>
  <si>
    <t>MAKRO</t>
  </si>
  <si>
    <t>21/01/2020
ER4752</t>
  </si>
  <si>
    <t>2020ER7062</t>
  </si>
  <si>
    <t>16/01/2020
ER3538</t>
  </si>
  <si>
    <t>190489-0-2019</t>
  </si>
  <si>
    <t>Prestar servicios de mantenimiento correctivo con suministro de repuestos para el vehículo marca Subaru al servicio del Concejo de Bogotá.</t>
  </si>
  <si>
    <t>Mantenimiento vehiculo SUBARU</t>
  </si>
  <si>
    <t>se radico una prorroga hasta el 29/02/2020
*radicada el 26/02/2020 ER17818 una prorroga hasta el 31/03/2020</t>
  </si>
  <si>
    <t>*se radico el 05/08/2019 ER87030, solicitud de modificación de clausulas contractuales 
* se radico el 17/01/2020ER4051, una prorroga hasta el 8/02/2020
*se radica el 29/01/2020 ER8289, una adición y una prorroga hasta el 29/02/2020
*radicado el 26/02/2020 ER17817 una prorroga hasta el 31/03/2020</t>
  </si>
  <si>
    <t xml:space="preserve"> 140161-0-2014</t>
  </si>
  <si>
    <t xml:space="preserve"> 140162-0-2014</t>
  </si>
  <si>
    <t xml:space="preserve"> 140154-0-2014</t>
  </si>
  <si>
    <t xml:space="preserve"> 140158-0-2014</t>
  </si>
  <si>
    <t>LISBETH GONZALEZ VARGAS</t>
  </si>
  <si>
    <t xml:space="preserve"> 140152-0-2014</t>
  </si>
  <si>
    <t xml:space="preserve"> SDH-SMINC-53-2014</t>
  </si>
  <si>
    <t xml:space="preserve"> 140299-0-2014</t>
  </si>
  <si>
    <t xml:space="preserve"> 200 DEL 2014</t>
  </si>
  <si>
    <t xml:space="preserve"> 130163-0-2013</t>
  </si>
  <si>
    <t xml:space="preserve"> SDH-SAMC-005-2012</t>
  </si>
  <si>
    <t xml:space="preserve"> 140167-0-2014</t>
  </si>
  <si>
    <t xml:space="preserve"> 140166-0-2014</t>
  </si>
  <si>
    <t>JORGE ORLANDO RUBIO CARRANZA</t>
  </si>
  <si>
    <t>LUISA FERNANDA GUTIERREZ</t>
  </si>
  <si>
    <t xml:space="preserve"> 130362-0-2013</t>
  </si>
  <si>
    <t>devuelto por la SDH, el 28/02/2020ER6284</t>
  </si>
  <si>
    <t>carpeta devuelta por la SDH, 02/03/2020ER6900</t>
  </si>
  <si>
    <t>10 meses y 9 días</t>
  </si>
  <si>
    <t>3 meses y 2 días</t>
  </si>
  <si>
    <t xml:space="preserve">Se radico el 29/10/2019 ER117242
</t>
  </si>
  <si>
    <t>carpeta devuelta por la SDH, el 6/03/2020ER7183</t>
  </si>
  <si>
    <t>El 8/11/2019, se radica una adicón y una prorroga hasta el 29/02/2020</t>
  </si>
  <si>
    <t>radicada 20/02/2020ER16354</t>
  </si>
  <si>
    <t>radicada el 10/03/2020
ER22449</t>
  </si>
  <si>
    <t>200082-0-2020</t>
  </si>
  <si>
    <t>Prestar los servicios profesionales para apoyar los procesos administrativos propios de la Dirección Financiera del Concejo de Bogotá</t>
  </si>
  <si>
    <t>SDH-CD-53-2020</t>
  </si>
  <si>
    <t>PRESTACIÓN DE SERVICIOS PROFESIONALES</t>
  </si>
  <si>
    <t>SERGIO CORTÉS RINCÓN</t>
  </si>
  <si>
    <t>radicada el 13/03/2020ER23962 
(VANESSA ALEJANDRA FRAILE)</t>
  </si>
  <si>
    <t>el 13/03/2020SELLO, se radico una prorroga hasta el 19/05/2020
radicado 17/03/2020ER25126, prorroga hasta el 30/06/2020</t>
  </si>
  <si>
    <t>200084-0-2020</t>
  </si>
  <si>
    <t>SDH-CD-55-2020</t>
  </si>
  <si>
    <t>Servicios Profesionales</t>
  </si>
  <si>
    <t>Relación de Contratos 2012 - 2020</t>
  </si>
  <si>
    <t>200083-0-2020</t>
  </si>
  <si>
    <t>GONZALO VALBUENA OÑATE</t>
  </si>
  <si>
    <t>Prestar los servicios profesionales para Apoyar al Director Jurídico del Concejo de Bogotá, en el marco del procedimiento de atención al ciudadano, con el fin de desarrollar las actividades que sean demandadas por este procedimiento.</t>
  </si>
  <si>
    <t>SDH-CD-63-2020</t>
  </si>
  <si>
    <t>EVELYN JULIO ESTRADA</t>
  </si>
  <si>
    <t>radicada el 27/02/2020ER18568 -LINEA 1218</t>
  </si>
  <si>
    <t>radicada el 24/01/2020ER7076 - LINEA 1096</t>
  </si>
  <si>
    <t>radicada el 05/03/2020ER20992 - LINEA 1121</t>
  </si>
  <si>
    <t>*se radico el 24/01/2020ER7077 - LINEA 1056</t>
  </si>
  <si>
    <t>radicada el 28/02/2020ER18765 
(NATALIA ALEJANDRA OSORIO) LINEA 1221</t>
  </si>
  <si>
    <t>radicada el 27/02/2020ER18633 - LINEA 1059</t>
  </si>
  <si>
    <t>radicada el 21/02/2020ER16816 - LINEA 1016 - 1182</t>
  </si>
  <si>
    <t>radicada el 27/02/2020ER18397 LINEA 1216</t>
  </si>
  <si>
    <t>radicada el 21/02/2020ER16821 ( WILSON JAIR OSPINA) LINEA 1214</t>
  </si>
  <si>
    <t>radicada el 19/02/2020ER15475, radicado alcance 03/03/2020ER20028 LINEA 1306</t>
  </si>
  <si>
    <t>radicada el 10/03/2020ER22447 LINEA 1228</t>
  </si>
  <si>
    <t>radicada el 10/03/2020ER22383 LINEA 1038</t>
  </si>
  <si>
    <t>radicada el 21/02/2020ER16819 (GILBERTO ANTONIO SUAREZ),radicado alcance 03/03/2020ER20027 LINEA 1211</t>
  </si>
  <si>
    <t>radicada el 25/02/2020ER17445 LINEA 1158</t>
  </si>
  <si>
    <t>radicada 04/03/2020ER20622
(SILVIA MARGARITA VELEZ)
alcance radicado el 12/03/2020ER23839 LINEA 1233</t>
  </si>
  <si>
    <t>radicada el 17/03/2020ER25124 LINEA 1118</t>
  </si>
  <si>
    <t>radicada el 10/03/2020ER22385 LINEA 1063</t>
  </si>
  <si>
    <t>radicada el 03/03/2020ER20100 LINEA 1230</t>
  </si>
  <si>
    <t>radicada el 20/02/2020ER16357 LINEA 1183</t>
  </si>
  <si>
    <t>radicada el 05/03/2020ER21121
(LEIDY YINETH MUÑOZ)
(DANNY ALEXIS RAMIREZ) LINEA 1184</t>
  </si>
  <si>
    <t>Prestar los servicios profesionales a la Dirección Administrativa en el proceso de talento humano, realizando seguimiento a los planes y programas que se desarrollan en el MIPG.</t>
  </si>
  <si>
    <t>200118-0-2020</t>
  </si>
  <si>
    <t>XIOMARA ASTRID GOMEZ ALAPE</t>
  </si>
  <si>
    <t>SDH-CD-69-2020</t>
  </si>
  <si>
    <t>200056-0-2020</t>
  </si>
  <si>
    <t>Proveer los servicios de canales dedicados e internet y los servicios complementarios para el Concejo de Bogotá.</t>
  </si>
  <si>
    <t>SDH-CD-37-2020</t>
  </si>
  <si>
    <t>canales dedicados</t>
  </si>
  <si>
    <t>200107-0-2020</t>
  </si>
  <si>
    <t>LUZ DARY BARON RICO</t>
  </si>
  <si>
    <t xml:space="preserve">Prestar servicios profesionales para apoyar a la Dirección Financiera del Concejo de Bogotá D.C., en lo referente al sistema general de seguridad social en salud y riesgos profesionales.   </t>
  </si>
  <si>
    <t>SDH-CD-60-2020</t>
  </si>
  <si>
    <t>radicada el 21/02/2020ER16820 (FABIO ANDRES TORRES), radicado alcance 03/03/2020ER20029 LINEA 1315</t>
  </si>
  <si>
    <t>radicada el 21/02/2020ER16823 (JUAN PABLO RUBIO) LINEA 1220</t>
  </si>
  <si>
    <t>se radico el 14/02/2020ER13947 LINEA 1171</t>
  </si>
  <si>
    <t>200116-0-2020</t>
  </si>
  <si>
    <t>Prestar los servicios profesionales para apoyar a la Dirección Jurídica del Concejo de Bogotá en el marco de los asuntos jurídicos y de la defensa judicial con el fin de desarrollar las actividades de acuerdo con la normatividad vigente.</t>
  </si>
  <si>
    <t>SDH-CD-67-2020</t>
  </si>
  <si>
    <t>JUAN PABLO RUBIO SGUERRA</t>
  </si>
  <si>
    <t>200117-0-2020</t>
  </si>
  <si>
    <t>Prestar los servicios profesionales para apoyar la definición contratación y seguimiento a los temas de infraestructura física que requiera el Concejo de Bogotá.</t>
  </si>
  <si>
    <t>SDH-CD-68-2020</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</si>
  <si>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así como el seguro de vida para los Concejales de Bogotá, D.C. y cualquier otra póliza de seguros que requieran las entidades en el desarrollo de su actividad, de conformidad con lo establecido en el pliego de condiciones electrónico y el complemento de del Proceso de Selección Abreviada Menor Cuantía No. SDH - SAMC- 07-2018 y la propuesta presentada por el contratista.  </t>
  </si>
  <si>
    <t>200109-0-2020</t>
  </si>
  <si>
    <t>ASEGURADORA SOLIDARIA DE COLOMBIA ENTIDAD COOPERATIVA</t>
  </si>
  <si>
    <t>Contratar los seguros que amparen los intereses patrimoniales actuales y futuros, así como los bienes de propiedad del Concejo de Bogotá D.C., que estén bajo su responsabilidad, custodia y aquellos que sean adquiridos para desarrollar las funciones inherentes a su actividad, y cualquier otra póliza de seguros que requiera el Concejo en el desarrollo de su actividad siempre y cuando la aseguradora adjudicataria cuente con la autorización por parte  de la Superintendencia Financiera de Colombia, de conformidad con lo establecido en el pliego de condiciones de la Licitación Pública No. SDH-LP-01-2020 y la propuesta presentada por el contratista. Los seguros objeto del presente contrato corresponden al Grupo II.</t>
  </si>
  <si>
    <t>SDH-LP-1-2020</t>
  </si>
  <si>
    <t xml:space="preserve">Se pagará el valor de las primas dentro de los treinta (30) días calendario, siguiente  a la iniciación de la vigencia técnica de cada una de las pólizas.  </t>
  </si>
  <si>
    <t>SEGUROS</t>
  </si>
  <si>
    <t>seguros</t>
  </si>
  <si>
    <t>FABIO ANDRES TORRES RISCANEVO</t>
  </si>
  <si>
    <t>200125-0-2020</t>
  </si>
  <si>
    <t>Prestar los servicios profesionales para apoyar la gestión administrativa documental y contractual en los asuntos de competencia del Concejo de Bogotá D.C.</t>
  </si>
  <si>
    <t>SDH-CD-77-2020</t>
  </si>
  <si>
    <t>200120-0-2020</t>
  </si>
  <si>
    <t>MAYRA ALEJANDRA GARCIA QUIROGA</t>
  </si>
  <si>
    <t>Prestar los servicios profesionales para Apoyar a la Dirección Administrativa del Concejo de Bogotá, en la implementación de programas de medicina preventiva, actividades de seguridad y salud en el trabajo para los funcionarios del Concejo de Bogotá.</t>
  </si>
  <si>
    <t>SDH-CD-71-2020</t>
  </si>
  <si>
    <t>Servicios Profesionales/ Dirección Adminstrativa</t>
  </si>
  <si>
    <t>Prestar los servicios profesionales a la Dirección Administrativa, en la estructuración de los procesos contractuales que se requieran.</t>
  </si>
  <si>
    <t>LINA VANESSA LOZADA LEON</t>
  </si>
  <si>
    <t>Prestar los servicios profesionales para Apoyar a la Dirección Financiera del Concejo de Bogotá, para realizar el seguimiento al cumplimiento del Plan de Acción anual, los programas, proyectos y estrategias de la Dirección, de acuerdo con las políticas y a la Misión de la Corporación.</t>
  </si>
  <si>
    <t>SDH-CD-79-2020</t>
  </si>
  <si>
    <t>SDH-CD-54-2020</t>
  </si>
  <si>
    <t>Doger Daza</t>
  </si>
  <si>
    <t>Gloria Garzón</t>
  </si>
  <si>
    <t>Lina Lozada</t>
  </si>
  <si>
    <t>Paola Romero</t>
  </si>
  <si>
    <t>Aidive Rodriguez</t>
  </si>
  <si>
    <t xml:space="preserve"> Jonathan Ducuara</t>
  </si>
  <si>
    <t>200132-0-2020</t>
  </si>
  <si>
    <t>200127-0-2020</t>
  </si>
  <si>
    <t>900475780-1</t>
  </si>
  <si>
    <t>Aunar esfuerzos humanos, técnicos, logísticos y administrativos, para garantizar el esquema de seguridad en su componente de vehículos, requerido por los concejales del Distrito Capital que cuenten con riesgo extraodinario y/o extremo como resultado de la evaluación del riesgo efectuada para los Concejes de Bogotá D.C.  por la Unidad Nacional de Protección.</t>
  </si>
  <si>
    <t>SDH-CD-82-2020</t>
  </si>
  <si>
    <t>Esquema de seguridad</t>
  </si>
  <si>
    <t>200108-0-2020</t>
  </si>
  <si>
    <t>Contratar la expedición de un póliza colectiva de seguro de vida para los Concejales de Bogotá D.C. (Grupo V), de conformidad con lo establecido en el pliego de condiciones de la Licitación Pública N. SDH-LP-01-2020 y la propuesta presentada por el contratista.</t>
  </si>
  <si>
    <t xml:space="preserve">SDH-LP-1-2020 </t>
  </si>
  <si>
    <t>Pagará el valor de las primas dentro de los treinta (30) días calendario a la fecha de inicio</t>
  </si>
  <si>
    <t xml:space="preserve">Seguro de vida </t>
  </si>
  <si>
    <t>200131-0-2020</t>
  </si>
  <si>
    <t>Prestar los servicios profesionales para apoyar la Oficina Asesora de Planeación del Concejo de Bogotá en el seguimiento del Plan Anticorrupción y Atención al Ciudadano en todos sus componentes, y la construcción e implementación de las herramientas al Modelo Integrado de Planeación y Gestión.</t>
  </si>
  <si>
    <t>SDH-CD-80-2020</t>
  </si>
  <si>
    <t>Servicios Profesionales/ Planeación</t>
  </si>
  <si>
    <t>LISBETH TRIANA CASAS</t>
  </si>
  <si>
    <t>Asesor</t>
  </si>
  <si>
    <t xml:space="preserve">JUAN CARLOS FERNÁNDEZ ANDRADE </t>
  </si>
  <si>
    <t>radicada el 13/03/2020, sello LINEA 1060 radicada por correo a la Dr. Ruth el 1 de abril</t>
  </si>
  <si>
    <t>ANNELADY GARCIA HUMANEZ</t>
  </si>
  <si>
    <t>200136-0-2020</t>
  </si>
  <si>
    <t>WILSON JAIR OSPINA GAVILAN</t>
  </si>
  <si>
    <t>Prestar los servicios de apoyo a la Dirección Administrativa en la gestión de las actividades contenidas en el Plan de Bienestar e incentivos y Plan de Capacitación del Concejo de Bogotá D.C.</t>
  </si>
  <si>
    <t>SDH-CD-81-2020</t>
  </si>
  <si>
    <t>Prestar los servicios profesionales como enlace con la Unidad Ejecutora 04 de la Secretaría Distrital de Hacienda para la liquidación y cierre de los expedientes contractuales del Concejo de Bogotá.</t>
  </si>
  <si>
    <t>SDH-CD-78-2020</t>
  </si>
  <si>
    <t>200134-0-2020</t>
  </si>
  <si>
    <t>200126-0-2020</t>
  </si>
  <si>
    <t>200130-0-2020</t>
  </si>
  <si>
    <t>200112-0-2020</t>
  </si>
  <si>
    <t xml:space="preserve">UNIÓN TEMPORAL CHUBB SEGUROS COLOMBIA S.A. -ASEGURADORA SOLIDARIA DE COLOMBIA ENTIDAD COOPERATIVA"- SEGUROS GENERALES SURAMERICANA S.A. </t>
  </si>
  <si>
    <t>Contratar los seguros que amparen los intereses patrimoniales actuales y futuros, así como los bienes de propiedad del Concejo de Bogotá, D.C, que estén bajo su responsabilidad y custodia y aquellos que sean adquiridos para desarrollar las funciones inherentes a su actividad, y cualquier otra póliza de seguros que requiera el Concejo en el desarrollo de su actividad siempre y cuando la aseguradora adjudicataria cuente con la autorización por parte de la Superintendencia Financiera de Colombia, de conformidad can lo establecida en el pliego de condiciones de la Licitación Pública No. SOH-LP-01-2020 y la propuesta presentada por el contratista. Los seguros objeto del presente contrato corresponden a los Grupos I y IV.</t>
  </si>
  <si>
    <t>pagará el valor de las primas dentro de los treinta días (30) días calendarios siguientes a la iniciación de la vigencia técnica de cada una de las pólizas, previa certificación por parte del Corredor de Seguros y certificación de cumplimiento expedida por el supervisor del Contrato.</t>
  </si>
  <si>
    <t>Licitación Pública</t>
  </si>
  <si>
    <t>200141-0-2020</t>
  </si>
  <si>
    <t>MARIA FERNANDA ROMERO</t>
  </si>
  <si>
    <t>Prestar los servicios profesionales para apoyar el procedimiento de bonos pensionales para coadyuvar con las actualización y administración de la información de los funcionarios y exfuncionarios en cuanto a los trámites pensionales.</t>
  </si>
  <si>
    <t>SDH-CD-88-2020</t>
  </si>
  <si>
    <t>Servicios Profesionales/ Bonos Pensionales</t>
  </si>
  <si>
    <t>radicada el 06/03/2020ER21230 LINEA 1227
Se envia  por correo el 14 de abril/20, a jmcontreras@shd.gov.co</t>
  </si>
  <si>
    <t>200142-0-2020</t>
  </si>
  <si>
    <t>DANNY ALEXIS RAMÍREZ JARAMILLO</t>
  </si>
  <si>
    <t>Prestar los servicios profesionales para apoyar a la Oficina de Comunicaciones del Concejo de Bogotá para el cumplimiento del plan de comunicaciones internas y externas de la entidad.</t>
  </si>
  <si>
    <t>SDH-CD-85-2020</t>
  </si>
  <si>
    <t>Servicios Profesionales/ Comunicaiones</t>
  </si>
  <si>
    <t>Comunicaciones</t>
  </si>
  <si>
    <t>CESAR AUGUSTO CASTRO RODRIGUEZ</t>
  </si>
  <si>
    <t>200143-0-2020</t>
  </si>
  <si>
    <t>LEIDY YINETH MUÑÓZ ROMERO</t>
  </si>
  <si>
    <t>radicada el 04/03/2020ER20624
(NANCY GIOVANNA CELY - LINEA 1208 )
Alcance radicado el 12/03/2020ER23838
se radica por correo el 16/04/2020, ralvear@sdh.gov.co</t>
  </si>
  <si>
    <t>se radica el 16/04/2020 por correo ralvear@shd.gov.co, una prorroga por 2 meses, hasta el 15 de julio/20</t>
  </si>
  <si>
    <t>200145-0-2020</t>
  </si>
  <si>
    <t>VANESSA ALEJANDRA FRAILE AREVALO</t>
  </si>
  <si>
    <t>Prestar los servicios profesionales para apoyar al Concejo de Bogotá D.C. en el desarrollo de las actividades protocolarias de los diferentes eventos que lleva a cabo la Corporación en ejercicio de sus funciones.</t>
  </si>
  <si>
    <t>SDH-CD-86-2020</t>
  </si>
  <si>
    <t>radicada el 26/02/2020ER17791
(CONSTANZA MAHECHA)
Radicada el 5/3/2020ER21104
(ALDEMAR CAÑON); radicada al correo ralvear@shd.gov.co, el 15/04/2020
LINEA 1179</t>
  </si>
  <si>
    <t>200144-0-200</t>
  </si>
  <si>
    <t>Prestar los servicios profesionales para apoyar a la Dirección Jurídica del Concejo de Bogotá D.C., en la implementación de políticas y procedimientos para el fortalecimiento del proceso de atención a la ciudadanía.</t>
  </si>
  <si>
    <t>SDH-CD-92-2020</t>
  </si>
  <si>
    <t>GILBERTO ANTONIO SUAREZ FAJARDO</t>
  </si>
  <si>
    <t>Prestar los servicios profesionales a la Oficina de Control Interno del Concejo de Bogotá D.C. para el apoyo administrativo en las auditorías internas que se llevarán a cabo.</t>
  </si>
  <si>
    <t>SDH-CD-90-2020</t>
  </si>
  <si>
    <t>Servicios Profesionales/ Control Interno</t>
  </si>
  <si>
    <t>Maria Fernanda Romero</t>
  </si>
  <si>
    <t>200147-0-2020</t>
  </si>
  <si>
    <t>200146-0-2020</t>
  </si>
  <si>
    <t>EDGAR CATAÑO SANCHEZ</t>
  </si>
  <si>
    <t>Prestar los servicios profesionales en la Oficina de Planeación del Concejo de Bogotá, para apoyar la orientación metodológica, elaboración y seguimiento de los componentes y actividades para la formulación del Plan Estratégico para el periodo 2020-2023.</t>
  </si>
  <si>
    <t>SDH-CD-89-2020</t>
  </si>
  <si>
    <t>la tenia juan diego, no la liquido se le entrego a Marttha Sanchez</t>
  </si>
  <si>
    <t>ASEAR</t>
  </si>
  <si>
    <t>La tenia Maria Alejandra, no la liquido</t>
  </si>
  <si>
    <t>SUMIMAS</t>
  </si>
  <si>
    <t>FALABELLA</t>
  </si>
  <si>
    <t>La tenia Martha no la liquido</t>
  </si>
  <si>
    <t>LUIS FERNNADO MEZA</t>
  </si>
  <si>
    <t>La tiene Juan Diego</t>
  </si>
  <si>
    <t>ANDRES CORZO</t>
  </si>
  <si>
    <t>DIANA CAROLINA RIVEROS</t>
  </si>
  <si>
    <t>La tenia Martha no la liquido, ahora la tiene Juan Diego</t>
  </si>
  <si>
    <t>COLSOF</t>
  </si>
  <si>
    <t>DOGER DAZA</t>
  </si>
  <si>
    <t xml:space="preserve">Radicada por correo el 21/04/2020 a los correos jrodriguezr@shd.gov.co
logarcia@shd.gov.co
cparrado@shd.gov.co LINEA 1091
</t>
  </si>
  <si>
    <t>200149-0-2020</t>
  </si>
  <si>
    <t>SDH-CD-87-2020</t>
  </si>
  <si>
    <t>Servicios Profesionales/ Mantenimiento</t>
  </si>
  <si>
    <t>200150-0-2020</t>
  </si>
  <si>
    <t>Prestar los servicios profesionales para acompañar al Concejo de Bogotá D.C. en la revisión y estudio de las historias laborales de los funcionarios para la definición técnica y jurídica del cumplimiento de los requisitos en los diferentes regímenes de pensión.</t>
  </si>
  <si>
    <t>SDH-CD-95-2020</t>
  </si>
  <si>
    <t xml:space="preserve"> Jonathan Ducuara
Lina Lozada</t>
  </si>
  <si>
    <t>Alejandro Lopez</t>
  </si>
  <si>
    <t>200151-0-2020</t>
  </si>
  <si>
    <t>Prestar los servicios profesionales a la Dirección Financiera del Concejo de Bogotá, en el cumplimiento de las actividades e Indicadores del plan de acción a cargo del Procedimiento de Fondo Cuenta.</t>
  </si>
  <si>
    <t>SDH-CD-94-2020</t>
  </si>
  <si>
    <t>INFORMATICA DOCUMENTAL S.A.S.</t>
  </si>
  <si>
    <t>200139-0-2020</t>
  </si>
  <si>
    <t>830083523-7</t>
  </si>
  <si>
    <t>Prestar los servicios de actualización y soporte para el software para el manejo documental Infodoc para el Concejo de Bogotá</t>
  </si>
  <si>
    <t>SDH-CD-91-2020.</t>
  </si>
  <si>
    <t>Se realizarán pagos iguales mes vencido</t>
  </si>
  <si>
    <t>Actualización y soporte Infodoc</t>
  </si>
  <si>
    <t>200153-0-2020</t>
  </si>
  <si>
    <t>LAURA VALENTINA DE LOS REMEDIOS VELANDIA TRUJILLO</t>
  </si>
  <si>
    <t>Prestar los servicios profesionales para apoyar al Concejo de Bogotá D.C. en la realización de las actividades necesarias para la estructuración, supervisión y seguimiento contractual.</t>
  </si>
  <si>
    <t>SDH-CD-96-2020</t>
  </si>
  <si>
    <t>Jose del Carmen Montaña</t>
  </si>
  <si>
    <t>Jhon Rojas</t>
  </si>
  <si>
    <t>Rosa Gladys Amaya</t>
  </si>
  <si>
    <t>Luisa Peñaranda</t>
  </si>
  <si>
    <t>Rover Otalvo</t>
  </si>
  <si>
    <t>Guiovanna Reita</t>
  </si>
  <si>
    <t>Laura Velandia</t>
  </si>
  <si>
    <t>CASA EDITORIAL EL TIEMPO S.A.</t>
  </si>
  <si>
    <t>200154-0-2020</t>
  </si>
  <si>
    <t>860001022-7</t>
  </si>
  <si>
    <t>Suscripción al periódico El Tiempo y Portafolio para el Concejo de Bogotá.</t>
  </si>
  <si>
    <t>SDH-CD-93-2020</t>
  </si>
  <si>
    <t>JENNIFER BOTERO REYES</t>
  </si>
  <si>
    <t>se radico por correo el 11/5/2020 a los correos jrodriguezr@shd.gov.co     
logarcia@shd.gov.co
cparrado@shd.gov.co , LINEA 1175</t>
  </si>
  <si>
    <t>200157-0-2020</t>
  </si>
  <si>
    <t>NANCY GIOVANNA CELY VARGAS</t>
  </si>
  <si>
    <t>Prestar los servicios profesionales para apoyar a la Dirección financiera del Concejo de Bogotá D.C. en los asuntos propios de la dependencia y en el seguimiento al Plan de Acción y Transparencia de acuerdo a la normatividad vigente.</t>
  </si>
  <si>
    <t>SDH-CD-98-2020</t>
  </si>
  <si>
    <t>CENTRO NACIONAL DE CONSULTORIA LTDA</t>
  </si>
  <si>
    <t>200161-0-2020</t>
  </si>
  <si>
    <t>Prestar el servicio para fortalecer la participación ciudadana en el marco de las discusiones del Plan de Desarrollo de Bogotá 2020-2023.</t>
  </si>
  <si>
    <t>SDH-CD-104-2020</t>
  </si>
  <si>
    <t>Los pagos serán dos pagos de la siguiente manera:
-  Un primer pago correspondiente al cincuenta (50%) por ciento del valor, Previa presentación del informe de actividades del respectivo periodo.
-  Un segundo pago correspondiente al cincuenta (50%) por ciento restante, entrega del informe con el listado y resultados de las encuestas efectuadas.</t>
  </si>
  <si>
    <t>Participación Ciudadana / Plan de desarrollo 2020-2023</t>
  </si>
  <si>
    <t>MESA DIRECTIVA</t>
  </si>
  <si>
    <t>se envio el 15/05/2020, por correo a  jrodriguezr@shd.gov.co     
logarcia@shd.gov.co
cparrado@shd.gov.co, LINEA 1123</t>
  </si>
  <si>
    <t>se envio el 15/05/2020, por correo  a la Dra. Ruth LINEA 1042 - 1191</t>
  </si>
  <si>
    <t>se radica el 18/5/2020, una adición y una prorroga por 4 meses hasta el 25/9/2020, a los correos jrodriguezr@shd.gov.co     
logarcia@shd.gov.co
cparrado@shd.gov.co</t>
  </si>
  <si>
    <t>200172-0-2020</t>
  </si>
  <si>
    <t>OFIBEST SAS</t>
  </si>
  <si>
    <t>900350133-7</t>
  </si>
  <si>
    <t>Adquisición de artículos de Bioseguridad para los funcionarios del Concejo de Bogotá</t>
  </si>
  <si>
    <t>artículos de bioseguridad</t>
  </si>
  <si>
    <t>200171-0-2020</t>
  </si>
  <si>
    <t>INDUHOTEL SAS</t>
  </si>
  <si>
    <t>900300970-1</t>
  </si>
  <si>
    <t>200166-0-2020</t>
  </si>
  <si>
    <t>900225460-6</t>
  </si>
  <si>
    <t xml:space="preserve">D&amp;D S.A.S </t>
  </si>
  <si>
    <t>200167-0-2020</t>
  </si>
  <si>
    <t>800005727-0</t>
  </si>
  <si>
    <t xml:space="preserve">DISTRIBUCIONES CLINICAS SOCIEDAD ANONIMA DISCLINICA S.A. </t>
  </si>
  <si>
    <t>Adquisición de artículos de Bioseguridad para los funcionarios del Concejo de Bogotá.</t>
  </si>
  <si>
    <t>200168-0-2020</t>
  </si>
  <si>
    <t xml:space="preserve">GRUPO EMPRESARIAL CRUZ VELÁSQUEZ SAS </t>
  </si>
  <si>
    <t xml:space="preserve"> 901243179-0</t>
  </si>
  <si>
    <t xml:space="preserve">LUZ DARY BARON </t>
  </si>
  <si>
    <t>200170-0-2020</t>
  </si>
  <si>
    <t>900704052-1</t>
  </si>
  <si>
    <t>PMI PROYECTOS MONTAJES E INGENIERIA S.AS</t>
  </si>
  <si>
    <t>se radica por correo a la Dr. Ruth el 21/5/2020 LINEA 1120</t>
  </si>
  <si>
    <t>200165-0-2020</t>
  </si>
  <si>
    <t xml:space="preserve">MANUFACTURAS DELMYP S A S </t>
  </si>
  <si>
    <t xml:space="preserve"> 900400783-1</t>
  </si>
  <si>
    <t>200177-0-2020</t>
  </si>
  <si>
    <t>VICTOR ORLANDO SANCHEZ BELTRAN</t>
  </si>
  <si>
    <t>Prestar los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t>
  </si>
  <si>
    <t>SDH-CD-107-2020</t>
  </si>
  <si>
    <t>200178-0-2020</t>
  </si>
  <si>
    <t>MARIA JIMENA ACOSTA ILLERA</t>
  </si>
  <si>
    <t>Prestar los servicios profesionales para apoyar a la Dirección Jurídica del Concejo de Bogotá, en la revisión y elaboración de actos administrativos, conceptos e intervenciones generados por la dependencia</t>
  </si>
  <si>
    <t>SDH-CD-108-2020</t>
  </si>
  <si>
    <t>200179-0-2020</t>
  </si>
  <si>
    <t>Prestar los servicios profesionales para apoyar a la Oficina de Comunicaciones del Concejo de Bogotá, a través de la elaboración de documentos propios de la oficina, cubrimientos de redes, presentación y ejecución de estrategias de comunicación.</t>
  </si>
  <si>
    <t>SDH-CD-109-2020</t>
  </si>
  <si>
    <t>Servicios Profesionales/ Comunicaciones</t>
  </si>
  <si>
    <t>Jonathan Ducuara</t>
  </si>
  <si>
    <t>radicada el 26/02/2020ER18151, una prorroga hasta el 24/06/2020
radicada el 29/5/2020, por correo a la Dra. Ruth, una prorroga hasta el 24/9/2020</t>
  </si>
  <si>
    <t>ALMACENES ÉXITO SA</t>
  </si>
  <si>
    <t>200187-0-2020</t>
  </si>
  <si>
    <t>ÁNGELA MARÍA ANDRADE PERDOMO</t>
  </si>
  <si>
    <t>ASESORA</t>
  </si>
  <si>
    <t>SANDRA JOHANNA SOCARRAS QUINTERO</t>
  </si>
  <si>
    <t>OLGA MARLENE RODRIGUEZ VEGA</t>
  </si>
  <si>
    <t xml:space="preserve">ASESORA </t>
  </si>
  <si>
    <t>se envio el 17/04/2020 a los correos jrodriguezr@shd.gov.co     
logarcia@shd.gov.co
cparrado@shd.gov.co , la modificación de la forma de pago.
Se envia nuevamente el 27/4/2020 a los mismos correos, con los ajustes</t>
  </si>
  <si>
    <t>se radica el 6/5/2020, por correo a la Dra. Rut Alvear,  una adicón y prorroga hasta el 30 de agosto 2020</t>
  </si>
  <si>
    <t>200169-0-2020</t>
  </si>
  <si>
    <t>Sumimas S.A.S.</t>
  </si>
  <si>
    <t>Distracom</t>
  </si>
  <si>
    <t>200180-0-2020</t>
  </si>
  <si>
    <t>NICOLAS ZERDA GALLOR</t>
  </si>
  <si>
    <t>Prestar los servicios de apoyo a la Dirección Administrativa del Concejo de Bogotá, en seguimiento del Plan Integral de Movilidad Sostenible y del Plan de Movilidad de la Entidad.</t>
  </si>
  <si>
    <t>SDH-CD-105-2020</t>
  </si>
  <si>
    <t>Servicios Profesionales/ Dir. Administrativa</t>
  </si>
  <si>
    <t>se envia  el 4/6/202 a radicación virtual una adición y una prorroga hasta el 15/8/2020</t>
  </si>
  <si>
    <t>Suministro de ACPM para el Concejo de Bogotá.</t>
  </si>
  <si>
    <t>suministro de ACPM</t>
  </si>
  <si>
    <t>4/6/2020ER36999</t>
  </si>
  <si>
    <t>LAURA VELANDIA</t>
  </si>
  <si>
    <t>DANNY ALEXANDER FONSECA</t>
  </si>
  <si>
    <t>4/6/2020ER37017</t>
  </si>
  <si>
    <t>WILLIAM GUERRERO CABALLERO</t>
  </si>
  <si>
    <t>4/6/2020ER37084</t>
  </si>
  <si>
    <t>ANNELADY GARCIA</t>
  </si>
  <si>
    <t>200181-0-2020</t>
  </si>
  <si>
    <t>RURAL EXPRESS S.A.S</t>
  </si>
  <si>
    <t>Prestar el servicio de transporte de bienes muebles, equipos de oficina y cajas de archivo documental para la Secretaria Distrital de Hacienda y el Concejo de Bogotá</t>
  </si>
  <si>
    <t>SDH-SMINC-7-2020</t>
  </si>
  <si>
    <t>Transporte de Bienes muebles</t>
  </si>
  <si>
    <t>200184-0-2020</t>
  </si>
  <si>
    <t>Prestar los servicios integrales de fotocopiado y servicios afines para el Concejo de Bogotá, D.C., de conformidad con lo establecido en el pliego de condiciones de la Selección Abreviada por Subasta Inversa Electrónica No. SDH-SIE-03-2020 y la propuesta presentada por el contratista.</t>
  </si>
  <si>
    <t>SDH-SIE-3-2020</t>
  </si>
  <si>
    <t>ASESOR</t>
  </si>
  <si>
    <t>JHONATAN DUCUARA CAITA</t>
  </si>
  <si>
    <t>radicada el 9/6/2020ER38233   LINEA 1125</t>
  </si>
  <si>
    <t>COMPAÑÍA MUNDIAL DE SEGUROS S.A. - SEGUROS MUNDIAL</t>
  </si>
  <si>
    <t>ABEL GALINDO VERGARA</t>
  </si>
  <si>
    <t>ORDEN DE COMPRA 49432</t>
  </si>
  <si>
    <t>fotocopias</t>
  </si>
  <si>
    <t>DENNIS CRISTANCHO</t>
  </si>
  <si>
    <t>8/6/2020ER37748</t>
  </si>
  <si>
    <t xml:space="preserve">JUAN DIEGO ESPITIA </t>
  </si>
  <si>
    <t>JUAN DIEGO LA ENVIO POR CORREO</t>
  </si>
  <si>
    <t>JAIME ZAMBRANO</t>
  </si>
  <si>
    <t>NATALIA OSORIO</t>
  </si>
  <si>
    <t>LAURA CATALINA GUTIERREZ</t>
  </si>
  <si>
    <t>LINA LOZADA</t>
  </si>
  <si>
    <t>17/6/2020ER40184</t>
  </si>
  <si>
    <t>19/6/2020ER41149</t>
  </si>
  <si>
    <t xml:space="preserve">se radico el 23 de abril a los correos jrodriguezr@shd.gov.co    logarcia@shd.gov.co
cparrado@shd.gov.co,  una suspensión por 30 días desde el 18 de abril al 17 de mayo  </t>
  </si>
  <si>
    <t>200193-0-2020</t>
  </si>
  <si>
    <t>FAVIAN OCTAVIO JAIMES JAIMES</t>
  </si>
  <si>
    <t>Suministro de elementos de protección personal para los servidores del Concejo de Bogotá y bienes para el cumplimiento de protocolos de bioseguridad, de conformidad con lo establecido en la presente invitación pública.</t>
  </si>
  <si>
    <t>SDH-SMINC-14-2020</t>
  </si>
  <si>
    <t>elementos de protección personal</t>
  </si>
  <si>
    <t>2 meses y 9 días calendario</t>
  </si>
  <si>
    <t>200208-0-2020</t>
  </si>
  <si>
    <t>GREEN FON GROUP S A S</t>
  </si>
  <si>
    <t>Prover servicios de soporte y actualización de licencias Corel Draw y suscripción de licencias adobe photoshop del Concejo de Bogotá</t>
  </si>
  <si>
    <t>SDH-SMINC-16-2020</t>
  </si>
  <si>
    <t>un pago</t>
  </si>
  <si>
    <t>Licencias Corel Draw</t>
  </si>
  <si>
    <t>200203-0-2020</t>
  </si>
  <si>
    <t>MARIA ANGELICA LARA SOLER</t>
  </si>
  <si>
    <t>Prestar los servicios de apoyo operativo para la actualización del SIG para el proceso de Gestión de Recursos Físicos de la Dirección Administrativa del Concejo de Bogotá D.C.</t>
  </si>
  <si>
    <t>SDH-CD-118-2020</t>
  </si>
  <si>
    <t>Recursos Físicos</t>
  </si>
  <si>
    <t>200209-0-2020</t>
  </si>
  <si>
    <t>DIANA XIOMARA GIL</t>
  </si>
  <si>
    <t>Prestar servicios profesionales para apoyar la Oficina Asesora de Comunicaciones en lo referente a la recolección, monitoreo y análisis de datos de interacción a través de los canales digitales que tiene dispuesto el Concejo de Bogotá para sus cabildantes.</t>
  </si>
  <si>
    <t>SDH-CD-119-2020</t>
  </si>
  <si>
    <t>Servicios Profesionales/Comunicaciones</t>
  </si>
  <si>
    <t>200201-0-2020</t>
  </si>
  <si>
    <t>OLGA LUCIA VASQUEZ BARRIOS</t>
  </si>
  <si>
    <t>Prestar los servicios profesionales a la Dirección Administrativa en la gestión del proceso de seguridad y salud en el trabajo, en lo relacionado con la atención y seguimiento de los funcionarios en situaciones de emergencia en salud y garantizar las actividades de capacitación y prevención del plan de emergencias y de las actividades de promoción y prevención en salud Covid 19, para el Concejo de Bogotá D.C.</t>
  </si>
  <si>
    <t xml:space="preserve">SDH-CD-114-2020	</t>
  </si>
  <si>
    <t>200210-0-2020</t>
  </si>
  <si>
    <t>JHON JAIRO ACUÑA PEREZ</t>
  </si>
  <si>
    <t>Prestar servicios profesionales para apoyar la Oficina Asesora de Comunicaciones en lo referente a la divulgación de las actividades de participación ciudadana en el Concejo de Bogotá a través de los diferentes canales de tecnologías de la información y las comunicaciones</t>
  </si>
  <si>
    <t>SDH-CD-120-2020</t>
  </si>
  <si>
    <t>CONTROL INTERNO</t>
  </si>
  <si>
    <t>8/07/2020ER47036</t>
  </si>
  <si>
    <t>8/07/2020ER47084</t>
  </si>
  <si>
    <t>200212-0-2020</t>
  </si>
  <si>
    <t>PATRICIA IMELDA TRIANA CARDENAS</t>
  </si>
  <si>
    <t>Prestar servicios profesionales para apoyar la Dirección Administrativa en la gestión de las actividades relacionadas con el seguimiento a la ejecución contractual y procesos de liquidación de los expedientes contractuales.</t>
  </si>
  <si>
    <t>SDH-CD-121-2020</t>
  </si>
  <si>
    <t>200216-0-2020</t>
  </si>
  <si>
    <t>RUBEN ESTEBAN BUITRAGO DAZA</t>
  </si>
  <si>
    <t>Prestar los servicios profesionales de apoyo para la realizar la implementación, seguimiento y evaluación de la política de Gobierno digital en el marco de MIPG y los lineamientos dados por MinTIC.</t>
  </si>
  <si>
    <t>ERIKA PATRICIA ORTIZ NOVA</t>
  </si>
  <si>
    <t>SDH-CD-125-2020</t>
  </si>
  <si>
    <t>14/7/2020
ER49474</t>
  </si>
  <si>
    <t>14/07/2020
ER49492</t>
  </si>
  <si>
    <t>200213-0-2020</t>
  </si>
  <si>
    <t>TELEACCESS LTDA</t>
  </si>
  <si>
    <t>Realizar el mantenimiento integral, las adecuaciones locativas y las obras de mejora que se requieran, con el suministro de personal, equipo, materiales y repuestos, en las instalaciones físicas del Concejo de Bogotá, D.C.</t>
  </si>
  <si>
    <t>Los pagos se realizarán:
- El valor del personal, otros costos y el suministro de repuestos y materiales del periodo se cancelarán por pagos mensuales vencidos,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del contrato.</t>
  </si>
  <si>
    <t xml:space="preserve">SDH-SAMC-1-2020 </t>
  </si>
  <si>
    <t>Selección abreviada menor cuantía</t>
  </si>
  <si>
    <t>15/7/2020ER49945</t>
  </si>
  <si>
    <t>200215-0-2020</t>
  </si>
  <si>
    <t>Prestar los servicios de mantenimiento, suministro de partes, repuestos y soporte para la planta telefónica y terminales telefónicos del Concejo de Bogotá.</t>
  </si>
  <si>
    <t>UN PRIMER PAGO: correspondiente al 50% del valor asignado a servicios de mantenimiento preventivo y correctivo de conformidad con la oferta económica. 
UN SEGUNDO PAGO: correspondiente al 50% del valor asignado a servicios de mantenimiento preventivo y correctivo de conformidad con la oferta económica presentada por el contratista, una vez realizada la segunda visita del mantenimiento</t>
  </si>
  <si>
    <t>Mantenimiento planta telefónica</t>
  </si>
  <si>
    <t>200218-0-2020</t>
  </si>
  <si>
    <t>JESSIKA KATHERINE CANASTEROS PEDROZA</t>
  </si>
  <si>
    <t>Prestar servicios de apoyo a la Dirección Administrativa del Concejo de Bogotá en lo referente a logística documental y archivo.</t>
  </si>
  <si>
    <t>SDH-CD-128-2020</t>
  </si>
  <si>
    <t>200219-0-2020</t>
  </si>
  <si>
    <t>LAURA CATALINA GUTIERREZ MENDEZ</t>
  </si>
  <si>
    <t>Prestar los servicios profesionales para apoyar la Dirección Financiera en lo referente al proceso de liquidación, cierre de procesos contractuales y apoyo jurídico.</t>
  </si>
  <si>
    <t>SDH-CD-129-2020</t>
  </si>
  <si>
    <t>200221-0-2020</t>
  </si>
  <si>
    <t>ELIZABETH AREVALO CANCINO</t>
  </si>
  <si>
    <t>Prestar los servicios como interprete en lengua de señas para las actividades y procesos que requiera el Concejo de Bogotá.</t>
  </si>
  <si>
    <t>SDH-CD-126-2020</t>
  </si>
  <si>
    <t>200195-0-2020</t>
  </si>
  <si>
    <t>ALDEMAR CAÑON CORTES</t>
  </si>
  <si>
    <t>SDH-CD-110-2020</t>
  </si>
  <si>
    <t>200228-0-2020</t>
  </si>
  <si>
    <t>SOCIEDAD CAMERAL DE CERTIFICACION DIGITAL CERTICAMARA S.A.</t>
  </si>
  <si>
    <t>Proveer los certificados de servidor seguro SSL del Concejo de Bogotá.</t>
  </si>
  <si>
    <t>un único pago por el valor de los certificados, previa entrega de los documentos físicos o electrónicos en donde se acredite la propiedad y activación de los 3 certificados, su vigencia por dos años y recibidos a satisfacción por el supervisor del contrato y la presentación de la factura.</t>
  </si>
  <si>
    <t>Certificados de servidor seguro</t>
  </si>
  <si>
    <t>SDH-SMINC-21-2020</t>
  </si>
  <si>
    <t>200224-0-2020</t>
  </si>
  <si>
    <t>CORPORACION RED NACIONAL ACADEMICA DE TECNOLOGIA AVANZADA RENATA</t>
  </si>
  <si>
    <t>900156270-7</t>
  </si>
  <si>
    <t>Proveer servicios para implementación del protocolo de internet versión 6 (IPv6).</t>
  </si>
  <si>
    <t>Los pagos se realizarán así:
UN PRIMER PAGO: correspondiente al 40% del valor del contrato por el 100% de las actividades correspondientes a la Fase 1
UN SEGUNDO PAGO: correspondiente al 40% del valor del contrato por el 100% de las actividades correspondientes a la Fase 2.
UN TERCER PAGO: correspondiente al 20% del valor del contrato por el 100% de las actividades correspondientes a la Fase 3,</t>
  </si>
  <si>
    <t>Implementación del protocolo de internet versión 6(IPv6)</t>
  </si>
  <si>
    <t>Contratación Directa</t>
  </si>
  <si>
    <t>22/7/2020
ER52167</t>
  </si>
  <si>
    <t>22/7/2020
ER52174</t>
  </si>
  <si>
    <t>ANDRES FELIPE CORZO</t>
  </si>
  <si>
    <t>SDH-CD-115-2020</t>
  </si>
  <si>
    <t>Nancy Giovanna Cely</t>
  </si>
  <si>
    <t>200227-0-2020</t>
  </si>
  <si>
    <t>JOSE MANUEL SANCHEZ TAMAYO</t>
  </si>
  <si>
    <t>Prestar servicios de apoyo a la Dirección Administrativa en la gestión de actividades administrativas y operativas en lo referente a tramites contractuales</t>
  </si>
  <si>
    <t>Servicios de Apoyo</t>
  </si>
  <si>
    <t>SDH-CD-122-2020</t>
  </si>
  <si>
    <t>tiene una suspensión por 30 días desde el 7 de mayo hasta el 24 de junio /2020
se radica el 23 de junio ER42246 una prorroga hasta e 24 de julio 
se radica el 24/7/2020 una suspensión desde el 22 de julio hasta el 14 de agosto. 
Se radica el 24/7/2020 una solicitud de prorroga hasta el 24 de agosto de 2020</t>
  </si>
  <si>
    <t>SDH-SMINC-23-2019</t>
  </si>
  <si>
    <t>FELIPE REY SALAMANCA</t>
  </si>
  <si>
    <t>200235-0-2020</t>
  </si>
  <si>
    <t>Prestar los servicios profesionales a la mesa directiva en la coordinación del diseño, ejecución y sistematización de la participación ciudadana en los procesos de gestión normativa y control político del Concejo de Bogotá D.C.</t>
  </si>
  <si>
    <t>Servicios de Profesionales</t>
  </si>
  <si>
    <t>Mesa Directiva</t>
  </si>
  <si>
    <t>SDH-CD-133-2020</t>
  </si>
  <si>
    <t>200222-0-2020</t>
  </si>
  <si>
    <t>Prestar los servicios de actualización, mantenimiento y soporte con el suministro de repuestos para la infraestructura de telecomunicaciones, cableado estructurado (voz y datos), fibra óptica, energía normal y regulada del Concejo de Bogotá, D.C.</t>
  </si>
  <si>
    <t>30/12/2019
ER139509</t>
  </si>
  <si>
    <t>30/12/2019
ER139513</t>
  </si>
  <si>
    <t>30/12/2019
ER139508</t>
  </si>
  <si>
    <t>31/12/2019
ER139512</t>
  </si>
  <si>
    <t>02/01/2020
ER203</t>
  </si>
  <si>
    <t>C.C 4</t>
  </si>
  <si>
    <t>C.C 3</t>
  </si>
  <si>
    <t>C.C 1</t>
  </si>
  <si>
    <t>C.C. 3</t>
  </si>
  <si>
    <t>C.C 2</t>
  </si>
  <si>
    <t>C.C.2</t>
  </si>
  <si>
    <t>C.C. 2</t>
  </si>
  <si>
    <t>SDH-SIE-11-2020</t>
  </si>
  <si>
    <t xml:space="preserve">a) Se realizarán pagos mensuales por concepto de la prestación de los servicios por demanda
incluidos los repuestos y/o partes utilizados y/o actividades desarrolladas en el período a facturar
</t>
  </si>
  <si>
    <t xml:space="preserve">PRESTACIÓN DE SERVICIOS </t>
  </si>
  <si>
    <t>Actualización y mantenimiento infraestructura de telecomunicaciones</t>
  </si>
  <si>
    <t xml:space="preserve">selección abreviada subasta inversa </t>
  </si>
  <si>
    <t>200230-0-2020</t>
  </si>
  <si>
    <t>ARANDA SOFTWARE ANDINA S A S</t>
  </si>
  <si>
    <t>Prestar los servicios de actualización y soporte para el software para la gestión de la mesa de servicios Aranda para el Concejo de Bogotá</t>
  </si>
  <si>
    <t>SDH-CD-130-2020</t>
  </si>
  <si>
    <t>-Un primer pago correspondiente al 100% del valor de las licencias objeto de este contrato.
-Un segundo pago correspondiente al 50% del valor de los servicios conexos de conformidad con la oferta económica presentada por el contratista.
-Un tercer pago correspondiente al restante 50% del valor de los servicios conexos de  una vez realizado el segundo mantenimiento.</t>
  </si>
  <si>
    <t>Actualización mesa de servicios Aranda</t>
  </si>
  <si>
    <t>Contratación directa (con ofertas)</t>
  </si>
  <si>
    <t>RUBEN DARIO ESPINOSA BALLEN</t>
  </si>
  <si>
    <t>SDH-CD-131-2020</t>
  </si>
  <si>
    <t>SEBASTIAN CAMILO GUANUMEN PARRA</t>
  </si>
  <si>
    <t>SDH-CD-132-2020</t>
  </si>
  <si>
    <t>200232-0-2020</t>
  </si>
  <si>
    <t>Prestar servicios de apoyo para la atención de las medidas sanitarias del Covid - 19 en el Concejo de Bogotá, enmarcadas dentro de las actividades de medicina preventiva del trabajo.</t>
  </si>
  <si>
    <t>200234-0-2020</t>
  </si>
  <si>
    <t>Prestar los servicios profesionales a la mesa directiva en el fortalecimiento de la participación ciudadana en los planes, proyectos, estrategias y procesos de gestión normativa y control político del Concejo de Bogotá D.C.</t>
  </si>
  <si>
    <t>200211-0-2020</t>
  </si>
  <si>
    <t>SERVICIOS POSTALES NACIONALES S.A</t>
  </si>
  <si>
    <t>SD-CD-112-2020</t>
  </si>
  <si>
    <t>SERVICIO</t>
  </si>
  <si>
    <t>radicada el 10/03/2020
ER22446, "Prestar servicios para el desarrollo de una estrategia para digitalizar la comunicación del Concejo de Bogotá a través de contenidos audiovisuales y piezas digitales." LINEA 1366</t>
  </si>
  <si>
    <t>se envio por correo a la dra, Ruth el 5/5/2020, la solicitud de una prorroga por tres meses, hasta el 29 agosto de 2020, el 8/5/2002 se enviaron los documentos completos por correo a la Dr. Ruth.
Se radica el 3/8/2020ER57129   una prorroga hasta el 30/11/2020</t>
  </si>
  <si>
    <t>RODRIGO ANDRADE</t>
  </si>
  <si>
    <t>08/3/2020
ER57227</t>
  </si>
  <si>
    <t>GESTIONAMOS</t>
  </si>
  <si>
    <t>08/3/2020
ER57228</t>
  </si>
  <si>
    <t>se volvio a radicar el 03/08/202057187</t>
  </si>
  <si>
    <t>ANDRES FERNANDO GARZON</t>
  </si>
  <si>
    <t>03/08/2020
ER57094</t>
  </si>
  <si>
    <t>se envio por correo a la dra, Ruth el 5/5/2020, la solicitud de una prorroga por tres meses, hasta el 20 agosto de 2020, el 8/5/2002 se enviaron los documentos completos por correo a la Dr. Ruth
 se radica el 3/8/2020ER57310 una prorroga hasta el 30/11/2020</t>
  </si>
  <si>
    <t>4/08/2020
ER57622</t>
  </si>
  <si>
    <t>200241-0-2020</t>
  </si>
  <si>
    <t>MICROS COMPATIBILIDAD REDES Y ELEMENTOS S.A.S. MICROCORE SAS</t>
  </si>
  <si>
    <t>Prestar los servicios de mantenimiento preventivo y correctivo al sistema eléctrico del Centro Administrativo Distrital CAD y al sistema de generación y transferencia eléctrica de emergencia del Concejo de Bogotá</t>
  </si>
  <si>
    <t>Bimestrales</t>
  </si>
  <si>
    <t>Prestar los servicios de mantenimiento preventivo y correctivo al sistema eléctrico</t>
  </si>
  <si>
    <t>SDH-SMINC-17-2020</t>
  </si>
  <si>
    <t>HUGO ANDRES SIERRA VILLALOBOS</t>
  </si>
  <si>
    <t>200243-0-2020</t>
  </si>
  <si>
    <t>Prestar servicios profesionales en el manejo de programas relacionados con la edición de medios digitales, fotografía, grabación y video.</t>
  </si>
  <si>
    <t>SDH-CD-138-2020</t>
  </si>
  <si>
    <t>200239-0-2020</t>
  </si>
  <si>
    <t>PEDRO MARIA CAMARGO RINCON</t>
  </si>
  <si>
    <t>Prestar los servicios profesionales para apoyar a la Dirección Administrativa en la gestión de las actividades relacionadas con el seguimiento a la ejecución contractual relacionada con tecnología e informática del Concejo de Bogotá D.C.</t>
  </si>
  <si>
    <t>SDH-CD-136-2020</t>
  </si>
  <si>
    <t>Victor Sanchez</t>
  </si>
  <si>
    <t>MIACOM</t>
  </si>
  <si>
    <t>10/8/2020
ER59561</t>
  </si>
  <si>
    <t>200245-0-2020</t>
  </si>
  <si>
    <t>SOLUCIONES ICG S A S</t>
  </si>
  <si>
    <t>Prestar los servicios de soporte y actualización del software antivirus para el Concejo de Bogotá</t>
  </si>
  <si>
    <t>Un primer pago correspondiente al 100% del valor de las licencias actualizadas objeto de este contrato, Un segundo pago correspondiente al 50% del valor de los servicios conexos 
Un tercer pago correspondiente al restante 50% del valor de los servicios conexos, una vez realizado el segundo mantenimiento.</t>
  </si>
  <si>
    <t>Actualización Software Antivirus</t>
  </si>
  <si>
    <t>SDH-SMINC-24-2020</t>
  </si>
  <si>
    <t>200244-0-2020</t>
  </si>
  <si>
    <t>KHAANKO NORBERTO RUIZ RODRIGUEZ</t>
  </si>
  <si>
    <t>Prestar los servicios profesionales para apoyar a la Dirección Administrativa y el Proceso de Sistemas y Seguridad de la Información, en las actividades relacionadas con el Sistema de Seguridad de la Información del Concejo de Bogotá D.C.</t>
  </si>
  <si>
    <t>SDH-CD-147-2020</t>
  </si>
  <si>
    <t xml:space="preserve">SILVIA MARGARITA VELEZ MARTINEZ </t>
  </si>
  <si>
    <t>200258-0-2020</t>
  </si>
  <si>
    <t>GIOVANNA ELIZABETH PARRA CAHUEÑO</t>
  </si>
  <si>
    <t>Prestación servicio profesional en la gestión documental del procedimiento de Fondo Cuenta y las liquidaciones de contratos de la Dirección Financiera del Concejo de Bogotá.</t>
  </si>
  <si>
    <t>SDH-CD-143-2020</t>
  </si>
  <si>
    <t>200257-0-2020</t>
  </si>
  <si>
    <t>Prestar servicios de actualización, mantenimiento y soporte para las licencias del sitio WEB e intranet y de streaming del Concejo de Bogotá</t>
  </si>
  <si>
    <t>SDH-CD-135-2020</t>
  </si>
  <si>
    <t>Actualización sitio web</t>
  </si>
  <si>
    <t xml:space="preserve">radicada el 29/7/2020ER55268 LINEA 1194
vuleta a radicar el 12/8/2020ER60468 </t>
  </si>
  <si>
    <t>JORGE LUIS GARZÓN TOBAR</t>
  </si>
  <si>
    <t>200260-0-2020</t>
  </si>
  <si>
    <t>AUGUSTO CESAR MOSCARELLA RIASCOS</t>
  </si>
  <si>
    <t>Prestación de servicios profesionales, en el marco de los procesos de gestión jurídica y judicial a cargo de la Dirección Jurídica del Concejo de Bogotá, D.C.</t>
  </si>
  <si>
    <t>SDH-CD-144-2020</t>
  </si>
  <si>
    <t>200253-0-2020</t>
  </si>
  <si>
    <t>JAIRO ENRIQUE BELLO ARDILA</t>
  </si>
  <si>
    <t>Prestar los servicios de apoyo operativo al proceso de Recursos Físicos de la Dirección Administrativa.</t>
  </si>
  <si>
    <t>Servicios apoyo operativo</t>
  </si>
  <si>
    <t>SDH-CD-139-2020</t>
  </si>
  <si>
    <t>BUSINESSMIND COLOMBIA S.A. - BMIND COLOMBIA S.A</t>
  </si>
  <si>
    <t>200259-0-2020</t>
  </si>
  <si>
    <t>Prestar los servicios de administración y operación de la plataforma Oracle del Concejo de Bogotá</t>
  </si>
  <si>
    <t>mensualidades iguales vencidas</t>
  </si>
  <si>
    <t>Administracion plataforma Oracle</t>
  </si>
  <si>
    <t>200251-0-2020</t>
  </si>
  <si>
    <t>PROTEVIS LIMITADA PROTECCION VIGILANCIA SEGURIDAD EN REORGANIZACION</t>
  </si>
  <si>
    <t>Prestar los servicios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 la Licitación Pública No. SDH-LP-02-2020 y la propuesta presentada por el contratista.</t>
  </si>
  <si>
    <t>SDH-SIE-13-2020</t>
  </si>
  <si>
    <t>SDH-LP-2-2020</t>
  </si>
  <si>
    <t>200267-0-2020</t>
  </si>
  <si>
    <t>ASEAR S.A. E.S.P.</t>
  </si>
  <si>
    <t>Prestar los servicios integrales de aseo y cafetería y el servicio de fumigación para las instalaciones del Concejo de Bogotá, de conformidad con lo establecido en el pliego de condiciones del proceso de Selección Abreviada de Menor Cuantía No. SDH-SAMC-02-2020 y la propuesta presentada por el contratista.</t>
  </si>
  <si>
    <t>SDH-SAMC-2-2020</t>
  </si>
  <si>
    <t>Selección Abreviada de menor cuantía</t>
  </si>
  <si>
    <t>20/08/2020
ER63380</t>
  </si>
  <si>
    <t>200269-0-2020</t>
  </si>
  <si>
    <t>CARLOS HUMBERTO PALACIOS DORADO</t>
  </si>
  <si>
    <t>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</si>
  <si>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servicios profesionales</t>
  </si>
  <si>
    <t>SDH-CD-149-2020</t>
  </si>
  <si>
    <t>21/08/2020
ER64335</t>
  </si>
  <si>
    <t>*se radica el 10/12/2019ER132317,
 se radica una adicón y una prorroga hasta 18/02/2020</t>
  </si>
  <si>
    <t>200271-0-2020</t>
  </si>
  <si>
    <t>REDJURISTA SAS</t>
  </si>
  <si>
    <t>Suscripción al servicio de información jurídica a través de un boletín informativo por correo electrónico consulta web y biblioteca digital de legislación colombiana actualizada, de conformidad con lo establecido en la invitación pública del proceso citado en el asunto y la propuesta por ustedes presentada.</t>
  </si>
  <si>
    <t>Boletin Informativo</t>
  </si>
  <si>
    <t>SDH-SMINC-26-2020</t>
  </si>
  <si>
    <t>200284-0-2020</t>
  </si>
  <si>
    <t>ANDRES FELIPE GONZALEZ LOPEZ</t>
  </si>
  <si>
    <t>Prestación de servicios técnicos en la Secretaría General, en el control del trámite de los derechos de petición, así como en el registro y suministro de información sobre participación ciudadana.</t>
  </si>
  <si>
    <t>SDH-CD-158-2020</t>
  </si>
  <si>
    <t>Servicios técnicos /  Secretaria General</t>
  </si>
  <si>
    <t>ILBA YOHANA CARDENAS PEÑA</t>
  </si>
  <si>
    <t>radicada el 4/6/2020ER36946
el 2/7/2020 la Dir. Administrativa envia por correo a Jmcontreras la solicitud ajustada
 LINEA 1193</t>
  </si>
  <si>
    <t>*se radico el 06/09/2019 ER98676
*se radica el 24/8/2020 ER65160 LINEA 1170</t>
  </si>
  <si>
    <t>200272-0-2020</t>
  </si>
  <si>
    <t>E&amp;G COLOMBIA SERVICIOS DE MANTENIMIENTO S.A.S.</t>
  </si>
  <si>
    <t>901178631-0</t>
  </si>
  <si>
    <t>Prestar los servicios de mantenimiento preventivo, correctivo y traslado, incluyendo los repuestos y elementos que requieran los sistemas de archivos rodantes del Concejo de Bogotá D.C”</t>
  </si>
  <si>
    <t>SDH-SMINC-22-2020</t>
  </si>
  <si>
    <t>Mantenimiento archivos rodantes</t>
  </si>
  <si>
    <t>25/8/2020
ER65418</t>
  </si>
  <si>
    <t>25/8/2020
ER65422</t>
  </si>
  <si>
    <t>200240-0-2020</t>
  </si>
  <si>
    <t>CAMILO ANDRES BONILLA DIAZ</t>
  </si>
  <si>
    <t>Prestar los servicios profesionales para apoyar a la Secretaría General y coordinar con las comisiones permanentes la gestión y seguimiento de los derechos de petición y la operatividad de los mecanismos de participación ciudadana.</t>
  </si>
  <si>
    <t>SDH-CD-140-2020</t>
  </si>
  <si>
    <t>Servicios profesionales /  Secretaria General</t>
  </si>
  <si>
    <t>el 2/6/2020 se envia por correo a la Dra.Ruth, una prorroga hasta el 21/9/2020
se radica el 26/8/2020ER65905   una solicitud e prorroga hasta el 20/11/2020</t>
  </si>
  <si>
    <t>radicado el 28/7/2020ER54727  una solicitud de prorroga hasta el 28 de agosto de 2020
se radico el 26/8/2020ER  una prorroga hasta el 24/9/2020</t>
  </si>
  <si>
    <t>DAVID LEONARDO NUÑEZ AMORTEGUI</t>
  </si>
  <si>
    <t>Prestar los servicios profesionales para apoyar a la mesa directiva en la implementación y evaluación de metodologías y herramientas para la mejora de los procesos de gestión normativa y control político del Concejo de Bogotá D.C</t>
  </si>
  <si>
    <t>Servicios profesionales /  Mesa Directiva</t>
  </si>
  <si>
    <t>SDH-CD-156-2020</t>
  </si>
  <si>
    <t>Carpeta nuevamente devuelta el 13/02/2020ER4620
radicada nuevamente el 27/8/2020ER66340</t>
  </si>
  <si>
    <t>CASTOR DATA</t>
  </si>
  <si>
    <t>*se radica el 16/10/2019ER113096 una adición y prorroga hasta el 29/02/2020
* se radica 30/01/2020ER8440, una prorroga por dos meses
*el 1/6/2020, se radica a correo de la Dra. Ruth, una prorroga hasta el 15/9/2020
*se radica el 24/8/2020ER64795   una prorroga hasta el 30/11/2020
*se radica un ajuste a la prorroga anterior el 27/8/2020ER66549</t>
  </si>
  <si>
    <t>28/08/2020
ER66561</t>
  </si>
  <si>
    <t>SSL COLOMBIA</t>
  </si>
  <si>
    <t>NATALIA ALEJANDRA OSORIO</t>
  </si>
  <si>
    <t>28/08/2020
ER66663</t>
  </si>
  <si>
    <t>28/08/2020
ER66812</t>
  </si>
  <si>
    <t>se volvio a radicar el 28/8/2020ER66830</t>
  </si>
  <si>
    <t>28/08/2020
ER66836</t>
  </si>
  <si>
    <t>200246-0-2020</t>
  </si>
  <si>
    <t>COLOMBIANA DE SOFTWARE Y HARDWARE COLSOF S A</t>
  </si>
  <si>
    <t>Prestar los servicios de mantenimiento preventivo, correctivo y soporte técnico especializado para los servidores del Concejo de Bogotá y sus dispositivos</t>
  </si>
  <si>
    <t>pagos iguales trimestre vencido</t>
  </si>
  <si>
    <t>Mantenimiento Servidores</t>
  </si>
  <si>
    <t>SDH-SIE-14-2020</t>
  </si>
  <si>
    <t>se radica el 10/8/2020ER59718 una solicitud de prorroga por tres meses hasta el 30 de noviembre de 2020</t>
  </si>
  <si>
    <t>Carpeta devuelta por SDH, el 2/9/2020, por correo electrónico</t>
  </si>
  <si>
    <t>SDH-SAMC-9-2019</t>
  </si>
  <si>
    <t>3 meses y 11 días calendario</t>
  </si>
  <si>
    <t>SANTIAGO AMADOR VILLANEDA</t>
  </si>
  <si>
    <t>200293-0-2020</t>
  </si>
  <si>
    <t>Prestar los servicios profesionales para apoyar a la mesa directiva en la implementación y evaluación de metodologías y herramientas para la mejora de los procesos de gestión normativa y control político del Concejo de Bogotá D.C.</t>
  </si>
  <si>
    <t>200295-0-2020</t>
  </si>
  <si>
    <t>HENRY ANDRES GUALDRON VELASCO</t>
  </si>
  <si>
    <t>se volvioa radicar el 4/9/2020ER</t>
  </si>
  <si>
    <t xml:space="preserve"> radicada el 4/6/2020ER36890</t>
  </si>
  <si>
    <t>5 meses y 9 días calendario</t>
  </si>
  <si>
    <t>3 meses y 1 día</t>
  </si>
  <si>
    <t>6 meses y 1 día</t>
  </si>
  <si>
    <t>200294-0-2020</t>
  </si>
  <si>
    <t>7/9/2020
ER71637</t>
  </si>
  <si>
    <t>200290-0-2020</t>
  </si>
  <si>
    <t>Prestar los servicios de mantenimiento preventivo y correctivo de elementos que soportan la infraestructura tecnológica del Centro de cómputo y centros de cableado del Concejo de Bogotá</t>
  </si>
  <si>
    <t>Se realizarán cuatro (4) pagos, uno por cada una de las visitas de mantenimiento efectivamente realizada, por valor equivalente al cien por ciento (100%) del valor de los servicios y los repuestos.</t>
  </si>
  <si>
    <t>Mantenimiento infraestructura tecnológica</t>
  </si>
  <si>
    <t>SDH-SIE-17-2020</t>
  </si>
  <si>
    <t>8/9/2020
ER72186</t>
  </si>
  <si>
    <t>8/09/2020
ER72288</t>
  </si>
  <si>
    <t>9/9/2020
ER72506</t>
  </si>
  <si>
    <t xml:space="preserve">se volvio a radicar el 10/9/2020ER73172, </t>
  </si>
  <si>
    <t>carpeta devuelta nuevamente por SDH, el 12/02/2020ER4286,
Se volvio a radicar el 10/9/2020ER73173</t>
  </si>
  <si>
    <t>se volvio a radicar el 13/11/2019ER122154, POR Maria Alejandra Sanchez</t>
  </si>
  <si>
    <t>200325-0-2020</t>
  </si>
  <si>
    <t>Prestar los servicios de diseño producción y ejecución de estrategias de divulgación en medios de comunicación de carácter masivo para el Concejo de Bogotá.</t>
  </si>
  <si>
    <t>SDH-SIE-15-2020</t>
  </si>
  <si>
    <t>Estrategias de Divulgación</t>
  </si>
  <si>
    <t>2 meses y 27 días</t>
  </si>
  <si>
    <t>3 meses y 27 días</t>
  </si>
  <si>
    <t>14/9/2020
ER74248</t>
  </si>
  <si>
    <t>se vuelve a radicar el 14/9/2020ER74649</t>
  </si>
  <si>
    <t>radicada el 15/9/2020ER75109</t>
  </si>
  <si>
    <t>200292-0-2020</t>
  </si>
  <si>
    <t>79391917-2</t>
  </si>
  <si>
    <t>Proveer elementos ergonómicos para los puestos de trabajo de los servidores públicos del Concejo de Bogotá.</t>
  </si>
  <si>
    <t>SDH-SMINC-27-2020</t>
  </si>
  <si>
    <t>se radica el 22/9/2020ER79101    una adicón y prorroga hasta el 15/12/2020</t>
  </si>
  <si>
    <t xml:space="preserve">el 27/5/2020 se envia al correo de la Dra. Ruth, una prorroga hasta el 30/8/2020
el 3/8/2020ER57313  se radica una adición y prorroga hasta 30/11/2020
Se radica el 22/9/2020ER7922            una adición </t>
  </si>
  <si>
    <t>200332-0-2020</t>
  </si>
  <si>
    <t>GRANADOS Y CONDECORACIONES S.A.S.</t>
  </si>
  <si>
    <t>Actos protocolarios</t>
  </si>
  <si>
    <t>SDH-SMINC-25-2020</t>
  </si>
  <si>
    <t>el 23/9/2020ER79500  se radica una prorroga hasta el 14/10/2020</t>
  </si>
  <si>
    <t>ANITA LIEVANO TOLEDO</t>
  </si>
  <si>
    <t>200310-0-2020</t>
  </si>
  <si>
    <t>Prestar los servicios profesionales para apoyar la ejecución de las actividades contenidas en el Plan de Bienestar Social y de capacitación del Concejo de Bogotá</t>
  </si>
  <si>
    <t>Servicios Profesionales - Bienestar</t>
  </si>
  <si>
    <t>SDH-CD-177-2020</t>
  </si>
  <si>
    <t>se volvio a radicar el 24/9/2020ER80273</t>
  </si>
  <si>
    <t>25/9/2020
ER80551</t>
  </si>
  <si>
    <t xml:space="preserve">se volvio a radicar el 25/9/2020 ER80619 </t>
  </si>
  <si>
    <t>25/9/2020
ER80620</t>
  </si>
  <si>
    <t>200336-0-2020</t>
  </si>
  <si>
    <t>Suscripción a la Revista Semana para el Concejo de Bogotá</t>
  </si>
  <si>
    <t>Suscripcion revista semana</t>
  </si>
  <si>
    <t>SDH-CD-190-2020</t>
  </si>
  <si>
    <t>200348-0-2020</t>
  </si>
  <si>
    <t>Prestar el servicio integral de gestión de mesa de ayuda y gestión de impresión con suministro de repuestos para el Concejo de Bogotá</t>
  </si>
  <si>
    <t>P C MICROS SAS</t>
  </si>
  <si>
    <t>860509265-1</t>
  </si>
  <si>
    <t>860403052-3</t>
  </si>
  <si>
    <t>selección abreviada de menor cuantia</t>
  </si>
  <si>
    <t xml:space="preserve">SHD-SAMC-4-2020 </t>
  </si>
  <si>
    <t>se volvio a enviar el 28/9/2020ER81238</t>
  </si>
  <si>
    <t>200296-0-2020</t>
  </si>
  <si>
    <t>LAURA GARZON VENGOECHEA</t>
  </si>
  <si>
    <t>Servicios Profesionales - Mesa Directiva</t>
  </si>
  <si>
    <t>JULIO ANTONIO TORRES SANCHEZ</t>
  </si>
  <si>
    <t>200387-0-2020</t>
  </si>
  <si>
    <t>Prestar servicios profesionales al procedimiento de nómina de la Dirección Financiera del Concejo de Bogotá D.C. para el trámite de las incapacidades, certificados e información requerida por los funcionarios de la corporación</t>
  </si>
  <si>
    <t>Servicios Profesionales - Nómina</t>
  </si>
  <si>
    <t>LADY YINETH RODRIGUEZ OCACION</t>
  </si>
  <si>
    <t>200388-0-2020</t>
  </si>
  <si>
    <t>Prestar servicios profesionales para apoyar al Concejo de Bogotá D.C. en la elaboración de piezas promocionales que coadyuven a la socialización e implementación de la Asamblea de Ciudadanos de Bogotá.</t>
  </si>
  <si>
    <t>Servicios Profesionales - Comunicaciones</t>
  </si>
  <si>
    <t>SDH-CD-203-2020</t>
  </si>
  <si>
    <t>SDH-CD-214-2020</t>
  </si>
  <si>
    <t>DORA QUIROGA</t>
  </si>
  <si>
    <t>200382-0-2020</t>
  </si>
  <si>
    <t>MARIA CAMILA ARIZA PRIETO</t>
  </si>
  <si>
    <t>Prestar servicios profesionales para apoyar al Concejo de Bogotá D.C. en la elaboración de una estrategia de comunicaciones Interna y Externa para la Asamblea de Ciudadanos, permitiendo su correcta divulgación y afianzamiento como estrategia de interacción con la ciudadanía.</t>
  </si>
  <si>
    <t>SDH-CD-215-2020</t>
  </si>
  <si>
    <t>30/9/2020
ER82103</t>
  </si>
  <si>
    <t>200385-0-2020</t>
  </si>
  <si>
    <t>NIXON FREYTHER ALEXANDER DIAZ CISNEROS</t>
  </si>
  <si>
    <t>Servicios Apoyo - SSG</t>
  </si>
  <si>
    <t>2/10/2020
ER82939</t>
  </si>
  <si>
    <t>Carpeta nuevamente devuelta el 7/02/2020ER3950
se volvio a radicar el 2/10/2020ER82940</t>
  </si>
  <si>
    <t xml:space="preserve">carpeta devuelta por la SDH el 18/02/2020ER4990
se volvio a radicar el 2/10/2020ER82941 </t>
  </si>
  <si>
    <t xml:space="preserve">2 meses y 15 días </t>
  </si>
  <si>
    <t>200349-0-2020</t>
  </si>
  <si>
    <t>CLAUDIA LUCIA SALDARRIAGA ARENAS</t>
  </si>
  <si>
    <t>Prestar servicios profesionales para apoyar la supervisión técnica de los temas de infraestructura física asociados al desarrollo del Convenio Interadministrativo suscrito entre la Agencia Nacional Inmobiliaria y la Secretaria Distrital de Hacienda para el edificio nuevo del Concejo de Bogotá.</t>
  </si>
  <si>
    <t xml:space="preserve">Servicios Profesionales </t>
  </si>
  <si>
    <t>SDH-CD-198-2020</t>
  </si>
  <si>
    <t>3/10/2020
ER84765</t>
  </si>
  <si>
    <t>3/10/2020
ER84796</t>
  </si>
  <si>
    <t>9/10/2020
ER086265</t>
  </si>
  <si>
    <t xml:space="preserve">el 14/7/2020ER49857 se radica una prororga hasta el 9 de octubre
 el 5/10/2020 ER085202  se radica una prorroga hasta el 23/11/2020
</t>
  </si>
  <si>
    <t>*se radico el 06/02/2020ER11110
*radicada un alcance 02/03/2020ER19367, ficha devuelta por la SDH
* se radica el 11/9/2020 ER73818
*se radica un alcance el 9/10/2020ER 86998</t>
  </si>
  <si>
    <t>9/10/2020
ER87007</t>
  </si>
  <si>
    <t>radicada el 11/03/2020ER22958 LINEA 1198
se radico un alcance el 14/10/2020ER089410</t>
  </si>
  <si>
    <t>se radico el 29/9/2020ER81816
se radico un alcance el 14/10/2020ER89437</t>
  </si>
  <si>
    <t>se envio el 20/10/2020 ER93382</t>
  </si>
  <si>
    <t>NUBIA STELLA SUAREZ SOTELO</t>
  </si>
  <si>
    <t>carpeta devuelta por la SDH el 10/02/2020ER3980
se radico el 27/10/2020ER96849</t>
  </si>
  <si>
    <t>radicada el 27/10/2020ER96851
LINEA 1129</t>
  </si>
  <si>
    <t>radicada el 27/10/2020ER96857
  LINEA 1155</t>
  </si>
  <si>
    <t>se volvio a radicar el 29/10/2020ER99151</t>
  </si>
  <si>
    <t>SE VOLVIO A RADICAR EL 30/10/2020 ER99803</t>
  </si>
  <si>
    <t>30/10/2020
ER99809</t>
  </si>
  <si>
    <t>vuelta a radicar 30/10/2020ER99978</t>
  </si>
  <si>
    <t>HERNANDO REYES</t>
  </si>
  <si>
    <t>se radica el 19/6/2020ER41732 una adición y una prorroga hasta el 4/12/2020
* se radicar el 11/11/2020ER    se radica una prorroga hasta el 31/12/2020</t>
  </si>
  <si>
    <t>11/11/2020
ER108565</t>
  </si>
  <si>
    <t>se volvio a radicar el 11/11/2020ER108603</t>
  </si>
  <si>
    <t>11/11/2020
ER108655</t>
  </si>
  <si>
    <t>TELECAFE</t>
  </si>
  <si>
    <t>13/11/2020
ER109647</t>
  </si>
  <si>
    <t xml:space="preserve">4 meses y 14 días </t>
  </si>
  <si>
    <t xml:space="preserve">2 meses y 8 días </t>
  </si>
  <si>
    <t>5 meses y 8 días</t>
  </si>
  <si>
    <t>radicada el 10/03/2020ER22379 LINEA 1187
se vuelve a radicar el 12/11/2020ER109065
se vuelve a radicar el 18/11/2020ER111728</t>
  </si>
  <si>
    <t>se radico el 19/11/2020ER113316, una prorroga hasta el 31/12/2020</t>
  </si>
  <si>
    <t>se radico el 19/11/2020ER113319, una prorroga hasta el 31/12/2020</t>
  </si>
  <si>
    <t>20/11/2020
ER114250</t>
  </si>
  <si>
    <t>Se radico el 29/10/2019ER117024, se radica una adicón y una prorroga hasta el 31/01/2020
*se radico el 16/01/2020ER3548 una prorroga hasta el 29/02/2020
*radicada una prorroga hasta el 31/03/2020
El 20/11/2020ER114219  se radica una prorroga hasta el 15/12/2020</t>
  </si>
  <si>
    <t>se radico una prorroga hasta el 19/9/202
se radica el 24/8/2020ER64896     una prorroga haste e 19/12/2020
se radica el 28/8/2020ER66765 una prorroga hasta el 10/12/2020
*se radica el 23/11/2020ER114669, una prorroga hasta el 18/12/2020</t>
  </si>
  <si>
    <t>radicada el 03/03/2020ER20103 LINEA 1199 - 1135
se volvio a ardicar el 25/11/2020ER115623</t>
  </si>
  <si>
    <t>3 meses y 10 días</t>
  </si>
  <si>
    <t>6 meses y 10 días</t>
  </si>
  <si>
    <t>CARPETA DEVUELTA POR LA sdh, 5/02/2020ER3479
vuelta a radicar el 25/11/2020ER115953</t>
  </si>
  <si>
    <t>se volvio a radicar el 25/11/2020ER116049</t>
  </si>
  <si>
    <t>1 mes y 5 días</t>
  </si>
  <si>
    <t>200410-0-2020</t>
  </si>
  <si>
    <t>UNIVERSIDAD SERGIO ARBOLEDA</t>
  </si>
  <si>
    <t>860.351.894-3</t>
  </si>
  <si>
    <t>Prestar los servicios para realizar las actividades de capacitación previstas en el Plan Institucional de Capacitación para los funcionarios del Concejo de Bogotá</t>
  </si>
  <si>
    <t>SDH-SAMC-5-2020</t>
  </si>
  <si>
    <t>Capacitación</t>
  </si>
  <si>
    <t>200411-0-2020</t>
  </si>
  <si>
    <t>INSTITUCIÓN UNIVERSITARIA POLITÉCNICO GRACOLOMBIANO</t>
  </si>
  <si>
    <t>860.078.643-1</t>
  </si>
  <si>
    <t>200415-0-2020</t>
  </si>
  <si>
    <t>BGH COLOMBIA S.A.S</t>
  </si>
  <si>
    <t>200379-0-2020</t>
  </si>
  <si>
    <t>860007590-6</t>
  </si>
  <si>
    <t>Suscripción al diario el Espectador para el Concejo de Bogotá.</t>
  </si>
  <si>
    <t>SDH-CD-210-2020</t>
  </si>
  <si>
    <t>Suscripcion a el espectador</t>
  </si>
  <si>
    <t>200386-0-2020</t>
  </si>
  <si>
    <t>Suscripción al diario La República para el Concejo de Bogotá</t>
  </si>
  <si>
    <t>SDH-CD-208-2020</t>
  </si>
  <si>
    <t>Suscripción diario la República</t>
  </si>
  <si>
    <t>200412-0-2020</t>
  </si>
  <si>
    <t>Prestar servicios de apoyo al Concejo de Bogotá para la selección de Ciudadanos que conformaran el cuerpo deliberatorio de la asamblea Ciudadana en Bogotá D.C.</t>
  </si>
  <si>
    <t>SHD-CD-224-2020</t>
  </si>
  <si>
    <t xml:space="preserve">Un primer pago correspondiente al 50% del valor de contrato, a la entrega de la base de datos del reclutamiento de 150 personas.
 Un segundo pago correspondiente al 50% restante, a la entrega del informe final </t>
  </si>
  <si>
    <t>se radico el 18/02/2020ER15222
se volvio a radicar el 27/11/2020ER117661</t>
  </si>
  <si>
    <t>se radico el 27/11/2020ER117666</t>
  </si>
  <si>
    <t>FEC SUMINISTROS</t>
  </si>
  <si>
    <t>27/11/2020
ER117139
ER117132</t>
  </si>
  <si>
    <t>27/11/2020
ER117119</t>
  </si>
  <si>
    <t>se volvio a radicar el1/12/2020ER118825</t>
  </si>
  <si>
    <t>se volvio a radicar el 1/12/2020ER118837</t>
  </si>
  <si>
    <t>se volvio a radicar el 1/12/2020ER118918</t>
  </si>
  <si>
    <t>1/12/2020
ER118924</t>
  </si>
  <si>
    <t>se radica el 30/11/2020ER119161   el levantamiento de la prescindencia hasta el 31/12/2020</t>
  </si>
  <si>
    <t>radicada el 27/02/2020ER18571 LINEA 1196, solicitud devuelta por la SDH 
*se radica un alcance el 19/10/2020ER93248
se vuelve a radicar el 1/12/2020ER119402</t>
  </si>
  <si>
    <t>11 meses y 23 días</t>
  </si>
  <si>
    <t>NANCY JANETH CORDERO NEIRA</t>
  </si>
  <si>
    <t>Prestar los servicios profesionales a la Secretaría General del Concejo de Bogotá D.C. en la elaboración de un Plan de Trabajo con apoyo tecnológico que permita optimizar la revisión de las relatorías, el estado de gestión de las actas transcritas, solicitadas por concejales o autoridades competentes y actas sucintas de todas las sesiones plenarias y de las comisiones, que permita cumplir las respuestas en términos y conforme a la reglamentación vigente.</t>
  </si>
  <si>
    <t>SDH-CD-229-2020</t>
  </si>
  <si>
    <t>se radica el 3/12/2020ER121790   solicitud del levantamiento de la prescindencia</t>
  </si>
  <si>
    <t>El 17/9/2020ER77480  se radica una prorroga hasta el 15 de diciembre de 2020
el 26/11/2020ER116339 se radico una adición y prorroga hasta el 31/1/2021 
se radica alcance el 4/12/2020ER121856</t>
  </si>
  <si>
    <t>JOHN ANDREY BERMUDEZ HERRERA</t>
  </si>
  <si>
    <t>Prestación de servicios profesionales en la actualización y ajuste de instrumentos archivísticos, así como en los diferentes procedimientos y actividades de gestión documental que se desarrollan en la Corporación, conforme a la normatividad archivística vigente nacional y distrital.</t>
  </si>
  <si>
    <t>SDH-CD-225-2020</t>
  </si>
  <si>
    <t>MARIA ALEJANDRA BAQUERO CIMADEVILLA</t>
  </si>
  <si>
    <t>Prestar servicios profesionales a la Mesa Directiva del Concejo de Bogotá D.C. en el seguimiento y cumplimiento para el plan de acción, los programas, proyectos y estrategias de la corporación para la vigencia 2020, de acuerdo a la normatividad vigente y para el cumplimiento de los objetivos misionales</t>
  </si>
  <si>
    <t>12/12/2020
ER125258</t>
  </si>
  <si>
    <t>14/12/2020ER126356 se radica una prorroga hasta el 16/2/2021</t>
  </si>
  <si>
    <t xml:space="preserve">el 14/12/2020ER126661   se radica la terminación de mutuo acuerdo.
</t>
  </si>
  <si>
    <t>JHON JAIRO HERRERA ARIAS</t>
  </si>
  <si>
    <t>Prestar servicio de apoyo a la Secretaría General del Concejo de Bogotá D.C., en las actividades del procedimiento de relatoría, para las actas de las sesiones plenaria y de comisiones de la Corporación.</t>
  </si>
  <si>
    <t>SDH-CD-0226-2020</t>
  </si>
  <si>
    <t>se volivio a radicar el 15/12/2020ER127172</t>
  </si>
  <si>
    <t>Prestación de servicios de apoyo a la gestión para el desarrollo y apoyo logístico de las actividades contenidas dentro de los programas de bienestar, incentivos y mejoramiento de clima laboral para los servidores (as) del Concejo de Bogotá y sus familias</t>
  </si>
  <si>
    <t>SDH-CD-0238-2020</t>
  </si>
  <si>
    <t>PRESTACIÓN SERVICIO APOYO A LA GESTIÓN</t>
  </si>
  <si>
    <t>8 DÍS</t>
  </si>
  <si>
    <t>7 meses y 17 días</t>
  </si>
  <si>
    <t>19/12/2020
ER128884</t>
  </si>
  <si>
    <t>19/12/2020
ER128864</t>
  </si>
  <si>
    <t>21/12/2020
ER129303</t>
  </si>
  <si>
    <t>21/12/2020
ER129374</t>
  </si>
  <si>
    <t>LAUARA VELANDIA</t>
  </si>
  <si>
    <t>INFOTECH DE COLOMBIA SAS</t>
  </si>
  <si>
    <t>Adquirir licencias de Visio Profesional para el Concejo de Bogotá.</t>
  </si>
  <si>
    <t>SDH-SMINC-033-2020</t>
  </si>
  <si>
    <t>860.007.336-1</t>
  </si>
  <si>
    <t>Proveer bonos navideños para los hijos de los funcionarios del Concejo de Bogotá</t>
  </si>
  <si>
    <t>SDH-SAMC-006-2020</t>
  </si>
  <si>
    <t>ORDEN DE COMPRA 63021</t>
  </si>
  <si>
    <t>ORDEN DE COMPRA</t>
  </si>
  <si>
    <t>MARCO ANTONIO FLORIAN MANTILLA</t>
  </si>
  <si>
    <t>Prestar servicios de revisión, mantenimiento y recarga de extintores y gabinetes contra incendio, con suministro de repuestos y otros elementos de seguridad para el Concejo de Bogotá.</t>
  </si>
  <si>
    <t>SDH-SMINC-0037-2020</t>
  </si>
  <si>
    <t>Mantenimiento extintores</t>
  </si>
  <si>
    <t>900.322.971-3</t>
  </si>
  <si>
    <t>Proveer e implementar una plataforma de comunicaciones unificadas para el Concejo de Bogotá.</t>
  </si>
  <si>
    <t>SDH-SIE-21-2020</t>
  </si>
  <si>
    <t>-un primer pago correspondiente al valor de los equipos y demás elementos requeridos (hardware y software de la solución de comunicaciones unificadas).
-Un segundo pago correspondiente al valor de los servicios de instalación, configuración, puesta en funcionamiento.</t>
  </si>
  <si>
    <t>Plataforma de comunicaciones unificada</t>
  </si>
  <si>
    <t>EDITORIAL LA UNIDAD S.A EN EJECUCIÓN DEL ACUERDO DE REESTRUCTURACIÓN,</t>
  </si>
  <si>
    <t>Suscripción al diario El Nuevo Siglo para el Concejo de Bogotá</t>
  </si>
  <si>
    <t>SDH-CD-212-2020</t>
  </si>
  <si>
    <t>OSCAR FLOREZ MORENO</t>
  </si>
  <si>
    <t>radicada el 20/02/2020ER16356 LINEA 1226
Se envio por correo el 14 de abril /20, a jmcontreras@shd.gov.co
Radicada el 3/11/2020ER102237
se radica 1/12/2020ER119989
se vuelve a radicar el 17/12/2020ER128288
el 15/1/2021ER5461 se vuelve a radicar</t>
  </si>
  <si>
    <t>radicada el 15/01/2021ER5947</t>
  </si>
  <si>
    <t>se volvio a radicar el 15/12/2020
ER127148</t>
  </si>
  <si>
    <t>radicada el 15/1/2021ER5827, radicado un alcance el 20/01/2021ER7385</t>
  </si>
  <si>
    <t>se radica el 22/01/2021ER     una prorroga hasta el 27 de marzo/21</t>
  </si>
  <si>
    <t>se radico 21/01/2021ER8244   una adición y una prorroga hasta el 31/05/2021</t>
  </si>
  <si>
    <t>radicada el 21/01/2021ER8253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</si>
</sst>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quot;$&quot;\ * #,##0_-;\-&quot;$&quot;\ * #,##0_-;_-&quot;$&quot;\ *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_ * #,##0.00_ ;_ * \-#,##0.00_ ;_ * &quot;-&quot;??_ ;_ @_ "/>
    <numFmt numFmtId="168" formatCode="_(* #,##0_);_(* \(#,##0\);_(* &quot;-&quot;??_);_(@_)"/>
    <numFmt numFmtId="169" formatCode="[$-C0A]d\-mmm\-yy;@"/>
    <numFmt numFmtId="170" formatCode="_([$€-2]* #,##0.00_);_([$€-2]* \(#,##0.00\);_([$€-2]* &quot;-&quot;??_)"/>
    <numFmt numFmtId="171" formatCode="_-&quot;$&quot;* #,##0_-;\-&quot;$&quot;* #,##0_-;_-&quot;$&quot;* &quot;-&quot;??_-;_-@_-"/>
    <numFmt numFmtId="172" formatCode="0.0%"/>
    <numFmt numFmtId="173" formatCode="_-* #,##0_-;\-* #,##0_-;_-* &quot;-&quot;??_-;_-@_-"/>
    <numFmt numFmtId="174" formatCode="&quot;$&quot;#,##0"/>
    <numFmt numFmtId="175" formatCode="[$-C0A]mmm\-yy;@"/>
    <numFmt numFmtId="176" formatCode="[$-C0A]mmmmm\-yy;@"/>
    <numFmt numFmtId="177" formatCode="&quot;$&quot;\ #,##0"/>
    <numFmt numFmtId="178" formatCode="#,##0_ ;\-#,##0\ "/>
    <numFmt numFmtId="179" formatCode="[$-C0A]dd\-mmm\-yy;@"/>
    <numFmt numFmtId="180" formatCode="0.0"/>
    <numFmt numFmtId="181" formatCode="_-&quot;$&quot;* #,##0.0_-;\-&quot;$&quot;* #,##0.0_-;_-&quot;$&quot;* &quot;-&quot;??_-;_-@_-"/>
    <numFmt numFmtId="182" formatCode="0;[Red]0"/>
    <numFmt numFmtId="183" formatCode="yyyy\-mm\-dd;@"/>
  </numFmts>
  <fonts count="82"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b/>
      <sz val="8"/>
      <name val="Arial"/>
      <family val="2"/>
    </font>
    <font>
      <b/>
      <sz val="8"/>
      <color rgb="FF000000"/>
      <name val="Arial"/>
      <family val="2"/>
    </font>
    <font>
      <sz val="8"/>
      <color rgb="FF000000"/>
      <name val="Arial"/>
      <family val="2"/>
    </font>
    <font>
      <sz val="11"/>
      <color rgb="FF000000"/>
      <name val="Calibri"/>
      <family val="2"/>
      <scheme val="minor"/>
    </font>
  </fonts>
  <fills count="94">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
      <patternFill patternType="solid">
        <fgColor rgb="FF0066CC"/>
        <bgColor indexed="64"/>
      </patternFill>
    </fill>
    <fill>
      <patternFill patternType="solid">
        <fgColor theme="6" tint="0.59999389629810485"/>
        <bgColor indexed="64"/>
      </patternFill>
    </fill>
  </fills>
  <borders count="105">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
      <left/>
      <right/>
      <top style="thin">
        <color indexed="64"/>
      </top>
      <bottom/>
      <diagonal/>
    </border>
    <border>
      <left style="thin">
        <color indexed="64"/>
      </left>
      <right/>
      <top style="thick">
        <color theme="4" tint="-0.249977111117893"/>
      </top>
      <bottom style="thin">
        <color indexed="64"/>
      </bottom>
      <diagonal/>
    </border>
  </borders>
  <cellStyleXfs count="215">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0" fontId="22" fillId="0" borderId="0" applyFont="0" applyFill="0" applyBorder="0" applyAlignment="0" applyProtection="0"/>
    <xf numFmtId="0" fontId="13" fillId="4" borderId="0" applyNumberFormat="0" applyBorder="0" applyAlignment="0" applyProtection="0"/>
    <xf numFmtId="166" fontId="4" fillId="0" borderId="0" applyFont="0" applyFill="0" applyBorder="0" applyAlignment="0" applyProtection="0"/>
    <xf numFmtId="167" fontId="22" fillId="0" borderId="0" applyFont="0" applyFill="0" applyBorder="0" applyAlignment="0" applyProtection="0"/>
    <xf numFmtId="166"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4"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43" fontId="4" fillId="0" borderId="0" applyFont="0" applyFill="0" applyBorder="0" applyAlignment="0" applyProtection="0"/>
    <xf numFmtId="0" fontId="4" fillId="9" borderId="0" applyNumberFormat="0" applyBorder="0" applyAlignment="0" applyProtection="0"/>
    <xf numFmtId="164"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2" applyNumberFormat="0" applyFill="0" applyAlignment="0" applyProtection="0"/>
    <xf numFmtId="0" fontId="74" fillId="0" borderId="0" applyNumberFormat="0" applyFill="0" applyBorder="0" applyAlignment="0" applyProtection="0">
      <alignment vertical="top"/>
      <protection locked="0"/>
    </xf>
    <xf numFmtId="167"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cellStyleXfs>
  <cellXfs count="1286">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8"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68" fontId="5" fillId="0" borderId="11" xfId="0" applyNumberFormat="1" applyFont="1" applyFill="1" applyBorder="1" applyAlignment="1">
      <alignment vertical="center"/>
    </xf>
    <xf numFmtId="168"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8"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8"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8" fontId="5" fillId="26" borderId="11" xfId="0" applyNumberFormat="1" applyFont="1" applyFill="1" applyBorder="1" applyAlignment="1">
      <alignment vertical="center"/>
    </xf>
    <xf numFmtId="0" fontId="5" fillId="0" borderId="0" xfId="0" applyFont="1" applyFill="1" applyAlignment="1">
      <alignment vertical="center"/>
    </xf>
    <xf numFmtId="172"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1" fontId="5" fillId="0" borderId="11" xfId="76" applyNumberFormat="1" applyFont="1" applyFill="1" applyBorder="1" applyAlignment="1">
      <alignment horizontal="center" vertical="center"/>
    </xf>
    <xf numFmtId="171" fontId="5" fillId="25" borderId="11" xfId="76" applyNumberFormat="1" applyFont="1" applyFill="1" applyBorder="1" applyAlignment="1">
      <alignment horizontal="center" vertical="center"/>
    </xf>
    <xf numFmtId="169"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69" fontId="0" fillId="25" borderId="0" xfId="0" applyNumberFormat="1" applyFill="1"/>
    <xf numFmtId="15" fontId="5" fillId="27" borderId="47"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0" fillId="65" borderId="11" xfId="0" applyFill="1" applyBorder="1"/>
    <xf numFmtId="15" fontId="5" fillId="67" borderId="33" xfId="0" applyNumberFormat="1" applyFont="1" applyFill="1" applyBorder="1" applyAlignment="1">
      <alignment horizontal="center" vertical="center"/>
    </xf>
    <xf numFmtId="173"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2" xfId="0" applyFill="1" applyBorder="1" applyAlignment="1">
      <alignment vertical="center"/>
    </xf>
    <xf numFmtId="0" fontId="0" fillId="25" borderId="16" xfId="0" applyFill="1" applyBorder="1" applyAlignment="1">
      <alignment vertical="center"/>
    </xf>
    <xf numFmtId="0" fontId="0" fillId="25" borderId="63" xfId="0" applyFill="1" applyBorder="1" applyAlignment="1">
      <alignment vertical="center"/>
    </xf>
    <xf numFmtId="0" fontId="0" fillId="25" borderId="0" xfId="0" applyFill="1" applyAlignment="1">
      <alignment horizontal="center" vertical="center"/>
    </xf>
    <xf numFmtId="164" fontId="26" fillId="29" borderId="46" xfId="76" applyFont="1" applyFill="1" applyBorder="1" applyAlignment="1">
      <alignment vertical="center"/>
    </xf>
    <xf numFmtId="174" fontId="26" fillId="29" borderId="49"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1" fontId="26" fillId="0" borderId="11" xfId="76" applyNumberFormat="1" applyFont="1" applyBorder="1" applyAlignment="1">
      <alignment vertical="center"/>
    </xf>
    <xf numFmtId="172" fontId="26" fillId="0" borderId="11" xfId="1"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1"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5" xfId="0" applyFill="1" applyBorder="1" applyAlignment="1">
      <alignment vertical="center"/>
    </xf>
    <xf numFmtId="172" fontId="26" fillId="0" borderId="33" xfId="1" applyNumberFormat="1" applyFont="1" applyBorder="1" applyAlignment="1">
      <alignment horizontal="center" vertical="center"/>
    </xf>
    <xf numFmtId="0" fontId="0" fillId="25" borderId="67" xfId="0" applyFill="1" applyBorder="1"/>
    <xf numFmtId="0" fontId="48" fillId="25" borderId="68" xfId="77" applyFont="1" applyFill="1" applyBorder="1"/>
    <xf numFmtId="0" fontId="0" fillId="25" borderId="70" xfId="0" applyFill="1" applyBorder="1"/>
    <xf numFmtId="0" fontId="48" fillId="25" borderId="71"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4"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1" fontId="26" fillId="25" borderId="0" xfId="76" applyNumberFormat="1" applyFont="1" applyFill="1" applyAlignment="1">
      <alignment horizontal="center"/>
    </xf>
    <xf numFmtId="171" fontId="26" fillId="25" borderId="0" xfId="76" applyNumberFormat="1" applyFont="1" applyFill="1"/>
    <xf numFmtId="172" fontId="26" fillId="25" borderId="0" xfId="1" applyNumberFormat="1" applyFont="1" applyFill="1"/>
    <xf numFmtId="0" fontId="26" fillId="25" borderId="0" xfId="0" applyFont="1" applyFill="1" applyAlignment="1">
      <alignment horizontal="center" vertical="center" wrapText="1"/>
    </xf>
    <xf numFmtId="169"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1"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69"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171" fontId="5" fillId="0" borderId="11" xfId="76" applyNumberFormat="1" applyFont="1" applyFill="1" applyBorder="1" applyAlignment="1" applyProtection="1">
      <alignment horizontal="center" vertical="center" wrapText="1"/>
      <protection locked="0"/>
    </xf>
    <xf numFmtId="168"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1" fontId="5" fillId="0" borderId="11" xfId="76" applyNumberFormat="1" applyFont="1" applyFill="1" applyBorder="1" applyAlignment="1" applyProtection="1">
      <alignment vertical="center"/>
      <protection locked="0"/>
    </xf>
    <xf numFmtId="168"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1"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168" fontId="5" fillId="25" borderId="11" xfId="38" applyNumberFormat="1" applyFont="1" applyFill="1" applyBorder="1" applyAlignment="1" applyProtection="1">
      <alignment horizontal="center" vertical="center" wrapText="1"/>
      <protection locked="0"/>
    </xf>
    <xf numFmtId="169"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8" fontId="5" fillId="0" borderId="11" xfId="38" applyNumberFormat="1" applyFont="1" applyFill="1" applyBorder="1" applyAlignment="1" applyProtection="1">
      <alignment vertical="center" wrapText="1"/>
      <protection locked="0"/>
    </xf>
    <xf numFmtId="168"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1" fontId="5" fillId="0" borderId="11" xfId="76" applyNumberFormat="1" applyFont="1" applyFill="1" applyBorder="1" applyAlignment="1" applyProtection="1">
      <alignment horizontal="center" vertical="center"/>
      <protection locked="0"/>
    </xf>
    <xf numFmtId="171"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171" fontId="5" fillId="0" borderId="26" xfId="76" applyNumberFormat="1" applyFont="1" applyFill="1" applyBorder="1" applyAlignment="1" applyProtection="1">
      <alignment vertical="center"/>
      <protection locked="0"/>
    </xf>
    <xf numFmtId="168"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1"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1"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3" xfId="0" applyFont="1" applyFill="1" applyBorder="1" applyAlignment="1" applyProtection="1">
      <alignment horizontal="center" vertical="center" wrapText="1"/>
      <protection locked="0"/>
    </xf>
    <xf numFmtId="169" fontId="5" fillId="29" borderId="53" xfId="0" applyNumberFormat="1" applyFont="1" applyFill="1" applyBorder="1" applyAlignment="1" applyProtection="1">
      <alignment horizontal="center" vertical="center" wrapText="1"/>
      <protection locked="0"/>
    </xf>
    <xf numFmtId="1" fontId="5" fillId="29" borderId="53" xfId="0" applyNumberFormat="1" applyFont="1" applyFill="1" applyBorder="1" applyAlignment="1" applyProtection="1">
      <alignment horizontal="center" vertical="center" wrapText="1"/>
      <protection locked="0"/>
    </xf>
    <xf numFmtId="169" fontId="5" fillId="29" borderId="53" xfId="0" applyNumberFormat="1" applyFont="1" applyFill="1" applyBorder="1" applyAlignment="1" applyProtection="1">
      <alignment horizontal="right" vertical="center" wrapText="1"/>
      <protection locked="0"/>
    </xf>
    <xf numFmtId="169" fontId="5" fillId="29" borderId="53"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1" fontId="26" fillId="25" borderId="11" xfId="76" applyNumberFormat="1" applyFont="1" applyFill="1" applyBorder="1" applyAlignment="1">
      <alignment vertical="center"/>
    </xf>
    <xf numFmtId="171"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68" xfId="0" applyFill="1" applyBorder="1" applyAlignment="1">
      <alignment vertical="center"/>
    </xf>
    <xf numFmtId="0" fontId="0" fillId="25" borderId="71" xfId="0" applyFill="1" applyBorder="1" applyAlignment="1">
      <alignment vertical="center"/>
    </xf>
    <xf numFmtId="173"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43"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1" fontId="5" fillId="0" borderId="11" xfId="76" applyNumberFormat="1" applyFont="1" applyBorder="1" applyAlignment="1">
      <alignment vertical="center"/>
    </xf>
    <xf numFmtId="172" fontId="5" fillId="0" borderId="11" xfId="1"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3" fontId="5" fillId="0" borderId="43" xfId="116" applyNumberFormat="1" applyFont="1" applyFill="1" applyBorder="1" applyAlignment="1" applyProtection="1">
      <alignment horizontal="right" vertical="center" wrapText="1"/>
      <protection locked="0"/>
    </xf>
    <xf numFmtId="173"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1"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1"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4" xfId="0" applyNumberFormat="1" applyFont="1" applyFill="1" applyBorder="1" applyAlignment="1">
      <alignment horizontal="center" vertical="center" wrapText="1"/>
    </xf>
    <xf numFmtId="15" fontId="5" fillId="28" borderId="74"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3" xfId="0" applyFont="1" applyFill="1" applyBorder="1" applyAlignment="1" applyProtection="1">
      <alignment horizontal="justify" vertical="center" wrapText="1"/>
      <protection locked="0"/>
    </xf>
    <xf numFmtId="0" fontId="5" fillId="0" borderId="53" xfId="0" applyFont="1" applyFill="1" applyBorder="1" applyAlignment="1" applyProtection="1">
      <alignment vertical="center"/>
      <protection locked="0"/>
    </xf>
    <xf numFmtId="0" fontId="5" fillId="0" borderId="53" xfId="64" applyFont="1" applyFill="1" applyBorder="1" applyAlignment="1" applyProtection="1">
      <alignment horizontal="justify" vertical="center"/>
      <protection locked="0"/>
    </xf>
    <xf numFmtId="0" fontId="5" fillId="25" borderId="53" xfId="64" applyFont="1" applyFill="1" applyBorder="1" applyAlignment="1" applyProtection="1">
      <alignment horizontal="justify" vertical="center"/>
      <protection locked="0"/>
    </xf>
    <xf numFmtId="0" fontId="5" fillId="25" borderId="53" xfId="0" applyFont="1" applyFill="1" applyBorder="1" applyAlignment="1" applyProtection="1">
      <alignment horizontal="justify" vertical="center" wrapText="1"/>
      <protection locked="0"/>
    </xf>
    <xf numFmtId="0" fontId="23" fillId="0" borderId="53" xfId="0" applyFont="1" applyFill="1" applyBorder="1" applyAlignment="1" applyProtection="1">
      <alignment horizontal="justify" vertical="center" wrapText="1"/>
      <protection locked="0"/>
    </xf>
    <xf numFmtId="0" fontId="5" fillId="26" borderId="53" xfId="0" applyFont="1" applyFill="1" applyBorder="1" applyAlignment="1" applyProtection="1">
      <alignment vertical="center"/>
      <protection locked="0"/>
    </xf>
    <xf numFmtId="0" fontId="5" fillId="0" borderId="53" xfId="0" applyFont="1" applyFill="1" applyBorder="1" applyAlignment="1" applyProtection="1">
      <alignment horizontal="left" vertical="center"/>
      <protection locked="0"/>
    </xf>
    <xf numFmtId="0" fontId="5" fillId="25" borderId="53" xfId="0" applyFont="1" applyFill="1" applyBorder="1" applyAlignment="1" applyProtection="1">
      <alignment vertical="center"/>
      <protection locked="0"/>
    </xf>
    <xf numFmtId="0" fontId="5" fillId="0" borderId="58" xfId="0" applyFont="1" applyFill="1" applyBorder="1" applyAlignment="1" applyProtection="1">
      <alignment vertical="center"/>
      <protection locked="0"/>
    </xf>
    <xf numFmtId="0" fontId="26" fillId="25" borderId="53" xfId="0" applyFont="1" applyFill="1" applyBorder="1" applyAlignment="1">
      <alignment vertical="center"/>
    </xf>
    <xf numFmtId="0" fontId="26" fillId="25" borderId="53" xfId="0" applyFont="1" applyFill="1" applyBorder="1" applyAlignment="1" applyProtection="1">
      <alignment vertical="center"/>
      <protection locked="0"/>
    </xf>
    <xf numFmtId="0" fontId="26" fillId="0" borderId="53" xfId="0" applyFont="1" applyBorder="1"/>
    <xf numFmtId="0" fontId="5" fillId="0" borderId="75" xfId="0" applyNumberFormat="1" applyFont="1" applyFill="1" applyBorder="1" applyAlignment="1" applyProtection="1">
      <alignment horizontal="center" vertical="center"/>
      <protection locked="0"/>
    </xf>
    <xf numFmtId="169" fontId="5" fillId="0" borderId="75" xfId="0" applyNumberFormat="1" applyFont="1" applyFill="1" applyBorder="1" applyAlignment="1">
      <alignment horizontal="center" vertical="center"/>
    </xf>
    <xf numFmtId="0" fontId="5" fillId="0" borderId="75" xfId="0" applyNumberFormat="1" applyFont="1" applyFill="1" applyBorder="1" applyAlignment="1">
      <alignment horizontal="center" vertical="center"/>
    </xf>
    <xf numFmtId="0" fontId="26" fillId="0" borderId="75" xfId="0" applyFont="1" applyBorder="1" applyAlignment="1">
      <alignment horizontal="center" vertical="center"/>
    </xf>
    <xf numFmtId="175"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6"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6"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6"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3"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3" fontId="0" fillId="0" borderId="0" xfId="116" applyNumberFormat="1" applyFont="1" applyAlignment="1">
      <alignment vertical="center"/>
    </xf>
    <xf numFmtId="0" fontId="0" fillId="0" borderId="0" xfId="0" applyFill="1" applyAlignment="1">
      <alignment vertical="center"/>
    </xf>
    <xf numFmtId="173" fontId="0" fillId="0" borderId="0" xfId="116" applyNumberFormat="1" applyFont="1" applyFill="1" applyAlignment="1">
      <alignment vertical="center"/>
    </xf>
    <xf numFmtId="169" fontId="5" fillId="27" borderId="11" xfId="0" applyNumberFormat="1" applyFont="1" applyFill="1" applyBorder="1" applyAlignment="1">
      <alignment horizontal="center" vertical="center" wrapText="1"/>
    </xf>
    <xf numFmtId="171" fontId="26" fillId="0" borderId="11" xfId="76" applyNumberFormat="1" applyFont="1" applyBorder="1" applyAlignment="1" applyProtection="1">
      <alignment horizontal="center" vertical="center"/>
      <protection locked="0"/>
    </xf>
    <xf numFmtId="173"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1" fontId="26" fillId="0" borderId="11" xfId="76" applyNumberFormat="1" applyFont="1" applyBorder="1" applyAlignment="1">
      <alignment horizontal="center" vertical="center"/>
    </xf>
    <xf numFmtId="171" fontId="26" fillId="25" borderId="11" xfId="76" applyNumberFormat="1" applyFont="1" applyFill="1" applyBorder="1" applyAlignment="1" applyProtection="1">
      <alignment horizontal="center" vertical="center"/>
      <protection locked="0"/>
    </xf>
    <xf numFmtId="173"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1"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1" fontId="26" fillId="0" borderId="11" xfId="76" applyNumberFormat="1" applyFont="1" applyBorder="1" applyAlignment="1">
      <alignment horizontal="justify" vertical="center" wrapText="1"/>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7" fontId="26" fillId="0" borderId="0" xfId="0" applyNumberFormat="1" applyFont="1" applyAlignment="1">
      <alignment horizontal="right" vertical="center" wrapText="1"/>
    </xf>
    <xf numFmtId="0" fontId="5" fillId="28" borderId="77" xfId="0" applyFont="1" applyFill="1" applyBorder="1" applyAlignment="1">
      <alignment horizontal="justify" vertical="center" wrapText="1"/>
    </xf>
    <xf numFmtId="177" fontId="5" fillId="28" borderId="77" xfId="0" applyNumberFormat="1" applyFont="1" applyFill="1" applyBorder="1" applyAlignment="1">
      <alignment horizontal="right" vertical="center" wrapText="1"/>
    </xf>
    <xf numFmtId="15" fontId="5" fillId="28" borderId="77" xfId="0" applyNumberFormat="1" applyFont="1" applyFill="1" applyBorder="1" applyAlignment="1">
      <alignment horizontal="center" vertical="center" wrapText="1"/>
    </xf>
    <xf numFmtId="0" fontId="26" fillId="65" borderId="77" xfId="0" applyFont="1" applyFill="1" applyBorder="1" applyAlignment="1">
      <alignment horizontal="center" vertical="center" wrapText="1"/>
    </xf>
    <xf numFmtId="3" fontId="5" fillId="28" borderId="77" xfId="0" applyNumberFormat="1" applyFont="1" applyFill="1" applyBorder="1" applyAlignment="1">
      <alignment horizontal="center" vertical="center" wrapText="1"/>
    </xf>
    <xf numFmtId="0" fontId="26" fillId="65" borderId="77" xfId="0" applyFont="1" applyFill="1" applyBorder="1" applyAlignment="1">
      <alignment horizontal="justify" vertical="center" wrapText="1"/>
    </xf>
    <xf numFmtId="0" fontId="26" fillId="0" borderId="77" xfId="0" applyFont="1" applyBorder="1" applyAlignment="1">
      <alignment horizontal="justify" vertical="center" wrapText="1"/>
    </xf>
    <xf numFmtId="177" fontId="26" fillId="0" borderId="77" xfId="0" applyNumberFormat="1" applyFont="1" applyBorder="1" applyAlignment="1">
      <alignment horizontal="right" vertical="center" wrapText="1"/>
    </xf>
    <xf numFmtId="15" fontId="26" fillId="0" borderId="77" xfId="0" applyNumberFormat="1" applyFont="1" applyBorder="1" applyAlignment="1">
      <alignment horizontal="justify" vertical="center" wrapText="1"/>
    </xf>
    <xf numFmtId="0" fontId="26" fillId="0" borderId="77" xfId="0" applyFont="1" applyBorder="1" applyAlignment="1">
      <alignment horizontal="center" vertical="center" wrapText="1"/>
    </xf>
    <xf numFmtId="172" fontId="26" fillId="0" borderId="77" xfId="1" applyNumberFormat="1" applyFont="1" applyBorder="1" applyAlignment="1">
      <alignment horizontal="center" vertical="center" wrapText="1"/>
    </xf>
    <xf numFmtId="0" fontId="26" fillId="25" borderId="0" xfId="0" applyFont="1" applyFill="1" applyAlignment="1">
      <alignment horizontal="justify" vertical="center" wrapText="1"/>
    </xf>
    <xf numFmtId="177"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5" fontId="5" fillId="68" borderId="11" xfId="0" applyNumberFormat="1" applyFont="1" applyFill="1" applyBorder="1" applyAlignment="1">
      <alignment horizontal="center" vertical="center" wrapText="1"/>
    </xf>
    <xf numFmtId="175"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69" fontId="5" fillId="29" borderId="58"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8" fontId="5" fillId="0" borderId="11" xfId="116" applyNumberFormat="1" applyFont="1" applyFill="1" applyBorder="1" applyAlignment="1">
      <alignment horizontal="right" vertical="center" wrapText="1"/>
    </xf>
    <xf numFmtId="179" fontId="5" fillId="0" borderId="11" xfId="116" applyNumberFormat="1" applyFont="1" applyFill="1" applyBorder="1" applyAlignment="1">
      <alignment horizontal="center" vertical="center" wrapText="1"/>
    </xf>
    <xf numFmtId="169" fontId="0" fillId="25" borderId="0" xfId="0" applyNumberFormat="1" applyFill="1" applyAlignment="1">
      <alignment horizontal="center" vertical="center"/>
    </xf>
    <xf numFmtId="169" fontId="5" fillId="0" borderId="11" xfId="76" applyNumberFormat="1" applyFont="1" applyFill="1" applyBorder="1" applyAlignment="1" applyProtection="1">
      <alignment horizontal="center" vertical="center" wrapText="1"/>
      <protection locked="0"/>
    </xf>
    <xf numFmtId="169" fontId="26" fillId="0" borderId="11" xfId="0" applyNumberFormat="1" applyFont="1" applyFill="1" applyBorder="1" applyAlignment="1" applyProtection="1">
      <alignment horizontal="center" vertical="center"/>
      <protection locked="0"/>
    </xf>
    <xf numFmtId="169" fontId="0" fillId="0" borderId="0" xfId="0" applyNumberFormat="1" applyAlignment="1">
      <alignment horizontal="center" vertical="center"/>
    </xf>
    <xf numFmtId="169" fontId="0" fillId="25" borderId="0" xfId="116" applyNumberFormat="1" applyFont="1" applyFill="1" applyAlignment="1">
      <alignment horizontal="center" vertical="center"/>
    </xf>
    <xf numFmtId="169" fontId="26" fillId="0" borderId="11" xfId="116" applyNumberFormat="1" applyFont="1" applyFill="1" applyBorder="1" applyAlignment="1" applyProtection="1">
      <alignment horizontal="center" vertical="center"/>
      <protection locked="0"/>
    </xf>
    <xf numFmtId="169" fontId="0" fillId="0" borderId="0" xfId="116" applyNumberFormat="1" applyFont="1" applyAlignment="1">
      <alignment horizontal="center" vertical="center"/>
    </xf>
    <xf numFmtId="169" fontId="26" fillId="0" borderId="55" xfId="0" applyNumberFormat="1" applyFont="1" applyFill="1" applyBorder="1" applyAlignment="1" applyProtection="1">
      <alignment horizontal="center" vertical="center"/>
      <protection locked="0"/>
    </xf>
    <xf numFmtId="169" fontId="5" fillId="27" borderId="41" xfId="0" applyNumberFormat="1" applyFont="1" applyFill="1" applyBorder="1" applyAlignment="1">
      <alignment horizontal="center" vertical="center" wrapText="1"/>
    </xf>
    <xf numFmtId="169" fontId="5" fillId="27" borderId="42" xfId="0" applyNumberFormat="1" applyFont="1" applyFill="1" applyBorder="1" applyAlignment="1">
      <alignment horizontal="center" vertical="center" wrapText="1"/>
    </xf>
    <xf numFmtId="169" fontId="0" fillId="0" borderId="0" xfId="0" applyNumberFormat="1" applyFill="1" applyAlignment="1">
      <alignment horizontal="center" vertical="center"/>
    </xf>
    <xf numFmtId="169" fontId="5" fillId="0" borderId="43" xfId="116" applyNumberFormat="1" applyFont="1" applyFill="1" applyBorder="1" applyAlignment="1" applyProtection="1">
      <alignment horizontal="center" vertical="center" wrapText="1"/>
      <protection locked="0"/>
    </xf>
    <xf numFmtId="169" fontId="26" fillId="0" borderId="43" xfId="0" applyNumberFormat="1" applyFont="1" applyFill="1" applyBorder="1" applyAlignment="1" applyProtection="1">
      <alignment horizontal="center" vertical="center" wrapText="1"/>
      <protection locked="0"/>
    </xf>
    <xf numFmtId="169"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1" fontId="5" fillId="30" borderId="11" xfId="76" applyNumberFormat="1" applyFont="1" applyFill="1" applyBorder="1" applyAlignment="1" applyProtection="1">
      <alignment horizontal="right" vertical="center" wrapText="1"/>
      <protection locked="0"/>
    </xf>
    <xf numFmtId="0" fontId="0" fillId="29" borderId="57" xfId="0" applyFill="1" applyBorder="1" applyAlignment="1" applyProtection="1">
      <alignment vertical="center" wrapText="1"/>
      <protection locked="0"/>
    </xf>
    <xf numFmtId="169" fontId="5" fillId="29" borderId="57" xfId="64" applyNumberFormat="1" applyFont="1" applyFill="1" applyBorder="1" applyAlignment="1" applyProtection="1">
      <alignment horizontal="center" vertical="center" wrapText="1"/>
      <protection locked="0"/>
    </xf>
    <xf numFmtId="169" fontId="5" fillId="29" borderId="53" xfId="0" applyNumberFormat="1" applyFont="1" applyFill="1" applyBorder="1" applyAlignment="1" applyProtection="1">
      <alignment vertical="center" wrapText="1"/>
      <protection locked="0"/>
    </xf>
    <xf numFmtId="169" fontId="5" fillId="29" borderId="53" xfId="64" applyNumberFormat="1" applyFont="1" applyFill="1" applyBorder="1" applyAlignment="1" applyProtection="1">
      <alignment horizontal="center" vertical="center" wrapText="1"/>
      <protection locked="0"/>
    </xf>
    <xf numFmtId="0" fontId="5" fillId="29" borderId="53" xfId="0" applyNumberFormat="1" applyFont="1" applyFill="1" applyBorder="1" applyAlignment="1" applyProtection="1">
      <alignment horizontal="center" vertical="center" wrapText="1"/>
      <protection locked="0"/>
    </xf>
    <xf numFmtId="169" fontId="5" fillId="29" borderId="58" xfId="0" applyNumberFormat="1" applyFont="1" applyFill="1" applyBorder="1" applyAlignment="1" applyProtection="1">
      <alignment horizontal="center" vertical="center" wrapText="1"/>
      <protection locked="0"/>
    </xf>
    <xf numFmtId="169" fontId="5" fillId="29" borderId="51" xfId="0" applyNumberFormat="1" applyFont="1" applyFill="1" applyBorder="1" applyAlignment="1" applyProtection="1">
      <alignment vertical="center" wrapText="1"/>
      <protection locked="0"/>
    </xf>
    <xf numFmtId="169" fontId="5" fillId="29" borderId="57" xfId="0" applyNumberFormat="1" applyFont="1" applyFill="1" applyBorder="1" applyAlignment="1" applyProtection="1">
      <alignment horizontal="center" vertical="center" wrapText="1"/>
      <protection locked="0"/>
    </xf>
    <xf numFmtId="169" fontId="5" fillId="29" borderId="52" xfId="0" applyNumberFormat="1" applyFont="1" applyFill="1" applyBorder="1" applyAlignment="1" applyProtection="1">
      <alignment horizontal="center" vertical="center" wrapText="1"/>
      <protection locked="0"/>
    </xf>
    <xf numFmtId="169" fontId="23" fillId="29" borderId="53" xfId="0" applyNumberFormat="1" applyFont="1" applyFill="1" applyBorder="1" applyAlignment="1" applyProtection="1">
      <alignment horizontal="right" vertical="center" wrapText="1"/>
      <protection locked="0"/>
    </xf>
    <xf numFmtId="169" fontId="5" fillId="29" borderId="58" xfId="0" applyNumberFormat="1" applyFont="1" applyFill="1" applyBorder="1" applyAlignment="1" applyProtection="1">
      <alignment horizontal="right" vertical="center" wrapText="1"/>
      <protection locked="0"/>
    </xf>
    <xf numFmtId="169" fontId="5" fillId="29" borderId="54" xfId="0" applyNumberFormat="1" applyFont="1" applyFill="1" applyBorder="1" applyAlignment="1" applyProtection="1">
      <alignment horizontal="right" vertical="center" wrapText="1"/>
      <protection locked="0"/>
    </xf>
    <xf numFmtId="169" fontId="5" fillId="29" borderId="59" xfId="0" applyNumberFormat="1" applyFont="1" applyFill="1" applyBorder="1" applyAlignment="1" applyProtection="1">
      <alignment horizontal="center" vertical="center" wrapText="1"/>
      <protection locked="0"/>
    </xf>
    <xf numFmtId="169" fontId="5" fillId="29" borderId="52" xfId="0" applyNumberFormat="1" applyFont="1" applyFill="1" applyBorder="1" applyAlignment="1" applyProtection="1">
      <alignment horizontal="right" vertical="center" wrapText="1"/>
      <protection locked="0"/>
    </xf>
    <xf numFmtId="169" fontId="5" fillId="29" borderId="57" xfId="0" applyNumberFormat="1" applyFont="1" applyFill="1" applyBorder="1" applyAlignment="1" applyProtection="1">
      <alignment vertical="center" wrapText="1"/>
      <protection locked="0"/>
    </xf>
    <xf numFmtId="180" fontId="26" fillId="0" borderId="77" xfId="1" applyNumberFormat="1" applyFont="1" applyBorder="1" applyAlignment="1">
      <alignment horizontal="center" vertical="center" wrapText="1"/>
    </xf>
    <xf numFmtId="1" fontId="26" fillId="0" borderId="77"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69"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77" xfId="1" applyFont="1" applyBorder="1" applyAlignment="1">
      <alignment horizontal="center" vertical="center" wrapText="1"/>
    </xf>
    <xf numFmtId="0" fontId="26" fillId="25" borderId="58" xfId="0" applyFont="1" applyFill="1" applyBorder="1" applyAlignment="1">
      <alignment vertical="center"/>
    </xf>
    <xf numFmtId="0" fontId="26" fillId="0" borderId="58" xfId="0" applyFont="1" applyBorder="1"/>
    <xf numFmtId="0" fontId="5" fillId="25" borderId="54" xfId="0" applyFont="1" applyFill="1" applyBorder="1" applyAlignment="1" applyProtection="1">
      <alignment horizontal="justify" vertical="center" wrapText="1"/>
      <protection locked="0"/>
    </xf>
    <xf numFmtId="0" fontId="5" fillId="0" borderId="53"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5" xfId="0" applyFont="1" applyFill="1" applyBorder="1" applyAlignment="1" applyProtection="1">
      <alignment horizontal="justify" vertical="center" wrapText="1"/>
      <protection locked="0"/>
    </xf>
    <xf numFmtId="168" fontId="5" fillId="25" borderId="75"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5" xfId="0" applyNumberFormat="1" applyFont="1" applyFill="1" applyBorder="1" applyAlignment="1" applyProtection="1">
      <alignment horizontal="center" vertical="center"/>
      <protection locked="0"/>
    </xf>
    <xf numFmtId="174" fontId="0" fillId="0" borderId="0" xfId="0" applyNumberFormat="1" applyAlignment="1">
      <alignment vertical="center"/>
    </xf>
    <xf numFmtId="173"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171" fontId="26" fillId="0" borderId="11" xfId="76" applyNumberFormat="1" applyFont="1" applyFill="1" applyBorder="1" applyAlignment="1">
      <alignment horizontal="justify" vertical="center"/>
    </xf>
    <xf numFmtId="171"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1" fontId="26" fillId="0" borderId="0" xfId="76" applyNumberFormat="1" applyFont="1" applyAlignment="1">
      <alignment vertical="center" wrapText="1"/>
    </xf>
    <xf numFmtId="169" fontId="26" fillId="0" borderId="0" xfId="0" applyNumberFormat="1" applyFont="1" applyAlignment="1">
      <alignment horizontal="center" vertical="center" wrapText="1"/>
    </xf>
    <xf numFmtId="169"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1"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79" xfId="0" applyFont="1" applyBorder="1" applyAlignment="1">
      <alignment horizontal="center" vertical="center" wrapText="1"/>
    </xf>
    <xf numFmtId="169" fontId="26" fillId="0" borderId="79" xfId="0" applyNumberFormat="1" applyFont="1" applyBorder="1" applyAlignment="1">
      <alignment horizontal="center" vertical="center" wrapText="1"/>
    </xf>
    <xf numFmtId="0" fontId="26" fillId="0" borderId="79" xfId="0" applyFont="1" applyBorder="1" applyAlignment="1">
      <alignment vertical="center" wrapText="1"/>
    </xf>
    <xf numFmtId="0" fontId="26" fillId="0" borderId="81" xfId="0" applyFont="1" applyBorder="1" applyAlignment="1">
      <alignment vertical="center" wrapText="1"/>
    </xf>
    <xf numFmtId="0" fontId="26" fillId="0" borderId="80" xfId="0" applyFont="1" applyBorder="1" applyAlignment="1">
      <alignment vertical="center" wrapText="1"/>
    </xf>
    <xf numFmtId="0" fontId="26" fillId="0" borderId="82" xfId="0" applyFont="1" applyBorder="1" applyAlignment="1">
      <alignment horizontal="center" vertical="center" wrapText="1"/>
    </xf>
    <xf numFmtId="0" fontId="26" fillId="0" borderId="82" xfId="0" applyFont="1" applyBorder="1" applyAlignment="1">
      <alignment vertical="center" wrapText="1"/>
    </xf>
    <xf numFmtId="164" fontId="26" fillId="0" borderId="0" xfId="76" applyFont="1" applyAlignment="1">
      <alignment vertical="center" wrapText="1"/>
    </xf>
    <xf numFmtId="164" fontId="26" fillId="0" borderId="82" xfId="76" applyFont="1" applyBorder="1" applyAlignment="1">
      <alignment vertical="center" wrapText="1"/>
    </xf>
    <xf numFmtId="171" fontId="26" fillId="0" borderId="82" xfId="76" applyNumberFormat="1" applyFont="1" applyBorder="1" applyAlignment="1">
      <alignment vertical="center" wrapText="1"/>
    </xf>
    <xf numFmtId="169" fontId="26" fillId="0" borderId="82" xfId="0" applyNumberFormat="1" applyFont="1" applyBorder="1" applyAlignment="1">
      <alignment vertical="center" wrapText="1"/>
    </xf>
    <xf numFmtId="169" fontId="26" fillId="0" borderId="82" xfId="0" applyNumberFormat="1" applyFont="1" applyBorder="1" applyAlignment="1">
      <alignment horizontal="center" vertical="center" wrapText="1"/>
    </xf>
    <xf numFmtId="169" fontId="26" fillId="0" borderId="82"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2" xfId="76" applyNumberFormat="1" applyFont="1" applyBorder="1" applyAlignment="1">
      <alignment horizontal="center" vertical="center" wrapText="1"/>
    </xf>
    <xf numFmtId="164" fontId="26" fillId="0" borderId="82" xfId="76" applyFont="1" applyBorder="1" applyAlignment="1">
      <alignment horizontal="center" vertical="center" wrapText="1"/>
    </xf>
    <xf numFmtId="171" fontId="26" fillId="0" borderId="82" xfId="76" applyNumberFormat="1" applyFont="1" applyBorder="1" applyAlignment="1">
      <alignment horizontal="center" vertical="center" wrapText="1"/>
    </xf>
    <xf numFmtId="9" fontId="26" fillId="0" borderId="82" xfId="1" applyFont="1" applyBorder="1" applyAlignment="1">
      <alignment horizontal="center" vertical="center" wrapText="1"/>
    </xf>
    <xf numFmtId="172" fontId="26" fillId="0" borderId="0" xfId="1" applyNumberFormat="1" applyFont="1" applyAlignment="1">
      <alignment vertical="center" wrapText="1"/>
    </xf>
    <xf numFmtId="172" fontId="26" fillId="0" borderId="82" xfId="1" applyNumberFormat="1" applyFont="1" applyBorder="1" applyAlignment="1">
      <alignment horizontal="center" vertical="center" wrapText="1"/>
    </xf>
    <xf numFmtId="14" fontId="26" fillId="0" borderId="82" xfId="0" applyNumberFormat="1" applyFont="1" applyBorder="1" applyAlignment="1">
      <alignment vertical="center" wrapText="1"/>
    </xf>
    <xf numFmtId="0" fontId="56" fillId="0" borderId="81" xfId="77" applyFont="1" applyBorder="1" applyAlignment="1">
      <alignment vertical="center" wrapText="1"/>
    </xf>
    <xf numFmtId="14" fontId="26" fillId="0" borderId="79" xfId="0" applyNumberFormat="1" applyFont="1" applyBorder="1" applyAlignment="1">
      <alignment vertical="center" wrapText="1"/>
    </xf>
    <xf numFmtId="0" fontId="26" fillId="25" borderId="0" xfId="0" applyFont="1" applyFill="1" applyAlignment="1">
      <alignment vertical="center" wrapText="1"/>
    </xf>
    <xf numFmtId="171" fontId="26" fillId="25" borderId="0" xfId="76" applyNumberFormat="1" applyFont="1" applyFill="1" applyAlignment="1">
      <alignment vertical="center" wrapText="1"/>
    </xf>
    <xf numFmtId="169" fontId="26" fillId="25" borderId="0" xfId="0" applyNumberFormat="1" applyFont="1" applyFill="1" applyAlignment="1">
      <alignment horizontal="center" vertical="center" wrapText="1"/>
    </xf>
    <xf numFmtId="164" fontId="26" fillId="25" borderId="0" xfId="76" applyFont="1" applyFill="1" applyAlignment="1">
      <alignment vertical="center" wrapText="1"/>
    </xf>
    <xf numFmtId="0" fontId="26" fillId="25" borderId="0" xfId="0" applyNumberFormat="1" applyFont="1" applyFill="1" applyAlignment="1">
      <alignment vertical="center" wrapText="1"/>
    </xf>
    <xf numFmtId="169" fontId="26" fillId="25" borderId="0" xfId="0" applyNumberFormat="1" applyFont="1" applyFill="1" applyAlignment="1">
      <alignment vertical="center" wrapText="1"/>
    </xf>
    <xf numFmtId="172"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4" fontId="26" fillId="0" borderId="0" xfId="0" applyNumberFormat="1" applyFont="1" applyAlignment="1">
      <alignment vertical="center" wrapText="1"/>
    </xf>
    <xf numFmtId="0" fontId="26" fillId="0" borderId="84"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4" fontId="63" fillId="0" borderId="11" xfId="76" applyFont="1" applyBorder="1"/>
    <xf numFmtId="171"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4"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2"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1" fontId="60" fillId="0" borderId="11" xfId="76" applyNumberFormat="1" applyFont="1" applyFill="1" applyBorder="1"/>
    <xf numFmtId="0" fontId="60" fillId="0" borderId="11" xfId="0" applyFont="1" applyFill="1" applyBorder="1" applyAlignment="1">
      <alignment horizontal="left"/>
    </xf>
    <xf numFmtId="171" fontId="60" fillId="0" borderId="11" xfId="76" applyNumberFormat="1" applyFont="1" applyBorder="1"/>
    <xf numFmtId="171" fontId="60" fillId="75" borderId="11" xfId="76" applyNumberFormat="1" applyFont="1" applyFill="1" applyBorder="1"/>
    <xf numFmtId="171"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79" xfId="0" applyFont="1" applyFill="1" applyBorder="1" applyAlignment="1">
      <alignment horizontal="center" vertical="center" wrapText="1"/>
    </xf>
    <xf numFmtId="0" fontId="50" fillId="76" borderId="81" xfId="0" applyFont="1" applyFill="1" applyBorder="1" applyAlignment="1">
      <alignment horizontal="center" vertical="center" wrapText="1"/>
    </xf>
    <xf numFmtId="0" fontId="50" fillId="77" borderId="80" xfId="0" applyFont="1" applyFill="1" applyBorder="1" applyAlignment="1">
      <alignment horizontal="center" vertical="center" wrapText="1"/>
    </xf>
    <xf numFmtId="171" fontId="50" fillId="77" borderId="80" xfId="76" applyNumberFormat="1" applyFont="1" applyFill="1" applyBorder="1" applyAlignment="1">
      <alignment horizontal="center" vertical="center" wrapText="1"/>
    </xf>
    <xf numFmtId="169" fontId="50" fillId="77" borderId="80" xfId="0" applyNumberFormat="1" applyFont="1" applyFill="1" applyBorder="1" applyAlignment="1">
      <alignment horizontal="center" vertical="center" wrapText="1"/>
    </xf>
    <xf numFmtId="164" fontId="50" fillId="77" borderId="80" xfId="76" applyFont="1" applyFill="1" applyBorder="1" applyAlignment="1">
      <alignment horizontal="center" vertical="center" wrapText="1"/>
    </xf>
    <xf numFmtId="0" fontId="50" fillId="77" borderId="83" xfId="0" applyFont="1" applyFill="1" applyBorder="1" applyAlignment="1">
      <alignment horizontal="center" vertical="center" wrapText="1"/>
    </xf>
    <xf numFmtId="169" fontId="50" fillId="70" borderId="82" xfId="0" applyNumberFormat="1" applyFont="1" applyFill="1" applyBorder="1" applyAlignment="1">
      <alignment horizontal="center" vertical="center" wrapText="1"/>
    </xf>
    <xf numFmtId="0" fontId="50" fillId="70" borderId="82" xfId="0" applyFont="1" applyFill="1" applyBorder="1" applyAlignment="1">
      <alignment horizontal="center" vertical="center" wrapText="1"/>
    </xf>
    <xf numFmtId="171" fontId="50" fillId="70" borderId="82" xfId="76" applyNumberFormat="1" applyFont="1" applyFill="1" applyBorder="1" applyAlignment="1">
      <alignment horizontal="center" vertical="center" wrapText="1"/>
    </xf>
    <xf numFmtId="0" fontId="50" fillId="70" borderId="82" xfId="0" applyNumberFormat="1" applyFont="1" applyFill="1" applyBorder="1" applyAlignment="1">
      <alignment horizontal="center" vertical="center" wrapText="1"/>
    </xf>
    <xf numFmtId="164" fontId="50" fillId="70" borderId="82" xfId="76" applyFont="1" applyFill="1" applyBorder="1" applyAlignment="1">
      <alignment horizontal="center" vertical="center" wrapText="1"/>
    </xf>
    <xf numFmtId="172" fontId="50" fillId="70" borderId="82"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0" xfId="0" applyFont="1" applyFill="1" applyBorder="1" applyAlignment="1">
      <alignment horizontal="center" vertical="center" wrapText="1"/>
    </xf>
    <xf numFmtId="0" fontId="62" fillId="25" borderId="91" xfId="0" applyFont="1" applyFill="1" applyBorder="1" applyAlignment="1">
      <alignment horizontal="center" vertical="center" wrapText="1"/>
    </xf>
    <xf numFmtId="0" fontId="62" fillId="25" borderId="92" xfId="0" applyFont="1" applyFill="1" applyBorder="1" applyAlignment="1">
      <alignment horizontal="center" vertical="center" wrapText="1"/>
    </xf>
    <xf numFmtId="0" fontId="26" fillId="0" borderId="0" xfId="0" applyFont="1" applyBorder="1" applyAlignment="1">
      <alignment vertical="center" wrapText="1"/>
    </xf>
    <xf numFmtId="14" fontId="26" fillId="0" borderId="81" xfId="0" applyNumberFormat="1" applyFont="1" applyBorder="1" applyAlignment="1">
      <alignment vertical="center" wrapText="1"/>
    </xf>
    <xf numFmtId="0" fontId="26" fillId="0" borderId="81"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4" fontId="63" fillId="25" borderId="0" xfId="0" applyNumberFormat="1" applyFont="1" applyFill="1" applyBorder="1"/>
    <xf numFmtId="164"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1"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1"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1"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1"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1"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79"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1"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1" fontId="67" fillId="29" borderId="93" xfId="76" applyNumberFormat="1" applyFont="1" applyFill="1" applyBorder="1" applyAlignment="1">
      <alignment vertical="center" wrapText="1"/>
    </xf>
    <xf numFmtId="0" fontId="68" fillId="29" borderId="93" xfId="77" applyFont="1" applyFill="1" applyBorder="1" applyAlignment="1" applyProtection="1">
      <alignment horizontal="center" vertical="center" wrapText="1"/>
      <protection locked="0"/>
    </xf>
    <xf numFmtId="171" fontId="66" fillId="0" borderId="74" xfId="76" applyNumberFormat="1" applyFont="1" applyBorder="1" applyAlignment="1">
      <alignment vertical="center" wrapText="1"/>
    </xf>
    <xf numFmtId="15" fontId="66" fillId="0" borderId="74" xfId="76" applyNumberFormat="1" applyFont="1" applyBorder="1" applyAlignment="1">
      <alignment vertical="center" wrapText="1"/>
    </xf>
    <xf numFmtId="0" fontId="66" fillId="0" borderId="74" xfId="0" applyFont="1" applyBorder="1" applyAlignment="1">
      <alignment vertical="center" wrapText="1"/>
    </xf>
    <xf numFmtId="0" fontId="66" fillId="0" borderId="94" xfId="0" applyFont="1" applyBorder="1" applyAlignment="1">
      <alignment vertical="center" wrapText="1"/>
    </xf>
    <xf numFmtId="171" fontId="66" fillId="0" borderId="75" xfId="76" applyNumberFormat="1" applyFont="1" applyBorder="1" applyAlignment="1">
      <alignment vertical="center" wrapText="1"/>
    </xf>
    <xf numFmtId="15" fontId="66" fillId="0" borderId="75" xfId="76" applyNumberFormat="1" applyFont="1" applyBorder="1" applyAlignment="1">
      <alignment vertical="center" wrapText="1"/>
    </xf>
    <xf numFmtId="0" fontId="66" fillId="0" borderId="75" xfId="0" applyFont="1" applyBorder="1" applyAlignment="1">
      <alignment vertical="center" wrapText="1"/>
    </xf>
    <xf numFmtId="0" fontId="66" fillId="0" borderId="95" xfId="0" applyFont="1" applyBorder="1" applyAlignment="1">
      <alignment vertical="center" wrapText="1"/>
    </xf>
    <xf numFmtId="171" fontId="66" fillId="29" borderId="93"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3" xfId="76" applyNumberFormat="1" applyFont="1" applyFill="1" applyBorder="1" applyAlignment="1">
      <alignment vertical="center" wrapText="1"/>
    </xf>
    <xf numFmtId="0" fontId="66" fillId="29" borderId="93" xfId="0" applyFont="1" applyFill="1" applyBorder="1" applyAlignment="1">
      <alignment vertical="center" wrapText="1"/>
    </xf>
    <xf numFmtId="15" fontId="66" fillId="29" borderId="11" xfId="76" applyNumberFormat="1" applyFont="1" applyFill="1" applyBorder="1" applyAlignment="1">
      <alignment vertical="center" wrapText="1"/>
    </xf>
    <xf numFmtId="171"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1" fontId="68" fillId="0" borderId="75" xfId="77" applyNumberFormat="1" applyFont="1" applyFill="1" applyBorder="1" applyAlignment="1" applyProtection="1">
      <alignment horizontal="center" vertical="center" wrapText="1"/>
      <protection locked="0"/>
    </xf>
    <xf numFmtId="171" fontId="66" fillId="0" borderId="11" xfId="76" applyNumberFormat="1" applyFont="1" applyFill="1" applyBorder="1" applyAlignment="1">
      <alignment vertical="center" wrapText="1"/>
    </xf>
    <xf numFmtId="171" fontId="66" fillId="81" borderId="11" xfId="76" applyNumberFormat="1" applyFont="1" applyFill="1" applyBorder="1" applyAlignment="1">
      <alignment vertical="center" wrapText="1"/>
    </xf>
    <xf numFmtId="171"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1" fontId="66" fillId="81" borderId="11" xfId="0" applyNumberFormat="1" applyFont="1" applyFill="1" applyBorder="1" applyAlignment="1">
      <alignment vertical="center" wrapText="1"/>
    </xf>
    <xf numFmtId="171"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1" fontId="66" fillId="81" borderId="93" xfId="76" applyNumberFormat="1" applyFont="1" applyFill="1" applyBorder="1" applyAlignment="1">
      <alignment vertical="center" wrapText="1"/>
    </xf>
    <xf numFmtId="0" fontId="68" fillId="81" borderId="93" xfId="77" applyFont="1" applyFill="1" applyBorder="1" applyAlignment="1" applyProtection="1">
      <alignment horizontal="center" vertical="center" wrapText="1"/>
      <protection locked="0"/>
    </xf>
    <xf numFmtId="15" fontId="66" fillId="81" borderId="93" xfId="76" applyNumberFormat="1" applyFont="1" applyFill="1" applyBorder="1" applyAlignment="1">
      <alignment vertical="center" wrapText="1"/>
    </xf>
    <xf numFmtId="0" fontId="66" fillId="81" borderId="93"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3" xfId="0" applyFont="1" applyFill="1" applyBorder="1" applyAlignment="1">
      <alignment horizontal="left" vertical="center" wrapText="1"/>
    </xf>
    <xf numFmtId="171" fontId="68" fillId="0" borderId="93" xfId="76" applyNumberFormat="1" applyFont="1" applyFill="1" applyBorder="1" applyAlignment="1">
      <alignment vertical="center" wrapText="1"/>
    </xf>
    <xf numFmtId="0" fontId="68" fillId="0" borderId="93" xfId="77" applyFont="1" applyFill="1" applyBorder="1" applyAlignment="1" applyProtection="1">
      <alignment horizontal="center" vertical="center" wrapText="1"/>
      <protection locked="0"/>
    </xf>
    <xf numFmtId="15" fontId="68" fillId="0" borderId="93" xfId="76" applyNumberFormat="1" applyFont="1" applyFill="1" applyBorder="1" applyAlignment="1">
      <alignment vertical="center" wrapText="1"/>
    </xf>
    <xf numFmtId="0" fontId="68" fillId="0" borderId="93"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4" xfId="1" applyNumberFormat="1" applyFont="1" applyBorder="1" applyAlignment="1">
      <alignment horizontal="center" vertical="center" wrapText="1"/>
    </xf>
    <xf numFmtId="10" fontId="66" fillId="0" borderId="75" xfId="1" applyNumberFormat="1" applyFont="1" applyBorder="1" applyAlignment="1">
      <alignment horizontal="center" vertical="center" wrapText="1"/>
    </xf>
    <xf numFmtId="10" fontId="66" fillId="81" borderId="93" xfId="1" applyNumberFormat="1" applyFont="1" applyFill="1" applyBorder="1" applyAlignment="1">
      <alignment horizontal="center" vertical="center" wrapText="1"/>
    </xf>
    <xf numFmtId="10" fontId="68" fillId="0" borderId="93" xfId="1" applyNumberFormat="1" applyFont="1" applyFill="1" applyBorder="1" applyAlignment="1">
      <alignment horizontal="center" vertical="center" wrapText="1"/>
    </xf>
    <xf numFmtId="10" fontId="66" fillId="29" borderId="93"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1" fontId="66" fillId="29" borderId="11" xfId="76" applyNumberFormat="1" applyFont="1" applyFill="1" applyBorder="1" applyAlignment="1">
      <alignment horizontal="center" vertical="center" wrapText="1"/>
    </xf>
    <xf numFmtId="171" fontId="66" fillId="82" borderId="11" xfId="76" applyNumberFormat="1" applyFont="1" applyFill="1" applyBorder="1" applyAlignment="1">
      <alignment vertical="center" wrapText="1"/>
    </xf>
    <xf numFmtId="171"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1"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1" fontId="66" fillId="0" borderId="11" xfId="0" applyNumberFormat="1" applyFont="1" applyFill="1" applyBorder="1" applyAlignment="1">
      <alignment vertical="center" wrapText="1"/>
    </xf>
    <xf numFmtId="171" fontId="68" fillId="29" borderId="11" xfId="77" applyNumberFormat="1" applyFont="1" applyFill="1" applyBorder="1" applyAlignment="1" applyProtection="1">
      <alignment horizontal="center" vertical="center" wrapText="1"/>
      <protection locked="0"/>
    </xf>
    <xf numFmtId="171" fontId="71" fillId="81" borderId="11" xfId="0" applyNumberFormat="1" applyFont="1" applyFill="1" applyBorder="1" applyAlignment="1">
      <alignment vertical="center" wrapText="1"/>
    </xf>
    <xf numFmtId="171" fontId="68" fillId="29" borderId="93" xfId="77" applyNumberFormat="1" applyFont="1" applyFill="1" applyBorder="1" applyAlignment="1" applyProtection="1">
      <alignment horizontal="center" vertical="center" wrapText="1"/>
      <protection locked="0"/>
    </xf>
    <xf numFmtId="165"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1" fontId="66" fillId="83" borderId="11" xfId="76" applyNumberFormat="1" applyFont="1" applyFill="1" applyBorder="1" applyAlignment="1">
      <alignment horizontal="center" vertical="center" wrapText="1"/>
    </xf>
    <xf numFmtId="171" fontId="66" fillId="83" borderId="11" xfId="0" applyNumberFormat="1" applyFont="1" applyFill="1" applyBorder="1" applyAlignment="1">
      <alignment vertical="center" wrapText="1"/>
    </xf>
    <xf numFmtId="171"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1" fontId="66" fillId="0" borderId="93" xfId="76" applyNumberFormat="1" applyFont="1" applyFill="1" applyBorder="1" applyAlignment="1">
      <alignment vertical="center" wrapText="1"/>
    </xf>
    <xf numFmtId="10" fontId="66" fillId="0" borderId="93" xfId="1" applyNumberFormat="1" applyFont="1" applyFill="1" applyBorder="1" applyAlignment="1">
      <alignment horizontal="center" vertical="center" wrapText="1"/>
    </xf>
    <xf numFmtId="15" fontId="66" fillId="0" borderId="93" xfId="76" applyNumberFormat="1" applyFont="1" applyFill="1" applyBorder="1" applyAlignment="1">
      <alignment vertical="center" wrapText="1"/>
    </xf>
    <xf numFmtId="0" fontId="66" fillId="0" borderId="93"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1"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4" fontId="66" fillId="82" borderId="11" xfId="76" applyFont="1" applyFill="1" applyBorder="1" applyAlignment="1">
      <alignment vertical="center" wrapText="1"/>
    </xf>
    <xf numFmtId="171" fontId="22" fillId="0" borderId="11" xfId="77" applyNumberFormat="1" applyFont="1" applyFill="1" applyBorder="1" applyAlignment="1" applyProtection="1">
      <alignment horizontal="center" vertical="center"/>
      <protection locked="0"/>
    </xf>
    <xf numFmtId="171"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1"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1"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1"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1"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1"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1"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1"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4" xfId="76" applyNumberFormat="1" applyFont="1" applyBorder="1" applyAlignment="1">
      <alignment vertical="center" wrapText="1"/>
    </xf>
    <xf numFmtId="0" fontId="66" fillId="0" borderId="75" xfId="76" applyNumberFormat="1" applyFont="1" applyBorder="1" applyAlignment="1">
      <alignment vertical="center" wrapText="1"/>
    </xf>
    <xf numFmtId="0" fontId="66" fillId="81" borderId="93" xfId="76" applyNumberFormat="1" applyFont="1" applyFill="1" applyBorder="1" applyAlignment="1">
      <alignment vertical="center" wrapText="1"/>
    </xf>
    <xf numFmtId="0" fontId="68" fillId="0" borderId="93"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3"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3" xfId="76" applyNumberFormat="1" applyFont="1" applyBorder="1" applyAlignment="1">
      <alignment vertical="center" wrapText="1"/>
    </xf>
    <xf numFmtId="0" fontId="66" fillId="0" borderId="93"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1" fontId="56" fillId="0" borderId="11" xfId="77" applyNumberFormat="1" applyFont="1" applyFill="1" applyBorder="1" applyAlignment="1" applyProtection="1">
      <alignment horizontal="center" vertical="center" wrapText="1"/>
      <protection locked="0"/>
    </xf>
    <xf numFmtId="171" fontId="68" fillId="0" borderId="26" xfId="76" applyNumberFormat="1" applyFont="1" applyBorder="1" applyAlignment="1">
      <alignment vertical="center" wrapText="1"/>
    </xf>
    <xf numFmtId="171" fontId="56" fillId="25" borderId="11" xfId="77" applyNumberFormat="1" applyFont="1" applyFill="1" applyBorder="1" applyAlignment="1" applyProtection="1">
      <alignment horizontal="center" vertical="center" wrapText="1"/>
      <protection locked="0"/>
    </xf>
    <xf numFmtId="0" fontId="56" fillId="0" borderId="81" xfId="77" applyFont="1" applyBorder="1" applyAlignment="1">
      <alignment horizontal="center" vertical="center" wrapText="1"/>
    </xf>
    <xf numFmtId="0" fontId="34" fillId="0" borderId="81" xfId="77" applyBorder="1" applyAlignment="1">
      <alignment vertical="center" wrapText="1"/>
    </xf>
    <xf numFmtId="171"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1"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1" fontId="68" fillId="0" borderId="11" xfId="76" applyNumberFormat="1" applyFont="1" applyFill="1" applyBorder="1" applyAlignment="1">
      <alignment vertical="center" wrapText="1"/>
    </xf>
    <xf numFmtId="171" fontId="34" fillId="25" borderId="11" xfId="77" applyNumberFormat="1" applyFill="1" applyBorder="1" applyAlignment="1" applyProtection="1">
      <alignment horizontal="center" vertical="center" wrapText="1"/>
      <protection locked="0"/>
    </xf>
    <xf numFmtId="0" fontId="66" fillId="81" borderId="99" xfId="0" applyFont="1" applyFill="1" applyBorder="1" applyAlignment="1">
      <alignment vertical="center" wrapText="1"/>
    </xf>
    <xf numFmtId="0" fontId="68" fillId="0" borderId="11" xfId="0" applyFont="1" applyFill="1" applyBorder="1" applyAlignment="1">
      <alignment vertical="center" wrapText="1"/>
    </xf>
    <xf numFmtId="10" fontId="67" fillId="78" borderId="93" xfId="1" applyNumberFormat="1" applyFont="1" applyFill="1" applyBorder="1" applyAlignment="1">
      <alignment horizontal="center" vertical="center" wrapText="1"/>
    </xf>
    <xf numFmtId="0" fontId="67" fillId="78" borderId="93" xfId="0" applyNumberFormat="1" applyFont="1" applyFill="1" applyBorder="1" applyAlignment="1">
      <alignment horizontal="center" vertical="center" wrapText="1"/>
    </xf>
    <xf numFmtId="15" fontId="67" fillId="78" borderId="93"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3" xfId="0" applyFont="1" applyBorder="1" applyAlignment="1">
      <alignment vertical="center" wrapText="1"/>
    </xf>
    <xf numFmtId="43"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1" fontId="26" fillId="25" borderId="11" xfId="76" applyNumberFormat="1" applyFont="1" applyFill="1" applyBorder="1" applyAlignment="1" applyProtection="1">
      <alignment horizontal="center" vertical="center" wrapText="1"/>
      <protection locked="0"/>
    </xf>
    <xf numFmtId="171" fontId="26" fillId="0" borderId="0" xfId="76" applyNumberFormat="1" applyFont="1" applyAlignment="1">
      <alignment horizontal="center" vertical="center" wrapText="1"/>
    </xf>
    <xf numFmtId="0" fontId="67" fillId="78" borderId="93"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1" fontId="66" fillId="84" borderId="11" xfId="76" applyNumberFormat="1" applyFont="1" applyFill="1" applyBorder="1" applyAlignment="1">
      <alignment vertical="center" wrapText="1"/>
    </xf>
    <xf numFmtId="171" fontId="66" fillId="26" borderId="11" xfId="76" applyNumberFormat="1" applyFont="1" applyFill="1" applyBorder="1" applyAlignment="1">
      <alignment vertical="center" wrapText="1"/>
    </xf>
    <xf numFmtId="171"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1"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1" fontId="67" fillId="85" borderId="11" xfId="76" applyNumberFormat="1" applyFont="1" applyFill="1" applyBorder="1" applyAlignment="1">
      <alignment horizontal="center" vertical="center" wrapText="1"/>
    </xf>
    <xf numFmtId="171" fontId="66" fillId="86" borderId="11" xfId="76" applyNumberFormat="1" applyFont="1" applyFill="1" applyBorder="1" applyAlignment="1">
      <alignment vertical="center" wrapText="1"/>
    </xf>
    <xf numFmtId="171" fontId="66" fillId="0" borderId="11" xfId="1" applyNumberFormat="1" applyFont="1" applyBorder="1" applyAlignment="1">
      <alignment horizontal="center" vertical="center" wrapText="1"/>
    </xf>
    <xf numFmtId="171" fontId="66" fillId="0" borderId="11" xfId="0" applyNumberFormat="1" applyFont="1" applyBorder="1" applyAlignment="1">
      <alignment vertical="center" wrapText="1"/>
    </xf>
    <xf numFmtId="169" fontId="66" fillId="0" borderId="11" xfId="76" applyNumberFormat="1" applyFont="1" applyBorder="1" applyAlignment="1">
      <alignment vertical="center" wrapText="1"/>
    </xf>
    <xf numFmtId="169" fontId="66" fillId="0" borderId="11" xfId="0" applyNumberFormat="1" applyFont="1" applyBorder="1" applyAlignment="1">
      <alignment vertical="center" wrapText="1"/>
    </xf>
    <xf numFmtId="169" fontId="66" fillId="81" borderId="11" xfId="76" applyNumberFormat="1" applyFont="1" applyFill="1" applyBorder="1" applyAlignment="1">
      <alignment vertical="center" wrapText="1"/>
    </xf>
    <xf numFmtId="169" fontId="66" fillId="0" borderId="11" xfId="0" applyNumberFormat="1" applyFont="1" applyBorder="1" applyAlignment="1">
      <alignment horizontal="center" vertical="center" wrapText="1"/>
    </xf>
    <xf numFmtId="169" fontId="66" fillId="29" borderId="11" xfId="76" applyNumberFormat="1" applyFont="1" applyFill="1" applyBorder="1" applyAlignment="1">
      <alignment vertical="center" wrapText="1"/>
    </xf>
    <xf numFmtId="169" fontId="66" fillId="80" borderId="11" xfId="76" applyNumberFormat="1" applyFont="1" applyFill="1" applyBorder="1" applyAlignment="1">
      <alignment vertical="center" wrapText="1"/>
    </xf>
    <xf numFmtId="169"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1" fontId="66" fillId="81" borderId="11" xfId="76" applyNumberFormat="1" applyFont="1" applyFill="1" applyBorder="1" applyAlignment="1">
      <alignment vertical="center" wrapText="1"/>
    </xf>
    <xf numFmtId="171" fontId="66" fillId="77" borderId="11" xfId="76" applyNumberFormat="1" applyFont="1" applyFill="1" applyBorder="1" applyAlignment="1">
      <alignment vertical="center" wrapText="1"/>
    </xf>
    <xf numFmtId="171" fontId="66" fillId="77" borderId="11" xfId="0" applyNumberFormat="1" applyFont="1" applyFill="1" applyBorder="1" applyAlignment="1">
      <alignment vertical="center" wrapText="1"/>
    </xf>
    <xf numFmtId="171" fontId="71" fillId="0" borderId="11" xfId="0" applyNumberFormat="1" applyFont="1" applyFill="1" applyBorder="1" applyAlignment="1">
      <alignment vertical="center" wrapText="1"/>
    </xf>
    <xf numFmtId="169"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1"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3"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1"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5"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1" fontId="67" fillId="81" borderId="93" xfId="76" applyNumberFormat="1" applyFont="1" applyFill="1" applyBorder="1" applyAlignment="1">
      <alignment vertical="center" wrapText="1"/>
    </xf>
    <xf numFmtId="171"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1"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1" fontId="66" fillId="87" borderId="93" xfId="76" applyNumberFormat="1" applyFont="1" applyFill="1" applyBorder="1" applyAlignment="1">
      <alignment vertical="center" wrapText="1"/>
    </xf>
    <xf numFmtId="0" fontId="68" fillId="87" borderId="93" xfId="77" applyFont="1" applyFill="1" applyBorder="1" applyAlignment="1" applyProtection="1">
      <alignment horizontal="center" vertical="center" wrapText="1"/>
      <protection locked="0"/>
    </xf>
    <xf numFmtId="10" fontId="66" fillId="87" borderId="93" xfId="1" applyNumberFormat="1" applyFont="1" applyFill="1" applyBorder="1" applyAlignment="1">
      <alignment horizontal="center" vertical="center" wrapText="1"/>
    </xf>
    <xf numFmtId="171" fontId="71" fillId="87" borderId="11" xfId="0" applyNumberFormat="1" applyFont="1" applyFill="1" applyBorder="1" applyAlignment="1">
      <alignment vertical="center" wrapText="1"/>
    </xf>
    <xf numFmtId="0" fontId="66" fillId="87" borderId="93" xfId="76" applyNumberFormat="1" applyFont="1" applyFill="1" applyBorder="1" applyAlignment="1">
      <alignment vertical="center" wrapText="1"/>
    </xf>
    <xf numFmtId="15" fontId="66" fillId="87" borderId="93" xfId="76" applyNumberFormat="1" applyFont="1" applyFill="1" applyBorder="1" applyAlignment="1">
      <alignment vertical="center" wrapText="1"/>
    </xf>
    <xf numFmtId="0" fontId="66" fillId="87" borderId="93" xfId="0" applyFont="1" applyFill="1" applyBorder="1" applyAlignment="1">
      <alignment vertical="center" wrapText="1"/>
    </xf>
    <xf numFmtId="171" fontId="68" fillId="87" borderId="11" xfId="77" applyNumberFormat="1" applyFont="1" applyFill="1" applyBorder="1" applyAlignment="1" applyProtection="1">
      <alignment horizontal="center" vertical="center" wrapText="1"/>
      <protection locked="0"/>
    </xf>
    <xf numFmtId="171" fontId="67" fillId="87" borderId="93" xfId="76" applyNumberFormat="1" applyFont="1" applyFill="1" applyBorder="1" applyAlignment="1">
      <alignment vertical="center" wrapText="1"/>
    </xf>
    <xf numFmtId="171"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1"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1"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3"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3" xfId="76" applyNumberFormat="1" applyFont="1" applyFill="1" applyBorder="1" applyAlignment="1">
      <alignment horizontal="center" vertical="center" wrapText="1"/>
    </xf>
    <xf numFmtId="0" fontId="66" fillId="81" borderId="93" xfId="76" applyNumberFormat="1" applyFont="1" applyFill="1" applyBorder="1" applyAlignment="1">
      <alignment horizontal="center" vertical="center" wrapText="1"/>
    </xf>
    <xf numFmtId="0" fontId="66" fillId="87" borderId="93" xfId="76" applyNumberFormat="1" applyFont="1" applyFill="1" applyBorder="1" applyAlignment="1">
      <alignment horizontal="center" vertical="center" wrapText="1"/>
    </xf>
    <xf numFmtId="0" fontId="67" fillId="87" borderId="93"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3"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4" fontId="26" fillId="25" borderId="11" xfId="76" applyNumberFormat="1" applyFont="1" applyFill="1" applyBorder="1" applyAlignment="1" applyProtection="1">
      <alignment vertical="center"/>
      <protection locked="0"/>
    </xf>
    <xf numFmtId="171"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4"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3" fontId="26" fillId="25" borderId="11" xfId="116" applyNumberFormat="1" applyFont="1" applyFill="1" applyBorder="1" applyAlignment="1" applyProtection="1">
      <alignment vertical="center"/>
      <protection locked="0"/>
    </xf>
    <xf numFmtId="173"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33"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1"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2"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169"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1"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1" fontId="76" fillId="25" borderId="11" xfId="77" applyNumberFormat="1" applyFont="1" applyFill="1" applyBorder="1" applyAlignment="1" applyProtection="1">
      <alignment horizontal="center" vertical="center" wrapText="1"/>
      <protection locked="0"/>
    </xf>
    <xf numFmtId="171"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3"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1" fontId="77" fillId="0" borderId="0" xfId="0" applyNumberFormat="1" applyFont="1"/>
    <xf numFmtId="171" fontId="77" fillId="0" borderId="0" xfId="0" applyNumberFormat="1" applyFont="1" applyAlignment="1">
      <alignment horizontal="center" vertical="center" wrapText="1"/>
    </xf>
    <xf numFmtId="172" fontId="77" fillId="0" borderId="0" xfId="0" applyNumberFormat="1" applyFont="1" applyAlignment="1">
      <alignment horizontal="center" vertical="center" wrapText="1"/>
    </xf>
    <xf numFmtId="0" fontId="77" fillId="0" borderId="0" xfId="0" applyFont="1" applyAlignment="1">
      <alignment horizontal="left"/>
    </xf>
    <xf numFmtId="172" fontId="77" fillId="0" borderId="0" xfId="0" applyNumberFormat="1" applyFont="1"/>
    <xf numFmtId="0" fontId="77" fillId="0" borderId="0" xfId="0" applyFont="1" applyAlignment="1">
      <alignment horizontal="left" indent="1"/>
    </xf>
    <xf numFmtId="169" fontId="77" fillId="0" borderId="0" xfId="0" applyNumberFormat="1" applyFont="1" applyAlignment="1">
      <alignment horizontal="center"/>
    </xf>
    <xf numFmtId="171"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79" fontId="26" fillId="0" borderId="11" xfId="125" applyNumberFormat="1" applyFont="1" applyBorder="1" applyAlignment="1">
      <alignment horizontal="right" vertical="center"/>
    </xf>
    <xf numFmtId="179" fontId="26" fillId="0" borderId="11" xfId="125" applyNumberFormat="1" applyFont="1" applyBorder="1" applyAlignment="1">
      <alignment horizontal="center"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1" fontId="26" fillId="25" borderId="43" xfId="76" applyNumberFormat="1" applyFont="1" applyFill="1" applyBorder="1" applyAlignment="1" applyProtection="1">
      <alignment vertical="center"/>
      <protection locked="0"/>
    </xf>
    <xf numFmtId="171" fontId="26" fillId="25" borderId="43" xfId="117" applyNumberFormat="1" applyFont="1" applyFill="1" applyBorder="1" applyAlignment="1" applyProtection="1">
      <alignment vertical="center"/>
      <protection locked="0"/>
    </xf>
    <xf numFmtId="171" fontId="26" fillId="0" borderId="43" xfId="76" applyNumberFormat="1" applyFont="1" applyBorder="1" applyAlignment="1">
      <alignment vertical="center"/>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2"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0" fontId="26" fillId="0" borderId="26" xfId="0" applyFont="1" applyBorder="1" applyAlignment="1">
      <alignment horizontal="center" vertical="center" wrapText="1"/>
    </xf>
    <xf numFmtId="0" fontId="26" fillId="0" borderId="93" xfId="0" applyFont="1" applyBorder="1" applyAlignment="1">
      <alignment horizontal="center" vertical="center" wrapText="1"/>
    </xf>
    <xf numFmtId="0" fontId="66" fillId="82" borderId="11" xfId="0" applyFont="1" applyFill="1" applyBorder="1" applyAlignment="1">
      <alignment vertical="center" wrapText="1"/>
    </xf>
    <xf numFmtId="0" fontId="67" fillId="78" borderId="93"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11" xfId="77" applyBorder="1" applyAlignment="1">
      <alignment horizontal="left" wrapText="1"/>
    </xf>
    <xf numFmtId="0" fontId="34" fillId="0" borderId="11" xfId="77" applyBorder="1" applyAlignment="1">
      <alignment horizontal="center" vertical="center"/>
    </xf>
    <xf numFmtId="0" fontId="34" fillId="25" borderId="11" xfId="77" applyFill="1" applyBorder="1" applyAlignment="1">
      <alignment horizontal="center" vertical="center" wrapText="1"/>
    </xf>
    <xf numFmtId="0" fontId="34" fillId="0" borderId="11" xfId="77" applyFill="1" applyBorder="1" applyAlignment="1">
      <alignment vertical="center"/>
    </xf>
    <xf numFmtId="0" fontId="34" fillId="0" borderId="11" xfId="77" applyFill="1" applyBorder="1" applyAlignment="1">
      <alignment horizontal="left" wrapText="1"/>
    </xf>
    <xf numFmtId="14" fontId="22" fillId="0" borderId="11" xfId="50" applyNumberFormat="1" applyBorder="1" applyAlignment="1">
      <alignment horizontal="center" vertical="center" wrapText="1"/>
    </xf>
    <xf numFmtId="14" fontId="22" fillId="0" borderId="11" xfId="50" applyNumberFormat="1" applyFont="1" applyBorder="1" applyAlignment="1">
      <alignment horizontal="center" vertical="center" wrapText="1"/>
    </xf>
    <xf numFmtId="164" fontId="26" fillId="25" borderId="11" xfId="117" applyNumberFormat="1" applyFont="1" applyFill="1" applyBorder="1" applyAlignment="1" applyProtection="1">
      <alignment vertical="center"/>
      <protection locked="0"/>
    </xf>
    <xf numFmtId="0" fontId="34" fillId="0" borderId="11" xfId="77" applyBorder="1" applyAlignment="1">
      <alignment horizontal="center"/>
    </xf>
    <xf numFmtId="0" fontId="34" fillId="0" borderId="11" xfId="77" applyBorder="1" applyAlignment="1">
      <alignment wrapText="1"/>
    </xf>
    <xf numFmtId="0" fontId="34" fillId="90" borderId="11" xfId="77" applyFill="1" applyBorder="1" applyAlignment="1">
      <alignment horizontal="left" wrapText="1"/>
    </xf>
    <xf numFmtId="0" fontId="26" fillId="0" borderId="11" xfId="0" applyFont="1" applyBorder="1" applyAlignment="1">
      <alignment horizontal="center" vertical="center"/>
    </xf>
    <xf numFmtId="0" fontId="34" fillId="0" borderId="0" xfId="77" applyAlignment="1">
      <alignment horizontal="center"/>
    </xf>
    <xf numFmtId="0" fontId="3" fillId="25" borderId="0" xfId="0" applyFont="1" applyFill="1" applyBorder="1" applyAlignment="1">
      <alignment horizontal="justify" vertical="center"/>
    </xf>
    <xf numFmtId="0" fontId="3" fillId="25" borderId="27" xfId="0" applyFont="1" applyFill="1" applyBorder="1" applyAlignment="1">
      <alignment horizontal="justify" vertical="center"/>
    </xf>
    <xf numFmtId="0" fontId="3" fillId="63" borderId="0" xfId="0" applyFont="1" applyFill="1" applyAlignment="1">
      <alignment horizontal="center" vertical="center"/>
    </xf>
    <xf numFmtId="0" fontId="78" fillId="28" borderId="11" xfId="0" applyFont="1" applyFill="1" applyBorder="1" applyAlignment="1">
      <alignment horizontal="center" vertical="center" wrapText="1"/>
    </xf>
    <xf numFmtId="0" fontId="78" fillId="0" borderId="11" xfId="0" applyFont="1" applyFill="1" applyBorder="1" applyAlignment="1" applyProtection="1">
      <alignment horizontal="justify" vertical="center" wrapText="1"/>
      <protection locked="0"/>
    </xf>
    <xf numFmtId="0" fontId="78" fillId="25" borderId="11" xfId="0" applyFont="1" applyFill="1" applyBorder="1" applyAlignment="1" applyProtection="1">
      <alignment horizontal="justify" vertical="center" wrapText="1"/>
      <protection locked="0"/>
    </xf>
    <xf numFmtId="0" fontId="78" fillId="0" borderId="11" xfId="0" applyFont="1" applyFill="1" applyBorder="1" applyAlignment="1">
      <alignment horizontal="justify" vertical="center" wrapText="1"/>
    </xf>
    <xf numFmtId="0" fontId="78" fillId="0" borderId="11" xfId="0" applyFont="1" applyFill="1" applyBorder="1" applyAlignment="1" applyProtection="1">
      <alignment horizontal="justify" vertical="center" wrapText="1"/>
    </xf>
    <xf numFmtId="0" fontId="78" fillId="0" borderId="26" xfId="0" applyFont="1" applyFill="1" applyBorder="1" applyAlignment="1" applyProtection="1">
      <alignment horizontal="justify" vertical="center" wrapText="1"/>
      <protection locked="0"/>
    </xf>
    <xf numFmtId="0" fontId="78" fillId="0" borderId="26" xfId="0" applyFont="1" applyFill="1" applyBorder="1" applyAlignment="1" applyProtection="1">
      <alignment horizontal="justify" vertical="center" wrapText="1"/>
    </xf>
    <xf numFmtId="0" fontId="50" fillId="25" borderId="11" xfId="0" applyFont="1" applyFill="1" applyBorder="1" applyAlignment="1">
      <alignment horizontal="justify" vertical="center" wrapText="1"/>
    </xf>
    <xf numFmtId="0" fontId="50" fillId="0" borderId="11" xfId="0" applyFont="1" applyBorder="1" applyAlignment="1" applyProtection="1">
      <alignment horizontal="justify" vertical="center" wrapText="1"/>
      <protection locked="0"/>
    </xf>
    <xf numFmtId="0" fontId="79" fillId="89" borderId="11" xfId="0" applyFont="1" applyFill="1" applyBorder="1" applyAlignment="1">
      <alignment horizontal="justify" vertical="center" wrapText="1"/>
    </xf>
    <xf numFmtId="0" fontId="79" fillId="89" borderId="11" xfId="0" applyFont="1" applyFill="1" applyBorder="1" applyAlignment="1">
      <alignment vertical="center" wrapText="1"/>
    </xf>
    <xf numFmtId="0" fontId="79" fillId="0" borderId="11" xfId="0" applyFont="1" applyBorder="1" applyAlignment="1">
      <alignment horizontal="justify" vertical="center" wrapText="1"/>
    </xf>
    <xf numFmtId="0" fontId="50" fillId="0" borderId="93" xfId="0" applyFont="1" applyBorder="1" applyAlignment="1">
      <alignment horizontal="justify" vertical="center" wrapText="1"/>
    </xf>
    <xf numFmtId="0" fontId="50" fillId="0" borderId="11" xfId="0" applyFont="1" applyBorder="1" applyAlignment="1">
      <alignment horizontal="justify" vertical="center" wrapText="1"/>
    </xf>
    <xf numFmtId="0" fontId="50" fillId="0" borderId="0" xfId="0" applyFont="1" applyAlignment="1">
      <alignment horizontal="justify" vertical="center" wrapText="1"/>
    </xf>
    <xf numFmtId="49" fontId="26" fillId="0" borderId="11" xfId="0" applyNumberFormat="1" applyFont="1" applyBorder="1" applyAlignment="1">
      <alignment horizontal="right" vertical="center"/>
    </xf>
    <xf numFmtId="0" fontId="5" fillId="63" borderId="11" xfId="0" applyFont="1" applyFill="1" applyBorder="1" applyAlignment="1">
      <alignment horizontal="center" vertical="center"/>
    </xf>
    <xf numFmtId="0" fontId="26" fillId="0" borderId="11" xfId="0" applyFont="1" applyBorder="1" applyAlignment="1">
      <alignment horizontal="center" vertical="center"/>
    </xf>
    <xf numFmtId="0" fontId="34" fillId="0" borderId="0" xfId="77"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0" xfId="77" applyAlignment="1">
      <alignment horizontal="center" wrapText="1"/>
    </xf>
    <xf numFmtId="0" fontId="26" fillId="0" borderId="11" xfId="0" applyFont="1" applyBorder="1" applyAlignment="1">
      <alignment horizontal="center" vertical="center"/>
    </xf>
    <xf numFmtId="0" fontId="34" fillId="0" borderId="11" xfId="77" applyBorder="1" applyAlignment="1">
      <alignment horizontal="center" wrapText="1"/>
    </xf>
    <xf numFmtId="0" fontId="34" fillId="25" borderId="11" xfId="77" applyFill="1" applyBorder="1" applyAlignment="1" applyProtection="1">
      <alignment horizontal="justify" vertical="center"/>
      <protection locked="0"/>
    </xf>
    <xf numFmtId="0" fontId="80" fillId="0" borderId="11" xfId="0" applyFont="1" applyBorder="1" applyAlignment="1">
      <alignment horizontal="justify"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2" fillId="0" borderId="11" xfId="50" applyBorder="1" applyAlignment="1">
      <alignment horizontal="center"/>
    </xf>
    <xf numFmtId="0" fontId="26" fillId="0" borderId="11" xfId="0" applyFont="1" applyBorder="1" applyAlignment="1">
      <alignment horizontal="center" vertical="center"/>
    </xf>
    <xf numFmtId="0" fontId="34" fillId="26" borderId="0" xfId="77" applyFill="1"/>
    <xf numFmtId="0" fontId="26" fillId="0" borderId="11" xfId="0" applyFont="1" applyBorder="1" applyAlignment="1">
      <alignment horizontal="center" vertical="center"/>
    </xf>
    <xf numFmtId="0" fontId="34" fillId="0" borderId="11" xfId="77" applyBorder="1"/>
    <xf numFmtId="0" fontId="50" fillId="0" borderId="11" xfId="0" applyFont="1" applyBorder="1" applyAlignment="1">
      <alignment vertical="center" wrapText="1"/>
    </xf>
    <xf numFmtId="0" fontId="26" fillId="0" borderId="11" xfId="0" applyFont="1" applyBorder="1" applyAlignment="1">
      <alignment horizontal="center" vertical="center"/>
    </xf>
    <xf numFmtId="0" fontId="26" fillId="25" borderId="11" xfId="0" applyFont="1" applyFill="1" applyBorder="1" applyAlignment="1" applyProtection="1">
      <alignment horizontal="right" vertical="center"/>
      <protection locked="0"/>
    </xf>
    <xf numFmtId="0" fontId="26" fillId="0" borderId="11" xfId="0" applyFont="1" applyBorder="1" applyAlignment="1">
      <alignment horizontal="center" vertical="center"/>
    </xf>
    <xf numFmtId="49" fontId="26" fillId="0" borderId="11" xfId="0" applyNumberFormat="1" applyFont="1" applyBorder="1" applyAlignment="1">
      <alignment horizontal="justify" vertical="center" wrapText="1"/>
    </xf>
    <xf numFmtId="0" fontId="0" fillId="0" borderId="11" xfId="0" applyBorder="1" applyAlignment="1">
      <alignment horizontal="center" vertical="center" wrapText="1"/>
    </xf>
    <xf numFmtId="169" fontId="26" fillId="0" borderId="33" xfId="0" applyNumberFormat="1" applyFont="1" applyFill="1" applyBorder="1" applyAlignment="1" applyProtection="1">
      <alignment horizontal="center" vertical="center"/>
      <protection locked="0"/>
    </xf>
    <xf numFmtId="169" fontId="5" fillId="29" borderId="11" xfId="0" applyNumberFormat="1" applyFont="1" applyFill="1" applyBorder="1" applyAlignment="1" applyProtection="1">
      <alignment vertical="center" wrapText="1"/>
      <protection locked="0"/>
    </xf>
    <xf numFmtId="169" fontId="26" fillId="29" borderId="11" xfId="0" applyNumberFormat="1" applyFont="1" applyFill="1" applyBorder="1" applyAlignment="1">
      <alignment horizontal="center" vertical="center"/>
    </xf>
    <xf numFmtId="15" fontId="34" fillId="0" borderId="11" xfId="77" applyNumberFormat="1" applyFont="1" applyFill="1" applyBorder="1" applyAlignment="1" applyProtection="1">
      <alignment horizontal="center" vertical="center" wrapText="1"/>
      <protection locked="0"/>
    </xf>
    <xf numFmtId="49" fontId="5" fillId="28" borderId="11" xfId="0" applyNumberFormat="1" applyFont="1" applyFill="1" applyBorder="1" applyAlignment="1">
      <alignment horizontal="center" vertical="center" wrapText="1"/>
    </xf>
    <xf numFmtId="0" fontId="26" fillId="0" borderId="11" xfId="0" applyFont="1" applyBorder="1" applyAlignment="1">
      <alignment horizontal="center" vertical="center"/>
    </xf>
    <xf numFmtId="14" fontId="26" fillId="0" borderId="11" xfId="0" applyNumberFormat="1" applyFont="1" applyBorder="1" applyAlignment="1">
      <alignment horizontal="center" vertical="center"/>
    </xf>
    <xf numFmtId="182" fontId="0" fillId="0" borderId="0" xfId="0" applyNumberFormat="1" applyFill="1" applyAlignment="1">
      <alignment horizontal="center" vertical="center"/>
    </xf>
    <xf numFmtId="0" fontId="0" fillId="0" borderId="11" xfId="0" applyFill="1" applyBorder="1" applyAlignment="1">
      <alignment vertical="center"/>
    </xf>
    <xf numFmtId="0" fontId="26" fillId="0" borderId="0" xfId="0" applyFont="1" applyFill="1" applyAlignment="1">
      <alignment vertical="center"/>
    </xf>
    <xf numFmtId="0" fontId="79" fillId="0" borderId="11" xfId="0" applyFont="1" applyFill="1" applyBorder="1" applyAlignment="1">
      <alignment horizontal="justify" vertical="center" wrapText="1"/>
    </xf>
    <xf numFmtId="171" fontId="26" fillId="0" borderId="43" xfId="76" applyNumberFormat="1" applyFont="1" applyFill="1" applyBorder="1" applyAlignment="1" applyProtection="1">
      <alignment vertical="center"/>
      <protection locked="0"/>
    </xf>
    <xf numFmtId="171" fontId="73" fillId="0" borderId="11" xfId="77" applyNumberFormat="1" applyFont="1" applyFill="1" applyBorder="1" applyAlignment="1" applyProtection="1">
      <alignment horizontal="center" vertical="center" wrapText="1"/>
      <protection locked="0"/>
    </xf>
    <xf numFmtId="173" fontId="26" fillId="0" borderId="11" xfId="116" applyNumberFormat="1" applyFont="1" applyFill="1" applyBorder="1" applyAlignment="1" applyProtection="1">
      <alignment horizontal="center" vertical="center"/>
      <protection locked="0"/>
    </xf>
    <xf numFmtId="15" fontId="26" fillId="0" borderId="11" xfId="0" applyNumberFormat="1" applyFont="1" applyFill="1" applyBorder="1" applyAlignment="1" applyProtection="1">
      <alignment horizontal="center" vertical="center"/>
      <protection locked="0"/>
    </xf>
    <xf numFmtId="0" fontId="5" fillId="0" borderId="11" xfId="0" applyNumberFormat="1" applyFont="1" applyFill="1" applyBorder="1" applyAlignment="1">
      <alignment horizontal="center" vertical="center" wrapText="1"/>
    </xf>
    <xf numFmtId="0" fontId="26" fillId="0" borderId="11" xfId="0" applyFont="1" applyFill="1" applyBorder="1" applyAlignment="1" applyProtection="1">
      <alignment horizontal="center" vertical="center"/>
      <protection locked="0"/>
    </xf>
    <xf numFmtId="0" fontId="26" fillId="0" borderId="11" xfId="0" applyFont="1" applyFill="1" applyBorder="1"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73" fontId="26" fillId="26" borderId="11" xfId="116" applyNumberFormat="1" applyFont="1" applyFill="1" applyBorder="1" applyAlignment="1" applyProtection="1">
      <alignment vertical="center"/>
      <protection locked="0"/>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0" fillId="25" borderId="0" xfId="0" applyFill="1" applyBorder="1" applyAlignment="1">
      <alignment horizontal="right" vertical="center"/>
    </xf>
    <xf numFmtId="0" fontId="0" fillId="25" borderId="29" xfId="0" applyFill="1" applyBorder="1" applyAlignment="1">
      <alignment horizontal="right" vertical="center"/>
    </xf>
    <xf numFmtId="14" fontId="0" fillId="25" borderId="45" xfId="0" applyNumberFormat="1" applyFill="1" applyBorder="1" applyAlignment="1">
      <alignment horizontal="right" vertical="center"/>
    </xf>
    <xf numFmtId="0" fontId="5" fillId="25" borderId="11" xfId="0" applyFont="1" applyFill="1" applyBorder="1" applyAlignment="1" applyProtection="1">
      <alignment horizontal="right" vertical="center" wrapText="1"/>
      <protection locked="0"/>
    </xf>
    <xf numFmtId="0" fontId="5" fillId="0" borderId="11" xfId="0" applyFont="1" applyFill="1" applyBorder="1" applyAlignment="1" applyProtection="1">
      <alignment horizontal="right" vertical="center" wrapText="1"/>
      <protection locked="0"/>
    </xf>
    <xf numFmtId="0" fontId="26" fillId="0" borderId="11" xfId="0" applyFont="1" applyBorder="1" applyAlignment="1" applyProtection="1">
      <alignment horizontal="right" vertical="center"/>
      <protection locked="0"/>
    </xf>
    <xf numFmtId="0" fontId="26" fillId="0" borderId="11" xfId="0" applyFont="1" applyFill="1" applyBorder="1" applyAlignment="1" applyProtection="1">
      <alignment horizontal="right" vertical="center"/>
      <protection locked="0"/>
    </xf>
    <xf numFmtId="0" fontId="5" fillId="0" borderId="11" xfId="0" applyFont="1" applyFill="1" applyBorder="1" applyAlignment="1" applyProtection="1">
      <alignment horizontal="right" vertical="center" wrapText="1"/>
    </xf>
    <xf numFmtId="0" fontId="5" fillId="25" borderId="26" xfId="0" applyFont="1" applyFill="1" applyBorder="1" applyAlignment="1" applyProtection="1">
      <alignment horizontal="right" vertical="center" wrapText="1"/>
      <protection locked="0"/>
    </xf>
    <xf numFmtId="0" fontId="5" fillId="25" borderId="11" xfId="0" applyFont="1" applyFill="1" applyBorder="1" applyAlignment="1" applyProtection="1">
      <alignment horizontal="right" vertical="center" wrapText="1"/>
    </xf>
    <xf numFmtId="0" fontId="26" fillId="25" borderId="11" xfId="0" applyFont="1" applyFill="1" applyBorder="1" applyAlignment="1">
      <alignment horizontal="right" vertical="center"/>
    </xf>
    <xf numFmtId="3" fontId="26" fillId="25" borderId="11" xfId="0" applyNumberFormat="1" applyFont="1" applyFill="1" applyBorder="1" applyAlignment="1" applyProtection="1">
      <alignment horizontal="right" vertical="center"/>
      <protection locked="0"/>
    </xf>
    <xf numFmtId="0" fontId="26" fillId="0" borderId="33" xfId="0" applyFont="1" applyFill="1" applyBorder="1" applyAlignment="1" applyProtection="1">
      <alignment horizontal="right" vertical="center"/>
      <protection locked="0"/>
    </xf>
    <xf numFmtId="0" fontId="26" fillId="25" borderId="33" xfId="0" applyFont="1" applyFill="1" applyBorder="1" applyAlignment="1" applyProtection="1">
      <alignment horizontal="right" vertical="center" wrapText="1"/>
      <protection locked="0"/>
    </xf>
    <xf numFmtId="0" fontId="26" fillId="0" borderId="0" xfId="0" applyFont="1" applyBorder="1" applyAlignment="1">
      <alignment horizontal="right" vertical="center"/>
    </xf>
    <xf numFmtId="0" fontId="26" fillId="0" borderId="0" xfId="0" applyFont="1" applyAlignment="1">
      <alignment horizontal="right" vertical="center"/>
    </xf>
    <xf numFmtId="0" fontId="0" fillId="76" borderId="0" xfId="0" applyFill="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81" xfId="77" applyBorder="1"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69" fontId="26" fillId="29" borderId="73" xfId="0" applyNumberFormat="1" applyFont="1" applyFill="1" applyBorder="1" applyAlignment="1">
      <alignment horizontal="center" vertical="center"/>
    </xf>
    <xf numFmtId="169" fontId="26" fillId="29" borderId="55" xfId="0" applyNumberFormat="1" applyFont="1" applyFill="1" applyBorder="1" applyAlignment="1">
      <alignment horizontal="center" vertical="center"/>
    </xf>
    <xf numFmtId="169" fontId="26" fillId="29" borderId="33" xfId="0" applyNumberFormat="1" applyFont="1" applyFill="1" applyBorder="1" applyAlignment="1">
      <alignment horizontal="center" vertical="center"/>
    </xf>
    <xf numFmtId="169" fontId="26" fillId="29" borderId="103" xfId="0" applyNumberFormat="1" applyFont="1" applyFill="1" applyBorder="1" applyAlignment="1">
      <alignment horizontal="center" vertical="center"/>
    </xf>
    <xf numFmtId="169" fontId="26" fillId="29" borderId="44" xfId="0" applyNumberFormat="1" applyFont="1" applyFill="1" applyBorder="1" applyAlignment="1">
      <alignment horizontal="center" vertical="center"/>
    </xf>
    <xf numFmtId="0" fontId="50" fillId="0" borderId="0" xfId="0" applyFont="1" applyFill="1" applyBorder="1" applyAlignment="1">
      <alignment horizontal="center" vertical="center"/>
    </xf>
    <xf numFmtId="15" fontId="5" fillId="92" borderId="11" xfId="0" applyNumberFormat="1" applyFont="1" applyFill="1" applyBorder="1" applyAlignment="1">
      <alignment horizontal="center" vertical="center" wrapText="1"/>
    </xf>
    <xf numFmtId="1" fontId="5" fillId="0" borderId="11" xfId="0" applyNumberFormat="1" applyFont="1" applyFill="1" applyBorder="1" applyAlignment="1">
      <alignment horizontal="center" vertical="center"/>
    </xf>
    <xf numFmtId="15" fontId="58" fillId="31" borderId="11" xfId="0" applyNumberFormat="1" applyFont="1" applyFill="1" applyBorder="1" applyAlignment="1">
      <alignment horizontal="center" vertical="center" wrapText="1"/>
    </xf>
    <xf numFmtId="1" fontId="26" fillId="29" borderId="11" xfId="0" applyNumberFormat="1" applyFont="1" applyFill="1" applyBorder="1" applyAlignment="1">
      <alignment horizontal="center" vertical="center"/>
    </xf>
    <xf numFmtId="15" fontId="26" fillId="29" borderId="11" xfId="0" applyNumberFormat="1" applyFont="1" applyFill="1" applyBorder="1" applyAlignment="1">
      <alignment horizontal="center" vertical="center"/>
    </xf>
    <xf numFmtId="14" fontId="26" fillId="29" borderId="11" xfId="0" applyNumberFormat="1" applyFont="1" applyFill="1" applyBorder="1" applyAlignment="1">
      <alignment horizontal="center" vertical="center"/>
    </xf>
    <xf numFmtId="0" fontId="26" fillId="0" borderId="11" xfId="0" applyFont="1" applyBorder="1" applyAlignment="1">
      <alignment horizontal="center" vertical="center"/>
    </xf>
    <xf numFmtId="15" fontId="5" fillId="93" borderId="11" xfId="0" applyNumberFormat="1" applyFont="1" applyFill="1" applyBorder="1" applyAlignment="1">
      <alignment horizontal="center" vertical="center" wrapText="1"/>
    </xf>
    <xf numFmtId="183" fontId="26" fillId="29" borderId="73" xfId="0" applyNumberFormat="1" applyFont="1" applyFill="1" applyBorder="1" applyAlignment="1">
      <alignment horizontal="center" vertical="center"/>
    </xf>
    <xf numFmtId="183" fontId="26" fillId="29" borderId="55" xfId="0" applyNumberFormat="1" applyFont="1" applyFill="1" applyBorder="1" applyAlignment="1">
      <alignment horizontal="center" vertical="center"/>
    </xf>
    <xf numFmtId="183" fontId="26" fillId="29" borderId="33" xfId="0" applyNumberFormat="1" applyFont="1" applyFill="1" applyBorder="1" applyAlignment="1">
      <alignment horizontal="center" vertical="center"/>
    </xf>
    <xf numFmtId="183" fontId="26" fillId="29" borderId="103" xfId="0" applyNumberFormat="1" applyFont="1" applyFill="1" applyBorder="1" applyAlignment="1">
      <alignment horizontal="center" vertical="center"/>
    </xf>
    <xf numFmtId="183" fontId="26" fillId="29" borderId="44" xfId="0" applyNumberFormat="1" applyFont="1" applyFill="1" applyBorder="1" applyAlignment="1">
      <alignment horizontal="center" vertical="center"/>
    </xf>
    <xf numFmtId="183" fontId="26" fillId="29" borderId="11" xfId="0" applyNumberFormat="1" applyFont="1" applyFill="1" applyBorder="1" applyAlignment="1">
      <alignment horizontal="center" vertical="center"/>
    </xf>
    <xf numFmtId="183" fontId="0" fillId="0" borderId="0" xfId="0" applyNumberFormat="1" applyAlignment="1">
      <alignment vertical="center"/>
    </xf>
    <xf numFmtId="1" fontId="26" fillId="29" borderId="11" xfId="0" applyNumberFormat="1" applyFont="1" applyFill="1" applyBorder="1" applyAlignment="1" applyProtection="1">
      <alignment horizontal="center" vertical="center"/>
    </xf>
    <xf numFmtId="14" fontId="26" fillId="29" borderId="11" xfId="0" applyNumberFormat="1" applyFont="1" applyFill="1" applyBorder="1" applyAlignment="1" applyProtection="1">
      <alignment horizontal="center" vertical="center"/>
    </xf>
    <xf numFmtId="15" fontId="26" fillId="29" borderId="11" xfId="0" applyNumberFormat="1" applyFont="1" applyFill="1" applyBorder="1" applyAlignment="1" applyProtection="1">
      <alignment horizontal="center" vertical="center"/>
    </xf>
    <xf numFmtId="15" fontId="5" fillId="27" borderId="93" xfId="0" applyNumberFormat="1" applyFont="1" applyFill="1" applyBorder="1" applyAlignment="1">
      <alignment horizontal="center" vertical="center" wrapText="1"/>
    </xf>
    <xf numFmtId="0" fontId="3" fillId="62" borderId="0" xfId="0" applyFont="1" applyFill="1" applyBorder="1" applyAlignment="1">
      <alignment horizontal="center" vertical="center" wrapText="1"/>
    </xf>
    <xf numFmtId="15" fontId="5" fillId="0" borderId="11" xfId="0" applyNumberFormat="1" applyFont="1" applyFill="1" applyBorder="1" applyAlignment="1" applyProtection="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42" fontId="22" fillId="0" borderId="0" xfId="214" applyFont="1"/>
    <xf numFmtId="0" fontId="26" fillId="0" borderId="11" xfId="0" applyFont="1" applyBorder="1" applyAlignment="1">
      <alignment horizontal="center" vertical="center"/>
    </xf>
    <xf numFmtId="0" fontId="26" fillId="0" borderId="11" xfId="0" applyFont="1" applyBorder="1" applyAlignment="1">
      <alignment horizontal="center" vertical="center"/>
    </xf>
    <xf numFmtId="164" fontId="26" fillId="0" borderId="11" xfId="76" applyNumberFormat="1" applyFont="1" applyBorder="1" applyAlignment="1">
      <alignment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 fontId="26" fillId="0" borderId="11" xfId="0" applyNumberFormat="1" applyFont="1" applyBorder="1" applyAlignment="1">
      <alignment horizontal="right"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4" fontId="22" fillId="0" borderId="11" xfId="50" applyNumberFormat="1" applyBorder="1" applyAlignment="1">
      <alignment horizontal="left"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73" fontId="26" fillId="0" borderId="11" xfId="116" applyNumberFormat="1" applyFont="1" applyFill="1" applyBorder="1" applyAlignment="1" applyProtection="1">
      <alignment vertical="center" wrapText="1"/>
      <protection locked="0"/>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4" fontId="22" fillId="0" borderId="11" xfId="50" applyNumberForma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3" fontId="26" fillId="0" borderId="11" xfId="0" applyNumberFormat="1" applyFont="1" applyBorder="1" applyAlignment="1">
      <alignment horizontal="right"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3" fontId="26" fillId="0" borderId="11" xfId="0" applyNumberFormat="1" applyFont="1" applyFill="1" applyBorder="1" applyAlignment="1" applyProtection="1">
      <alignment vertical="center"/>
      <protection locked="0"/>
    </xf>
    <xf numFmtId="0" fontId="26" fillId="0" borderId="0" xfId="0" applyFont="1" applyAlignment="1">
      <alignment horizontal="right"/>
    </xf>
    <xf numFmtId="0" fontId="0" fillId="0" borderId="11" xfId="0" applyBorder="1" applyAlignment="1">
      <alignment wrapText="1"/>
    </xf>
    <xf numFmtId="0" fontId="81" fillId="0" borderId="0" xfId="0" applyFont="1"/>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0" xfId="0" applyFont="1" applyFill="1" applyBorder="1" applyAlignment="1">
      <alignment horizontal="center" vertical="center"/>
    </xf>
    <xf numFmtId="0" fontId="50" fillId="27" borderId="61"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3" xfId="0" applyFont="1" applyFill="1" applyBorder="1" applyAlignment="1">
      <alignment horizontal="center" vertical="center"/>
    </xf>
    <xf numFmtId="49" fontId="50" fillId="64" borderId="73" xfId="0" applyNumberFormat="1" applyFont="1" applyFill="1" applyBorder="1" applyAlignment="1">
      <alignment horizontal="center" vertical="center" wrapText="1"/>
    </xf>
    <xf numFmtId="0" fontId="50" fillId="64" borderId="56" xfId="0" applyFont="1" applyFill="1" applyBorder="1" applyAlignment="1">
      <alignment horizontal="center" vertical="center"/>
    </xf>
    <xf numFmtId="0" fontId="50" fillId="92" borderId="104" xfId="0" applyFont="1" applyFill="1" applyBorder="1" applyAlignment="1">
      <alignment horizontal="center" vertical="center"/>
    </xf>
    <xf numFmtId="0" fontId="50" fillId="92" borderId="60"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3" fillId="62" borderId="78" xfId="0" applyFont="1" applyFill="1" applyBorder="1" applyAlignment="1">
      <alignment horizontal="center" vertical="center" wrapText="1"/>
    </xf>
    <xf numFmtId="0" fontId="3" fillId="62" borderId="55" xfId="0" applyFont="1" applyFill="1" applyBorder="1" applyAlignment="1">
      <alignment horizontal="center" vertical="center" wrapText="1"/>
    </xf>
    <xf numFmtId="0" fontId="3" fillId="62" borderId="33" xfId="0" applyFont="1" applyFill="1" applyBorder="1" applyAlignment="1">
      <alignment horizontal="center" vertical="center" wrapText="1"/>
    </xf>
    <xf numFmtId="0" fontId="3" fillId="62" borderId="43" xfId="0" applyFont="1" applyFill="1" applyBorder="1" applyAlignment="1">
      <alignment horizontal="center" vertical="center" wrapText="1"/>
    </xf>
    <xf numFmtId="0" fontId="29" fillId="25" borderId="68" xfId="0" applyFont="1" applyFill="1" applyBorder="1" applyAlignment="1">
      <alignment horizontal="center" vertical="center"/>
    </xf>
    <xf numFmtId="0" fontId="26" fillId="25" borderId="67" xfId="0" applyFont="1" applyFill="1" applyBorder="1" applyAlignment="1">
      <alignment horizontal="justify" vertical="center"/>
    </xf>
    <xf numFmtId="0" fontId="26" fillId="25" borderId="68" xfId="0" applyFont="1" applyFill="1" applyBorder="1" applyAlignment="1">
      <alignment horizontal="justify" vertical="center"/>
    </xf>
    <xf numFmtId="0" fontId="26" fillId="25" borderId="69" xfId="0" applyFont="1" applyFill="1" applyBorder="1" applyAlignment="1">
      <alignment horizontal="justify"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51" fillId="25" borderId="71"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48" xfId="0" applyFont="1" applyFill="1" applyBorder="1" applyAlignment="1">
      <alignment horizontal="center" vertical="center" wrapText="1"/>
    </xf>
    <xf numFmtId="0" fontId="3" fillId="64" borderId="64" xfId="0" applyFont="1" applyFill="1" applyBorder="1" applyAlignment="1">
      <alignment horizontal="center" vertical="center"/>
    </xf>
    <xf numFmtId="0" fontId="3" fillId="64" borderId="50"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69" fontId="26" fillId="28" borderId="11" xfId="0" applyNumberFormat="1" applyFont="1" applyFill="1" applyBorder="1" applyAlignment="1">
      <alignment horizontal="center" vertical="center" wrapText="1"/>
    </xf>
    <xf numFmtId="0" fontId="28" fillId="28" borderId="78" xfId="0" applyFont="1" applyFill="1" applyBorder="1" applyAlignment="1">
      <alignment horizontal="center" vertical="center"/>
    </xf>
    <xf numFmtId="0" fontId="28" fillId="28" borderId="55"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5" fillId="28" borderId="0" xfId="0" applyFont="1" applyFill="1" applyBorder="1" applyAlignment="1">
      <alignment horizontal="center" vertical="center" wrapText="1"/>
    </xf>
    <xf numFmtId="0" fontId="5" fillId="28" borderId="73" xfId="0" applyFont="1" applyFill="1" applyBorder="1" applyAlignment="1">
      <alignment horizontal="center" vertical="center" wrapText="1"/>
    </xf>
    <xf numFmtId="0" fontId="5" fillId="28" borderId="47" xfId="0" applyFont="1" applyFill="1" applyBorder="1" applyAlignment="1">
      <alignment horizontal="center" vertical="center" wrapText="1"/>
    </xf>
    <xf numFmtId="0" fontId="5" fillId="28" borderId="56"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65" borderId="77"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5" xfId="0" applyFont="1" applyFill="1" applyBorder="1" applyAlignment="1">
      <alignment horizontal="center" vertical="center" wrapText="1"/>
    </xf>
    <xf numFmtId="0" fontId="62" fillId="25" borderId="86" xfId="0" applyFont="1" applyFill="1" applyBorder="1" applyAlignment="1">
      <alignment horizontal="center" vertical="center" wrapText="1"/>
    </xf>
    <xf numFmtId="0" fontId="62" fillId="25" borderId="87" xfId="0" applyFont="1" applyFill="1" applyBorder="1" applyAlignment="1">
      <alignment horizontal="center" vertical="center" wrapText="1"/>
    </xf>
    <xf numFmtId="0" fontId="65" fillId="25" borderId="88"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89"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29" borderId="11" xfId="0" applyFont="1" applyFill="1" applyBorder="1" applyAlignment="1">
      <alignment horizontal="left" vertical="center" wrapText="1"/>
    </xf>
    <xf numFmtId="0" fontId="66" fillId="81" borderId="11" xfId="0" applyFont="1" applyFill="1" applyBorder="1" applyAlignment="1">
      <alignment horizontal="left" vertical="center" wrapText="1"/>
    </xf>
    <xf numFmtId="0" fontId="67" fillId="29" borderId="11" xfId="0" applyFont="1" applyFill="1" applyBorder="1" applyAlignment="1">
      <alignment horizontal="left" vertical="center" wrapText="1"/>
    </xf>
    <xf numFmtId="0" fontId="67" fillId="80" borderId="11" xfId="0" applyFont="1" applyFill="1" applyBorder="1" applyAlignment="1">
      <alignment horizontal="left" vertical="center" wrapText="1"/>
    </xf>
    <xf numFmtId="0" fontId="67" fillId="81" borderId="11" xfId="0" applyFont="1" applyFill="1" applyBorder="1" applyAlignment="1">
      <alignment horizontal="left" vertical="center" wrapText="1"/>
    </xf>
    <xf numFmtId="0" fontId="67" fillId="78" borderId="93" xfId="0" applyFont="1" applyFill="1" applyBorder="1" applyAlignment="1">
      <alignment horizontal="center" vertical="center" wrapText="1"/>
    </xf>
    <xf numFmtId="0" fontId="60" fillId="85" borderId="11" xfId="0" applyFont="1" applyFill="1" applyBorder="1" applyAlignment="1">
      <alignment horizontal="left" vertical="center" wrapText="1"/>
    </xf>
    <xf numFmtId="0" fontId="67" fillId="79" borderId="96" xfId="0" applyFont="1" applyFill="1" applyBorder="1" applyAlignment="1">
      <alignment horizontal="center" vertical="center" wrapText="1"/>
    </xf>
    <xf numFmtId="0" fontId="67" fillId="79" borderId="97" xfId="0" applyFont="1" applyFill="1" applyBorder="1" applyAlignment="1">
      <alignment horizontal="center" vertical="center" wrapText="1"/>
    </xf>
    <xf numFmtId="0" fontId="67" fillId="79" borderId="98" xfId="0" applyFont="1" applyFill="1" applyBorder="1" applyAlignment="1">
      <alignment horizontal="center" vertical="center" wrapText="1"/>
    </xf>
    <xf numFmtId="0" fontId="67" fillId="0" borderId="11" xfId="0" applyFont="1" applyBorder="1" applyAlignment="1">
      <alignment horizontal="right" vertical="center" wrapText="1"/>
    </xf>
    <xf numFmtId="0" fontId="67" fillId="0" borderId="52" xfId="0" applyFont="1" applyBorder="1" applyAlignment="1">
      <alignment horizontal="right" vertical="center" wrapText="1"/>
    </xf>
    <xf numFmtId="0" fontId="67" fillId="0" borderId="74" xfId="0" applyFont="1" applyBorder="1" applyAlignment="1">
      <alignment horizontal="right" vertical="center" wrapText="1"/>
    </xf>
    <xf numFmtId="0" fontId="67" fillId="0" borderId="54" xfId="0" applyFont="1" applyBorder="1" applyAlignment="1">
      <alignment horizontal="right" vertical="center" wrapText="1"/>
    </xf>
    <xf numFmtId="0" fontId="67" fillId="0" borderId="75" xfId="0" applyFont="1" applyBorder="1" applyAlignment="1">
      <alignment horizontal="right" vertical="center" wrapText="1"/>
    </xf>
    <xf numFmtId="0" fontId="66" fillId="81" borderId="93" xfId="0" applyFont="1" applyFill="1" applyBorder="1" applyAlignment="1">
      <alignment horizontal="left" vertical="center" wrapText="1"/>
    </xf>
    <xf numFmtId="0" fontId="67" fillId="29" borderId="93" xfId="0" applyFont="1" applyFill="1" applyBorder="1" applyAlignment="1">
      <alignment horizontal="left"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3" xfId="0" applyFont="1" applyFill="1" applyBorder="1" applyAlignment="1">
      <alignment horizontal="left" vertical="center" wrapText="1"/>
    </xf>
    <xf numFmtId="0" fontId="66" fillId="82" borderId="11" xfId="0" applyFont="1" applyFill="1" applyBorder="1" applyAlignment="1">
      <alignment vertical="center" wrapText="1"/>
    </xf>
    <xf numFmtId="0" fontId="66" fillId="82" borderId="11" xfId="0" applyFont="1" applyFill="1" applyBorder="1" applyAlignment="1">
      <alignment horizontal="justify" vertical="center" wrapText="1"/>
    </xf>
    <xf numFmtId="0" fontId="67" fillId="0" borderId="11" xfId="0" applyFont="1" applyFill="1" applyBorder="1" applyAlignment="1">
      <alignment horizontal="left" vertical="center" wrapText="1"/>
    </xf>
    <xf numFmtId="0" fontId="28" fillId="0" borderId="73" xfId="0" applyFont="1" applyBorder="1" applyAlignment="1">
      <alignment horizontal="center" vertical="center"/>
    </xf>
    <xf numFmtId="0" fontId="67" fillId="78" borderId="11" xfId="0" applyFont="1" applyFill="1" applyBorder="1" applyAlignment="1">
      <alignment horizontal="center" vertical="center" wrapText="1"/>
    </xf>
    <xf numFmtId="0" fontId="67" fillId="26"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6" fillId="69"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7" fillId="78" borderId="100" xfId="0" applyFont="1" applyFill="1" applyBorder="1" applyAlignment="1">
      <alignment horizontal="center" vertical="center" wrapText="1"/>
    </xf>
    <xf numFmtId="0" fontId="67" fillId="78" borderId="101" xfId="0" applyFont="1" applyFill="1" applyBorder="1" applyAlignment="1">
      <alignment horizontal="center" vertical="center" wrapText="1"/>
    </xf>
    <xf numFmtId="0" fontId="66" fillId="87" borderId="11"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87" borderId="11" xfId="0" applyFont="1" applyFill="1" applyBorder="1" applyAlignment="1">
      <alignment horizontal="left" vertical="center" wrapText="1"/>
    </xf>
    <xf numFmtId="0" fontId="66" fillId="87" borderId="93" xfId="0" applyFont="1" applyFill="1" applyBorder="1" applyAlignment="1">
      <alignment horizontal="left" vertical="center" wrapText="1"/>
    </xf>
    <xf numFmtId="0" fontId="67" fillId="87" borderId="93" xfId="0" applyFont="1" applyFill="1" applyBorder="1" applyAlignment="1">
      <alignment horizontal="left" vertical="center" wrapText="1"/>
    </xf>
    <xf numFmtId="169" fontId="26" fillId="0" borderId="0" xfId="0" applyNumberFormat="1" applyFont="1" applyAlignment="1">
      <alignment wrapText="1"/>
    </xf>
    <xf numFmtId="174" fontId="26" fillId="0" borderId="0" xfId="0" applyNumberFormat="1" applyFont="1" applyAlignment="1">
      <alignment wrapText="1"/>
    </xf>
    <xf numFmtId="174" fontId="26" fillId="0" borderId="0" xfId="0" applyNumberFormat="1" applyFont="1" applyAlignment="1">
      <alignment vertical="center" wrapText="1"/>
    </xf>
    <xf numFmtId="0" fontId="26" fillId="0" borderId="0" xfId="0" applyFont="1" applyAlignment="1">
      <alignment horizontal="left" wrapText="1"/>
    </xf>
    <xf numFmtId="0" fontId="26" fillId="0" borderId="0" xfId="0" pivotButton="1" applyFont="1" applyAlignment="1">
      <alignment horizontal="center" vertical="center" wrapText="1"/>
    </xf>
    <xf numFmtId="174" fontId="26" fillId="0" borderId="0" xfId="0" applyNumberFormat="1" applyFont="1" applyAlignment="1">
      <alignment horizontal="center" vertical="center" wrapText="1"/>
    </xf>
    <xf numFmtId="0" fontId="26" fillId="0" borderId="0" xfId="0" pivotButton="1" applyFont="1" applyAlignment="1">
      <alignment vertical="center" wrapText="1"/>
    </xf>
    <xf numFmtId="9" fontId="26" fillId="0" borderId="0" xfId="0" applyNumberFormat="1" applyFont="1" applyAlignment="1">
      <alignment horizontal="left" wrapText="1"/>
    </xf>
    <xf numFmtId="0" fontId="26" fillId="0" borderId="0" xfId="0" pivotButton="1" applyFont="1" applyAlignment="1">
      <alignment wrapText="1"/>
    </xf>
    <xf numFmtId="0" fontId="26" fillId="0" borderId="0" xfId="0" applyFont="1" applyAlignment="1">
      <alignment wrapText="1"/>
    </xf>
  </cellXfs>
  <cellStyles count="215">
    <cellStyle name="20% - Accent1" xfId="127" xr:uid="{00000000-0005-0000-0000-000000000000}"/>
    <cellStyle name="20% - Accent2" xfId="156" xr:uid="{00000000-0005-0000-0000-000001000000}"/>
    <cellStyle name="20% - Accent3" xfId="157" xr:uid="{00000000-0005-0000-0000-000002000000}"/>
    <cellStyle name="20% - Accent4" xfId="152" xr:uid="{00000000-0005-0000-0000-000003000000}"/>
    <cellStyle name="20% - Accent5" xfId="148" xr:uid="{00000000-0005-0000-0000-000004000000}"/>
    <cellStyle name="20% - Accent6" xfId="145" xr:uid="{00000000-0005-0000-0000-000005000000}"/>
    <cellStyle name="20% - Énfasis1" xfId="93" builtinId="30" customBuiltin="1"/>
    <cellStyle name="20% - Énfasis1 2" xfId="4" xr:uid="{00000000-0005-0000-0000-000007000000}"/>
    <cellStyle name="20% - Énfasis2" xfId="97" builtinId="34" customBuiltin="1"/>
    <cellStyle name="20% - Énfasis2 2" xfId="5" xr:uid="{00000000-0005-0000-0000-000009000000}"/>
    <cellStyle name="20% - Énfasis3" xfId="101" builtinId="38" customBuiltin="1"/>
    <cellStyle name="20% - Énfasis3 2" xfId="6" xr:uid="{00000000-0005-0000-0000-00000B000000}"/>
    <cellStyle name="20% - Énfasis4" xfId="105" builtinId="42" customBuiltin="1"/>
    <cellStyle name="20% - Énfasis4 2" xfId="7" xr:uid="{00000000-0005-0000-0000-00000D000000}"/>
    <cellStyle name="20% - Énfasis5" xfId="109" builtinId="46" customBuiltin="1"/>
    <cellStyle name="20% - Énfasis5 2" xfId="8" xr:uid="{00000000-0005-0000-0000-00000F000000}"/>
    <cellStyle name="20% - Énfasis6" xfId="113" builtinId="50" customBuiltin="1"/>
    <cellStyle name="20% - Énfasis6 2" xfId="9" xr:uid="{00000000-0005-0000-0000-000011000000}"/>
    <cellStyle name="40% - Accent1" xfId="124" xr:uid="{00000000-0005-0000-0000-000012000000}"/>
    <cellStyle name="40% - Accent2" xfId="154" xr:uid="{00000000-0005-0000-0000-000013000000}"/>
    <cellStyle name="40% - Accent3" xfId="159" xr:uid="{00000000-0005-0000-0000-000014000000}"/>
    <cellStyle name="40% - Accent4" xfId="128" xr:uid="{00000000-0005-0000-0000-000015000000}"/>
    <cellStyle name="40% - Accent5" xfId="140" xr:uid="{00000000-0005-0000-0000-000016000000}"/>
    <cellStyle name="40% - Accent6" xfId="141" xr:uid="{00000000-0005-0000-0000-000017000000}"/>
    <cellStyle name="40% - Énfasis1" xfId="94" builtinId="31" customBuiltin="1"/>
    <cellStyle name="40% - Énfasis1 2" xfId="10" xr:uid="{00000000-0005-0000-0000-000019000000}"/>
    <cellStyle name="40% - Énfasis2" xfId="98" builtinId="35" customBuiltin="1"/>
    <cellStyle name="40% - Énfasis2 2" xfId="11" xr:uid="{00000000-0005-0000-0000-00001B000000}"/>
    <cellStyle name="40% - Énfasis3" xfId="102" builtinId="39" customBuiltin="1"/>
    <cellStyle name="40% - Énfasis3 2" xfId="12" xr:uid="{00000000-0005-0000-0000-00001D000000}"/>
    <cellStyle name="40% - Énfasis4" xfId="106" builtinId="43" customBuiltin="1"/>
    <cellStyle name="40% - Énfasis4 2" xfId="13" xr:uid="{00000000-0005-0000-0000-00001F000000}"/>
    <cellStyle name="40% - Énfasis5" xfId="110" builtinId="47" customBuiltin="1"/>
    <cellStyle name="40% - Énfasis5 2" xfId="14" xr:uid="{00000000-0005-0000-0000-000021000000}"/>
    <cellStyle name="40% - Énfasis6" xfId="114" builtinId="51" customBuiltin="1"/>
    <cellStyle name="40% - Énfasis6 2" xfId="15" xr:uid="{00000000-0005-0000-0000-000023000000}"/>
    <cellStyle name="60% - Accent1" xfId="131" xr:uid="{00000000-0005-0000-0000-000024000000}"/>
    <cellStyle name="60% - Accent2" xfId="132" xr:uid="{00000000-0005-0000-0000-000025000000}"/>
    <cellStyle name="60% - Accent3" xfId="133" xr:uid="{00000000-0005-0000-0000-000026000000}"/>
    <cellStyle name="60% - Accent4" xfId="139" xr:uid="{00000000-0005-0000-0000-000027000000}"/>
    <cellStyle name="60% - Accent5" xfId="119" xr:uid="{00000000-0005-0000-0000-000028000000}"/>
    <cellStyle name="60% - Accent6" xfId="155" xr:uid="{00000000-0005-0000-0000-000029000000}"/>
    <cellStyle name="60% - Énfasis1" xfId="95" builtinId="32" customBuiltin="1"/>
    <cellStyle name="60% - Énfasis1 2" xfId="16" xr:uid="{00000000-0005-0000-0000-00002B000000}"/>
    <cellStyle name="60% - Énfasis2" xfId="99" builtinId="36" customBuiltin="1"/>
    <cellStyle name="60% - Énfasis2 2" xfId="17" xr:uid="{00000000-0005-0000-0000-00002D000000}"/>
    <cellStyle name="60% - Énfasis3" xfId="103" builtinId="40" customBuiltin="1"/>
    <cellStyle name="60% - Énfasis3 2" xfId="18" xr:uid="{00000000-0005-0000-0000-00002F000000}"/>
    <cellStyle name="60% - Énfasis4" xfId="107" builtinId="44" customBuiltin="1"/>
    <cellStyle name="60% - Énfasis4 2" xfId="19" xr:uid="{00000000-0005-0000-0000-000031000000}"/>
    <cellStyle name="60% - Énfasis5" xfId="111" builtinId="48" customBuiltin="1"/>
    <cellStyle name="60% - Énfasis5 2" xfId="20" xr:uid="{00000000-0005-0000-0000-000033000000}"/>
    <cellStyle name="60% - Énfasis6" xfId="115" builtinId="52" customBuiltin="1"/>
    <cellStyle name="60% - Énfasis6 2" xfId="21" xr:uid="{00000000-0005-0000-0000-000035000000}"/>
    <cellStyle name="Accent1" xfId="150" xr:uid="{00000000-0005-0000-0000-000036000000}"/>
    <cellStyle name="Accent2" xfId="134" xr:uid="{00000000-0005-0000-0000-000037000000}"/>
    <cellStyle name="Accent3" xfId="146" xr:uid="{00000000-0005-0000-0000-000038000000}"/>
    <cellStyle name="Accent4" xfId="158" xr:uid="{00000000-0005-0000-0000-000039000000}"/>
    <cellStyle name="Accent5" xfId="122" xr:uid="{00000000-0005-0000-0000-00003A000000}"/>
    <cellStyle name="Accent6" xfId="149" xr:uid="{00000000-0005-0000-0000-00003B000000}"/>
    <cellStyle name="Bad" xfId="120" xr:uid="{00000000-0005-0000-0000-00003C000000}"/>
    <cellStyle name="Buena 2" xfId="22" xr:uid="{00000000-0005-0000-0000-00003E000000}"/>
    <cellStyle name="Bueno" xfId="82" builtinId="26" customBuiltin="1"/>
    <cellStyle name="Calculation" xfId="135" xr:uid="{00000000-0005-0000-0000-00003F000000}"/>
    <cellStyle name="Cálculo" xfId="86" builtinId="22" customBuiltin="1"/>
    <cellStyle name="Cálculo 2" xfId="23" xr:uid="{00000000-0005-0000-0000-000041000000}"/>
    <cellStyle name="Celda de comprobación" xfId="88" builtinId="23" customBuiltin="1"/>
    <cellStyle name="Celda de comprobación 2" xfId="24" xr:uid="{00000000-0005-0000-0000-000043000000}"/>
    <cellStyle name="Celda vinculada" xfId="87" builtinId="24" customBuiltin="1"/>
    <cellStyle name="Celda vinculada 2" xfId="25" xr:uid="{00000000-0005-0000-0000-000045000000}"/>
    <cellStyle name="Check Cell" xfId="144" xr:uid="{00000000-0005-0000-0000-000046000000}"/>
    <cellStyle name="Encabezado 1" xfId="136" builtinId="16" customBuiltin="1"/>
    <cellStyle name="Encabezado 4" xfId="81" builtinId="19" customBuiltin="1"/>
    <cellStyle name="Encabezado 4 2" xfId="26" xr:uid="{00000000-0005-0000-0000-000049000000}"/>
    <cellStyle name="Énfasis1" xfId="92" builtinId="29" customBuiltin="1"/>
    <cellStyle name="Énfasis1 2" xfId="27" xr:uid="{00000000-0005-0000-0000-00004B000000}"/>
    <cellStyle name="Énfasis2" xfId="96" builtinId="33" customBuiltin="1"/>
    <cellStyle name="Énfasis2 2" xfId="28" xr:uid="{00000000-0005-0000-0000-00004D000000}"/>
    <cellStyle name="Énfasis3" xfId="100" builtinId="37" customBuiltin="1"/>
    <cellStyle name="Énfasis3 2" xfId="29" xr:uid="{00000000-0005-0000-0000-00004F000000}"/>
    <cellStyle name="Énfasis4" xfId="104" builtinId="41" customBuiltin="1"/>
    <cellStyle name="Énfasis4 2" xfId="30" xr:uid="{00000000-0005-0000-0000-000051000000}"/>
    <cellStyle name="Énfasis5" xfId="108" builtinId="45" customBuiltin="1"/>
    <cellStyle name="Énfasis5 2" xfId="31" xr:uid="{00000000-0005-0000-0000-000053000000}"/>
    <cellStyle name="Énfasis6" xfId="112" builtinId="49" customBuiltin="1"/>
    <cellStyle name="Énfasis6 2" xfId="32" xr:uid="{00000000-0005-0000-0000-000055000000}"/>
    <cellStyle name="Entrada" xfId="84" builtinId="20" customBuiltin="1"/>
    <cellStyle name="Entrada 2" xfId="33" xr:uid="{00000000-0005-0000-0000-000057000000}"/>
    <cellStyle name="Euro" xfId="34" xr:uid="{00000000-0005-0000-0000-000058000000}"/>
    <cellStyle name="Explanatory Text" xfId="142" xr:uid="{00000000-0005-0000-0000-000059000000}"/>
    <cellStyle name="Good" xfId="151" xr:uid="{00000000-0005-0000-0000-00005A000000}"/>
    <cellStyle name="Heading 1" xfId="130" xr:uid="{00000000-0005-0000-0000-00005B000000}"/>
    <cellStyle name="Heading 2" xfId="147" xr:uid="{00000000-0005-0000-0000-00005C000000}"/>
    <cellStyle name="Heading 3" xfId="143" xr:uid="{00000000-0005-0000-0000-00005D000000}"/>
    <cellStyle name="Heading 4" xfId="121" xr:uid="{00000000-0005-0000-0000-00005E000000}"/>
    <cellStyle name="Hipervínculo" xfId="77" builtinId="8"/>
    <cellStyle name="Hipervínculo 2" xfId="153" xr:uid="{00000000-0005-0000-0000-000060000000}"/>
    <cellStyle name="Hipervínculo 3" xfId="137" xr:uid="{00000000-0005-0000-0000-000061000000}"/>
    <cellStyle name="Incorrecto" xfId="83" builtinId="27" customBuiltin="1"/>
    <cellStyle name="Incorrecto 2" xfId="35" xr:uid="{00000000-0005-0000-0000-000063000000}"/>
    <cellStyle name="Input" xfId="126" xr:uid="{00000000-0005-0000-0000-000064000000}"/>
    <cellStyle name="Linked Cell" xfId="129" xr:uid="{00000000-0005-0000-0000-000065000000}"/>
    <cellStyle name="Millares" xfId="116" builtinId="3"/>
    <cellStyle name="Millares 2" xfId="37" xr:uid="{00000000-0005-0000-0000-000067000000}"/>
    <cellStyle name="Millares 2 2" xfId="138" xr:uid="{00000000-0005-0000-0000-000068000000}"/>
    <cellStyle name="Millares 3" xfId="38" xr:uid="{00000000-0005-0000-0000-000069000000}"/>
    <cellStyle name="Millares 4" xfId="36" xr:uid="{00000000-0005-0000-0000-00006A000000}"/>
    <cellStyle name="Millares 5" xfId="118" xr:uid="{00000000-0005-0000-0000-00006B000000}"/>
    <cellStyle name="Millares 6" xfId="123" xr:uid="{00000000-0005-0000-0000-00006C000000}"/>
    <cellStyle name="Millares 6 2" xfId="213" xr:uid="{00000000-0005-0000-0000-00006D000000}"/>
    <cellStyle name="Moneda" xfId="76" builtinId="4"/>
    <cellStyle name="Moneda [0]" xfId="214" builtinId="7"/>
    <cellStyle name="Moneda 2" xfId="117" xr:uid="{00000000-0005-0000-0000-00006F000000}"/>
    <cellStyle name="Moneda 3" xfId="125" xr:uid="{00000000-0005-0000-0000-000070000000}"/>
    <cellStyle name="Moneda 3 2" xfId="212" xr:uid="{00000000-0005-0000-0000-000071000000}"/>
    <cellStyle name="Neutral" xfId="2" builtinId="28" customBuiltin="1"/>
    <cellStyle name="Neutral 2" xfId="39" xr:uid="{00000000-0005-0000-0000-000073000000}"/>
    <cellStyle name="Normal" xfId="0" builtinId="0"/>
    <cellStyle name="Normal 10" xfId="40" xr:uid="{00000000-0005-0000-0000-000075000000}"/>
    <cellStyle name="Normal 10 2" xfId="161" xr:uid="{00000000-0005-0000-0000-000076000000}"/>
    <cellStyle name="Normal 10 3" xfId="160" xr:uid="{00000000-0005-0000-0000-000077000000}"/>
    <cellStyle name="Normal 11" xfId="41" xr:uid="{00000000-0005-0000-0000-000078000000}"/>
    <cellStyle name="Normal 11 2" xfId="163" xr:uid="{00000000-0005-0000-0000-000079000000}"/>
    <cellStyle name="Normal 11 3" xfId="162" xr:uid="{00000000-0005-0000-0000-00007A000000}"/>
    <cellStyle name="Normal 12" xfId="42" xr:uid="{00000000-0005-0000-0000-00007B000000}"/>
    <cellStyle name="Normal 12 2" xfId="165" xr:uid="{00000000-0005-0000-0000-00007C000000}"/>
    <cellStyle name="Normal 12 3" xfId="164" xr:uid="{00000000-0005-0000-0000-00007D000000}"/>
    <cellStyle name="Normal 13" xfId="43" xr:uid="{00000000-0005-0000-0000-00007E000000}"/>
    <cellStyle name="Normal 13 2" xfId="167" xr:uid="{00000000-0005-0000-0000-00007F000000}"/>
    <cellStyle name="Normal 13 3" xfId="166" xr:uid="{00000000-0005-0000-0000-000080000000}"/>
    <cellStyle name="Normal 14" xfId="44" xr:uid="{00000000-0005-0000-0000-000081000000}"/>
    <cellStyle name="Normal 14 2" xfId="169" xr:uid="{00000000-0005-0000-0000-000082000000}"/>
    <cellStyle name="Normal 14 3" xfId="168" xr:uid="{00000000-0005-0000-0000-000083000000}"/>
    <cellStyle name="Normal 15" xfId="45" xr:uid="{00000000-0005-0000-0000-000084000000}"/>
    <cellStyle name="Normal 15 2" xfId="171" xr:uid="{00000000-0005-0000-0000-000085000000}"/>
    <cellStyle name="Normal 15 3" xfId="170" xr:uid="{00000000-0005-0000-0000-000086000000}"/>
    <cellStyle name="Normal 16" xfId="46" xr:uid="{00000000-0005-0000-0000-000087000000}"/>
    <cellStyle name="Normal 16 2" xfId="173" xr:uid="{00000000-0005-0000-0000-000088000000}"/>
    <cellStyle name="Normal 16 3" xfId="172" xr:uid="{00000000-0005-0000-0000-000089000000}"/>
    <cellStyle name="Normal 17" xfId="47" xr:uid="{00000000-0005-0000-0000-00008A000000}"/>
    <cellStyle name="Normal 17 2" xfId="175" xr:uid="{00000000-0005-0000-0000-00008B000000}"/>
    <cellStyle name="Normal 17 3" xfId="174" xr:uid="{00000000-0005-0000-0000-00008C000000}"/>
    <cellStyle name="Normal 18" xfId="48" xr:uid="{00000000-0005-0000-0000-00008D000000}"/>
    <cellStyle name="Normal 18 2" xfId="177" xr:uid="{00000000-0005-0000-0000-00008E000000}"/>
    <cellStyle name="Normal 18 3" xfId="176" xr:uid="{00000000-0005-0000-0000-00008F000000}"/>
    <cellStyle name="Normal 19" xfId="49" xr:uid="{00000000-0005-0000-0000-000090000000}"/>
    <cellStyle name="Normal 19 2" xfId="179" xr:uid="{00000000-0005-0000-0000-000091000000}"/>
    <cellStyle name="Normal 19 3" xfId="178" xr:uid="{00000000-0005-0000-0000-000092000000}"/>
    <cellStyle name="Normal 2" xfId="50" xr:uid="{00000000-0005-0000-0000-000093000000}"/>
    <cellStyle name="Normal 2 2" xfId="51" xr:uid="{00000000-0005-0000-0000-000094000000}"/>
    <cellStyle name="Normal 2 3" xfId="180" xr:uid="{00000000-0005-0000-0000-000095000000}"/>
    <cellStyle name="Normal 2 4" xfId="181" xr:uid="{00000000-0005-0000-0000-000096000000}"/>
    <cellStyle name="Normal 2_Hoja1" xfId="182" xr:uid="{00000000-0005-0000-0000-000097000000}"/>
    <cellStyle name="Normal 20" xfId="52" xr:uid="{00000000-0005-0000-0000-000098000000}"/>
    <cellStyle name="Normal 20 2" xfId="184" xr:uid="{00000000-0005-0000-0000-000099000000}"/>
    <cellStyle name="Normal 20 3" xfId="183" xr:uid="{00000000-0005-0000-0000-00009A000000}"/>
    <cellStyle name="Normal 21" xfId="53" xr:uid="{00000000-0005-0000-0000-00009B000000}"/>
    <cellStyle name="Normal 21 2" xfId="186" xr:uid="{00000000-0005-0000-0000-00009C000000}"/>
    <cellStyle name="Normal 21 3" xfId="185" xr:uid="{00000000-0005-0000-0000-00009D000000}"/>
    <cellStyle name="Normal 22" xfId="54" xr:uid="{00000000-0005-0000-0000-00009E000000}"/>
    <cellStyle name="Normal 23" xfId="187" xr:uid="{00000000-0005-0000-0000-00009F000000}"/>
    <cellStyle name="Normal 3" xfId="55" xr:uid="{00000000-0005-0000-0000-0000A0000000}"/>
    <cellStyle name="Normal 3 2" xfId="189" xr:uid="{00000000-0005-0000-0000-0000A1000000}"/>
    <cellStyle name="Normal 3 3" xfId="188" xr:uid="{00000000-0005-0000-0000-0000A2000000}"/>
    <cellStyle name="Normal 4" xfId="56" xr:uid="{00000000-0005-0000-0000-0000A3000000}"/>
    <cellStyle name="Normal 4 2" xfId="191" xr:uid="{00000000-0005-0000-0000-0000A4000000}"/>
    <cellStyle name="Normal 4 3" xfId="190" xr:uid="{00000000-0005-0000-0000-0000A5000000}"/>
    <cellStyle name="Normal 5" xfId="57" xr:uid="{00000000-0005-0000-0000-0000A6000000}"/>
    <cellStyle name="Normal 5 2" xfId="193" xr:uid="{00000000-0005-0000-0000-0000A7000000}"/>
    <cellStyle name="Normal 5 3" xfId="192" xr:uid="{00000000-0005-0000-0000-0000A8000000}"/>
    <cellStyle name="Normal 6" xfId="58" xr:uid="{00000000-0005-0000-0000-0000A9000000}"/>
    <cellStyle name="Normal 6 2" xfId="195" xr:uid="{00000000-0005-0000-0000-0000AA000000}"/>
    <cellStyle name="Normal 6 3" xfId="194" xr:uid="{00000000-0005-0000-0000-0000AB000000}"/>
    <cellStyle name="Normal 7" xfId="59" xr:uid="{00000000-0005-0000-0000-0000AC000000}"/>
    <cellStyle name="Normal 7 2" xfId="60" xr:uid="{00000000-0005-0000-0000-0000AD000000}"/>
    <cellStyle name="Normal 7 2 2" xfId="198" xr:uid="{00000000-0005-0000-0000-0000AE000000}"/>
    <cellStyle name="Normal 7 2 3" xfId="197" xr:uid="{00000000-0005-0000-0000-0000AF000000}"/>
    <cellStyle name="Normal 7 3" xfId="199" xr:uid="{00000000-0005-0000-0000-0000B0000000}"/>
    <cellStyle name="Normal 7 4" xfId="196" xr:uid="{00000000-0005-0000-0000-0000B1000000}"/>
    <cellStyle name="Normal 7_PASIVOS EXIGIBLES" xfId="61" xr:uid="{00000000-0005-0000-0000-0000B2000000}"/>
    <cellStyle name="Normal 8" xfId="62" xr:uid="{00000000-0005-0000-0000-0000B3000000}"/>
    <cellStyle name="Normal 9" xfId="63" xr:uid="{00000000-0005-0000-0000-0000B4000000}"/>
    <cellStyle name="Normal 9 2" xfId="201" xr:uid="{00000000-0005-0000-0000-0000B5000000}"/>
    <cellStyle name="Normal 9 3" xfId="200" xr:uid="{00000000-0005-0000-0000-0000B6000000}"/>
    <cellStyle name="Normal_Plan de Contratacion 2012 enero 6" xfId="64" xr:uid="{00000000-0005-0000-0000-0000B7000000}"/>
    <cellStyle name="Notas" xfId="90" builtinId="10" customBuiltin="1"/>
    <cellStyle name="Notas 2" xfId="65" xr:uid="{00000000-0005-0000-0000-0000B9000000}"/>
    <cellStyle name="Notas 3" xfId="202" xr:uid="{00000000-0005-0000-0000-0000BA000000}"/>
    <cellStyle name="Note" xfId="203" xr:uid="{00000000-0005-0000-0000-0000BB000000}"/>
    <cellStyle name="Output" xfId="204" xr:uid="{00000000-0005-0000-0000-0000BC000000}"/>
    <cellStyle name="Porcentaje" xfId="1" builtinId="5"/>
    <cellStyle name="Porcentaje 2" xfId="67" xr:uid="{00000000-0005-0000-0000-0000BE000000}"/>
    <cellStyle name="Porcentaje 2 2" xfId="205" xr:uid="{00000000-0005-0000-0000-0000BF000000}"/>
    <cellStyle name="Porcentaje 3" xfId="66" xr:uid="{00000000-0005-0000-0000-0000C0000000}"/>
    <cellStyle name="Porcentaje 3 2" xfId="207" xr:uid="{00000000-0005-0000-0000-0000C1000000}"/>
    <cellStyle name="Porcentaje 3 3" xfId="206" xr:uid="{00000000-0005-0000-0000-0000C2000000}"/>
    <cellStyle name="Porcentaje 4" xfId="208" xr:uid="{00000000-0005-0000-0000-0000C3000000}"/>
    <cellStyle name="Salida" xfId="85" builtinId="21" customBuiltin="1"/>
    <cellStyle name="Salida 2" xfId="68" xr:uid="{00000000-0005-0000-0000-0000C5000000}"/>
    <cellStyle name="Texto de advertencia" xfId="89" builtinId="11" customBuiltin="1"/>
    <cellStyle name="Texto de advertencia 2" xfId="69" xr:uid="{00000000-0005-0000-0000-0000C7000000}"/>
    <cellStyle name="Texto explicativo" xfId="91" builtinId="53" customBuiltin="1"/>
    <cellStyle name="Texto explicativo 2" xfId="70" xr:uid="{00000000-0005-0000-0000-0000C9000000}"/>
    <cellStyle name="Title" xfId="209" xr:uid="{00000000-0005-0000-0000-0000CA000000}"/>
    <cellStyle name="Título" xfId="78" builtinId="15" customBuiltin="1"/>
    <cellStyle name="Título 1 2" xfId="71" xr:uid="{00000000-0005-0000-0000-0000CC000000}"/>
    <cellStyle name="Título 2" xfId="79" builtinId="17" customBuiltin="1"/>
    <cellStyle name="Título 2 2" xfId="72" xr:uid="{00000000-0005-0000-0000-0000CE000000}"/>
    <cellStyle name="Título 3" xfId="80" builtinId="18" customBuiltin="1"/>
    <cellStyle name="Título 3 2" xfId="73" xr:uid="{00000000-0005-0000-0000-0000D0000000}"/>
    <cellStyle name="Título 4" xfId="74" xr:uid="{00000000-0005-0000-0000-0000D1000000}"/>
    <cellStyle name="Título 5" xfId="210" xr:uid="{00000000-0005-0000-0000-0000D2000000}"/>
    <cellStyle name="Total" xfId="3" builtinId="25" customBuiltin="1"/>
    <cellStyle name="Total 2" xfId="75" xr:uid="{00000000-0005-0000-0000-0000D4000000}"/>
    <cellStyle name="Warning Text" xfId="211" xr:uid="{00000000-0005-0000-0000-0000D5000000}"/>
  </cellStyles>
  <dxfs count="850">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alignment wrapText="1" indent="0" readingOrder="0"/>
    </dxf>
    <dxf>
      <numFmt numFmtId="169" formatCode="[$-C0A]d\-mmm\-yy;@"/>
    </dxf>
    <dxf>
      <numFmt numFmtId="169" formatCode="[$-C0A]d\-mmm\-yy;@"/>
    </dxf>
    <dxf>
      <numFmt numFmtId="174" formatCode="&quot;$&quot;#,##0"/>
    </dxf>
    <dxf>
      <numFmt numFmtId="174" formatCode="&quot;$&quot;#,##0"/>
    </dxf>
    <dxf>
      <numFmt numFmtId="169" formatCode="[$-C0A]d\-mmm\-yy;@"/>
    </dxf>
    <dxf>
      <numFmt numFmtId="174" formatCode="&quot;$&quot;#,##0"/>
    </dxf>
    <dxf>
      <numFmt numFmtId="174"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rgb="FF92D050"/>
        </patternFill>
      </fill>
    </dxf>
    <dxf>
      <fill>
        <patternFill>
          <bgColor theme="9" tint="0.39994506668294322"/>
        </patternFill>
      </fill>
    </dxf>
    <dxf>
      <fill>
        <patternFill>
          <bgColor rgb="FF00B0F0"/>
        </patternFill>
      </fill>
    </dxf>
    <dxf>
      <fill>
        <patternFill>
          <bgColor rgb="FFD14BB4"/>
        </patternFill>
      </fill>
    </dxf>
    <dxf>
      <fill>
        <patternFill>
          <bgColor theme="9" tint="0.39994506668294322"/>
        </patternFill>
      </fill>
    </dxf>
    <dxf>
      <fill>
        <patternFill>
          <bgColor rgb="FF00B0F0"/>
        </patternFill>
      </fill>
    </dxf>
    <dxf>
      <fill>
        <patternFill>
          <bgColor theme="7" tint="0.39994506668294322"/>
        </patternFill>
      </fill>
    </dxf>
    <dxf>
      <fill>
        <patternFill>
          <bgColor rgb="FFD14BB4"/>
        </patternFill>
      </fill>
    </dxf>
    <dxf>
      <fill>
        <patternFill>
          <bgColor rgb="FF92D050"/>
        </patternFill>
      </fill>
    </dxf>
    <dxf>
      <fill>
        <patternFill>
          <bgColor theme="9" tint="0.39994506668294322"/>
        </patternFill>
      </fill>
    </dxf>
    <dxf>
      <fill>
        <patternFill>
          <bgColor rgb="FF00B0F0"/>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69"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2" formatCode="0.0%"/>
    </dxf>
    <dxf>
      <numFmt numFmtId="172" formatCode="0.0%"/>
    </dxf>
    <dxf>
      <numFmt numFmtId="171" formatCode="_-&quot;$&quot;* #,##0_-;\-&quot;$&quot;* #,##0_-;_-&quot;$&quot;* &quot;-&quot;??_-;_-@_-"/>
    </dxf>
    <dxf>
      <numFmt numFmtId="171" formatCode="_-&quot;$&quot;* #,##0_-;\-&quot;$&quot;* #,##0_-;_-&quot;$&quot;* &quot;-&quot;??_-;_-@_-"/>
    </dxf>
    <dxf>
      <numFmt numFmtId="171"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4" formatCode="&quot;$&quot;#,##0"/>
    </dxf>
    <dxf>
      <numFmt numFmtId="174" formatCode="&quot;$&quot;#,##0"/>
    </dxf>
    <dxf>
      <numFmt numFmtId="169" formatCode="[$-C0A]d\-mmm\-yy;@"/>
    </dxf>
    <dxf>
      <numFmt numFmtId="174" formatCode="&quot;$&quot;#,##0"/>
    </dxf>
    <dxf>
      <numFmt numFmtId="174" formatCode="&quot;$&quot;#,##0"/>
    </dxf>
    <dxf>
      <numFmt numFmtId="169" formatCode="[$-C0A]d\-mmm\-yy;@"/>
    </dxf>
    <dxf>
      <numFmt numFmtId="169" formatCode="[$-C0A]d\-mmm\-yy;@"/>
    </dxf>
    <dxf>
      <alignment wrapText="1" indent="0" readingOrder="0"/>
    </dxf>
  </dxfs>
  <tableStyles count="0" defaultTableStyle="TableStyleMedium2" defaultPivotStyle="PivotStyleLight16"/>
  <colors>
    <mruColors>
      <color rgb="FF92D050"/>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pivotCacheDefinition" Target="pivotCache/pivotCacheDefinition6.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pivotCacheDefinition" Target="pivotCache/pivotCacheDefinition5.xml"/><Relationship Id="rId38"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pivotCacheDefinition" Target="pivotCache/pivotCacheDefinition4.xml"/><Relationship Id="rId37" Type="http://schemas.microsoft.com/office/2007/relationships/slicerCache" Target="slicerCaches/slicerCache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microsoft.com/office/2007/relationships/slicerCache" Target="slicerCaches/slicerCach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pivotCacheDefinition" Target="pivotCache/pivotCacheDefinition2.xml"/><Relationship Id="rId35" Type="http://schemas.openxmlformats.org/officeDocument/2006/relationships/pivotCacheDefinition" Target="pivotCache/pivotCacheDefinition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[Información contractual al 25 de Enero de 2021.xlsx]Gráficos!Tabla dinámica2</c:name>
    <c:fmtId val="0"/>
  </c:pivotSource>
  <c:chart>
    <c:autoTitleDeleted val="0"/>
    <c:pivotFmts>
      <c:pivotFmt>
        <c:idx val="0"/>
        <c:marker>
          <c:symbol val="none"/>
        </c:marker>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delete val="1"/>
          <c:extLst>
            <c:ext xmlns:c15="http://schemas.microsoft.com/office/drawing/2012/chart" uri="{CE6537A1-D6FC-4f65-9D91-7224C49458BB}"/>
          </c:extLst>
        </c:dLbl>
      </c:pivotFmt>
      <c:pivotFmt>
        <c:idx val="10"/>
        <c:marker>
          <c:symbol val="none"/>
        </c:marker>
        <c:dLbl>
          <c:idx val="0"/>
          <c:delete val="1"/>
          <c:extLst>
            <c:ext xmlns:c15="http://schemas.microsoft.com/office/drawing/2012/chart" uri="{CE6537A1-D6FC-4f65-9D91-7224C49458BB}"/>
          </c:extLst>
        </c:dLbl>
      </c:pivotFmt>
      <c:pivotFmt>
        <c:idx val="11"/>
        <c:marker>
          <c:symbol val="none"/>
        </c:marker>
        <c:dLbl>
          <c:idx val="0"/>
          <c:delete val="1"/>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#N/D</c:v>
                </c:pt>
              </c:strCache>
            </c:strRef>
          </c:cat>
          <c:val>
            <c:numRef>
              <c:f>Gráficos!$B$8:$B$14</c:f>
              <c:numCache>
                <c:formatCode>General</c:formatCode>
                <c:ptCount val="6"/>
                <c:pt idx="0">
                  <c:v>1</c:v>
                </c:pt>
                <c:pt idx="1">
                  <c:v>1</c:v>
                </c:pt>
                <c:pt idx="2">
                  <c:v>16</c:v>
                </c:pt>
                <c:pt idx="3">
                  <c:v>22</c:v>
                </c:pt>
              </c:numCache>
            </c:numRef>
          </c:val>
          <c:extLst>
            <c:ext xmlns:c16="http://schemas.microsoft.com/office/drawing/2014/chart" uri="{C3380CC4-5D6E-409C-BE32-E72D297353CC}">
              <c16:uniqueId val="{00000000-AA05-4EBB-827C-5DF13C30EC12}"/>
            </c:ext>
          </c:extLst>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#N/D</c:v>
                </c:pt>
              </c:strCache>
            </c:strRef>
          </c:cat>
          <c:val>
            <c:numRef>
              <c:f>Gráficos!$C$8:$C$14</c:f>
              <c:numCache>
                <c:formatCode>General</c:formatCode>
                <c:ptCount val="6"/>
                <c:pt idx="1">
                  <c:v>10</c:v>
                </c:pt>
                <c:pt idx="2">
                  <c:v>10</c:v>
                </c:pt>
                <c:pt idx="3">
                  <c:v>6</c:v>
                </c:pt>
                <c:pt idx="4">
                  <c:v>1</c:v>
                </c:pt>
              </c:numCache>
            </c:numRef>
          </c:val>
          <c:extLst>
            <c:ext xmlns:c16="http://schemas.microsoft.com/office/drawing/2014/chart" uri="{C3380CC4-5D6E-409C-BE32-E72D297353CC}">
              <c16:uniqueId val="{00000001-AA05-4EBB-827C-5DF13C30EC12}"/>
            </c:ext>
          </c:extLst>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#N/D</c:v>
                </c:pt>
              </c:strCache>
            </c:strRef>
          </c:cat>
          <c:val>
            <c:numRef>
              <c:f>Gráficos!$D$8:$D$14</c:f>
              <c:numCache>
                <c:formatCode>General</c:formatCode>
                <c:ptCount val="6"/>
                <c:pt idx="1">
                  <c:v>9</c:v>
                </c:pt>
                <c:pt idx="2">
                  <c:v>10</c:v>
                </c:pt>
                <c:pt idx="3">
                  <c:v>5</c:v>
                </c:pt>
              </c:numCache>
            </c:numRef>
          </c:val>
          <c:extLst>
            <c:ext xmlns:c16="http://schemas.microsoft.com/office/drawing/2014/chart" uri="{C3380CC4-5D6E-409C-BE32-E72D297353CC}">
              <c16:uniqueId val="{00000002-AA05-4EBB-827C-5DF13C30EC12}"/>
            </c:ext>
          </c:extLst>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#N/D</c:v>
                </c:pt>
              </c:strCache>
            </c:strRef>
          </c:cat>
          <c:val>
            <c:numRef>
              <c:f>Gráficos!$E$8:$E$14</c:f>
              <c:numCache>
                <c:formatCode>General</c:formatCode>
                <c:ptCount val="6"/>
                <c:pt idx="1">
                  <c:v>5</c:v>
                </c:pt>
                <c:pt idx="2">
                  <c:v>9</c:v>
                </c:pt>
                <c:pt idx="3">
                  <c:v>10</c:v>
                </c:pt>
              </c:numCache>
            </c:numRef>
          </c:val>
          <c:extLst>
            <c:ext xmlns:c16="http://schemas.microsoft.com/office/drawing/2014/chart" uri="{C3380CC4-5D6E-409C-BE32-E72D297353CC}">
              <c16:uniqueId val="{00000003-AA05-4EBB-827C-5DF13C30EC12}"/>
            </c:ext>
          </c:extLst>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#N/D</c:v>
                </c:pt>
              </c:strCache>
            </c:strRef>
          </c:cat>
          <c:val>
            <c:numRef>
              <c:f>Gráficos!$F$8:$F$14</c:f>
              <c:numCache>
                <c:formatCode>General</c:formatCode>
                <c:ptCount val="6"/>
                <c:pt idx="1">
                  <c:v>8</c:v>
                </c:pt>
                <c:pt idx="2">
                  <c:v>5</c:v>
                </c:pt>
                <c:pt idx="3">
                  <c:v>2</c:v>
                </c:pt>
              </c:numCache>
            </c:numRef>
          </c:val>
          <c:extLst>
            <c:ext xmlns:c16="http://schemas.microsoft.com/office/drawing/2014/chart" uri="{C3380CC4-5D6E-409C-BE32-E72D297353CC}">
              <c16:uniqueId val="{00000004-AA05-4EBB-827C-5DF13C30EC12}"/>
            </c:ext>
          </c:extLst>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#N/D</c:v>
                </c:pt>
              </c:strCache>
            </c:strRef>
          </c:cat>
          <c:val>
            <c:numRef>
              <c:f>Gráficos!$G$8:$G$14</c:f>
              <c:numCache>
                <c:formatCode>General</c:formatCode>
                <c:ptCount val="6"/>
                <c:pt idx="1">
                  <c:v>9</c:v>
                </c:pt>
                <c:pt idx="2">
                  <c:v>9</c:v>
                </c:pt>
                <c:pt idx="3">
                  <c:v>1</c:v>
                </c:pt>
              </c:numCache>
            </c:numRef>
          </c:val>
          <c:extLst>
            <c:ext xmlns:c16="http://schemas.microsoft.com/office/drawing/2014/chart" uri="{C3380CC4-5D6E-409C-BE32-E72D297353CC}">
              <c16:uniqueId val="{00000005-AA05-4EBB-827C-5DF13C30EC12}"/>
            </c:ext>
          </c:extLst>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#N/D</c:v>
                </c:pt>
              </c:strCache>
            </c:strRef>
          </c:cat>
          <c:val>
            <c:numRef>
              <c:f>Gráficos!$H$8:$H$14</c:f>
              <c:numCache>
                <c:formatCode>General</c:formatCode>
                <c:ptCount val="6"/>
                <c:pt idx="0">
                  <c:v>2</c:v>
                </c:pt>
                <c:pt idx="1">
                  <c:v>7</c:v>
                </c:pt>
                <c:pt idx="2">
                  <c:v>3</c:v>
                </c:pt>
                <c:pt idx="3">
                  <c:v>3</c:v>
                </c:pt>
              </c:numCache>
            </c:numRef>
          </c:val>
          <c:extLst>
            <c:ext xmlns:c16="http://schemas.microsoft.com/office/drawing/2014/chart" uri="{C3380CC4-5D6E-409C-BE32-E72D297353CC}">
              <c16:uniqueId val="{00000006-AA05-4EBB-827C-5DF13C30EC12}"/>
            </c:ext>
          </c:extLst>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#N/D</c:v>
                </c:pt>
              </c:strCache>
            </c:strRef>
          </c:cat>
          <c:val>
            <c:numRef>
              <c:f>Gráficos!$I$8:$I$14</c:f>
              <c:numCache>
                <c:formatCode>General</c:formatCode>
                <c:ptCount val="6"/>
                <c:pt idx="1">
                  <c:v>4</c:v>
                </c:pt>
                <c:pt idx="2">
                  <c:v>7</c:v>
                </c:pt>
              </c:numCache>
            </c:numRef>
          </c:val>
          <c:extLst>
            <c:ext xmlns:c16="http://schemas.microsoft.com/office/drawing/2014/chart" uri="{C3380CC4-5D6E-409C-BE32-E72D297353CC}">
              <c16:uniqueId val="{00000007-AA05-4EBB-827C-5DF13C30EC12}"/>
            </c:ext>
          </c:extLst>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#N/D</c:v>
                </c:pt>
              </c:strCache>
            </c:strRef>
          </c:cat>
          <c:val>
            <c:numRef>
              <c:f>Gráficos!$J$8:$J$14</c:f>
              <c:numCache>
                <c:formatCode>General</c:formatCode>
                <c:ptCount val="6"/>
                <c:pt idx="1">
                  <c:v>8</c:v>
                </c:pt>
                <c:pt idx="2">
                  <c:v>9</c:v>
                </c:pt>
                <c:pt idx="3">
                  <c:v>3</c:v>
                </c:pt>
              </c:numCache>
            </c:numRef>
          </c:val>
          <c:extLst>
            <c:ext xmlns:c16="http://schemas.microsoft.com/office/drawing/2014/chart" uri="{C3380CC4-5D6E-409C-BE32-E72D297353CC}">
              <c16:uniqueId val="{00000008-AA05-4EBB-827C-5DF13C30EC12}"/>
            </c:ext>
          </c:extLst>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#N/D</c:v>
                </c:pt>
              </c:strCache>
            </c:strRef>
          </c:cat>
          <c:val>
            <c:numRef>
              <c:f>Gráficos!$K$8:$K$14</c:f>
              <c:numCache>
                <c:formatCode>General</c:formatCode>
                <c:ptCount val="6"/>
                <c:pt idx="0">
                  <c:v>1</c:v>
                </c:pt>
                <c:pt idx="1">
                  <c:v>5</c:v>
                </c:pt>
                <c:pt idx="2">
                  <c:v>5</c:v>
                </c:pt>
                <c:pt idx="3">
                  <c:v>3</c:v>
                </c:pt>
              </c:numCache>
            </c:numRef>
          </c:val>
          <c:extLst>
            <c:ext xmlns:c16="http://schemas.microsoft.com/office/drawing/2014/chart" uri="{C3380CC4-5D6E-409C-BE32-E72D297353CC}">
              <c16:uniqueId val="{00000009-AA05-4EBB-827C-5DF13C30EC12}"/>
            </c:ext>
          </c:extLst>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#N/D</c:v>
                </c:pt>
              </c:strCache>
            </c:strRef>
          </c:cat>
          <c:val>
            <c:numRef>
              <c:f>Gráficos!$L$8:$L$14</c:f>
              <c:numCache>
                <c:formatCode>General</c:formatCode>
                <c:ptCount val="6"/>
                <c:pt idx="1">
                  <c:v>4</c:v>
                </c:pt>
                <c:pt idx="2">
                  <c:v>5</c:v>
                </c:pt>
              </c:numCache>
            </c:numRef>
          </c:val>
          <c:extLst>
            <c:ext xmlns:c16="http://schemas.microsoft.com/office/drawing/2014/chart" uri="{C3380CC4-5D6E-409C-BE32-E72D297353CC}">
              <c16:uniqueId val="{0000000A-AA05-4EBB-827C-5DF13C30EC12}"/>
            </c:ext>
          </c:extLst>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#N/D</c:v>
                </c:pt>
              </c:strCache>
            </c:strRef>
          </c:cat>
          <c:val>
            <c:numRef>
              <c:f>Gráficos!$M$8:$M$14</c:f>
              <c:numCache>
                <c:formatCode>General</c:formatCode>
                <c:ptCount val="6"/>
                <c:pt idx="0">
                  <c:v>3</c:v>
                </c:pt>
                <c:pt idx="1">
                  <c:v>5</c:v>
                </c:pt>
                <c:pt idx="2">
                  <c:v>8</c:v>
                </c:pt>
              </c:numCache>
            </c:numRef>
          </c:val>
          <c:extLst>
            <c:ext xmlns:c16="http://schemas.microsoft.com/office/drawing/2014/chart" uri="{C3380CC4-5D6E-409C-BE32-E72D297353CC}">
              <c16:uniqueId val="{0000000B-AA05-4EBB-827C-5DF13C30EC12}"/>
            </c:ext>
          </c:extLst>
        </c:ser>
        <c:ser>
          <c:idx val="12"/>
          <c:order val="12"/>
          <c:tx>
            <c:strRef>
              <c:f>Gráficos!$N$6:$N$7</c:f>
              <c:strCache>
                <c:ptCount val="1"/>
                <c:pt idx="0">
                  <c:v>#N/D</c:v>
                </c:pt>
              </c:strCache>
            </c:strRef>
          </c:tx>
          <c:invertIfNegative val="0"/>
          <c:cat>
            <c:strRef>
              <c:f>Gráficos!$A$8:$A$14</c:f>
              <c:strCache>
                <c:ptCount val="6"/>
                <c:pt idx="0">
                  <c:v>2012</c:v>
                </c:pt>
                <c:pt idx="1">
                  <c:v>2013</c:v>
                </c:pt>
                <c:pt idx="2">
                  <c:v>2014</c:v>
                </c:pt>
                <c:pt idx="3">
                  <c:v>2015</c:v>
                </c:pt>
                <c:pt idx="4">
                  <c:v>2016</c:v>
                </c:pt>
                <c:pt idx="5">
                  <c:v>#N/D</c:v>
                </c:pt>
              </c:strCache>
            </c:strRef>
          </c:cat>
          <c:val>
            <c:numRef>
              <c:f>Gráficos!$N$8:$N$14</c:f>
              <c:numCache>
                <c:formatCode>General</c:formatCode>
                <c:ptCount val="6"/>
                <c:pt idx="5">
                  <c:v>2</c:v>
                </c:pt>
              </c:numCache>
            </c:numRef>
          </c:val>
          <c:extLst>
            <c:ext xmlns:c16="http://schemas.microsoft.com/office/drawing/2014/chart" uri="{C3380CC4-5D6E-409C-BE32-E72D297353CC}">
              <c16:uniqueId val="{0000000C-AA05-4EBB-827C-5DF13C30EC12}"/>
            </c:ext>
          </c:extLst>
        </c:ser>
        <c:dLbls>
          <c:showLegendKey val="0"/>
          <c:showVal val="0"/>
          <c:showCatName val="0"/>
          <c:showSerName val="0"/>
          <c:showPercent val="0"/>
          <c:showBubbleSize val="0"/>
        </c:dLbls>
        <c:gapWidth val="150"/>
        <c:axId val="-1558221824"/>
        <c:axId val="-1558223456"/>
      </c:barChart>
      <c:catAx>
        <c:axId val="-1558221824"/>
        <c:scaling>
          <c:orientation val="minMax"/>
        </c:scaling>
        <c:delete val="0"/>
        <c:axPos val="b"/>
        <c:numFmt formatCode="General" sourceLinked="0"/>
        <c:majorTickMark val="out"/>
        <c:minorTickMark val="none"/>
        <c:tickLblPos val="nextTo"/>
        <c:crossAx val="-1558223456"/>
        <c:crosses val="autoZero"/>
        <c:auto val="1"/>
        <c:lblAlgn val="ctr"/>
        <c:lblOffset val="100"/>
        <c:noMultiLvlLbl val="0"/>
      </c:catAx>
      <c:valAx>
        <c:axId val="-1558223456"/>
        <c:scaling>
          <c:orientation val="minMax"/>
        </c:scaling>
        <c:delete val="0"/>
        <c:axPos val="l"/>
        <c:majorGridlines/>
        <c:numFmt formatCode="General" sourceLinked="1"/>
        <c:majorTickMark val="out"/>
        <c:minorTickMark val="none"/>
        <c:tickLblPos val="nextTo"/>
        <c:crossAx val="-15582218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[Información contractual al 25 de Enero de 2021.xlsx]Gráficos!Tabla dinámica1</c:name>
    <c:fmtId val="1"/>
  </c:pivotSource>
  <c:chart>
    <c:autoTitleDeleted val="1"/>
    <c:pivotFmts>
      <c:pivotFmt>
        <c:idx val="0"/>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c:v>
                </c:pt>
                <c:pt idx="1">
                  <c:v>10</c:v>
                </c:pt>
                <c:pt idx="2">
                  <c:v>10</c:v>
                </c:pt>
                <c:pt idx="3">
                  <c:v>9</c:v>
                </c:pt>
                <c:pt idx="4">
                  <c:v>5</c:v>
                </c:pt>
                <c:pt idx="5">
                  <c:v>9</c:v>
                </c:pt>
                <c:pt idx="6">
                  <c:v>3</c:v>
                </c:pt>
                <c:pt idx="7">
                  <c:v>7</c:v>
                </c:pt>
                <c:pt idx="8">
                  <c:v>10</c:v>
                </c:pt>
                <c:pt idx="9">
                  <c:v>5</c:v>
                </c:pt>
                <c:pt idx="10">
                  <c:v>6</c:v>
                </c:pt>
                <c:pt idx="11">
                  <c:v>5</c:v>
                </c:pt>
              </c:numCache>
            </c:numRef>
          </c:val>
          <c:extLst>
            <c:ext xmlns:c16="http://schemas.microsoft.com/office/drawing/2014/chart" uri="{C3380CC4-5D6E-409C-BE32-E72D297353CC}">
              <c16:uniqueId val="{00000000-2FC6-4269-9D1E-F4D0B05BCD41}"/>
            </c:ext>
          </c:extLst>
        </c:ser>
        <c:dLbls>
          <c:showLegendKey val="0"/>
          <c:showVal val="0"/>
          <c:showCatName val="0"/>
          <c:showSerName val="0"/>
          <c:showPercent val="0"/>
          <c:showBubbleSize val="0"/>
        </c:dLbls>
        <c:gapWidth val="150"/>
        <c:axId val="-1558230528"/>
        <c:axId val="-1558227264"/>
      </c:barChart>
      <c:catAx>
        <c:axId val="-1558230528"/>
        <c:scaling>
          <c:orientation val="minMax"/>
        </c:scaling>
        <c:delete val="0"/>
        <c:axPos val="b"/>
        <c:numFmt formatCode="General" sourceLinked="0"/>
        <c:majorTickMark val="out"/>
        <c:minorTickMark val="none"/>
        <c:tickLblPos val="nextTo"/>
        <c:crossAx val="-1558227264"/>
        <c:crosses val="autoZero"/>
        <c:auto val="1"/>
        <c:lblAlgn val="ctr"/>
        <c:lblOffset val="100"/>
        <c:noMultiLvlLbl val="0"/>
      </c:catAx>
      <c:valAx>
        <c:axId val="-1558227264"/>
        <c:scaling>
          <c:orientation val="minMax"/>
        </c:scaling>
        <c:delete val="0"/>
        <c:axPos val="l"/>
        <c:majorGridlines/>
        <c:numFmt formatCode="General" sourceLinked="1"/>
        <c:majorTickMark val="out"/>
        <c:minorTickMark val="none"/>
        <c:tickLblPos val="nextTo"/>
        <c:crossAx val="-155823052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[Información contractual al 25 de Enero de 2021.xlsx]Gráficos!Tabla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c:v>
                </c:pt>
                <c:pt idx="1">
                  <c:v>0</c:v>
                </c:pt>
                <c:pt idx="2">
                  <c:v>0</c:v>
                </c:pt>
                <c:pt idx="3">
                  <c:v>0</c:v>
                </c:pt>
                <c:pt idx="4">
                  <c:v>0</c:v>
                </c:pt>
                <c:pt idx="5">
                  <c:v>0</c:v>
                </c:pt>
                <c:pt idx="6">
                  <c:v>2</c:v>
                </c:pt>
                <c:pt idx="7">
                  <c:v>0</c:v>
                </c:pt>
                <c:pt idx="8">
                  <c:v>0</c:v>
                </c:pt>
                <c:pt idx="9">
                  <c:v>1</c:v>
                </c:pt>
                <c:pt idx="10">
                  <c:v>0</c:v>
                </c:pt>
                <c:pt idx="11">
                  <c:v>3</c:v>
                </c:pt>
              </c:numCache>
            </c:numRef>
          </c:val>
          <c:extLst>
            <c:ext xmlns:c16="http://schemas.microsoft.com/office/drawing/2014/chart" uri="{C3380CC4-5D6E-409C-BE32-E72D297353CC}">
              <c16:uniqueId val="{00000000-95C7-45C6-83C9-6A9D2E34B6DE}"/>
            </c:ext>
          </c:extLst>
        </c:ser>
        <c:dLbls>
          <c:showLegendKey val="0"/>
          <c:showVal val="0"/>
          <c:showCatName val="0"/>
          <c:showSerName val="0"/>
          <c:showPercent val="0"/>
          <c:showBubbleSize val="0"/>
        </c:dLbls>
        <c:gapWidth val="150"/>
        <c:axId val="-1558225088"/>
        <c:axId val="-1558224544"/>
      </c:barChart>
      <c:catAx>
        <c:axId val="-1558225088"/>
        <c:scaling>
          <c:orientation val="minMax"/>
        </c:scaling>
        <c:delete val="0"/>
        <c:axPos val="b"/>
        <c:numFmt formatCode="General" sourceLinked="0"/>
        <c:majorTickMark val="out"/>
        <c:minorTickMark val="none"/>
        <c:tickLblPos val="nextTo"/>
        <c:crossAx val="-1558224544"/>
        <c:crosses val="autoZero"/>
        <c:auto val="1"/>
        <c:lblAlgn val="ctr"/>
        <c:lblOffset val="100"/>
        <c:noMultiLvlLbl val="0"/>
      </c:catAx>
      <c:valAx>
        <c:axId val="-1558224544"/>
        <c:scaling>
          <c:orientation val="minMax"/>
        </c:scaling>
        <c:delete val="0"/>
        <c:axPos val="l"/>
        <c:majorGridlines/>
        <c:numFmt formatCode="General" sourceLinked="1"/>
        <c:majorTickMark val="out"/>
        <c:minorTickMark val="none"/>
        <c:tickLblPos val="nextTo"/>
        <c:crossAx val="-155822508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[Información contractual al 25 de Enero de 2021.xlsx]Gráficos!Tabla dinámica6</c:name>
    <c:fmtId val="0"/>
  </c:pivotSource>
  <c:chart>
    <c:autoTitleDeleted val="1"/>
    <c:pivotFmts>
      <c:pivotFmt>
        <c:idx val="0"/>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1</c:v>
                </c:pt>
                <c:pt idx="1">
                  <c:v>10</c:v>
                </c:pt>
                <c:pt idx="2">
                  <c:v>9</c:v>
                </c:pt>
                <c:pt idx="3">
                  <c:v>5</c:v>
                </c:pt>
                <c:pt idx="4">
                  <c:v>8</c:v>
                </c:pt>
                <c:pt idx="5">
                  <c:v>10</c:v>
                </c:pt>
                <c:pt idx="6">
                  <c:v>7</c:v>
                </c:pt>
                <c:pt idx="7">
                  <c:v>4</c:v>
                </c:pt>
                <c:pt idx="8">
                  <c:v>8</c:v>
                </c:pt>
                <c:pt idx="9">
                  <c:v>6</c:v>
                </c:pt>
                <c:pt idx="10">
                  <c:v>4</c:v>
                </c:pt>
                <c:pt idx="11">
                  <c:v>5</c:v>
                </c:pt>
              </c:numCache>
            </c:numRef>
          </c:val>
          <c:extLst>
            <c:ext xmlns:c16="http://schemas.microsoft.com/office/drawing/2014/chart" uri="{C3380CC4-5D6E-409C-BE32-E72D297353CC}">
              <c16:uniqueId val="{00000000-CCD8-47B8-A35D-9A66FAE4C5FE}"/>
            </c:ext>
          </c:extLst>
        </c:ser>
        <c:dLbls>
          <c:showLegendKey val="0"/>
          <c:showVal val="0"/>
          <c:showCatName val="0"/>
          <c:showSerName val="0"/>
          <c:showPercent val="0"/>
          <c:showBubbleSize val="0"/>
        </c:dLbls>
        <c:gapWidth val="150"/>
        <c:axId val="-1558228896"/>
        <c:axId val="-1558232160"/>
      </c:barChart>
      <c:catAx>
        <c:axId val="-1558228896"/>
        <c:scaling>
          <c:orientation val="minMax"/>
        </c:scaling>
        <c:delete val="0"/>
        <c:axPos val="b"/>
        <c:numFmt formatCode="General" sourceLinked="0"/>
        <c:majorTickMark val="out"/>
        <c:minorTickMark val="none"/>
        <c:tickLblPos val="nextTo"/>
        <c:crossAx val="-1558232160"/>
        <c:crosses val="autoZero"/>
        <c:auto val="1"/>
        <c:lblAlgn val="ctr"/>
        <c:lblOffset val="100"/>
        <c:noMultiLvlLbl val="0"/>
      </c:catAx>
      <c:valAx>
        <c:axId val="-1558232160"/>
        <c:scaling>
          <c:orientation val="minMax"/>
        </c:scaling>
        <c:delete val="0"/>
        <c:axPos val="l"/>
        <c:majorGridlines/>
        <c:numFmt formatCode="General" sourceLinked="1"/>
        <c:majorTickMark val="out"/>
        <c:minorTickMark val="none"/>
        <c:tickLblPos val="nextTo"/>
        <c:crossAx val="-155822889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a:extLst>
            <a:ext uri="{FF2B5EF4-FFF2-40B4-BE49-F238E27FC236}">
              <a16:creationId xmlns:a16="http://schemas.microsoft.com/office/drawing/2014/main" id="{00000000-0008-0000-0000-00000A000000}"/>
            </a:ext>
          </a:extLst>
        </xdr:cNvPr>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a:extLst>
            <a:ext uri="{FF2B5EF4-FFF2-40B4-BE49-F238E27FC236}">
              <a16:creationId xmlns:a16="http://schemas.microsoft.com/office/drawing/2014/main" id="{00000000-0008-0000-0000-000009000000}"/>
            </a:ext>
          </a:extLst>
        </xdr:cNvPr>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a:extLst>
            <a:ext uri="{FF2B5EF4-FFF2-40B4-BE49-F238E27FC236}">
              <a16:creationId xmlns:a16="http://schemas.microsoft.com/office/drawing/2014/main" id="{00000000-0008-0000-0000-00000B000000}"/>
            </a:ext>
          </a:extLst>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a:extLst>
            <a:ext uri="{FF2B5EF4-FFF2-40B4-BE49-F238E27FC236}">
              <a16:creationId xmlns:a16="http://schemas.microsoft.com/office/drawing/2014/main" id="{00000000-0008-0000-0000-00000D000000}"/>
            </a:ext>
          </a:extLst>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a:extLst>
            <a:ext uri="{FF2B5EF4-FFF2-40B4-BE49-F238E27FC236}">
              <a16:creationId xmlns:a16="http://schemas.microsoft.com/office/drawing/2014/main" id="{00000000-0008-0000-0000-00000F000000}"/>
            </a:ext>
          </a:extLst>
        </xdr:cNvPr>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a:extLst>
            <a:ext uri="{FF2B5EF4-FFF2-40B4-BE49-F238E27FC236}">
              <a16:creationId xmlns:a16="http://schemas.microsoft.com/office/drawing/2014/main" id="{00000000-0008-0000-0000-000010000000}"/>
            </a:ext>
          </a:extLst>
        </xdr:cNvPr>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a:extLst>
            <a:ext uri="{FF2B5EF4-FFF2-40B4-BE49-F238E27FC236}">
              <a16:creationId xmlns:a16="http://schemas.microsoft.com/office/drawing/2014/main" id="{00000000-0008-0000-0000-000014000000}"/>
            </a:ext>
          </a:extLst>
        </xdr:cNvPr>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a:extLst>
            <a:ext uri="{FF2B5EF4-FFF2-40B4-BE49-F238E27FC236}">
              <a16:creationId xmlns:a16="http://schemas.microsoft.com/office/drawing/2014/main" id="{00000000-0008-0000-0000-000011000000}"/>
            </a:ext>
          </a:extLst>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a:extLst>
            <a:ext uri="{FF2B5EF4-FFF2-40B4-BE49-F238E27FC236}">
              <a16:creationId xmlns:a16="http://schemas.microsoft.com/office/drawing/2014/main" id="{00000000-0008-0000-0000-000012000000}"/>
            </a:ext>
          </a:extLst>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a:extLst>
            <a:ext uri="{FF2B5EF4-FFF2-40B4-BE49-F238E27FC236}">
              <a16:creationId xmlns:a16="http://schemas.microsoft.com/office/drawing/2014/main" id="{00000000-0008-0000-0000-000013000000}"/>
            </a:ext>
          </a:extLst>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a:extLst>
            <a:ext uri="{FF2B5EF4-FFF2-40B4-BE49-F238E27FC236}">
              <a16:creationId xmlns:a16="http://schemas.microsoft.com/office/drawing/2014/main" id="{00000000-0008-0000-0000-000015000000}"/>
            </a:ext>
          </a:extLst>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C00-000004000000}"/>
            </a:ext>
          </a:extLst>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0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a:extLst>
            <a:ext uri="{FF2B5EF4-FFF2-40B4-BE49-F238E27FC236}">
              <a16:creationId xmlns:a16="http://schemas.microsoft.com/office/drawing/2014/main" id="{00000000-0008-0000-0A00-000005000000}"/>
            </a:ext>
          </a:extLst>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print\FONDO%20CUENTA\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rint\FONDO%20CUENTA\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print\FONDO%20CUENTA\Contratos\BASE%20DE%20DATOS%203-04-2019.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print\FONDO%20CUENTA\ljgonzalez\Mis%20documentos\Informes%20Contratos\Distribuciones%20contratos\Plan%20de%20contratacion%202015%20-%20SEGUIMIENT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print\FONDO%20CUENTA\Users\ljgonzalez\Downloads\Base%20de%20datos%20contratos%20(27-04-2015)%20-%20Actualizada.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print\FONDO%20CUENTA\Users\ljgonzalez\AppData\Local\Microsoft\Windows\Temporary%20Internet%20Files\Content.Outlook\CYM4VQT8\Plan%20de%20contratacion%202015%20(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print\FONDO%20CUENTA\Contratos\Copia%20de%20Copia%20de%20PAA_2017%20v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bprint\FONDO%20CUENTA\Contratos\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IZETH JAHIRA GONZALEZ VARGAS" refreshedDate="41975.663471643522" createdVersion="4" refreshedVersion="4" minRefreshableVersion="3" recordCount="236" xr:uid="{00000000-000A-0000-FFFF-FFFF00000000}">
  <cacheSource type="worksheet">
    <worksheetSource ref="B2:O238" sheet="Hoja2"/>
  </cacheSource>
  <cacheFields count="14">
    <cacheField name="Número de contrato" numFmtId="0">
      <sharedItems/>
    </cacheField>
    <cacheField name="Nombre" numFmtId="0">
      <sharedItems/>
    </cacheField>
    <cacheField name="Vigencia" numFmtId="168">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69">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RA MARCELA GARZON SERRATO" refreshedDate="42598.463585648147" createdVersion="4" refreshedVersion="4" minRefreshableVersion="3" recordCount="453" xr:uid="{00000000-000A-0000-FFFF-FFFF01000000}">
  <cacheSource type="worksheet">
    <worksheetSource ref="E6:AF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arolina Avila" refreshedDate="44228.610749305553" createdVersion="4" refreshedVersion="6" minRefreshableVersion="3" recordCount="246" xr:uid="{00000000-000A-0000-FFFF-FFFF0D000000}">
  <cacheSource type="worksheet">
    <worksheetSource ref="E6:AF252" sheet="Base de Datos"/>
  </cacheSource>
  <cacheFields count="28">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1">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ueva fecha sin prescindencia" numFmtId="15">
      <sharedItems/>
    </cacheField>
    <cacheField name="Número de adiciones realizadas" numFmtId="1">
      <sharedItems containsSemiMixedTypes="0" containsString="0" containsNumber="1" containsInteger="1" minValue="0" maxValue="4"/>
    </cacheField>
    <cacheField name="Valor total de adiciones ($)" numFmtId="171">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 numFmtId="0">
      <sharedItems/>
    </cacheField>
    <cacheField name="Fecha terminación última prórroga" numFmtId="169">
      <sharedItems containsDate="1" containsMixedTypes="1" minDate="2012-10-31T00:00:00" maxDate="2020-04-01T00:00:00"/>
    </cacheField>
    <cacheField name="Tiempo Total_x000a_(días)" numFmtId="1">
      <sharedItems/>
    </cacheField>
    <cacheField name="Fecha de terminación con suspensión" numFmtId="169">
      <sharedItems/>
    </cacheField>
    <cacheField name="Fecha de terminación Final" numFmtId="169">
      <sharedItems containsSemiMixedTypes="0" containsNonDate="0" containsDate="1" containsString="0" minDate="2012-01-14T00:00:00" maxDate="2020-04-01T00:00:00"/>
    </cacheField>
    <cacheField name="Valor Total ($)" numFmtId="171">
      <sharedItems containsSemiMixedTypes="0" containsString="0" containsNumber="1" containsInteger="1" minValue="0" maxValue="7329236109"/>
    </cacheField>
    <cacheField name="Giros ($)" numFmtId="171">
      <sharedItems containsSemiMixedTypes="0" containsString="0" containsNumber="1" minValue="0" maxValue="6218260556"/>
    </cacheField>
    <cacheField name="Saldos ($)" numFmtId="171">
      <sharedItems containsSemiMixedTypes="0" containsString="0" containsNumber="1" minValue="0" maxValue="3220371734"/>
    </cacheField>
    <cacheField name="Forma de pago" numFmtId="0">
      <sharedItems containsBlank="1" longText="1"/>
    </cacheField>
    <cacheField name="% Ejecución recursos" numFmtId="172">
      <sharedItems containsMixedTypes="1" containsNumber="1" minValue="0" maxValue="1"/>
    </cacheField>
    <cacheField name="% Ejecución física" numFmtId="172">
      <sharedItems containsSemiMixedTypes="0" containsString="0" containsNumber="1" minValue="-2.7397260273972603E-3" maxValue="1" count="4931">
        <n v="1"/>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99589883800410117"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9991569833675096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99671907040328089" u="1"/>
        <n v="0.72048611111111116" u="1"/>
        <n v="0.97689768976897695" u="1"/>
        <n v="0.18346111719605696" u="1"/>
        <n v="0.945986124876115" u="1"/>
        <n v="0.98463825569871155" u="1"/>
        <n v="0.81736526946107779" u="1"/>
        <n v="0.99423558897243103"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99997721576668941"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99753930280246073"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99831396673501938" u="1"/>
        <n v="0.43921139101861995" u="1"/>
        <n v="0.78877887788778878" u="1"/>
        <n v="0.82695810564663019" u="1"/>
        <n v="0.99583048530416951"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99835953520164045"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9991341991341991" u="1"/>
        <n v="0.54320987654320985" u="1"/>
        <n v="0.54143646408839774" u="1"/>
        <n v="0.72328767123287674" u="1"/>
        <n v="0.91095890410958902" u="1"/>
        <n v="0.97984749455337694" u="1"/>
        <n v="0.82786885245901642" u="1"/>
        <n v="0.91339869281045749" u="1"/>
        <n v="0.99416723627249948"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99990886306675786" u="1"/>
        <n v="0.21917808219178081" u="1"/>
        <n v="0.9776785714285714" u="1"/>
        <n v="0.28219178082191781" u="1"/>
        <n v="0.94989106753812635" u="1"/>
        <n v="0.60066006600660071" u="1"/>
        <n v="0.6319824753559693" u="1"/>
        <n v="0.99669628616997041" u="1"/>
        <n v="0.46823658269441404" u="1"/>
        <n v="0.57692307692307687" u="1"/>
        <n v="0.83072100313479624" u="1"/>
        <n v="0.58050383351588175" u="1"/>
        <n v="0.62739726027397258" u="1"/>
        <n v="0.9438202247191011" u="1"/>
        <n v="0.2783882783882784" u="1"/>
        <n v="0.44249726177437021" u="1"/>
        <n v="0.65163934426229508" u="1"/>
        <n v="0.99421280473912055"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99995443153337893"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58974358974358976" u="1"/>
        <n v="0.9949874686716792"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99503303713830027"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99829118250170878" u="1"/>
        <n v="0.80487804878048785" u="1"/>
        <n v="0.83714596949891062" u="1"/>
        <n v="0.91616766467065869" u="1"/>
        <n v="0.22070098576122674" u="1"/>
        <n v="0.80232558139534882" u="1"/>
        <n v="0.9525065963060686" u="1"/>
        <n v="0.77069716775599129" u="1"/>
        <n v="0.99580770107085892"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99974955032899981"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99911141490088862" u="1"/>
        <n v="0.72672672672672678" u="1"/>
        <n v="0.58643326039387311" u="1"/>
        <n v="0.25191675794085433" u="1"/>
        <n v="0.61716171617161719" u="1"/>
        <n v="0.99662793347003875" u="1"/>
        <n v="0.20208105147864183" u="1"/>
        <n v="0.43421052631578949" u="1"/>
        <n v="0.8894422310756972" u="1"/>
        <n v="0.8779342723004695" u="1"/>
        <n v="0.57755775577557755" u="1"/>
        <n v="0.99414445203918889"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99988607883344727" u="1"/>
        <n v="0.57608695652173914" u="1"/>
        <n v="0.74647887323943662" u="1"/>
        <n v="0.50276243093922657" u="1"/>
        <n v="0.82739726027397265" u="1"/>
        <n v="0.52738225629791891" u="1"/>
        <n v="0.9974025974025974" u="1"/>
        <n v="0.72440087145969501" u="1"/>
        <n v="0.90637450199203184" u="1"/>
        <n v="0.34431137724550898" u="1"/>
        <n v="0.8079561042524005" u="1"/>
        <n v="0.5280898876404494" u="1"/>
        <n v="0.9711934156378601" u="1"/>
        <n v="0.6795580110497238" u="1"/>
        <n v="0.41847826086956524" u="1"/>
        <n v="0.99419002050580996" u="1"/>
        <n v="0.37016574585635359" u="1"/>
        <n v="0.4358974358974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99993164730006834"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99496468443836861"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96778989098116952" u="1"/>
        <n v="0.8928571428571429" u="1"/>
        <n v="0.90126582278481016" u="1"/>
        <n v="0.54246575342465753" u="1"/>
        <n v="0.95539906103286387" u="1"/>
        <n v="0.7752808988764045" u="1"/>
        <n v="0.99822282980177712" u="1"/>
        <n v="0.72340425531914898" u="1"/>
        <n v="0.9178082191780822" u="1"/>
        <n v="0.51315789473684215" u="1"/>
        <n v="0.99836065573770494" u="1"/>
        <n v="0.75449101796407181" u="1"/>
        <n v="0.99573934837092737" u="1"/>
        <n v="0.94811320754716977" u="1"/>
        <n v="0.45071193866374587" u="1"/>
        <n v="0.59169550173010377" u="1"/>
        <n v="0.37309644670050762" u="1"/>
        <n v="0.99501025290498979"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99578491683754844"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99655958077010709"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99908863066757803" u="1"/>
        <n v="0.38674033149171272" u="1"/>
        <n v="0.65789473684210531" u="1"/>
        <n v="0.29139072847682118" u="1"/>
        <n v="0.88321167883211682" u="1"/>
        <n v="8.3287671232876712E-2" u="1"/>
        <n v="0.77197802197802201" u="1"/>
        <n v="0.8377049180327869" u="1"/>
        <n v="0.99660514923672816"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9737981316928681" u="1"/>
        <n v="0.93478260869565222" u="1"/>
        <n v="0.17260273972602741" u="1"/>
        <n v="0.83532934131736525" u="1"/>
        <n v="4.1095890410958902E-2" u="1"/>
        <n v="0.35164835164835168" u="1"/>
        <n v="0.39669421487603307" u="1"/>
        <n v="0.64348302300109528" u="1"/>
        <n v="0.99489633173843706"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99742538163590799" u="1"/>
        <n v="0.88344226579520702" u="1"/>
        <n v="0.19331872946330778" u="1"/>
        <n v="0.52049180327868849" u="1"/>
        <n v="0.64088397790055252" u="1"/>
        <n v="0.99108027750247774" u="1"/>
        <n v="0.81699346405228757" u="1"/>
        <n v="0.37748344370860926" u="1"/>
        <n v="0.99494190020505813"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99820004556846664"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99897470950102529" u="1"/>
        <n v="0.51028806584362141" u="1"/>
        <n v="8.21917808219178E-3" u="1"/>
        <n v="0.82352941176470584" u="1"/>
        <n v="0.57614213197969544" u="1"/>
        <n v="0.51522842639593913" u="1"/>
        <n v="0.76876876876876876" u="1"/>
        <n v="0.7570806100217865" u="1"/>
        <n v="0.84488448844884489" u="1"/>
        <n v="0.69063180827886705" u="1"/>
        <n v="0.93788819875776397" u="1"/>
        <n v="0.99576213260423785"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99902027796764636" u="1"/>
        <n v="0.65201465201465203" u="1"/>
        <n v="0.72712418300653592" u="1"/>
        <n v="0.94430379746835447" u="1"/>
        <n v="0.48466593647316542" u="1"/>
        <n v="0.33986928104575165" u="1"/>
        <n v="0.85266457680250785" u="1"/>
        <n v="0.79801324503311255" u="1"/>
        <n v="0.9965367965367965" u="1"/>
        <n v="0.55068493150684927" u="1"/>
        <n v="0.26341730558598031" u="1"/>
        <n v="0.99405331510594663"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99979494190020501"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99658236500341768"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99984062293663623"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99735702893597633" u="1"/>
        <n v="0.53888280394304489" u="1"/>
        <n v="0.47671232876712327" u="1"/>
        <n v="0.850828729281768" u="1"/>
        <n v="0.11506849315068493" u="1"/>
        <n v="0.42168674698795183" u="1"/>
        <n v="0.64109589041095894" u="1"/>
        <n v="0.99487354750512647"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813169286853498"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96333002973240833" u="1"/>
        <n v="0.99817726133515605"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9989519252677147" u="1"/>
        <n v="0.21029572836801752" u="1"/>
        <n v="0.93413173652694614" u="1"/>
        <n v="0.70081967213114749" u="1"/>
        <n v="0.99646844383686484"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99899749373433588" u="1"/>
        <n v="0.6624365482233503" u="1"/>
        <n v="0.96703296703296704" u="1"/>
        <n v="0.87649402390438247" u="1"/>
        <n v="0.98257080610021785" u="1"/>
        <n v="0.99059561128526641" u="1"/>
        <n v="0.84263959390862941" u="1"/>
        <n v="0.78172588832487311" u="1"/>
        <n v="0.84967320261437906" u="1"/>
        <n v="0.52459016393442626" u="1"/>
        <n v="0.83242258652094714" u="1"/>
        <n v="0.99403053087263615"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99977215766689453" u="1"/>
        <n v="0.4008762322015334" u="1"/>
        <n v="0.95261437908496727" u="1"/>
        <n v="0.55000000000000004" u="1"/>
        <n v="0.97720515361744298" u="1"/>
        <n v="0.67326732673267331" u="1"/>
        <n v="0.98944591029023743" u="1"/>
        <n v="0.22826086956521738" u="1"/>
        <n v="0.8127490039840638" u="1"/>
        <n v="0.63366336633663367" u="1"/>
        <n v="0.99407609933925722"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96035678889990084" u="1"/>
        <n v="0.55692729766803839" u="1"/>
        <n v="0.78260869565217395" u="1"/>
        <n v="0.93046357615894038" u="1"/>
        <n v="0.44311377245508982" u="1"/>
        <n v="0.72016460905349799" u="1"/>
        <n v="4.3956043956043959E-2" u="1"/>
        <n v="0.78125" u="1"/>
        <n v="0.56603773584905659" u="1"/>
        <n v="0.49288061336254108" u="1"/>
        <n v="0.92265795206971679" u="1"/>
        <n v="0.99981772613351561" u="1"/>
        <n v="0.84109589041095889" u="1"/>
        <n v="0.2973713033953998" u="1"/>
        <n v="0.93131868131868134" u="1"/>
        <n v="0.80729166666666663" u="1"/>
        <n v="0.54347826086956519" u="1"/>
        <n v="0.27163198247535597" u="1"/>
        <n v="4.1666666666666664E-2" u="1"/>
        <n v="0.90693430656934304" u="1"/>
        <n v="0.99485076327181587"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99562542720437452"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99815447710184557" u="1"/>
        <n v="0.22465753424657534" u="1"/>
        <n v="0.7734204793028322" u="1"/>
        <n v="0.29315068493150687" u="1"/>
        <n v="0.99567099567099571"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99892914103440422" u="1"/>
        <n v="0.84239130434782605" u="1"/>
        <n v="0.88319672131147542" u="1"/>
        <n v="0.91079812206572774" u="1"/>
        <n v="0.54381161007667034" u="1"/>
        <n v="0.38630136986301372" u="1"/>
        <n v="0.550561797752809" u="1"/>
        <n v="0.74346405228758172" u="1"/>
        <n v="0.99644565960355436"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99400774663932556"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99974937343358394" u="1"/>
        <n v="0.72428884026258211" u="1"/>
        <n v="0.784037558685446" u="1"/>
        <n v="0.88114754098360659" u="1"/>
        <n v="0.99726589200273408" u="1"/>
        <n v="0.71475409836065573" u="1"/>
        <n v="0.71772428884026263" u="1"/>
        <n v="0.61336254107338439" u="1"/>
        <n v="0.92893401015228427" u="1"/>
        <n v="0.51086956521739135" u="1"/>
        <n v="0.45892661555312159" u="1"/>
        <n v="0.99478241057188421"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32234432234432236" u="1"/>
        <n v="0.55038335158817087" u="1"/>
        <n v="0.99482797903850539"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99560264297106404"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99988615924045443" u="1"/>
        <n v="0.76041666666666663" u="1"/>
        <n v="0.65203761755485889" u="1"/>
        <n v="2.9304029304029304E-2" u="1"/>
        <n v="0.99186991869918695" u="1"/>
        <n v="0.60439560439560436" u="1"/>
        <n v="0.99949910065799963"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564821143768512" u="1"/>
        <n v="0.99954463696181783"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99642287537024377"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9719753930280242"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99972658920027346" u="1"/>
        <n v="0.75068493150684934" u="1"/>
        <n v="0.50876232201533411" u="1"/>
        <n v="0.87254901960784315" u="1"/>
        <n v="0.9972431077694236"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95589692765113976" u="1"/>
        <n v="0.49816849816849818" u="1"/>
        <n v="0.65116279069767447" u="1"/>
        <n v="0.29589041095890412" u="1"/>
        <n v="0.66771159874608155" u="1"/>
        <n v="0.41975308641975306" u="1"/>
        <n v="0.89166666666666672" u="1"/>
        <n v="0.99069767441860468" u="1"/>
        <n v="0.99801777170198225" u="1"/>
        <n v="0.83813443072702332" u="1"/>
        <n v="0.89342629482071712" u="1"/>
        <n v="0.71287128712871284" u="1"/>
        <n v="0.37513691128148957" u="1"/>
        <n v="0.60778443113772451" u="1"/>
        <n v="0.65479452054794518" u="1"/>
        <n v="0.98113207547169812" u="1"/>
        <n v="0.84326018808777425" u="1"/>
        <n v="0.81971677559912859" u="1"/>
        <n v="0.9948051948051948"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99806334016860332"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99883800410116197"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96977205153617441" u="1"/>
        <n v="0.52475247524752477" u="1"/>
        <n v="0.89560439560439564" u="1"/>
        <n v="0.87540983606557377" u="1"/>
        <n v="0.50383351588170866" u="1"/>
        <n v="0.70901639344262291" u="1"/>
        <n v="0.79813664596273293" u="1"/>
        <n v="0.91222570532915359" u="1"/>
        <n v="0.99391660970608342"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9996582365003418" u="1"/>
        <n v="0.69989106753812635" u="1"/>
        <n v="0.73442622950819669" u="1"/>
        <n v="0.99717475506949194" u="1"/>
        <n v="0.56353591160220995" u="1"/>
        <n v="0.79980079681274896" u="1"/>
        <n v="0.7415730337078652" u="1"/>
        <n v="0.68862275449101795" u="1"/>
        <n v="0.99469127363864207"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972203235361130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99799498746867166" u="1"/>
        <n v="0.25082146768893759" u="1"/>
        <n v="0.74873096446700504" u="1"/>
        <n v="0.20153340635268346" u="1"/>
        <n v="0.39560439560439559" u="1"/>
        <n v="0.62690355329949243" u="1"/>
        <n v="0.839622641509434" u="1"/>
        <n v="0.99551150603782179"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99804055593529273"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9881521986785149" u="1"/>
        <n v="0.92492492492492495" u="1"/>
        <n v="0.9452054794520548" u="1"/>
        <n v="0.99295774647887325" u="1"/>
        <n v="0.54125412541254125" u="1"/>
        <n v="0.4697674418604651" u="1"/>
        <n v="0.6093023255813953" u="1"/>
        <n v="0.99384825700615176"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99958988380041014" u="1"/>
        <n v="0.64622124863088715" u="1"/>
        <n v="0.47535596933187296" u="1"/>
        <n v="0.70658682634730541" u="1"/>
        <n v="0.92957746478873238" u="1"/>
        <n v="0.77348066298342544" u="1"/>
        <n v="0.98529411764705888" u="1"/>
        <n v="0.99637730690362269" u="1"/>
        <n v="0.91884531590413943" u="1"/>
        <n v="0.29508196721311475" u="1"/>
        <n v="0.3319615912208505" u="1"/>
        <n v="0.2031763417305586" u="1"/>
        <n v="0.85239651416122009" u="1"/>
        <n v="0.49519890260631" u="1"/>
        <n v="0.66255144032921809" u="1"/>
        <n v="0.99389382547277283"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99997723184809084"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9963545226703121" u="1"/>
        <n v="0.98019801980198018" u="1"/>
        <n v="0.95533769063180829" u="1"/>
        <n v="0.94059405940594054" u="1"/>
        <n v="0.96747967479674801" u="1"/>
        <n v="0.88888888888888884" u="1"/>
        <n v="0.32673267326732675" u="1"/>
        <n v="0.29347826086956524" u="1"/>
        <n v="0.8224400871459695" u="1"/>
        <n v="0.99466848940533148"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99471405787195266"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99797220323536118" u="1"/>
        <n v="0.69811320754716977" u="1"/>
        <n v="0.78486055776892427" u="1"/>
        <n v="0.99548872180451131"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1.643835616438356E-2" u="1"/>
        <n v="0.99626338573706996"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987924356345409" u="1"/>
        <n v="0.50915750915750912" u="1"/>
        <n v="0.90833333333333333" u="1"/>
        <n v="0.92248062015503873" u="1"/>
        <n v="0.54491017964071853" u="1"/>
        <n v="0.74618736383442263" u="1"/>
        <n v="0.9963089542036910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99956709956709955" u="1"/>
        <n v="0.3253012048192771" u="1"/>
        <n v="0.72847682119205293" u="1"/>
        <n v="0.71623093681917216" u="1"/>
        <n v="0.96935933147632314" u="1"/>
        <n v="0.99708361813624968" u="1"/>
        <n v="0.52197802197802201" u="1"/>
        <n v="0.85763888888888884" u="1"/>
        <n v="0.37174211248285322" u="1"/>
        <n v="0.57887517146776402" u="1"/>
        <n v="0.26797385620915032" u="1"/>
        <n v="0.74211248285322362" u="1"/>
        <n v="0.82119205298013243" u="1"/>
        <n v="0.15833333333333333" u="1"/>
        <n v="0.95709570957095713" u="1"/>
        <n v="0.99387104123946224"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99961266803372062"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994645705172021"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99790385053542952" u="1"/>
        <n v="0.88207547169811318" u="1"/>
        <n v="0.86826347305389218" u="1"/>
        <n v="0.57024793388429751" u="1"/>
        <n v="0.38524590163934425" u="1"/>
        <n v="0.26232201533406352" u="1"/>
        <n v="0.91903719912472648" u="1"/>
        <n v="0.99542036910457965"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9624060150375937"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99949874686716789" u="1"/>
        <n v="0.41017964071856289" u="1"/>
        <n v="0.96583850931677018" u="1"/>
        <n v="0.20512820512820512" u="1"/>
        <n v="0.82325581395348835" u="1"/>
        <n v="0.59917355371900827" u="1"/>
        <n v="0.63223140495867769" u="1"/>
        <n v="0.48685651697699889" u="1"/>
        <n v="0.99628616997038044" u="1"/>
        <n v="0.66528925619834711" u="1"/>
        <n v="0.89344262295081966" u="1"/>
        <n v="0.94521912350597614" u="1"/>
        <n v="0.86873638344226578" u="1"/>
        <n v="0.93399339933993397" u="1"/>
        <n v="0.84890109890109888" u="1"/>
        <n v="0.94995044598612488" u="1"/>
        <n v="0.98860257680872154"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970608339029392"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99710640236956027" u="1"/>
        <n v="0.5947426067907996" u="1"/>
        <n v="0.8498168498168498" u="1"/>
        <n v="0.74262295081967211" u="1"/>
        <n v="0.80882352941176472" u="1"/>
        <n v="0.89435336976320579" u="1"/>
        <n v="0.54326396495071194" u="1"/>
        <n v="8.3333333333333329E-2" u="1"/>
        <n v="0.99462292093871041"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99788106630211892"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99968124587327245" u="1"/>
        <n v="0.62551440329218111" u="1"/>
        <n v="0.7887517146776406" u="1"/>
        <n v="0.95108695652173914" u="1"/>
        <n v="0.75274725274725274" u="1"/>
        <n v="0.79248366013071891" u="1"/>
        <n v="0.44931506849315067" u="1"/>
        <n v="0.90832507433102083" u="1"/>
        <n v="0.9954431533378901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99972678217709066"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99621781727044889" u="1"/>
        <n v="0.77260273972602744" u="1"/>
        <n v="0.58196721311475408" u="1"/>
        <n v="0.69607843137254899" u="1"/>
        <n v="0.96027397260273972" u="1"/>
        <n v="0.62962962962962965" u="1"/>
        <n v="0.99373433583959903"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9732408325074331" u="1"/>
        <n v="0.25833333333333336" u="1"/>
        <n v="0.94366197183098588" u="1"/>
        <n v="0.83783783783783783" u="1"/>
        <n v="0.42639593908629442" u="1"/>
        <n v="0.88247011952191234" u="1"/>
        <n v="0.58356164383561648" u="1"/>
        <n v="0.39593908629441626" u="1"/>
        <n v="0.65567765567765568" u="1"/>
        <n v="0.99947596263385741"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703804966962861" u="1"/>
        <n v="0.99402390438247012" u="1"/>
        <n v="0.99455456823877875"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99781271360218726"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99785828206880833"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99614946457051723"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99945317840054682"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99448621553884708" u="1"/>
        <n v="0.54191616766467066" u="1"/>
        <n v="0.97933884297520657" u="1"/>
        <n v="0.77189781021897808" u="1"/>
        <n v="0.99375712007290951"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99701526543631802" u="1"/>
        <n v="0.35890410958904112" u="1"/>
        <n v="0.79949238578680204" u="1"/>
        <n v="0.89161220043572986" u="1"/>
        <n v="0.73857868020304573" u="1"/>
        <n v="0.30727023319615915" u="1"/>
        <n v="0.93093093093093093" u="1"/>
        <n v="0.47050754458161864" u="1"/>
        <n v="0.61316872427983538" u="1"/>
        <n v="0.92864222001982155" u="1"/>
        <n v="0.99453178400546827"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99783549783549785" u="1"/>
        <n v="0.24850299401197604" u="1"/>
        <n v="0.7632058287795993" u="1"/>
        <n v="0.97894736842105268" u="1"/>
        <n v="0.61395348837209307" u="1"/>
        <n v="0.76490066225165565" u="1"/>
        <n v="0.18400876232201532" u="1"/>
        <n v="0.95348837209302328" u="1"/>
        <n v="0.99535201640464799"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99612668033720664" u="1"/>
        <n v="0.28203723986856516" u="1"/>
        <n v="0.82508250825082508" u="1"/>
        <n v="0.71241830065359479" u="1"/>
        <n v="0.86263736263736268" u="1"/>
        <n v="0.42124542124542125"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99943039416723622" u="1"/>
        <n v="0.19047619047619047" u="1"/>
        <n v="0.48844884488448848" u="1"/>
        <n v="0.71895424836601307" u="1"/>
        <n v="0.46604600219058051" u="1"/>
        <n v="0.99694691273638647"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9943079620227226"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99772157666894512"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99854180906812484" u="1"/>
        <n v="0.83565737051792832" u="1"/>
        <n v="0.94262295081967218" u="1"/>
        <n v="0.91059602649006621" u="1"/>
        <n v="0.69589041095890414" u="1"/>
        <n v="0.47906976744186047" u="1"/>
        <n v="0.64071856287425155" u="1"/>
        <n v="0.72992700729927007" u="1"/>
        <n v="0.96744186046511627" u="1"/>
        <n v="0.63417305585980288" u="1"/>
        <n v="0.46933187294633077" u="1"/>
        <n v="0.9953292321713374"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99610389610389616"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99687856003645481"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99940760993392574" u="1"/>
        <n v="0.82608695652173914" u="1"/>
        <n v="0.98026315789473684" u="1"/>
        <n v="0.31599123767798465" u="1"/>
        <n v="0.9810756972111554" u="1"/>
        <n v="0.29025191675794088" u="1"/>
        <n v="0.996924128503075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99769879243563453"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9977443609022556"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99851902483481436"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9929368876737301" u="1"/>
        <n v="0.90909090909090906" u="1"/>
        <n v="0.90260631001371738" u="1"/>
        <n v="0.25274725274725274" u="1"/>
        <n v="0.94214876033057848" u="1"/>
        <n v="0.76525054466230935" u="1"/>
        <n v="0.97520661157024791" u="1"/>
        <n v="0.99608111187058557"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9933925723399408"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116947472745297"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99690134426976529"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99767600820232394" u="1"/>
        <n v="0.7739043824701195" u="1"/>
        <n v="0.63934426229508201" u="1"/>
        <n v="0.94717668488160289" u="1"/>
        <n v="0.52595155709342556" u="1"/>
        <n v="0.98626373626373631" u="1"/>
        <n v="0.99519252677147418"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9984506721348827" u="1"/>
        <n v="0.3772455089820359" u="1"/>
        <n v="0.87637362637362637" u="1"/>
        <n v="0.60547945205479448" u="1"/>
        <n v="0.84548611111111116" u="1"/>
        <n v="0.45879120879120877" u="1"/>
        <n v="0.87379972565157749" u="1"/>
        <n v="0.98082191780821915" u="1"/>
        <n v="0.99986339108854538"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99990892739236359" u="1"/>
        <n v="0.5279299014238773" u="1"/>
        <n v="0.58629441624365486" u="1"/>
        <n v="0.8418604651162791" u="1"/>
        <n v="0.98333333333333328" u="1"/>
        <n v="0.41621029572836804" u="1"/>
        <n v="0.95934959349593496" u="1"/>
        <n v="0.48223350253807107" u="1"/>
        <n v="0.79178082191780819" u="1"/>
        <n v="0.39047097480832421" u="1"/>
        <n v="0.99952186880990868"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99956740511372688"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99927090453406242" u="1"/>
        <n v="7.4999999999999997E-2" u="1"/>
        <n v="0.84065934065934067" u="1"/>
        <n v="0.91776315789473684" u="1"/>
        <n v="0.81395348837209303" u="1"/>
        <n v="0.82035928143712578" u="1"/>
        <n v="0.41025641025641024" u="1"/>
        <n v="0.92079207920792083" u="1"/>
        <n v="0.90322580645161288" u="1"/>
        <n v="0.77919708029197077" u="1"/>
        <n v="0.99605832763727498"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99931647300068349"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99439507860560494" u="1"/>
        <n v="0.17524644030668127" u="1"/>
        <n v="0.76143790849673199" u="1"/>
        <n v="0.40718562874251496" u="1"/>
        <n v="0.99207135777998012"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765322396901346" u="1"/>
        <n v="0.9945205479452055" u="1"/>
        <n v="0.71978021978021978" u="1"/>
        <n v="0.99516974253816359"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594440647072224"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99847345636819318"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99924812030075183" u="1"/>
        <n v="0.85279187817258884" u="1"/>
        <n v="0.79187817258883253" u="1"/>
        <n v="0.85069444444444442" u="1"/>
        <n v="0.95044598612487607" u="1"/>
        <n v="0.80983606557377052" u="1"/>
        <n v="0.98909811694747274" u="1"/>
        <n v="0.99676463886990208"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99432672590567328"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9975848712690818" u="1"/>
        <n v="0.32054794520547947" u="1"/>
        <n v="0.79347826086956519" u="1"/>
        <n v="0.78298611111111116" u="1"/>
        <n v="0.99510138983823193"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995146958304853"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99592162223741176"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99917976760082028" u="1"/>
        <n v="0.49397590361445781" u="1"/>
        <n v="0.79083665338645415" u="1"/>
        <n v="0.81944444444444442" u="1"/>
        <n v="0.56105610561056107" u="1"/>
        <n v="0.7528089887640449" u="1"/>
        <n v="0.29846659364731654" u="1"/>
        <n v="0.99346405228758172" u="1"/>
        <n v="0.85915492957746475" u="1"/>
        <n v="0.92701525054466227" u="1"/>
        <n v="0.99596719070403283"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99674185463659148"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9751651856915013" u="1"/>
        <n v="0.90145985401459849" u="1"/>
        <n v="0.55750273822562979" u="1"/>
        <n v="0.75173611111111116" u="1"/>
        <n v="0.9967874231032125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9996584777213634"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99756208703577121"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99833675096832997"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n v="0.99512417407154252" u="1"/>
      </sharedItems>
    </cacheField>
    <cacheField name="Diferencia" numFmtId="9">
      <sharedItems containsMixedTypes="1" containsNumber="1" minValue="0" maxValue="1"/>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arolina Avila" refreshedDate="44228.610769560182" createdVersion="4" refreshedVersion="6" minRefreshableVersion="3" recordCount="12" xr:uid="{00000000-000A-0000-FFFF-FFFF10000000}">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 maxValue="1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arolina Avila" refreshedDate="44228.610771064814" createdVersion="4" refreshedVersion="6" minRefreshableVersion="3" recordCount="12" xr:uid="{00000000-000A-0000-FFFF-FFFF13000000}">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0" maxValue="3"/>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arolina Avila" refreshedDate="44228.610771064814" createdVersion="4" refreshedVersion="6" minRefreshableVersion="3" recordCount="12" xr:uid="{00000000-000A-0000-FFFF-FFFF16000000}">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3" maxValue="16"/>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arolina Avila" refreshedDate="44228.610771064814" createdVersion="4" refreshedVersion="6" minRefreshableVersion="3" recordCount="242" xr:uid="{00000000-000A-0000-FFFF-FFFF1E000000}">
  <cacheSource type="worksheet">
    <worksheetSource ref="E6:AF248" sheet="Base de Datos"/>
  </cacheSource>
  <cacheFields count="28">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1">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ueva fecha sin prescindencia" numFmtId="15">
      <sharedItems/>
    </cacheField>
    <cacheField name="Número de adiciones realizadas" numFmtId="1">
      <sharedItems containsSemiMixedTypes="0" containsString="0" containsNumber="1" containsInteger="1" minValue="0" maxValue="4"/>
    </cacheField>
    <cacheField name="Valor total de adiciones ($)" numFmtId="171">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 numFmtId="0">
      <sharedItems/>
    </cacheField>
    <cacheField name="Fecha terminación última prórroga" numFmtId="169">
      <sharedItems containsDate="1" containsMixedTypes="1" minDate="2012-10-31T00:00:00" maxDate="2020-04-01T00:00:00"/>
    </cacheField>
    <cacheField name="Tiempo Total_x000a_(días)" numFmtId="1">
      <sharedItems/>
    </cacheField>
    <cacheField name="Fecha de terminación con suspensión" numFmtId="169">
      <sharedItems/>
    </cacheField>
    <cacheField name="Fecha de terminación Final" numFmtId="169">
      <sharedItems containsSemiMixedTypes="0" containsNonDate="0" containsDate="1" containsString="0" minDate="2012-01-14T00:00:00" maxDate="2020-04-01T00:00:00"/>
    </cacheField>
    <cacheField name="Valor Total ($)" numFmtId="171">
      <sharedItems containsSemiMixedTypes="0" containsString="0" containsNumber="1" containsInteger="1" minValue="0" maxValue="7329236109"/>
    </cacheField>
    <cacheField name="Giros ($)" numFmtId="171">
      <sharedItems containsSemiMixedTypes="0" containsString="0" containsNumber="1" minValue="0" maxValue="6218260556"/>
    </cacheField>
    <cacheField name="Saldos ($)" numFmtId="171">
      <sharedItems containsSemiMixedTypes="0" containsString="0" containsNumber="1" minValue="0" maxValue="3220371734"/>
    </cacheField>
    <cacheField name="Forma de pago" numFmtId="0">
      <sharedItems containsBlank="1" longText="1"/>
    </cacheField>
    <cacheField name="% Ejecución recursos" numFmtId="172">
      <sharedItems containsMixedTypes="1" containsNumber="1" minValue="0" maxValue="1.5201027982326951" count="447">
        <n v="0.84841864329684125"/>
        <n v="0.98908542426434254"/>
        <n v="4.6051299379407939E-3"/>
        <n v="1"/>
        <n v="0.92913298619329387"/>
        <n v="8.5094116180503609E-2"/>
        <n v="0"/>
        <n v="0.99785305231388333"/>
        <n v="0.80386964675098127"/>
        <n v="0.99997955256194371"/>
        <n v="0.81768245094746728"/>
        <n v="0.79574612658130883"/>
        <n v="0.8903394174757282"/>
        <n v="0.95016016280880577"/>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99999999558473551"/>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97833046662565259"/>
        <n v="0.99999998675847457"/>
        <n v="1.097012987012987E-3" u="1"/>
        <n v="0.80303029090909095" u="1"/>
        <n v="0.45454545454545453" u="1"/>
        <n v="0.43333332000000002" u="1"/>
        <n v="0.80606060000000002" u="1"/>
        <n v="0.70958128666666676" u="1"/>
        <n v="0.56706303906646371" u="1"/>
        <n v="0.37892250126839166" u="1"/>
        <n v="0.18333331999999999" u="1"/>
        <n v="9.0083476027397261E-3" u="1"/>
        <n v="0.79724426270475823" u="1"/>
        <n v="0.85842887281584179" u="1"/>
        <n v="0.46859984999999998" u="1"/>
        <n v="0.42633480529907669" u="1"/>
        <n v="1.409289114999635E-3" u="1"/>
        <n v="1.4984593626595648" u="1"/>
        <n v="0.73021840899012869" u="1"/>
        <n v="1.5" u="1"/>
        <n v="1.0961598746081504E-3" u="1"/>
        <n v="0.48666668571428573" u="1"/>
        <n v="0.83513256014374604" u="1"/>
        <n v="1.1185458055128552" u="1"/>
        <n v="1.3940170940170939" u="1"/>
        <n v="0.65109302325581397" u="1"/>
        <n v="0.87" u="1"/>
        <n v="1.4167989172096589" u="1"/>
        <n v="0.7948757392679654" u="1"/>
        <n v="1.6942188639402088E-4" u="1"/>
        <n v="1.1017145849406072E-5" u="1"/>
        <n v="0.60173149187968722" u="1"/>
        <n v="0.49333334112149535" u="1"/>
        <n v="0.75021784031754579" u="1"/>
        <n v="0.91666666666666663" u="1"/>
        <n v="1.1085614829037853" u="1"/>
        <n v="0.1720890410958904" u="1"/>
        <n v="0.89101481824713058" u="1"/>
        <n v="1.270837130553411" u="1"/>
        <n v="1.9836475023562675E-2" u="1"/>
        <n v="0.68333332000000002" u="1"/>
        <n v="0.3" u="1"/>
        <n v="0.33888888708245951" u="1"/>
        <n v="1.4444374509833307" u="1"/>
        <n v="0.65454545454545454" u="1"/>
        <n v="3.5289166666666667E-3" u="1"/>
        <n v="0.41493055555555558" u="1"/>
        <n v="0.54728980337636546" u="1"/>
        <n v="0.25283791065315059" u="1"/>
        <n v="8.6666685714285721E-2" u="1"/>
        <n v="0.68666668571428569" u="1"/>
        <n v="4.7745226860162027E-2" u="1"/>
        <n v="0.70437533339248981" u="1"/>
        <n v="1.3495739637388686E-3" u="1"/>
        <n v="0.90000013905903065" u="1"/>
        <n v="1.4592807266009853" u="1"/>
        <n v="1.1727598130952299" u="1"/>
        <n v="0.69333334112149536" u="1"/>
        <n v="0.76479055789473682" u="1"/>
        <n v="0.73675582466880207" u="1"/>
        <n v="0.21506062883435584" u="1"/>
        <n v="0.71321174180734859" u="1"/>
        <n v="1.0252213576603167E-3" u="1"/>
        <n v="0.87444666412988326" u="1"/>
        <n v="9.8203271028037388E-4" u="1"/>
        <n v="1.1418181818181818" u="1"/>
        <n v="0.16969696103896104" u="1"/>
        <n v="6.7932038834951451E-4" u="1"/>
        <n v="0.62424240859297142" u="1"/>
        <n v="1.5198526060606061" u="1"/>
        <n v="0.93101395534290277" u="1"/>
        <n v="0.32220719561153505" u="1"/>
        <n v="1.6810799999999999E-3" u="1"/>
        <n v="1.02857833655706E-2" u="1"/>
        <n v="0.71656050955414008" u="1"/>
        <n v="0.9690214648468497" u="1"/>
        <n v="1.1727789533079418" u="1"/>
        <n v="8.1491262135922329E-4" u="1"/>
        <n v="0.66022403333333335" u="1"/>
        <n v="0.89550174531263915" u="1"/>
        <n v="1.1459607546855346" u="1"/>
        <n v="9.5535746804093682E-3" u="1"/>
        <n v="1.8901262301621639E-3" u="1"/>
        <n v="0.80606063858331101" u="1"/>
        <n v="0.14101291468186627" u="1"/>
        <n v="0.75498071734645289" u="1"/>
        <n v="0.33366477272727274" u="1"/>
        <n v="1.1030349219252786" u="1"/>
        <n v="0.51201403794557299" u="1"/>
        <n v="1.8567699115044248E-2" u="1"/>
        <n v="0.41642197852760737" u="1"/>
        <n v="0.4375" u="1"/>
        <n v="0.87696868897523406" u="1"/>
        <n v="0.98834145689846453" u="1"/>
        <n v="0.41770386711191837" u="1"/>
        <n v="0.84968271435450204" u="1"/>
        <n v="1.2933100425975299E-3" u="1"/>
        <n v="0.12795905310300704" u="1"/>
        <n v="0.72352441052631578" u="1"/>
        <n v="0.577995975" u="1"/>
        <n v="0.89696968831168833" u="1"/>
        <n v="4.0109517165257369E-4" u="1"/>
        <n v="0.77064705536129152" u="1"/>
        <n v="0.98359138006275992" u="1"/>
        <n v="0.80078006088280063" u="1"/>
        <n v="0.89848744103291467" u="1"/>
        <n v="1.5131742558192149" u="1"/>
        <n v="0.57583141045001507" u="1"/>
        <n v="0.25552152500000003" u="1"/>
        <n v="0.95999998058252423" u="1"/>
        <n v="1.1250000028986782" u="1"/>
        <n v="0.69999999189894291" u="1"/>
        <n v="0.51570110350076104" u="1"/>
        <n v="0.24545454545454545" u="1"/>
        <n v="0.77" u="1"/>
        <n v="0.66666666019417475" u="1"/>
        <n v="0.53333332727272731" u="1"/>
        <n v="0.06" u="1"/>
        <n v="0.70720623333333332" u="1"/>
        <n v="6.4306449282046638E-2" u="1"/>
        <n v="0.44505792433537833" u="1"/>
        <n v="6.3628472222222222E-4" u="1"/>
        <n v="1.441615350618739" u="1"/>
        <n v="0.25880250383419323" u="1"/>
        <n v="3.9889246497538814E-3" u="1"/>
        <n v="0.87687786167321047" u="1"/>
        <n v="0.75738859936403258" u="1"/>
        <n v="0.89393938181818178" u="1"/>
        <n v="2.8028259301797593E-3" u="1"/>
        <n v="1.1253727372521172" u="1"/>
        <n v="0.79945694815906443" u="1"/>
        <n v="1.499999775" u="1"/>
        <n v="0.89696969090909096" u="1"/>
        <n v="0.42530818483841737" u="1"/>
        <n v="1.431916664393029" u="1"/>
        <n v="0.78821656050955413" u="1"/>
        <n v="1.6724329471512458E-3" u="1"/>
        <n v="0.71456725702124679" u="1"/>
        <n v="1.0532271513944222" u="1"/>
        <n v="0.85987261146496818" u="1"/>
        <n v="0.6349216477177283" u="1"/>
        <n v="0.6830687457573501" u="1"/>
        <n v="9.2713930600873344E-5" u="1"/>
        <n v="0.35151514545454543" u="1"/>
        <n v="0.907577705215312" u="1"/>
        <n v="1.3472356000770563E-4" u="1"/>
        <n v="0.14908071428571429" u="1"/>
        <n v="0.57237728549103051" u="1"/>
        <n v="0.26666669999999998" u="1"/>
        <n v="5.7648617947747068E-2" u="1"/>
        <n v="0.63313986891757701" u="1"/>
        <n v="4.4187368421052631E-4" u="1"/>
        <n v="0.90754005655042413" u="1"/>
        <n v="0.71250000000000002" u="1"/>
        <n v="1.0524969017646144E-4" u="1"/>
        <n v="0.28086472602739726" u="1"/>
        <n v="0.59333334112149527" u="1"/>
        <n v="0.91242038216560506" u="1"/>
        <n v="1.5018571428571429E-3" u="1"/>
        <n v="0.75155279200899894" u="1"/>
        <n v="1.3468267695241891" u="1"/>
        <n v="4.7540359742258884E-2" u="1"/>
        <n v="0.65" u="1"/>
        <n v="7.6224611708482673E-2" u="1"/>
        <n v="1.0101553166069295E-3" u="1"/>
        <n v="0.56519072330065989" u="1"/>
        <n v="0.71515149950206236" u="1"/>
        <n v="1.0000000448577517" u="1"/>
        <n v="1.126125" u="1"/>
        <n v="0.58750000000000002" u="1"/>
        <n v="1.44831268269508E-4" u="1"/>
        <n v="5.5965307203389829E-4" u="1"/>
        <n v="0.50678612509518883" u="1"/>
        <n v="0.85999998058252425" u="1"/>
        <n v="0.67666666019417476" u="1"/>
        <n v="1.5201027982326951" u="1"/>
        <n v="0.89945798619376338" u="1"/>
        <n v="1.0746816066617684" u="1"/>
        <n v="0.99991987829064111" u="1"/>
        <n v="0.42300493484093521" u="1"/>
        <n v="0.12928571428571428" u="1"/>
        <n v="6.2494231828398757E-4" u="1"/>
        <n v="9.4042857142857136E-2" u="1"/>
        <n v="7.648545454545455E-4" u="1"/>
        <n v="0.8" u="1"/>
        <n v="0.83888888708245946" u="1"/>
        <n v="6.7579974408189377E-3" u="1"/>
        <n v="0.75012988871104291" u="1"/>
        <n v="6.0699503766004765E-5" u="1"/>
        <n v="0.39134258833624469" u="1"/>
        <n v="1.4083333333333333E-3" u="1"/>
        <n v="0.33333331999999999" u="1"/>
        <n v="0.98787877922077927" u="1"/>
        <n v="8.1818181818181818E-2" u="1"/>
        <n v="0.16196763636363637" u="1"/>
        <n v="0.83737142105263163" u="1"/>
        <n v="0.13333332000000001" u="1"/>
        <n v="0.84534898428516669" u="1"/>
        <n v="1.2200372905302899" u="1"/>
        <n v="0.81818181818181823" u="1"/>
        <n v="0.21032582756055276" u="1"/>
        <n v="5.1342462626104129E-3" u="1"/>
        <n v="0.82212835264243767" u="1"/>
        <n v="0.99999999865068345" u="1"/>
        <n v="0.33526881331725372" u="1"/>
        <n v="0.63779541016380659" u="1"/>
        <n v="1.6682820258192652E-4" u="1"/>
        <n v="0.62424241818181814" u="1"/>
        <n v="0.50056979764421627" u="1"/>
        <n v="0.18860602044680044" u="1"/>
        <n v="1.499729231135444" u="1"/>
        <n v="9.3537255459144738E-4" u="1"/>
        <n v="1.8861166839461957E-2" u="1"/>
        <n v="5.9737156511350059E-2" u="1"/>
        <n v="0.3132039539581763" u="1"/>
        <n v="1.4027303754266212" u="1"/>
        <n v="0.67" u="1"/>
        <n v="0.67222222041579283" u="1"/>
        <n v="0.93608998530069665" u="1"/>
        <n v="0.74826388888888884" u="1"/>
        <n v="1.3564021161297681" u="1"/>
        <n v="0.82304060453930405" u="1"/>
        <n v="0.7838475431260955" u="1"/>
        <n v="0.72809963216641294" u="1"/>
        <n v="0.80161624886741167" u="1"/>
        <n v="7.6532727272727273E-4" u="1"/>
        <n v="0.89696972949240183" u="1"/>
        <n v="0.69836466385694806" u="1"/>
        <n v="0.362231525" u="1"/>
        <n v="1.2796929176272867" u="1"/>
        <n v="0.94848195037073479" u="1"/>
        <n v="0.99847205670144334" u="1"/>
        <n v="0.76666670000000003" u="1"/>
        <n v="9.9971886503067486E-2" u="1"/>
        <n v="2.4034857142857143E-3" u="1"/>
        <n v="0.83877900072609657" u="1"/>
        <n v="0.82453217690677971" u="1"/>
        <n v="1.4922973258854291" u="1"/>
        <n v="8.0983818181818185E-2" u="1"/>
        <n v="0.5055555537491262" u="1"/>
        <n v="2.5445496584053581E-3" u="1"/>
        <n v="0.8060605904111533" u="1"/>
        <n v="1.0416509730069052" u="1"/>
        <n v="0.66969696969696968" u="1"/>
        <n v="0.69145662500000005" u="1"/>
        <n v="0.76193830550980846" u="1"/>
        <n v="9.0954334579698096E-3" u="1"/>
        <n v="0.50654299999999997" u="1"/>
        <n v="0.62424240798107178" u="1"/>
        <n v="1.0010137395928542" u="1"/>
        <n v="0.51666670000000003" u="1"/>
        <n v="7.6534545454545451E-4" u="1"/>
        <n v="0.64755543333333332" u="1"/>
        <n v="0.56999999999999995" u="1"/>
        <n v="0.24778395315967727" u="1"/>
        <n v="1.2184368200519823E-5" u="1"/>
        <n v="0.71515150649350645" u="1"/>
        <n v="0.63608797067644118" u="1"/>
        <n v="9.1897155361050323E-5" u="1"/>
        <n v="0.69032616960060689" u="1"/>
        <n v="1.2288487333333333" u="1"/>
        <n v="2.2769631941178983E-3" u="1"/>
        <n v="1.5584461277785535E-4" u="1"/>
        <n v="1.4938271724332783" u="1"/>
        <n v="5.7310986073535019E-5" u="1"/>
        <n v="8.4088972938256654E-4" u="1"/>
        <n v="1.0880030801724896" u="1"/>
        <n v="0.88666668571428575" u="1"/>
        <n v="1.0666666601941748" u="1"/>
        <n v="0.20429192034500254" u="1"/>
        <n v="0.28422320353271779" u="1"/>
        <n v="0.89333334112149532" u="1"/>
        <n v="0.62333332038834954" u="1"/>
        <n v="0.71515150909090908" u="1"/>
        <n v="1.1536076995748701E-3" u="1"/>
        <n v="4.3108384458077708E-4" u="1"/>
        <n v="0.61325515546904696" u="1"/>
        <n v="0.48060450844091362" u="1"/>
        <n v="0.48609858723299931" u="1"/>
        <n v="0.79647099407180533" u="1"/>
        <n v="0.85918244707807945" u="1"/>
        <n v="3.8266363636363637E-3" u="1"/>
        <n v="0.64470605022831051" u="1"/>
        <n v="0.98434986954123538" u="1"/>
        <n v="1.472329596412556" u="1"/>
        <n v="0.53333333333333333" u="1"/>
        <n v="1.0822817409219675E-3" u="1"/>
        <n v="1.6820800000000001E-3" u="1"/>
        <n v="0.94712304183200047" u="1"/>
        <n v="0.73636363636363633" u="1"/>
        <n v="0.72635463606161277" u="1"/>
        <n v="0.33643966547192355" u="1"/>
        <n v="0.326333183714002" u="1"/>
        <n v="1.3306637917757584" u="1"/>
        <n v="1.2031281371002438" u="1"/>
        <n v="0.44242423636363637" u="1"/>
        <n v="2.5532467532467531E-3" u="1"/>
        <n v="0.60135952290798944" u="1"/>
        <n v="0.94369473968464102" u="1"/>
        <n v="0.48694298537562691" u="1"/>
        <n v="0.46663874421823215" u="1"/>
        <n v="1.4999159202453989" u="1"/>
        <n v="4.2050999999999998E-3" u="1"/>
        <n v="0.62550173333333337" u="1"/>
        <n v="0.95720091099897286" u="1"/>
        <n v="0.97392126093441966" u="1"/>
        <n v="1.5038685948275863" u="1"/>
        <n v="1.4111111111111112" u="1"/>
        <n v="0.71330836208408555" u="1"/>
        <n v="1.4520195331110053" u="1"/>
        <n v="0.71515149889016272" u="1"/>
        <n v="0.16778017819945656" u="1"/>
        <n v="0.91226607521186442" u="1"/>
        <n v="8.4259333600963469E-3" u="1"/>
        <n v="1.3105985967741935" u="1"/>
        <n v="0.79333334112149534" u="1"/>
        <n v="0.79999998381877024" u="1"/>
        <n v="0.30220224505327248" u="1"/>
        <n v="7.6585454545454541E-4" u="1"/>
        <n v="7.6523636363636362E-4" u="1"/>
        <n v="5.1481450922552875E-5" u="1"/>
        <n v="0.65900928425357874" u="1"/>
        <n v="0.59366359208415809" u="1"/>
        <n v="0.30930745929572134" u="1"/>
        <n v="0.53333332" u="1"/>
        <n v="0.72411247195428263" u="1"/>
        <n v="0.28666668571428572" u="1"/>
        <n v="5.0645600991325895E-2" u="1"/>
        <n v="0.7003083637517854" u="1"/>
        <n v="9.3130770596590914E-4" u="1"/>
        <n v="0.5748600105035887" u="1"/>
        <n v="0.8823160344755977" u="1"/>
        <n v="0.59968624027932071" u="1"/>
        <n v="2.1722146846176347E-3" u="1"/>
        <n v="0.64016986994682556" u="1"/>
        <n v="5.0399756202495337E-2" u="1"/>
        <n v="5.1756307692307692E-2" u="1"/>
        <n v="1.2709822896881954E-4" u="1"/>
        <n v="9.0203106332138586E-2" u="1"/>
        <n v="0.66758688650306752" u="1"/>
        <n v="0.89696968132024413" u="1"/>
        <n v="0.33438547546012271" u="1"/>
      </sharedItems>
    </cacheField>
    <cacheField name="% Ejecución física" numFmtId="172">
      <sharedItems containsSemiMixedTypes="0" containsString="0" containsNumber="1" minValue="1.3698630136986301E-2" maxValue="1" count="4716">
        <n v="1"/>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99589883800410117"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9991569833675096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99671907040328089" u="1"/>
        <n v="0.72048611111111116" u="1"/>
        <n v="0.97689768976897695" u="1"/>
        <n v="0.18346111719605696" u="1"/>
        <n v="0.945986124876115" u="1"/>
        <n v="0.98463825569871155" u="1"/>
        <n v="0.81736526946107779" u="1"/>
        <n v="0.99423558897243103"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99997721576668941"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99753930280246073"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99831396673501938" u="1"/>
        <n v="0.43921139101861995" u="1"/>
        <n v="0.78877887788778878" u="1"/>
        <n v="0.82695810564663019" u="1"/>
        <n v="0.99583048530416951"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99835953520164045"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9991341991341991" u="1"/>
        <n v="0.54320987654320985" u="1"/>
        <n v="0.54143646408839774" u="1"/>
        <n v="0.72328767123287674" u="1"/>
        <n v="0.91095890410958902" u="1"/>
        <n v="0.97984749455337694" u="1"/>
        <n v="0.82786885245901642" u="1"/>
        <n v="0.91339869281045749" u="1"/>
        <n v="0.99416723627249948"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99990886306675786" u="1"/>
        <n v="0.21917808219178081" u="1"/>
        <n v="0.9776785714285714" u="1"/>
        <n v="0.28219178082191781" u="1"/>
        <n v="0.94989106753812635" u="1"/>
        <n v="0.60066006600660071" u="1"/>
        <n v="0.6319824753559693" u="1"/>
        <n v="0.99669628616997041" u="1"/>
        <n v="0.46823658269441404" u="1"/>
        <n v="0.57692307692307687" u="1"/>
        <n v="0.83072100313479624" u="1"/>
        <n v="0.58050383351588175" u="1"/>
        <n v="0.62739726027397258" u="1"/>
        <n v="0.9438202247191011" u="1"/>
        <n v="0.44249726177437021" u="1"/>
        <n v="0.65163934426229508" u="1"/>
        <n v="0.99421280473912055"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99995443153337893"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9949874686716792"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99503303713830027"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99829118250170878" u="1"/>
        <n v="0.80487804878048785" u="1"/>
        <n v="0.83714596949891062" u="1"/>
        <n v="0.91616766467065869" u="1"/>
        <n v="0.22070098576122674" u="1"/>
        <n v="0.80232558139534882" u="1"/>
        <n v="0.9525065963060686" u="1"/>
        <n v="0.77069716775599129" u="1"/>
        <n v="0.99580770107085892"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99974955032899981"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99911141490088862" u="1"/>
        <n v="0.72672672672672678" u="1"/>
        <n v="0.58643326039387311" u="1"/>
        <n v="0.25191675794085433" u="1"/>
        <n v="0.61716171617161719" u="1"/>
        <n v="0.99662793347003875" u="1"/>
        <n v="0.20208105147864183" u="1"/>
        <n v="0.43421052631578949" u="1"/>
        <n v="0.8894422310756972" u="1"/>
        <n v="0.8779342723004695" u="1"/>
        <n v="0.57755775577557755" u="1"/>
        <n v="0.99414445203918889"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99988607883344727" u="1"/>
        <n v="0.57608695652173914" u="1"/>
        <n v="0.74647887323943662" u="1"/>
        <n v="0.50276243093922657" u="1"/>
        <n v="0.82739726027397265" u="1"/>
        <n v="0.52738225629791891" u="1"/>
        <n v="0.9974025974025974" u="1"/>
        <n v="0.72440087145969501" u="1"/>
        <n v="0.90637450199203184" u="1"/>
        <n v="0.34431137724550898" u="1"/>
        <n v="0.8079561042524005" u="1"/>
        <n v="0.5280898876404494" u="1"/>
        <n v="0.9711934156378601" u="1"/>
        <n v="0.6795580110497238" u="1"/>
        <n v="0.41847826086956524" u="1"/>
        <n v="0.99419002050580996" u="1"/>
        <n v="0.37016574585635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99993164730006834"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99496468443836861"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96778989098116952" u="1"/>
        <n v="0.8928571428571429" u="1"/>
        <n v="0.90126582278481016" u="1"/>
        <n v="0.54246575342465753" u="1"/>
        <n v="0.95539906103286387" u="1"/>
        <n v="0.7752808988764045" u="1"/>
        <n v="0.99822282980177712" u="1"/>
        <n v="0.72340425531914898" u="1"/>
        <n v="0.9178082191780822" u="1"/>
        <n v="0.51315789473684215" u="1"/>
        <n v="0.99836065573770494" u="1"/>
        <n v="0.75449101796407181" u="1"/>
        <n v="0.99573934837092737" u="1"/>
        <n v="0.94811320754716977" u="1"/>
        <n v="0.45071193866374587" u="1"/>
        <n v="0.59169550173010377" u="1"/>
        <n v="0.37309644670050762" u="1"/>
        <n v="0.99501025290498979"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99578491683754844"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99655958077010709"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99908863066757803" u="1"/>
        <n v="0.38674033149171272" u="1"/>
        <n v="0.65789473684210531" u="1"/>
        <n v="0.29139072847682118" u="1"/>
        <n v="0.88321167883211682" u="1"/>
        <n v="8.3287671232876712E-2" u="1"/>
        <n v="0.77197802197802201" u="1"/>
        <n v="0.8377049180327869" u="1"/>
        <n v="0.99660514923672816"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9737981316928681" u="1"/>
        <n v="0.93478260869565222" u="1"/>
        <n v="0.17260273972602741" u="1"/>
        <n v="0.83532934131736525" u="1"/>
        <n v="4.1095890410958902E-2" u="1"/>
        <n v="0.39669421487603307" u="1"/>
        <n v="0.64348302300109528" u="1"/>
        <n v="0.99489633173843706"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99742538163590799" u="1"/>
        <n v="0.88344226579520702" u="1"/>
        <n v="0.19331872946330778" u="1"/>
        <n v="0.52049180327868849" u="1"/>
        <n v="0.64088397790055252" u="1"/>
        <n v="0.99108027750247774" u="1"/>
        <n v="0.81699346405228757" u="1"/>
        <n v="0.37748344370860926" u="1"/>
        <n v="0.99494190020505813"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99820004556846664"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99897470950102529" u="1"/>
        <n v="0.51028806584362141" u="1"/>
        <n v="0.82352941176470584" u="1"/>
        <n v="0.57614213197969544" u="1"/>
        <n v="0.51522842639593913" u="1"/>
        <n v="0.76876876876876876" u="1"/>
        <n v="0.7570806100217865" u="1"/>
        <n v="0.84488448844884489" u="1"/>
        <n v="0.69063180827886705" u="1"/>
        <n v="0.93788819875776397" u="1"/>
        <n v="0.99576213260423785"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99902027796764636" u="1"/>
        <n v="0.72712418300653592" u="1"/>
        <n v="0.94430379746835447" u="1"/>
        <n v="0.48466593647316542" u="1"/>
        <n v="0.33986928104575165" u="1"/>
        <n v="0.85266457680250785" u="1"/>
        <n v="0.79801324503311255" u="1"/>
        <n v="0.9965367965367965" u="1"/>
        <n v="0.55068493150684927" u="1"/>
        <n v="0.26341730558598031" u="1"/>
        <n v="0.99405331510594663"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99979494190020501"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99658236500341768"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99984062293663623" u="1"/>
        <n v="0.55494505494505497" u="1"/>
        <n v="0.69636963696369636" u="1"/>
        <n v="0.70754716981132071" u="1"/>
        <n v="0.80384087791495196" u="1"/>
        <n v="0.78476821192052981" u="1"/>
        <n v="0.6107784431137725" u="1"/>
        <n v="0.59036144578313254" u="1"/>
        <n v="0.98666666666666669" u="1"/>
        <n v="0.65676567656765672" u="1"/>
        <n v="0.44982698961937717" u="1"/>
        <n v="0.99735702893597633" u="1"/>
        <n v="0.53888280394304489" u="1"/>
        <n v="0.47671232876712327" u="1"/>
        <n v="0.850828729281768" u="1"/>
        <n v="0.11506849315068493" u="1"/>
        <n v="0.42168674698795183" u="1"/>
        <n v="0.64109589041095894" u="1"/>
        <n v="0.99487354750512647"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813169286853498"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96333002973240833" u="1"/>
        <n v="0.99817726133515605"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9989519252677147" u="1"/>
        <n v="0.21029572836801752" u="1"/>
        <n v="0.93413173652694614" u="1"/>
        <n v="0.70081967213114749" u="1"/>
        <n v="0.99646844383686484"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99899749373433588" u="1"/>
        <n v="0.6624365482233503" u="1"/>
        <n v="0.96703296703296704" u="1"/>
        <n v="0.87649402390438247" u="1"/>
        <n v="0.98257080610021785" u="1"/>
        <n v="0.99059561128526641" u="1"/>
        <n v="0.84263959390862941" u="1"/>
        <n v="0.78172588832487311" u="1"/>
        <n v="0.84967320261437906" u="1"/>
        <n v="0.52459016393442626" u="1"/>
        <n v="0.83242258652094714" u="1"/>
        <n v="0.99403053087263615"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99977215766689453" u="1"/>
        <n v="0.4008762322015334" u="1"/>
        <n v="0.95261437908496727" u="1"/>
        <n v="0.97720515361744298" u="1"/>
        <n v="0.67326732673267331" u="1"/>
        <n v="0.98944591029023743" u="1"/>
        <n v="0.22826086956521738" u="1"/>
        <n v="0.8127490039840638" u="1"/>
        <n v="0.63366336633663367" u="1"/>
        <n v="0.99407609933925722"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96035678889990084" u="1"/>
        <n v="0.55692729766803839" u="1"/>
        <n v="0.93046357615894038" u="1"/>
        <n v="0.44311377245508982" u="1"/>
        <n v="0.72016460905349799" u="1"/>
        <n v="0.78125" u="1"/>
        <n v="0.56603773584905659" u="1"/>
        <n v="0.49288061336254108" u="1"/>
        <n v="0.92265795206971679" u="1"/>
        <n v="0.99981772613351561" u="1"/>
        <n v="0.84109589041095889" u="1"/>
        <n v="0.2973713033953998" u="1"/>
        <n v="0.93131868131868134" u="1"/>
        <n v="0.80729166666666663" u="1"/>
        <n v="0.54347826086956519" u="1"/>
        <n v="0.27163198247535597" u="1"/>
        <n v="0.90693430656934304" u="1"/>
        <n v="0.99485076327181587"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99562542720437452"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99815447710184557" u="1"/>
        <n v="0.22465753424657534" u="1"/>
        <n v="0.7734204793028322" u="1"/>
        <n v="0.29315068493150687" u="1"/>
        <n v="0.99567099567099571"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99892914103440422" u="1"/>
        <n v="0.84239130434782605" u="1"/>
        <n v="0.88319672131147542" u="1"/>
        <n v="0.91079812206572774" u="1"/>
        <n v="0.54381161007667034" u="1"/>
        <n v="0.38630136986301372" u="1"/>
        <n v="0.550561797752809" u="1"/>
        <n v="0.74346405228758172" u="1"/>
        <n v="0.99644565960355436"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99400774663932556"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99974937343358394" u="1"/>
        <n v="0.72428884026258211" u="1"/>
        <n v="0.784037558685446" u="1"/>
        <n v="0.88114754098360659" u="1"/>
        <n v="0.99726589200273408" u="1"/>
        <n v="0.71475409836065573" u="1"/>
        <n v="0.71772428884026263" u="1"/>
        <n v="0.61336254107338439" u="1"/>
        <n v="0.92893401015228427" u="1"/>
        <n v="0.51086956521739135" u="1"/>
        <n v="0.45892661555312159" u="1"/>
        <n v="0.99478241057188421"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55038335158817087" u="1"/>
        <n v="0.99482797903850539"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99560264297106404"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99988615924045443" u="1"/>
        <n v="0.76041666666666663" u="1"/>
        <n v="0.65203761755485889" u="1"/>
        <n v="0.99186991869918695" u="1"/>
        <n v="0.60439560439560436" u="1"/>
        <n v="0.99949910065799963"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564821143768512" u="1"/>
        <n v="0.99954463696181783"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99642287537024377"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9719753930280242"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99972658920027346" u="1"/>
        <n v="0.75068493150684934" u="1"/>
        <n v="0.50876232201533411" u="1"/>
        <n v="0.87254901960784315" u="1"/>
        <n v="0.9972431077694236"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95589692765113976" u="1"/>
        <n v="0.65116279069767447" u="1"/>
        <n v="0.29589041095890412" u="1"/>
        <n v="0.66771159874608155" u="1"/>
        <n v="0.41975308641975306" u="1"/>
        <n v="0.99069767441860468" u="1"/>
        <n v="0.99801777170198225" u="1"/>
        <n v="0.83813443072702332" u="1"/>
        <n v="0.89342629482071712" u="1"/>
        <n v="0.71287128712871284" u="1"/>
        <n v="0.37513691128148957" u="1"/>
        <n v="0.60778443113772451" u="1"/>
        <n v="0.65479452054794518" u="1"/>
        <n v="0.84326018808777425" u="1"/>
        <n v="0.81971677559912859" u="1"/>
        <n v="0.9948051948051948"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99806334016860332"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99883800410116197"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96977205153617441" u="1"/>
        <n v="0.52475247524752477" u="1"/>
        <n v="0.89560439560439564" u="1"/>
        <n v="0.87540983606557377" u="1"/>
        <n v="0.50383351588170866" u="1"/>
        <n v="0.70901639344262291" u="1"/>
        <n v="0.79813664596273293" u="1"/>
        <n v="0.91222570532915359" u="1"/>
        <n v="0.99391660970608342"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9996582365003418" u="1"/>
        <n v="0.69989106753812635" u="1"/>
        <n v="0.73442622950819669" u="1"/>
        <n v="0.99717475506949194" u="1"/>
        <n v="0.56353591160220995" u="1"/>
        <n v="0.79980079681274896" u="1"/>
        <n v="0.7415730337078652" u="1"/>
        <n v="0.68862275449101795" u="1"/>
        <n v="0.99469127363864207"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972203235361130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99799498746867166" u="1"/>
        <n v="0.25082146768893759" u="1"/>
        <n v="0.74873096446700504" u="1"/>
        <n v="0.20153340635268346" u="1"/>
        <n v="0.39560439560439559" u="1"/>
        <n v="0.62690355329949243" u="1"/>
        <n v="0.839622641509434" u="1"/>
        <n v="0.99551150603782179"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99804055593529273"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9881521986785149" u="1"/>
        <n v="0.92492492492492495" u="1"/>
        <n v="0.9452054794520548" u="1"/>
        <n v="0.99295774647887325" u="1"/>
        <n v="0.54125412541254125" u="1"/>
        <n v="0.4697674418604651" u="1"/>
        <n v="0.6093023255813953" u="1"/>
        <n v="0.99384825700615176"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99958988380041014" u="1"/>
        <n v="0.64622124863088715" u="1"/>
        <n v="0.47535596933187296" u="1"/>
        <n v="0.70658682634730541" u="1"/>
        <n v="0.92957746478873238" u="1"/>
        <n v="0.77348066298342544" u="1"/>
        <n v="0.98529411764705888" u="1"/>
        <n v="0.99637730690362269" u="1"/>
        <n v="0.91884531590413943" u="1"/>
        <n v="0.29508196721311475" u="1"/>
        <n v="0.3319615912208505" u="1"/>
        <n v="0.2031763417305586" u="1"/>
        <n v="0.85239651416122009" u="1"/>
        <n v="0.49519890260631" u="1"/>
        <n v="0.66255144032921809" u="1"/>
        <n v="0.99389382547277283"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99997723184809084"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9963545226703121" u="1"/>
        <n v="0.98019801980198018" u="1"/>
        <n v="0.95533769063180829" u="1"/>
        <n v="0.94059405940594054" u="1"/>
        <n v="0.96747967479674801" u="1"/>
        <n v="0.88888888888888884" u="1"/>
        <n v="0.32673267326732675" u="1"/>
        <n v="0.29347826086956524" u="1"/>
        <n v="0.8224400871459695" u="1"/>
        <n v="0.99466848940533148"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99471405787195266"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99797220323536118" u="1"/>
        <n v="0.69811320754716977" u="1"/>
        <n v="0.78486055776892427" u="1"/>
        <n v="0.99548872180451131"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0.99626338573706996"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987924356345409" u="1"/>
        <n v="0.92248062015503873" u="1"/>
        <n v="0.54491017964071853" u="1"/>
        <n v="0.74618736383442263" u="1"/>
        <n v="0.9963089542036910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99956709956709955" u="1"/>
        <n v="0.3253012048192771" u="1"/>
        <n v="0.72847682119205293" u="1"/>
        <n v="0.71623093681917216" u="1"/>
        <n v="0.96935933147632314" u="1"/>
        <n v="0.99708361813624968" u="1"/>
        <n v="0.52197802197802201" u="1"/>
        <n v="0.85763888888888884" u="1"/>
        <n v="0.37174211248285322" u="1"/>
        <n v="0.57887517146776402" u="1"/>
        <n v="0.26797385620915032" u="1"/>
        <n v="0.74211248285322362" u="1"/>
        <n v="0.82119205298013243" u="1"/>
        <n v="0.95709570957095713" u="1"/>
        <n v="0.99387104123946224"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99961266803372062"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994645705172021"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99790385053542952" u="1"/>
        <n v="0.86826347305389218" u="1"/>
        <n v="0.57024793388429751" u="1"/>
        <n v="0.38524590163934425" u="1"/>
        <n v="0.26232201533406352" u="1"/>
        <n v="0.91903719912472648" u="1"/>
        <n v="0.99542036910457965"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9624060150375937"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99949874686716789" u="1"/>
        <n v="0.41017964071856289" u="1"/>
        <n v="0.96583850931677018" u="1"/>
        <n v="0.82325581395348835" u="1"/>
        <n v="0.59917355371900827" u="1"/>
        <n v="0.63223140495867769" u="1"/>
        <n v="0.48685651697699889" u="1"/>
        <n v="0.99628616997038044" u="1"/>
        <n v="0.66528925619834711" u="1"/>
        <n v="0.89344262295081966" u="1"/>
        <n v="0.94521912350597614" u="1"/>
        <n v="0.86873638344226578" u="1"/>
        <n v="0.93399339933993397" u="1"/>
        <n v="0.84890109890109888" u="1"/>
        <n v="0.94995044598612488" u="1"/>
        <n v="0.98860257680872154"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970608339029392"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99710640236956027" u="1"/>
        <n v="0.5947426067907996" u="1"/>
        <n v="0.74262295081967211" u="1"/>
        <n v="0.80882352941176472" u="1"/>
        <n v="0.89435336976320579" u="1"/>
        <n v="0.54326396495071194" u="1"/>
        <n v="0.99462292093871041"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99788106630211892"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99968124587327245" u="1"/>
        <n v="0.62551440329218111" u="1"/>
        <n v="0.7887517146776406" u="1"/>
        <n v="0.95108695652173914" u="1"/>
        <n v="0.75274725274725274" u="1"/>
        <n v="0.79248366013071891" u="1"/>
        <n v="0.44931506849315067" u="1"/>
        <n v="0.90832507433102083" u="1"/>
        <n v="0.9954431533378901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99972678217709066"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99621781727044889" u="1"/>
        <n v="0.77260273972602744" u="1"/>
        <n v="0.58196721311475408" u="1"/>
        <n v="0.69607843137254899" u="1"/>
        <n v="0.96027397260273972" u="1"/>
        <n v="0.62962962962962965" u="1"/>
        <n v="0.99373433583959903"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732408325074331" u="1"/>
        <n v="0.94366197183098588" u="1"/>
        <n v="0.83783783783783783" u="1"/>
        <n v="0.42639593908629442" u="1"/>
        <n v="0.88247011952191234" u="1"/>
        <n v="0.58356164383561648" u="1"/>
        <n v="0.39593908629441626" u="1"/>
        <n v="0.99947596263385741"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703804966962861" u="1"/>
        <n v="0.99402390438247012" u="1"/>
        <n v="0.99455456823877875"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99781271360218726"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99785828206880833"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99614946457051723"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99945317840054682"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99448621553884708" u="1"/>
        <n v="0.54191616766467066" u="1"/>
        <n v="0.97933884297520657" u="1"/>
        <n v="0.77189781021897808" u="1"/>
        <n v="0.99375712007290951"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99701526543631802" u="1"/>
        <n v="0.35890410958904112" u="1"/>
        <n v="0.79949238578680204" u="1"/>
        <n v="0.89161220043572986" u="1"/>
        <n v="0.73857868020304573" u="1"/>
        <n v="0.30727023319615915" u="1"/>
        <n v="0.93093093093093093" u="1"/>
        <n v="0.47050754458161864" u="1"/>
        <n v="0.61316872427983538" u="1"/>
        <n v="0.92864222001982155" u="1"/>
        <n v="0.99453178400546827"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99783549783549785" u="1"/>
        <n v="0.24850299401197604" u="1"/>
        <n v="0.7632058287795993" u="1"/>
        <n v="0.97894736842105268" u="1"/>
        <n v="0.61395348837209307" u="1"/>
        <n v="0.76490066225165565" u="1"/>
        <n v="0.18400876232201532" u="1"/>
        <n v="0.95348837209302328" u="1"/>
        <n v="0.99535201640464799"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99612668033720664" u="1"/>
        <n v="0.28203723986856516" u="1"/>
        <n v="0.82508250825082508" u="1"/>
        <n v="0.71241830065359479" u="1"/>
        <n v="0.86263736263736268"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99943039416723622" u="1"/>
        <n v="0.48844884488448848" u="1"/>
        <n v="0.71895424836601307" u="1"/>
        <n v="0.46604600219058051" u="1"/>
        <n v="0.99694691273638647"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9943079620227226"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99772157666894512"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99854180906812484" u="1"/>
        <n v="0.83565737051792832" u="1"/>
        <n v="0.94262295081967218" u="1"/>
        <n v="0.91059602649006621" u="1"/>
        <n v="0.69589041095890414" u="1"/>
        <n v="0.47906976744186047" u="1"/>
        <n v="0.64071856287425155" u="1"/>
        <n v="0.72992700729927007" u="1"/>
        <n v="0.96744186046511627" u="1"/>
        <n v="0.63417305585980288" u="1"/>
        <n v="0.46933187294633077" u="1"/>
        <n v="0.9953292321713374"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99610389610389616"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99687856003645481"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99940760993392574" u="1"/>
        <n v="0.82608695652173914" u="1"/>
        <n v="0.98026315789473684" u="1"/>
        <n v="0.31599123767798465" u="1"/>
        <n v="0.9810756972111554" u="1"/>
        <n v="0.29025191675794088" u="1"/>
        <n v="0.996924128503075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99769879243563453"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9977443609022556"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99851902483481436"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9929368876737301" u="1"/>
        <n v="0.90909090909090906" u="1"/>
        <n v="0.90260631001371738" u="1"/>
        <n v="0.94214876033057848" u="1"/>
        <n v="0.76525054466230935" u="1"/>
        <n v="0.97520661157024791" u="1"/>
        <n v="0.99608111187058557"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9933925723399408"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98116947472745297"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99690134426976529"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99767600820232394" u="1"/>
        <n v="0.7739043824701195" u="1"/>
        <n v="0.63934426229508201" u="1"/>
        <n v="0.94717668488160289" u="1"/>
        <n v="0.52595155709342556" u="1"/>
        <n v="0.98626373626373631" u="1"/>
        <n v="0.99519252677147418"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9984506721348827" u="1"/>
        <n v="0.3772455089820359" u="1"/>
        <n v="0.87637362637362637" u="1"/>
        <n v="0.60547945205479448" u="1"/>
        <n v="0.84548611111111116" u="1"/>
        <n v="0.45879120879120877" u="1"/>
        <n v="0.87379972565157749" u="1"/>
        <n v="0.98082191780821915" u="1"/>
        <n v="0.99986339108854538"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99990892739236359" u="1"/>
        <n v="0.5279299014238773" u="1"/>
        <n v="0.58629441624365486" u="1"/>
        <n v="0.8418604651162791" u="1"/>
        <n v="0.41621029572836804" u="1"/>
        <n v="0.95934959349593496" u="1"/>
        <n v="0.48223350253807107" u="1"/>
        <n v="0.79178082191780819" u="1"/>
        <n v="0.39047097480832421" u="1"/>
        <n v="0.99952186880990868"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99956740511372688"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99927090453406242" u="1"/>
        <n v="0.84065934065934067" u="1"/>
        <n v="0.91776315789473684" u="1"/>
        <n v="0.81395348837209303" u="1"/>
        <n v="0.82035928143712578" u="1"/>
        <n v="0.92079207920792083" u="1"/>
        <n v="0.90322580645161288" u="1"/>
        <n v="0.77919708029197077" u="1"/>
        <n v="0.99605832763727498"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99931647300068349"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99439507860560494" u="1"/>
        <n v="0.17524644030668127" u="1"/>
        <n v="0.76143790849673199" u="1"/>
        <n v="0.40718562874251496" u="1"/>
        <n v="0.99207135777998012"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765322396901346" u="1"/>
        <n v="0.9945205479452055" u="1"/>
        <n v="0.71978021978021978" u="1"/>
        <n v="0.99516974253816359"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594440647072224"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99847345636819318"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99924812030075183" u="1"/>
        <n v="0.85279187817258884" u="1"/>
        <n v="0.79187817258883253" u="1"/>
        <n v="0.85069444444444442" u="1"/>
        <n v="0.95044598612487607" u="1"/>
        <n v="0.80983606557377052" u="1"/>
        <n v="0.98909811694747274" u="1"/>
        <n v="0.99676463886990208"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99432672590567328"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9975848712690818" u="1"/>
        <n v="0.32054794520547947" u="1"/>
        <n v="0.79347826086956519" u="1"/>
        <n v="0.78298611111111116" u="1"/>
        <n v="0.99510138983823193"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995146958304853"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99592162223741176"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99917976760082028" u="1"/>
        <n v="0.49397590361445781" u="1"/>
        <n v="0.79083665338645415" u="1"/>
        <n v="0.81944444444444442" u="1"/>
        <n v="0.56105610561056107" u="1"/>
        <n v="0.7528089887640449" u="1"/>
        <n v="0.29846659364731654" u="1"/>
        <n v="0.99346405228758172" u="1"/>
        <n v="0.85915492957746475" u="1"/>
        <n v="0.92701525054466227" u="1"/>
        <n v="0.99596719070403283"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99674185463659148"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9751651856915013" u="1"/>
        <n v="0.90145985401459849" u="1"/>
        <n v="0.55750273822562979" u="1"/>
        <n v="0.75173611111111116" u="1"/>
        <n v="0.9967874231032125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9996584777213634"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99756208703577121"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99833675096832997"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n v="0.99512417407154252" u="1"/>
      </sharedItems>
    </cacheField>
    <cacheField name="Diferencia" numFmtId="9">
      <sharedItems containsMixedTypes="1" containsNumber="1" minValue="-0.94246575342465755" maxValue="1" count="6374">
        <n v="0.15158135670315875"/>
        <n v="1.0914575735657461E-2"/>
        <n v="0.99539487006205918"/>
        <n v="0"/>
        <n v="7.0867013806706125E-2"/>
        <n v="0.91490588381949634"/>
        <n v="1"/>
        <n v="2.1469476861166736E-3"/>
        <n v="0.19613035324901873"/>
        <n v="2.0447438056292455E-5"/>
        <n v="0.18231754905253272"/>
        <n v="0.20425387341869117"/>
        <n v="0.1096605825242718"/>
        <n v="4.9839837191194225E-2"/>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82565695661685168"/>
        <n v="3.8136274316258323E-7"/>
        <n v="0.24509467963732678"/>
        <n v="4.4152644873562963E-9"/>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854580551285521"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99719717406982022"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99782778531538241"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99944034692796613" u="1"/>
        <n v="0.79988886940178738" u="1"/>
        <n v="0.10695307582441116" u="1"/>
        <n v="-0.4111111111111112"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78304050468424524"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0.80930413203806095"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51317425581921494"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99859166666666666"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5.3227151394422245E-2" u="1"/>
        <n v="0.55403784033225656" u="1"/>
        <n v="0.30785785686333916" u="1"/>
        <n v="0.79691562856927978"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76767876038295668"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81079075245431453"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7815538842679914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76916538079921049" u="1"/>
        <n v="0.67479674796747968" u="1"/>
        <n v="0.42830267733145472" u="1"/>
        <n v="0.80781751162180715"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0.7954290081530262"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0.2288487333333333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0.7661921399667031"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99923467272727273"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0.79245576732051881"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0.94960024379750463"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44443745098333065"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99915911027061743"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74716208934684936" u="1"/>
        <n v="0.37883849689399074" u="1"/>
        <n v="0.17260273972602741" u="1"/>
        <n v="-1.9953242258377468E-2" u="1"/>
        <n v="4.1095890410958902E-2" u="1"/>
        <n v="0.80633089120555335" u="1"/>
        <n v="0.25758249906103292" u="1"/>
        <n v="0.39669421487603307" u="1"/>
        <n v="-8.480614950951948E-2" u="1"/>
        <n v="6.8986044657097234E-2" u="1"/>
        <n v="-0.26885245901639343" u="1"/>
        <n v="0.12557112718415819" u="1"/>
        <n v="0.73271567367732926" u="1"/>
        <n v="6.5014078003060471E-2" u="1"/>
        <n v="0.99918508737864076" u="1"/>
        <n v="0.78099464724865997" u="1"/>
        <n v="0.48818291685241277" u="1"/>
        <n v="0.68681318681318682" u="1"/>
        <n v="3.7783253432690511E-2" u="1"/>
        <n v="0.99955812631578944"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0.7894825264880112" u="1"/>
        <n v="0.99897477864233963"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9983189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8202060150905881" u="1"/>
        <n v="-0.40273037542662116"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7647055195504493" u="1"/>
        <n v="0.30328946867086404" u="1"/>
        <n v="-0.50410958904109582" u="1"/>
        <n v="1.9902520242181976E-2" u="1"/>
        <n v="5.5754818743801171E-2" u="1"/>
        <n v="0.80335765037304596"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4.1650973006905234E-2"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12500000289867819"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5"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99987290177103116"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81723277425808072"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80038440954053858"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99891771825907805"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99898984468339302" u="1"/>
        <n v="-0.24726477024070026" u="1"/>
        <n v="0.51046229240537233" u="1"/>
        <n v="0.65839974728695438" u="1"/>
        <n v="0.22402310081967219" u="1"/>
        <n v="0.75478260517584606" u="1"/>
        <n v="0.99923465454545457" u="1"/>
        <n v="0.967741935483871" u="1"/>
        <n v="0.69516790382590388" u="1"/>
        <n v="0.14765026543588167" u="1"/>
        <n v="-2.6027397260273921E-2" u="1"/>
        <n v="0.14765026543588178" u="1"/>
        <n v="0.77560740260297667" u="1"/>
        <n v="0.10314043965883379" u="1"/>
        <n v="0.15072372540014189" u="1"/>
        <n v="0.31622988767077254" u="1"/>
        <n v="-0.22319474835886211" u="1"/>
        <n v="0.81425953342557333"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10303492192527863"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29041871333333324" u="1"/>
        <n v="0.9423868312757202" u="1"/>
        <n v="0.99906462744540858" u="1"/>
        <n v="0.86717161470661164" u="1"/>
        <n v="0.43480927669934011" u="1"/>
        <n v="-1.9230769230769273E-2" u="1"/>
        <n v="0.55921052631578949" u="1"/>
        <n v="0.74794520547945209" u="1"/>
        <n v="0.27665847665847665" u="1"/>
        <n v="0.98971421663442938"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9999878156317995"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7850226652392502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9998551687317305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7263416177046929"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9999426890139264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99744675324675325"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0.79889778912428477"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27969291762728665" u="1"/>
        <n v="0.11040610087586833" u="1"/>
        <n v="0.1461935807362279" u="1"/>
        <n v="0.6067415730337079" u="1"/>
        <n v="0.12561475409836065" u="1"/>
        <n v="0.75" u="1"/>
        <n v="0.91769547325102885" u="1"/>
        <n v="5.3031507196960259E-2" u="1"/>
        <n v="0.19999999999999996" u="1"/>
        <n v="-0.10856148290378531"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0.99906869229403406"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0.78650928565550382" u="1"/>
        <n v="8.8305610268915036E-3" u="1"/>
        <n v="0.16404508695970688" u="1"/>
        <n v="0.27283647889707896" u="1"/>
        <n v="0.24886682588648362" u="1"/>
        <n v="0.8152848222537814" u="1"/>
        <n v="0.78698593265171013" u="1"/>
        <n v="0.99832756705284875"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76966092093796168"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99090456654203019"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99983317179741804"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727598130952299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0.78353604482299644"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0.4167989172096588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0.99959890482834746"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99998898285415061" u="1"/>
        <n v="0.22836599402427638" u="1"/>
        <n v="5.6666836911510643E-2" u="1"/>
        <n v="0.60849056603773588" u="1"/>
        <n v="-0.56318681318681318" u="1"/>
        <n v="0.77114754135421548" u="1"/>
        <n v="0.64686609686609686" u="1"/>
        <n v="0.49175824175824173" u="1"/>
        <n v="0.80979967217681215"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3468267695241891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99831791999999997"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9989038401253918"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99759651428571428"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0.7681743005217081" u="1"/>
        <n v="-4.6703296703296648E-2" u="1"/>
        <n v="0.15984395956718955" u="1"/>
        <n v="-9.8630136986301409E-2" u="1"/>
        <n v="0.25864045864045859" u="1"/>
        <n v="0.2458094544674545" u="1"/>
        <n v="0.13437211433939261" u="1"/>
        <n v="0.17607841232493004" u="1"/>
        <n v="0.45604395604395603" u="1"/>
        <n v="0.9999485185490774"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81128629259306573"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9993206796116505"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78204942440674263" u="1"/>
        <n v="-0.80821917808219179" u="1"/>
        <n v="0.8207015552293393"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76520105968920049"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9999393004962340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0.49845936265956481"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99745545034159466" u="1"/>
        <n v="0.29347826086956524" u="1"/>
        <n v="-0.12328767123287676" u="1"/>
        <n v="0.34520547945205482" u="1"/>
        <n v="0.12061278147116083" u="1"/>
        <n v="0.1875717504018517" u="1"/>
        <n v="8.2191780821917804E-2" u="1"/>
        <n v="0.70329670329670335" u="1"/>
        <n v="0.79338842975206614" u="1"/>
        <n v="0.30255417433744275" u="1"/>
        <n v="-7.4681606661768374E-2" u="1"/>
        <n v="1.4168697786277384E-2" u="1"/>
        <n v="0.10265817154243595" u="1"/>
        <n v="0.82644628099173556" u="1"/>
        <n v="0.28678825819265141" u="1"/>
        <n v="0.16806283936816713" u="1"/>
        <n v="0.99157406663990366"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4999997750000000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99937505768171597"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99936371527777779" u="1"/>
        <n v="-0.3553422543526219" u="1"/>
        <n v="7.7158462157193242E-2" u="1"/>
        <n v="0.52898708199342559" u="1"/>
        <n v="4.0118993538229564E-3" u="1"/>
        <n v="0.4120540455598003" u="1"/>
        <n v="0.27039848386730286" u="1"/>
        <n v="0.3066885127491128" u="1"/>
        <n v="0.45954733882251636" u="1"/>
        <n v="0.79295130745927001"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77610294274172786"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99923476363636365"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22003729053028986"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99772303680588215"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35640211612976813" u="1"/>
        <n v="-0.81369863013698629" u="1"/>
        <n v="0.17964593976520937" u="1"/>
        <n v="0.48651685393258431" u="1"/>
        <n v="0.56795937093563365" u="1"/>
        <n v="-0.29490269391306145" u="1"/>
        <n v="0.50943396226415094" u="1"/>
        <n v="-2.9508196721311442E-2" u="1"/>
        <n v="0.80682643134430476"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78997806662676262" u="1"/>
        <n v="0.12138917898668877" u="1"/>
        <n v="0.29218106995884774" u="1"/>
        <n v="0.36135579925017042" u="1"/>
        <n v="0.54895321922624063" u="1"/>
        <n v="0.98347107438016534" u="1"/>
        <n v="-5.4347826086956763E-3" u="1"/>
        <n v="0.19862603264976497" u="1"/>
        <n v="0.99984415538722216"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31059859677419355"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0.9904464253195906" u="1"/>
        <n v="-0.12537273725211717"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80385319051179716"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0.99990810284463894"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8177283143968319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0.80087994967928977"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0.78849144621050882"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0.7716430814929666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0.99324200255918105" u="1"/>
        <n v="7.3497234426229463E-2" u="1"/>
        <n v="1.0547847066241234E-2" u="1"/>
        <n v="-0.14181818181818184" u="1"/>
        <n v="0.8223140495867769" u="1"/>
        <n v="0.22192071810205249" u="1"/>
        <n v="-2.4215126816641508E-2" u="1"/>
        <n v="0.15054946673068026" u="1"/>
        <n v="0.57960012342402123" u="1"/>
        <n v="0.11016331402422896" u="1"/>
        <n v="0.3209342147180631" u="1"/>
        <n v="6.9270503813150919E-2" u="1"/>
        <n v="0.14078429467787112" u="1"/>
        <n v="0.81475507356432453"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78551820537800143"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77312970190922048" u="1"/>
        <n v="0.18867924528301888" u="1"/>
        <n v="-0.47232959641255601" u="1"/>
        <n v="0.84237384605175847" u="1"/>
        <n v="-3.798218797709263E-2" u="1"/>
        <n v="0.11886432492492494" u="1"/>
        <n v="0.28575151314553993" u="1"/>
        <n v="1.8284119273751731E-2" u="1"/>
        <n v="0.99983057811360598"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5201027982326951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0.99849814285714289" u="1"/>
        <n v="6.8306248173454209E-3" u="1"/>
        <n v="6.8632284281721412E-2" u="1"/>
        <n v="0.22317163330300283" u="1"/>
        <n v="0.65168435625288423" u="1"/>
        <n v="0.59077065066912782" u="1"/>
        <n v="0.16246653749845708" u="1"/>
        <n v="-0.10989010989010994" u="1"/>
        <n v="0.99986527643999235"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0.79939332926303597"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78700482579425501"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99989475030982355"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0.99890298701298696"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0.99579490000000004"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81326845314807072" u="1"/>
        <n v="-0.38512035010940915" u="1"/>
        <n v="-0.73150684931506849" u="1"/>
        <n v="-0.27083713055341097"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796420088430528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49972923113544399"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99901796728971959"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431916664393029"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81029521231556334"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727789533079418"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9992351454545455" u="1"/>
        <n v="0.20456877358158632" u="1"/>
        <n v="0.23045267489711935" u="1"/>
        <n v="0.37860082304526749" u="1"/>
        <n v="0.17410768508050156" u="1"/>
        <n v="0.35526315789473684" u="1"/>
        <n v="0.99884639230042516"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2031281371002438"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51985260606060613"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80732197148305596"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0.49382717243327834"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78254496454549405" u="1"/>
        <n v="0.82119709536809049"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76569659982795191"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98016352497643733"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39401709401709395"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7919602271817674"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81822385453558311" u="1"/>
        <n v="0.90789473684210531" u="1"/>
        <n v="0.71318592184392182" u="1"/>
        <n v="1.3840017236634861E-3" u="1"/>
        <n v="0.28004773070418421" u="1"/>
        <n v="0.3248634013114754" u="1"/>
        <n v="0.99617336363636366"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0.80583535106680215"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94935439900867413"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99810987376983784" u="1"/>
        <n v="0.19867549668874171" u="1"/>
        <n v="0.87171052631578949" u="1"/>
        <n v="0.51232876712328768" u="1"/>
        <n v="0.72171585098414937" u="1"/>
        <n v="-1.3351781827148912E-3" u="1"/>
        <n v="0.7"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7934468475980212"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7765984828804790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81971047495183691" u="1"/>
        <n v="0.31245962159667739" u="1"/>
        <n v="0.52049247049247049" u="1"/>
        <n v="0.25154591601292109" u="1"/>
        <n v="0.16667448664459095" u="1"/>
        <n v="0.68298991122138053" u="1"/>
        <n v="-0.49229732588542907"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80286211023429477"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1.1658543101535468E-2"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79047360676551381"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1459607546855346"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0.49991592024539888" u="1"/>
        <n v="0.9909916523972602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99870668995740242" u="1"/>
        <n v="0.79127895554080951" u="1"/>
        <n v="5.4227054946526021E-2" u="1"/>
        <n v="0.56003920427756249" u="1"/>
        <n v="4.0643837371781899E-2" u="1"/>
        <n v="7.081623829356587E-2" u="1"/>
        <n v="0.17778135069597056" u="1"/>
        <n v="-0.44161535061873902"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81673723411932952" u="1"/>
        <n v="0.66304934419485795" u="1"/>
        <n v="-8.7793427230047016E-2" u="1"/>
        <n v="4.2138261009596389E-2" u="1"/>
        <n v="-8.80030801724895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87071428571428577" u="1"/>
        <n v="0.1234437280267473" u="1"/>
        <n v="-0.56986301369863013" u="1"/>
        <n v="0.27002698424908422" u="1"/>
        <n v="0.52567603905411364" u="1"/>
        <n v="0.47928418092777952" u="1"/>
        <n v="-1.8903224328581048E-2" u="1"/>
        <n v="4.0801384346366709E-2" u="1"/>
        <n v="0.36625514403292181" u="1"/>
        <n v="0.5679012345679012" u="1"/>
        <n v="0.41735537190082644" u="1"/>
        <n v="0.2161524568739045"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80434873065054857" u="1"/>
        <n v="-0.31043956043956045" u="1"/>
        <n v="0.12600820416512371" u="1"/>
        <n v="0.1969283458621881" u="1"/>
        <n v="0.44505734588983326" u="1"/>
        <n v="7.556362875597511E-2" u="1"/>
        <n v="0.70958904109589038" u="1"/>
        <n v="0.14517774735932576" u="1"/>
        <n v="0.34398903770491795" u="1"/>
        <n v="0.95081967213114749" u="1"/>
        <n v="0.3496679845904298" u="1"/>
        <n v="0.99647108333333334"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45201953311100529"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77511186246422548" u="1"/>
        <n v="0.81376399328682192"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0.45928072660098529" u="1"/>
        <n v="-2.2022526757204508E-2" u="1"/>
        <n v="0.51780821917808217" u="1"/>
        <n v="0.59836065573770492" u="1"/>
        <n v="8.1539724373504985E-2" u="1"/>
        <n v="0.9814323008849557"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0.99923414545454547"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99990728606939916"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9985907108850004"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99956891615541921"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50386859482758628"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78898698634926001"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77213862163171787"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94824369230769234" u="1"/>
        <n v="0.62735849056603776" u="1"/>
        <n v="0.60565730565730558" u="1"/>
        <n v="0.35637456243516241" u="1"/>
        <n v="-0.33066379177575844" u="1"/>
        <n v="0.85286286470521211" u="1"/>
        <n v="0.28146066425519245" u="1"/>
        <n v="0.60149793364299931" u="1"/>
        <n v="0.23217213114754098" u="1"/>
        <n v="0.77347510274732767" u="1"/>
        <n v="-0.14004376367614879" u="1"/>
        <n v="0.23120393120393123" u="1"/>
        <n v="-4.2465753424657526E-2" u="1"/>
        <n v="0.11149331755391756" u="1"/>
        <n v="0.19360629232284143" u="1"/>
        <n v="-6.6666660194174776E-2"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99601107535024613"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98113883316053807"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78601374551675263"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99865042603626109" u="1"/>
        <n v="-0.12612500000000004" u="1"/>
        <n v="0.37260273972602742" u="1"/>
        <n v="0.50950345950345943" u="1"/>
        <n v="-8.33642323746E-2" u="1"/>
        <n v="0.64754098360655743" u="1"/>
        <n v="0.36220458983619341" u="1"/>
      </sharedItems>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
  <r>
    <x v="0"/>
    <x v="0"/>
    <m/>
    <x v="0"/>
    <n v="7329236109"/>
    <s v=" "/>
    <n v="2008"/>
    <s v=" "/>
    <d v="2008-10-03T00:00:00"/>
    <d v="2014-02-03T00:00:00"/>
    <s v=""/>
    <n v="0"/>
    <n v="0"/>
    <n v="0"/>
    <s v=""/>
    <s v=""/>
    <s v=""/>
    <s v=""/>
    <d v="2014-02-03T00:00:00"/>
    <n v="7329236109"/>
    <n v="6218260556"/>
    <n v="1110975553"/>
    <m/>
    <n v="0.84841864329684125"/>
    <x v="0"/>
    <n v="0.15158135670315875"/>
    <s v=""/>
    <x v="0"/>
  </r>
  <r>
    <x v="1"/>
    <x v="1"/>
    <n v="800015583"/>
    <x v="1"/>
    <n v="2026575001"/>
    <s v=" "/>
    <n v="2008"/>
    <d v="2008-12-26T00:00:00"/>
    <d v="2009-04-01T00:00:00"/>
    <d v="2013-07-31T00:00:00"/>
    <s v=""/>
    <n v="1"/>
    <n v="1073825676"/>
    <n v="0"/>
    <s v=""/>
    <s v=""/>
    <s v=""/>
    <s v=""/>
    <d v="2013-07-31T00:00:00"/>
    <n v="3100400677"/>
    <n v="3066561119"/>
    <n v="33839558"/>
    <m/>
    <n v="0.98908542426434254"/>
    <x v="0"/>
    <n v="1.0914575735657461E-2"/>
    <s v=""/>
    <x v="0"/>
  </r>
  <r>
    <x v="2"/>
    <x v="2"/>
    <m/>
    <x v="2"/>
    <n v="2909992591"/>
    <s v=" "/>
    <n v="2008"/>
    <s v=" "/>
    <d v="2009-02-20T00:00:00"/>
    <d v="2013-07-21T00:00:00"/>
    <s v=""/>
    <n v="0"/>
    <n v="0"/>
    <n v="0"/>
    <s v=""/>
    <s v=""/>
    <s v=""/>
    <s v=""/>
    <d v="2013-07-21T00:00:00"/>
    <n v="2909992591"/>
    <n v="13400894"/>
    <n v="2896591697"/>
    <m/>
    <n v="4.6051299379407939E-3"/>
    <x v="0"/>
    <n v="0.99539487006205918"/>
    <s v=""/>
    <x v="0"/>
  </r>
  <r>
    <x v="3"/>
    <x v="3"/>
    <m/>
    <x v="3"/>
    <n v="234495075"/>
    <s v=" "/>
    <n v="2009"/>
    <s v=" "/>
    <d v="2010-01-19T00:00:00"/>
    <d v="2013-02-18T00:00:00"/>
    <s v=""/>
    <n v="0"/>
    <n v="0"/>
    <n v="0"/>
    <s v=""/>
    <s v=""/>
    <s v=""/>
    <s v=""/>
    <d v="2013-02-18T00:00:00"/>
    <n v="234495075"/>
    <n v="234495075"/>
    <n v="0"/>
    <m/>
    <n v="1"/>
    <x v="0"/>
    <n v="0"/>
    <s v=""/>
    <x v="1"/>
  </r>
  <r>
    <x v="4"/>
    <x v="1"/>
    <n v="800015583"/>
    <x v="4"/>
    <n v="507000000"/>
    <s v=" "/>
    <n v="2009"/>
    <s v=" "/>
    <d v="2009-12-03T00:00:00"/>
    <d v="2013-03-03T00:00:00"/>
    <s v=""/>
    <n v="0"/>
    <n v="0"/>
    <n v="0"/>
    <s v=""/>
    <s v=""/>
    <s v=""/>
    <s v=""/>
    <d v="2013-03-03T00:00:00"/>
    <n v="507000000"/>
    <n v="471070424"/>
    <n v="35929576"/>
    <m/>
    <n v="0.92913298619329387"/>
    <x v="0"/>
    <n v="7.0867013806706125E-2"/>
    <s v=""/>
    <x v="0"/>
  </r>
  <r>
    <x v="5"/>
    <x v="4"/>
    <n v="900231022"/>
    <x v="5"/>
    <n v="12835200"/>
    <s v=" SDH-SMINC-042-2011"/>
    <n v="2011"/>
    <s v=" "/>
    <d v="2012-02-27T00:00:00"/>
    <d v="2013-02-27T00:00:00"/>
    <s v=""/>
    <n v="0"/>
    <n v="0"/>
    <n v="0"/>
    <s v=""/>
    <s v=""/>
    <s v=""/>
    <s v=""/>
    <d v="2013-02-27T00:00:00"/>
    <n v="12835200"/>
    <n v="1092200"/>
    <n v="11743000"/>
    <m/>
    <n v="8.5094116180503609E-2"/>
    <x v="0"/>
    <n v="0.91490588381949634"/>
    <s v=""/>
    <x v="0"/>
  </r>
  <r>
    <x v="6"/>
    <x v="5"/>
    <n v="800109177"/>
    <x v="6"/>
    <n v="1750000"/>
    <s v=" "/>
    <n v="2011"/>
    <s v=" "/>
    <d v="2011-10-06T00:00:00"/>
    <d v="2012-10-06T00:00:00"/>
    <s v=""/>
    <n v="1"/>
    <n v="875000"/>
    <n v="1"/>
    <s v="6 meses"/>
    <d v="2013-04-06T00:00:00"/>
    <s v=""/>
    <s v=""/>
    <d v="2013-04-06T00:00:00"/>
    <n v="2625000"/>
    <n v="0"/>
    <n v="2625000"/>
    <m/>
    <n v="0"/>
    <x v="0"/>
    <n v="1"/>
    <s v=""/>
    <x v="0"/>
  </r>
  <r>
    <x v="7"/>
    <x v="6"/>
    <n v="830050919"/>
    <x v="7"/>
    <n v="497000000"/>
    <s v=" "/>
    <n v="2011"/>
    <s v=" "/>
    <d v="2011-07-22T00:00:00"/>
    <d v="2012-07-22T00:00:00"/>
    <s v=""/>
    <n v="0"/>
    <n v="0"/>
    <n v="0"/>
    <s v=""/>
    <s v=""/>
    <s v=""/>
    <s v=""/>
    <d v="2012-07-22T00:00:00"/>
    <n v="497000000"/>
    <n v="495932967"/>
    <n v="1067033"/>
    <m/>
    <n v="0.99785305231388333"/>
    <x v="0"/>
    <n v="2.1469476861166736E-3"/>
    <s v=""/>
    <x v="0"/>
  </r>
  <r>
    <x v="8"/>
    <x v="7"/>
    <n v="830040274"/>
    <x v="8"/>
    <n v="9425000"/>
    <s v=" "/>
    <n v="2011"/>
    <s v=" "/>
    <d v="2011-11-23T00:00:00"/>
    <d v="2012-11-23T00:00:00"/>
    <s v=""/>
    <n v="0"/>
    <n v="0"/>
    <n v="1"/>
    <s v="4 meses"/>
    <d v="2013-03-23T00:00:00"/>
    <s v=""/>
    <s v=""/>
    <d v="2013-03-23T00:00:00"/>
    <n v="9425000"/>
    <n v="9425000"/>
    <n v="0"/>
    <m/>
    <n v="1"/>
    <x v="0"/>
    <n v="0"/>
    <s v=""/>
    <x v="1"/>
  </r>
  <r>
    <x v="9"/>
    <x v="8"/>
    <n v="900340597"/>
    <x v="9"/>
    <n v="15000000"/>
    <s v=" SDH-SMINC-008-2011"/>
    <n v="2011"/>
    <s v=" "/>
    <d v="2011-11-16T00:00:00"/>
    <d v="2013-03-31T00:00:00"/>
    <s v=""/>
    <n v="1"/>
    <n v="7930000"/>
    <n v="0"/>
    <s v=""/>
    <s v=""/>
    <s v=""/>
    <s v=""/>
    <d v="2013-03-31T00:00:00"/>
    <n v="22930000"/>
    <n v="18432731"/>
    <n v="4497269"/>
    <m/>
    <n v="0.80386964675098127"/>
    <x v="0"/>
    <n v="0.19613035324901873"/>
    <s v=""/>
    <x v="0"/>
  </r>
  <r>
    <x v="10"/>
    <x v="9"/>
    <n v="860403052"/>
    <x v="10"/>
    <n v="15063760"/>
    <s v=" SDH-SMINC-020-2011"/>
    <n v="2011"/>
    <s v=" "/>
    <d v="2011-11-15T00:00:00"/>
    <d v="2012-11-29T00:00:00"/>
    <s v=""/>
    <n v="1"/>
    <n v="4981040"/>
    <n v="1"/>
    <s v=""/>
    <d v="2013-03-29T00:00:00"/>
    <s v=""/>
    <s v=""/>
    <d v="2013-03-29T00:00:00"/>
    <n v="20044800"/>
    <n v="20044800"/>
    <n v="0"/>
    <m/>
    <n v="1"/>
    <x v="0"/>
    <n v="0"/>
    <s v=""/>
    <x v="1"/>
  </r>
  <r>
    <x v="11"/>
    <x v="10"/>
    <n v="800045609"/>
    <x v="11"/>
    <n v="8506800"/>
    <s v=" SDH-SMINC-027-2011"/>
    <n v="2011"/>
    <s v=" "/>
    <d v="2011-11-18T00:00:00"/>
    <d v="2012-11-18T00:00:00"/>
    <s v=""/>
    <n v="1"/>
    <n v="1470000"/>
    <n v="1"/>
    <s v=""/>
    <d v="2013-02-18T00:00:00"/>
    <s v=""/>
    <s v=""/>
    <d v="2013-02-18T00:00:00"/>
    <n v="9976800"/>
    <n v="9976596"/>
    <n v="204"/>
    <m/>
    <n v="0.99997955256194371"/>
    <x v="0"/>
    <n v="2.0447438056292455E-5"/>
    <s v=""/>
    <x v="1"/>
  </r>
  <r>
    <x v="12"/>
    <x v="11"/>
    <n v="830073623"/>
    <x v="12"/>
    <n v="1306508"/>
    <s v=" SDH-SMINC-028-2011"/>
    <n v="2011"/>
    <s v=" "/>
    <d v="2011-12-14T00:00:00"/>
    <d v="2012-01-14T00:00:00"/>
    <s v=""/>
    <n v="0"/>
    <n v="0"/>
    <n v="0"/>
    <s v=""/>
    <s v=""/>
    <s v=""/>
    <s v=""/>
    <d v="2012-01-14T00:00:00"/>
    <n v="1306508"/>
    <n v="1306508"/>
    <n v="0"/>
    <m/>
    <n v="1"/>
    <x v="0"/>
    <n v="0"/>
    <s v=""/>
    <x v="1"/>
  </r>
  <r>
    <x v="13"/>
    <x v="12"/>
    <n v="860053274"/>
    <x v="13"/>
    <n v="102786079"/>
    <s v=" SDH-SIE-032-2011"/>
    <n v="2011"/>
    <s v=" "/>
    <d v="2011-12-20T00:00:00"/>
    <d v="2012-07-20T00:00:00"/>
    <s v=""/>
    <n v="0"/>
    <n v="0"/>
    <n v="1"/>
    <s v="4 meses y 10 días"/>
    <d v="2012-11-30T00:00:00"/>
    <s v=""/>
    <s v=""/>
    <d v="2012-11-30T00:00:00"/>
    <n v="102786079"/>
    <n v="84046373"/>
    <n v="18739706"/>
    <m/>
    <n v="0.81768245094746728"/>
    <x v="0"/>
    <n v="0.18231754905253272"/>
    <s v=""/>
    <x v="0"/>
  </r>
  <r>
    <x v="14"/>
    <x v="13"/>
    <n v="860518574"/>
    <x v="14"/>
    <n v="49376272"/>
    <s v=" SDH-SMINC-043-2011"/>
    <n v="2011"/>
    <s v=" "/>
    <d v="2012-02-07T00:00:00"/>
    <d v="2013-02-07T00:00:00"/>
    <s v=""/>
    <n v="0"/>
    <n v="0"/>
    <n v="0"/>
    <s v=""/>
    <s v=""/>
    <s v=""/>
    <s v=""/>
    <d v="2013-02-07T00:00:00"/>
    <n v="49376272"/>
    <n v="49376272"/>
    <n v="0"/>
    <m/>
    <n v="1"/>
    <x v="0"/>
    <n v="0"/>
    <s v=""/>
    <x v="1"/>
  </r>
  <r>
    <x v="15"/>
    <x v="14"/>
    <n v="830112518"/>
    <x v="15"/>
    <n v="79634000"/>
    <s v=" 040000-221-0-2012"/>
    <n v="2012"/>
    <s v=" "/>
    <d v="2012-06-27T00:00:00"/>
    <d v="2013-06-27T00:00:00"/>
    <s v=""/>
    <n v="0"/>
    <n v="0"/>
    <n v="1"/>
    <s v="2 meses"/>
    <d v="2013-08-27T00:00:00"/>
    <s v=""/>
    <s v=""/>
    <d v="2013-08-27T00:00:00"/>
    <n v="79634000"/>
    <n v="79634000"/>
    <n v="0"/>
    <m/>
    <n v="1"/>
    <x v="0"/>
    <n v="0"/>
    <s v=""/>
    <x v="1"/>
  </r>
  <r>
    <x v="16"/>
    <x v="15"/>
    <n v="20546554"/>
    <x v="16"/>
    <n v="4206160"/>
    <s v=" SHD-SMINC-26-2012"/>
    <n v="2012"/>
    <s v=" "/>
    <d v="2012-10-31T00:00:00"/>
    <d v="2012-12-31T00:00:00"/>
    <s v=""/>
    <n v="0"/>
    <n v="0"/>
    <n v="0"/>
    <s v=""/>
    <s v=""/>
    <s v=""/>
    <s v=""/>
    <d v="2012-12-31T00:00:00"/>
    <n v="4206160"/>
    <n v="0"/>
    <n v="4206160"/>
    <m/>
    <n v="0"/>
    <x v="0"/>
    <n v="1"/>
    <s v=""/>
    <x v="0"/>
  </r>
  <r>
    <x v="17"/>
    <x v="16"/>
    <n v="899999115"/>
    <x v="17"/>
    <n v="726335435"/>
    <s v=" "/>
    <n v="2012"/>
    <s v=" "/>
    <d v="2012-10-24T00:00:00"/>
    <d v="2013-12-01T00:00:00"/>
    <s v=""/>
    <n v="0"/>
    <n v="0"/>
    <n v="0"/>
    <s v=""/>
    <s v=""/>
    <s v=""/>
    <s v=""/>
    <d v="2013-12-01T00:00:00"/>
    <n v="726335435"/>
    <n v="577978609"/>
    <n v="148356826"/>
    <m/>
    <n v="0.79574612658130883"/>
    <x v="0"/>
    <n v="0.20425387341869117"/>
    <s v=""/>
    <x v="0"/>
  </r>
  <r>
    <x v="18"/>
    <x v="17"/>
    <n v="860026518"/>
    <x v="18"/>
    <n v="48720000"/>
    <s v="SDH-SMINC-11-2012"/>
    <n v="2012"/>
    <s v=" "/>
    <d v="2012-04-26T00:00:00"/>
    <d v="2013-06-30T00:00:00"/>
    <s v=""/>
    <n v="3"/>
    <n v="22376157"/>
    <n v="2"/>
    <s v="5 meses y 15 días"/>
    <d v="2013-12-15T00:00:00"/>
    <s v=""/>
    <s v=""/>
    <d v="2013-12-15T00:00:00"/>
    <n v="71096157"/>
    <n v="71096157"/>
    <n v="0"/>
    <m/>
    <n v="1"/>
    <x v="0"/>
    <n v="0"/>
    <s v=""/>
    <x v="1"/>
  </r>
  <r>
    <x v="19"/>
    <x v="18"/>
    <n v="860025639"/>
    <x v="19"/>
    <n v="11587500"/>
    <s v=" 050000-131-0-2012"/>
    <n v="2012"/>
    <s v=" "/>
    <d v="2012-06-14T00:00:00"/>
    <d v="2013-03-14T00:00:00"/>
    <s v=""/>
    <n v="0"/>
    <n v="0"/>
    <n v="0"/>
    <s v=""/>
    <s v=""/>
    <s v=""/>
    <s v=""/>
    <d v="2013-03-14T00:00:00"/>
    <n v="11587500"/>
    <n v="10316808"/>
    <n v="1270692"/>
    <m/>
    <n v="0.8903394174757282"/>
    <x v="0"/>
    <n v="0.1096605825242718"/>
    <s v=""/>
    <x v="0"/>
  </r>
  <r>
    <x v="20"/>
    <x v="19"/>
    <n v="900281089"/>
    <x v="20"/>
    <n v="4452000"/>
    <s v=" SDH-SMINC-45-2012"/>
    <n v="2012"/>
    <s v=" "/>
    <d v="2012-11-22T00:00:00"/>
    <d v="2013-01-04T00:00:00"/>
    <s v=""/>
    <n v="0"/>
    <n v="0"/>
    <n v="0"/>
    <s v=""/>
    <s v=""/>
    <s v=""/>
    <s v=""/>
    <d v="2013-01-04T00:00:00"/>
    <n v="4452000"/>
    <n v="4452000"/>
    <n v="0"/>
    <m/>
    <n v="1"/>
    <x v="0"/>
    <n v="0"/>
    <s v=""/>
    <x v="1"/>
  </r>
  <r>
    <x v="21"/>
    <x v="20"/>
    <n v="860009759"/>
    <x v="21"/>
    <n v="849000"/>
    <s v=" 050000-155-0-2012"/>
    <n v="2012"/>
    <s v=" "/>
    <d v="2012-05-15T00:00:00"/>
    <d v="2013-05-15T00:00:00"/>
    <s v=""/>
    <n v="0"/>
    <n v="0"/>
    <n v="0"/>
    <s v=""/>
    <s v=""/>
    <s v=""/>
    <s v=""/>
    <d v="2013-05-15T00:00:00"/>
    <n v="849000"/>
    <n v="849000"/>
    <n v="0"/>
    <m/>
    <n v="1"/>
    <x v="0"/>
    <n v="0"/>
    <s v=""/>
    <x v="1"/>
  </r>
  <r>
    <x v="22"/>
    <x v="21"/>
    <n v="830107673"/>
    <x v="22"/>
    <n v="7192000"/>
    <s v=" "/>
    <n v="2012"/>
    <s v=" "/>
    <d v="2012-06-29T00:00:00"/>
    <d v="2013-02-28T00:00:00"/>
    <s v=""/>
    <n v="0"/>
    <n v="0"/>
    <n v="0"/>
    <s v=""/>
    <s v=""/>
    <s v=""/>
    <s v=""/>
    <d v="2013-02-28T00:00:00"/>
    <n v="7192000"/>
    <n v="7192000"/>
    <n v="0"/>
    <m/>
    <n v="1"/>
    <x v="0"/>
    <n v="0"/>
    <s v=""/>
    <x v="1"/>
  </r>
  <r>
    <x v="23"/>
    <x v="22"/>
    <n v="900152368"/>
    <x v="23"/>
    <n v="4839200"/>
    <s v=" SDH-SMINC-16-2012"/>
    <n v="2012"/>
    <s v=" "/>
    <d v="2012-08-23T00:00:00"/>
    <d v="2013-02-23T00:00:00"/>
    <s v=""/>
    <n v="0"/>
    <n v="0"/>
    <n v="0"/>
    <s v=""/>
    <s v=""/>
    <s v=""/>
    <s v=""/>
    <d v="2013-02-23T00:00:00"/>
    <n v="4839200"/>
    <n v="4839200"/>
    <n v="0"/>
    <m/>
    <n v="1"/>
    <x v="0"/>
    <n v="0"/>
    <s v=""/>
    <x v="1"/>
  </r>
  <r>
    <x v="24"/>
    <x v="23"/>
    <n v="830038886"/>
    <x v="24"/>
    <n v="13527752"/>
    <s v=" SDH-SMINC-21-2012"/>
    <n v="2012"/>
    <s v=" "/>
    <d v="2012-08-16T00:00:00"/>
    <d v="2013-03-16T00:00:00"/>
    <s v=""/>
    <n v="0"/>
    <n v="0"/>
    <n v="0"/>
    <s v=""/>
    <s v=""/>
    <s v=""/>
    <s v=""/>
    <d v="2013-03-16T00:00:00"/>
    <n v="13527752"/>
    <n v="0"/>
    <n v="13527752"/>
    <m/>
    <n v="0"/>
    <x v="0"/>
    <n v="1"/>
    <s v=""/>
    <x v="0"/>
  </r>
  <r>
    <x v="25"/>
    <x v="24"/>
    <n v="860011153"/>
    <x v="25"/>
    <n v="85219000"/>
    <s v=" SDH-LP-001-2012"/>
    <n v="2012"/>
    <s v=" "/>
    <d v="2012-08-01T00:00:00"/>
    <d v="2013-09-14T00:00:00"/>
    <s v=""/>
    <n v="1"/>
    <n v="15102355"/>
    <n v="0"/>
    <s v=""/>
    <s v=""/>
    <s v=""/>
    <s v=""/>
    <d v="2013-09-14T00:00:00"/>
    <n v="100321355"/>
    <n v="95321355"/>
    <n v="5000000"/>
    <m/>
    <n v="0.95016016280880577"/>
    <x v="0"/>
    <n v="4.9839837191194225E-2"/>
    <s v=""/>
    <x v="0"/>
  </r>
  <r>
    <x v="26"/>
    <x v="25"/>
    <m/>
    <x v="26"/>
    <n v="81888094"/>
    <s v=" "/>
    <n v="2012"/>
    <s v=" "/>
    <d v="2012-08-01T00:00:00"/>
    <d v="2013-08-30T00:00:00"/>
    <s v=""/>
    <n v="1"/>
    <n v="17234233"/>
    <n v="2"/>
    <s v="107 días calendario"/>
    <d v="2013-12-15T00:00:00"/>
    <s v=""/>
    <s v=""/>
    <d v="2013-12-15T00:00:00"/>
    <n v="99122327"/>
    <n v="93840542"/>
    <n v="5281785"/>
    <m/>
    <n v="0.94671447735483449"/>
    <x v="0"/>
    <n v="5.3285522645165506E-2"/>
    <s v=""/>
    <x v="0"/>
  </r>
  <r>
    <x v="27"/>
    <x v="26"/>
    <n v="860007590"/>
    <x v="27"/>
    <n v="900000"/>
    <s v=" 050000-342-0-2012"/>
    <n v="2012"/>
    <s v=" "/>
    <d v="2012-09-10T00:00:00"/>
    <d v="2013-09-10T00:00:00"/>
    <s v=""/>
    <n v="0"/>
    <n v="0"/>
    <n v="0"/>
    <s v=""/>
    <s v=""/>
    <s v=""/>
    <s v=""/>
    <d v="2013-09-10T00:00:00"/>
    <n v="900000"/>
    <n v="900000"/>
    <n v="0"/>
    <m/>
    <n v="1"/>
    <x v="0"/>
    <n v="0"/>
    <s v=""/>
    <x v="1"/>
  </r>
  <r>
    <x v="28"/>
    <x v="27"/>
    <n v="860536029"/>
    <x v="28"/>
    <n v="840000"/>
    <s v=" 050000-346-0-2012"/>
    <n v="2012"/>
    <s v=" "/>
    <d v="2012-09-13T00:00:00"/>
    <d v="2013-09-13T00:00:00"/>
    <s v=""/>
    <n v="0"/>
    <n v="0"/>
    <n v="0"/>
    <s v=""/>
    <s v=""/>
    <s v=""/>
    <s v=""/>
    <d v="2013-09-13T00:00:00"/>
    <n v="840000"/>
    <n v="840000"/>
    <n v="0"/>
    <m/>
    <n v="1"/>
    <x v="0"/>
    <n v="0"/>
    <s v=""/>
    <x v="1"/>
  </r>
  <r>
    <x v="29"/>
    <x v="28"/>
    <n v="860509265"/>
    <x v="29"/>
    <n v="795000"/>
    <s v=" 050000-348-0-2012"/>
    <n v="2012"/>
    <s v=" "/>
    <d v="2012-09-28T00:00:00"/>
    <d v="2013-09-28T00:00:00"/>
    <s v=""/>
    <n v="0"/>
    <n v="0"/>
    <n v="0"/>
    <s v=""/>
    <s v=""/>
    <s v=""/>
    <s v=""/>
    <d v="2013-09-28T00:00:00"/>
    <n v="795000"/>
    <n v="795000"/>
    <n v="0"/>
    <m/>
    <n v="1"/>
    <x v="0"/>
    <n v="0"/>
    <s v=""/>
    <x v="1"/>
  </r>
  <r>
    <x v="30"/>
    <x v="29"/>
    <n v="800008838"/>
    <x v="30"/>
    <n v="1818000"/>
    <s v=" SDH-SMINC-23-2012"/>
    <n v="2012"/>
    <s v=" "/>
    <d v="2012-09-13T00:00:00"/>
    <d v="2013-03-13T00:00:00"/>
    <s v=""/>
    <n v="0"/>
    <n v="0"/>
    <n v="0"/>
    <s v=""/>
    <s v=""/>
    <s v=""/>
    <s v=""/>
    <d v="2013-03-13T00:00:00"/>
    <n v="1818000"/>
    <n v="0"/>
    <n v="1818000"/>
    <m/>
    <n v="0"/>
    <x v="0"/>
    <n v="1"/>
    <s v=""/>
    <x v="0"/>
  </r>
  <r>
    <x v="31"/>
    <x v="30"/>
    <n v="51979294"/>
    <x v="31"/>
    <n v="30000000"/>
    <s v=" 050000-353-0-2012"/>
    <n v="2012"/>
    <s v=" "/>
    <d v="2012-08-30T00:00:00"/>
    <d v="2013-02-28T00:00:00"/>
    <s v=""/>
    <n v="0"/>
    <n v="0"/>
    <n v="0"/>
    <s v=""/>
    <s v=""/>
    <s v=""/>
    <s v=""/>
    <d v="2013-02-28T00:00:00"/>
    <n v="30000000"/>
    <n v="30000000"/>
    <n v="0"/>
    <m/>
    <n v="1"/>
    <x v="0"/>
    <n v="0"/>
    <s v=""/>
    <x v="1"/>
  </r>
  <r>
    <x v="32"/>
    <x v="31"/>
    <n v="39753021"/>
    <x v="32"/>
    <n v="35000000"/>
    <s v=" 050000-356-0-2012"/>
    <n v="2012"/>
    <s v=" "/>
    <d v="2012-09-03T00:00:00"/>
    <d v="2013-04-03T00:00:00"/>
    <s v=""/>
    <n v="0"/>
    <n v="0"/>
    <n v="0"/>
    <s v=""/>
    <s v=""/>
    <s v=""/>
    <s v=""/>
    <d v="2013-04-03T00:00:00"/>
    <n v="35000000"/>
    <n v="34666667"/>
    <n v="333333"/>
    <m/>
    <n v="0.99047620000000003"/>
    <x v="0"/>
    <n v="9.5237999999999712E-3"/>
    <s v=""/>
    <x v="0"/>
  </r>
  <r>
    <x v="33"/>
    <x v="32"/>
    <n v="830031631"/>
    <x v="33"/>
    <n v="8334226"/>
    <s v=" SDH-SMINC-25-2012"/>
    <n v="2012"/>
    <s v=" "/>
    <d v="2012-09-18T00:00:00"/>
    <d v="2013-12-18T00:00:00"/>
    <s v=""/>
    <n v="0"/>
    <n v="0"/>
    <n v="0"/>
    <s v=""/>
    <s v=""/>
    <s v=""/>
    <s v=""/>
    <d v="2013-12-18T00:00:00"/>
    <n v="8334226"/>
    <n v="8334226"/>
    <n v="0"/>
    <m/>
    <n v="1"/>
    <x v="0"/>
    <n v="0"/>
    <s v=""/>
    <x v="1"/>
  </r>
  <r>
    <x v="34"/>
    <x v="33"/>
    <n v="830095213"/>
    <x v="34"/>
    <n v="315000000"/>
    <s v=" SDH-SAMC-002-2012"/>
    <n v="2012"/>
    <s v=" "/>
    <d v="2012-09-11T00:00:00"/>
    <d v="2013-04-11T00:00:00"/>
    <s v=""/>
    <n v="0"/>
    <n v="0"/>
    <n v="1"/>
    <s v="77 días"/>
    <d v="2013-06-27T00:00:00"/>
    <s v=""/>
    <s v=""/>
    <d v="2013-06-27T00:00:00"/>
    <n v="315000000"/>
    <n v="314473887"/>
    <n v="526113"/>
    <m/>
    <n v="0.99832980000000004"/>
    <x v="0"/>
    <n v="1.6701999999999551E-3"/>
    <s v=""/>
    <x v="0"/>
  </r>
  <r>
    <x v="35"/>
    <x v="34"/>
    <n v="80089626"/>
    <x v="35"/>
    <n v="20565000"/>
    <s v=" "/>
    <n v="2012"/>
    <s v=" "/>
    <d v="2012-09-10T00:00:00"/>
    <d v="2013-03-10T00:00:00"/>
    <s v=""/>
    <n v="0"/>
    <n v="0"/>
    <n v="0"/>
    <s v=""/>
    <s v=""/>
    <s v=""/>
    <s v=""/>
    <d v="2013-03-10T00:00:00"/>
    <n v="20565000"/>
    <n v="20565000"/>
    <n v="0"/>
    <m/>
    <n v="1"/>
    <x v="0"/>
    <n v="0"/>
    <s v=""/>
    <x v="1"/>
  </r>
  <r>
    <x v="36"/>
    <x v="35"/>
    <n v="52798119"/>
    <x v="36"/>
    <n v="6730000"/>
    <s v=" "/>
    <n v="2012"/>
    <s v=" "/>
    <d v="2012-10-11T00:00:00"/>
    <d v="2012-12-11T00:00:00"/>
    <s v=""/>
    <n v="0"/>
    <n v="0"/>
    <n v="1"/>
    <s v="9 días"/>
    <d v="2012-12-20T00:00:00"/>
    <s v=""/>
    <s v=""/>
    <d v="2012-12-20T00:00:00"/>
    <n v="6730000"/>
    <n v="6395000"/>
    <n v="335000"/>
    <m/>
    <n v="0.95022288261515597"/>
    <x v="0"/>
    <n v="4.9777117384844027E-2"/>
    <s v=""/>
    <x v="0"/>
  </r>
  <r>
    <x v="37"/>
    <x v="36"/>
    <n v="79425541"/>
    <x v="37"/>
    <n v="23994880"/>
    <s v=" 050000-427-0-2012"/>
    <n v="2012"/>
    <s v=" "/>
    <d v="2012-10-23T00:00:00"/>
    <d v="2013-04-23T00:00:00"/>
    <s v=""/>
    <n v="0"/>
    <n v="0"/>
    <n v="0"/>
    <s v=""/>
    <s v=""/>
    <s v=""/>
    <s v=""/>
    <d v="2013-04-23T00:00:00"/>
    <n v="23994880"/>
    <n v="23994876"/>
    <n v="4"/>
    <m/>
    <n v="0.9999998332977702"/>
    <x v="0"/>
    <n v="1.66702229797977E-7"/>
    <s v=""/>
    <x v="1"/>
  </r>
  <r>
    <x v="38"/>
    <x v="37"/>
    <n v="5946865"/>
    <x v="38"/>
    <n v="38400000"/>
    <s v=" "/>
    <n v="2012"/>
    <s v=" "/>
    <d v="2012-10-05T00:00:00"/>
    <d v="2013-04-05T00:00:00"/>
    <s v=""/>
    <n v="0"/>
    <n v="0"/>
    <n v="0"/>
    <s v=""/>
    <s v=""/>
    <s v=""/>
    <s v=""/>
    <d v="2013-04-05T00:00:00"/>
    <n v="38400000"/>
    <n v="38400000"/>
    <n v="0"/>
    <m/>
    <n v="1"/>
    <x v="0"/>
    <n v="0"/>
    <s v=""/>
    <x v="1"/>
  </r>
  <r>
    <x v="39"/>
    <x v="38"/>
    <n v="900220190"/>
    <x v="39"/>
    <n v="3961330"/>
    <s v=" "/>
    <n v="2012"/>
    <s v=" "/>
    <d v="2012-12-03T00:00:00"/>
    <d v="2013-02-03T00:00:00"/>
    <s v=""/>
    <n v="0"/>
    <n v="0"/>
    <n v="0"/>
    <s v=""/>
    <s v=""/>
    <s v=""/>
    <s v=""/>
    <d v="2013-02-03T00:00:00"/>
    <n v="3961330"/>
    <n v="3961330"/>
    <n v="0"/>
    <m/>
    <n v="1"/>
    <x v="0"/>
    <n v="0"/>
    <s v=""/>
    <x v="1"/>
  </r>
  <r>
    <x v="40"/>
    <x v="39"/>
    <n v="900350416"/>
    <x v="40"/>
    <n v="24000000"/>
    <s v=" SDH-SMINC-52-2012"/>
    <n v="2012"/>
    <s v=" "/>
    <d v="2012-12-27T00:00:00"/>
    <d v="2013-06-27T00:00:00"/>
    <s v=""/>
    <n v="0"/>
    <n v="0"/>
    <n v="0"/>
    <s v=""/>
    <s v=""/>
    <s v=""/>
    <s v=""/>
    <d v="2013-06-27T00:00:00"/>
    <n v="24000000"/>
    <n v="24000000"/>
    <n v="0"/>
    <m/>
    <n v="1"/>
    <x v="0"/>
    <n v="0"/>
    <s v=""/>
    <x v="1"/>
  </r>
  <r>
    <x v="41"/>
    <x v="40"/>
    <n v="80725449"/>
    <x v="41"/>
    <n v="6000000"/>
    <s v=" "/>
    <n v="2012"/>
    <s v=" "/>
    <d v="2013-01-18T00:00:00"/>
    <d v="2013-03-17T00:00:00"/>
    <s v=""/>
    <n v="0"/>
    <n v="0"/>
    <n v="0"/>
    <s v=""/>
    <s v=""/>
    <s v=""/>
    <s v=""/>
    <d v="2013-03-17T00:00:00"/>
    <n v="6000000"/>
    <n v="6000000"/>
    <n v="0"/>
    <m/>
    <n v="1"/>
    <x v="0"/>
    <n v="0"/>
    <s v=""/>
    <x v="1"/>
  </r>
  <r>
    <x v="42"/>
    <x v="41"/>
    <n v="830067096"/>
    <x v="42"/>
    <n v="7740000"/>
    <s v=" 120000-125-0-2012"/>
    <n v="2012"/>
    <s v=" "/>
    <d v="2012-07-17T00:00:00"/>
    <d v="2013-07-17T00:00:00"/>
    <s v=""/>
    <n v="0"/>
    <n v="0"/>
    <n v="0"/>
    <s v=""/>
    <s v=""/>
    <s v=""/>
    <s v=""/>
    <d v="2013-07-17T00:00:00"/>
    <n v="7740000"/>
    <n v="7740000"/>
    <n v="0"/>
    <m/>
    <n v="1"/>
    <x v="0"/>
    <n v="0"/>
    <s v=""/>
    <x v="1"/>
  </r>
  <r>
    <x v="43"/>
    <x v="42"/>
    <n v="830034865"/>
    <x v="43"/>
    <n v="47000000"/>
    <s v=" SDH-SAMC-001-2012"/>
    <n v="2012"/>
    <s v=" "/>
    <d v="2012-06-04T00:00:00"/>
    <d v="2013-02-04T00:00:00"/>
    <s v=""/>
    <n v="0"/>
    <n v="0"/>
    <n v="1"/>
    <s v="3 meses"/>
    <d v="2013-05-04T00:00:00"/>
    <s v=""/>
    <s v=""/>
    <d v="2013-05-04T00:00:00"/>
    <n v="47000000"/>
    <n v="41245000"/>
    <n v="5755000"/>
    <m/>
    <n v="0.87755319148936173"/>
    <x v="0"/>
    <n v="0.12244680851063827"/>
    <s v=""/>
    <x v="0"/>
  </r>
  <r>
    <x v="44"/>
    <x v="43"/>
    <n v="830012587"/>
    <x v="44"/>
    <n v="950000000"/>
    <s v=" 120000-177-0-2012"/>
    <n v="2012"/>
    <s v=" "/>
    <d v="2012-05-24T00:00:00"/>
    <d v="2013-04-24T00:00:00"/>
    <s v=""/>
    <n v="0"/>
    <n v="0"/>
    <n v="1"/>
    <s v="12 días"/>
    <d v="2013-05-06T00:00:00"/>
    <s v=""/>
    <s v=""/>
    <d v="2013-05-06T00:00:00"/>
    <n v="950000000"/>
    <n v="950000000"/>
    <n v="0"/>
    <m/>
    <n v="1"/>
    <x v="0"/>
    <n v="0"/>
    <s v=""/>
    <x v="1"/>
  </r>
  <r>
    <x v="45"/>
    <x v="44"/>
    <n v="900118932"/>
    <x v="45"/>
    <n v="27918648"/>
    <s v=" "/>
    <n v="2012"/>
    <s v=" "/>
    <d v="2012-06-21T00:00:00"/>
    <d v="2012-08-11T00:00:00"/>
    <s v=""/>
    <n v="2"/>
    <n v="13786987"/>
    <n v="2"/>
    <s v="1 mes y 20 días"/>
    <d v="2012-10-31T00:00:00"/>
    <s v=""/>
    <s v=""/>
    <d v="2012-10-31T00:00:00"/>
    <n v="41705635"/>
    <n v="41705635"/>
    <n v="0"/>
    <m/>
    <n v="1"/>
    <x v="0"/>
    <n v="0"/>
    <s v=""/>
    <x v="1"/>
  </r>
  <r>
    <x v="46"/>
    <x v="45"/>
    <n v="860009578"/>
    <x v="46"/>
    <n v="4100000"/>
    <s v=" SDH-SMINC-19-2012"/>
    <n v="2012"/>
    <s v=" "/>
    <d v="2012-07-13T00:00:00"/>
    <d v="2013-07-16T00:00:00"/>
    <s v=""/>
    <n v="0"/>
    <n v="0"/>
    <n v="0"/>
    <s v=""/>
    <s v=""/>
    <s v=""/>
    <s v=""/>
    <d v="2013-07-16T00:00:00"/>
    <n v="4100000"/>
    <n v="3389600"/>
    <n v="710400"/>
    <m/>
    <n v="0.82673170731707313"/>
    <x v="0"/>
    <n v="0.17326829268292687"/>
    <s v=""/>
    <x v="0"/>
  </r>
  <r>
    <x v="47"/>
    <x v="46"/>
    <n v="900268429"/>
    <x v="47"/>
    <n v="8932201"/>
    <s v=" "/>
    <n v="2012"/>
    <s v=" "/>
    <d v="2012-08-30T00:00:00"/>
    <d v="2013-05-30T00:00:00"/>
    <s v=""/>
    <n v="0"/>
    <n v="0"/>
    <n v="1"/>
    <s v="4 meses"/>
    <d v="2013-09-30T00:00:00"/>
    <s v=""/>
    <s v=""/>
    <d v="2013-09-30T00:00:00"/>
    <n v="8932201"/>
    <n v="8906668"/>
    <n v="25533"/>
    <m/>
    <n v="0.99714146602836184"/>
    <x v="0"/>
    <n v="2.8585339716381553E-3"/>
    <s v=""/>
    <x v="0"/>
  </r>
  <r>
    <x v="48"/>
    <x v="47"/>
    <n v="830006177"/>
    <x v="48"/>
    <n v="8545000"/>
    <s v=" SDH-SMINC-17-2012"/>
    <n v="2012"/>
    <s v=" "/>
    <d v="2012-09-03T00:00:00"/>
    <d v="2013-04-03T00:00:00"/>
    <s v=""/>
    <n v="0"/>
    <n v="0"/>
    <n v="1"/>
    <s v="3 meses"/>
    <d v="2013-07-03T00:00:00"/>
    <s v=""/>
    <s v=""/>
    <d v="2013-07-03T00:00:00"/>
    <n v="8545000"/>
    <n v="4336000"/>
    <n v="4209000"/>
    <m/>
    <n v="0.50743124634289061"/>
    <x v="0"/>
    <n v="0.49256875365710939"/>
    <s v=""/>
    <x v="0"/>
  </r>
  <r>
    <x v="49"/>
    <x v="48"/>
    <n v="900548648"/>
    <x v="49"/>
    <n v="220839000"/>
    <s v=" SDH-SIE-03-2012"/>
    <n v="2012"/>
    <s v=" "/>
    <d v="2012-09-20T00:00:00"/>
    <d v="2013-04-20T00:00:00"/>
    <s v=""/>
    <n v="1"/>
    <n v="21739353"/>
    <n v="1"/>
    <s v="2 meses"/>
    <d v="2013-06-20T00:00:00"/>
    <s v=""/>
    <s v=""/>
    <d v="2013-06-20T00:00:00"/>
    <n v="242578353"/>
    <n v="218264339"/>
    <n v="24314014"/>
    <m/>
    <n v="0.89976841008562702"/>
    <x v="0"/>
    <n v="0.10023158991437298"/>
    <s v=""/>
    <x v="0"/>
  </r>
  <r>
    <x v="50"/>
    <x v="49"/>
    <n v="79661783"/>
    <x v="50"/>
    <n v="4493000"/>
    <s v=" "/>
    <n v="2012"/>
    <s v=" "/>
    <d v="2012-09-20T00:00:00"/>
    <d v="2013-03-20T00:00:00"/>
    <s v=""/>
    <n v="0"/>
    <n v="0"/>
    <n v="1"/>
    <s v="2 meses"/>
    <d v="2013-05-20T00:00:00"/>
    <s v=""/>
    <s v=""/>
    <d v="2013-05-20T00:00:00"/>
    <n v="4493000"/>
    <n v="3309000"/>
    <n v="1184000"/>
    <m/>
    <n v="0.73647896728243933"/>
    <x v="0"/>
    <n v="0.26352103271756067"/>
    <s v=""/>
    <x v="0"/>
  </r>
  <r>
    <x v="51"/>
    <x v="50"/>
    <n v="830053669"/>
    <x v="51"/>
    <n v="22726000"/>
    <s v=" "/>
    <n v="2012"/>
    <s v=" "/>
    <d v="2012-09-11T00:00:00"/>
    <d v="2013-04-11T00:00:00"/>
    <s v=""/>
    <n v="1"/>
    <n v="2000000"/>
    <n v="1"/>
    <s v="1 mes y 20 días"/>
    <d v="2013-05-31T00:00:00"/>
    <s v=""/>
    <s v=""/>
    <d v="2013-05-31T00:00:00"/>
    <n v="24726000"/>
    <n v="24725958"/>
    <n v="42"/>
    <m/>
    <n v="0.99999830138315948"/>
    <x v="0"/>
    <n v="1.6986168405175306E-6"/>
    <s v=""/>
    <x v="1"/>
  </r>
  <r>
    <x v="52"/>
    <x v="51"/>
    <n v="900552779"/>
    <x v="52"/>
    <n v="19116000"/>
    <s v=" SDH-SAMC-003-2012"/>
    <n v="2012"/>
    <s v=" "/>
    <d v="2012-09-24T00:00:00"/>
    <d v="2013-04-24T00:00:00"/>
    <s v=""/>
    <n v="1"/>
    <n v="1807575"/>
    <n v="1"/>
    <s v="21 días calendario"/>
    <d v="2013-05-15T00:00:00"/>
    <s v=""/>
    <s v=""/>
    <d v="2013-05-15T00:00:00"/>
    <n v="20923575"/>
    <n v="19912200"/>
    <n v="1011375"/>
    <m/>
    <n v="0.95166337492517417"/>
    <x v="0"/>
    <n v="4.8336625074825834E-2"/>
    <s v=""/>
    <x v="0"/>
  </r>
  <r>
    <x v="53"/>
    <x v="52"/>
    <n v="830143378"/>
    <x v="53"/>
    <n v="282073266"/>
    <s v=" "/>
    <n v="2012"/>
    <s v=" "/>
    <d v="2012-10-16T00:00:00"/>
    <d v="2013-06-16T00:00:00"/>
    <s v=""/>
    <n v="0"/>
    <n v="0"/>
    <n v="0"/>
    <s v=""/>
    <s v=""/>
    <s v=""/>
    <s v=""/>
    <d v="2013-06-16T00:00:00"/>
    <n v="282073266"/>
    <n v="282073266"/>
    <n v="0"/>
    <m/>
    <n v="1"/>
    <x v="0"/>
    <n v="0"/>
    <s v=""/>
    <x v="1"/>
  </r>
  <r>
    <x v="54"/>
    <x v="53"/>
    <n v="830126085"/>
    <x v="54"/>
    <n v="50618751"/>
    <s v=" "/>
    <n v="2012"/>
    <s v=" "/>
    <d v="2012-10-16T00:00:00"/>
    <d v="2013-06-16T00:00:00"/>
    <s v=""/>
    <n v="0"/>
    <n v="0"/>
    <n v="0"/>
    <s v=""/>
    <s v=""/>
    <s v=""/>
    <s v=""/>
    <d v="2013-06-16T00:00:00"/>
    <n v="50618751"/>
    <n v="50618751"/>
    <n v="0"/>
    <m/>
    <n v="1"/>
    <x v="0"/>
    <n v="0"/>
    <s v=""/>
    <x v="1"/>
  </r>
  <r>
    <x v="55"/>
    <x v="54"/>
    <n v="860015685"/>
    <x v="55"/>
    <n v="69900000"/>
    <s v=" "/>
    <n v="2012"/>
    <s v=" "/>
    <d v="2012-10-20T00:00:00"/>
    <d v="2013-06-20T00:00:00"/>
    <s v=""/>
    <n v="0"/>
    <n v="0"/>
    <n v="0"/>
    <s v="41 días"/>
    <s v=""/>
    <s v=""/>
    <s v=""/>
    <d v="2013-06-20T00:00:00"/>
    <n v="69900000"/>
    <n v="69900000"/>
    <n v="0"/>
    <m/>
    <n v="1"/>
    <x v="0"/>
    <n v="0"/>
    <s v=""/>
    <x v="1"/>
  </r>
  <r>
    <x v="56"/>
    <x v="55"/>
    <n v="860506170"/>
    <x v="56"/>
    <n v="500000000"/>
    <s v=" "/>
    <n v="2012"/>
    <s v=" "/>
    <d v="2012-09-18T00:00:00"/>
    <d v="2013-05-18T00:00:00"/>
    <s v=""/>
    <n v="0"/>
    <n v="0"/>
    <n v="0"/>
    <s v=""/>
    <s v=""/>
    <s v=""/>
    <s v=""/>
    <d v="2013-05-18T00:00:00"/>
    <n v="500000000"/>
    <n v="500000000"/>
    <n v="0"/>
    <m/>
    <n v="1"/>
    <x v="0"/>
    <n v="0"/>
    <s v=""/>
    <x v="1"/>
  </r>
  <r>
    <x v="57"/>
    <x v="56"/>
    <n v="860049921"/>
    <x v="57"/>
    <n v="10440000"/>
    <s v=" 120000-196-0-2012"/>
    <n v="2012"/>
    <s v=" "/>
    <d v="2012-06-07T00:00:00"/>
    <d v="2013-02-07T00:00:00"/>
    <s v=""/>
    <n v="0"/>
    <n v="0"/>
    <n v="0"/>
    <s v=""/>
    <s v=""/>
    <s v=""/>
    <s v=""/>
    <d v="2013-02-07T00:00:00"/>
    <n v="10440000"/>
    <n v="10440000"/>
    <n v="0"/>
    <m/>
    <n v="1"/>
    <x v="0"/>
    <n v="0"/>
    <s v=""/>
    <x v="1"/>
  </r>
  <r>
    <x v="58"/>
    <x v="57"/>
    <n v="830085352"/>
    <x v="58"/>
    <n v="24824832"/>
    <s v=" SDH-SMINC-029-2012"/>
    <n v="2012"/>
    <s v=" "/>
    <d v="2012-10-26T00:00:00"/>
    <d v="2013-07-26T00:00:00"/>
    <s v=""/>
    <n v="0"/>
    <n v="0"/>
    <n v="0"/>
    <s v=""/>
    <s v=""/>
    <s v=""/>
    <s v=""/>
    <d v="2013-07-26T00:00:00"/>
    <n v="24824832"/>
    <n v="24824832"/>
    <n v="0"/>
    <m/>
    <n v="1"/>
    <x v="0"/>
    <n v="0"/>
    <s v=""/>
    <x v="1"/>
  </r>
  <r>
    <x v="59"/>
    <x v="58"/>
    <n v="900169179"/>
    <x v="59"/>
    <n v="810000"/>
    <s v=" "/>
    <n v="2012"/>
    <s v=" "/>
    <d v="2012-10-11T00:00:00"/>
    <d v="2013-10-11T00:00:00"/>
    <s v=""/>
    <n v="0"/>
    <n v="0"/>
    <n v="0"/>
    <s v=""/>
    <s v=""/>
    <s v=""/>
    <s v=""/>
    <d v="2013-10-11T00:00:00"/>
    <n v="810000"/>
    <n v="810000"/>
    <n v="0"/>
    <m/>
    <n v="1"/>
    <x v="0"/>
    <n v="0"/>
    <s v=""/>
    <x v="1"/>
  </r>
  <r>
    <x v="60"/>
    <x v="59"/>
    <n v="830042460"/>
    <x v="60"/>
    <n v="299287875"/>
    <s v=" SDH-SAMC-004-2012"/>
    <n v="2012"/>
    <s v=" "/>
    <d v="2012-10-26T00:00:00"/>
    <d v="2013-06-26T00:00:00"/>
    <s v=""/>
    <n v="0"/>
    <n v="0"/>
    <n v="0"/>
    <s v=""/>
    <s v=""/>
    <s v=""/>
    <s v=""/>
    <d v="2013-06-26T00:00:00"/>
    <n v="299287875"/>
    <n v="160844981"/>
    <n v="138442894"/>
    <m/>
    <n v="0.53742565080526572"/>
    <x v="0"/>
    <n v="0.46257434919473428"/>
    <s v=""/>
    <x v="0"/>
  </r>
  <r>
    <x v="61"/>
    <x v="60"/>
    <n v="830017796"/>
    <x v="61"/>
    <n v="1392000"/>
    <s v=" SMINC-35-2012"/>
    <n v="2012"/>
    <s v=" "/>
    <d v="2012-11-29T00:00:00"/>
    <d v="2013-01-29T00:00:00"/>
    <s v=""/>
    <n v="0"/>
    <n v="0"/>
    <n v="4"/>
    <s v="9 meses"/>
    <d v="2013-09-17T00:00:00"/>
    <s v=""/>
    <s v=""/>
    <d v="2013-09-17T00:00:00"/>
    <n v="1392000"/>
    <n v="0"/>
    <n v="1392000"/>
    <m/>
    <n v="0"/>
    <x v="0"/>
    <n v="1"/>
    <s v=""/>
    <x v="0"/>
  </r>
  <r>
    <x v="62"/>
    <x v="61"/>
    <n v="830043839"/>
    <x v="62"/>
    <n v="4056000"/>
    <s v=" SDH-SMINC-34-2012"/>
    <n v="2012"/>
    <s v=" "/>
    <d v="2012-10-26T00:00:00"/>
    <d v="2013-04-26T00:00:00"/>
    <s v=""/>
    <n v="0"/>
    <n v="0"/>
    <n v="0"/>
    <s v=""/>
    <s v=""/>
    <s v=""/>
    <s v=""/>
    <d v="2013-04-26T00:00:00"/>
    <n v="4056000"/>
    <n v="4056000"/>
    <n v="0"/>
    <m/>
    <n v="1"/>
    <x v="0"/>
    <n v="0"/>
    <s v=""/>
    <x v="1"/>
  </r>
  <r>
    <x v="63"/>
    <x v="62"/>
    <n v="900431177"/>
    <x v="63"/>
    <n v="431745000"/>
    <s v=" SDH-LP-003-2012"/>
    <n v="2012"/>
    <s v=" "/>
    <d v="2012-11-01T00:00:00"/>
    <d v="2013-09-01T00:00:00"/>
    <s v=""/>
    <n v="1"/>
    <n v="95000000"/>
    <n v="1"/>
    <s v="2 meses"/>
    <d v="2013-11-01T00:00:00"/>
    <s v=""/>
    <s v=""/>
    <d v="2013-11-01T00:00:00"/>
    <n v="526745000"/>
    <n v="526745000"/>
    <n v="0"/>
    <m/>
    <n v="1"/>
    <x v="0"/>
    <n v="0"/>
    <s v=""/>
    <x v="1"/>
  </r>
  <r>
    <x v="64"/>
    <x v="63"/>
    <n v="860066942"/>
    <x v="64"/>
    <n v="407400000"/>
    <s v=" SDH-SAMC-005-2012"/>
    <n v="2012"/>
    <s v=" "/>
    <d v="2012-11-19T00:00:00"/>
    <d v="2013-04-19T00:00:00"/>
    <s v=""/>
    <n v="2"/>
    <n v="211889880"/>
    <n v="4"/>
    <s v="5 meses y 27 días"/>
    <d v="2013-10-15T00:00:00"/>
    <s v=""/>
    <s v=""/>
    <d v="2013-10-15T00:00:00"/>
    <n v="619289880"/>
    <n v="619289880"/>
    <n v="0"/>
    <m/>
    <n v="1"/>
    <x v="0"/>
    <n v="0"/>
    <s v=""/>
    <x v="1"/>
  </r>
  <r>
    <x v="65"/>
    <x v="64"/>
    <n v="80199707"/>
    <x v="65"/>
    <n v="37359000"/>
    <s v=" "/>
    <n v="2012"/>
    <s v=" "/>
    <d v="2012-11-21T00:00:00"/>
    <d v="2013-06-21T00:00:00"/>
    <s v=""/>
    <n v="0"/>
    <n v="0"/>
    <n v="0"/>
    <s v=""/>
    <s v=""/>
    <s v=""/>
    <s v=""/>
    <d v="2013-06-21T00:00:00"/>
    <n v="37359000"/>
    <n v="37359000"/>
    <n v="0"/>
    <m/>
    <n v="1"/>
    <x v="0"/>
    <n v="0"/>
    <s v=""/>
    <x v="1"/>
  </r>
  <r>
    <x v="66"/>
    <x v="65"/>
    <n v="830100153"/>
    <x v="66"/>
    <n v="20358000"/>
    <s v=" SDH-SMINC-046-2012"/>
    <n v="2012"/>
    <s v=" "/>
    <d v="2012-11-27T00:00:00"/>
    <d v="2013-05-27T00:00:00"/>
    <s v=""/>
    <n v="1"/>
    <n v="8062000"/>
    <n v="1"/>
    <s v="1 mes"/>
    <d v="2013-06-27T00:00:00"/>
    <s v=""/>
    <s v=""/>
    <d v="2013-06-27T00:00:00"/>
    <n v="28420000"/>
    <n v="28379400"/>
    <n v="40600"/>
    <m/>
    <n v="0.99857142857142855"/>
    <x v="0"/>
    <n v="1.4285714285714457E-3"/>
    <s v=""/>
    <x v="0"/>
  </r>
  <r>
    <x v="67"/>
    <x v="66"/>
    <n v="860030197"/>
    <x v="67"/>
    <n v="6388708"/>
    <s v=" 012000-466-0-2012"/>
    <n v="2012"/>
    <s v=" "/>
    <d v="2012-12-05T00:00:00"/>
    <d v="2013-08-14T00:00:00"/>
    <s v=""/>
    <n v="1"/>
    <n v="2648556"/>
    <n v="3"/>
    <s v="3 meses y 20 días"/>
    <d v="2013-11-02T00:00:00"/>
    <s v=""/>
    <s v=""/>
    <d v="2013-11-02T00:00:00"/>
    <n v="9037264"/>
    <n v="7492420"/>
    <n v="1544844"/>
    <m/>
    <n v="0.82905844069621071"/>
    <x v="0"/>
    <n v="0.17094155930378929"/>
    <s v=""/>
    <x v="0"/>
  </r>
  <r>
    <x v="68"/>
    <x v="67"/>
    <n v="860007336"/>
    <x v="68"/>
    <n v="58300000"/>
    <s v=" "/>
    <n v="2012"/>
    <s v=" "/>
    <d v="2012-12-17T00:00:00"/>
    <d v="2013-02-17T00:00:00"/>
    <s v=""/>
    <n v="0"/>
    <n v="0"/>
    <n v="0"/>
    <s v=""/>
    <s v=""/>
    <s v=""/>
    <s v=""/>
    <d v="2013-02-17T00:00:00"/>
    <n v="58300000"/>
    <n v="58300000"/>
    <n v="0"/>
    <m/>
    <n v="1"/>
    <x v="0"/>
    <n v="0"/>
    <s v=""/>
    <x v="1"/>
  </r>
  <r>
    <x v="69"/>
    <x v="68"/>
    <n v="800045878"/>
    <x v="69"/>
    <n v="293000000"/>
    <s v=" "/>
    <n v="2012"/>
    <s v=" "/>
    <d v="2012-12-26T00:00:00"/>
    <d v="2013-06-26T00:00:00"/>
    <s v=""/>
    <n v="2"/>
    <n v="118000000"/>
    <n v="4"/>
    <s v="4 meses y 20 días"/>
    <d v="2013-11-15T00:00:00"/>
    <s v=""/>
    <s v=""/>
    <d v="2013-11-15T00:00:00"/>
    <n v="411000000"/>
    <n v="411000000"/>
    <n v="0"/>
    <m/>
    <n v="1"/>
    <x v="0"/>
    <n v="0"/>
    <s v=""/>
    <x v="1"/>
  </r>
  <r>
    <x v="70"/>
    <x v="69"/>
    <n v="830050320"/>
    <x v="70"/>
    <n v="10032000"/>
    <s v="SDH-SMINC-54-2012 "/>
    <n v="2012"/>
    <s v=" "/>
    <d v="2012-12-28T00:00:00"/>
    <d v="2013-08-28T00:00:00"/>
    <s v=""/>
    <n v="0"/>
    <n v="0"/>
    <n v="1"/>
    <s v="2 meses"/>
    <d v="2013-10-28T00:00:00"/>
    <s v=""/>
    <s v=""/>
    <d v="2013-10-28T00:00:00"/>
    <n v="10032000"/>
    <n v="9339930"/>
    <n v="692070"/>
    <m/>
    <n v="0.93101375598086122"/>
    <x v="0"/>
    <n v="6.8986244019138776E-2"/>
    <s v=""/>
    <x v="0"/>
  </r>
  <r>
    <x v="71"/>
    <x v="70"/>
    <n v="805006014"/>
    <x v="71"/>
    <n v="1633200"/>
    <s v=" "/>
    <n v="2012"/>
    <s v=" "/>
    <d v="2013-01-14T00:00:00"/>
    <d v="2014-01-13T00:00:00"/>
    <s v=""/>
    <n v="1"/>
    <n v="285000"/>
    <n v="1"/>
    <s v="2 meses"/>
    <d v="2014-03-13T00:00:00"/>
    <s v=""/>
    <s v=""/>
    <d v="2014-03-13T00:00:00"/>
    <n v="1918200"/>
    <n v="1755170"/>
    <n v="163030"/>
    <m/>
    <n v="0.91500886247523716"/>
    <x v="0"/>
    <n v="8.4991137524762839E-2"/>
    <s v=""/>
    <x v="0"/>
  </r>
  <r>
    <x v="72"/>
    <x v="55"/>
    <n v="860506170"/>
    <x v="72"/>
    <n v="398614000"/>
    <s v=" "/>
    <n v="2013"/>
    <s v=" "/>
    <d v="2014-08-13T00:00:00"/>
    <d v="2015-04-13T00:00:00"/>
    <s v=""/>
    <n v="0"/>
    <n v="0"/>
    <n v="1"/>
    <s v="7 meses"/>
    <d v="2015-11-13T00:00:00"/>
    <s v=""/>
    <s v=""/>
    <d v="2015-11-13T00:00:00"/>
    <n v="398614000"/>
    <n v="398614000"/>
    <n v="0"/>
    <m/>
    <n v="1"/>
    <x v="0"/>
    <n v="0"/>
    <s v=""/>
    <x v="1"/>
  </r>
  <r>
    <x v="73"/>
    <x v="71"/>
    <n v="900006611"/>
    <x v="73"/>
    <n v="1062500"/>
    <s v=" SDH-SMINC-59-2012"/>
    <n v="2012"/>
    <s v=" "/>
    <d v="2013-01-18T00:00:00"/>
    <d v="2013-02-17T00:00:00"/>
    <s v=""/>
    <n v="0"/>
    <n v="0"/>
    <n v="0"/>
    <s v=""/>
    <s v=""/>
    <s v=""/>
    <s v=""/>
    <d v="2013-02-17T00:00:00"/>
    <n v="1062500"/>
    <n v="1062500"/>
    <n v="0"/>
    <m/>
    <n v="1"/>
    <x v="0"/>
    <n v="0"/>
    <s v=""/>
    <x v="1"/>
  </r>
  <r>
    <x v="74"/>
    <x v="72"/>
    <n v="830039811"/>
    <x v="74"/>
    <n v="80074800"/>
    <s v=" "/>
    <n v="2012"/>
    <s v=" "/>
    <d v="2013-02-08T00:00:00"/>
    <d v="2014-03-07T00:00:00"/>
    <s v=""/>
    <n v="1"/>
    <n v="35588800"/>
    <n v="1"/>
    <s v="1 mes"/>
    <d v="2014-04-07T00:00:00"/>
    <s v=""/>
    <s v=""/>
    <d v="2014-04-07T00:00:00"/>
    <n v="115663600"/>
    <n v="115663040"/>
    <n v="560"/>
    <m/>
    <n v="0.99999515837307507"/>
    <x v="0"/>
    <n v="4.8416269249340615E-6"/>
    <s v=""/>
    <x v="1"/>
  </r>
  <r>
    <x v="75"/>
    <x v="73"/>
    <n v="4831"/>
    <x v="75"/>
    <n v="13806000"/>
    <s v=" "/>
    <n v="2012"/>
    <s v=" "/>
    <d v="2013-01-04T00:00:00"/>
    <d v="2013-06-04T00:00:00"/>
    <s v=""/>
    <n v="0"/>
    <n v="0"/>
    <n v="1"/>
    <s v="1 mes"/>
    <d v="2013-07-04T00:00:00"/>
    <s v=""/>
    <s v=""/>
    <d v="2013-07-04T00:00:00"/>
    <n v="13806000"/>
    <n v="12439108"/>
    <n v="1366892"/>
    <m/>
    <n v="0.90099290163696943"/>
    <x v="0"/>
    <n v="9.9007098363030566E-2"/>
    <s v=""/>
    <x v="0"/>
  </r>
  <r>
    <x v="76"/>
    <x v="74"/>
    <n v="860053274"/>
    <x v="13"/>
    <n v="59046000"/>
    <s v=" "/>
    <n v="2012"/>
    <s v=" "/>
    <d v="2013-01-18T00:00:00"/>
    <d v="2013-06-17T00:00:00"/>
    <s v=""/>
    <n v="1"/>
    <n v="20167111"/>
    <n v="2"/>
    <s v="5 meses y 13 días"/>
    <d v="2013-11-30T00:00:00"/>
    <s v=""/>
    <s v=""/>
    <d v="2013-11-30T00:00:00"/>
    <n v="79213111"/>
    <n v="65129800"/>
    <n v="14083311"/>
    <m/>
    <n v="0.82220984856913393"/>
    <x v="0"/>
    <n v="0.17779015143086607"/>
    <s v=""/>
    <x v="0"/>
  </r>
  <r>
    <x v="77"/>
    <x v="75"/>
    <n v="860066942"/>
    <x v="76"/>
    <n v="49500000"/>
    <s v=" "/>
    <n v="2012"/>
    <s v=" "/>
    <d v="2013-02-20T00:00:00"/>
    <d v="2013-08-19T00:00:00"/>
    <s v=""/>
    <n v="1"/>
    <n v="25746412"/>
    <n v="0"/>
    <s v=""/>
    <s v=""/>
    <s v=""/>
    <s v=""/>
    <d v="2013-08-19T00:00:00"/>
    <n v="75246412"/>
    <n v="75232704"/>
    <n v="13708"/>
    <m/>
    <n v="0.99981782520075513"/>
    <x v="0"/>
    <n v="1.821747992448719E-4"/>
    <s v=""/>
    <x v="1"/>
  </r>
  <r>
    <x v="78"/>
    <x v="76"/>
    <n v="891501783"/>
    <x v="77"/>
    <n v="36990000"/>
    <s v=" SDH-SMINC-64-2012"/>
    <n v="2012"/>
    <s v=" "/>
    <d v="2013-02-18T00:00:00"/>
    <d v="2013-06-17T00:00:00"/>
    <s v=""/>
    <n v="0"/>
    <n v="0"/>
    <n v="0"/>
    <s v=""/>
    <s v=""/>
    <s v=""/>
    <s v=""/>
    <d v="2013-06-17T00:00:00"/>
    <n v="36990000"/>
    <n v="36990000"/>
    <n v="0"/>
    <m/>
    <n v="1"/>
    <x v="0"/>
    <n v="0"/>
    <s v=""/>
    <x v="1"/>
  </r>
  <r>
    <x v="79"/>
    <x v="77"/>
    <n v="800058607"/>
    <x v="78"/>
    <n v="85314724"/>
    <s v=" "/>
    <n v="2012"/>
    <s v=" "/>
    <d v="2013-02-11T00:00:00"/>
    <d v="2014-02-10T00:00:00"/>
    <s v=""/>
    <n v="0"/>
    <n v="0"/>
    <n v="0"/>
    <s v=""/>
    <s v=""/>
    <s v=""/>
    <s v=""/>
    <d v="2014-02-10T00:00:00"/>
    <n v="85314724"/>
    <n v="85314724"/>
    <n v="0"/>
    <m/>
    <n v="1"/>
    <x v="0"/>
    <n v="0"/>
    <s v=""/>
    <x v="1"/>
  </r>
  <r>
    <x v="80"/>
    <x v="78"/>
    <n v="830017209"/>
    <x v="79"/>
    <n v="123000000"/>
    <s v=" SDH-SIE-12-2012"/>
    <n v="2013"/>
    <s v=" "/>
    <d v="2013-02-14T00:00:00"/>
    <d v="2014-02-13T00:00:00"/>
    <s v=""/>
    <n v="0"/>
    <n v="0"/>
    <n v="0"/>
    <s v=""/>
    <s v=""/>
    <s v=""/>
    <s v=""/>
    <d v="2014-02-13T00:00:00"/>
    <n v="123000000"/>
    <n v="123000000"/>
    <n v="0"/>
    <s v="Porcentaje de avance"/>
    <n v="1"/>
    <x v="0"/>
    <n v="0"/>
    <s v=""/>
    <x v="1"/>
  </r>
  <r>
    <x v="81"/>
    <x v="79"/>
    <n v="900241832"/>
    <x v="80"/>
    <n v="1113600"/>
    <s v=" SDH-SMINC-001-2013"/>
    <n v="2013"/>
    <s v=" "/>
    <d v="2013-03-14T00:00:00"/>
    <d v="2014-03-13T00:00:00"/>
    <s v=""/>
    <n v="0"/>
    <n v="0"/>
    <n v="0"/>
    <s v=""/>
    <s v=""/>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n v="2013"/>
    <s v=" "/>
    <d v="2013-03-14T00:00:00"/>
    <d v="2014-01-13T00:00:00"/>
    <s v=""/>
    <n v="0"/>
    <n v="0"/>
    <n v="0"/>
    <s v=""/>
    <s v=""/>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s v=""/>
    <n v="0"/>
    <n v="0"/>
    <n v="0"/>
    <s v=""/>
    <s v=""/>
    <s v=""/>
    <s v=""/>
    <d v="2014-04-02T00:00:00"/>
    <n v="15913500"/>
    <n v="15453868"/>
    <n v="459632"/>
    <m/>
    <n v="0.971116850472869"/>
    <x v="0"/>
    <n v="2.8883149527131002E-2"/>
    <s v=""/>
    <x v="0"/>
  </r>
  <r>
    <x v="84"/>
    <x v="82"/>
    <n v="860001022"/>
    <x v="82"/>
    <n v="1197000"/>
    <s v=" "/>
    <n v="2013"/>
    <s v=" "/>
    <d v="2013-03-19T00:00:00"/>
    <d v="2014-03-18T00:00:00"/>
    <s v=""/>
    <n v="0"/>
    <n v="0"/>
    <n v="0"/>
    <s v=""/>
    <s v=""/>
    <s v=""/>
    <s v=""/>
    <d v="2014-03-18T00:00:00"/>
    <n v="1197000"/>
    <n v="1197000"/>
    <n v="0"/>
    <s v="Único pago"/>
    <n v="1"/>
    <x v="0"/>
    <n v="0"/>
    <s v=""/>
    <x v="1"/>
  </r>
  <r>
    <x v="85"/>
    <x v="22"/>
    <n v="900152368"/>
    <x v="23"/>
    <n v="8360000"/>
    <s v=" SDH-SMINC-04-2013"/>
    <n v="2013"/>
    <s v=" "/>
    <d v="2013-05-06T00:00:00"/>
    <d v="2014-05-05T00:00:00"/>
    <s v=""/>
    <n v="0"/>
    <n v="0"/>
    <n v="0"/>
    <s v=""/>
    <s v=""/>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130106-0-2013"/>
    <n v="2013"/>
    <s v=" "/>
    <d v="2013-04-29T00:00:00"/>
    <d v="2013-09-28T00:00:00"/>
    <s v=""/>
    <n v="0"/>
    <n v="0"/>
    <n v="0"/>
    <s v=""/>
    <s v=""/>
    <s v=""/>
    <s v=""/>
    <d v="2013-09-28T00:00:00"/>
    <n v="3700000"/>
    <n v="3700000"/>
    <n v="0"/>
    <s v="Un pago a la entrega a satisfacción de los 60 Directorios."/>
    <n v="1"/>
    <x v="0"/>
    <n v="0"/>
    <s v=""/>
    <x v="1"/>
  </r>
  <r>
    <x v="87"/>
    <x v="84"/>
    <n v="79843891"/>
    <x v="84"/>
    <n v="50000000"/>
    <s v=" 130116-0-2013"/>
    <n v="2013"/>
    <s v=" "/>
    <d v="2013-04-23T00:00:00"/>
    <d v="2014-02-22T00:00:00"/>
    <s v=""/>
    <n v="0"/>
    <n v="0"/>
    <n v="0"/>
    <s v=""/>
    <s v=""/>
    <s v=""/>
    <s v=""/>
    <d v="2014-02-22T00:00:00"/>
    <n v="50000000"/>
    <n v="50000000"/>
    <n v="0"/>
    <s v="Mensual"/>
    <n v="1"/>
    <x v="0"/>
    <n v="0"/>
    <s v=""/>
    <x v="1"/>
  </r>
  <r>
    <x v="88"/>
    <x v="85"/>
    <n v="51931422"/>
    <x v="85"/>
    <n v="41600000"/>
    <s v=" 130121-0-2013"/>
    <n v="2013"/>
    <s v=" "/>
    <d v="2013-05-02T00:00:00"/>
    <d v="2014-03-01T00:00:00"/>
    <s v=""/>
    <n v="0"/>
    <n v="0"/>
    <n v="0"/>
    <s v=""/>
    <s v=""/>
    <s v=""/>
    <s v=""/>
    <d v="2014-03-01T00:00:00"/>
    <n v="41600000"/>
    <n v="41600000"/>
    <n v="0"/>
    <s v="Mensual"/>
    <n v="1"/>
    <x v="0"/>
    <n v="0"/>
    <s v=""/>
    <x v="1"/>
  </r>
  <r>
    <x v="89"/>
    <x v="16"/>
    <n v="899999115"/>
    <x v="86"/>
    <n v="160000000"/>
    <s v=" "/>
    <n v="2013"/>
    <s v=" "/>
    <d v="2013-05-17T00:00:00"/>
    <d v="2013-07-22T00:00:00"/>
    <s v=""/>
    <n v="1"/>
    <n v="80000000"/>
    <n v="1"/>
    <s v="1 mes"/>
    <d v="2013-08-22T00:00:00"/>
    <s v=""/>
    <s v=""/>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SDH-SAMC-03-2013"/>
    <n v="2013"/>
    <s v=" "/>
    <d v="2013-05-09T00:00:00"/>
    <d v="2014-02-08T00:00:00"/>
    <s v=""/>
    <n v="1"/>
    <n v="11395000"/>
    <n v="3"/>
    <s v="7 meses"/>
    <d v="2014-09-08T00:00:00"/>
    <s v=""/>
    <s v=""/>
    <d v="2014-09-08T00:00:00"/>
    <n v="67179000"/>
    <n v="67115300"/>
    <n v="63700"/>
    <s v="Mensual"/>
    <n v="0.9990517870167761"/>
    <x v="0"/>
    <n v="9.4821298322389502E-4"/>
    <s v=""/>
    <x v="1"/>
  </r>
  <r>
    <x v="91"/>
    <x v="33"/>
    <n v="830095213"/>
    <x v="34"/>
    <n v="351295000"/>
    <s v=" SDH-SAMC-02-2013"/>
    <n v="2013"/>
    <s v=" "/>
    <d v="2013-06-01T00:00:00"/>
    <d v="2014-02-01T00:00:00"/>
    <s v=""/>
    <n v="2"/>
    <n v="121839060"/>
    <n v="3"/>
    <s v="5 meses"/>
    <d v="2014-06-30T00:00:00"/>
    <s v=""/>
    <s v=""/>
    <d v="2014-06-30T00:00:00"/>
    <n v="473134060"/>
    <n v="473133510"/>
    <n v="550"/>
    <s v="Mensual"/>
    <n v="0.99999883753877283"/>
    <x v="0"/>
    <n v="1.1624612271665669E-6"/>
    <s v=""/>
    <x v="1"/>
  </r>
  <r>
    <x v="92"/>
    <x v="86"/>
    <n v="830070625"/>
    <x v="87"/>
    <n v="2096276"/>
    <s v=" SDH-SMINC-06-2013"/>
    <n v="2013"/>
    <s v=" "/>
    <d v="2013-05-23T00:00:00"/>
    <d v="2014-02-22T00:00:00"/>
    <s v=""/>
    <n v="0"/>
    <n v="0"/>
    <n v="0"/>
    <s v=""/>
    <s v=""/>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SDH-SMINC-12-2013"/>
    <n v="2013"/>
    <s v=" "/>
    <d v="2013-05-22T00:00:00"/>
    <d v="2014-01-21T00:00:00"/>
    <s v=""/>
    <n v="1"/>
    <n v="6150000"/>
    <n v="0"/>
    <s v=""/>
    <s v=""/>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130139-0-2013"/>
    <n v="2013"/>
    <s v=" "/>
    <d v="2013-05-16T00:00:00"/>
    <d v="2014-05-15T00:00:00"/>
    <s v=""/>
    <n v="0"/>
    <n v="0"/>
    <n v="0"/>
    <s v=""/>
    <s v=""/>
    <s v=""/>
    <s v=""/>
    <d v="2014-05-15T00:00:00"/>
    <n v="7740000"/>
    <n v="7740000"/>
    <n v="0"/>
    <m/>
    <n v="1"/>
    <x v="0"/>
    <n v="0"/>
    <s v=""/>
    <x v="1"/>
  </r>
  <r>
    <x v="95"/>
    <x v="88"/>
    <n v="52353202"/>
    <x v="84"/>
    <n v="50000000"/>
    <s v=" 130141-0-2013"/>
    <n v="2013"/>
    <s v=" "/>
    <d v="2013-05-16T00:00:00"/>
    <d v="2014-03-15T00:00:00"/>
    <s v=""/>
    <n v="0"/>
    <n v="0"/>
    <n v="0"/>
    <s v=""/>
    <s v=""/>
    <s v=""/>
    <s v=""/>
    <d v="2014-03-15T00:00:00"/>
    <n v="50000000"/>
    <n v="27500000"/>
    <n v="22500000"/>
    <s v="Mensual"/>
    <n v="0.55000000000000004"/>
    <x v="0"/>
    <n v="0.44999999999999996"/>
    <s v=""/>
    <x v="0"/>
  </r>
  <r>
    <x v="96"/>
    <x v="89"/>
    <n v="900333228"/>
    <x v="90"/>
    <n v="9366000"/>
    <s v=" SDH-SMINC-007-2013"/>
    <n v="2013"/>
    <s v=" "/>
    <d v="2013-05-29T00:00:00"/>
    <d v="2014-02-28T00:00:00"/>
    <s v=""/>
    <n v="0"/>
    <n v="0"/>
    <n v="0"/>
    <s v=""/>
    <s v=""/>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SDH-SAMC-01-2013"/>
    <n v="2013"/>
    <s v=" "/>
    <d v="2013-05-16T00:00:00"/>
    <d v="2013-12-15T00:00:00"/>
    <s v=""/>
    <n v="3"/>
    <n v="10820000"/>
    <n v="3"/>
    <s v="6 meses  "/>
    <d v="2014-06-16T00:00:00"/>
    <s v=""/>
    <s v=""/>
    <d v="2014-06-16T00:00:00"/>
    <n v="33120000"/>
    <n v="32832950"/>
    <n v="287050"/>
    <s v="Mensual"/>
    <n v="0.99133303140096618"/>
    <x v="0"/>
    <n v="8.6669685990338197E-3"/>
    <s v=""/>
    <x v="0"/>
  </r>
  <r>
    <x v="98"/>
    <x v="90"/>
    <n v="830109807"/>
    <x v="91"/>
    <n v="1030000"/>
    <s v=" SDH-SMINC-08-2013"/>
    <n v="2013"/>
    <s v=" "/>
    <d v="2013-06-13T00:00:00"/>
    <d v="2014-06-12T00:00:00"/>
    <s v=""/>
    <n v="0"/>
    <n v="0"/>
    <n v="0"/>
    <s v=""/>
    <s v=""/>
    <s v=""/>
    <s v=""/>
    <d v="2014-06-12T00:00:00"/>
    <n v="1030000"/>
    <n v="1030000"/>
    <n v="0"/>
    <s v="Único pago"/>
    <n v="1"/>
    <x v="0"/>
    <n v="0"/>
    <s v=""/>
    <x v="1"/>
  </r>
  <r>
    <x v="99"/>
    <x v="91"/>
    <n v="830005370"/>
    <x v="92"/>
    <n v="1379939352"/>
    <s v=" "/>
    <n v="2013"/>
    <s v=" "/>
    <d v="2013-05-27T00:00:00"/>
    <d v="2014-05-26T00:00:00"/>
    <s v=""/>
    <n v="1"/>
    <n v="172492424"/>
    <n v="3"/>
    <s v="3 meses y 20 días"/>
    <d v="2014-09-15T00:00:00"/>
    <s v=""/>
    <s v=""/>
    <d v="2014-09-15T00:00:00"/>
    <n v="1552431776"/>
    <n v="1552431775"/>
    <n v="1"/>
    <s v="Mensual"/>
    <n v="0.99999999935584927"/>
    <x v="0"/>
    <n v="6.4415073275370105E-10"/>
    <s v=""/>
    <x v="1"/>
  </r>
  <r>
    <x v="100"/>
    <x v="20"/>
    <n v="860009759"/>
    <x v="21"/>
    <n v="849000"/>
    <s v=" 130152-0-2013"/>
    <n v="2013"/>
    <s v=" "/>
    <d v="2013-05-27T00:00:00"/>
    <d v="2014-11-26T00:00:00"/>
    <s v=""/>
    <n v="0"/>
    <n v="0"/>
    <n v="0"/>
    <s v=""/>
    <s v=""/>
    <s v=""/>
    <s v=""/>
    <d v="2014-11-26T00:00:00"/>
    <n v="849000"/>
    <n v="849000"/>
    <n v="0"/>
    <s v="Único pago"/>
    <n v="1"/>
    <x v="0"/>
    <n v="0"/>
    <s v=""/>
    <x v="1"/>
  </r>
  <r>
    <x v="101"/>
    <x v="92"/>
    <n v="830101973"/>
    <x v="93"/>
    <n v="15000000"/>
    <s v=" SDH-SMINC-14-2013"/>
    <n v="2013"/>
    <s v=" "/>
    <d v="2013-07-04T00:00:00"/>
    <d v="2014-03-03T00:00:00"/>
    <s v=""/>
    <n v="0"/>
    <n v="0"/>
    <n v="1"/>
    <s v="4 meses"/>
    <d v="2014-07-03T00:00:00"/>
    <s v=""/>
    <s v=""/>
    <d v="2014-07-03T00:00:00"/>
    <n v="15000000"/>
    <n v="5368620"/>
    <n v="9631380"/>
    <s v="Mensual"/>
    <n v="0.357908"/>
    <x v="0"/>
    <n v="0.642092"/>
    <s v=""/>
    <x v="0"/>
  </r>
  <r>
    <x v="102"/>
    <x v="50"/>
    <n v="830053669"/>
    <x v="51"/>
    <n v="31904847"/>
    <s v=" SDH-SIE-01-2013"/>
    <n v="2013"/>
    <s v=" "/>
    <d v="2013-06-01T00:00:00"/>
    <d v="2014-03-31T00:00:00"/>
    <s v=""/>
    <n v="2"/>
    <n v="4000000"/>
    <n v="2"/>
    <s v="3 meses"/>
    <d v="2014-06-30T00:00:00"/>
    <s v=""/>
    <s v=""/>
    <d v="2014-06-30T00:00:00"/>
    <n v="35904847"/>
    <n v="35904845"/>
    <n v="2"/>
    <s v="Mensual"/>
    <n v="0.99999994429721428"/>
    <x v="0"/>
    <n v="5.5702785717315351E-8"/>
    <s v=""/>
    <x v="1"/>
  </r>
  <r>
    <x v="103"/>
    <x v="93"/>
    <n v="230802"/>
    <x v="94"/>
    <n v="40000000"/>
    <s v=" 130161-0-2013"/>
    <n v="2013"/>
    <s v=" "/>
    <d v="2013-05-22T00:00:00"/>
    <d v="2014-01-21T00:00:00"/>
    <s v=""/>
    <n v="0"/>
    <n v="0"/>
    <n v="0"/>
    <s v=""/>
    <s v=""/>
    <s v=""/>
    <s v=""/>
    <d v="2014-01-21T00:00:00"/>
    <n v="40000000"/>
    <n v="16667000"/>
    <n v="23333000"/>
    <s v="Mensual"/>
    <n v="0.41667500000000002"/>
    <x v="0"/>
    <n v="0.58332499999999998"/>
    <s v=""/>
    <x v="0"/>
  </r>
  <r>
    <x v="104"/>
    <x v="56"/>
    <n v="860049921"/>
    <x v="95"/>
    <n v="4524000"/>
    <s v=" "/>
    <n v="2013"/>
    <s v=" "/>
    <d v="2013-10-01T00:00:00"/>
    <d v="2013-10-31T00:00:00"/>
    <s v=""/>
    <n v="0"/>
    <n v="0"/>
    <n v="0"/>
    <s v=""/>
    <s v=""/>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130163-0-2013"/>
    <n v="2013"/>
    <s v=" "/>
    <d v="2013-05-27T00:00:00"/>
    <d v="2014-01-26T00:00:00"/>
    <s v=""/>
    <n v="0"/>
    <n v="0"/>
    <n v="0"/>
    <s v=""/>
    <s v=""/>
    <s v=""/>
    <s v=""/>
    <d v="2014-01-26T00:00:00"/>
    <n v="20800000"/>
    <n v="20800000"/>
    <n v="0"/>
    <s v="Mensual"/>
    <n v="1"/>
    <x v="0"/>
    <n v="0"/>
    <s v=""/>
    <x v="1"/>
  </r>
  <r>
    <x v="106"/>
    <x v="95"/>
    <n v="51721571"/>
    <x v="97"/>
    <n v="28000000"/>
    <s v=" "/>
    <n v="2013"/>
    <s v=" "/>
    <d v="2013-05-29T00:00:00"/>
    <d v="2014-01-28T00:00:00"/>
    <s v=""/>
    <n v="0"/>
    <n v="0"/>
    <n v="0"/>
    <s v=""/>
    <s v=""/>
    <s v=""/>
    <s v=""/>
    <d v="2014-01-28T00:00:00"/>
    <n v="28000000"/>
    <n v="28000000"/>
    <n v="0"/>
    <s v="Mensual"/>
    <n v="1"/>
    <x v="0"/>
    <n v="0"/>
    <s v=""/>
    <x v="1"/>
  </r>
  <r>
    <x v="107"/>
    <x v="96"/>
    <n v="800026212"/>
    <x v="98"/>
    <n v="266580829"/>
    <s v=" SDH-SIE-02-2013"/>
    <n v="2013"/>
    <s v=" "/>
    <d v="2013-07-02T00:00:00"/>
    <d v="2013-08-15T00:00:00"/>
    <s v=""/>
    <n v="0"/>
    <n v="0"/>
    <n v="0"/>
    <s v=""/>
    <s v=""/>
    <s v=""/>
    <s v=""/>
    <d v="2013-08-15T00:00:00"/>
    <n v="266580829"/>
    <n v="266580829"/>
    <n v="0"/>
    <m/>
    <n v="1"/>
    <x v="0"/>
    <n v="0"/>
    <s v=""/>
    <x v="1"/>
  </r>
  <r>
    <x v="108"/>
    <x v="97"/>
    <n v="900450570"/>
    <x v="99"/>
    <n v="232000000"/>
    <s v=" "/>
    <n v="2013"/>
    <s v=" "/>
    <d v="2013-07-08T00:00:00"/>
    <d v="2014-05-07T00:00:00"/>
    <s v=""/>
    <n v="2"/>
    <n v="116897514"/>
    <n v="1"/>
    <s v="2 meses y 22 días"/>
    <d v="2014-07-29T00:00:00"/>
    <s v=""/>
    <s v=""/>
    <d v="2014-07-29T00:00:00"/>
    <n v="348897514"/>
    <n v="348897514"/>
    <n v="0"/>
    <s v="Mensual"/>
    <n v="1"/>
    <x v="0"/>
    <n v="0"/>
    <s v=""/>
    <x v="1"/>
  </r>
  <r>
    <x v="109"/>
    <x v="65"/>
    <n v="830100153"/>
    <x v="100"/>
    <n v="23246000"/>
    <s v=" SDH-SMINC-25-2013"/>
    <n v="2013"/>
    <s v=" "/>
    <d v="2013-07-08T00:00:00"/>
    <d v="2014-01-07T00:00:00"/>
    <s v=""/>
    <n v="0"/>
    <n v="0"/>
    <n v="2"/>
    <s v="3 meses"/>
    <d v="2014-04-07T00:00:00"/>
    <s v=""/>
    <s v=""/>
    <d v="2014-04-07T00:00:00"/>
    <n v="23246000"/>
    <n v="19772977"/>
    <n v="3473023"/>
    <s v="Mensual"/>
    <n v="0.85059696291835152"/>
    <x v="0"/>
    <n v="0.14940303708164848"/>
    <s v=""/>
    <x v="0"/>
  </r>
  <r>
    <x v="110"/>
    <x v="48"/>
    <n v="900548648"/>
    <x v="101"/>
    <n v="301200000"/>
    <s v=" SDH-SIE-003-2013"/>
    <n v="2013"/>
    <s v=" "/>
    <d v="2013-06-21T00:00:00"/>
    <d v="2014-03-20T00:00:00"/>
    <s v=""/>
    <n v="1"/>
    <n v="20373359"/>
    <n v="2"/>
    <s v="3 meses"/>
    <d v="2014-06-20T00:00:00"/>
    <s v=""/>
    <s v=""/>
    <d v="2014-06-20T00:00:00"/>
    <n v="321573359"/>
    <n v="317232018"/>
    <n v="4341341"/>
    <m/>
    <n v="0.98649968699677015"/>
    <x v="0"/>
    <n v="1.3500313003229847E-2"/>
    <s v=""/>
    <x v="0"/>
  </r>
  <r>
    <x v="111"/>
    <x v="98"/>
    <n v="80422654"/>
    <x v="102"/>
    <n v="15797970"/>
    <s v=" SDH-SMINC-20-2013"/>
    <n v="2013"/>
    <s v=" "/>
    <d v="2013-07-09T00:00:00"/>
    <d v="2014-04-08T00:00:00"/>
    <s v=""/>
    <n v="2"/>
    <n v="6494721"/>
    <n v="2"/>
    <s v="3 meses y 21 días"/>
    <d v="2014-07-31T00:00:00"/>
    <s v=""/>
    <s v=""/>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s v=""/>
    <n v="0"/>
    <n v="0"/>
    <n v="0"/>
    <s v=""/>
    <s v=""/>
    <s v=""/>
    <s v=""/>
    <d v="2014-02-01T00:00:00"/>
    <n v="23989000"/>
    <n v="23989000"/>
    <n v="0"/>
    <s v="Mensual"/>
    <n v="1"/>
    <x v="0"/>
    <n v="0"/>
    <s v=""/>
    <x v="1"/>
  </r>
  <r>
    <x v="113"/>
    <x v="73"/>
    <n v="4831"/>
    <x v="75"/>
    <n v="13576000"/>
    <s v=" SDH-SMINC-26-2013"/>
    <n v="2013"/>
    <s v=" "/>
    <d v="2013-07-15T00:00:00"/>
    <d v="2014-03-14T00:00:00"/>
    <s v=""/>
    <n v="1"/>
    <n v="6000000"/>
    <n v="0"/>
    <s v=""/>
    <s v=""/>
    <s v=""/>
    <s v=""/>
    <d v="2014-03-14T00:00:00"/>
    <n v="19576000"/>
    <n v="19571370"/>
    <n v="4630"/>
    <s v="Mensual"/>
    <n v="0.99976348590110342"/>
    <x v="0"/>
    <n v="2.365140988965786E-4"/>
    <s v=""/>
    <x v="1"/>
  </r>
  <r>
    <x v="114"/>
    <x v="100"/>
    <n v="900090485"/>
    <x v="104"/>
    <n v="6499930"/>
    <s v=" "/>
    <n v="2013"/>
    <s v=" "/>
    <d v="2013-07-16T00:00:00"/>
    <d v="2013-10-15T00:00:00"/>
    <s v=""/>
    <n v="0"/>
    <n v="0"/>
    <n v="0"/>
    <s v=""/>
    <s v=""/>
    <s v=""/>
    <s v=""/>
    <d v="2013-10-15T00:00:00"/>
    <n v="6499930"/>
    <n v="6499930"/>
    <n v="0"/>
    <m/>
    <n v="1"/>
    <x v="0"/>
    <n v="0"/>
    <s v=""/>
    <x v="1"/>
  </r>
  <r>
    <x v="115"/>
    <x v="101"/>
    <n v="804002433"/>
    <x v="105"/>
    <n v="2367000"/>
    <s v=" SDH-SMINC-27-2013"/>
    <n v="2013"/>
    <s v=" "/>
    <d v="2013-07-17T00:00:00"/>
    <d v="2013-09-16T00:00:00"/>
    <s v=""/>
    <n v="0"/>
    <n v="0"/>
    <n v="0"/>
    <s v=""/>
    <s v=""/>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s v=""/>
    <n v="0"/>
    <n v="0"/>
    <n v="2"/>
    <s v="3 meses y 23 días"/>
    <d v="2014-06-30T00:00:00"/>
    <s v=""/>
    <s v=""/>
    <d v="2014-06-30T00:00:00"/>
    <n v="269441460"/>
    <n v="265223666"/>
    <n v="4217794"/>
    <s v="Mensual"/>
    <n v="0.98434615815992088"/>
    <x v="0"/>
    <n v="1.5653841840079119E-2"/>
    <s v=""/>
    <x v="0"/>
  </r>
  <r>
    <x v="117"/>
    <x v="27"/>
    <n v="860536029"/>
    <x v="107"/>
    <n v="840000"/>
    <n v="130209"/>
    <n v="2013"/>
    <s v=" "/>
    <d v="2013-09-14T00:00:00"/>
    <d v="2014-09-13T00:00:00"/>
    <s v=""/>
    <n v="0"/>
    <n v="0"/>
    <n v="0"/>
    <s v=""/>
    <s v=""/>
    <s v=""/>
    <s v=""/>
    <d v="2014-09-13T00:00:00"/>
    <n v="840000"/>
    <n v="840000"/>
    <n v="0"/>
    <s v="Único pago"/>
    <n v="1"/>
    <x v="0"/>
    <n v="0"/>
    <s v=""/>
    <x v="1"/>
  </r>
  <r>
    <x v="118"/>
    <x v="64"/>
    <n v="80199707"/>
    <x v="65"/>
    <n v="38271000"/>
    <s v=" SDH-SMINC-28-2013"/>
    <n v="2013"/>
    <s v=" "/>
    <d v="2013-07-17T00:00:00"/>
    <d v="2014-02-16T00:00:00"/>
    <s v=""/>
    <n v="0"/>
    <n v="0"/>
    <n v="1"/>
    <s v="1 mes"/>
    <d v="2014-03-16T00:00:00"/>
    <s v=""/>
    <s v=""/>
    <d v="2014-03-16T00:00:00"/>
    <n v="38271000"/>
    <n v="38271000"/>
    <n v="0"/>
    <s v="Mensual"/>
    <n v="1"/>
    <x v="0"/>
    <n v="0"/>
    <s v=""/>
    <x v="1"/>
  </r>
  <r>
    <x v="119"/>
    <x v="103"/>
    <n v="890903407"/>
    <x v="108"/>
    <n v="4001000"/>
    <s v=" SDH-SMINC-31-2013"/>
    <n v="2013"/>
    <s v=" "/>
    <d v="2013-07-17T00:00:00"/>
    <d v="2015-03-19T00:00:00"/>
    <s v=""/>
    <n v="0"/>
    <n v="0"/>
    <n v="1"/>
    <s v="1 mes"/>
    <d v="2014-03-16T00:00:00"/>
    <s v=""/>
    <s v=""/>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SDH-SMINC-023-2013"/>
    <n v="2013"/>
    <s v=" "/>
    <d v="2013-10-01T00:00:00"/>
    <d v="2014-05-31T00:00:00"/>
    <s v=""/>
    <n v="0"/>
    <n v="0"/>
    <n v="0"/>
    <s v=""/>
    <s v=""/>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130220-0-2013"/>
    <n v="2013"/>
    <s v=" "/>
    <d v="2013-07-22T00:00:00"/>
    <d v="2014-02-21T00:00:00"/>
    <s v=""/>
    <n v="0"/>
    <n v="0"/>
    <n v="0"/>
    <s v=""/>
    <s v=""/>
    <s v=""/>
    <s v=""/>
    <d v="2014-02-21T00:00:00"/>
    <n v="23989000"/>
    <n v="23989000"/>
    <n v="0"/>
    <s v="Mensual"/>
    <n v="1"/>
    <x v="0"/>
    <n v="0"/>
    <s v=""/>
    <x v="1"/>
  </r>
  <r>
    <x v="122"/>
    <x v="28"/>
    <n v="860509265"/>
    <x v="111"/>
    <n v="795000"/>
    <s v=" 130227-0-2013"/>
    <n v="2013"/>
    <s v=" "/>
    <d v="2013-09-30T00:00:00"/>
    <d v="2014-09-29T00:00:00"/>
    <s v=""/>
    <n v="0"/>
    <n v="0"/>
    <n v="0"/>
    <s v=""/>
    <s v=""/>
    <s v=""/>
    <s v=""/>
    <d v="2014-09-29T00:00:00"/>
    <n v="795000"/>
    <n v="795000"/>
    <n v="0"/>
    <s v="Único pago"/>
    <n v="1"/>
    <x v="0"/>
    <n v="0"/>
    <s v=""/>
    <x v="1"/>
  </r>
  <r>
    <x v="123"/>
    <x v="26"/>
    <n v="860007590"/>
    <x v="112"/>
    <n v="936000"/>
    <s v=" 130228-0-2013"/>
    <n v="2013"/>
    <s v=" "/>
    <d v="2013-09-11T00:00:00"/>
    <d v="2014-09-10T00:00:00"/>
    <s v=""/>
    <n v="0"/>
    <n v="0"/>
    <n v="0"/>
    <s v=""/>
    <s v=""/>
    <s v=""/>
    <s v=""/>
    <d v="2014-09-10T00:00:00"/>
    <n v="936000"/>
    <n v="936000"/>
    <n v="0"/>
    <s v="Único pago"/>
    <n v="1"/>
    <x v="0"/>
    <n v="0"/>
    <s v=""/>
    <x v="1"/>
  </r>
  <r>
    <x v="124"/>
    <x v="106"/>
    <n v="1016050827"/>
    <x v="113"/>
    <n v="3847300"/>
    <s v=" "/>
    <n v="2013"/>
    <s v=" "/>
    <d v="2013-08-08T00:00:00"/>
    <d v="2014-05-07T00:00:00"/>
    <s v=""/>
    <n v="0"/>
    <n v="0"/>
    <n v="1"/>
    <s v="3 meses"/>
    <d v="2014-08-07T00:00:00"/>
    <s v=""/>
    <s v=""/>
    <d v="2014-08-07T00:00:00"/>
    <n v="3847300"/>
    <n v="3847300"/>
    <n v="0"/>
    <m/>
    <n v="1"/>
    <x v="0"/>
    <n v="0"/>
    <s v=""/>
    <x v="1"/>
  </r>
  <r>
    <x v="125"/>
    <x v="1"/>
    <n v="800015583"/>
    <x v="114"/>
    <n v="46411000"/>
    <s v=" "/>
    <n v="2013"/>
    <s v=" "/>
    <d v="2013-08-14T00:00:00"/>
    <d v="2014-06-13T00:00:00"/>
    <s v=""/>
    <n v="2"/>
    <n v="14282200"/>
    <n v="1"/>
    <s v="2 meses"/>
    <d v="2014-08-13T00:00:00"/>
    <s v=""/>
    <s v=""/>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s v=""/>
    <n v="0"/>
    <n v="0"/>
    <n v="1"/>
    <s v="3 meses"/>
    <d v="2014-08-25T00:00:00"/>
    <s v=""/>
    <s v=""/>
    <d v="2014-08-25T00:00:00"/>
    <n v="4393120"/>
    <n v="2578000"/>
    <n v="1815120"/>
    <s v="Mensual"/>
    <n v="0.58682667443639147"/>
    <x v="0"/>
    <n v="0.41317332556360853"/>
    <s v=""/>
    <x v="0"/>
  </r>
  <r>
    <x v="127"/>
    <x v="108"/>
    <n v="900055635"/>
    <x v="116"/>
    <n v="16804000"/>
    <s v=" SDH-SMINC-038-2013"/>
    <n v="2013"/>
    <s v=" "/>
    <d v="2013-09-06T00:00:00"/>
    <d v="2014-05-05T00:00:00"/>
    <s v=""/>
    <n v="1"/>
    <n v="8400000"/>
    <n v="3"/>
    <s v="11 meses"/>
    <d v="2015-04-05T00:00:00"/>
    <s v=""/>
    <s v=""/>
    <d v="2015-04-05T00:00:00"/>
    <n v="25204000"/>
    <n v="25201450"/>
    <n v="2550"/>
    <s v="Mensual"/>
    <n v="0.99989882558324072"/>
    <x v="0"/>
    <n v="1.0117441675927541E-4"/>
    <s v=""/>
    <x v="1"/>
  </r>
  <r>
    <x v="128"/>
    <x v="109"/>
    <n v="800230639"/>
    <x v="117"/>
    <n v="86923131"/>
    <s v=" SDH-SIE-07-2013"/>
    <n v="2013"/>
    <s v=" "/>
    <d v="2013-08-20T00:00:00"/>
    <d v="2014-08-20T00:00:00"/>
    <s v=""/>
    <n v="1"/>
    <n v="43461566"/>
    <n v="1"/>
    <s v="5 meses"/>
    <d v="2015-02-20T00:00:00"/>
    <s v=""/>
    <s v=""/>
    <d v="2015-02-20T00:00:00"/>
    <n v="130384697"/>
    <n v="96359635"/>
    <n v="34025062"/>
    <m/>
    <n v="0.7390409857684449"/>
    <x v="0"/>
    <n v="0.2609590142315551"/>
    <s v=""/>
    <x v="0"/>
  </r>
  <r>
    <x v="129"/>
    <x v="110"/>
    <n v="800039398"/>
    <x v="118"/>
    <n v="45056000"/>
    <s v=" SDH-SIE-08-2013"/>
    <n v="2013"/>
    <s v=" "/>
    <d v="2013-09-16T00:00:00"/>
    <d v="2014-09-15T00:00:00"/>
    <s v=""/>
    <n v="0"/>
    <n v="0"/>
    <n v="0"/>
    <s v=""/>
    <s v=""/>
    <s v=""/>
    <s v=""/>
    <d v="2014-09-15T00:00:00"/>
    <n v="45056000"/>
    <n v="25056000"/>
    <n v="20000000"/>
    <m/>
    <n v="0.55610795454545459"/>
    <x v="0"/>
    <n v="0.44389204545454541"/>
    <s v=""/>
    <x v="0"/>
  </r>
  <r>
    <x v="130"/>
    <x v="111"/>
    <n v="860066942"/>
    <x v="119"/>
    <n v="76223000"/>
    <s v=" SDH-SAMC-06-2013"/>
    <n v="2013"/>
    <s v=" "/>
    <d v="2013-09-24T00:00:00"/>
    <d v="2014-03-23T00:00:00"/>
    <s v=""/>
    <n v="2"/>
    <n v="38002288"/>
    <n v="1"/>
    <s v="2 meses"/>
    <d v="2014-05-23T00:00:00"/>
    <s v=""/>
    <s v=""/>
    <d v="2014-05-23T00:00:00"/>
    <n v="114225288"/>
    <n v="114217068"/>
    <n v="8220"/>
    <m/>
    <n v="0.99992803695097709"/>
    <x v="0"/>
    <n v="7.1963049022905068E-5"/>
    <s v=""/>
    <x v="1"/>
  </r>
  <r>
    <x v="131"/>
    <x v="112"/>
    <n v="800105847"/>
    <x v="120"/>
    <n v="4715000"/>
    <s v=" SDH-SMINC-39-2013"/>
    <n v="2013"/>
    <s v=" "/>
    <d v="2013-10-08T00:00:00"/>
    <d v="2013-12-07T00:00:00"/>
    <s v=""/>
    <n v="0"/>
    <n v="0"/>
    <n v="0"/>
    <s v=""/>
    <s v=""/>
    <s v=""/>
    <s v=""/>
    <d v="2013-12-07T00:00:00"/>
    <n v="4715000"/>
    <n v="4715000"/>
    <n v="0"/>
    <s v="Mensual"/>
    <n v="1"/>
    <x v="0"/>
    <n v="0"/>
    <s v=""/>
    <x v="1"/>
  </r>
  <r>
    <x v="132"/>
    <x v="113"/>
    <n v="899999230"/>
    <x v="121"/>
    <n v="457000000"/>
    <s v="  130261-0-2013"/>
    <n v="2013"/>
    <s v=" "/>
    <d v="2013-10-09T00:00:00"/>
    <d v="2014-06-08T00:00:00"/>
    <s v=""/>
    <n v="0"/>
    <n v="0"/>
    <n v="2"/>
    <s v="3 meses"/>
    <d v="2014-09-08T00:00:00"/>
    <s v=""/>
    <s v=""/>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SDH-SMINC-40-2013"/>
    <n v="2013"/>
    <s v=" "/>
    <d v="2013-10-07T00:00:00"/>
    <d v="2014-01-06T00:00:00"/>
    <s v=""/>
    <n v="0"/>
    <n v="0"/>
    <n v="0"/>
    <s v=""/>
    <s v=""/>
    <s v=""/>
    <s v=""/>
    <d v="2014-01-06T00:00:00"/>
    <n v="3356320"/>
    <n v="3356320"/>
    <n v="0"/>
    <s v="Único pago"/>
    <n v="1"/>
    <x v="0"/>
    <n v="0"/>
    <s v=""/>
    <x v="1"/>
  </r>
  <r>
    <x v="134"/>
    <x v="115"/>
    <n v="830069296"/>
    <x v="123"/>
    <n v="19965572"/>
    <s v=" SDH-SMINC-43-2013"/>
    <n v="2013"/>
    <s v=" "/>
    <d v="2013-10-08T00:00:00"/>
    <d v="2014-10-23T00:00:00"/>
    <s v=""/>
    <n v="0"/>
    <n v="0"/>
    <n v="0"/>
    <s v=""/>
    <s v=""/>
    <s v=""/>
    <s v=""/>
    <d v="2014-10-23T00:00:00"/>
    <n v="19965572"/>
    <n v="19965572"/>
    <n v="0"/>
    <m/>
    <n v="1"/>
    <x v="0"/>
    <n v="0"/>
    <s v=""/>
    <x v="1"/>
  </r>
  <r>
    <x v="135"/>
    <x v="14"/>
    <n v="830112518"/>
    <x v="124"/>
    <n v="38280000"/>
    <s v=" "/>
    <n v="2013"/>
    <s v=" "/>
    <d v="2013-10-15T00:00:00"/>
    <d v="2014-10-14T00:00:00"/>
    <s v=""/>
    <n v="0"/>
    <n v="0"/>
    <n v="0"/>
    <s v=""/>
    <s v=""/>
    <s v=""/>
    <s v=""/>
    <d v="2014-10-14T00:00:00"/>
    <n v="38280000"/>
    <n v="38280000"/>
    <n v="0"/>
    <s v="Mensual"/>
    <n v="1"/>
    <x v="0"/>
    <n v="0"/>
    <s v=""/>
    <x v="1"/>
  </r>
  <r>
    <x v="136"/>
    <x v="116"/>
    <n v="900309238"/>
    <x v="125"/>
    <n v="26073552"/>
    <s v=" SDH-SMINC-042-2013"/>
    <n v="2013"/>
    <s v=" "/>
    <d v="2013-10-15T00:00:00"/>
    <d v="2013-11-14T00:00:00"/>
    <s v=""/>
    <n v="0"/>
    <n v="0"/>
    <n v="0"/>
    <s v=""/>
    <s v=""/>
    <s v=""/>
    <s v=""/>
    <d v="2013-11-14T00:00:00"/>
    <n v="26073552"/>
    <n v="26073552"/>
    <n v="0"/>
    <m/>
    <n v="1"/>
    <x v="0"/>
    <n v="0"/>
    <s v=""/>
    <x v="1"/>
  </r>
  <r>
    <x v="137"/>
    <x v="117"/>
    <n v="900542684"/>
    <x v="126"/>
    <n v="17262940"/>
    <s v=" SDH-SMINC-45-2013"/>
    <n v="2013"/>
    <s v=" "/>
    <d v="2013-10-23T00:00:00"/>
    <d v="2014-02-22T00:00:00"/>
    <s v=""/>
    <n v="0"/>
    <n v="0"/>
    <n v="0"/>
    <s v=""/>
    <s v=""/>
    <s v=""/>
    <s v=""/>
    <d v="2014-02-22T00:00:00"/>
    <n v="17262940"/>
    <n v="17262940"/>
    <n v="0"/>
    <s v="Único pago"/>
    <n v="1"/>
    <x v="0"/>
    <n v="0"/>
    <s v=""/>
    <x v="1"/>
  </r>
  <r>
    <x v="138"/>
    <x v="58"/>
    <n v="900169179"/>
    <x v="127"/>
    <n v="810000"/>
    <s v=" 130297-0-2013"/>
    <n v="2013"/>
    <s v=" "/>
    <d v="2013-10-28T00:00:00"/>
    <d v="2014-10-27T00:00:00"/>
    <s v=""/>
    <n v="0"/>
    <n v="0"/>
    <n v="0"/>
    <s v=""/>
    <s v=""/>
    <s v=""/>
    <s v=""/>
    <d v="2014-10-27T00:00:00"/>
    <n v="810000"/>
    <n v="810000"/>
    <n v="0"/>
    <m/>
    <n v="1"/>
    <x v="0"/>
    <n v="0"/>
    <s v=""/>
    <x v="1"/>
  </r>
  <r>
    <x v="139"/>
    <x v="118"/>
    <n v="830080652"/>
    <x v="128"/>
    <n v="5545000"/>
    <s v=" SDH-SMINC-44-2013"/>
    <n v="2013"/>
    <s v=" "/>
    <d v="2013-11-12T00:00:00"/>
    <d v="2014-01-11T00:00:00"/>
    <s v=""/>
    <n v="0"/>
    <n v="0"/>
    <n v="0"/>
    <s v=""/>
    <s v=""/>
    <s v=""/>
    <s v=""/>
    <d v="2014-01-11T00:00:00"/>
    <n v="5545000"/>
    <n v="5545000"/>
    <n v="0"/>
    <s v="Único pago"/>
    <n v="1"/>
    <x v="0"/>
    <n v="0"/>
    <s v=""/>
    <x v="1"/>
  </r>
  <r>
    <x v="140"/>
    <x v="119"/>
    <n v="900236701"/>
    <x v="129"/>
    <n v="19360400"/>
    <s v=" SDH-SMINC-44-2013"/>
    <n v="2013"/>
    <s v=" "/>
    <d v="2013-11-12T00:00:00"/>
    <d v="2014-01-11T00:00:00"/>
    <s v=""/>
    <n v="0"/>
    <n v="0"/>
    <n v="0"/>
    <s v=""/>
    <s v=""/>
    <s v=""/>
    <s v=""/>
    <d v="2014-01-11T00:00:00"/>
    <n v="19360400"/>
    <n v="19360400"/>
    <n v="0"/>
    <s v="Único pago"/>
    <n v="1"/>
    <x v="0"/>
    <n v="0"/>
    <s v=""/>
    <x v="1"/>
  </r>
  <r>
    <x v="141"/>
    <x v="120"/>
    <n v="860066942"/>
    <x v="130"/>
    <n v="336560000"/>
    <s v=" 130301-0-2013"/>
    <n v="2013"/>
    <s v=" "/>
    <d v="2013-10-25T00:00:00"/>
    <d v="2014-06-24T00:00:00"/>
    <s v=""/>
    <n v="2"/>
    <n v="165720800"/>
    <n v="0"/>
    <s v=""/>
    <s v=""/>
    <s v=""/>
    <s v=""/>
    <d v="2014-06-24T00:00:00"/>
    <n v="502280800"/>
    <n v="502247588"/>
    <n v="33212"/>
    <m/>
    <n v="0.99993387762383112"/>
    <x v="0"/>
    <n v="6.6122376168875618E-5"/>
    <s v=""/>
    <x v="1"/>
  </r>
  <r>
    <x v="142"/>
    <x v="121"/>
    <n v="900228623"/>
    <x v="131"/>
    <n v="533636000"/>
    <s v=" SDH-SIE-11-2013"/>
    <n v="2013"/>
    <s v=" "/>
    <d v="2013-11-02T00:00:00"/>
    <d v="2014-11-01T00:00:00"/>
    <s v=""/>
    <n v="1"/>
    <n v="159203272"/>
    <n v="1"/>
    <s v="1 mes"/>
    <d v="2014-12-02T00:00:00"/>
    <s v=""/>
    <s v=""/>
    <d v="2014-12-02T00:00:00"/>
    <n v="692839272"/>
    <n v="678164443"/>
    <n v="14674829"/>
    <s v="Mensual"/>
    <n v="0.97881928811910646"/>
    <x v="0"/>
    <n v="2.1180711880893544E-2"/>
    <s v=""/>
    <x v="0"/>
  </r>
  <r>
    <x v="143"/>
    <x v="122"/>
    <m/>
    <x v="132"/>
    <n v="150000000"/>
    <s v=" "/>
    <n v="2013"/>
    <s v=" "/>
    <d v="2013-12-02T00:00:00"/>
    <d v="2014-12-02T00:00:00"/>
    <s v=""/>
    <n v="0"/>
    <n v="0"/>
    <n v="0"/>
    <s v=""/>
    <s v=""/>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s v=""/>
    <n v="0"/>
    <n v="0"/>
    <n v="0"/>
    <s v=""/>
    <s v=""/>
    <s v=""/>
    <s v=""/>
    <d v="2016-02-25T00:00:00"/>
    <n v="0"/>
    <n v="0"/>
    <n v="0"/>
    <m/>
    <e v="#DIV/0!"/>
    <x v="0"/>
    <e v="#DIV/0!"/>
    <s v=""/>
    <x v="2"/>
  </r>
  <r>
    <x v="145"/>
    <x v="55"/>
    <n v="860506170"/>
    <x v="134"/>
    <n v="2689440000"/>
    <s v=" 120000-518-0-2012"/>
    <n v="2012"/>
    <s v=" "/>
    <d v="2012-12-20T00:00:00"/>
    <d v="2014-12-20T00:00:00"/>
    <s v=""/>
    <n v="4"/>
    <n v="1210934978"/>
    <n v="4"/>
    <s v="5 años y 6 meses y 10 dias calendario"/>
    <d v="2018-06-30T00:00:00"/>
    <s v=""/>
    <s v=""/>
    <d v="2018-06-30T00:00:00"/>
    <n v="3900374978"/>
    <n v="680003244"/>
    <n v="3220371734"/>
    <m/>
    <n v="0.17434304338314827"/>
    <x v="0"/>
    <n v="0.82565695661685168"/>
    <s v=""/>
    <x v="0"/>
  </r>
  <r>
    <x v="146"/>
    <x v="124"/>
    <n v="830110570"/>
    <x v="135"/>
    <n v="430036764"/>
    <s v=" SDH-SIE-010-2013"/>
    <n v="2013"/>
    <s v=" "/>
    <d v="2014-01-20T00:00:00"/>
    <d v="2014-04-19T00:00:00"/>
    <s v=""/>
    <n v="0"/>
    <n v="0"/>
    <n v="0"/>
    <s v=""/>
    <s v=""/>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130336-0-2013"/>
    <n v="2013"/>
    <s v=" "/>
    <d v="2013-12-12T00:00:00"/>
    <d v="2014-02-11T00:00:00"/>
    <s v=""/>
    <n v="0"/>
    <n v="0"/>
    <n v="0"/>
    <s v=""/>
    <s v=""/>
    <s v=""/>
    <s v=""/>
    <d v="2014-02-11T00:00:00"/>
    <n v="6000000"/>
    <n v="6000000"/>
    <n v="0"/>
    <s v="Único pago"/>
    <n v="1"/>
    <x v="0"/>
    <n v="0"/>
    <s v=""/>
    <x v="1"/>
  </r>
  <r>
    <x v="148"/>
    <x v="125"/>
    <n v="860536079"/>
    <x v="137"/>
    <n v="7937504"/>
    <s v=" SDH-SMINC-53-2013"/>
    <n v="2013"/>
    <s v=" "/>
    <d v="2014-01-02T00:00:00"/>
    <d v="2015-01-01T00:00:00"/>
    <s v=""/>
    <n v="0"/>
    <n v="0"/>
    <n v="0"/>
    <s v=""/>
    <s v=""/>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SDH-SMINC-58-2013"/>
    <n v="2013"/>
    <s v=" "/>
    <d v="2013-12-04T00:00:00"/>
    <d v="2014-01-19T00:00:00"/>
    <s v=""/>
    <n v="0"/>
    <n v="0"/>
    <n v="0"/>
    <s v=""/>
    <s v=""/>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SDH-SIE-013-2013"/>
    <n v="2013"/>
    <s v=" "/>
    <d v="2013-12-13T00:00:00"/>
    <d v="2014-12-12T00:00:00"/>
    <s v=""/>
    <n v="0"/>
    <n v="0"/>
    <n v="0"/>
    <s v=""/>
    <s v=""/>
    <s v=""/>
    <s v=""/>
    <d v="2014-12-12T00:00:00"/>
    <n v="452974000"/>
    <n v="452973998"/>
    <n v="2"/>
    <s v="Mensual"/>
    <n v="0.99999999558473551"/>
    <x v="0"/>
    <n v="4.4152644873562963E-9"/>
    <s v=""/>
    <x v="1"/>
  </r>
  <r>
    <x v="151"/>
    <x v="128"/>
    <n v="830113914"/>
    <x v="140"/>
    <n v="95000000"/>
    <s v=" "/>
    <n v="2013"/>
    <s v=" "/>
    <d v="2014-01-08T00:00:00"/>
    <d v="2014-09-07T00:00:00"/>
    <s v=""/>
    <n v="0"/>
    <n v="0"/>
    <n v="1"/>
    <s v="3 meses"/>
    <d v="2014-12-07T00:00:00"/>
    <s v=""/>
    <s v=""/>
    <d v="2014-12-07T00:00:00"/>
    <n v="95000000"/>
    <n v="88983693"/>
    <n v="6016307"/>
    <s v="Mensual"/>
    <n v="0.936670452631579"/>
    <x v="0"/>
    <n v="6.3329547368421002E-2"/>
    <s v=""/>
    <x v="0"/>
  </r>
  <r>
    <x v="152"/>
    <x v="129"/>
    <n v="860007336"/>
    <x v="141"/>
    <n v="63128000"/>
    <s v=" SDH-SAMC-010-2013"/>
    <n v="2013"/>
    <s v=" "/>
    <d v="2013-12-18T00:00:00"/>
    <d v="2014-01-02T00:00:00"/>
    <s v=""/>
    <n v="0"/>
    <n v="0"/>
    <n v="0"/>
    <s v=""/>
    <s v=""/>
    <s v=""/>
    <s v=""/>
    <d v="2014-01-02T00:00:00"/>
    <n v="63128000"/>
    <n v="63128000"/>
    <n v="0"/>
    <s v="Único pago"/>
    <n v="1"/>
    <x v="0"/>
    <n v="0"/>
    <s v=""/>
    <x v="1"/>
  </r>
  <r>
    <x v="153"/>
    <x v="130"/>
    <n v="52935011"/>
    <x v="142"/>
    <n v="5000000"/>
    <s v=" 130361-2013"/>
    <n v="2013"/>
    <s v=" "/>
    <d v="2013-12-20T00:00:00"/>
    <d v="2014-01-19T00:00:00"/>
    <s v=""/>
    <n v="0"/>
    <n v="0"/>
    <n v="0"/>
    <s v=""/>
    <s v=""/>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130362-0-2013"/>
    <n v="2013"/>
    <s v=" "/>
    <d v="2013-12-20T00:00:00"/>
    <d v="2014-01-19T00:00:00"/>
    <s v=""/>
    <n v="0"/>
    <n v="0"/>
    <n v="0"/>
    <s v=""/>
    <s v=""/>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SDH-SAMC-11-2013"/>
    <n v="2013"/>
    <s v=" "/>
    <d v="2014-01-08T00:00:00"/>
    <d v="2014-03-07T00:00:00"/>
    <s v=""/>
    <n v="0"/>
    <n v="0"/>
    <n v="2"/>
    <s v="3 meses"/>
    <d v="2014-06-07T00:00:00"/>
    <s v=""/>
    <s v=""/>
    <d v="2014-06-07T00:00:00"/>
    <n v="70000000"/>
    <n v="69658711"/>
    <n v="341289"/>
    <s v="Mensual"/>
    <n v="0.99512444285714285"/>
    <x v="0"/>
    <n v="4.8755571428571454E-3"/>
    <s v=""/>
    <x v="0"/>
  </r>
  <r>
    <x v="156"/>
    <x v="133"/>
    <n v="19136712"/>
    <x v="142"/>
    <n v="5000000"/>
    <s v=" 130364-0-2013"/>
    <n v="2013"/>
    <s v=" "/>
    <d v="2013-12-20T00:00:00"/>
    <d v="2014-01-19T00:00:00"/>
    <s v=""/>
    <n v="0"/>
    <n v="0"/>
    <n v="0"/>
    <s v=""/>
    <s v=""/>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130365-0-2013"/>
    <n v="2013"/>
    <s v=" "/>
    <d v="2013-12-20T00:00:00"/>
    <d v="2014-01-19T00:00:00"/>
    <s v=""/>
    <n v="0"/>
    <n v="0"/>
    <n v="0"/>
    <s v=""/>
    <s v=""/>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SDH-SMINC-51-2013"/>
    <n v="2013"/>
    <s v=" "/>
    <d v="2014-01-23T00:00:00"/>
    <d v="2014-04-22T00:00:00"/>
    <s v=""/>
    <n v="0"/>
    <n v="0"/>
    <n v="0"/>
    <s v=""/>
    <s v=""/>
    <s v=""/>
    <s v=""/>
    <d v="2014-04-22T00:00:00"/>
    <n v="3017160"/>
    <n v="3017160"/>
    <n v="0"/>
    <s v="Único pago"/>
    <n v="1"/>
    <x v="0"/>
    <n v="0"/>
    <s v=""/>
    <x v="1"/>
  </r>
  <r>
    <x v="159"/>
    <x v="135"/>
    <n v="811021363"/>
    <x v="145"/>
    <n v="60000000"/>
    <s v=" SDH-SIE-014-2013"/>
    <n v="2013"/>
    <s v=" "/>
    <d v="2014-01-16T00:00:00"/>
    <d v="2015-01-15T00:00:00"/>
    <s v=""/>
    <n v="1"/>
    <n v="30000000"/>
    <n v="0"/>
    <s v=""/>
    <s v=""/>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130372-0-2013"/>
    <n v="2013"/>
    <s v=" "/>
    <d v="2013-12-26T00:00:00"/>
    <d v="2014-01-25T00:00:00"/>
    <s v=""/>
    <n v="0"/>
    <n v="0"/>
    <n v="0"/>
    <s v=""/>
    <s v=""/>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SDH-SMINC-60-2013"/>
    <n v="2013"/>
    <s v=" "/>
    <d v="2014-01-23T00:00:00"/>
    <d v="2014-04-25T00:00:00"/>
    <s v=""/>
    <n v="0"/>
    <n v="0"/>
    <n v="0"/>
    <s v=""/>
    <s v=""/>
    <s v=""/>
    <s v=""/>
    <d v="2014-04-25T00:00:00"/>
    <n v="3743343"/>
    <n v="3743343"/>
    <n v="0"/>
    <s v="Único pago"/>
    <n v="1"/>
    <x v="0"/>
    <n v="0"/>
    <s v=""/>
    <x v="1"/>
  </r>
  <r>
    <x v="162"/>
    <x v="137"/>
    <n v="52374136"/>
    <x v="147"/>
    <n v="1620000"/>
    <s v=" SDH-SMINC-55-2013"/>
    <n v="2013"/>
    <s v=" "/>
    <d v="2014-01-23T00:00:00"/>
    <d v="2015-01-22T00:00:00"/>
    <s v=""/>
    <n v="0"/>
    <n v="0"/>
    <n v="0"/>
    <s v=""/>
    <s v=""/>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SDH-SMINC-67-2013"/>
    <n v="2013"/>
    <s v=" "/>
    <d v="2014-01-16T00:00:00"/>
    <d v="2014-03-15T00:00:00"/>
    <s v=""/>
    <n v="0"/>
    <n v="0"/>
    <n v="0"/>
    <s v=""/>
    <s v=""/>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SDH-SMINC-68-2013"/>
    <n v="2013"/>
    <s v=" "/>
    <d v="2014-01-23T00:00:00"/>
    <d v="2014-03-22T00:00:00"/>
    <s v=""/>
    <n v="0"/>
    <n v="0"/>
    <n v="0"/>
    <s v=""/>
    <s v=""/>
    <s v=""/>
    <s v=""/>
    <d v="2014-03-22T00:00:00"/>
    <n v="3480000"/>
    <n v="3480000"/>
    <n v="0"/>
    <s v="Único pago"/>
    <n v="1"/>
    <x v="0"/>
    <n v="0"/>
    <s v=""/>
    <x v="1"/>
  </r>
  <r>
    <x v="165"/>
    <x v="110"/>
    <n v="800039398"/>
    <x v="150"/>
    <n v="126308000"/>
    <s v=" SDH-SIE-015-2013"/>
    <n v="2013"/>
    <s v=" "/>
    <d v="2014-01-23T00:00:00"/>
    <d v="2014-04-07T00:00:00"/>
    <s v=""/>
    <n v="0"/>
    <n v="0"/>
    <n v="0"/>
    <s v=""/>
    <s v=""/>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130385-0-2013"/>
    <n v="2013"/>
    <s v=" "/>
    <d v="2013-12-30T00:00:00"/>
    <d v="2014-01-29T00:00:00"/>
    <s v=""/>
    <n v="0"/>
    <n v="0"/>
    <n v="0"/>
    <s v=""/>
    <s v=""/>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SDH-SIE-18-2013"/>
    <n v="2013"/>
    <s v=" "/>
    <d v="2014-01-31T00:00:00"/>
    <d v="2014-04-30T00:00:00"/>
    <s v=""/>
    <n v="0"/>
    <n v="0"/>
    <n v="1"/>
    <s v="30 días"/>
    <d v="2014-05-30T00:00:00"/>
    <s v=""/>
    <s v=""/>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s v=""/>
    <n v="0"/>
    <n v="0"/>
    <n v="1"/>
    <s v="2 meses"/>
    <d v="2015-05-05T00:00:00"/>
    <s v=""/>
    <s v=""/>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s v=""/>
    <n v="0"/>
    <n v="0"/>
    <n v="0"/>
    <s v=""/>
    <s v=""/>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s v=""/>
    <n v="0"/>
    <n v="0"/>
    <n v="0"/>
    <s v=""/>
    <s v=""/>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s v=""/>
    <n v="0"/>
    <n v="0"/>
    <n v="0"/>
    <s v=""/>
    <s v=""/>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140140-0-2014"/>
    <n v="2014"/>
    <s v=" "/>
    <d v="2014-04-10T00:00:00"/>
    <d v="2014-09-09T00:00:00"/>
    <s v=""/>
    <n v="0"/>
    <n v="0"/>
    <n v="0"/>
    <s v=""/>
    <s v=""/>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140152-0-2014"/>
    <n v="2014"/>
    <s v=" "/>
    <d v="2014-03-03T00:00:00"/>
    <d v="2015-01-02T00:00:00"/>
    <s v=""/>
    <n v="0"/>
    <n v="0"/>
    <n v="0"/>
    <s v=""/>
    <s v=""/>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140153-0-2014"/>
    <n v="2014"/>
    <s v=" "/>
    <d v="2014-03-10T00:00:00"/>
    <d v="2015-01-09T00:00:00"/>
    <s v=""/>
    <n v="0"/>
    <n v="0"/>
    <n v="0"/>
    <s v=""/>
    <s v=""/>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140154-0-2014"/>
    <n v="2014"/>
    <s v=" "/>
    <d v="2014-02-05T00:00:00"/>
    <d v="2015-01-04T00:00:00"/>
    <s v=""/>
    <n v="0"/>
    <n v="0"/>
    <n v="0"/>
    <s v=""/>
    <s v=""/>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s v=""/>
    <n v="0"/>
    <n v="0"/>
    <n v="0"/>
    <s v=""/>
    <s v=""/>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140158-0-2014"/>
    <n v="2014"/>
    <d v="2014-01-24T00:00:00"/>
    <d v="2014-02-05T00:00:00"/>
    <d v="2015-01-04T00:00:00"/>
    <s v=""/>
    <n v="0"/>
    <n v="0"/>
    <n v="0"/>
    <s v=""/>
    <s v=""/>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s v=""/>
    <n v="0"/>
    <n v="0"/>
    <n v="0"/>
    <s v=""/>
    <s v=""/>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s v=""/>
    <n v="0"/>
    <n v="0"/>
    <n v="0"/>
    <s v=""/>
    <s v=""/>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140161-0-2014"/>
    <n v="2014"/>
    <d v="2014-01-24T00:00:00"/>
    <d v="2014-02-05T00:00:00"/>
    <d v="2015-01-04T00:00:00"/>
    <s v=""/>
    <n v="0"/>
    <n v="0"/>
    <n v="0"/>
    <s v=""/>
    <s v=""/>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140162-0-2014"/>
    <n v="2014"/>
    <d v="2014-01-24T00:00:00"/>
    <d v="2014-02-05T00:00:00"/>
    <d v="2015-01-04T00:00:00"/>
    <s v=""/>
    <n v="0"/>
    <n v="0"/>
    <n v="0"/>
    <s v=""/>
    <s v=""/>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s v=""/>
    <n v="0"/>
    <n v="0"/>
    <n v="0"/>
    <s v=""/>
    <s v=""/>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140166-0-2014"/>
    <n v="2014"/>
    <s v=" "/>
    <d v="2014-02-05T00:00:00"/>
    <d v="2015-01-04T00:00:00"/>
    <s v=""/>
    <n v="0"/>
    <n v="0"/>
    <n v="0"/>
    <s v=""/>
    <s v=""/>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140167-0-2014"/>
    <n v="2014"/>
    <s v=" "/>
    <d v="2014-02-24T00:00:00"/>
    <d v="2014-12-23T00:00:00"/>
    <s v=""/>
    <n v="0"/>
    <n v="0"/>
    <n v="1"/>
    <s v=""/>
    <d v="2014-09-05T00:00:00"/>
    <s v=""/>
    <s v=""/>
    <d v="2014-12-23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140168-0-2014"/>
    <n v="2014"/>
    <s v=" "/>
    <d v="2014-02-05T00:00:00"/>
    <d v="2015-01-04T00:00:00"/>
    <s v=""/>
    <n v="0"/>
    <n v="0"/>
    <n v="0"/>
    <s v=""/>
    <s v=""/>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140169-0-2014"/>
    <n v="2014"/>
    <s v=" "/>
    <d v="2014-02-07T00:00:00"/>
    <d v="2014-12-06T00:00:00"/>
    <s v=""/>
    <n v="1"/>
    <n v="10300000"/>
    <n v="2"/>
    <s v="2 meses"/>
    <d v="2015-02-06T00:00:00"/>
    <s v=""/>
    <s v=""/>
    <d v="2015-02-06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SDH-SIE-019-2013"/>
    <n v="2014"/>
    <s v=" "/>
    <d v="2014-03-06T00:00:00"/>
    <d v="2014-04-19T00:00:00"/>
    <s v=""/>
    <n v="0"/>
    <n v="0"/>
    <n v="0"/>
    <s v=""/>
    <s v=""/>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SDH-SIE-019-2013"/>
    <n v="2014"/>
    <s v=" "/>
    <d v="2014-03-06T00:00:00"/>
    <d v="2014-04-19T00:00:00"/>
    <s v=""/>
    <n v="0"/>
    <n v="0"/>
    <n v="0"/>
    <s v=""/>
    <s v=""/>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SHD-SIE-020-2013"/>
    <n v="2014"/>
    <s v=" "/>
    <d v="2014-03-10T00:00:00"/>
    <d v="2014-04-09T00:00:00"/>
    <s v=""/>
    <n v="1"/>
    <n v="77128875"/>
    <n v="0"/>
    <s v=""/>
    <s v=""/>
    <s v=""/>
    <s v=""/>
    <d v="2014-04-09T00:00:00"/>
    <n v="325128875"/>
    <n v="325028452"/>
    <n v="100423"/>
    <m/>
    <n v="0.99969112863322274"/>
    <x v="0"/>
    <n v="3.0887136677726357E-4"/>
    <s v=""/>
    <x v="1"/>
  </r>
  <r>
    <x v="190"/>
    <x v="89"/>
    <n v="900333228"/>
    <x v="172"/>
    <n v="11000000"/>
    <s v=" SDH-SMINC-01-2014"/>
    <n v="2014"/>
    <s v=" "/>
    <d v="2014-04-09T00:00:00"/>
    <d v="2015-01-08T00:00:00"/>
    <s v=""/>
    <n v="0"/>
    <n v="0"/>
    <n v="0"/>
    <s v=""/>
    <s v=""/>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s v=""/>
    <n v="1"/>
    <n v="282000"/>
    <n v="0"/>
    <s v=""/>
    <s v=""/>
    <s v=""/>
    <s v=""/>
    <d v="2015-04-08T00:00:00"/>
    <n v="1607400"/>
    <n v="0"/>
    <n v="1607400"/>
    <s v="Ünico pago"/>
    <n v="0"/>
    <x v="0"/>
    <n v="1"/>
    <s v=""/>
    <x v="0"/>
  </r>
  <r>
    <x v="192"/>
    <x v="80"/>
    <n v="830122370"/>
    <x v="174"/>
    <n v="4982000"/>
    <s v=" SDH-SMINC-05-2014"/>
    <n v="2014"/>
    <s v=" "/>
    <d v="2014-03-27T00:00:00"/>
    <d v="2014-11-26T00:00:00"/>
    <s v=""/>
    <n v="0"/>
    <n v="0"/>
    <n v="0"/>
    <s v=""/>
    <s v=""/>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s v=""/>
    <n v="0"/>
    <n v="0"/>
    <n v="0"/>
    <s v=""/>
    <s v=""/>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s v=""/>
    <n v="0"/>
    <n v="0"/>
    <n v="0"/>
    <s v=""/>
    <s v=""/>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s v=""/>
    <n v="1"/>
    <n v="10346000"/>
    <n v="1"/>
    <s v="1 mes   "/>
    <d v="2015-03-28T00:00:00"/>
    <s v=""/>
    <s v=""/>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s v=""/>
    <n v="1"/>
    <n v="6072600"/>
    <n v="1"/>
    <s v="1 mes y 15 días"/>
    <d v="2014-09-19T00:00:00"/>
    <s v=""/>
    <s v=""/>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s v=""/>
    <n v="0"/>
    <n v="0"/>
    <n v="0"/>
    <s v=""/>
    <s v=""/>
    <s v=""/>
    <s v=""/>
    <d v="2014-06-27T00:00:00"/>
    <n v="1700007"/>
    <n v="1700000"/>
    <n v="7"/>
    <m/>
    <n v="0.99999588236989612"/>
    <x v="0"/>
    <n v="4.1176301038836627E-6"/>
    <s v=""/>
    <x v="1"/>
  </r>
  <r>
    <x v="198"/>
    <x v="149"/>
    <n v="830055827"/>
    <x v="180"/>
    <n v="32631000"/>
    <s v=" "/>
    <n v="2014"/>
    <s v=" "/>
    <d v="2014-04-24T00:00:00"/>
    <d v="2015-04-23T00:00:00"/>
    <s v=""/>
    <n v="0"/>
    <n v="0"/>
    <n v="0"/>
    <s v=""/>
    <s v=""/>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s v=""/>
    <n v="1"/>
    <n v="5100746"/>
    <n v="2"/>
    <s v="2 meses y 18 días"/>
    <d v="2015-05-04T00:00:00"/>
    <s v=""/>
    <s v=""/>
    <d v="2015-05-04T00:00:00"/>
    <n v="45100746"/>
    <n v="45045000"/>
    <n v="55746"/>
    <s v="Mensualidades vencidas"/>
    <n v="0.99876396723016514"/>
    <x v="0"/>
    <n v="1.2360327698348605E-3"/>
    <s v=""/>
    <x v="0"/>
  </r>
  <r>
    <x v="200"/>
    <x v="151"/>
    <m/>
    <x v="182"/>
    <n v="0"/>
    <s v=" 200 DEL 2014"/>
    <n v="2014"/>
    <s v=" "/>
    <m/>
    <m/>
    <s v=""/>
    <n v="0"/>
    <n v="0"/>
    <n v="2"/>
    <s v="10 meses y 9 días"/>
    <d v="2020-03-31T00:00:00"/>
    <s v=""/>
    <s v=""/>
    <d v="2020-03-31T00:00:00"/>
    <n v="0"/>
    <n v="0"/>
    <n v="0"/>
    <m/>
    <e v="#DIV/0!"/>
    <x v="0"/>
    <e v="#DIV/0!"/>
    <s v=""/>
    <x v="2"/>
  </r>
  <r>
    <x v="201"/>
    <x v="135"/>
    <n v="811021363"/>
    <x v="183"/>
    <n v="9998117"/>
    <s v=" SDH-SMINC-020-2014"/>
    <n v="2014"/>
    <s v=" "/>
    <d v="2014-06-04T00:00:00"/>
    <d v="2014-08-04T00:00:00"/>
    <s v=""/>
    <n v="0"/>
    <n v="0"/>
    <n v="0"/>
    <s v=""/>
    <s v=""/>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SDH-SMINC-040-2014"/>
    <n v="2014"/>
    <s v=" "/>
    <d v="2014-08-20T00:00:00"/>
    <d v="2014-10-20T00:00:00"/>
    <s v=""/>
    <n v="0"/>
    <n v="0"/>
    <n v="0"/>
    <s v=""/>
    <s v=""/>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s v=""/>
    <n v="0"/>
    <n v="0"/>
    <n v="2"/>
    <s v="8 meses"/>
    <d v="2015-11-04T00:00:00"/>
    <s v=""/>
    <s v=""/>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SDH-SMINC-26-2014"/>
    <n v="2014"/>
    <s v=" "/>
    <d v="2014-06-17T00:00:00"/>
    <d v="2014-08-16T00:00:00"/>
    <s v=""/>
    <n v="0"/>
    <n v="0"/>
    <n v="0"/>
    <s v=""/>
    <s v=""/>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SDH-SIE-03-2014"/>
    <n v="2014"/>
    <s v=" "/>
    <d v="2014-06-21T00:00:00"/>
    <d v="2015-05-06T00:00:00"/>
    <s v=""/>
    <n v="0"/>
    <n v="0"/>
    <n v="2"/>
    <s v="1 mes y 25 días"/>
    <d v="2015-07-01T00:00:00"/>
    <s v=""/>
    <s v=""/>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s v=""/>
    <n v="1"/>
    <n v="1015608000"/>
    <n v="2"/>
    <s v="3 meses y 5 días"/>
    <d v="2015-04-22T00:00:00"/>
    <s v=""/>
    <s v=""/>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SDH-SMINC-032-2014"/>
    <n v="2014"/>
    <s v=" "/>
    <d v="2014-07-21T00:00:00"/>
    <d v="2014-08-21T00:00:00"/>
    <s v=""/>
    <n v="0"/>
    <n v="0"/>
    <n v="0"/>
    <s v=""/>
    <s v=""/>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LP-AMP-010-2013"/>
    <n v="2014"/>
    <s v=" "/>
    <d v="2014-06-16T00:00:00"/>
    <d v="2014-11-16T00:00:00"/>
    <s v=""/>
    <n v="0"/>
    <n v="0"/>
    <n v="0"/>
    <s v=""/>
    <s v=""/>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s v=""/>
    <n v="0"/>
    <n v="0"/>
    <n v="0"/>
    <s v=""/>
    <s v=""/>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SDH-SMINC-033-2014"/>
    <n v="2014"/>
    <s v=" "/>
    <d v="2014-07-18T00:00:00"/>
    <d v="2014-08-01T00:00:00"/>
    <s v=""/>
    <n v="0"/>
    <n v="0"/>
    <n v="0"/>
    <s v=""/>
    <s v=""/>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s v=""/>
    <n v="0"/>
    <n v="0"/>
    <n v="1"/>
    <s v="3 meses"/>
    <d v="2015-07-01T00:00:00"/>
    <s v=""/>
    <s v=""/>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s v=""/>
    <n v="1"/>
    <n v="2324400"/>
    <n v="1"/>
    <s v="1 mes y 22 días"/>
    <d v="2015-08-31T00:00:00"/>
    <s v=""/>
    <s v=""/>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SDH-SMINC-037-2014"/>
    <n v="2014"/>
    <s v=" "/>
    <d v="2014-07-18T00:00:00"/>
    <d v="2015-07-18T00:00:00"/>
    <s v=""/>
    <n v="0"/>
    <n v="0"/>
    <n v="0"/>
    <s v=""/>
    <s v=""/>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s v=""/>
    <n v="0"/>
    <n v="0"/>
    <n v="0"/>
    <s v=""/>
    <s v=""/>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LP-AMP-011-2013"/>
    <n v="2014"/>
    <s v=" "/>
    <d v="2014-07-17T00:00:00"/>
    <d v="2015-07-17T00:00:00"/>
    <s v=""/>
    <n v="0"/>
    <n v="0"/>
    <n v="0"/>
    <s v=""/>
    <s v=""/>
    <s v=""/>
    <s v=""/>
    <d v="2015-07-17T00:00:00"/>
    <n v="3846133"/>
    <n v="0"/>
    <n v="3846133"/>
    <m/>
    <n v="0"/>
    <x v="0"/>
    <n v="1"/>
    <s v=""/>
    <x v="3"/>
  </r>
  <r>
    <x v="216"/>
    <x v="104"/>
    <n v="900268429"/>
    <x v="198"/>
    <n v="10564000"/>
    <s v=" "/>
    <n v="2014"/>
    <s v=" "/>
    <d v="2014-06-03T00:00:00"/>
    <d v="2015-04-02T00:00:00"/>
    <s v=""/>
    <n v="0"/>
    <n v="0"/>
    <n v="0"/>
    <s v=""/>
    <s v=""/>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s v=""/>
    <n v="0"/>
    <n v="0"/>
    <n v="1"/>
    <s v="1 mes y 14 días"/>
    <d v="2015-07-31T00:00:00"/>
    <s v=""/>
    <s v=""/>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SDH-SMINC-59-2012"/>
    <n v="2014"/>
    <s v=" "/>
    <d v="2014-10-23T00:00:00"/>
    <d v="2015-01-23T00:00:00"/>
    <s v=""/>
    <n v="0"/>
    <n v="0"/>
    <n v="0"/>
    <s v=""/>
    <s v=""/>
    <s v=""/>
    <s v=""/>
    <d v="2015-01-23T00:00:00"/>
    <n v="4136000"/>
    <n v="2251047"/>
    <n v="1884953"/>
    <s v="Mensual"/>
    <n v="0.54425701160541584"/>
    <x v="0"/>
    <n v="0.45574298839458416"/>
    <s v=""/>
    <x v="0"/>
  </r>
  <r>
    <x v="219"/>
    <x v="163"/>
    <n v="860066942"/>
    <x v="201"/>
    <n v="65200000"/>
    <s v=" SDH-SAMC-02-2014"/>
    <n v="2014"/>
    <s v=" "/>
    <d v="2014-07-15T00:00:00"/>
    <d v="2015-03-15T00:00:00"/>
    <s v=""/>
    <n v="1"/>
    <n v="32600000"/>
    <n v="1"/>
    <s v="2 meses"/>
    <d v="2015-05-15T00:00:00"/>
    <s v=""/>
    <s v=""/>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140243-0-2014"/>
    <n v="2014"/>
    <s v=" "/>
    <d v="2014-07-22T00:00:00"/>
    <d v="2014-11-22T00:00:00"/>
    <s v=""/>
    <n v="0"/>
    <n v="0"/>
    <n v="0"/>
    <s v=""/>
    <s v=""/>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s v=""/>
    <n v="0"/>
    <n v="0"/>
    <n v="0"/>
    <s v=""/>
    <s v=""/>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140249-0-2014"/>
    <n v="2014"/>
    <s v=" "/>
    <d v="2014-07-30T00:00:00"/>
    <d v="2015-01-30T00:00:00"/>
    <s v=""/>
    <n v="1"/>
    <n v="87669877"/>
    <n v="1"/>
    <s v="2 meses y 15 días"/>
    <d v="2015-04-14T00:00:00"/>
    <s v=""/>
    <s v=""/>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SDH-SMINC-39-2014"/>
    <n v="2014"/>
    <s v=" "/>
    <d v="2014-10-24T00:00:00"/>
    <d v="2015-10-24T00:00:00"/>
    <s v=""/>
    <n v="0"/>
    <n v="0"/>
    <n v="0"/>
    <s v=""/>
    <s v=""/>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s v=""/>
    <n v="0"/>
    <n v="0"/>
    <n v="0"/>
    <s v=""/>
    <s v=""/>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s v=""/>
    <n v="0"/>
    <n v="0"/>
    <n v="0"/>
    <s v=""/>
    <s v=""/>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s v=""/>
    <n v="0"/>
    <n v="0"/>
    <n v="0"/>
    <s v=""/>
    <s v=""/>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s v=""/>
    <n v="0"/>
    <n v="0"/>
    <n v="0"/>
    <s v=""/>
    <s v=""/>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s v=""/>
    <n v="0"/>
    <n v="0"/>
    <n v="0"/>
    <s v=""/>
    <s v=""/>
    <s v=""/>
    <s v=""/>
    <d v="2015-10-28T00:00:00"/>
    <n v="810000"/>
    <n v="810000"/>
    <n v="0"/>
    <m/>
    <n v="1"/>
    <x v="0"/>
    <n v="0"/>
    <s v=""/>
    <x v="1"/>
  </r>
  <r>
    <x v="229"/>
    <x v="56"/>
    <n v="860049921"/>
    <x v="211"/>
    <n v="4621440"/>
    <s v=" "/>
    <n v="2014"/>
    <s v=" "/>
    <d v="2014-10-22T00:00:00"/>
    <d v="2015-03-22T00:00:00"/>
    <s v=""/>
    <n v="0"/>
    <n v="0"/>
    <n v="0"/>
    <s v=""/>
    <s v=""/>
    <s v=""/>
    <s v=""/>
    <d v="2015-03-22T00:00:00"/>
    <n v="4621440"/>
    <n v="4621440"/>
    <n v="0"/>
    <m/>
    <n v="1"/>
    <x v="0"/>
    <n v="0"/>
    <s v=""/>
    <x v="1"/>
  </r>
  <r>
    <x v="230"/>
    <x v="167"/>
    <n v="800180176"/>
    <x v="212"/>
    <n v="41850000"/>
    <s v=" SDH-SAMC-004-2014"/>
    <n v="2014"/>
    <s v=" "/>
    <d v="2014-10-14T00:00:00"/>
    <d v="2015-05-14T00:00:00"/>
    <s v=""/>
    <n v="0"/>
    <n v="0"/>
    <n v="0"/>
    <s v=""/>
    <s v=""/>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140291-0-2014"/>
    <n v="2014"/>
    <s v=" "/>
    <d v="2014-09-09T00:00:00"/>
    <d v="2015-01-09T00:00:00"/>
    <s v=""/>
    <n v="0"/>
    <n v="0"/>
    <n v="0"/>
    <s v=""/>
    <s v=""/>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140292-0-2014"/>
    <n v="2014"/>
    <s v=" "/>
    <d v="2014-09-11T00:00:00"/>
    <d v="2015-02-11T00:00:00"/>
    <s v=""/>
    <n v="0"/>
    <n v="0"/>
    <n v="0"/>
    <s v=""/>
    <s v=""/>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s v=""/>
    <n v="0"/>
    <n v="0"/>
    <n v="0"/>
    <s v=""/>
    <s v=""/>
    <s v=""/>
    <s v=""/>
    <d v="2014-12-23T00:00:00"/>
    <n v="311460000"/>
    <n v="311460000"/>
    <n v="0"/>
    <s v="se efectuaran los pagos así:_x000a_- un primer pago el 30% del valor del contrato._x000a_- un segundo pago por el 70% del valor del contrato"/>
    <n v="1"/>
    <x v="0"/>
    <n v="0"/>
    <s v=""/>
    <x v="1"/>
  </r>
  <r>
    <x v="234"/>
    <x v="170"/>
    <n v="1073156298"/>
    <x v="216"/>
    <n v="17500000"/>
    <s v=" 140299-0-2014"/>
    <n v="2014"/>
    <s v=" "/>
    <d v="2014-09-18T00:00:00"/>
    <d v="2015-02-18T00:00:00"/>
    <s v=""/>
    <n v="0"/>
    <n v="0"/>
    <n v="0"/>
    <s v=""/>
    <s v=""/>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SDH-SIE-08-2014"/>
    <n v="2014"/>
    <s v=" "/>
    <d v="2014-10-17T00:00:00"/>
    <d v="2015-01-17T00:00:00"/>
    <s v=""/>
    <n v="0"/>
    <n v="0"/>
    <n v="0"/>
    <s v=""/>
    <s v=""/>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140312-0-2014"/>
    <n v="2014"/>
    <s v=" "/>
    <d v="2014-09-29T00:00:00"/>
    <d v="2015-01-29T00:00:00"/>
    <s v=""/>
    <n v="0"/>
    <n v="0"/>
    <n v="0"/>
    <s v=""/>
    <s v=""/>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140316-0-2014"/>
    <n v="2014"/>
    <s v=" "/>
    <d v="2014-10-16T00:00:00"/>
    <d v="2014-12-31T00:00:00"/>
    <s v=""/>
    <n v="0"/>
    <n v="0"/>
    <n v="0"/>
    <s v=""/>
    <s v=""/>
    <s v=""/>
    <s v=""/>
    <d v="2014-12-31T00:00:00"/>
    <n v="812500"/>
    <n v="812500"/>
    <n v="0"/>
    <m/>
    <n v="1"/>
    <x v="0"/>
    <n v="0"/>
    <s v=""/>
    <x v="1"/>
  </r>
  <r>
    <x v="238"/>
    <x v="14"/>
    <n v="830112518"/>
    <x v="220"/>
    <n v="44544000"/>
    <s v="  140317-0-2014"/>
    <n v="2014"/>
    <s v=" "/>
    <d v="2014-10-17T00:00:00"/>
    <d v="2015-10-17T00:00:00"/>
    <s v=""/>
    <n v="1"/>
    <n v="22272000"/>
    <n v="1"/>
    <s v="6 meses"/>
    <d v="2016-04-17T00:00:00"/>
    <s v=""/>
    <s v=""/>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140319-0-2014"/>
    <n v="2014"/>
    <s v=" "/>
    <d v="2014-10-09T00:00:00"/>
    <d v="2015-04-08T00:00:00"/>
    <s v=""/>
    <n v="0"/>
    <n v="0"/>
    <n v="1"/>
    <s v="13 días"/>
    <d v="2015-04-22T00:00:00"/>
    <s v=""/>
    <s v=""/>
    <d v="2015-04-22T00:00:00"/>
    <n v="818527824"/>
    <n v="800790708"/>
    <n v="17737116"/>
    <m/>
    <n v="0.97833046662565259"/>
    <x v="0"/>
    <n v="2.1669533374347405E-2"/>
    <s v=""/>
    <x v="0"/>
  </r>
  <r>
    <x v="240"/>
    <x v="174"/>
    <n v="830001338"/>
    <x v="222"/>
    <n v="75520000"/>
    <s v=" "/>
    <n v="2014"/>
    <s v=" "/>
    <d v="2014-10-17T00:00:00"/>
    <d v="2015-10-17T00:00:00"/>
    <s v=""/>
    <n v="0"/>
    <n v="0"/>
    <n v="0"/>
    <s v="2 meses"/>
    <s v=""/>
    <s v=""/>
    <s v=""/>
    <d v="2015-10-17T00:00:00"/>
    <n v="75520000"/>
    <n v="75519999"/>
    <n v="1"/>
    <m/>
    <n v="0.99999998675847457"/>
    <x v="0"/>
    <n v="1.3241525431695322E-8"/>
    <s v=""/>
    <x v="1"/>
  </r>
  <r>
    <x v="241"/>
    <x v="118"/>
    <n v="830080652"/>
    <x v="223"/>
    <n v="324800"/>
    <s v=" SDH-SMINC-55-2014"/>
    <n v="2014"/>
    <s v=" "/>
    <d v="2014-10-27T00:00:00"/>
    <d v="2014-11-27T00:00:00"/>
    <s v=""/>
    <n v="0"/>
    <n v="0"/>
    <n v="0"/>
    <s v=""/>
    <s v=""/>
    <s v=""/>
    <s v=""/>
    <d v="2014-11-27T00:00:00"/>
    <n v="324800"/>
    <n v="324800"/>
    <n v="0"/>
    <s v="Único pago"/>
    <n v="1"/>
    <x v="0"/>
    <n v="0"/>
    <s v=""/>
    <x v="1"/>
  </r>
  <r>
    <x v="242"/>
    <x v="175"/>
    <n v="830120684"/>
    <x v="224"/>
    <n v="1659960"/>
    <s v=" SDH-SMINC-58-2014"/>
    <n v="2014"/>
    <s v=" "/>
    <d v="2014-11-25T00:00:00"/>
    <d v="2015-08-25T00:00:00"/>
    <s v=""/>
    <n v="1"/>
    <n v="800000"/>
    <n v="0"/>
    <s v=""/>
    <s v=""/>
    <s v=""/>
    <s v=""/>
    <d v="2015-08-25T00:00:00"/>
    <n v="2459960"/>
    <n v="2457884"/>
    <n v="2076"/>
    <s v="Por producto"/>
    <n v="0.99915608383876164"/>
    <x v="0"/>
    <n v="8.4391616123835611E-4"/>
    <s v=""/>
    <x v="1"/>
  </r>
  <r>
    <x v="243"/>
    <x v="176"/>
    <n v="79403174"/>
    <x v="225"/>
    <n v="20188000"/>
    <s v=" 140344-0-2014"/>
    <n v="2014"/>
    <s v=" "/>
    <d v="2014-11-14T00:00:00"/>
    <d v="2015-03-14T00:00:00"/>
    <s v=""/>
    <n v="0"/>
    <n v="0"/>
    <n v="0"/>
    <s v=""/>
    <s v=""/>
    <s v=""/>
    <s v=""/>
    <d v="2015-03-14T00:00:00"/>
    <n v="20188000"/>
    <n v="20188000"/>
    <n v="0"/>
    <s v="Mensual"/>
    <n v="1"/>
    <x v="0"/>
    <n v="0"/>
    <s v=""/>
    <x v="1"/>
  </r>
  <r>
    <x v="244"/>
    <x v="177"/>
    <n v="830025104"/>
    <x v="226"/>
    <n v="59383678"/>
    <s v=" SDH-SMINC-046-2014"/>
    <n v="2014"/>
    <s v=" "/>
    <d v="2014-10-29T00:00:00"/>
    <d v="2015-01-29T00:00:00"/>
    <s v=""/>
    <n v="0"/>
    <n v="0"/>
    <n v="3"/>
    <s v="5 meses"/>
    <d v="2015-06-29T00:00:00"/>
    <s v=""/>
    <s v=""/>
    <d v="2015-06-29T00:00:00"/>
    <n v="59383678"/>
    <n v="27770152"/>
    <n v="31613526"/>
    <s v="Por entrega"/>
    <n v="0.46763947494124564"/>
    <x v="0"/>
    <n v="0.53236052505875442"/>
    <s v=""/>
    <x v="0"/>
  </r>
  <r>
    <x v="245"/>
    <x v="20"/>
    <n v="860009759"/>
    <x v="227"/>
    <n v="764100"/>
    <s v=" "/>
    <n v="2014"/>
    <s v=" "/>
    <d v="2014-11-27T00:00:00"/>
    <d v="2015-11-27T00:00:00"/>
    <s v=""/>
    <n v="0"/>
    <n v="0"/>
    <n v="0"/>
    <s v=""/>
    <s v=""/>
    <s v=""/>
    <s v=""/>
    <d v="2015-11-27T00:00:00"/>
    <n v="764100"/>
    <n v="764100"/>
    <n v="0"/>
    <s v="Único pago"/>
    <n v="1"/>
    <x v="0"/>
    <n v="0"/>
    <s v=""/>
    <x v="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n v="1"/>
  </r>
  <r>
    <x v="1"/>
    <n v="10"/>
  </r>
  <r>
    <x v="2"/>
    <n v="9"/>
  </r>
  <r>
    <x v="3"/>
    <n v="5"/>
  </r>
  <r>
    <x v="4"/>
    <n v="8"/>
  </r>
  <r>
    <x v="5"/>
    <n v="10"/>
  </r>
  <r>
    <x v="6"/>
    <n v="7"/>
  </r>
  <r>
    <x v="7"/>
    <n v="4"/>
  </r>
  <r>
    <x v="8"/>
    <n v="8"/>
  </r>
  <r>
    <x v="9"/>
    <n v="6"/>
  </r>
  <r>
    <x v="10"/>
    <n v="4"/>
  </r>
  <r>
    <x v="11"/>
    <n v="5"/>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n v="1"/>
  </r>
  <r>
    <x v="1"/>
    <n v="0"/>
  </r>
  <r>
    <x v="2"/>
    <n v="0"/>
  </r>
  <r>
    <x v="3"/>
    <n v="0"/>
  </r>
  <r>
    <x v="4"/>
    <n v="0"/>
  </r>
  <r>
    <x v="5"/>
    <n v="0"/>
  </r>
  <r>
    <x v="6"/>
    <n v="2"/>
  </r>
  <r>
    <x v="7"/>
    <n v="0"/>
  </r>
  <r>
    <x v="8"/>
    <n v="0"/>
  </r>
  <r>
    <x v="9"/>
    <n v="1"/>
  </r>
  <r>
    <x v="10"/>
    <n v="0"/>
  </r>
  <r>
    <x v="11"/>
    <n v="3"/>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n v="16"/>
  </r>
  <r>
    <x v="1"/>
    <n v="10"/>
  </r>
  <r>
    <x v="2"/>
    <n v="10"/>
  </r>
  <r>
    <x v="3"/>
    <n v="9"/>
  </r>
  <r>
    <x v="4"/>
    <n v="5"/>
  </r>
  <r>
    <x v="5"/>
    <n v="9"/>
  </r>
  <r>
    <x v="6"/>
    <n v="3"/>
  </r>
  <r>
    <x v="7"/>
    <n v="7"/>
  </r>
  <r>
    <x v="8"/>
    <n v="10"/>
  </r>
  <r>
    <x v="9"/>
    <n v="5"/>
  </r>
  <r>
    <x v="10"/>
    <n v="6"/>
  </r>
  <r>
    <x v="11"/>
    <n v="5"/>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s v=""/>
    <n v="0"/>
    <n v="0"/>
    <n v="0"/>
    <s v=""/>
    <s v=""/>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s v=""/>
    <n v="1"/>
    <n v="1073825676"/>
    <n v="0"/>
    <s v=""/>
    <s v=""/>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s v=""/>
    <n v="0"/>
    <n v="0"/>
    <n v="0"/>
    <s v=""/>
    <s v=""/>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s v=""/>
    <n v="0"/>
    <n v="0"/>
    <n v="0"/>
    <s v=""/>
    <s v=""/>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s v=""/>
    <n v="0"/>
    <n v="0"/>
    <n v="0"/>
    <s v=""/>
    <s v=""/>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SDH-SMINC-042-2011"/>
    <n v="2011"/>
    <s v=" "/>
    <d v="2012-02-27T00:00:00"/>
    <d v="2013-02-27T00:00:00"/>
    <s v=""/>
    <n v="0"/>
    <n v="0"/>
    <n v="0"/>
    <s v=""/>
    <s v=""/>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s v=""/>
    <n v="1"/>
    <n v="875000"/>
    <n v="1"/>
    <s v="6 meses"/>
    <d v="2013-04-06T00:00:00"/>
    <s v=""/>
    <s v=""/>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s v=""/>
    <n v="0"/>
    <n v="0"/>
    <n v="0"/>
    <s v=""/>
    <s v=""/>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s v=""/>
    <n v="0"/>
    <n v="0"/>
    <n v="1"/>
    <s v="4 meses"/>
    <d v="2013-03-23T00:00:00"/>
    <s v=""/>
    <s v=""/>
    <d v="2013-03-23T00:00:00"/>
    <n v="9425000"/>
    <n v="9425000"/>
    <n v="0"/>
    <m/>
    <x v="3"/>
    <x v="0"/>
    <x v="3"/>
    <s v=""/>
    <x v="1"/>
  </r>
  <r>
    <x v="9"/>
    <x v="8"/>
    <n v="900340597"/>
    <s v="Prestar el servicio de mantenimiento correctivo con suministro de repuestos de los automotores marca MITSUBISHI al servicio del Concejo de Bogotá."/>
    <n v="15000000"/>
    <s v=" SDH-SMINC-008-2011"/>
    <n v="2011"/>
    <s v=" "/>
    <d v="2011-11-16T00:00:00"/>
    <d v="2013-03-31T00:00:00"/>
    <s v=""/>
    <n v="1"/>
    <n v="7930000"/>
    <n v="0"/>
    <s v=""/>
    <s v=""/>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SDH-SMINC-020-2011"/>
    <n v="2011"/>
    <s v=" "/>
    <d v="2011-11-15T00:00:00"/>
    <d v="2012-11-29T00:00:00"/>
    <s v=""/>
    <n v="1"/>
    <n v="4981040"/>
    <n v="1"/>
    <s v=""/>
    <d v="2013-03-29T00:00:00"/>
    <s v=""/>
    <s v=""/>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SDH-SMINC-027-2011"/>
    <n v="2011"/>
    <s v=" "/>
    <d v="2011-11-18T00:00:00"/>
    <d v="2012-11-18T00:00:00"/>
    <s v=""/>
    <n v="1"/>
    <n v="1470000"/>
    <n v="1"/>
    <s v=""/>
    <d v="2013-02-18T00:00:00"/>
    <s v=""/>
    <s v=""/>
    <d v="2013-02-18T00:00:00"/>
    <n v="9976800"/>
    <n v="9976596"/>
    <n v="204"/>
    <m/>
    <x v="9"/>
    <x v="0"/>
    <x v="9"/>
    <s v=""/>
    <x v="1"/>
  </r>
  <r>
    <x v="12"/>
    <x v="11"/>
    <n v="830073623"/>
    <s v="Adquirir medios de almacenamiento cintas Tape Backup y CD, para garantizar la protección a la información."/>
    <n v="1306508"/>
    <s v=" SDH-SMINC-028-2011"/>
    <n v="2011"/>
    <s v=" "/>
    <d v="2011-12-14T00:00:00"/>
    <d v="2012-01-14T00:00:00"/>
    <s v=""/>
    <n v="0"/>
    <n v="0"/>
    <n v="0"/>
    <s v=""/>
    <s v=""/>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SDH-SIE-032-2011"/>
    <n v="2011"/>
    <s v=" "/>
    <d v="2011-12-20T00:00:00"/>
    <d v="2012-07-20T00:00:00"/>
    <s v=""/>
    <n v="0"/>
    <n v="0"/>
    <n v="1"/>
    <s v="4 meses y 10 días"/>
    <d v="2012-11-30T00:00:00"/>
    <s v=""/>
    <s v=""/>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SDH-SMINC-043-2011"/>
    <n v="2011"/>
    <s v=" "/>
    <d v="2012-02-07T00:00:00"/>
    <d v="2013-02-07T00:00:00"/>
    <s v=""/>
    <n v="0"/>
    <n v="0"/>
    <n v="0"/>
    <s v=""/>
    <s v=""/>
    <s v=""/>
    <s v=""/>
    <d v="2013-02-07T00:00:00"/>
    <n v="49376272"/>
    <n v="49376272"/>
    <n v="0"/>
    <m/>
    <x v="3"/>
    <x v="0"/>
    <x v="3"/>
    <s v=""/>
    <x v="1"/>
  </r>
  <r>
    <x v="15"/>
    <x v="14"/>
    <n v="830112518"/>
    <s v="Mantenimiento, soporte y actualización al software Prontus (Página web e Intranet)"/>
    <n v="79634000"/>
    <s v=" 040000-221-0-2012"/>
    <n v="2012"/>
    <s v=" "/>
    <d v="2012-06-27T00:00:00"/>
    <d v="2013-06-27T00:00:00"/>
    <s v=""/>
    <n v="0"/>
    <n v="0"/>
    <n v="1"/>
    <s v="2 meses"/>
    <d v="2013-08-27T00:00:00"/>
    <s v=""/>
    <s v=""/>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SHD-SMINC-26-2012"/>
    <n v="2012"/>
    <s v=" "/>
    <d v="2012-10-31T00:00:00"/>
    <d v="2012-12-31T00:00:00"/>
    <s v=""/>
    <n v="0"/>
    <n v="0"/>
    <n v="0"/>
    <s v=""/>
    <s v=""/>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s v=""/>
    <n v="0"/>
    <n v="0"/>
    <n v="0"/>
    <s v=""/>
    <s v=""/>
    <s v=""/>
    <s v=""/>
    <d v="2013-12-01T00:00:00"/>
    <n v="726335435"/>
    <n v="577978609"/>
    <n v="148356826"/>
    <m/>
    <x v="11"/>
    <x v="0"/>
    <x v="11"/>
    <s v=""/>
    <x v="0"/>
  </r>
  <r>
    <x v="18"/>
    <x v="17"/>
    <n v="860026518"/>
    <s v="Contratar la Póliza de Responsabilidad Civil Servidores Públicos para el Concejo de Bogotá D.C."/>
    <n v="48720000"/>
    <s v="SDH-SMINC-11-2012"/>
    <n v="2012"/>
    <s v=" "/>
    <d v="2012-04-26T00:00:00"/>
    <d v="2013-06-30T00:00:00"/>
    <s v=""/>
    <n v="3"/>
    <n v="22376157"/>
    <n v="2"/>
    <s v="5 meses y 15 días"/>
    <d v="2013-12-15T00:00:00"/>
    <s v=""/>
    <s v=""/>
    <d v="2013-12-15T00:00:00"/>
    <n v="71096157"/>
    <n v="71096157"/>
    <n v="0"/>
    <m/>
    <x v="3"/>
    <x v="0"/>
    <x v="3"/>
    <s v=""/>
    <x v="1"/>
  </r>
  <r>
    <x v="19"/>
    <x v="18"/>
    <n v="860025639"/>
    <s v="Prestar el servicio de mantenimiento preventivo y correctivo ocasional a los ascensores marca Mitsubishi ubicados en el Concejo de Bogotá."/>
    <n v="11587500"/>
    <s v=" 050000-131-0-2012"/>
    <n v="2012"/>
    <s v=" "/>
    <d v="2012-06-14T00:00:00"/>
    <d v="2013-03-14T00:00:00"/>
    <s v=""/>
    <n v="0"/>
    <n v="0"/>
    <n v="0"/>
    <s v=""/>
    <s v=""/>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SDH-SMINC-45-2012"/>
    <n v="2012"/>
    <s v=" "/>
    <d v="2012-11-22T00:00:00"/>
    <d v="2013-01-04T00:00:00"/>
    <s v=""/>
    <n v="0"/>
    <n v="0"/>
    <n v="0"/>
    <s v=""/>
    <s v=""/>
    <s v=""/>
    <s v=""/>
    <d v="2013-01-04T00:00:00"/>
    <n v="4452000"/>
    <n v="4452000"/>
    <n v="0"/>
    <m/>
    <x v="3"/>
    <x v="0"/>
    <x v="3"/>
    <s v=""/>
    <x v="1"/>
  </r>
  <r>
    <x v="21"/>
    <x v="20"/>
    <n v="860009759"/>
    <s v="SUSCRIPCIÓN AL DIARIO LA REPÚBLICA, POR EL TÉRMINO DE UN AÑO, PARA EL CONCEJO DE BOGOTÁ_x000a_"/>
    <n v="849000"/>
    <s v=" 050000-155-0-2012"/>
    <n v="2012"/>
    <s v=" "/>
    <d v="2012-05-15T00:00:00"/>
    <d v="2013-05-15T00:00:00"/>
    <s v=""/>
    <n v="0"/>
    <n v="0"/>
    <n v="0"/>
    <s v=""/>
    <s v=""/>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s v=""/>
    <n v="0"/>
    <n v="0"/>
    <n v="0"/>
    <s v=""/>
    <s v=""/>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SDH-SMINC-16-2012"/>
    <n v="2012"/>
    <s v=" "/>
    <d v="2012-08-23T00:00:00"/>
    <d v="2013-02-23T00:00:00"/>
    <s v=""/>
    <n v="0"/>
    <n v="0"/>
    <n v="0"/>
    <s v=""/>
    <s v=""/>
    <s v=""/>
    <s v=""/>
    <d v="2013-02-23T00:00:00"/>
    <n v="4839200"/>
    <n v="4839200"/>
    <n v="0"/>
    <m/>
    <x v="3"/>
    <x v="0"/>
    <x v="3"/>
    <s v=""/>
    <x v="1"/>
  </r>
  <r>
    <x v="24"/>
    <x v="23"/>
    <n v="830038886"/>
    <s v="Prestar el servicio de mantenimiento periódico preventivo al parque automotor de la Secretaría Distrital de Hacienda y el Concejo de Bogotá D.C."/>
    <n v="13527752"/>
    <s v=" SDH-SMINC-21-2012"/>
    <n v="2012"/>
    <s v=" "/>
    <d v="2012-08-16T00:00:00"/>
    <d v="2013-03-16T00:00:00"/>
    <s v=""/>
    <n v="0"/>
    <n v="0"/>
    <n v="0"/>
    <s v=""/>
    <s v=""/>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SDH-LP-001-2012"/>
    <n v="2012"/>
    <s v=" "/>
    <d v="2012-08-01T00:00:00"/>
    <d v="2013-09-14T00:00:00"/>
    <s v=""/>
    <n v="1"/>
    <n v="15102355"/>
    <n v="0"/>
    <s v=""/>
    <s v=""/>
    <s v=""/>
    <s v=""/>
    <d v="2013-09-14T00:00:00"/>
    <n v="100321355"/>
    <n v="95321355"/>
    <n v="5000000"/>
    <m/>
    <x v="13"/>
    <x v="0"/>
    <x v="13"/>
    <s v=""/>
    <x v="0"/>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s v=""/>
    <n v="1"/>
    <n v="17234233"/>
    <n v="2"/>
    <s v="107 días calendario"/>
    <d v="2013-12-15T00:00:00"/>
    <s v=""/>
    <s v=""/>
    <d v="2013-12-15T00:00:00"/>
    <n v="99122327"/>
    <n v="93840542"/>
    <n v="5281785"/>
    <m/>
    <x v="14"/>
    <x v="0"/>
    <x v="14"/>
    <s v=""/>
    <x v="0"/>
  </r>
  <r>
    <x v="27"/>
    <x v="26"/>
    <n v="860007590"/>
    <s v="SUSCRIPCIÓN AL DIARIO EL ESPECTADOR, POR EL TÉRMINO DE UN AÑO, PARA EL CONCEJO DE BOGOTÁ."/>
    <n v="900000"/>
    <s v=" 050000-342-0-2012"/>
    <n v="2012"/>
    <s v=" "/>
    <d v="2012-09-10T00:00:00"/>
    <d v="2013-09-10T00:00:00"/>
    <s v=""/>
    <n v="0"/>
    <n v="0"/>
    <n v="0"/>
    <s v=""/>
    <s v=""/>
    <s v=""/>
    <s v=""/>
    <d v="2013-09-10T00:00:00"/>
    <n v="900000"/>
    <n v="900000"/>
    <n v="0"/>
    <m/>
    <x v="3"/>
    <x v="0"/>
    <x v="3"/>
    <s v=""/>
    <x v="1"/>
  </r>
  <r>
    <x v="28"/>
    <x v="27"/>
    <n v="860536029"/>
    <s v="Realizar la suscripción a periódicos, revistas, medios de comunicación impresos, para el Concejo de Bogotá _EL NUEVO SIGLO"/>
    <n v="840000"/>
    <s v=" 050000-346-0-2012"/>
    <n v="2012"/>
    <s v=" "/>
    <d v="2012-09-13T00:00:00"/>
    <d v="2013-09-13T00:00:00"/>
    <s v=""/>
    <n v="0"/>
    <n v="0"/>
    <n v="0"/>
    <s v=""/>
    <s v=""/>
    <s v=""/>
    <s v=""/>
    <d v="2013-09-13T00:00:00"/>
    <n v="840000"/>
    <n v="840000"/>
    <n v="0"/>
    <m/>
    <x v="3"/>
    <x v="0"/>
    <x v="3"/>
    <s v=""/>
    <x v="1"/>
  </r>
  <r>
    <x v="29"/>
    <x v="28"/>
    <n v="860509265"/>
    <s v="SUSCRIPCIÓN A LA REVISTA SEMANA, POR EL TÉRMINO DE UN AÑO, PARA EL CONCEJO DE BOGOTÁ"/>
    <n v="795000"/>
    <s v=" 050000-348-0-2012"/>
    <n v="2012"/>
    <s v=" "/>
    <d v="2012-09-28T00:00:00"/>
    <d v="2013-09-28T00:00:00"/>
    <s v=""/>
    <n v="0"/>
    <n v="0"/>
    <n v="0"/>
    <s v=""/>
    <s v=""/>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SDH-SMINC-23-2012"/>
    <n v="2012"/>
    <s v=" "/>
    <d v="2012-09-13T00:00:00"/>
    <d v="2013-03-13T00:00:00"/>
    <s v=""/>
    <n v="0"/>
    <n v="0"/>
    <n v="0"/>
    <s v=""/>
    <s v=""/>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050000-353-0-2012"/>
    <n v="2012"/>
    <s v=" "/>
    <d v="2012-08-30T00:00:00"/>
    <d v="2013-02-28T00:00:00"/>
    <s v=""/>
    <n v="0"/>
    <n v="0"/>
    <n v="0"/>
    <s v=""/>
    <s v=""/>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050000-356-0-2012"/>
    <n v="2012"/>
    <s v=" "/>
    <d v="2012-09-03T00:00:00"/>
    <d v="2013-04-03T00:00:00"/>
    <s v=""/>
    <n v="0"/>
    <n v="0"/>
    <n v="0"/>
    <s v=""/>
    <s v=""/>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SDH-SMINC-25-2012"/>
    <n v="2012"/>
    <s v=" "/>
    <d v="2012-09-18T00:00:00"/>
    <d v="2013-12-18T00:00:00"/>
    <s v=""/>
    <n v="0"/>
    <n v="0"/>
    <n v="0"/>
    <s v=""/>
    <s v=""/>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SDH-SAMC-002-2012"/>
    <n v="2012"/>
    <s v=" "/>
    <d v="2012-09-11T00:00:00"/>
    <d v="2013-04-11T00:00:00"/>
    <s v=""/>
    <n v="0"/>
    <n v="0"/>
    <n v="1"/>
    <s v="77 días"/>
    <d v="2013-06-27T00:00:00"/>
    <s v=""/>
    <s v=""/>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s v=""/>
    <n v="0"/>
    <n v="0"/>
    <n v="0"/>
    <s v=""/>
    <s v=""/>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s v=""/>
    <n v="0"/>
    <n v="0"/>
    <n v="1"/>
    <s v="9 días"/>
    <d v="2012-12-20T00:00:00"/>
    <s v=""/>
    <s v=""/>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050000-427-0-2012"/>
    <n v="2012"/>
    <s v=" "/>
    <d v="2012-10-23T00:00:00"/>
    <d v="2013-04-23T00:00:00"/>
    <s v=""/>
    <n v="0"/>
    <n v="0"/>
    <n v="0"/>
    <s v=""/>
    <s v=""/>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s v=""/>
    <n v="0"/>
    <n v="0"/>
    <n v="0"/>
    <s v=""/>
    <s v=""/>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s v=""/>
    <n v="0"/>
    <n v="0"/>
    <n v="0"/>
    <s v=""/>
    <s v=""/>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SDH-SMINC-52-2012"/>
    <n v="2012"/>
    <s v=" "/>
    <d v="2012-12-27T00:00:00"/>
    <d v="2013-06-27T00:00:00"/>
    <s v=""/>
    <n v="0"/>
    <n v="0"/>
    <n v="0"/>
    <s v=""/>
    <s v=""/>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s v=""/>
    <n v="0"/>
    <n v="0"/>
    <n v="0"/>
    <s v=""/>
    <s v=""/>
    <s v=""/>
    <s v=""/>
    <d v="2013-03-17T00:00:00"/>
    <n v="6000000"/>
    <n v="6000000"/>
    <n v="0"/>
    <m/>
    <x v="3"/>
    <x v="0"/>
    <x v="3"/>
    <s v=""/>
    <x v="1"/>
  </r>
  <r>
    <x v="42"/>
    <x v="41"/>
    <n v="830067096"/>
    <s v="Suscripción a la  revista El Congreso Siglo XXI, con destino al Concejo de Bogotá, D.C., de acuerdo con lo establecido en los estudios previos"/>
    <n v="7740000"/>
    <s v=" 120000-125-0-2012"/>
    <n v="2012"/>
    <s v=" "/>
    <d v="2012-07-17T00:00:00"/>
    <d v="2013-07-17T00:00:00"/>
    <s v=""/>
    <n v="0"/>
    <n v="0"/>
    <n v="0"/>
    <s v=""/>
    <s v=""/>
    <s v=""/>
    <s v=""/>
    <d v="2013-07-17T00:00:00"/>
    <n v="7740000"/>
    <n v="7740000"/>
    <n v="0"/>
    <m/>
    <x v="3"/>
    <x v="0"/>
    <x v="3"/>
    <s v=""/>
    <x v="1"/>
  </r>
  <r>
    <x v="43"/>
    <x v="42"/>
    <n v="830034865"/>
    <s v="Contratar el servicio de exámenes médicos ocupacionales y paraclínicos y suministro y aplicación de vacunas"/>
    <n v="47000000"/>
    <s v=" SDH-SAMC-001-2012"/>
    <n v="2012"/>
    <s v=" "/>
    <d v="2012-06-04T00:00:00"/>
    <d v="2013-02-04T00:00:00"/>
    <s v=""/>
    <n v="0"/>
    <n v="0"/>
    <n v="1"/>
    <s v="3 meses"/>
    <d v="2013-05-04T00:00:00"/>
    <s v=""/>
    <s v=""/>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120000-177-0-2012"/>
    <n v="2012"/>
    <s v=" "/>
    <d v="2012-05-24T00:00:00"/>
    <d v="2013-04-24T00:00:00"/>
    <s v=""/>
    <n v="0"/>
    <n v="0"/>
    <n v="1"/>
    <s v="12 días"/>
    <d v="2013-05-06T00:00:00"/>
    <s v=""/>
    <s v=""/>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s v=""/>
    <n v="2"/>
    <n v="13786987"/>
    <n v="2"/>
    <s v="1 mes y 20 días"/>
    <d v="2012-10-31T00:00:00"/>
    <s v=""/>
    <s v=""/>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SDH-SMINC-19-2012"/>
    <n v="2012"/>
    <s v=" "/>
    <d v="2012-07-13T00:00:00"/>
    <d v="2013-07-16T00:00:00"/>
    <s v=""/>
    <n v="0"/>
    <n v="0"/>
    <n v="0"/>
    <s v=""/>
    <s v=""/>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s v=""/>
    <n v="0"/>
    <n v="0"/>
    <n v="1"/>
    <s v="4 meses"/>
    <d v="2013-09-30T00:00:00"/>
    <s v=""/>
    <s v=""/>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SDH-SMINC-17-2012"/>
    <n v="2012"/>
    <s v=" "/>
    <d v="2012-09-03T00:00:00"/>
    <d v="2013-04-03T00:00:00"/>
    <s v=""/>
    <n v="0"/>
    <n v="0"/>
    <n v="1"/>
    <s v="3 meses"/>
    <d v="2013-07-03T00:00:00"/>
    <s v=""/>
    <s v=""/>
    <d v="2013-07-03T00:00:00"/>
    <n v="8545000"/>
    <n v="4336000"/>
    <n v="4209000"/>
    <m/>
    <x v="22"/>
    <x v="0"/>
    <x v="22"/>
    <s v=""/>
    <x v="0"/>
  </r>
  <r>
    <x v="49"/>
    <x v="48"/>
    <n v="900548648"/>
    <s v="Prestar el servicio integral de aseo y cafetería  para las instalaciones del Concejo de Bogotá y la Secretaria de Hacienda "/>
    <n v="220839000"/>
    <s v=" SDH-SIE-03-2012"/>
    <n v="2012"/>
    <s v=" "/>
    <d v="2012-09-20T00:00:00"/>
    <d v="2013-04-20T00:00:00"/>
    <s v=""/>
    <n v="1"/>
    <n v="21739353"/>
    <n v="1"/>
    <s v="2 meses"/>
    <d v="2013-06-20T00:00:00"/>
    <s v=""/>
    <s v=""/>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s v=""/>
    <n v="0"/>
    <n v="0"/>
    <n v="1"/>
    <s v="2 meses"/>
    <d v="2013-05-20T00:00:00"/>
    <s v=""/>
    <s v=""/>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s v=""/>
    <n v="1"/>
    <n v="2000000"/>
    <n v="1"/>
    <s v="1 mes y 20 días"/>
    <d v="2013-05-31T00:00:00"/>
    <s v=""/>
    <s v=""/>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SDH-SAMC-003-2012"/>
    <n v="2012"/>
    <s v=" "/>
    <d v="2012-09-24T00:00:00"/>
    <d v="2013-04-24T00:00:00"/>
    <s v=""/>
    <n v="1"/>
    <n v="1807575"/>
    <n v="1"/>
    <s v="21 días calendario"/>
    <d v="2013-05-15T00:00:00"/>
    <s v=""/>
    <s v=""/>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s v=""/>
    <n v="0"/>
    <n v="0"/>
    <n v="0"/>
    <s v=""/>
    <s v=""/>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s v=""/>
    <n v="0"/>
    <n v="0"/>
    <n v="0"/>
    <s v=""/>
    <s v=""/>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s v=""/>
    <n v="0"/>
    <n v="0"/>
    <n v="0"/>
    <s v="41 días"/>
    <s v=""/>
    <s v=""/>
    <s v=""/>
    <d v="2013-06-20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s v=""/>
    <n v="0"/>
    <n v="0"/>
    <n v="0"/>
    <s v=""/>
    <s v=""/>
    <s v=""/>
    <s v=""/>
    <d v="2013-05-18T00:00:00"/>
    <n v="500000000"/>
    <n v="500000000"/>
    <n v="0"/>
    <m/>
    <x v="3"/>
    <x v="0"/>
    <x v="3"/>
    <s v=""/>
    <x v="1"/>
  </r>
  <r>
    <x v="57"/>
    <x v="56"/>
    <n v="860049921"/>
    <s v="REALIZAR LAS  AUDITORIAS DE SEGUIMIENTO AL SISTEMA DE GESTIÓN DE CALIDAD DEL CONCEJO DE BOGOTÁ"/>
    <n v="10440000"/>
    <s v=" 120000-196-0-2012"/>
    <n v="2012"/>
    <s v=" "/>
    <d v="2012-06-07T00:00:00"/>
    <d v="2013-02-07T00:00:00"/>
    <s v=""/>
    <n v="0"/>
    <n v="0"/>
    <n v="0"/>
    <s v=""/>
    <s v=""/>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SDH-SMINC-029-2012"/>
    <n v="2012"/>
    <s v=" "/>
    <d v="2012-10-26T00:00:00"/>
    <d v="2013-07-26T00:00:00"/>
    <s v=""/>
    <n v="0"/>
    <n v="0"/>
    <n v="0"/>
    <s v=""/>
    <s v=""/>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s v=""/>
    <n v="0"/>
    <n v="0"/>
    <n v="0"/>
    <s v=""/>
    <s v=""/>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SDH-SAMC-004-2012"/>
    <n v="2012"/>
    <s v=" "/>
    <d v="2012-10-26T00:00:00"/>
    <d v="2013-06-26T00:00:00"/>
    <s v=""/>
    <n v="0"/>
    <n v="0"/>
    <n v="0"/>
    <s v=""/>
    <s v=""/>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SMINC-35-2012"/>
    <n v="2012"/>
    <s v=" "/>
    <d v="2012-11-29T00:00:00"/>
    <d v="2013-01-29T00:00:00"/>
    <s v=""/>
    <n v="0"/>
    <n v="0"/>
    <n v="4"/>
    <s v="9 meses"/>
    <d v="2013-09-17T00:00:00"/>
    <s v=""/>
    <s v=""/>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SDH-SMINC-34-2012"/>
    <n v="2012"/>
    <s v=" "/>
    <d v="2012-10-26T00:00:00"/>
    <d v="2013-04-26T00:00:00"/>
    <s v=""/>
    <n v="0"/>
    <n v="0"/>
    <n v="0"/>
    <s v=""/>
    <s v=""/>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SDH-LP-003-2012"/>
    <n v="2012"/>
    <s v=" "/>
    <d v="2012-11-01T00:00:00"/>
    <d v="2013-09-01T00:00:00"/>
    <s v=""/>
    <n v="1"/>
    <n v="95000000"/>
    <n v="1"/>
    <s v="2 meses"/>
    <d v="2013-11-01T00:00:00"/>
    <s v=""/>
    <s v=""/>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SDH-SAMC-005-2012"/>
    <n v="2012"/>
    <s v=" "/>
    <d v="2012-11-19T00:00:00"/>
    <d v="2013-04-19T00:00:00"/>
    <s v=""/>
    <n v="2"/>
    <n v="211889880"/>
    <n v="4"/>
    <s v="5 meses y 27 días"/>
    <d v="2013-10-15T00:00:00"/>
    <s v=""/>
    <s v=""/>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s v=""/>
    <n v="0"/>
    <n v="0"/>
    <n v="0"/>
    <s v=""/>
    <s v=""/>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SDH-SMINC-046-2012"/>
    <n v="2012"/>
    <s v=" "/>
    <d v="2012-11-27T00:00:00"/>
    <d v="2013-05-27T00:00:00"/>
    <s v=""/>
    <n v="1"/>
    <n v="8062000"/>
    <n v="1"/>
    <s v="1 mes"/>
    <d v="2013-06-27T00:00:00"/>
    <s v=""/>
    <s v=""/>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012000-466-0-2012"/>
    <n v="2012"/>
    <s v=" "/>
    <d v="2012-12-05T00:00:00"/>
    <d v="2013-08-14T00:00:00"/>
    <s v=""/>
    <n v="1"/>
    <n v="2648556"/>
    <n v="3"/>
    <s v="3 meses y 20 días"/>
    <d v="2013-11-02T00:00:00"/>
    <s v=""/>
    <s v=""/>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s v=""/>
    <n v="0"/>
    <n v="0"/>
    <n v="0"/>
    <s v=""/>
    <s v=""/>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s v=""/>
    <n v="2"/>
    <n v="118000000"/>
    <n v="4"/>
    <s v="4 meses y 20 días"/>
    <d v="2013-11-15T00:00:00"/>
    <s v=""/>
    <s v=""/>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s v=""/>
    <n v="0"/>
    <n v="0"/>
    <n v="1"/>
    <s v="2 meses"/>
    <d v="2013-10-28T00:00:00"/>
    <s v=""/>
    <s v=""/>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s v=""/>
    <n v="1"/>
    <n v="285000"/>
    <n v="1"/>
    <s v="2 meses"/>
    <d v="2014-03-13T00:00:00"/>
    <s v=""/>
    <s v=""/>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s v=""/>
    <n v="0"/>
    <n v="0"/>
    <n v="1"/>
    <s v="7 meses"/>
    <d v="2015-11-13T00:00:00"/>
    <s v=""/>
    <s v=""/>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SDH-SMINC-59-2012"/>
    <n v="2012"/>
    <s v=" "/>
    <d v="2013-01-18T00:00:00"/>
    <d v="2013-02-17T00:00:00"/>
    <s v=""/>
    <n v="0"/>
    <n v="0"/>
    <n v="0"/>
    <s v=""/>
    <s v=""/>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s v=""/>
    <n v="1"/>
    <n v="35588800"/>
    <n v="1"/>
    <s v="1 mes"/>
    <d v="2014-04-07T00:00:00"/>
    <s v=""/>
    <s v=""/>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s v=""/>
    <n v="0"/>
    <n v="0"/>
    <n v="1"/>
    <s v="1 mes"/>
    <d v="2013-07-04T00:00:00"/>
    <s v=""/>
    <s v=""/>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s v=""/>
    <n v="1"/>
    <n v="20167111"/>
    <n v="2"/>
    <s v="5 meses y 13 días"/>
    <d v="2013-11-30T00:00:00"/>
    <s v=""/>
    <s v=""/>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s v=""/>
    <n v="1"/>
    <n v="25746412"/>
    <n v="0"/>
    <s v=""/>
    <s v=""/>
    <s v=""/>
    <s v=""/>
    <d v="2013-08-19T00:00:00"/>
    <n v="75246412"/>
    <n v="75232704"/>
    <n v="13708"/>
    <m/>
    <x v="35"/>
    <x v="0"/>
    <x v="35"/>
    <s v=""/>
    <x v="1"/>
  </r>
  <r>
    <x v="78"/>
    <x v="76"/>
    <n v="891501783"/>
    <s v="Adquisición de un sistema de control de contenidos para el Concejo de Bogotá"/>
    <n v="36990000"/>
    <s v=" SDH-SMINC-64-2012"/>
    <n v="2012"/>
    <s v=" "/>
    <d v="2013-02-18T00:00:00"/>
    <d v="2013-06-17T00:00:00"/>
    <s v=""/>
    <n v="0"/>
    <n v="0"/>
    <n v="0"/>
    <s v=""/>
    <s v=""/>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s v=""/>
    <n v="0"/>
    <n v="0"/>
    <n v="0"/>
    <s v=""/>
    <s v=""/>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SDH-SIE-12-2012"/>
    <n v="2013"/>
    <s v=" "/>
    <d v="2013-02-14T00:00:00"/>
    <d v="2014-02-13T00:00:00"/>
    <s v=""/>
    <n v="0"/>
    <n v="0"/>
    <n v="0"/>
    <s v=""/>
    <s v=""/>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SDH-SMINC-001-2013"/>
    <n v="2013"/>
    <s v=" "/>
    <d v="2013-03-14T00:00:00"/>
    <d v="2014-03-13T00:00:00"/>
    <s v=""/>
    <n v="0"/>
    <n v="0"/>
    <n v="0"/>
    <s v=""/>
    <s v=""/>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n v="2013"/>
    <s v=" "/>
    <d v="2013-03-14T00:00:00"/>
    <d v="2014-01-13T00:00:00"/>
    <s v=""/>
    <n v="0"/>
    <n v="0"/>
    <n v="0"/>
    <s v=""/>
    <s v=""/>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s v=""/>
    <n v="0"/>
    <n v="0"/>
    <n v="0"/>
    <s v=""/>
    <s v=""/>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s v=""/>
    <n v="0"/>
    <n v="0"/>
    <n v="0"/>
    <s v=""/>
    <s v=""/>
    <s v=""/>
    <s v=""/>
    <d v="2014-03-18T00:00:00"/>
    <n v="1197000"/>
    <n v="1197000"/>
    <n v="0"/>
    <s v="Único pag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SDH-SMINC-04-2013"/>
    <n v="2013"/>
    <s v=" "/>
    <d v="2013-05-06T00:00:00"/>
    <d v="2014-05-05T00:00:00"/>
    <s v=""/>
    <n v="0"/>
    <n v="0"/>
    <n v="0"/>
    <s v=""/>
    <s v=""/>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130106-0-2013"/>
    <n v="2013"/>
    <s v=" "/>
    <d v="2013-04-29T00:00:00"/>
    <d v="2013-09-28T00:00:00"/>
    <s v=""/>
    <n v="0"/>
    <n v="0"/>
    <n v="0"/>
    <s v=""/>
    <s v=""/>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130116-0-2013"/>
    <n v="2013"/>
    <s v=" "/>
    <d v="2013-04-23T00:00:00"/>
    <d v="2014-02-22T00:00:00"/>
    <s v=""/>
    <n v="0"/>
    <n v="0"/>
    <n v="0"/>
    <s v=""/>
    <s v=""/>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130121-0-2013"/>
    <n v="2013"/>
    <s v=" "/>
    <d v="2013-05-02T00:00:00"/>
    <d v="2014-03-01T00:00:00"/>
    <s v=""/>
    <n v="0"/>
    <n v="0"/>
    <n v="0"/>
    <s v=""/>
    <s v=""/>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s v=""/>
    <n v="1"/>
    <n v="80000000"/>
    <n v="1"/>
    <s v="1 mes"/>
    <d v="2013-08-22T00:00:00"/>
    <s v=""/>
    <s v=""/>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SDH-SAMC-03-2013"/>
    <n v="2013"/>
    <s v=" "/>
    <d v="2013-05-09T00:00:00"/>
    <d v="2014-02-08T00:00:00"/>
    <s v=""/>
    <n v="1"/>
    <n v="11395000"/>
    <n v="3"/>
    <s v="7 meses"/>
    <d v="2014-09-08T00:00:00"/>
    <s v=""/>
    <s v=""/>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SDH-SAMC-02-2013"/>
    <n v="2013"/>
    <s v=" "/>
    <d v="2013-06-01T00:00:00"/>
    <d v="2014-02-01T00:00:00"/>
    <s v=""/>
    <n v="2"/>
    <n v="121839060"/>
    <n v="3"/>
    <s v="5 meses"/>
    <d v="2014-06-30T00:00:00"/>
    <s v=""/>
    <s v=""/>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SDH-SMINC-06-2013"/>
    <n v="2013"/>
    <s v=" "/>
    <d v="2013-05-23T00:00:00"/>
    <d v="2014-02-22T00:00:00"/>
    <s v=""/>
    <n v="0"/>
    <n v="0"/>
    <n v="0"/>
    <s v=""/>
    <s v=""/>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SDH-SMINC-12-2013"/>
    <n v="2013"/>
    <s v=" "/>
    <d v="2013-05-22T00:00:00"/>
    <d v="2014-01-21T00:00:00"/>
    <s v=""/>
    <n v="1"/>
    <n v="6150000"/>
    <n v="0"/>
    <s v=""/>
    <s v=""/>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130139-0-2013"/>
    <n v="2013"/>
    <s v=" "/>
    <d v="2013-05-16T00:00:00"/>
    <d v="2014-05-15T00:00:00"/>
    <s v=""/>
    <n v="0"/>
    <n v="0"/>
    <n v="0"/>
    <s v=""/>
    <s v=""/>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130141-0-2013"/>
    <n v="2013"/>
    <s v=" "/>
    <d v="2013-05-16T00:00:00"/>
    <d v="2014-03-15T00:00:00"/>
    <s v=""/>
    <n v="0"/>
    <n v="0"/>
    <n v="0"/>
    <s v=""/>
    <s v=""/>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SDH-SMINC-007-2013"/>
    <n v="2013"/>
    <s v=" "/>
    <d v="2013-05-29T00:00:00"/>
    <d v="2014-02-28T00:00:00"/>
    <s v=""/>
    <n v="0"/>
    <n v="0"/>
    <n v="0"/>
    <s v=""/>
    <s v=""/>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SDH-SAMC-01-2013"/>
    <n v="2013"/>
    <s v=" "/>
    <d v="2013-05-16T00:00:00"/>
    <d v="2013-12-15T00:00:00"/>
    <s v=""/>
    <n v="3"/>
    <n v="10820000"/>
    <n v="3"/>
    <s v="6 meses  "/>
    <d v="2014-06-16T00:00:00"/>
    <s v=""/>
    <s v=""/>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SDH-SMINC-08-2013"/>
    <n v="2013"/>
    <s v=" "/>
    <d v="2013-06-13T00:00:00"/>
    <d v="2014-06-12T00:00:00"/>
    <s v=""/>
    <n v="0"/>
    <n v="0"/>
    <n v="0"/>
    <s v=""/>
    <s v=""/>
    <s v=""/>
    <s v=""/>
    <d v="2014-06-12T00:00:00"/>
    <n v="1030000"/>
    <n v="1030000"/>
    <n v="0"/>
    <s v="Único pag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s v=""/>
    <n v="1"/>
    <n v="172492424"/>
    <n v="3"/>
    <s v="3 meses y 20 días"/>
    <d v="2014-09-15T00:00:00"/>
    <s v=""/>
    <s v=""/>
    <d v="2014-09-15T00:00:00"/>
    <n v="1552431776"/>
    <n v="1552431775"/>
    <n v="1"/>
    <s v="Mensual"/>
    <x v="47"/>
    <x v="0"/>
    <x v="47"/>
    <s v=""/>
    <x v="1"/>
  </r>
  <r>
    <x v="100"/>
    <x v="20"/>
    <n v="860009759"/>
    <s v="SUSCRIPCIÓN AL DIARIO LA REPÚBLICA, POR EL TÉRMINO DE UN AÑO, PARA EL CONCEJO DE BOGOTÁ_x000a_"/>
    <n v="849000"/>
    <s v=" 130152-0-2013"/>
    <n v="2013"/>
    <s v=" "/>
    <d v="2013-05-27T00:00:00"/>
    <d v="2014-11-26T00:00:00"/>
    <s v=""/>
    <n v="0"/>
    <n v="0"/>
    <n v="0"/>
    <s v=""/>
    <s v=""/>
    <s v=""/>
    <s v=""/>
    <d v="2014-11-26T00:00:00"/>
    <n v="849000"/>
    <n v="849000"/>
    <n v="0"/>
    <s v="Único pago"/>
    <x v="3"/>
    <x v="0"/>
    <x v="3"/>
    <s v=""/>
    <x v="1"/>
  </r>
  <r>
    <x v="101"/>
    <x v="92"/>
    <n v="830101973"/>
    <s v="Servicio de trasporte de bienes muebles y cajas de archivo documental para el Concejo de Bogotá, D.C."/>
    <n v="15000000"/>
    <s v=" SDH-SMINC-14-2013"/>
    <n v="2013"/>
    <s v=" "/>
    <d v="2013-07-04T00:00:00"/>
    <d v="2014-03-03T00:00:00"/>
    <s v=""/>
    <n v="0"/>
    <n v="0"/>
    <n v="1"/>
    <s v="4 meses"/>
    <d v="2014-07-03T00:00:00"/>
    <s v=""/>
    <s v=""/>
    <d v="2014-07-03T00:00:00"/>
    <n v="15000000"/>
    <n v="5368620"/>
    <n v="9631380"/>
    <s v="Mensual"/>
    <x v="48"/>
    <x v="0"/>
    <x v="48"/>
    <s v=""/>
    <x v="0"/>
  </r>
  <r>
    <x v="102"/>
    <x v="50"/>
    <n v="830053669"/>
    <s v="Contratar la prestación de servicio de fotocopiado y servicios afines para el Concejo de Bogotá y la Secretaría de Hacienda"/>
    <n v="31904847"/>
    <s v=" SDH-SIE-01-2013"/>
    <n v="2013"/>
    <s v=" "/>
    <d v="2013-06-01T00:00:00"/>
    <d v="2014-03-31T00:00:00"/>
    <s v=""/>
    <n v="2"/>
    <n v="4000000"/>
    <n v="2"/>
    <s v="3 meses"/>
    <d v="2014-06-30T00:00:00"/>
    <s v=""/>
    <s v=""/>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130161-0-2013"/>
    <n v="2013"/>
    <s v=" "/>
    <d v="2013-05-22T00:00:00"/>
    <d v="2014-01-21T00:00:00"/>
    <s v=""/>
    <n v="0"/>
    <n v="0"/>
    <n v="0"/>
    <s v=""/>
    <s v=""/>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s v=""/>
    <n v="0"/>
    <n v="0"/>
    <n v="0"/>
    <s v=""/>
    <s v=""/>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130163-0-2013"/>
    <n v="2013"/>
    <s v=" "/>
    <d v="2013-05-27T00:00:00"/>
    <d v="2014-01-26T00:00:00"/>
    <s v=""/>
    <n v="0"/>
    <n v="0"/>
    <n v="0"/>
    <s v=""/>
    <s v=""/>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s v=""/>
    <n v="0"/>
    <n v="0"/>
    <n v="0"/>
    <s v=""/>
    <s v=""/>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SDH-SIE-02-2013"/>
    <n v="2013"/>
    <s v=" "/>
    <d v="2013-07-02T00:00:00"/>
    <d v="2013-08-15T00:00:00"/>
    <s v=""/>
    <n v="0"/>
    <n v="0"/>
    <n v="0"/>
    <s v=""/>
    <s v=""/>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s v=""/>
    <n v="2"/>
    <n v="116897514"/>
    <n v="1"/>
    <s v="2 meses y 22 días"/>
    <d v="2014-07-29T00:00:00"/>
    <s v=""/>
    <s v=""/>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SDH-SMINC-25-2013"/>
    <n v="2013"/>
    <s v=" "/>
    <d v="2013-07-08T00:00:00"/>
    <d v="2014-01-07T00:00:00"/>
    <s v=""/>
    <n v="0"/>
    <n v="0"/>
    <n v="2"/>
    <s v="3 meses"/>
    <d v="2014-04-07T00:00:00"/>
    <s v=""/>
    <s v=""/>
    <d v="2014-04-07T00:00:00"/>
    <n v="23246000"/>
    <n v="19772977"/>
    <n v="3473023"/>
    <s v="Mensual"/>
    <x v="51"/>
    <x v="0"/>
    <x v="51"/>
    <s v=""/>
    <x v="0"/>
  </r>
  <r>
    <x v="110"/>
    <x v="48"/>
    <n v="900548648"/>
    <s v="Prestar el servicio integral de aseo y cafetería  para las instalaciones del Concejo de Bogotá y la Secretaria de Hacienda"/>
    <n v="301200000"/>
    <s v=" SDH-SIE-003-2013"/>
    <n v="2013"/>
    <s v=" "/>
    <d v="2013-06-21T00:00:00"/>
    <d v="2014-03-20T00:00:00"/>
    <s v=""/>
    <n v="1"/>
    <n v="20373359"/>
    <n v="2"/>
    <s v="3 meses"/>
    <d v="2014-06-20T00:00:00"/>
    <s v=""/>
    <s v=""/>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SDH-SMINC-20-2013"/>
    <n v="2013"/>
    <s v=" "/>
    <d v="2013-07-09T00:00:00"/>
    <d v="2014-04-08T00:00:00"/>
    <s v=""/>
    <n v="2"/>
    <n v="6494721"/>
    <n v="2"/>
    <s v="3 meses y 21 días"/>
    <d v="2014-07-31T00:00:00"/>
    <s v=""/>
    <s v=""/>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s v=""/>
    <n v="0"/>
    <n v="0"/>
    <n v="0"/>
    <s v=""/>
    <s v=""/>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SDH-SMINC-26-2013"/>
    <n v="2013"/>
    <s v=" "/>
    <d v="2013-07-15T00:00:00"/>
    <d v="2014-03-14T00:00:00"/>
    <s v=""/>
    <n v="1"/>
    <n v="6000000"/>
    <n v="0"/>
    <s v=""/>
    <s v=""/>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s v=""/>
    <n v="0"/>
    <n v="0"/>
    <n v="0"/>
    <s v=""/>
    <s v=""/>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SDH-SMINC-27-2013"/>
    <n v="2013"/>
    <s v=" "/>
    <d v="2013-07-17T00:00:00"/>
    <d v="2013-09-16T00:00:00"/>
    <s v=""/>
    <n v="0"/>
    <n v="0"/>
    <n v="0"/>
    <s v=""/>
    <s v=""/>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s v=""/>
    <n v="0"/>
    <n v="0"/>
    <n v="2"/>
    <s v="3 meses y 23 días"/>
    <d v="2014-06-30T00:00:00"/>
    <s v=""/>
    <s v=""/>
    <d v="2014-06-30T00:00:00"/>
    <n v="269441460"/>
    <n v="265223666"/>
    <n v="4217794"/>
    <s v="Mensual"/>
    <x v="54"/>
    <x v="0"/>
    <x v="54"/>
    <s v=""/>
    <x v="0"/>
  </r>
  <r>
    <x v="117"/>
    <x v="27"/>
    <n v="860536029"/>
    <s v="SUSCRIPCIÓN AL DIARIO EL NUEVO SIGLO, PARA EL CONCEJO DE BOGOTÁ D.C."/>
    <n v="840000"/>
    <n v="130209"/>
    <n v="2013"/>
    <s v=" "/>
    <d v="2013-09-14T00:00:00"/>
    <d v="2014-09-13T00:00:00"/>
    <s v=""/>
    <n v="0"/>
    <n v="0"/>
    <n v="0"/>
    <s v=""/>
    <s v=""/>
    <s v=""/>
    <s v=""/>
    <d v="2014-09-13T00:00:00"/>
    <n v="840000"/>
    <n v="840000"/>
    <n v="0"/>
    <s v="Único pago"/>
    <x v="3"/>
    <x v="0"/>
    <x v="3"/>
    <s v=""/>
    <x v="1"/>
  </r>
  <r>
    <x v="118"/>
    <x v="64"/>
    <n v="80199707"/>
    <s v="Realizar el servicio de mantenimiento correctivo, incluyendo los repuestos y/o elementos nuevos que requieran las sillas existentes en el Concejo de Bogotá."/>
    <n v="38271000"/>
    <s v=" SDH-SMINC-28-2013"/>
    <n v="2013"/>
    <s v=" "/>
    <d v="2013-07-17T00:00:00"/>
    <d v="2014-02-16T00:00:00"/>
    <s v=""/>
    <n v="0"/>
    <n v="0"/>
    <n v="1"/>
    <s v="1 mes"/>
    <d v="2014-03-16T00:00:00"/>
    <s v=""/>
    <s v=""/>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SDH-SMINC-31-2013"/>
    <n v="2013"/>
    <s v=" "/>
    <d v="2013-07-17T00:00:00"/>
    <d v="2015-03-19T00:00:00"/>
    <s v=""/>
    <n v="0"/>
    <n v="0"/>
    <n v="1"/>
    <s v="1 mes"/>
    <d v="2014-03-16T00:00:00"/>
    <s v=""/>
    <s v=""/>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SDH-SMINC-023-2013"/>
    <n v="2013"/>
    <s v=" "/>
    <d v="2013-10-01T00:00:00"/>
    <d v="2014-05-31T00:00:00"/>
    <s v=""/>
    <n v="0"/>
    <n v="0"/>
    <n v="0"/>
    <s v=""/>
    <s v=""/>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130220-0-2013"/>
    <n v="2013"/>
    <s v=" "/>
    <d v="2013-07-22T00:00:00"/>
    <d v="2014-02-21T00:00:00"/>
    <s v=""/>
    <n v="0"/>
    <n v="0"/>
    <n v="0"/>
    <s v=""/>
    <s v=""/>
    <s v=""/>
    <s v=""/>
    <d v="2014-02-21T00:00:00"/>
    <n v="23989000"/>
    <n v="23989000"/>
    <n v="0"/>
    <s v="Mensual"/>
    <x v="3"/>
    <x v="0"/>
    <x v="3"/>
    <s v=""/>
    <x v="1"/>
  </r>
  <r>
    <x v="122"/>
    <x v="28"/>
    <n v="860509265"/>
    <s v="SUSCRIPCIÓN A LA REVISTA SEMANA, PARA EL CONCEJO DE BOGOTÁ"/>
    <n v="795000"/>
    <s v=" 130227-0-2013"/>
    <n v="2013"/>
    <s v=" "/>
    <d v="2013-09-30T00:00:00"/>
    <d v="2014-09-29T00:00:00"/>
    <s v=""/>
    <n v="0"/>
    <n v="0"/>
    <n v="0"/>
    <s v=""/>
    <s v=""/>
    <s v=""/>
    <s v=""/>
    <d v="2014-09-29T00:00:00"/>
    <n v="795000"/>
    <n v="795000"/>
    <n v="0"/>
    <s v="Único pago"/>
    <x v="3"/>
    <x v="0"/>
    <x v="3"/>
    <s v=""/>
    <x v="1"/>
  </r>
  <r>
    <x v="123"/>
    <x v="26"/>
    <n v="860007590"/>
    <s v="SUSCRIPCIÓN AL DIARIO EL ESPECTADOR, PARA EL CONCEJO DE BOGOTÁ."/>
    <n v="936000"/>
    <s v=" 130228-0-2013"/>
    <n v="2013"/>
    <s v=" "/>
    <d v="2013-09-11T00:00:00"/>
    <d v="2014-09-10T00:00:00"/>
    <s v=""/>
    <n v="0"/>
    <n v="0"/>
    <n v="0"/>
    <s v=""/>
    <s v=""/>
    <s v=""/>
    <s v=""/>
    <d v="2014-09-10T00:00:00"/>
    <n v="936000"/>
    <n v="936000"/>
    <n v="0"/>
    <s v="Único pag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s v=""/>
    <n v="0"/>
    <n v="0"/>
    <n v="1"/>
    <s v="3 meses"/>
    <d v="2014-08-07T00:00:00"/>
    <s v=""/>
    <s v=""/>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s v=""/>
    <n v="2"/>
    <n v="14282200"/>
    <n v="1"/>
    <s v="2 meses"/>
    <d v="2014-08-13T00:00:00"/>
    <s v=""/>
    <s v=""/>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s v=""/>
    <n v="0"/>
    <n v="0"/>
    <n v="1"/>
    <s v="3 meses"/>
    <d v="2014-08-25T00:00:00"/>
    <s v=""/>
    <s v=""/>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SDH-SMINC-038-2013"/>
    <n v="2013"/>
    <s v=" "/>
    <d v="2013-09-06T00:00:00"/>
    <d v="2014-05-05T00:00:00"/>
    <s v=""/>
    <n v="1"/>
    <n v="8400000"/>
    <n v="3"/>
    <s v="11 meses"/>
    <d v="2015-04-05T00:00:00"/>
    <s v=""/>
    <s v=""/>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SDH-SIE-07-2013"/>
    <n v="2013"/>
    <s v=" "/>
    <d v="2013-08-20T00:00:00"/>
    <d v="2014-08-20T00:00:00"/>
    <s v=""/>
    <n v="1"/>
    <n v="43461566"/>
    <n v="1"/>
    <s v="5 meses"/>
    <d v="2015-02-20T00:00:00"/>
    <s v=""/>
    <s v=""/>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SDH-SIE-08-2013"/>
    <n v="2013"/>
    <s v=" "/>
    <d v="2013-09-16T00:00:00"/>
    <d v="2014-09-15T00:00:00"/>
    <s v=""/>
    <n v="0"/>
    <n v="0"/>
    <n v="0"/>
    <s v=""/>
    <s v=""/>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SDH-SAMC-06-2013"/>
    <n v="2013"/>
    <s v=" "/>
    <d v="2013-09-24T00:00:00"/>
    <d v="2014-03-23T00:00:00"/>
    <s v=""/>
    <n v="2"/>
    <n v="38002288"/>
    <n v="1"/>
    <s v="2 meses"/>
    <d v="2014-05-23T00:00:00"/>
    <s v=""/>
    <s v=""/>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SDH-SMINC-39-2013"/>
    <n v="2013"/>
    <s v=" "/>
    <d v="2013-10-08T00:00:00"/>
    <d v="2013-12-07T00:00:00"/>
    <s v=""/>
    <n v="0"/>
    <n v="0"/>
    <n v="0"/>
    <s v=""/>
    <s v=""/>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130261-0-2013"/>
    <n v="2013"/>
    <s v=" "/>
    <d v="2013-10-09T00:00:00"/>
    <d v="2014-06-08T00:00:00"/>
    <s v=""/>
    <n v="0"/>
    <n v="0"/>
    <n v="2"/>
    <s v="3 meses"/>
    <d v="2014-09-08T00:00:00"/>
    <s v=""/>
    <s v=""/>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SDH-SMINC-40-2013"/>
    <n v="2013"/>
    <s v=" "/>
    <d v="2013-10-07T00:00:00"/>
    <d v="2014-01-06T00:00:00"/>
    <s v=""/>
    <n v="0"/>
    <n v="0"/>
    <n v="0"/>
    <s v=""/>
    <s v=""/>
    <s v=""/>
    <s v=""/>
    <d v="2014-01-06T00:00:00"/>
    <n v="3356320"/>
    <n v="3356320"/>
    <n v="0"/>
    <s v="Único pag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SDH-SMINC-43-2013"/>
    <n v="2013"/>
    <s v=" "/>
    <d v="2013-10-08T00:00:00"/>
    <d v="2014-10-23T00:00:00"/>
    <s v=""/>
    <n v="0"/>
    <n v="0"/>
    <n v="0"/>
    <s v=""/>
    <s v=""/>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s v=""/>
    <n v="0"/>
    <n v="0"/>
    <n v="0"/>
    <s v=""/>
    <s v=""/>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SDH-SMINC-042-2013"/>
    <n v="2013"/>
    <s v=" "/>
    <d v="2013-10-15T00:00:00"/>
    <d v="2013-11-14T00:00:00"/>
    <s v=""/>
    <n v="0"/>
    <n v="0"/>
    <n v="0"/>
    <s v=""/>
    <s v=""/>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SDH-SMINC-45-2013"/>
    <n v="2013"/>
    <s v=" "/>
    <d v="2013-10-23T00:00:00"/>
    <d v="2014-02-22T00:00:00"/>
    <s v=""/>
    <n v="0"/>
    <n v="0"/>
    <n v="0"/>
    <s v=""/>
    <s v=""/>
    <s v=""/>
    <s v=""/>
    <d v="2014-02-22T00:00:00"/>
    <n v="17262940"/>
    <n v="17262940"/>
    <n v="0"/>
    <s v="Único pago"/>
    <x v="3"/>
    <x v="0"/>
    <x v="3"/>
    <s v=""/>
    <x v="1"/>
  </r>
  <r>
    <x v="138"/>
    <x v="58"/>
    <n v="900169179"/>
    <s v="Suscripción al diario El Periódico, con destino al Concejo de Bogotá D.C. , de conformidad con los estudios previos."/>
    <n v="810000"/>
    <s v=" 130297-0-2013"/>
    <n v="2013"/>
    <s v=" "/>
    <d v="2013-10-28T00:00:00"/>
    <d v="2014-10-27T00:00:00"/>
    <s v=""/>
    <n v="0"/>
    <n v="0"/>
    <n v="0"/>
    <s v=""/>
    <s v=""/>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SDH-SMINC-44-2013"/>
    <n v="2013"/>
    <s v=" "/>
    <d v="2013-11-12T00:00:00"/>
    <d v="2014-01-11T00:00:00"/>
    <s v=""/>
    <n v="0"/>
    <n v="0"/>
    <n v="0"/>
    <s v=""/>
    <s v=""/>
    <s v=""/>
    <s v=""/>
    <d v="2014-01-11T00:00:00"/>
    <n v="5545000"/>
    <n v="5545000"/>
    <n v="0"/>
    <s v="Único pag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SDH-SMINC-44-2013"/>
    <n v="2013"/>
    <s v=" "/>
    <d v="2013-11-12T00:00:00"/>
    <d v="2014-01-11T00:00:00"/>
    <s v=""/>
    <n v="0"/>
    <n v="0"/>
    <n v="0"/>
    <s v=""/>
    <s v=""/>
    <s v=""/>
    <s v=""/>
    <d v="2014-01-11T00:00:00"/>
    <n v="19360400"/>
    <n v="19360400"/>
    <n v="0"/>
    <s v="Único pago"/>
    <x v="3"/>
    <x v="0"/>
    <x v="3"/>
    <s v=""/>
    <x v="1"/>
  </r>
  <r>
    <x v="141"/>
    <x v="120"/>
    <n v="860066942"/>
    <s v="Aunar esfuerzos para el desarrollo de las actividades contenidas en los planes de bienestar e incentivos del Concejo de Bogotá D.C."/>
    <n v="336560000"/>
    <s v=" 130301-0-2013"/>
    <n v="2013"/>
    <s v=" "/>
    <d v="2013-10-25T00:00:00"/>
    <d v="2014-06-24T00:00:00"/>
    <s v=""/>
    <n v="2"/>
    <n v="165720800"/>
    <n v="0"/>
    <s v=""/>
    <s v=""/>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SDH-SIE-11-2013"/>
    <n v="2013"/>
    <s v=" "/>
    <d v="2013-11-02T00:00:00"/>
    <d v="2014-11-01T00:00:00"/>
    <s v=""/>
    <n v="1"/>
    <n v="159203272"/>
    <n v="1"/>
    <s v="1 mes"/>
    <d v="2014-12-02T00:00:00"/>
    <s v=""/>
    <s v=""/>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s v=""/>
    <n v="0"/>
    <n v="0"/>
    <n v="0"/>
    <s v=""/>
    <s v=""/>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s v=""/>
    <n v="0"/>
    <n v="0"/>
    <n v="0"/>
    <s v=""/>
    <s v=""/>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s v=""/>
    <n v="4"/>
    <n v="1210934978"/>
    <n v="4"/>
    <s v="5 años y 6 meses y 10 dias calendario"/>
    <d v="2018-06-30T00:00:00"/>
    <s v=""/>
    <s v=""/>
    <d v="2018-06-30T00:00:00"/>
    <n v="3900374978"/>
    <n v="680003244"/>
    <n v="3220371734"/>
    <m/>
    <x v="66"/>
    <x v="0"/>
    <x v="66"/>
    <s v=""/>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SDH-SIE-010-2013"/>
    <n v="2013"/>
    <s v=" "/>
    <d v="2014-01-20T00:00:00"/>
    <d v="2014-04-19T00:00:00"/>
    <s v=""/>
    <n v="0"/>
    <n v="0"/>
    <n v="0"/>
    <s v=""/>
    <s v=""/>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130336-0-2013"/>
    <n v="2013"/>
    <s v=" "/>
    <d v="2013-12-12T00:00:00"/>
    <d v="2014-02-11T00:00:00"/>
    <s v=""/>
    <n v="0"/>
    <n v="0"/>
    <n v="0"/>
    <s v=""/>
    <s v=""/>
    <s v=""/>
    <s v=""/>
    <d v="2014-02-11T00:00:00"/>
    <n v="6000000"/>
    <n v="6000000"/>
    <n v="0"/>
    <s v="Único pag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SDH-SMINC-53-2013"/>
    <n v="2013"/>
    <s v=" "/>
    <d v="2014-01-02T00:00:00"/>
    <d v="2015-01-01T00:00:00"/>
    <s v=""/>
    <n v="0"/>
    <n v="0"/>
    <n v="0"/>
    <s v=""/>
    <s v=""/>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SDH-SMINC-58-2013"/>
    <n v="2013"/>
    <s v=" "/>
    <d v="2013-12-04T00:00:00"/>
    <d v="2014-01-19T00:00:00"/>
    <s v=""/>
    <n v="0"/>
    <n v="0"/>
    <n v="0"/>
    <s v=""/>
    <s v=""/>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SDH-SIE-013-2013"/>
    <n v="2013"/>
    <s v=" "/>
    <d v="2013-12-13T00:00:00"/>
    <d v="2014-12-12T00:00:00"/>
    <s v=""/>
    <n v="0"/>
    <n v="0"/>
    <n v="0"/>
    <s v=""/>
    <s v=""/>
    <s v=""/>
    <s v=""/>
    <d v="2014-12-12T00:00:00"/>
    <n v="452974000"/>
    <n v="452973998"/>
    <n v="2"/>
    <s v="Mensual"/>
    <x v="69"/>
    <x v="0"/>
    <x v="69"/>
    <s v=""/>
    <x v="1"/>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s v=""/>
    <n v="0"/>
    <n v="0"/>
    <n v="1"/>
    <s v="3 meses"/>
    <d v="2014-12-07T00:00:00"/>
    <s v=""/>
    <s v=""/>
    <d v="2014-12-07T00:00:00"/>
    <n v="95000000"/>
    <n v="88983693"/>
    <n v="6016307"/>
    <s v="Mensual"/>
    <x v="70"/>
    <x v="0"/>
    <x v="70"/>
    <s v=""/>
    <x v="0"/>
  </r>
  <r>
    <x v="152"/>
    <x v="129"/>
    <n v="860007336"/>
    <s v="Adquirir a titulo de compraventa bonos para el Concejo de Bogotá"/>
    <n v="63128000"/>
    <s v=" SDH-SAMC-010-2013"/>
    <n v="2013"/>
    <s v=" "/>
    <d v="2013-12-18T00:00:00"/>
    <d v="2014-01-02T00:00:00"/>
    <s v=""/>
    <n v="0"/>
    <n v="0"/>
    <n v="0"/>
    <s v=""/>
    <s v=""/>
    <s v=""/>
    <s v=""/>
    <d v="2014-01-02T00:00:00"/>
    <n v="63128000"/>
    <n v="63128000"/>
    <n v="0"/>
    <s v="Único pag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130361-2013"/>
    <n v="2013"/>
    <s v=" "/>
    <d v="2013-12-20T00:00:00"/>
    <d v="2014-01-19T00:00:00"/>
    <s v=""/>
    <n v="0"/>
    <n v="0"/>
    <n v="0"/>
    <s v=""/>
    <s v=""/>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130362-0-2013"/>
    <n v="2013"/>
    <s v=" "/>
    <d v="2013-12-20T00:00:00"/>
    <d v="2014-01-19T00:00:00"/>
    <s v=""/>
    <n v="0"/>
    <n v="0"/>
    <n v="0"/>
    <s v=""/>
    <s v=""/>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SDH-SAMC-11-2013"/>
    <n v="2013"/>
    <s v=" "/>
    <d v="2014-01-08T00:00:00"/>
    <d v="2014-03-07T00:00:00"/>
    <s v=""/>
    <n v="0"/>
    <n v="0"/>
    <n v="2"/>
    <s v="3 meses"/>
    <d v="2014-06-07T00:00:00"/>
    <s v=""/>
    <s v=""/>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130364-0-2013"/>
    <n v="2013"/>
    <s v=" "/>
    <d v="2013-12-20T00:00:00"/>
    <d v="2014-01-19T00:00:00"/>
    <s v=""/>
    <n v="0"/>
    <n v="0"/>
    <n v="0"/>
    <s v=""/>
    <s v=""/>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130365-0-2013"/>
    <n v="2013"/>
    <s v=" "/>
    <d v="2013-12-20T00:00:00"/>
    <d v="2014-01-19T00:00:00"/>
    <s v=""/>
    <n v="0"/>
    <n v="0"/>
    <n v="0"/>
    <s v=""/>
    <s v=""/>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SDH-SMINC-51-2013"/>
    <n v="2013"/>
    <s v=" "/>
    <d v="2014-01-23T00:00:00"/>
    <d v="2014-04-22T00:00:00"/>
    <s v=""/>
    <n v="0"/>
    <n v="0"/>
    <n v="0"/>
    <s v=""/>
    <s v=""/>
    <s v=""/>
    <s v=""/>
    <d v="2014-04-22T00:00:00"/>
    <n v="3017160"/>
    <n v="3017160"/>
    <n v="0"/>
    <s v="Único pago"/>
    <x v="3"/>
    <x v="0"/>
    <x v="3"/>
    <s v=""/>
    <x v="1"/>
  </r>
  <r>
    <x v="159"/>
    <x v="135"/>
    <n v="811021363"/>
    <s v="Contratar el suministro de tóner para los equipos de impresión del Concejo de Bogotá D.C"/>
    <n v="60000000"/>
    <s v=" SDH-SIE-014-2013"/>
    <n v="2013"/>
    <s v=" "/>
    <d v="2014-01-16T00:00:00"/>
    <d v="2015-01-15T00:00:00"/>
    <s v=""/>
    <n v="1"/>
    <n v="30000000"/>
    <n v="0"/>
    <s v=""/>
    <s v=""/>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130372-0-2013"/>
    <n v="2013"/>
    <s v=" "/>
    <d v="2013-12-26T00:00:00"/>
    <d v="2014-01-25T00:00:00"/>
    <s v=""/>
    <n v="0"/>
    <n v="0"/>
    <n v="0"/>
    <s v=""/>
    <s v=""/>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SDH-SMINC-60-2013"/>
    <n v="2013"/>
    <s v=" "/>
    <d v="2014-01-23T00:00:00"/>
    <d v="2014-04-25T00:00:00"/>
    <s v=""/>
    <n v="0"/>
    <n v="0"/>
    <n v="0"/>
    <s v=""/>
    <s v=""/>
    <s v=""/>
    <s v=""/>
    <d v="2014-04-25T00:00:00"/>
    <n v="3743343"/>
    <n v="3743343"/>
    <n v="0"/>
    <s v="Único pag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SDH-SMINC-55-2013"/>
    <n v="2013"/>
    <s v=" "/>
    <d v="2014-01-23T00:00:00"/>
    <d v="2015-01-22T00:00:00"/>
    <s v=""/>
    <n v="0"/>
    <n v="0"/>
    <n v="0"/>
    <s v=""/>
    <s v=""/>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SDH-SMINC-67-2013"/>
    <n v="2013"/>
    <s v=" "/>
    <d v="2014-01-16T00:00:00"/>
    <d v="2014-03-15T00:00:00"/>
    <s v=""/>
    <n v="0"/>
    <n v="0"/>
    <n v="0"/>
    <s v=""/>
    <s v=""/>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SDH-SMINC-68-2013"/>
    <n v="2013"/>
    <s v=" "/>
    <d v="2014-01-23T00:00:00"/>
    <d v="2014-03-22T00:00:00"/>
    <s v=""/>
    <n v="0"/>
    <n v="0"/>
    <n v="0"/>
    <s v=""/>
    <s v=""/>
    <s v=""/>
    <s v=""/>
    <d v="2014-03-22T00:00:00"/>
    <n v="3480000"/>
    <n v="3480000"/>
    <n v="0"/>
    <s v="Único pag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SDH-SIE-015-2013"/>
    <n v="2013"/>
    <s v=" "/>
    <d v="2014-01-23T00:00:00"/>
    <d v="2014-04-07T00:00:00"/>
    <s v=""/>
    <n v="0"/>
    <n v="0"/>
    <n v="0"/>
    <s v=""/>
    <s v=""/>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130385-0-2013"/>
    <n v="2013"/>
    <s v=" "/>
    <d v="2013-12-30T00:00:00"/>
    <d v="2014-01-29T00:00:00"/>
    <s v=""/>
    <n v="0"/>
    <n v="0"/>
    <n v="0"/>
    <s v=""/>
    <s v=""/>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SDH-SIE-18-2013"/>
    <n v="2013"/>
    <s v=" "/>
    <d v="2014-01-31T00:00:00"/>
    <d v="2014-04-30T00:00:00"/>
    <s v=""/>
    <n v="0"/>
    <n v="0"/>
    <n v="1"/>
    <s v="30 días"/>
    <d v="2014-05-30T00:00:00"/>
    <s v=""/>
    <s v=""/>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s v=""/>
    <n v="0"/>
    <n v="0"/>
    <n v="1"/>
    <s v="2 meses"/>
    <d v="2015-05-05T00:00:00"/>
    <s v=""/>
    <s v=""/>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s v=""/>
    <n v="0"/>
    <n v="0"/>
    <n v="0"/>
    <s v=""/>
    <s v=""/>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s v=""/>
    <n v="0"/>
    <n v="0"/>
    <n v="0"/>
    <s v=""/>
    <s v=""/>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s v=""/>
    <n v="0"/>
    <n v="0"/>
    <n v="0"/>
    <s v=""/>
    <s v=""/>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140140-0-2014"/>
    <n v="2014"/>
    <s v=" "/>
    <d v="2014-04-10T00:00:00"/>
    <d v="2014-09-09T00:00:00"/>
    <s v=""/>
    <n v="0"/>
    <n v="0"/>
    <n v="0"/>
    <s v=""/>
    <s v=""/>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140152-0-2014"/>
    <n v="2014"/>
    <s v=" "/>
    <d v="2014-03-03T00:00:00"/>
    <d v="2015-01-02T00:00:00"/>
    <s v=""/>
    <n v="0"/>
    <n v="0"/>
    <n v="0"/>
    <s v=""/>
    <s v=""/>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140153-0-2014"/>
    <n v="2014"/>
    <s v=" "/>
    <d v="2014-03-10T00:00:00"/>
    <d v="2015-01-09T00:00:00"/>
    <s v=""/>
    <n v="0"/>
    <n v="0"/>
    <n v="0"/>
    <s v=""/>
    <s v=""/>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140154-0-2014"/>
    <n v="2014"/>
    <s v=" "/>
    <d v="2014-02-05T00:00:00"/>
    <d v="2015-01-04T00:00:00"/>
    <s v=""/>
    <n v="0"/>
    <n v="0"/>
    <n v="0"/>
    <s v=""/>
    <s v=""/>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s v=""/>
    <n v="0"/>
    <n v="0"/>
    <n v="0"/>
    <s v=""/>
    <s v=""/>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8-0-2014"/>
    <n v="2014"/>
    <d v="2014-01-24T00:00:00"/>
    <d v="2014-02-05T00:00:00"/>
    <d v="2015-01-04T00:00:00"/>
    <s v=""/>
    <n v="0"/>
    <n v="0"/>
    <n v="0"/>
    <s v=""/>
    <s v=""/>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s v=""/>
    <n v="0"/>
    <n v="0"/>
    <n v="0"/>
    <s v=""/>
    <s v=""/>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s v=""/>
    <n v="0"/>
    <n v="0"/>
    <n v="0"/>
    <s v=""/>
    <s v=""/>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140161-0-2014"/>
    <n v="2014"/>
    <d v="2014-01-24T00:00:00"/>
    <d v="2014-02-05T00:00:00"/>
    <d v="2015-01-04T00:00:00"/>
    <s v=""/>
    <n v="0"/>
    <n v="0"/>
    <n v="0"/>
    <s v=""/>
    <s v=""/>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62-0-2014"/>
    <n v="2014"/>
    <d v="2014-01-24T00:00:00"/>
    <d v="2014-02-05T00:00:00"/>
    <d v="2015-01-04T00:00:00"/>
    <s v=""/>
    <n v="0"/>
    <n v="0"/>
    <n v="0"/>
    <s v=""/>
    <s v=""/>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s v=""/>
    <n v="0"/>
    <n v="0"/>
    <n v="0"/>
    <s v=""/>
    <s v=""/>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140166-0-2014"/>
    <n v="2014"/>
    <s v=" "/>
    <d v="2014-02-05T00:00:00"/>
    <d v="2015-01-04T00:00:00"/>
    <s v=""/>
    <n v="0"/>
    <n v="0"/>
    <n v="0"/>
    <s v=""/>
    <s v=""/>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140167-0-2014"/>
    <n v="2014"/>
    <s v=" "/>
    <d v="2014-02-24T00:00:00"/>
    <d v="2014-12-23T00:00:00"/>
    <s v=""/>
    <n v="0"/>
    <n v="0"/>
    <n v="1"/>
    <s v=""/>
    <d v="2014-09-05T00:00:00"/>
    <s v=""/>
    <s v=""/>
    <d v="2014-12-23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140168-0-2014"/>
    <n v="2014"/>
    <s v=" "/>
    <d v="2014-02-05T00:00:00"/>
    <d v="2015-01-04T00:00:00"/>
    <s v=""/>
    <n v="0"/>
    <n v="0"/>
    <n v="0"/>
    <s v=""/>
    <s v=""/>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140169-0-2014"/>
    <n v="2014"/>
    <s v=" "/>
    <d v="2014-02-07T00:00:00"/>
    <d v="2014-12-06T00:00:00"/>
    <s v=""/>
    <n v="1"/>
    <n v="10300000"/>
    <n v="2"/>
    <s v="2 meses"/>
    <d v="2015-02-06T00:00:00"/>
    <s v=""/>
    <s v=""/>
    <d v="2015-02-06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SDH-SIE-019-2013"/>
    <n v="2014"/>
    <s v=" "/>
    <d v="2014-03-06T00:00:00"/>
    <d v="2014-04-19T00:00:00"/>
    <s v=""/>
    <n v="0"/>
    <n v="0"/>
    <n v="0"/>
    <s v=""/>
    <s v=""/>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SDH-SIE-019-2013"/>
    <n v="2014"/>
    <s v=" "/>
    <d v="2014-03-06T00:00:00"/>
    <d v="2014-04-19T00:00:00"/>
    <s v=""/>
    <n v="0"/>
    <n v="0"/>
    <n v="0"/>
    <s v=""/>
    <s v=""/>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SHD-SIE-020-2013"/>
    <n v="2014"/>
    <s v=" "/>
    <d v="2014-03-10T00:00:00"/>
    <d v="2014-04-09T00:00:00"/>
    <s v=""/>
    <n v="1"/>
    <n v="77128875"/>
    <n v="0"/>
    <s v=""/>
    <s v=""/>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s v=""/>
    <n v="0"/>
    <n v="0"/>
    <n v="0"/>
    <s v=""/>
    <s v=""/>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s v=""/>
    <n v="1"/>
    <n v="282000"/>
    <n v="0"/>
    <s v=""/>
    <s v=""/>
    <s v=""/>
    <s v=""/>
    <d v="2015-04-08T00:00:00"/>
    <n v="1607400"/>
    <n v="0"/>
    <n v="1607400"/>
    <s v="Ünico pago"/>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s v=""/>
    <n v="0"/>
    <n v="0"/>
    <n v="0"/>
    <s v=""/>
    <s v=""/>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s v=""/>
    <n v="0"/>
    <n v="0"/>
    <n v="0"/>
    <s v=""/>
    <s v=""/>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s v=""/>
    <n v="0"/>
    <n v="0"/>
    <n v="0"/>
    <s v=""/>
    <s v=""/>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s v=""/>
    <n v="1"/>
    <n v="10346000"/>
    <n v="1"/>
    <s v="1 mes   "/>
    <d v="2015-03-28T00:00:00"/>
    <s v=""/>
    <s v=""/>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s v=""/>
    <n v="1"/>
    <n v="6072600"/>
    <n v="1"/>
    <s v="1 mes y 15 días"/>
    <d v="2014-09-19T00:00:00"/>
    <s v=""/>
    <s v=""/>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s v=""/>
    <n v="0"/>
    <n v="0"/>
    <n v="0"/>
    <s v=""/>
    <s v=""/>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s v=""/>
    <n v="0"/>
    <n v="0"/>
    <n v="0"/>
    <s v=""/>
    <s v=""/>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s v=""/>
    <n v="1"/>
    <n v="5100746"/>
    <n v="2"/>
    <s v="2 meses y 18 días"/>
    <d v="2015-05-04T00:00:00"/>
    <s v=""/>
    <s v=""/>
    <d v="2015-05-04T00:00:00"/>
    <n v="45100746"/>
    <n v="45045000"/>
    <n v="55746"/>
    <s v="Mensualidades vencidas"/>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200 DEL 2014"/>
    <n v="2014"/>
    <s v=" "/>
    <m/>
    <m/>
    <s v=""/>
    <n v="0"/>
    <n v="0"/>
    <n v="2"/>
    <s v="10 meses y 9 días"/>
    <d v="2020-03-31T00:00:00"/>
    <s v=""/>
    <s v=""/>
    <d v="2020-03-31T00:00:00"/>
    <n v="0"/>
    <n v="0"/>
    <n v="0"/>
    <m/>
    <x v="65"/>
    <x v="0"/>
    <x v="65"/>
    <s v=""/>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s v=""/>
    <n v="0"/>
    <n v="0"/>
    <n v="0"/>
    <s v=""/>
    <s v=""/>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SDH-SMINC-040-2014"/>
    <n v="2014"/>
    <s v=" "/>
    <d v="2014-08-20T00:00:00"/>
    <d v="2014-10-20T00:00:00"/>
    <s v=""/>
    <n v="0"/>
    <n v="0"/>
    <n v="0"/>
    <s v=""/>
    <s v=""/>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s v=""/>
    <n v="0"/>
    <n v="0"/>
    <n v="2"/>
    <s v="8 meses"/>
    <d v="2015-11-04T00:00:00"/>
    <s v=""/>
    <s v=""/>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SDH-SMINC-26-2014"/>
    <n v="2014"/>
    <s v=" "/>
    <d v="2014-06-17T00:00:00"/>
    <d v="2014-08-16T00:00:00"/>
    <s v=""/>
    <n v="0"/>
    <n v="0"/>
    <n v="0"/>
    <s v=""/>
    <s v=""/>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SDH-SIE-03-2014"/>
    <n v="2014"/>
    <s v=" "/>
    <d v="2014-06-21T00:00:00"/>
    <d v="2015-05-06T00:00:00"/>
    <s v=""/>
    <n v="0"/>
    <n v="0"/>
    <n v="2"/>
    <s v="1 mes y 25 días"/>
    <d v="2015-07-01T00:00:00"/>
    <s v=""/>
    <s v=""/>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s v=""/>
    <n v="1"/>
    <n v="1015608000"/>
    <n v="2"/>
    <s v="3 meses y 5 días"/>
    <d v="2015-04-22T00:00:00"/>
    <s v=""/>
    <s v=""/>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SDH-SMINC-032-2014"/>
    <n v="2014"/>
    <s v=" "/>
    <d v="2014-07-21T00:00:00"/>
    <d v="2014-08-21T00:00:00"/>
    <s v=""/>
    <n v="0"/>
    <n v="0"/>
    <n v="0"/>
    <s v=""/>
    <s v=""/>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LP-AMP-010-2013"/>
    <n v="2014"/>
    <s v=" "/>
    <d v="2014-06-16T00:00:00"/>
    <d v="2014-11-16T00:00:00"/>
    <s v=""/>
    <n v="0"/>
    <n v="0"/>
    <n v="0"/>
    <s v=""/>
    <s v=""/>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s v=""/>
    <n v="0"/>
    <n v="0"/>
    <n v="0"/>
    <s v=""/>
    <s v=""/>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SDH-SMINC-033-2014"/>
    <n v="2014"/>
    <s v=" "/>
    <d v="2014-07-18T00:00:00"/>
    <d v="2014-08-01T00:00:00"/>
    <s v=""/>
    <n v="0"/>
    <n v="0"/>
    <n v="0"/>
    <s v=""/>
    <s v=""/>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s v=""/>
    <n v="0"/>
    <n v="0"/>
    <n v="1"/>
    <s v="3 meses"/>
    <d v="2015-07-01T00:00:00"/>
    <s v=""/>
    <s v=""/>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s v=""/>
    <n v="1"/>
    <n v="2324400"/>
    <n v="1"/>
    <s v="1 mes y 22 días"/>
    <d v="2015-08-31T00:00:00"/>
    <s v=""/>
    <s v=""/>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SDH-SMINC-037-2014"/>
    <n v="2014"/>
    <s v=" "/>
    <d v="2014-07-18T00:00:00"/>
    <d v="2015-07-18T00:00:00"/>
    <s v=""/>
    <n v="0"/>
    <n v="0"/>
    <n v="0"/>
    <s v=""/>
    <s v=""/>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s v=""/>
    <n v="0"/>
    <n v="0"/>
    <n v="0"/>
    <s v=""/>
    <s v=""/>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LP-AMP-011-2013"/>
    <n v="2014"/>
    <s v=" "/>
    <d v="2014-07-17T00:00:00"/>
    <d v="2015-07-17T00:00:00"/>
    <s v=""/>
    <n v="0"/>
    <n v="0"/>
    <n v="0"/>
    <s v=""/>
    <s v=""/>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s v=""/>
    <n v="0"/>
    <n v="0"/>
    <n v="0"/>
    <s v=""/>
    <s v=""/>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s v=""/>
    <n v="0"/>
    <n v="0"/>
    <n v="1"/>
    <s v="1 mes y 14 días"/>
    <d v="2015-07-31T00:00:00"/>
    <s v=""/>
    <s v=""/>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SDH-SMINC-59-2012"/>
    <n v="2014"/>
    <s v=" "/>
    <d v="2014-10-23T00:00:00"/>
    <d v="2015-01-23T00:00:00"/>
    <s v=""/>
    <n v="0"/>
    <n v="0"/>
    <n v="0"/>
    <s v=""/>
    <s v=""/>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SDH-SAMC-02-2014"/>
    <n v="2014"/>
    <s v=" "/>
    <d v="2014-07-15T00:00:00"/>
    <d v="2015-03-15T00:00:00"/>
    <s v=""/>
    <n v="1"/>
    <n v="32600000"/>
    <n v="1"/>
    <s v="2 meses"/>
    <d v="2015-05-15T00:00:00"/>
    <s v=""/>
    <s v=""/>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140243-0-2014"/>
    <n v="2014"/>
    <s v=" "/>
    <d v="2014-07-22T00:00:00"/>
    <d v="2014-11-22T00:00:00"/>
    <s v=""/>
    <n v="0"/>
    <n v="0"/>
    <n v="0"/>
    <s v=""/>
    <s v=""/>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s v=""/>
    <n v="0"/>
    <n v="0"/>
    <n v="0"/>
    <s v=""/>
    <s v=""/>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140249-0-2014"/>
    <n v="2014"/>
    <s v=" "/>
    <d v="2014-07-30T00:00:00"/>
    <d v="2015-01-30T00:00:00"/>
    <s v=""/>
    <n v="1"/>
    <n v="87669877"/>
    <n v="1"/>
    <s v="2 meses y 15 días"/>
    <d v="2015-04-14T00:00:00"/>
    <s v=""/>
    <s v=""/>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SDH-SMINC-39-2014"/>
    <n v="2014"/>
    <s v=" "/>
    <d v="2014-10-24T00:00:00"/>
    <d v="2015-10-24T00:00:00"/>
    <s v=""/>
    <n v="0"/>
    <n v="0"/>
    <n v="0"/>
    <s v=""/>
    <s v=""/>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s v=""/>
    <n v="0"/>
    <n v="0"/>
    <n v="0"/>
    <s v=""/>
    <s v=""/>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s v=""/>
    <n v="0"/>
    <n v="0"/>
    <n v="0"/>
    <s v=""/>
    <s v=""/>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s v=""/>
    <n v="0"/>
    <n v="0"/>
    <n v="0"/>
    <s v=""/>
    <s v=""/>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s v=""/>
    <n v="0"/>
    <n v="0"/>
    <n v="0"/>
    <s v=""/>
    <s v=""/>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s v=""/>
    <n v="0"/>
    <n v="0"/>
    <n v="0"/>
    <s v=""/>
    <s v=""/>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s v=""/>
    <n v="0"/>
    <n v="0"/>
    <n v="0"/>
    <s v=""/>
    <s v=""/>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SDH-SAMC-004-2014"/>
    <n v="2014"/>
    <s v=" "/>
    <d v="2014-10-14T00:00:00"/>
    <d v="2015-05-14T00:00:00"/>
    <s v=""/>
    <n v="0"/>
    <n v="0"/>
    <n v="0"/>
    <s v=""/>
    <s v=""/>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140291-0-2014"/>
    <n v="2014"/>
    <s v=" "/>
    <d v="2014-09-09T00:00:00"/>
    <d v="2015-01-09T00:00:00"/>
    <s v=""/>
    <n v="0"/>
    <n v="0"/>
    <n v="0"/>
    <s v=""/>
    <s v=""/>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140292-0-2014"/>
    <n v="2014"/>
    <s v=" "/>
    <d v="2014-09-11T00:00:00"/>
    <d v="2015-02-11T00:00:00"/>
    <s v=""/>
    <n v="0"/>
    <n v="0"/>
    <n v="0"/>
    <s v=""/>
    <s v=""/>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s v=""/>
    <n v="0"/>
    <n v="0"/>
    <n v="0"/>
    <s v=""/>
    <s v=""/>
    <s v=""/>
    <s v=""/>
    <d v="2014-12-23T00:00:00"/>
    <n v="311460000"/>
    <n v="311460000"/>
    <n v="0"/>
    <s v="se efectuaran los pagos así:_x000a_- un primer pago el 30% del valor del contrato._x000a_- un segundo pago por el 70% del valor del contrato"/>
    <x v="3"/>
    <x v="0"/>
    <x v="3"/>
    <s v=""/>
    <x v="1"/>
  </r>
  <r>
    <x v="234"/>
    <x v="170"/>
    <n v="1073156298"/>
    <s v="Prestar servicios profesionales para sistematizar y consolidar la información de los trámites contractuales a cargo de la Dirección Financiera de los procesos administrativos y financieros del Concejo de Bogotá, D.C."/>
    <n v="17500000"/>
    <s v=" 140299-0-2014"/>
    <n v="2014"/>
    <s v=" "/>
    <d v="2014-09-18T00:00:00"/>
    <d v="2015-02-18T00:00:00"/>
    <s v=""/>
    <n v="0"/>
    <n v="0"/>
    <n v="0"/>
    <s v=""/>
    <s v=""/>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SDH-SIE-08-2014"/>
    <n v="2014"/>
    <s v=" "/>
    <d v="2014-10-17T00:00:00"/>
    <d v="2015-01-17T00:00:00"/>
    <s v=""/>
    <n v="0"/>
    <n v="0"/>
    <n v="0"/>
    <s v=""/>
    <s v=""/>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140312-0-2014"/>
    <n v="2014"/>
    <s v=" "/>
    <d v="2014-09-29T00:00:00"/>
    <d v="2015-01-29T00:00:00"/>
    <s v=""/>
    <n v="0"/>
    <n v="0"/>
    <n v="0"/>
    <s v=""/>
    <s v=""/>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140316-0-2014"/>
    <n v="2014"/>
    <s v=" "/>
    <d v="2014-10-16T00:00:00"/>
    <d v="2014-12-31T00:00:00"/>
    <s v=""/>
    <n v="0"/>
    <n v="0"/>
    <n v="0"/>
    <s v=""/>
    <s v=""/>
    <s v=""/>
    <s v=""/>
    <d v="2014-12-31T00:00:00"/>
    <n v="812500"/>
    <n v="812500"/>
    <n v="0"/>
    <m/>
    <x v="3"/>
    <x v="0"/>
    <x v="3"/>
    <s v=""/>
    <x v="1"/>
  </r>
  <r>
    <x v="238"/>
    <x v="14"/>
    <n v="830112518"/>
    <s v="Prestar el servicio de actualización, mantenimiento y soporte al sitio web e intranet del Concejo de Bogotá."/>
    <n v="44544000"/>
    <s v="  140317-0-2014"/>
    <n v="2014"/>
    <s v=" "/>
    <d v="2014-10-17T00:00:00"/>
    <d v="2015-10-17T00:00:00"/>
    <s v=""/>
    <n v="1"/>
    <n v="22272000"/>
    <n v="1"/>
    <s v="6 meses"/>
    <d v="2016-04-17T00:00:00"/>
    <s v=""/>
    <s v=""/>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140319-0-2014"/>
    <n v="2014"/>
    <s v=" "/>
    <d v="2014-10-09T00:00:00"/>
    <d v="2015-04-08T00:00:00"/>
    <s v=""/>
    <n v="0"/>
    <n v="0"/>
    <n v="1"/>
    <s v="13 días"/>
    <d v="2015-04-22T00:00:00"/>
    <s v=""/>
    <s v=""/>
    <d v="2015-04-22T00:00:00"/>
    <n v="818527824"/>
    <n v="800790708"/>
    <n v="17737116"/>
    <m/>
    <x v="105"/>
    <x v="0"/>
    <x v="105"/>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s v=""/>
    <n v="0"/>
    <n v="0"/>
    <n v="0"/>
    <s v="2 meses"/>
    <s v=""/>
    <s v=""/>
    <s v=""/>
    <d v="2015-10-17T00:00:00"/>
    <n v="75520000"/>
    <n v="75519999"/>
    <n v="1"/>
    <m/>
    <x v="106"/>
    <x v="0"/>
    <x v="106"/>
    <s v=""/>
    <x v="1"/>
  </r>
  <r>
    <x v="241"/>
    <x v="118"/>
    <n v="830080652"/>
    <s v="Adquisición e instalación de cortinas enrollables tipo Blackout, para el Concejo de Bogotá, D.C., de conformidad con lo establecido en la presente invitación pública SDH-SMINC-55-2014 y la propuesta por ustedes presentadas."/>
    <n v="324800"/>
    <s v=" SDH-SMINC-55-2014"/>
    <n v="2014"/>
    <s v=" "/>
    <d v="2014-10-27T00:00:00"/>
    <d v="2014-11-27T00:00:00"/>
    <s v=""/>
    <n v="0"/>
    <n v="0"/>
    <n v="0"/>
    <s v=""/>
    <s v=""/>
    <s v=""/>
    <s v=""/>
    <d v="2014-11-27T00:00:00"/>
    <n v="324800"/>
    <n v="324800"/>
    <n v="0"/>
    <s v="Único pago"/>
    <x v="3"/>
    <x v="0"/>
    <x v="3"/>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 dinámica1" cacheId="13" applyNumberFormats="0" applyBorderFormats="0" applyFontFormats="0" applyPatternFormats="0" applyAlignmentFormats="0" applyWidthHeightFormats="1" dataCaption="Valores" updatedVersion="6" minRefreshableVersion="3" rowGrandTotals="0" colGrandTotals="0" itemPrintTitles="1" createdVersion="4" indent="0" outline="1" outlineData="1" multipleFieldFilters="0">
  <location ref="A16:F749" firstHeaderRow="0" firstDataRow="1" firstDataCol="1" rowPageCount="2" colPageCount="1"/>
  <pivotFields count="28">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showAll="0"/>
    <pivotField numFmtId="1" showAll="0" defaultSubtotal="0"/>
    <pivotField showAll="0" defaultSubtotal="0"/>
    <pivotField numFmtId="1" showAll="0" defaultSubtotal="0"/>
    <pivotField showAll="0"/>
    <pivotField showAll="0" defaultSubtotal="0"/>
    <pivotField numFmtId="1" showAll="0"/>
    <pivotField numFmtId="169" showAll="0"/>
    <pivotField dataField="1" numFmtId="169"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932">
        <item m="1" x="4622"/>
        <item m="1" x="523"/>
        <item m="1" x="3331"/>
        <item m="1" x="293"/>
        <item m="1" x="87"/>
        <item m="1" x="4697"/>
        <item m="1" x="2489"/>
        <item m="1" x="297"/>
        <item m="1" x="421"/>
        <item m="1" x="3830"/>
        <item m="1" x="4825"/>
        <item m="1" x="460"/>
        <item m="1" x="4150"/>
        <item m="1" x="2409"/>
        <item m="1" x="4629"/>
        <item m="1" x="88"/>
        <item m="1" x="2864"/>
        <item m="1" x="2492"/>
        <item m="1" x="2747"/>
        <item m="1" x="2143"/>
        <item m="1" x="4842"/>
        <item m="1" x="1927"/>
        <item m="1" x="1940"/>
        <item m="1" x="1613"/>
        <item m="1" x="1383"/>
        <item m="1" x="3964"/>
        <item m="1" x="4658"/>
        <item m="1" x="555"/>
        <item m="1" x="495"/>
        <item m="1" x="1246"/>
        <item m="1" x="1622"/>
        <item m="1" x="23"/>
        <item m="1" x="4403"/>
        <item m="1" x="3656"/>
        <item m="1" x="596"/>
        <item m="1" x="4605"/>
        <item m="1" x="3609"/>
        <item m="1" x="1514"/>
        <item m="1" x="2053"/>
        <item m="1" x="177"/>
        <item m="1" x="792"/>
        <item m="1" x="2205"/>
        <item m="1" x="2902"/>
        <item m="1" x="3981"/>
        <item m="1" x="4535"/>
        <item m="1" x="3581"/>
        <item m="1" x="2594"/>
        <item m="1" x="4217"/>
        <item m="1" x="4892"/>
        <item m="1" x="3790"/>
        <item m="1" x="4800"/>
        <item x="0"/>
        <item m="1" x="4357"/>
        <item h="1" m="1" x="1454"/>
        <item h="1" m="1" x="3777"/>
        <item h="1" m="1" x="1706"/>
        <item h="1" m="1" x="179"/>
        <item h="1" m="1" x="1265"/>
        <item h="1" m="1" x="1360"/>
        <item h="1" m="1" x="633"/>
        <item h="1" m="1" x="1883"/>
        <item h="1" m="1" x="4489"/>
        <item h="1" m="1" x="1545"/>
        <item h="1" m="1" x="3687"/>
        <item h="1" m="1" x="254"/>
        <item h="1" m="1" x="2408"/>
        <item h="1" m="1" x="1085"/>
        <item h="1" m="1" x="71"/>
        <item h="1" m="1" x="3308"/>
        <item h="1" m="1" x="355"/>
        <item h="1" m="1" x="3274"/>
        <item h="1" m="1" x="112"/>
        <item h="1" m="1" x="3233"/>
        <item h="1" m="1" x="2536"/>
        <item h="1" m="1" x="1098"/>
        <item h="1" m="1" x="3149"/>
        <item h="1" m="1" x="4020"/>
        <item h="1" m="1" x="1222"/>
        <item h="1" m="1" x="4024"/>
        <item h="1" m="1" x="2094"/>
        <item h="1" m="1" x="4614"/>
        <item h="1" m="1" x="3470"/>
        <item h="1" m="1" x="4151"/>
        <item h="1" m="1" x="3647"/>
        <item h="1" m="1" x="2653"/>
        <item h="1" m="1" x="1685"/>
        <item h="1" m="1" x="3736"/>
        <item h="1" m="1" x="3836"/>
        <item h="1" m="1" x="4765"/>
        <item h="1" m="1" x="363"/>
        <item h="1" m="1" x="3151"/>
        <item h="1" m="1" x="571"/>
        <item h="1" m="1" x="3629"/>
        <item h="1" m="1" x="797"/>
        <item h="1" m="1" x="1904"/>
        <item h="1" m="1" x="2059"/>
        <item h="1" m="1" x="4252"/>
        <item h="1" m="1" x="1694"/>
        <item h="1" m="1" x="1997"/>
        <item h="1" m="1" x="2685"/>
        <item h="1" m="1" x="4006"/>
        <item h="1" m="1" x="4214"/>
        <item h="1" m="1" x="4009"/>
        <item h="1" m="1" x="269"/>
        <item h="1" m="1" x="2931"/>
        <item h="1" m="1" x="1885"/>
        <item h="1" m="1" x="1534"/>
        <item h="1" m="1" x="2051"/>
        <item h="1" m="1" x="2129"/>
        <item h="1" m="1" x="1449"/>
        <item h="1" m="1" x="409"/>
        <item h="1" m="1" x="4452"/>
        <item h="1" m="1" x="2334"/>
        <item h="1" m="1" x="103"/>
        <item h="1" m="1" x="1642"/>
        <item h="1" m="1" x="3726"/>
        <item h="1" m="1" x="1893"/>
        <item h="1" m="1" x="2224"/>
        <item h="1" m="1" x="1154"/>
        <item m="1" x="1190"/>
        <item h="1" m="1" x="1676"/>
        <item h="1" m="1" x="3388"/>
        <item h="1" m="1" x="4030"/>
        <item h="1" m="1" x="1427"/>
        <item h="1" m="1" x="4888"/>
        <item h="1" m="1" x="888"/>
        <item m="1" x="1255"/>
        <item h="1" m="1" x="2162"/>
        <item h="1" m="1" x="4073"/>
        <item m="1" x="4186"/>
        <item h="1" m="1" x="2947"/>
        <item h="1" m="1" x="4249"/>
        <item h="1" m="1" x="2303"/>
        <item h="1" m="1" x="2875"/>
        <item h="1" m="1" x="1738"/>
        <item h="1" m="1" x="3825"/>
        <item h="1" m="1" x="3386"/>
        <item h="1" m="1" x="3623"/>
        <item h="1" m="1" x="1257"/>
        <item h="1" m="1" x="1145"/>
        <item h="1" m="1" x="110"/>
        <item h="1" m="1" x="1830"/>
        <item h="1" m="1" x="2385"/>
        <item h="1" m="1" x="151"/>
        <item h="1" m="1" x="1014"/>
        <item h="1" m="1" x="1705"/>
        <item h="1" m="1" x="2803"/>
        <item h="1" m="1" x="4326"/>
        <item h="1" m="1" x="4784"/>
        <item h="1" m="1" x="2797"/>
        <item h="1" m="1" x="4537"/>
        <item h="1" m="1" x="319"/>
        <item h="1" m="1" x="1889"/>
        <item m="1" x="3664"/>
        <item m="1" x="4070"/>
        <item m="1" x="2136"/>
        <item m="1" x="3418"/>
        <item m="1" x="3361"/>
        <item m="1" x="3449"/>
        <item m="1" x="2784"/>
        <item m="1" x="3370"/>
        <item m="1" x="4417"/>
        <item m="1" x="3653"/>
        <item m="1" x="1484"/>
        <item m="1" x="2957"/>
        <item m="1" x="4508"/>
        <item m="1" x="3182"/>
        <item m="1" x="4337"/>
        <item m="1" x="4411"/>
        <item m="1" x="2531"/>
        <item m="1" x="4903"/>
        <item m="1" x="1769"/>
        <item m="1" x="451"/>
        <item m="1" x="4654"/>
        <item m="1" x="3796"/>
        <item m="1" x="3532"/>
        <item m="1" x="3349"/>
        <item m="1" x="2557"/>
        <item m="1" x="4699"/>
        <item m="1" x="2002"/>
        <item m="1" x="1334"/>
        <item m="1" x="98"/>
        <item m="1" x="2912"/>
        <item m="1" x="915"/>
        <item m="1" x="3129"/>
        <item m="1" x="1791"/>
        <item m="1" x="3905"/>
        <item m="1" x="2400"/>
        <item m="1" x="3029"/>
        <item m="1" x="1529"/>
        <item m="1" x="4588"/>
        <item m="1" x="220"/>
        <item m="1" x="4850"/>
        <item m="1" x="4490"/>
        <item m="1" x="3362"/>
        <item m="1" x="568"/>
        <item m="1" x="3453"/>
        <item m="1" x="3923"/>
        <item m="1" x="1465"/>
        <item m="1" x="1561"/>
        <item m="1" x="474"/>
        <item m="1" x="966"/>
        <item m="1" x="4322"/>
        <item h="1" m="1" x="4381"/>
        <item h="1" m="1" x="3900"/>
        <item h="1" m="1" x="2889"/>
        <item h="1" m="1" x="3454"/>
        <item h="1" m="1" x="216"/>
        <item h="1" m="1" x="4038"/>
        <item h="1" m="1" x="4133"/>
        <item h="1" m="1" x="77"/>
        <item h="1" m="1" x="4794"/>
        <item h="1" m="1" x="4347"/>
        <item h="1" m="1" x="2166"/>
        <item h="1" m="1" x="3080"/>
        <item h="1" m="1" x="3891"/>
        <item h="1" m="1" x="774"/>
        <item h="1" m="1" x="3828"/>
        <item h="1" m="1" x="3174"/>
        <item h="1" m="1" x="1170"/>
        <item h="1" m="1" x="3457"/>
        <item h="1" m="1" x="2624"/>
        <item h="1" m="1" x="2610"/>
        <item h="1" m="1" x="4481"/>
        <item h="1" m="1" x="604"/>
        <item h="1" m="1" x="3307"/>
        <item h="1" m="1" x="3428"/>
        <item h="1" m="1" x="625"/>
        <item h="1" m="1" x="4595"/>
        <item h="1" m="1" x="2058"/>
        <item h="1" m="1" x="4461"/>
        <item h="1" m="1" x="3812"/>
        <item h="1" m="1" x="3148"/>
        <item m="1" x="4833"/>
        <item h="1" m="1" x="3383"/>
        <item h="1" m="1" x="3915"/>
        <item h="1" m="1" x="4621"/>
        <item h="1" m="1" x="1020"/>
        <item h="1" m="1" x="4010"/>
        <item h="1" m="1" x="539"/>
        <item h="1" m="1" x="4072"/>
        <item h="1" m="1" x="1600"/>
        <item h="1" m="1" x="277"/>
        <item h="1" m="1" x="4648"/>
        <item h="1" m="1" x="1286"/>
        <item h="1" m="1" x="1127"/>
        <item h="1" m="1" x="3554"/>
        <item h="1" m="1" x="3156"/>
        <item h="1" m="1" x="1344"/>
        <item h="1" m="1" x="4023"/>
        <item h="1" m="1" x="1643"/>
        <item h="1" m="1" x="1268"/>
        <item h="1" m="1" x="3808"/>
        <item h="1" m="1" x="3455"/>
        <item m="1" x="1376"/>
        <item h="1" m="1" x="652"/>
        <item h="1" m="1" x="1635"/>
        <item h="1" m="1" x="361"/>
        <item h="1" m="1" x="1558"/>
        <item h="1" m="1" x="4273"/>
        <item m="1" x="853"/>
        <item h="1" m="1" x="1105"/>
        <item h="1" m="1" x="670"/>
        <item h="1" m="1" x="4350"/>
        <item h="1" m="1" x="371"/>
        <item m="1" x="3723"/>
        <item h="1" m="1" x="3249"/>
        <item h="1" m="1" x="1267"/>
        <item h="1" m="1" x="4735"/>
        <item h="1" m="1" x="3529"/>
        <item h="1" m="1" x="1272"/>
        <item h="1" m="1" x="329"/>
        <item h="1" m="1" x="714"/>
        <item h="1" m="1" x="2679"/>
        <item h="1" m="1" x="105"/>
        <item h="1" m="1" x="525"/>
        <item h="1" m="1" x="1831"/>
        <item h="1" m="1" x="1759"/>
        <item h="1" m="1" x="3737"/>
        <item h="1" m="1" x="3241"/>
        <item h="1" m="1" x="74"/>
        <item h="1" m="1" x="1958"/>
        <item h="1" m="1" x="2184"/>
        <item h="1" m="1" x="826"/>
        <item h="1" m="1" x="2463"/>
        <item h="1" m="1" x="3665"/>
        <item h="1" m="1" x="1811"/>
        <item h="1" m="1" x="648"/>
        <item h="1" m="1" x="118"/>
        <item h="1" m="1" x="2667"/>
        <item h="1" m="1" x="2016"/>
        <item h="1" m="1" x="3511"/>
        <item h="1" m="1" x="4786"/>
        <item h="1" m="1" x="2353"/>
        <item h="1" m="1" x="3305"/>
        <item h="1" m="1" x="4138"/>
        <item h="1" m="1" x="472"/>
        <item h="1" m="1" x="395"/>
        <item h="1" m="1" x="3983"/>
        <item h="1" m="1" x="4776"/>
        <item h="1" m="1" x="2707"/>
        <item h="1" m="1" x="2041"/>
        <item h="1" m="1" x="4565"/>
        <item h="1" m="1" x="327"/>
        <item h="1" m="1" x="2884"/>
        <item h="1" m="1" x="123"/>
        <item h="1" m="1" x="2383"/>
        <item h="1" m="1" x="1662"/>
        <item h="1" m="1" x="3742"/>
        <item h="1" m="1" x="2456"/>
        <item h="1" m="1" x="2812"/>
        <item h="1" m="1" x="2732"/>
        <item h="1" m="1" x="1213"/>
        <item h="1" m="1" x="2099"/>
        <item h="1" m="1" x="3228"/>
        <item m="1" x="4620"/>
        <item h="1" m="1" x="121"/>
        <item h="1" m="1" x="3621"/>
        <item h="1" m="1" x="1289"/>
        <item h="1" m="1" x="2618"/>
        <item h="1" m="1" x="1337"/>
        <item h="1" m="1" x="775"/>
        <item h="1" m="1" x="4777"/>
        <item h="1" m="1" x="3385"/>
        <item h="1" m="1" x="2599"/>
        <item h="1" m="1" x="335"/>
        <item h="1" m="1" x="3988"/>
        <item h="1" m="1" x="3293"/>
        <item h="1" m="1" x="150"/>
        <item h="1" m="1" x="922"/>
        <item h="1" m="1" x="1019"/>
        <item h="1" m="1" x="1125"/>
        <item h="1" m="1" x="968"/>
        <item h="1" m="1" x="3785"/>
        <item h="1" m="1" x="4834"/>
        <item h="1" m="1" x="3869"/>
        <item h="1" m="1" x="4029"/>
        <item h="1" m="1" x="1087"/>
        <item h="1" m="1" x="3108"/>
        <item h="1" m="1" x="1473"/>
        <item h="1" m="1" x="3911"/>
        <item h="1" m="1" x="284"/>
        <item h="1" m="1" x="791"/>
        <item h="1" m="1" x="2121"/>
        <item h="1" m="1" x="3326"/>
        <item h="1" m="1" x="2033"/>
        <item h="1" m="1" x="2852"/>
        <item h="1" m="1" x="4496"/>
        <item h="1" m="1" x="4420"/>
        <item h="1" m="1" x="547"/>
        <item h="1" m="1" x="4668"/>
        <item h="1" m="1" x="802"/>
        <item h="1" m="1" x="886"/>
        <item h="1" m="1" x="3591"/>
        <item h="1" m="1" x="681"/>
        <item h="1" m="1" x="2320"/>
        <item h="1" m="1" x="984"/>
        <item h="1" m="1" x="4262"/>
        <item h="1" m="1" x="1035"/>
        <item h="1" m="1" x="2633"/>
        <item h="1" m="1" x="1194"/>
        <item h="1" m="1" x="4662"/>
        <item h="1" m="1" x="782"/>
        <item h="1" m="1" x="4287"/>
        <item h="1" m="1" x="2493"/>
        <item h="1" m="1" x="1511"/>
        <item h="1" m="1" x="3323"/>
        <item h="1" m="1" x="4685"/>
        <item h="1" m="1" x="4139"/>
        <item h="1" m="1" x="3137"/>
        <item h="1" m="1" x="3246"/>
        <item h="1" m="1" x="1761"/>
        <item h="1" m="1" x="4732"/>
        <item h="1" m="1" x="4031"/>
        <item h="1" m="1" x="956"/>
        <item h="1" m="1" x="3947"/>
        <item h="1" m="1" x="3622"/>
        <item h="1" m="1" x="2777"/>
        <item h="1" m="1" x="929"/>
        <item h="1" m="1" x="2969"/>
        <item h="1" m="1" x="4229"/>
        <item h="1" m="1" x="3635"/>
        <item h="1" m="1" x="1594"/>
        <item h="1" m="1" x="1321"/>
        <item m="1" x="1593"/>
        <item h="1" m="1" x="1819"/>
        <item h="1" m="1" x="1844"/>
        <item h="1" m="1" x="2857"/>
        <item h="1" m="1" x="3311"/>
        <item m="1" x="3103"/>
        <item m="1" x="3507"/>
        <item m="1" x="349"/>
        <item m="1" x="84"/>
        <item m="1" x="3497"/>
        <item m="1" x="4148"/>
        <item m="1" x="3468"/>
        <item m="1" x="4209"/>
        <item m="1" x="697"/>
        <item m="1" x="4359"/>
        <item m="1" x="2174"/>
        <item m="1" x="3940"/>
        <item m="1" x="3909"/>
        <item m="1" x="1404"/>
        <item m="1" x="2571"/>
        <item m="1" x="1366"/>
        <item m="1" x="1591"/>
        <item m="1" x="2950"/>
        <item m="1" x="3643"/>
        <item m="1" x="2242"/>
        <item m="1" x="3268"/>
        <item m="1" x="953"/>
        <item m="1" x="867"/>
        <item m="1" x="2567"/>
        <item m="1" x="4907"/>
        <item m="1" x="4196"/>
        <item m="1" x="1227"/>
        <item m="1" x="2363"/>
        <item m="1" x="1491"/>
        <item m="1" x="1341"/>
        <item m="1" x="3474"/>
        <item m="1" x="876"/>
        <item m="1" x="2750"/>
        <item m="1" x="3592"/>
        <item m="1" x="2862"/>
        <item m="1" x="4027"/>
        <item m="1" x="2090"/>
        <item m="1" x="36"/>
        <item m="1" x="2701"/>
        <item m="1" x="205"/>
        <item m="1" x="2622"/>
        <item m="1" x="4000"/>
        <item m="1" x="2101"/>
        <item m="1" x="1903"/>
        <item m="1" x="3906"/>
        <item m="1" x="1062"/>
        <item h="1" m="1" x="2669"/>
        <item h="1" m="1" x="2926"/>
        <item h="1" m="1" x="92"/>
        <item h="1" m="1" x="337"/>
        <item h="1" m="1" x="256"/>
        <item h="1" m="1" x="566"/>
        <item h="1" m="1" x="3759"/>
        <item h="1" m="1" x="2807"/>
        <item h="1" m="1" x="657"/>
        <item h="1" m="1" x="779"/>
        <item h="1" m="1" x="3503"/>
        <item h="1" m="1" x="4811"/>
        <item h="1" m="1" x="4433"/>
        <item h="1" m="1" x="305"/>
        <item h="1" m="1" x="3494"/>
        <item h="1" m="1" x="2668"/>
        <item h="1" m="1" x="4561"/>
        <item h="1" m="1" x="890"/>
        <item h="1" m="1" x="211"/>
        <item h="1" m="1" x="3142"/>
        <item h="1" m="1" x="684"/>
        <item h="1" m="1" x="470"/>
        <item h="1" m="1" x="4032"/>
        <item h="1" m="1" x="2295"/>
        <item h="1" m="1" x="4705"/>
        <item h="1" m="1" x="2219"/>
        <item h="1" m="1" x="1767"/>
        <item h="1" m="1" x="226"/>
        <item h="1" m="1" x="4806"/>
        <item h="1" m="1" x="1305"/>
        <item h="1" m="1" x="458"/>
        <item h="1" m="1" x="147"/>
        <item h="1" m="1" x="3767"/>
        <item h="1" m="1" x="3578"/>
        <item h="1" m="1" x="483"/>
        <item h="1" m="1" x="2307"/>
        <item h="1" m="1" x="3752"/>
        <item h="1" m="1" x="1797"/>
        <item h="1" m="1" x="1176"/>
        <item h="1" m="1" x="2721"/>
        <item h="1" m="1" x="4245"/>
        <item h="1" m="1" x="3296"/>
        <item h="1" m="1" x="2785"/>
        <item h="1" m="1" x="4608"/>
        <item h="1" m="1" x="2767"/>
        <item h="1" m="1" x="1841"/>
        <item h="1" m="1" x="4193"/>
        <item h="1" m="1" x="3552"/>
        <item h="1" m="1" x="432"/>
        <item h="1" m="1" x="1390"/>
        <item h="1" m="1" x="724"/>
        <item h="1" m="1" x="810"/>
        <item h="1" m="1" x="621"/>
        <item h="1" m="1" x="1577"/>
        <item h="1" m="1" x="4292"/>
        <item h="1" m="1" x="1392"/>
        <item h="1" m="1" x="868"/>
        <item h="1" m="1" x="2976"/>
        <item h="1" m="1" x="1700"/>
        <item h="1" m="1" x="699"/>
        <item h="1" m="1" x="1002"/>
        <item h="1" m="1" x="391"/>
        <item h="1" m="1" x="3263"/>
        <item h="1" m="1" x="3467"/>
        <item h="1" m="1" x="4713"/>
        <item h="1" m="1" x="3324"/>
        <item h="1" m="1" x="1859"/>
        <item h="1" m="1" x="4425"/>
        <item h="1" m="1" x="2348"/>
        <item h="1" m="1" x="558"/>
        <item h="1" m="1" x="535"/>
        <item h="1" m="1" x="1772"/>
        <item h="1" m="1" x="344"/>
        <item h="1" m="1" x="484"/>
        <item h="1" m="1" x="4857"/>
        <item h="1" m="1" x="1382"/>
        <item h="1" m="1" x="2643"/>
        <item h="1" m="1" x="13"/>
        <item h="1" m="1" x="4488"/>
        <item h="1" m="1" x="2315"/>
        <item h="1" m="1" x="2602"/>
        <item h="1" m="1" x="3846"/>
        <item h="1" m="1" x="2421"/>
        <item h="1" m="1" x="4177"/>
        <item h="1" m="1" x="4816"/>
        <item h="1" m="1" x="4362"/>
        <item h="1" m="1" x="2322"/>
        <item h="1" m="1" x="3841"/>
        <item h="1" m="1" x="1477"/>
        <item h="1" m="1" x="3916"/>
        <item h="1" m="1" x="3473"/>
        <item h="1" m="1" x="613"/>
        <item h="1" m="1" x="1554"/>
        <item h="1" m="1" x="3214"/>
        <item h="1" m="1" x="4450"/>
        <item h="1" m="1" x="127"/>
        <item h="1" m="1" x="3955"/>
        <item h="1" m="1" x="2354"/>
        <item h="1" m="1" x="1148"/>
        <item h="1" m="1" x="1505"/>
        <item h="1" m="1" x="3705"/>
        <item h="1" m="1" x="2990"/>
        <item h="1" m="1" x="3801"/>
        <item h="1" m="1" x="593"/>
        <item h="1" m="1" x="1551"/>
        <item h="1" m="1" x="2564"/>
        <item h="1" m="1" x="839"/>
        <item h="1" m="1" x="490"/>
        <item h="1" m="1" x="2695"/>
        <item h="1" m="1" x="1275"/>
        <item h="1" m="1" x="2386"/>
        <item h="1" m="1" x="3713"/>
        <item h="1" m="1" x="858"/>
        <item h="1" m="1" x="2461"/>
        <item h="1" m="1" x="2172"/>
        <item h="1" m="1" x="2544"/>
        <item h="1" m="1" x="2572"/>
        <item h="1" m="1" x="980"/>
        <item h="1" m="1" x="54"/>
        <item h="1" m="1" x="2095"/>
        <item h="1" m="1" x="3489"/>
        <item h="1" m="1" x="2768"/>
        <item h="1" m="1" x="4607"/>
        <item h="1" m="1" x="3711"/>
        <item h="1" m="1" x="1150"/>
        <item h="1" m="1" x="1292"/>
        <item h="1" m="1" x="2085"/>
        <item h="1" m="1" x="91"/>
        <item h="1" m="1" x="1164"/>
        <item h="1" m="1" x="933"/>
        <item h="1" m="1" x="4572"/>
        <item h="1" m="1" x="1205"/>
        <item h="1" m="1" x="212"/>
        <item h="1" m="1" x="3793"/>
        <item h="1" m="1" x="1076"/>
        <item h="1" m="1" x="1051"/>
        <item h="1" m="1" x="55"/>
        <item h="1" m="1" x="465"/>
        <item h="1" m="1" x="1353"/>
        <item h="1" m="1" x="4691"/>
        <item h="1" m="1" x="2467"/>
        <item h="1" m="1" x="1009"/>
        <item h="1" m="1" x="2260"/>
        <item h="1" m="1" x="42"/>
        <item h="1" m="1" x="2062"/>
        <item h="1" m="1" x="1827"/>
        <item h="1" m="1" x="400"/>
        <item h="1" m="1" x="3974"/>
        <item h="1" m="1" x="3700"/>
        <item h="1" m="1" x="2296"/>
        <item h="1" m="1" x="2171"/>
        <item h="1" m="1" x="2414"/>
        <item h="1" m="1" x="3154"/>
        <item h="1" m="1" x="2130"/>
        <item h="1" m="1" x="4258"/>
        <item h="1" m="1" x="3924"/>
        <item h="1" m="1" x="1200"/>
        <item h="1" m="1" x="784"/>
        <item h="1" m="1" x="2323"/>
        <item h="1" m="1" x="1022"/>
        <item h="1" m="1" x="418"/>
        <item h="1" m="1" x="365"/>
        <item h="1" m="1" x="3662"/>
        <item h="1" m="1" x="3573"/>
        <item h="1" m="1" x="1487"/>
        <item h="1" m="1" x="1278"/>
        <item h="1" m="1" x="509"/>
        <item h="1" m="1" x="141"/>
        <item h="1" m="1" x="4344"/>
        <item h="1" m="1" x="2035"/>
        <item h="1" m="1" x="548"/>
        <item h="1" m="1" x="1954"/>
        <item h="1" m="1" x="3007"/>
        <item h="1" m="1" x="4801"/>
        <item h="1" m="1" x="1562"/>
        <item h="1" m="1" x="1938"/>
        <item h="1" m="1" x="2542"/>
        <item h="1" m="1" x="3982"/>
        <item h="1" m="1" x="1909"/>
        <item h="1" m="1" x="266"/>
        <item h="1" m="1" x="1777"/>
        <item h="1" m="1" x="2760"/>
        <item h="1" m="1" x="3162"/>
        <item h="1" m="1" x="3519"/>
        <item h="1" m="1" x="1432"/>
        <item h="1" m="1" x="2914"/>
        <item h="1" m="1" x="723"/>
        <item h="1" m="1" x="2163"/>
        <item h="1" m="1" x="2247"/>
        <item h="1" m="1" x="2482"/>
        <item h="1" m="1" x="3424"/>
        <item h="1" m="1" x="4754"/>
        <item h="1" m="1" x="1810"/>
        <item h="1" m="1" x="4104"/>
        <item h="1" m="1" x="2540"/>
        <item h="1" m="1" x="1104"/>
        <item h="1" m="1" x="4511"/>
        <item h="1" m="1" x="1468"/>
        <item h="1" m="1" x="4562"/>
        <item h="1" m="1" x="3997"/>
        <item h="1" m="1" x="1956"/>
        <item h="1" m="1" x="4234"/>
        <item h="1" m="1" x="1326"/>
        <item h="1" m="1" x="2690"/>
        <item h="1" m="1" x="1878"/>
        <item h="1" m="1" x="1641"/>
        <item h="1" m="1" x="3229"/>
        <item h="1" m="1" x="806"/>
        <item h="1" m="1" x="738"/>
        <item h="1" m="1" x="1974"/>
        <item h="1" m="1" x="4469"/>
        <item h="1" m="1" x="3978"/>
        <item h="1" m="1" x="4021"/>
        <item h="1" m="1" x="666"/>
        <item h="1" m="1" x="1146"/>
        <item h="1" m="1" x="4837"/>
        <item h="1" m="1" x="894"/>
        <item h="1" m="1" x="4556"/>
        <item h="1" m="1" x="3130"/>
        <item h="1" m="1" x="1806"/>
        <item h="1" m="1" x="1261"/>
        <item h="1" m="1" x="1165"/>
        <item h="1" m="1" x="4501"/>
        <item h="1" m="1" x="383"/>
        <item h="1" m="1" x="195"/>
        <item h="1" m="1" x="3098"/>
        <item h="1" m="1" x="499"/>
        <item h="1" m="1" x="745"/>
        <item h="1" m="1" x="4358"/>
        <item h="1" m="1" x="3892"/>
        <item h="1" m="1" x="1894"/>
        <item h="1" m="1" x="3799"/>
        <item h="1" m="1" x="4105"/>
        <item h="1" m="1" x="3163"/>
        <item h="1" m="1" x="1795"/>
        <item h="1" m="1" x="22"/>
        <item h="1" m="1" x="2764"/>
        <item h="1" m="1" x="3702"/>
        <item h="1" m="1" x="4492"/>
        <item h="1" m="1" x="2031"/>
        <item h="1" m="1" x="2007"/>
        <item h="1" m="1" x="2838"/>
        <item h="1" m="1" x="4589"/>
        <item h="1" m="1" x="1789"/>
        <item h="1" m="1" x="3709"/>
        <item h="1" m="1" x="4079"/>
        <item h="1" m="1" x="3138"/>
        <item h="1" m="1" x="2010"/>
        <item h="1" m="1" x="4145"/>
        <item h="1" m="1" x="4199"/>
        <item h="1" m="1" x="4036"/>
        <item h="1" m="1" x="2782"/>
        <item h="1" m="1" x="2525"/>
        <item h="1" m="1" x="3719"/>
        <item h="1" m="1" x="2239"/>
        <item h="1" m="1" x="2054"/>
        <item h="1" m="1" x="1017"/>
        <item h="1" m="1" x="3342"/>
        <item h="1" m="1" x="3870"/>
        <item h="1" m="1" x="2103"/>
        <item h="1" m="1" x="643"/>
        <item h="1" m="1" x="4566"/>
        <item h="1" m="1" x="4240"/>
        <item h="1" m="1" x="4641"/>
        <item h="1" m="1" x="3158"/>
        <item h="1" m="1" x="3002"/>
        <item h="1" m="1" x="1618"/>
        <item h="1" m="1" x="2151"/>
        <item h="1" m="1" x="2473"/>
        <item h="1" m="1" x="3273"/>
        <item h="1" m="1" x="4674"/>
        <item h="1" m="1" x="1096"/>
        <item h="1" m="1" x="1917"/>
        <item h="1" m="1" x="4639"/>
        <item h="1" m="1" x="1579"/>
        <item h="1" m="1" x="4457"/>
        <item h="1" m="1" x="2757"/>
        <item h="1" m="1" x="4881"/>
        <item h="1" m="1" x="136"/>
        <item h="1" m="1" x="3972"/>
        <item h="1" m="1" x="1094"/>
        <item h="1" m="1" x="1794"/>
        <item h="1" m="1" x="2312"/>
        <item h="1" m="1" x="808"/>
        <item h="1" m="1" x="3533"/>
        <item h="1" m="1" x="229"/>
        <item h="1" m="1" x="924"/>
        <item h="1" m="1" x="317"/>
        <item h="1" m="1" x="4592"/>
        <item h="1" m="1" x="1214"/>
        <item h="1" m="1" x="2630"/>
        <item h="1" m="1" x="729"/>
        <item h="1" m="1" x="874"/>
        <item h="1" m="1" x="2507"/>
        <item h="1" m="1" x="4597"/>
        <item h="1" m="1" x="3353"/>
        <item h="1" m="1" x="3009"/>
        <item h="1" m="1" x="3116"/>
        <item h="1" m="1" x="4367"/>
        <item h="1" m="1" x="2666"/>
        <item h="1" m="1" x="4782"/>
        <item h="1" m="1" x="3784"/>
        <item h="1" m="1" x="664"/>
        <item h="1" m="1" x="3745"/>
        <item h="1" m="1" x="4001"/>
        <item h="1" m="1" x="4096"/>
        <item h="1" m="1" x="2417"/>
        <item h="1" m="1" x="3493"/>
        <item h="1" m="1" x="3864"/>
        <item h="1" m="1" x="1912"/>
        <item h="1" m="1" x="2904"/>
        <item h="1" m="1" x="4602"/>
        <item h="1" m="1" x="3450"/>
        <item h="1" m="1" x="2935"/>
        <item h="1" m="1" x="3381"/>
        <item h="1" m="1" x="3561"/>
        <item h="1" m="1" x="4315"/>
        <item h="1" m="1" x="3328"/>
        <item h="1" m="1" x="1634"/>
        <item h="1" m="1" x="4052"/>
        <item h="1" m="1" x="3337"/>
        <item h="1" m="1" x="4140"/>
        <item h="1" m="1" x="2429"/>
        <item h="1" m="1" x="4698"/>
        <item h="1" m="1" x="2271"/>
        <item h="1" m="1" x="4871"/>
        <item h="1" m="1" x="1160"/>
        <item h="1" m="1" x="3564"/>
        <item h="1" m="1" x="1736"/>
        <item h="1" m="1" x="3049"/>
        <item h="1" m="1" x="995"/>
        <item h="1" m="1" x="4434"/>
        <item h="1" m="1" x="1304"/>
        <item h="1" m="1" x="2377"/>
        <item h="1" m="1" x="1508"/>
        <item h="1" m="1" x="1775"/>
        <item h="1" m="1" x="3522"/>
        <item h="1" m="1" x="3300"/>
        <item h="1" m="1" x="834"/>
        <item h="1" m="1" x="60"/>
        <item h="1" m="1" x="2696"/>
        <item h="1" m="1" x="3248"/>
        <item h="1" m="1" x="3164"/>
        <item h="1" m="1" x="4429"/>
        <item h="1" m="1" x="3065"/>
        <item h="1" m="1" x="563"/>
        <item h="1" m="1" x="4206"/>
        <item h="1" m="1" x="4194"/>
        <item h="1" m="1" x="2422"/>
        <item h="1" m="1" x="1077"/>
        <item h="1" m="1" x="2451"/>
        <item h="1" m="1" x="4211"/>
        <item h="1" m="1" x="533"/>
        <item h="1" m="1" x="2375"/>
        <item h="1" m="1" x="2773"/>
        <item h="1" m="1" x="4703"/>
        <item h="1" m="1" x="2745"/>
        <item h="1" m="1" x="2587"/>
        <item h="1" m="1" x="559"/>
        <item h="1" m="1" x="3595"/>
        <item h="1" m="1" x="645"/>
        <item h="1" m="1" x="1993"/>
        <item h="1" m="1" x="4861"/>
        <item h="1" m="1" x="3992"/>
        <item h="1" m="1" x="758"/>
        <item h="1" m="1" x="4117"/>
        <item h="1" m="1" x="469"/>
        <item h="1" m="1" x="3210"/>
        <item h="1" m="1" x="4318"/>
        <item h="1" m="1" x="4297"/>
        <item h="1" m="1" x="3260"/>
        <item h="1" m="1" x="2236"/>
        <item h="1" m="1" x="740"/>
        <item h="1" m="1" x="2057"/>
        <item h="1" m="1" x="3039"/>
        <item h="1" m="1" x="859"/>
        <item h="1" m="1" x="3339"/>
        <item h="1" m="1" x="4543"/>
        <item h="1" m="1" x="283"/>
        <item h="1" m="1" x="4740"/>
        <item h="1" m="1" x="3283"/>
        <item h="1" m="1" x="1277"/>
        <item h="1" m="1" x="3708"/>
        <item h="1" m="1" x="4093"/>
        <item h="1" m="1" x="438"/>
        <item h="1" m="1" x="2026"/>
        <item h="1" m="1" x="3514"/>
        <item h="1" m="1" x="3206"/>
        <item h="1" m="1" x="4521"/>
        <item h="1" m="1" x="3491"/>
        <item h="1" m="1" x="3053"/>
        <item h="1" m="1" x="4625"/>
        <item h="1" m="1" x="4121"/>
        <item h="1" m="1" x="3278"/>
        <item h="1" m="1" x="860"/>
        <item h="1" m="1" x="3896"/>
        <item h="1" m="1" x="3754"/>
        <item h="1" m="1" x="3607"/>
        <item h="1" m="1" x="1821"/>
        <item h="1" m="1" x="89"/>
        <item h="1" m="1" x="62"/>
        <item h="1" m="1" x="913"/>
        <item h="1" m="1" x="4466"/>
        <item h="1" m="1" x="506"/>
        <item h="1" m="1" x="4334"/>
        <item h="1" m="1" x="3855"/>
        <item h="1" m="1" x="2133"/>
        <item h="1" m="1" x="889"/>
        <item h="1" m="1" x="3670"/>
        <item h="1" m="1" x="2561"/>
        <item h="1" m="1" x="2647"/>
        <item h="1" m="1" x="4263"/>
        <item h="1" m="1" x="2430"/>
        <item h="1" m="1" x="4821"/>
        <item h="1" m="1" x="1294"/>
        <item h="1" m="1" x="1339"/>
        <item h="1" m="1" x="2195"/>
        <item h="1" m="1" x="2118"/>
        <item h="1" m="1" x="3485"/>
        <item h="1" m="1" x="3580"/>
        <item h="1" m="1" x="3833"/>
        <item h="1" m="1" x="3570"/>
        <item h="1" m="1" x="3131"/>
        <item h="1" m="1" x="1725"/>
        <item h="1" m="1" x="2872"/>
        <item h="1" m="1" x="134"/>
        <item h="1" m="1" x="3628"/>
        <item h="1" m="1" x="4864"/>
        <item h="1" m="1" x="3910"/>
        <item h="1" m="1" x="4099"/>
        <item h="1" m="1" x="3001"/>
        <item h="1" m="1" x="843"/>
        <item h="1" m="1" x="1340"/>
        <item h="1" m="1" x="3548"/>
        <item h="1" m="1" x="3257"/>
        <item h="1" m="1" x="4600"/>
        <item h="1" m="1" x="2490"/>
        <item h="1" m="1" x="4472"/>
        <item h="1" m="1" x="931"/>
        <item h="1" m="1" x="49"/>
        <item h="1" m="1" x="4210"/>
        <item h="1" m="1" x="1416"/>
        <item h="1" m="1" x="3875"/>
        <item h="1" m="1" x="1808"/>
        <item h="1" m="1" x="635"/>
        <item h="1" m="1" x="2379"/>
        <item h="1" m="1" x="3427"/>
        <item h="1" m="1" x="911"/>
        <item h="1" m="1" x="901"/>
        <item h="1" m="1" x="4317"/>
        <item h="1" m="1" x="3393"/>
        <item h="1" m="1" x="4476"/>
        <item h="1" m="1" x="1570"/>
        <item h="1" m="1" x="2284"/>
        <item h="1" m="1" x="2401"/>
        <item h="1" m="1" x="2799"/>
        <item h="1" m="1" x="4314"/>
        <item h="1" m="1" x="1209"/>
        <item h="1" m="1" x="262"/>
        <item h="1" m="1" x="3463"/>
        <item h="1" m="1" x="242"/>
        <item h="1" m="1" x="3327"/>
        <item h="1" m="1" x="3061"/>
        <item h="1" m="1" x="2632"/>
        <item h="1" m="1" x="4183"/>
        <item h="1" m="1" x="2719"/>
        <item h="1" m="1" x="251"/>
        <item h="1" m="1" x="4908"/>
        <item h="1" m="1" x="57"/>
        <item h="1" m="1" x="3542"/>
        <item h="1" m="1" x="1351"/>
        <item h="1" m="1" x="275"/>
        <item h="1" m="1" x="743"/>
        <item h="1" m="1" x="1346"/>
        <item h="1" m="1" x="1876"/>
        <item h="1" m="1" x="2967"/>
        <item h="1" m="1" x="3484"/>
        <item h="1" m="1" x="4048"/>
        <item h="1" m="1" x="4053"/>
        <item h="1" m="1" x="1156"/>
        <item h="1" m="1" x="3932"/>
        <item h="1" m="1" x="1283"/>
        <item h="1" m="1" x="2366"/>
        <item h="1" m="1" x="3523"/>
        <item h="1" m="1" x="3412"/>
        <item h="1" m="1" x="518"/>
        <item h="1" m="1" x="4224"/>
        <item h="1" m="1" x="2158"/>
        <item h="1" m="1" x="3155"/>
        <item h="1" m="1" x="1229"/>
        <item h="1" m="1" x="4243"/>
        <item h="1" m="1" x="146"/>
        <item h="1" m="1" x="749"/>
        <item h="1" m="1" x="3351"/>
        <item h="1" m="1" x="2868"/>
        <item h="1" m="1" x="1509"/>
        <item h="1" m="1" x="1589"/>
        <item h="1" m="1" x="253"/>
        <item h="1" m="1" x="3084"/>
        <item h="1" m="1" x="4062"/>
        <item h="1" m="1" x="3748"/>
        <item h="1" m="1" x="1785"/>
        <item h="1" m="1" x="412"/>
        <item h="1" m="1" x="281"/>
        <item h="1" m="1" x="2988"/>
        <item h="1" m="1" x="2928"/>
        <item h="1" m="1" x="2597"/>
        <item h="1" m="1" x="4159"/>
        <item h="1" m="1" x="3544"/>
        <item h="1" m="1" x="3822"/>
        <item h="1" m="1" x="3238"/>
        <item h="1" m="1" x="3882"/>
        <item h="1" m="1" x="2466"/>
        <item h="1" m="1" x="2876"/>
        <item h="1" m="1" x="2944"/>
        <item h="1" m="1" x="1161"/>
        <item h="1" m="1" x="4586"/>
        <item h="1" m="1" x="3355"/>
        <item h="1" m="1" x="3357"/>
        <item h="1" m="1" x="3908"/>
        <item h="1" m="1" x="4110"/>
        <item h="1" m="1" x="4901"/>
        <item h="1" m="1" x="108"/>
        <item h="1" m="1" x="3329"/>
        <item h="1" m="1" x="1130"/>
        <item h="1" m="1" x="4063"/>
        <item h="1" m="1" x="838"/>
        <item h="1" m="1" x="1877"/>
        <item h="1" m="1" x="572"/>
        <item h="1" m="1" x="2398"/>
        <item h="1" m="1" x="1580"/>
        <item h="1" m="1" x="2304"/>
        <item h="1" m="1" x="3448"/>
        <item h="1" m="1" x="2068"/>
        <item h="1" m="1" x="4071"/>
        <item h="1" m="1" x="3586"/>
        <item h="1" m="1" x="1711"/>
        <item h="1" m="1" x="906"/>
        <item h="1" m="1" x="1660"/>
        <item h="1" m="1" x="4372"/>
        <item h="1" m="1" x="602"/>
        <item h="1" m="1" x="3341"/>
        <item h="1" m="1" x="3732"/>
        <item h="1" m="1" x="2649"/>
        <item h="1" m="1" x="2923"/>
        <item h="1" m="1" x="24"/>
        <item h="1" m="1" x="1210"/>
        <item h="1" m="1" x="1667"/>
        <item h="1" m="1" x="2913"/>
        <item h="1" m="1" x="959"/>
        <item h="1" m="1" x="2563"/>
        <item h="1" m="1" x="1420"/>
        <item h="1" m="1" x="4111"/>
        <item h="1" m="1" x="122"/>
        <item h="1" m="1" x="936"/>
        <item h="1" m="1" x="1391"/>
        <item h="1" m="1" x="223"/>
        <item h="1" m="1" x="1624"/>
        <item h="1" m="1" x="3115"/>
        <item h="1" m="1" x="2215"/>
        <item h="1" m="1" x="1373"/>
        <item h="1" m="1" x="3897"/>
        <item h="1" m="1" x="679"/>
        <item h="1" m="1" x="1543"/>
        <item h="1" m="1" x="2905"/>
        <item h="1" m="1" x="3751"/>
        <item h="1" m="1" x="2700"/>
        <item h="1" m="1" x="3739"/>
        <item h="1" m="1" x="4733"/>
        <item h="1" m="1" x="388"/>
        <item h="1" m="1" x="2206"/>
        <item h="1" m="1" x="1550"/>
        <item h="1" m="1" x="288"/>
        <item h="1" m="1" x="3075"/>
        <item h="1" m="1" x="835"/>
        <item h="1" m="1" x="627"/>
        <item h="1" m="1" x="522"/>
        <item h="1" m="1" x="402"/>
        <item h="1" m="1" x="4299"/>
        <item h="1" m="1" x="2341"/>
        <item h="1" m="1" x="1262"/>
        <item h="1" m="1" x="4479"/>
        <item h="1" m="1" x="1574"/>
        <item h="1" m="1" x="3019"/>
        <item h="1" m="1" x="1071"/>
        <item h="1" m="1" x="4260"/>
        <item h="1" m="1" x="942"/>
        <item h="1" m="1" x="264"/>
        <item h="1" m="1" x="851"/>
        <item h="1" m="1" x="193"/>
        <item h="1" m="1" x="2299"/>
        <item h="1" m="1" x="1453"/>
        <item h="1" m="1" x="1838"/>
        <item h="1" m="1" x="2122"/>
        <item h="1" m="1" x="3217"/>
        <item h="1" m="1" x="1384"/>
        <item h="1" m="1" x="3525"/>
        <item h="1" m="1" x="3419"/>
        <item h="1" m="1" x="2185"/>
        <item h="1" m="1" x="1021"/>
        <item h="1" m="1" x="1493"/>
        <item h="1" m="1" x="2301"/>
        <item h="1" m="1" x="4069"/>
        <item h="1" m="1" x="1015"/>
        <item h="1" m="1" x="4854"/>
        <item h="1" m="1" x="214"/>
        <item h="1" m="1" x="526"/>
        <item h="1" m="1" x="3315"/>
        <item h="1" m="1" x="2499"/>
        <item h="1" m="1" x="1293"/>
        <item h="1" m="1" x="2030"/>
        <item h="1" m="1" x="4147"/>
        <item h="1" m="1" x="4772"/>
        <item h="1" m="1" x="830"/>
        <item h="1" m="1" x="1628"/>
        <item h="1" m="1" x="1998"/>
        <item h="1" m="1" x="2067"/>
        <item h="1" m="1" x="4746"/>
        <item h="1" m="1" x="4182"/>
        <item h="1" m="1" x="3884"/>
        <item h="1" m="1" x="685"/>
        <item h="1" m="1" x="3588"/>
        <item h="1" m="1" x="4204"/>
        <item h="1" m="1" x="3414"/>
        <item h="1" m="1" x="4591"/>
        <item h="1" m="1" x="2607"/>
        <item h="1" m="1" x="4331"/>
        <item h="1" m="1" x="4430"/>
        <item h="1" m="1" x="3814"/>
        <item h="1" m="1" x="1820"/>
        <item h="1" m="1" x="2558"/>
        <item h="1" m="1" x="1825"/>
        <item h="1" m="1" x="4878"/>
        <item h="1" m="1" x="2017"/>
        <item h="1" m="1" x="822"/>
        <item h="1" m="1" x="4385"/>
        <item h="1" m="1" x="3600"/>
        <item h="1" m="1" x="656"/>
        <item h="1" m="1" x="1540"/>
        <item h="1" m="1" x="1535"/>
        <item h="1" m="1" x="489"/>
        <item h="1" m="1" x="3336"/>
        <item h="1" m="1" x="2501"/>
        <item h="1" m="1" x="3021"/>
        <item h="1" m="1" x="3520"/>
        <item h="1" m="1" x="2498"/>
        <item h="1" m="1" x="2828"/>
        <item h="1" m="1" x="4378"/>
        <item h="1" m="1" x="3060"/>
        <item h="1" m="1" x="1911"/>
        <item h="1" m="1" x="2388"/>
        <item h="1" m="1" x="3190"/>
        <item h="1" m="1" x="33"/>
        <item h="1" m="1" x="4898"/>
        <item h="1" m="1" x="3475"/>
        <item h="1" m="1" x="2126"/>
        <item h="1" m="1" x="1652"/>
        <item h="1" m="1" x="3195"/>
        <item h="1" m="1" x="2867"/>
        <item m="1" x="2546"/>
        <item h="1" m="1" x="4532"/>
        <item h="1" m="1" x="4547"/>
        <item h="1" m="1" x="1349"/>
        <item h="1" m="1" x="3991"/>
        <item h="1" m="1" x="4824"/>
        <item h="1" m="1" x="441"/>
        <item h="1" m="1" x="2404"/>
        <item h="1" m="1" x="3769"/>
        <item h="1" m="1" x="2097"/>
        <item h="1" m="1" x="2637"/>
        <item h="1" m="1" x="433"/>
        <item h="1" m="1" x="173"/>
        <item h="1" m="1" x="1788"/>
        <item h="1" m="1" x="3627"/>
        <item h="1" m="1" x="116"/>
        <item h="1" m="1" x="4259"/>
        <item h="1" m="1" x="496"/>
        <item h="1" m="1" x="4160"/>
        <item h="1" m="1" x="2426"/>
        <item h="1" m="1" x="1969"/>
        <item h="1" m="1" x="227"/>
        <item h="1" m="1" x="4646"/>
        <item h="1" m="1" x="3919"/>
        <item h="1" m="1" x="4581"/>
        <item h="1" m="1" x="4329"/>
        <item h="1" m="1" x="4291"/>
        <item h="1" m="1" x="286"/>
        <item h="1" m="1" x="1976"/>
        <item h="1" m="1" x="3294"/>
        <item h="1" m="1" x="3008"/>
        <item h="1" m="1" x="1902"/>
        <item h="1" m="1" x="3704"/>
        <item h="1" m="1" x="3776"/>
        <item h="1" m="1" x="2952"/>
        <item h="1" m="1" x="4270"/>
        <item h="1" m="1" x="3945"/>
        <item h="1" m="1" x="2961"/>
        <item h="1" m="1" x="455"/>
        <item h="1" m="1" x="1686"/>
        <item h="1" m="1" x="2472"/>
        <item h="1" m="1" x="2705"/>
        <item h="1" m="1" x="1288"/>
        <item h="1" m="1" x="2037"/>
        <item h="1" m="1" x="3650"/>
        <item h="1" m="1" x="3877"/>
        <item h="1" m="1" x="378"/>
        <item h="1" m="1" x="4845"/>
        <item h="1" m="1" x="4239"/>
        <item h="1" m="1" x="17"/>
        <item h="1" m="1" x="3634"/>
        <item h="1" m="1" x="2683"/>
        <item h="1" m="1" x="2316"/>
        <item h="1" m="1" x="1068"/>
        <item h="1" m="1" x="31"/>
        <item h="1" m="1" x="265"/>
        <item h="1" m="1" x="1951"/>
        <item h="1" m="1" x="2407"/>
        <item h="1" m="1" x="457"/>
        <item h="1" m="1" x="1668"/>
        <item h="1" m="1" x="4928"/>
        <item h="1" m="1" x="4412"/>
        <item h="1" m="1" x="3219"/>
        <item h="1" m="1" x="2264"/>
        <item h="1" m="1" x="1169"/>
        <item h="1" m="1" x="585"/>
        <item h="1" m="1" x="1462"/>
        <item h="1" m="1" x="427"/>
        <item h="1" m="1" x="2945"/>
        <item h="1" m="1" x="1408"/>
        <item h="1" m="1" x="4272"/>
        <item h="1" m="1" x="2190"/>
        <item h="1" m="1" x="3701"/>
        <item h="1" m="1" x="1900"/>
        <item h="1" m="1" x="2073"/>
        <item h="1" m="1" x="676"/>
        <item h="1" m="1" x="3694"/>
        <item h="1" m="1" x="2620"/>
        <item h="1" m="1" x="2104"/>
        <item h="1" m="1" x="4785"/>
        <item h="1" m="1" x="800"/>
        <item h="1" m="1" x="4719"/>
        <item h="1" m="1" x="769"/>
        <item h="1" m="1" x="3729"/>
        <item h="1" m="1" x="999"/>
        <item h="1" m="1" x="139"/>
        <item h="1" m="1" x="4659"/>
        <item h="1" m="1" x="4037"/>
        <item h="1" m="1" x="1389"/>
        <item h="1" m="1" x="4171"/>
        <item h="1" m="1" x="4651"/>
        <item h="1" m="1" x="636"/>
        <item h="1" m="1" x="102"/>
        <item h="1" m="1" x="3050"/>
        <item h="1" m="1" x="3092"/>
        <item h="1" m="1" x="3456"/>
        <item h="1" m="1" x="3271"/>
        <item h="1" m="1" x="3387"/>
        <item h="1" m="1" x="324"/>
        <item h="1" m="1" x="781"/>
        <item h="1" m="1" x="748"/>
        <item h="1" m="1" x="1948"/>
        <item h="1" m="1" x="4255"/>
        <item h="1" m="1" x="1234"/>
        <item h="1" m="1" x="2962"/>
        <item h="1" m="1" x="4342"/>
        <item h="1" m="1" x="2389"/>
        <item h="1" m="1" x="731"/>
        <item h="1" m="1" x="3579"/>
        <item h="1" m="1" x="4279"/>
        <item h="1" m="1" x="2893"/>
        <item h="1" m="1" x="1742"/>
        <item h="1" m="1" x="2084"/>
        <item h="1" m="1" x="3347"/>
        <item h="1" m="1" x="2415"/>
        <item h="1" m="1" x="4454"/>
        <item h="1" m="1" x="4125"/>
        <item h="1" m="1" x="4200"/>
        <item h="1" m="1" x="2616"/>
        <item h="1" m="1" x="1890"/>
        <item h="1" m="1" x="399"/>
        <item h="1" m="1" x="2306"/>
        <item h="1" m="1" x="96"/>
        <item h="1" m="1" x="2156"/>
        <item h="1" m="1" x="2819"/>
        <item h="1" m="1" x="4335"/>
        <item h="1" m="1" x="751"/>
        <item h="1" m="1" x="2259"/>
        <item h="1" m="1" x="1359"/>
        <item h="1" m="1" x="3366"/>
        <item h="1" m="1" x="2025"/>
        <item h="1" m="1" x="2850"/>
        <item h="1" m="1" x="234"/>
        <item h="1" m="1" x="4795"/>
        <item h="1" m="1" x="3993"/>
        <item h="1" m="1" x="3037"/>
        <item h="1" m="1" x="4499"/>
        <item h="1" m="1" x="2072"/>
        <item h="1" m="1" x="3254"/>
        <item h="1" m="1" x="295"/>
        <item h="1" m="1" x="414"/>
        <item h="1" m="1" x="3012"/>
        <item h="1" m="1" x="394"/>
        <item h="1" m="1" x="425"/>
        <item h="1" m="1" x="1399"/>
        <item h="1" m="1" x="155"/>
        <item h="1" m="1" x="16"/>
        <item h="1" m="1" x="1005"/>
        <item h="1" m="1" x="3654"/>
        <item h="1" m="1" x="1442"/>
        <item h="1" m="1" x="3085"/>
        <item h="1" m="1" x="1633"/>
        <item h="1" m="1" x="4402"/>
        <item h="1" m="1" x="2266"/>
        <item h="1" m="1" x="3252"/>
        <item h="1" m="1" x="2393"/>
        <item h="1" m="1" x="2846"/>
        <item h="1" m="1" x="3464"/>
        <item h="1" m="1" x="3631"/>
        <item h="1" m="1" x="322"/>
        <item h="1" m="1" x="2783"/>
        <item h="1" m="1" x="1458"/>
        <item h="1" m="1" x="3692"/>
        <item h="1" m="1" x="619"/>
        <item h="1" m="1" x="4812"/>
        <item h="1" m="1" x="1544"/>
        <item h="1" m="1" x="2319"/>
        <item h="1" m="1" x="2791"/>
        <item h="1" m="1" x="4495"/>
        <item h="1" m="1" x="3402"/>
        <item h="1" m="1" x="832"/>
        <item h="1" m="1" x="4376"/>
        <item h="1" m="1" x="4458"/>
        <item h="1" m="1" x="556"/>
        <item h="1" m="1" x="3904"/>
        <item h="1" m="1" x="1719"/>
        <item h="1" m="1" x="693"/>
        <item h="1" m="1" x="4286"/>
        <item h="1" m="1" x="3917"/>
        <item h="1" m="1" x="2140"/>
        <item h="1" m="1" x="4688"/>
        <item h="1" m="1" x="3998"/>
        <item h="1" m="1" x="1031"/>
        <item h="1" m="1" x="551"/>
        <item h="1" m="1" x="4627"/>
        <item h="1" m="1" x="2927"/>
        <item h="1" m="1" x="4894"/>
        <item h="1" m="1" x="252"/>
        <item h="1" m="1" x="3811"/>
        <item h="1" m="1" x="3245"/>
        <item h="1" m="1" x="4422"/>
        <item h="1" m="1" x="1300"/>
        <item h="1" m="1" x="2019"/>
        <item h="1" m="1" x="1716"/>
        <item h="1" m="1" x="2548"/>
        <item h="1" m="1" x="1111"/>
        <item h="1" m="1" x="4074"/>
        <item h="1" m="1" x="4084"/>
        <item h="1" m="1" x="4849"/>
        <item h="1" m="1" x="4670"/>
        <item h="1" m="1" x="1606"/>
        <item h="1" m="1" x="3800"/>
        <item h="1" m="1" x="2202"/>
        <item h="1" m="1" x="4922"/>
        <item h="1" m="1" x="201"/>
        <item h="1" m="1" x="3068"/>
        <item h="1" m="1" x="2815"/>
        <item h="1" m="1" x="4523"/>
        <item h="1" m="1" x="4349"/>
        <item h="1" m="1" x="4172"/>
        <item h="1" m="1" x="2484"/>
        <item h="1" m="1" x="609"/>
        <item h="1" m="1" x="2261"/>
        <item h="1" m="1" x="4747"/>
        <item h="1" m="1" x="2446"/>
        <item h="1" m="1" x="1519"/>
        <item h="1" m="1" x="2445"/>
        <item h="1" m="1" x="215"/>
        <item h="1" m="1" x="2039"/>
        <item h="1" m="1" x="2900"/>
        <item h="1" m="1" x="3434"/>
        <item h="1" m="1" x="4153"/>
        <item h="1" m="1" x="3989"/>
        <item h="1" m="1" x="314"/>
        <item h="1" m="1" x="2105"/>
        <item h="1" m="1" x="1438"/>
        <item h="1" m="1" x="4904"/>
        <item h="1" m="1" x="1847"/>
        <item h="1" m="1" x="4176"/>
        <item h="1" m="1" x="143"/>
        <item h="1" m="1" x="1673"/>
        <item h="1" m="1" x="4215"/>
        <item h="1" m="1" x="1325"/>
        <item h="1" m="1" x="1626"/>
        <item h="1" m="1" x="401"/>
        <item h="1" m="1" x="1973"/>
        <item h="1" m="1" x="367"/>
        <item h="1" m="1" x="1256"/>
        <item h="1" m="1" x="4587"/>
        <item h="1" m="1" x="3779"/>
        <item h="1" m="1" x="529"/>
        <item h="1" m="1" x="192"/>
        <item h="1" m="1" x="4060"/>
        <item h="1" m="1" x="3014"/>
        <item h="1" m="1" x="3122"/>
        <item h="1" m="1" x="3809"/>
        <item h="1" m="1" x="875"/>
        <item h="1" m="1" x="854"/>
        <item h="1" m="1" x="203"/>
        <item h="1" m="1" x="1792"/>
        <item h="1" m="1" x="3593"/>
        <item h="1" m="1" x="1833"/>
        <item h="1" m="1" x="3733"/>
        <item h="1" m="1" x="691"/>
        <item h="1" m="1" x="1829"/>
        <item h="1" m="1" x="4667"/>
        <item h="1" m="1" x="3804"/>
        <item h="1" m="1" x="4456"/>
        <item h="1" m="1" x="504"/>
        <item h="1" m="1" x="3492"/>
        <item h="1" m="1" x="4909"/>
        <item h="1" m="1" x="2272"/>
        <item h="1" m="1" x="4645"/>
        <item h="1" m="1" x="3528"/>
        <item h="1" m="1" x="439"/>
        <item h="1" m="1" x="847"/>
        <item h="1" m="1" x="3667"/>
        <item h="1" m="1" x="2093"/>
        <item h="1" m="1" x="213"/>
        <item h="1" m="1" x="1962"/>
        <item h="1" m="1" x="4055"/>
        <item h="1" m="1" x="2655"/>
        <item h="1" m="1" x="2378"/>
        <item h="1" m="1" x="4237"/>
        <item h="1" m="1" x="1016"/>
        <item h="1" m="1" x="3086"/>
        <item h="1" m="1" x="907"/>
        <item h="1" m="1" x="4710"/>
        <item h="1" m="1" x="727"/>
        <item h="1" m="1" x="1680"/>
        <item h="1" m="1" x="1220"/>
        <item h="1" m="1" x="1184"/>
        <item h="1" m="1" x="4198"/>
        <item h="1" m="1" x="1787"/>
        <item h="1" m="1" x="2625"/>
        <item h="1" m="1" x="2532"/>
        <item h="1" m="1" x="307"/>
        <item h="1" m="1" x="37"/>
        <item h="1" m="1" x="3792"/>
        <item h="1" m="1" x="356"/>
        <item h="1" m="1" x="3436"/>
        <item h="1" m="1" x="1607"/>
        <item h="1" m="1" x="144"/>
        <item h="1" m="1" x="2524"/>
        <item h="1" m="1" x="3685"/>
        <item h="1" m="1" x="2710"/>
        <item h="1" m="1" x="2765"/>
        <item h="1" m="1" x="2820"/>
        <item h="1" m="1" x="382"/>
        <item h="1" m="1" x="2333"/>
        <item h="1" m="1" x="261"/>
        <item h="1" m="1" x="4778"/>
        <item h="1" m="1" x="704"/>
        <item h="1" m="1" x="462"/>
        <item h="1" m="1" x="4301"/>
        <item h="1" m="1" x="3562"/>
        <item h="1" m="1" x="4120"/>
        <item h="1" m="1" x="1506"/>
        <item h="1" m="1" x="2663"/>
        <item h="1" m="1" x="448"/>
        <item h="1" m="1" x="941"/>
        <item h="1" m="1" x="1047"/>
        <item h="1" m="1" x="4774"/>
        <item h="1" m="1" x="3930"/>
        <item h="1" m="1" x="3679"/>
        <item h="1" m="1" x="3481"/>
        <item h="1" m="1" x="2644"/>
        <item h="1" m="1" x="3750"/>
        <item h="1" m="1" x="4379"/>
        <item h="1" m="1" x="4848"/>
        <item h="1" m="1" x="2124"/>
        <item h="1" m="1" x="4780"/>
        <item h="1" m="1" x="3223"/>
        <item h="1" m="1" x="3965"/>
        <item h="1" m="1" x="3299"/>
        <item h="1" m="1" x="3663"/>
        <item h="1" m="1" x="3032"/>
        <item h="1" m="1" x="710"/>
        <item h="1" m="1" x="3761"/>
        <item h="1" m="1" x="2869"/>
        <item h="1" m="1" x="846"/>
        <item h="1" m="1" x="1007"/>
        <item h="1" m="1" x="479"/>
        <item h="1" m="1" x="4470"/>
        <item h="1" m="1" x="2175"/>
        <item h="1" m="1" x="1332"/>
        <item h="1" m="1" x="2144"/>
        <item h="1" m="1" x="228"/>
        <item h="1" m="1" x="2382"/>
        <item h="1" m="1" x="2543"/>
        <item h="1" m="1" x="3632"/>
        <item h="1" m="1" x="1157"/>
        <item h="1" m="1" x="1661"/>
        <item h="1" m="1" x="1640"/>
        <item h="1" m="1" x="2038"/>
        <item h="1" m="1" x="4170"/>
        <item h="1" m="1" x="925"/>
        <item h="1" m="1" x="3487"/>
        <item h="1" m="1" x="865"/>
        <item h="1" m="1" x="3931"/>
        <item h="1" m="1" x="4851"/>
        <item h="1" m="1" x="1663"/>
        <item h="1" m="1" x="3753"/>
        <item h="1" m="1" x="3135"/>
        <item h="1" m="1" x="864"/>
        <item h="1" m="1" x="1065"/>
        <item h="1" m="1" x="2968"/>
        <item h="1" m="1" x="1252"/>
        <item h="1" m="1" x="1730"/>
        <item h="1" m="1" x="4441"/>
        <item h="1" m="1" x="4738"/>
        <item h="1" m="1" x="4302"/>
        <item h="1" m="1" x="4831"/>
        <item h="1" m="1" x="4155"/>
        <item h="1" m="1" x="4642"/>
        <item h="1" m="1" x="3397"/>
        <item h="1" m="1" x="2476"/>
        <item h="1" m="1" x="3146"/>
        <item h="1" m="1" x="866"/>
        <item h="1" m="1" x="4582"/>
        <item h="1" m="1" x="2107"/>
        <item h="1" m="1" x="752"/>
        <item h="1" m="1" x="486"/>
        <item h="1" m="1" x="2486"/>
        <item h="1" m="1" x="1936"/>
        <item h="1" m="1" x="2012"/>
        <item h="1" m="1" x="156"/>
        <item h="1" m="1" x="599"/>
        <item h="1" m="1" x="3794"/>
        <item h="1" m="1" x="3718"/>
        <item h="1" m="1" x="4128"/>
        <item h="1" m="1" x="3363"/>
        <item h="1" m="1" x="700"/>
        <item h="1" m="1" x="1173"/>
        <item h="1" m="1" x="83"/>
        <item h="1" m="1" x="2560"/>
        <item h="1" m="1" x="532"/>
        <item h="1" m="1" x="2841"/>
        <item h="1" m="1" x="1441"/>
        <item h="1" m="1" x="4769"/>
        <item h="1" m="1" x="2547"/>
        <item h="1" m="1" x="3015"/>
        <item h="1" m="1" x="4467"/>
        <item h="1" m="1" x="3430"/>
        <item h="1" m="1" x="1802"/>
        <item h="1" m="1" x="3513"/>
        <item h="1" m="1" x="66"/>
        <item h="1" m="1" x="316"/>
        <item h="1" m="1" x="3094"/>
        <item h="1" m="1" x="1357"/>
        <item h="1" m="1" x="1871"/>
        <item h="1" m="1" x="1921"/>
        <item h="1" m="1" x="2848"/>
        <item h="1" m="1" x="2793"/>
        <item h="1" m="1" x="3786"/>
        <item h="1" m="1" x="2985"/>
        <item h="1" m="1" x="4895"/>
        <item h="1" m="1" x="618"/>
        <item h="1" m="1" x="4757"/>
        <item h="1" m="1" x="171"/>
        <item h="1" m="1" x="804"/>
        <item h="1" m="1" x="2845"/>
        <item h="1" m="1" x="1291"/>
        <item h="1" m="1" x="629"/>
        <item h="1" m="1" x="480"/>
        <item h="1" m="1" x="1350"/>
        <item h="1" m="1" x="267"/>
        <item h="1" m="1" x="1476"/>
        <item h="1" m="1" x="4083"/>
        <item h="1" m="1" x="2856"/>
        <item h="1" m="1" x="4480"/>
        <item h="1" m="1" x="4059"/>
        <item h="1" m="1" x="2384"/>
        <item h="1" m="1" x="1270"/>
        <item h="1" m="1" x="2861"/>
        <item h="1" m="1" x="4308"/>
        <item h="1" m="1" x="737"/>
        <item h="1" m="1" x="3140"/>
        <item h="1" m="1" x="166"/>
        <item h="1" m="1" x="2279"/>
        <item h="1" m="1" x="3603"/>
        <item h="1" m="1" x="153"/>
        <item h="1" m="1" x="1240"/>
        <item h="1" m="1" x="3834"/>
        <item h="1" m="1" x="2436"/>
        <item h="1" m="1" x="3778"/>
        <item h="1" m="1" x="3"/>
        <item h="1" m="1" x="1126"/>
        <item h="1" m="1" x="4022"/>
        <item h="1" m="1" x="237"/>
        <item h="1" m="1" x="3437"/>
        <item h="1" m="1" x="210"/>
        <item h="1" m="1" x="4610"/>
        <item h="1" m="1" x="4768"/>
        <item h="1" m="1" x="3408"/>
        <item h="1" m="1" x="869"/>
        <item h="1" m="1" x="4516"/>
        <item h="1" m="1" x="25"/>
        <item h="1" m="1" x="4043"/>
        <item h="1" m="1" x="2718"/>
        <item h="1" m="1" x="2311"/>
        <item h="1" m="1" x="2432"/>
        <item h="1" m="1" x="4451"/>
        <item h="1" m="1" x="3608"/>
        <item h="1" m="1" x="574"/>
        <item h="1" m="1" x="3179"/>
        <item h="1" m="1" x="1569"/>
        <item h="1" m="1" x="4506"/>
        <item h="1" m="1" x="2706"/>
        <item h="1" m="1" x="4766"/>
        <item h="1" m="1" x="1872"/>
        <item h="1" m="1" x="4568"/>
        <item h="1" m="1" x="3302"/>
        <item h="1" m="1" x="1311"/>
        <item h="1" m="1" x="1026"/>
        <item h="1" m="1" x="2743"/>
        <item h="1" m="1" x="1749"/>
        <item h="1" m="1" x="3862"/>
        <item h="1" m="1" x="1992"/>
        <item h="1" m="1" x="3026"/>
        <item h="1" m="1" x="4002"/>
        <item h="1" m="1" x="248"/>
        <item h="1" m="1" x="1352"/>
        <item h="1" m="1" x="2813"/>
        <item h="1" m="1" x="632"/>
        <item h="1" m="1" x="4593"/>
        <item h="1" m="1" x="61"/>
        <item h="1" m="1" x="78"/>
        <item h="1" m="1" x="163"/>
        <item h="1" m="1" x="754"/>
        <item h="1" m="1" x="2199"/>
        <item h="1" m="1" x="4203"/>
        <item h="1" m="1" x="2919"/>
        <item h="1" m="1" x="3213"/>
        <item h="1" m="1" x="3224"/>
        <item h="1" m="1" x="3927"/>
        <item h="1" m="1" x="3106"/>
        <item h="1" m="1" x="1602"/>
        <item h="1" m="1" x="4066"/>
        <item h="1" m="1" x="2981"/>
        <item h="1" m="1" x="3373"/>
        <item h="1" m="1" x="698"/>
        <item h="1" m="1" x="788"/>
        <item h="1" m="1" x="1994"/>
        <item h="1" m="1" x="947"/>
        <item h="1" m="1" x="2021"/>
        <item h="1" m="1" x="969"/>
        <item h="1" m="1" x="4345"/>
        <item h="1" m="1" x="4253"/>
        <item h="1" m="1" x="1485"/>
        <item h="1" m="1" x="3202"/>
        <item h="1" m="1" x="1492"/>
        <item h="1" m="1" x="3563"/>
        <item h="1" m="1" x="4132"/>
        <item h="1" m="1" x="1687"/>
        <item h="1" m="1" x="809"/>
        <item h="1" m="1" x="1573"/>
        <item h="1" m="1" x="4560"/>
        <item h="1" m="1" x="1433"/>
        <item h="1" m="1" x="2233"/>
        <item h="1" m="1" x="3371"/>
        <item h="1" m="1" x="949"/>
        <item h="1" m="1" x="4019"/>
        <item h="1" m="1" x="3969"/>
        <item h="1" m="1" x="4819"/>
        <item h="1" m="1" x="2823"/>
        <item h="1" m="1" x="3279"/>
        <item h="1" m="1" x="2314"/>
        <item h="1" m="1" x="2789"/>
        <item h="1" m="1" x="2960"/>
        <item h="1" m="1" x="3285"/>
        <item h="1" m="1" x="1418"/>
        <item h="1" m="1" x="1439"/>
        <item h="1" m="1" x="1451"/>
        <item h="1" m="1" x="3431"/>
        <item h="1" m="1" x="4477"/>
        <item h="1" m="1" x="873"/>
        <item h="1" m="1" x="1276"/>
        <item h="1" m="1" x="1061"/>
        <item h="1" m="1" x="2635"/>
        <item h="1" m="1" x="4798"/>
        <item h="1" m="1" x="2465"/>
        <item h="1" m="1" x="3230"/>
        <item h="1" m="1" x="1030"/>
        <item h="1" m="1" x="1450"/>
        <item h="1" m="1" x="1372"/>
        <item h="1" m="1" x="1117"/>
        <item h="1" m="1" x="4431"/>
        <item h="1" m="1" x="190"/>
        <item h="1" m="1" x="1731"/>
        <item h="1" m="1" x="4552"/>
        <item h="1" m="1" x="65"/>
        <item h="1" m="1" x="2934"/>
        <item h="1" m="1" x="852"/>
        <item h="1" m="1" x="755"/>
        <item h="1" m="1" x="413"/>
        <item h="1" m="1" x="437"/>
        <item h="1" m="1" x="4233"/>
        <item h="1" m="1" x="2996"/>
        <item h="1" m="1" x="2639"/>
        <item h="1" m="1" x="2201"/>
        <item h="1" m="1" x="3022"/>
        <item h="1" m="1" x="3042"/>
        <item h="1" m="1" x="622"/>
        <item h="1" m="1" x="2834"/>
        <item h="1" m="1" x="1322"/>
        <item h="1" m="1" x="1250"/>
        <item h="1" m="1" x="194"/>
        <item h="1" m="1" x="3596"/>
        <item h="1" m="1" x="650"/>
        <item h="1" m="1" x="4439"/>
        <item h="1" m="1" x="3047"/>
        <item h="1" m="1" x="820"/>
        <item h="1" m="1" x="4634"/>
        <item h="1" m="1" x="1523"/>
        <item h="1" m="1" x="4612"/>
        <item h="1" m="1" x="63"/>
        <item h="1" m="1" x="2878"/>
        <item h="1" m="1" x="3889"/>
        <item h="1" m="1" x="1264"/>
        <item h="1" m="1" x="68"/>
        <item h="1" m="1" x="3423"/>
        <item h="1" m="1" x="4225"/>
        <item h="1" m="1" x="4089"/>
        <item h="1" m="1" x="4728"/>
        <item h="1" m="1" x="4843"/>
        <item h="1" m="1" x="610"/>
        <item h="1" m="1" x="3087"/>
        <item h="1" m="1" x="1069"/>
        <item h="1" m="1" x="1136"/>
        <item h="1" m="1" x="2116"/>
        <item h="1" m="1" x="1400"/>
        <item h="1" m="1" x="4414"/>
        <item h="1" m="1" x="2851"/>
        <item h="1" m="1" x="985"/>
        <item h="1" m="1" x="4007"/>
        <item h="1" m="1" x="1617"/>
        <item h="1" m="1" x="3659"/>
        <item h="1" m="1" x="4080"/>
        <item h="1" m="1" x="1235"/>
        <item h="1" m="1" x="1892"/>
        <item h="1" m="1" x="1244"/>
        <item h="1" m="1" x="3678"/>
        <item h="1" m="1" x="580"/>
        <item h="1" m="1" x="3614"/>
        <item h="1" m="1" x="3926"/>
        <item h="1" m="1" x="4750"/>
        <item h="1" m="1" x="3821"/>
        <item h="1" m="1" x="2508"/>
        <item h="1" m="1" x="11"/>
        <item h="1" m="1" x="3239"/>
        <item h="1" m="1" x="3860"/>
        <item h="1" m="1" x="2956"/>
        <item h="1" m="1" x="2650"/>
        <item h="1" m="1" x="4267"/>
        <item h="1" m="1" x="957"/>
        <item h="1" m="1" x="44"/>
        <item h="1" m="1" x="1533"/>
        <item h="1" m="1" x="375"/>
        <item h="1" m="1" x="661"/>
        <item h="1" m="1" x="863"/>
        <item h="1" m="1" x="814"/>
        <item h="1" m="1" x="507"/>
        <item h="1" m="1" x="776"/>
        <item h="1" m="1" x="4745"/>
        <item h="1" m="1" x="2585"/>
        <item h="1" m="1" x="4265"/>
        <item h="1" m="1" x="2214"/>
        <item h="1" m="1" x="2806"/>
        <item h="1" m="1" x="883"/>
        <item h="1" m="1" x="1143"/>
        <item h="1" m="1" x="4505"/>
        <item m="1" x="1177"/>
        <item h="1" m="1" x="4678"/>
        <item h="1" m="1" x="2423"/>
        <item h="1" m="1" x="1623"/>
        <item h="1" m="1" x="2308"/>
        <item h="1" m="1" x="258"/>
        <item h="1" m="1" x="4874"/>
        <item h="1" m="1" x="1238"/>
        <item h="1" m="1" x="895"/>
        <item h="1" m="1" x="2218"/>
        <item h="1" m="1" x="4386"/>
        <item h="1" m="1" x="4413"/>
        <item h="1" m="1" x="4178"/>
        <item h="1" m="1" x="4061"/>
        <item h="1" m="1" x="3024"/>
        <item h="1" m="1" x="2744"/>
        <item h="1" m="1" x="4914"/>
        <item h="1" m="1" x="662"/>
        <item h="1" m="1" x="2470"/>
        <item h="1" m="1" x="4557"/>
        <item h="1" m="1" x="185"/>
        <item h="1" m="1" x="4108"/>
        <item h="1" m="1" x="659"/>
        <item h="1" m="1" x="424"/>
        <item h="1" m="1" x="605"/>
        <item h="1" m="1" x="1586"/>
        <item h="1" m="1" x="1496"/>
        <item h="1" m="1" x="4640"/>
        <item h="1" m="1" x="586"/>
        <item h="1" m="1" x="1163"/>
        <item h="1" m="1" x="2358"/>
        <item h="1" m="1" x="4626"/>
        <item h="1" m="1" x="2824"/>
        <item h="1" m="1" x="1147"/>
        <item h="1" m="1" x="142"/>
        <item h="1" m="1" x="2491"/>
        <item h="1" m="1" x="1798"/>
        <item h="1" m="1" x="2847"/>
        <item h="1" m="1" x="1370"/>
        <item h="1" m="1" x="4677"/>
        <item h="1" m="1" x="4753"/>
        <item h="1" m="1" x="1355"/>
        <item h="1" m="1" x="2891"/>
        <item h="1" m="1" x="872"/>
        <item h="1" m="1" x="3259"/>
        <item h="1" m="1" x="4398"/>
        <item h="1" m="1" x="1253"/>
        <item h="1" m="1" x="3298"/>
        <item h="1" m="1" x="69"/>
        <item h="1" m="1" x="1645"/>
        <item h="1" m="1" x="278"/>
        <item h="1" m="1" x="3334"/>
        <item h="1" m="1" x="1456"/>
        <item h="1" m="1" x="3187"/>
        <item h="1" m="1" x="1414"/>
        <item h="1" m="1" x="3957"/>
        <item h="1" m="1" x="3482"/>
        <item h="1" m="1" x="1045"/>
        <item h="1" m="1" x="3775"/>
        <item h="1" m="1" x="2583"/>
        <item h="1" m="1" x="1469"/>
        <item h="1" m="1" x="3333"/>
        <item h="1" m="1" x="4050"/>
        <item h="1" m="1" x="1307"/>
        <item h="1" m="1" x="3400"/>
        <item h="1" m="1" x="927"/>
        <item h="1" m="1" x="2611"/>
        <item h="1" m="1" x="4338"/>
        <item h="1" m="1" x="2713"/>
        <item h="1" m="1" x="1631"/>
        <item h="1" m="1" x="2392"/>
        <item h="1" m="1" x="1585"/>
        <item h="1" m="1" x="1846"/>
        <item h="1" m="1" x="1567"/>
        <item h="1" m="1" x="1891"/>
        <item h="1" m="1" x="1034"/>
        <item h="1" m="1" x="2978"/>
        <item h="1" m="1" x="1457"/>
        <item h="1" m="1" x="2183"/>
        <item h="1" m="1" x="1597"/>
        <item h="1" m="1" x="2128"/>
        <item h="1" m="1" x="3849"/>
        <item h="1" m="1" x="2381"/>
        <item h="1" m="1" x="1108"/>
        <item h="1" m="1" x="1243"/>
        <item h="1" m="1" x="3883"/>
        <item h="1" m="1" x="9"/>
        <item h="1" m="1" x="3502"/>
        <item h="1" m="1" x="3225"/>
        <item h="1" m="1" x="3922"/>
        <item h="1" m="1" x="4644"/>
        <item h="1" m="1" x="4681"/>
        <item h="1" m="1" x="3465"/>
        <item h="1" m="1" x="2802"/>
        <item h="1" m="1" x="3197"/>
        <item h="1" m="1" x="3198"/>
        <item h="1" m="1" x="3292"/>
        <item h="1" m="1" x="189"/>
        <item h="1" m="1" x="2329"/>
        <item h="1" m="1" x="2720"/>
        <item h="1" m="1" x="4793"/>
        <item h="1" m="1" x="3838"/>
        <item h="1" m="1" x="4328"/>
        <item h="1" m="1" x="1191"/>
        <item h="1" m="1" x="1690"/>
        <item h="1" m="1" x="2149"/>
        <item h="1" m="1" x="334"/>
        <item h="1" m="1" x="1058"/>
        <item h="1" m="1" x="1868"/>
        <item h="1" m="1" x="1605"/>
        <item h="1" m="1" x="623"/>
        <item h="1" m="1" x="2771"/>
        <item h="1" m="1" x="93"/>
        <item h="1" m="1" x="1815"/>
        <item h="1" m="1" x="1968"/>
        <item h="1" m="1" x="4514"/>
        <item h="1" m="1" x="981"/>
        <item h="1" m="1" x="620"/>
        <item h="1" m="1" x="174"/>
        <item h="1" m="1" x="2276"/>
        <item h="1" m="1" x="2517"/>
        <item h="1" m="1" x="3048"/>
        <item h="1" m="1" x="4256"/>
        <item h="1" m="1" x="3059"/>
        <item h="1" m="1" x="450"/>
        <item h="1" m="1" x="2574"/>
        <item h="1" m="1" x="1982"/>
        <item h="1" m="1" x="4910"/>
        <item h="1" m="1" x="2901"/>
        <item h="1" m="1" x="1396"/>
        <item h="1" m="1" x="2500"/>
        <item h="1" m="1" x="1247"/>
        <item h="1" m="1" x="1964"/>
        <item h="1" m="1" x="4615"/>
        <item h="1" m="1" x="1939"/>
        <item h="1" m="1" x="2672"/>
        <item h="1" m="1" x="2335"/>
        <item h="1" m="1" x="1773"/>
        <item h="1" m="1" x="4185"/>
        <item h="1" m="1" x="3119"/>
        <item h="1" m="1" x="4863"/>
        <item h="1" m="1" x="4447"/>
        <item h="1" m="1" x="1587"/>
        <item h="1" m="1" x="560"/>
        <item h="1" m="1" x="3109"/>
        <item h="1" m="1" x="4109"/>
        <item h="1" m="1" x="2506"/>
        <item h="1" m="1" x="298"/>
        <item h="1" m="1" x="4275"/>
        <item h="1" m="1" x="4180"/>
        <item h="1" m="1" x="4131"/>
        <item h="1" m="1" x="1440"/>
        <item h="1" m="1" x="2265"/>
        <item h="1" m="1" x="624"/>
        <item h="1" m="1" x="4689"/>
        <item h="1" m="1" x="3574"/>
        <item h="1" m="1" x="186"/>
        <item h="1" m="1" x="1089"/>
        <item h="1" m="1" x="3064"/>
        <item h="1" m="1" x="2364"/>
        <item h="1" m="1" x="2860"/>
        <item h="1" m="1" x="2494"/>
        <item h="1" m="1" x="970"/>
        <item h="1" m="1" x="892"/>
        <item h="1" m="1" x="2987"/>
        <item h="1" m="1" x="4548"/>
        <item h="1" m="1" x="1943"/>
        <item h="1" m="1" x="742"/>
        <item h="1" m="1" x="1090"/>
        <item h="1" m="1" x="937"/>
        <item h="1" m="1" x="3332"/>
        <item h="1" m="1" x="908"/>
        <item h="1" m="1" x="772"/>
        <item h="1" m="1" x="20"/>
        <item h="1" m="1" x="4804"/>
        <item h="1" m="1" x="4760"/>
        <item h="1" m="1" x="3401"/>
        <item h="1" m="1" x="4421"/>
        <item h="1" m="1" x="4387"/>
        <item h="1" m="1" x="2941"/>
        <item h="1" m="1" x="4826"/>
        <item h="1" m="1" x="1362"/>
        <item h="1" m="1" x="1175"/>
        <item h="1" m="1" x="4652"/>
        <item h="1" m="1" x="1581"/>
        <item h="1" m="1" x="2111"/>
        <item h="1" m="1" x="191"/>
        <item h="1" m="1" x="1072"/>
        <item h="1" m="1" x="3193"/>
        <item h="1" m="1" x="34"/>
        <item h="1" m="1" x="1933"/>
        <item h="1" m="1" x="1203"/>
        <item h="1" m="1" x="2818"/>
        <item h="1" m="1" x="3161"/>
        <item h="1" m="1" x="2590"/>
        <item h="1" m="1" x="961"/>
        <item h="1" m="1" x="2180"/>
        <item h="1" m="1" x="3512"/>
        <item m="1" x="1152"/>
        <item h="1" m="1" x="637"/>
        <item h="1" m="1" x="208"/>
        <item h="1" m="1" x="4118"/>
        <item h="1" m="1" x="3126"/>
        <item h="1" m="1" x="273"/>
        <item h="1" m="1" x="1236"/>
        <item h="1" m="1" x="4541"/>
        <item h="1" m="1" x="1358"/>
        <item h="1" m="1" x="3209"/>
        <item h="1" m="1" x="1066"/>
        <item h="1" m="1" x="4428"/>
        <item h="1" m="1" x="4044"/>
        <item h="1" m="1" x="3844"/>
        <item h="1" m="1" x="1368"/>
        <item h="1" m="1" x="1609"/>
        <item h="1" m="1" x="3970"/>
        <item h="1" m="1" x="487"/>
        <item h="1" m="1" x="1812"/>
        <item h="1" m="1" x="396"/>
        <item h="1" m="1" x="1006"/>
        <item h="1" m="1" x="3984"/>
        <item h="1" m="1" x="4855"/>
        <item h="1" m="1" x="2790"/>
        <item h="1" m="1" x="4924"/>
        <item h="1" m="1" x="4341"/>
        <item h="1" m="1" x="135"/>
        <item h="1" m="1" x="1549"/>
        <item h="1" m="1" x="4724"/>
        <item h="1" m="1" x="1437"/>
        <item h="1" m="1" x="2973"/>
        <item h="1" m="1" x="4312"/>
        <item h="1" m="1" x="1879"/>
        <item h="1" m="1" x="2792"/>
        <item h="1" m="1" x="2411"/>
        <item h="1" m="1" x="3172"/>
        <item h="1" m="1" x="162"/>
        <item h="1" m="1" x="2321"/>
        <item h="1" m="1" x="4221"/>
        <item h="1" m="1" x="1756"/>
        <item h="1" m="1" x="4346"/>
        <item h="1" m="1" x="608"/>
        <item h="1" m="1" x="2044"/>
        <item h="1" m="1" x="4354"/>
        <item h="1" m="1" x="796"/>
        <item h="1" m="1" x="4112"/>
        <item h="1" m="1" x="2441"/>
        <item h="1" m="1" x="4366"/>
        <item h="1" m="1" x="2761"/>
        <item h="1" m="1" x="2619"/>
        <item h="1" m="1" x="2050"/>
        <item h="1" m="1" x="1394"/>
        <item h="1" m="1" x="1860"/>
        <item h="1" m="1" x="1733"/>
        <item h="1" m="1" x="1285"/>
        <item h="1" m="1" x="4041"/>
        <item h="1" m="1" x="4517"/>
        <item h="1" m="1" x="2737"/>
        <item h="1" m="1" x="1023"/>
        <item h="1" m="1" x="3390"/>
        <item h="1" m="1" x="4114"/>
        <item h="1" m="1" x="667"/>
        <item h="1" m="1" x="542"/>
        <item h="1" m="1" x="1259"/>
        <item h="1" m="1" x="4714"/>
        <item h="1" m="1" x="3602"/>
        <item h="1" m="1" x="880"/>
        <item h="1" m="1" x="2428"/>
        <item h="1" m="1" x="1946"/>
        <item h="1" m="1" x="756"/>
        <item h="1" m="1" x="879"/>
        <item h="1" m="1" x="2208"/>
        <item h="1" m="1" x="4303"/>
        <item h="1" m="1" x="2606"/>
        <item h="1" m="1" x="1003"/>
        <item h="1" m="1" x="3681"/>
        <item h="1" m="1" x="4671"/>
        <item h="1" m="1" x="1478"/>
        <item h="1" m="1" x="1632"/>
        <item h="1" m="1" x="3948"/>
        <item h="1" m="1" x="2604"/>
        <item h="1" m="1" x="2762"/>
        <item h="1" m="1" x="707"/>
        <item h="1" m="1" x="3318"/>
        <item h="1" m="1" x="719"/>
        <item h="1" m="1" x="2512"/>
        <item h="1" m="1" x="2870"/>
        <item h="1" m="1" x="689"/>
        <item h="1" m="1" x="1274"/>
        <item h="1" m="1" x="848"/>
        <item h="1" m="1" x="1525"/>
        <item h="1" m="1" x="1495"/>
        <item h="1" m="1" x="3136"/>
        <item h="1" m="1" x="1185"/>
        <item h="1" m="1" x="4076"/>
        <item h="1" m="1" x="2879"/>
        <item h="1" m="1" x="2787"/>
        <item h="1" m="1" x="313"/>
        <item h="1" m="1" x="1786"/>
        <item h="1" m="1" x="4720"/>
        <item h="1" m="1" x="1905"/>
        <item h="1" m="1" x="3937"/>
        <item h="1" m="1" x="2998"/>
        <item h="1" m="1" x="3921"/>
        <item h="1" m="1" x="2940"/>
        <item h="1" m="1" x="2580"/>
        <item h="1" m="1" x="204"/>
        <item h="1" m="1" x="3760"/>
        <item h="1" m="1" x="1531"/>
        <item h="1" m="1" x="4637"/>
        <item h="1" m="1" x="1590"/>
        <item h="1" m="1" x="1032"/>
        <item h="1" m="1" x="3907"/>
        <item h="1" m="1" x="325"/>
        <item h="1" m="1" x="2833"/>
        <item h="1" m="1" x="4534"/>
        <item h="1" m="1" x="2391"/>
        <item h="1" m="1" x="2566"/>
        <item h="1" m="1" x="2959"/>
        <item h="1" m="1" x="794"/>
        <item h="1" m="1" x="4580"/>
        <item h="1" m="1" x="4739"/>
        <item m="1" x="4764"/>
        <item h="1" m="1" x="1199"/>
        <item h="1" m="1" x="3346"/>
        <item h="1" m="1" x="3426"/>
        <item h="1" m="1" x="715"/>
        <item h="1" m="1" x="247"/>
        <item h="1" m="1" x="1801"/>
        <item h="1" m="1" x="2640"/>
        <item h="1" m="1" x="255"/>
        <item h="1" m="1" x="2435"/>
        <item h="1" m="1" x="836"/>
        <item h="1" m="1" x="1131"/>
        <item h="1" m="1" x="1648"/>
        <item h="1" m="1" x="4192"/>
        <item h="1" m="1" x="3572"/>
        <item h="1" m="1" x="2114"/>
        <item h="1" m="1" x="3615"/>
        <item h="1" m="1" x="2808"/>
        <item h="1" m="1" x="3313"/>
        <item h="1" m="1" x="2729"/>
        <item h="1" m="1" x="3618"/>
        <item h="1" m="1" x="4103"/>
        <item h="1" m="1" x="3072"/>
        <item h="1" m="1" x="3880"/>
        <item h="1" m="1" x="2212"/>
        <item h="1" m="1" x="3744"/>
        <item h="1" m="1" x="974"/>
        <item h="1" m="1" x="1510"/>
        <item h="1" m="1" x="4332"/>
        <item h="1" m="1" x="4781"/>
        <item h="1" m="1" x="4687"/>
        <item h="1" m="1" x="3508"/>
        <item h="1" m="1" x="104"/>
        <item h="1" m="1" x="2434"/>
        <item h="1" m="1" x="2138"/>
        <item h="1" m="1" x="2082"/>
        <item h="1" m="1" x="1412"/>
        <item h="1" m="1" x="987"/>
        <item h="1" m="1" x="3802"/>
        <item h="1" m="1" x="3968"/>
        <item h="1" m="1" x="4300"/>
        <item h="1" m="1" x="2442"/>
        <item h="1" m="1" x="2413"/>
        <item h="1" m="1" x="1975"/>
        <item h="1" m="1" x="1649"/>
        <item h="1" m="1" x="4241"/>
        <item h="1" m="1" x="2160"/>
        <item h="1" m="1" x="3157"/>
        <item h="1" m="1" x="3536"/>
        <item h="1" m="1" x="2273"/>
        <item h="1" m="1" x="1707"/>
        <item h="1" m="1" x="2023"/>
        <item h="1" m="1" x="1059"/>
        <item h="1" m="1" x="2817"/>
        <item h="1" m="1" x="3871"/>
        <item h="1" m="1" x="1703"/>
        <item h="1" m="1" x="4197"/>
        <item h="1" m="1" x="3979"/>
        <item h="1" m="1" x="2569"/>
        <item h="1" m="1" x="4486"/>
        <item h="1" m="1" x="1739"/>
        <item h="1" m="1" x="4369"/>
        <item h="1" m="1" x="3303"/>
        <item h="1" m="1" x="1049"/>
        <item m="1" x="4163"/>
        <item h="1" m="1" x="3874"/>
        <item h="1" m="1" x="481"/>
        <item h="1" m="1" x="2766"/>
        <item h="1" m="1" x="4900"/>
        <item h="1" m="1" x="2975"/>
        <item h="1" m="1" x="30"/>
        <item h="1" m="1" x="353"/>
        <item h="1" m="1" x="538"/>
        <item h="1" m="1" x="4119"/>
        <item h="1" m="1" x="2024"/>
        <item h="1" m="1" x="2502"/>
        <item h="1" m="1" x="4146"/>
        <item h="1" m="1" x="4682"/>
        <item h="1" m="1" x="3183"/>
        <item h="1" m="1" x="1008"/>
        <item h="1" m="1" x="2457"/>
        <item h="1" m="1" x="3824"/>
        <item h="1" m="1" x="3617"/>
        <item h="1" m="1" x="1033"/>
        <item h="1" m="1" x="4091"/>
        <item h="1" m="1" x="668"/>
        <item h="1" m="1" x="2740"/>
        <item h="1" m="1" x="2009"/>
        <item h="1" m="1" x="27"/>
        <item h="1" m="1" x="2187"/>
        <item h="1" m="1" x="4570"/>
        <item h="1" m="1" x="2167"/>
        <item h="1" m="1" x="4393"/>
        <item h="1" m="1" x="4860"/>
        <item h="1" m="1" x="99"/>
        <item h="1" m="1" x="2086"/>
        <item h="1" m="1" x="1129"/>
        <item h="1" m="1" x="4828"/>
        <item h="1" m="1" x="3598"/>
        <item h="1" m="1" x="1109"/>
        <item h="1" m="1" x="393"/>
        <item h="1" m="1" x="3180"/>
        <item h="1" m="1" x="4571"/>
        <item h="1" m="1" x="4220"/>
        <item h="1" m="1" x="15"/>
        <item h="1" m="1" x="2119"/>
        <item h="1" m="1" x="1306"/>
        <item h="1" m="1" x="4323"/>
        <item h="1" m="1" x="4039"/>
        <item h="1" m="1" x="2605"/>
        <item h="1" m="1" x="467"/>
        <item h="1" m="1" x="2474"/>
        <item h="1" m="1" x="1287"/>
        <item h="1" m="1" x="4088"/>
        <item h="1" m="1" x="1920"/>
        <item h="1" m="1" x="1616"/>
        <item h="1" m="1" x="2628"/>
        <item h="1" m="1" x="250"/>
        <item h="1" m="1" x="2076"/>
        <item h="1" m="1" x="1228"/>
        <item h="1" m="1" x="1863"/>
        <item h="1" m="1" x="125"/>
        <item h="1" m="1" x="4525"/>
        <item h="1" m="1" x="3071"/>
        <item h="1" m="1" x="429"/>
        <item h="1" m="1" x="615"/>
        <item h="1" m="1" x="241"/>
        <item h="1" m="1" x="2755"/>
        <item h="1" m="1" x="4154"/>
        <item h="1" m="1" x="2521"/>
        <item h="1" m="1" x="3165"/>
        <item h="1" m="1" x="233"/>
        <item h="1" m="1" x="1273"/>
        <item h="1" m="1" x="2514"/>
        <item h="1" m="1" x="4889"/>
        <item h="1" m="1" x="891"/>
        <item h="1" m="1" x="423"/>
        <item h="1" m="1" x="3720"/>
        <item h="1" m="1" x="2255"/>
        <item h="1" m="1" x="1744"/>
        <item h="1" m="1" x="3123"/>
        <item m="1" x="4448"/>
        <item h="1" m="1" x="3398"/>
        <item h="1" m="1" x="3057"/>
        <item h="1" m="1" x="354"/>
        <item h="1" m="1" x="2368"/>
        <item h="1" m="1" x="2520"/>
        <item h="1" m="1" x="2001"/>
        <item h="1" m="1" x="4212"/>
        <item h="1" m="1" x="1050"/>
        <item h="1" m="1" x="4647"/>
        <item h="1" m="1" x="2983"/>
        <item h="1" m="1" x="4094"/>
        <item h="1" m="1" x="2591"/>
        <item h="1" m="1" x="611"/>
        <item h="1" m="1" x="1743"/>
        <item h="1" m="1" x="4086"/>
        <item h="1" m="1" x="607"/>
        <item h="1" m="1" x="1778"/>
        <item h="1" m="1" x="2449"/>
        <item h="1" m="1" x="1013"/>
        <item h="1" m="1" x="1230"/>
        <item h="1" m="1" x="712"/>
        <item h="1" m="1" x="2505"/>
        <item h="1" m="1" x="279"/>
        <item h="1" m="1" x="3505"/>
        <item h="1" m="1" x="4166"/>
        <item h="1" m="1" x="1211"/>
        <item h="1" m="1" x="3696"/>
        <item h="1" m="1" x="2443"/>
        <item h="1" m="1" x="2638"/>
        <item h="1" m="1" x="3316"/>
        <item h="1" m="1" x="2241"/>
        <item h="1" m="1" x="3582"/>
        <item h="1" m="1" x="3297"/>
        <item h="1" m="1" x="3666"/>
        <item h="1" m="1" x="1342"/>
        <item h="1" m="1" x="3878"/>
        <item h="1" m="1" x="1886"/>
        <item h="1" m="1" x="3557"/>
        <item h="1" m="1" x="3898"/>
        <item h="1" m="1" x="301"/>
        <item h="1" m="1" x="1364"/>
        <item h="1" m="1" x="653"/>
        <item h="1" m="1" x="3771"/>
        <item h="1" m="1" x="1044"/>
        <item h="1" m="1" x="4309"/>
        <item h="1" m="1" x="3876"/>
        <item h="1" m="1" x="114"/>
        <item h="1" m="1" x="945"/>
        <item h="1" m="1" x="3553"/>
        <item h="1" m="1" x="954"/>
        <item h="1" m="1" x="4014"/>
        <item h="1" m="1" x="4835"/>
        <item h="1" m="1" x="994"/>
        <item h="1" m="1" x="1499"/>
        <item h="1" m="1" x="3372"/>
        <item h="1" m="1" x="3962"/>
        <item h="1" m="1" x="2541"/>
        <item h="1" m="1" x="818"/>
        <item h="1" m="1" x="795"/>
        <item h="1" m="1" x="172"/>
        <item h="1" m="1" x="1100"/>
        <item h="1" m="1" x="1768"/>
        <item h="1" m="1" x="28"/>
        <item h="1" m="1" x="2749"/>
        <item h="1" m="1" x="3413"/>
        <item h="1" m="1" x="40"/>
        <item h="1" m="1" x="196"/>
        <item h="1" m="1" x="4310"/>
        <item h="1" m="1" x="392"/>
        <item h="1" m="1" x="2995"/>
        <item h="1" m="1" x="4207"/>
        <item h="1" m="1" x="1693"/>
        <item h="1" m="1" x="1422"/>
        <item h="1" m="1" x="4144"/>
        <item h="1" m="1" x="4876"/>
        <item h="1" m="1" x="1867"/>
        <item h="1" m="1" x="3816"/>
        <item m="1" x="725"/>
        <item h="1" m="1" x="160"/>
        <item h="1" m="1" x="1595"/>
        <item h="1" m="1" x="3459"/>
        <item h="1" m="1" x="2292"/>
        <item h="1" m="1" x="1984"/>
        <item h="1" m="1" x="3469"/>
        <item h="1" m="1" x="2196"/>
        <item h="1" m="1" x="4191"/>
        <item h="1" m="1" x="3805"/>
        <item h="1" m="1" x="3221"/>
        <item h="1" m="1" x="1151"/>
        <item h="1" m="1" x="3176"/>
        <item h="1" m="1" x="2513"/>
        <item h="1" m="1" x="2424"/>
        <item h="1" m="1" x="4896"/>
        <item h="1" m="1" x="4343"/>
        <item h="1" m="1" x="4852"/>
        <item h="1" m="1" x="85"/>
        <item h="1" m="1" x="1171"/>
        <item h="1" m="1" x="1914"/>
        <item h="1" m="1" x="4515"/>
        <item h="1" m="1" x="1520"/>
        <item h="1" m="1" x="246"/>
        <item h="1" m="1" x="3959"/>
        <item h="1" m="1" x="1196"/>
        <item h="1" m="1" x="3524"/>
        <item h="1" m="1" x="3389"/>
        <item h="1" m="1" x="4877"/>
        <item h="1" m="1" x="3831"/>
        <item h="1" m="1" x="2748"/>
        <item h="1" m="1" x="1195"/>
        <item h="1" m="1" x="4165"/>
        <item h="1" m="1" x="1081"/>
        <item h="1" m="1" x="1552"/>
        <item h="1" m="1" x="3986"/>
        <item h="1" m="1" x="2754"/>
        <item h="1" m="1" x="1517"/>
        <item h="1" m="1" x="346"/>
        <item h="1" m="1" x="1309"/>
        <item h="1" m="1" x="4694"/>
        <item h="1" m="1" x="2929"/>
        <item h="1" m="1" x="1753"/>
        <item h="1" m="1" x="4399"/>
        <item h="1" m="1" x="3358"/>
        <item h="1" m="1" x="1961"/>
        <item h="1" m="1" x="3714"/>
        <item h="1" m="1" x="3501"/>
        <item h="1" m="1" x="4513"/>
        <item h="1" m="1" x="3063"/>
        <item h="1" m="1" x="4791"/>
        <item h="1" m="1" x="3096"/>
        <item h="1" m="1" x="3486"/>
        <item h="1" m="1" x="1188"/>
        <item h="1" m="1" x="2496"/>
        <item h="1" m="1" x="4767"/>
        <item h="1" m="1" x="552"/>
        <item h="1" m="1" x="2288"/>
        <item h="1" m="1" x="2906"/>
        <item h="1" m="1" x="546"/>
        <item h="1" m="1" x="4012"/>
        <item h="1" m="1" x="1000"/>
        <item h="1" m="1" x="3963"/>
        <item h="1" m="1" x="3345"/>
        <item h="1" m="1" x="1897"/>
        <item h="1" m="1" x="4866"/>
        <item h="1" m="1" x="819"/>
        <item h="1" m="1" x="3724"/>
        <item h="1" m="1" x="3120"/>
        <item h="1" m="1" x="2614"/>
        <item h="1" m="1" x="2736"/>
        <item h="1" m="1" x="4675"/>
        <item h="1" m="1" x="647"/>
        <item h="1" m="1" x="376"/>
        <item h="1" m="1" x="2896"/>
        <item h="1" m="1" x="3765"/>
        <item h="1" m="1" x="1057"/>
        <item h="1" m="1" x="939"/>
        <item h="1" m="1" x="3186"/>
        <item h="1" m="1" x="1521"/>
        <item h="1" m="1" x="2932"/>
        <item h="1" m="1" x="1460"/>
        <item h="1" m="1" x="2225"/>
        <item h="1" m="1" x="2302"/>
        <item h="1" m="1" x="3406"/>
        <item h="1" m="1" x="4730"/>
        <item h="1" m="1" x="2738"/>
        <item h="1" m="1" x="2687"/>
        <item h="1" m="1" x="1443"/>
        <item h="1" m="1" x="4004"/>
        <item h="1" m="1" x="1752"/>
        <item h="1" m="1" x="4065"/>
        <item h="1" m="1" x="2079"/>
        <item h="1" m="1" x="3439"/>
        <item h="1" m="1" x="1728"/>
        <item h="1" m="1" x="2545"/>
        <item h="1" m="1" x="4493"/>
        <item h="1" m="1" x="1659"/>
        <item h="1" m="1" x="2230"/>
        <item h="1" m="1" x="202"/>
        <item h="1" m="1" x="2081"/>
        <item h="1" m="1" x="1967"/>
        <item h="1" m="1" x="2739"/>
        <item h="1" m="1" x="1055"/>
        <item h="1" m="1" x="2922"/>
        <item h="1" m="1" x="4564"/>
        <item h="1" m="1" x="898"/>
        <item h="1" m="1" x="3601"/>
        <item h="1" m="1" x="2601"/>
        <item h="1" m="1" x="1923"/>
        <item h="1" m="1" x="2843"/>
        <item h="1" m="1" x="1869"/>
        <item h="1" m="1" x="2595"/>
        <item h="1" m="1" x="1646"/>
        <item h="1" m="1" x="2725"/>
        <item h="1" m="1" x="1978"/>
        <item h="1" m="1" x="3721"/>
        <item h="1" m="1" x="1178"/>
        <item h="1" m="1" x="2795"/>
        <item h="1" m="1" x="4522"/>
        <item h="1" m="1" x="2450"/>
        <item h="1" m="1" x="678"/>
        <item h="1" m="1" x="2453"/>
        <item h="1" m="1" x="2483"/>
        <item h="1" m="1" x="4679"/>
        <item h="1" m="1" x="359"/>
        <item h="1" m="1" x="381"/>
        <item h="1" m="1" x="669"/>
        <item h="1" m="1" x="4135"/>
        <item h="1" m="1" x="2708"/>
        <item h="1" m="1" x="2479"/>
        <item h="1" m="1" x="4701"/>
        <item h="1" m="1" x="1727"/>
        <item h="1" m="1" x="3725"/>
        <item h="1" m="1" x="447"/>
        <item h="1" m="1" x="3052"/>
        <item h="1" m="1" x="21"/>
        <item h="1" m="1" x="3712"/>
        <item h="1" m="1" x="2399"/>
        <item h="1" m="1" x="3939"/>
        <item h="1" m="1" x="4712"/>
        <item h="1" m="1" x="1735"/>
        <item h="1" m="1" x="3404"/>
        <item h="1" m="1" x="3886"/>
        <item h="1" m="1" x="4311"/>
        <item h="1" m="1" x="702"/>
        <item h="1" m="1" x="3201"/>
        <item h="1" m="1" x="2735"/>
        <item h="1" m="1" x="4015"/>
        <item h="1" m="1" x="4126"/>
        <item h="1" m="1" x="4790"/>
        <item h="1" m="1" x="2984"/>
        <item h="1" m="1" x="2285"/>
        <item h="1" m="1" x="2917"/>
        <item h="1" m="1" x="2455"/>
        <item h="1" m="1" x="721"/>
        <item h="1" m="1" x="2290"/>
        <item h="1" m="1" x="3549"/>
        <item h="1" m="1" x="4749"/>
        <item h="1" m="1" x="4205"/>
        <item h="1" m="1" x="4553"/>
        <item h="1" m="1" x="1547"/>
        <item h="1" m="1" x="3668"/>
        <item h="1" m="1" x="2177"/>
        <item h="1" m="1" x="4474"/>
        <item h="1" m="1" x="3416"/>
        <item h="1" m="1" x="3314"/>
        <item h="1" m="1" x="2210"/>
        <item h="1" m="1" x="2657"/>
        <item h="1" m="1" x="4232"/>
        <item m="1" x="3477"/>
        <item h="1" m="1" x="4504"/>
        <item h="1" m="1" x="2168"/>
        <item h="1" m="1" x="2504"/>
        <item h="1" m="1" x="48"/>
        <item h="1" m="1" x="2646"/>
        <item h="1" m="1" x="3697"/>
        <item h="1" m="1" x="2475"/>
        <item h="1" m="1" x="430"/>
        <item h="1" m="1" x="4663"/>
        <item h="1" m="1" x="2249"/>
        <item h="1" m="1" x="3594"/>
        <item h="1" m="1" x="3291"/>
        <item h="1" m="1" x="2665"/>
        <item h="1" m="1" x="244"/>
        <item h="1" m="1" x="2593"/>
        <item h="1" m="1" x="3651"/>
        <item h="1" m="1" x="3409"/>
        <item h="1" m="1" x="1857"/>
        <item h="1" m="1" x="1395"/>
        <item h="1" m="1" x="2013"/>
        <item h="1" m="1" x="2300"/>
        <item h="1" m="1" x="2275"/>
        <item h="1" m="1" x="2658"/>
        <item h="1" m="1" x="935"/>
        <item h="1" m="1" x="2159"/>
        <item h="1" m="1" x="2046"/>
        <item h="1" m="1" x="3648"/>
        <item h="1" m="1" x="813"/>
        <item h="1" m="1" x="3803"/>
        <item h="1" m="1" x="1691"/>
        <item h="1" m="1" x="2000"/>
        <item h="1" m="1" x="3231"/>
        <item h="1" m="1" x="35"/>
        <item h="1" m="1" x="3639"/>
        <item h="1" m="1" x="3330"/>
        <item h="1" m="1" x="3496"/>
        <item h="1" m="1" x="567"/>
        <item h="1" m="1" x="2063"/>
        <item h="1" m="1" x="1925"/>
        <item h="1" m="1" x="2152"/>
        <item h="1" m="1" x="3782"/>
        <item h="1" m="1" x="245"/>
        <item h="1" m="1" x="4442"/>
        <item h="1" m="1" x="1218"/>
        <item h="1" m="1" x="1970"/>
        <item h="1" m="1" x="3994"/>
        <item h="1" m="1" x="4918"/>
        <item h="1" m="1" x="1298"/>
        <item h="1" m="1" x="1310"/>
        <item h="1" m="1" x="1361"/>
        <item h="1" m="1" x="3070"/>
        <item h="1" m="1" x="3842"/>
        <item h="1" m="1" x="811"/>
        <item h="1" m="1" x="332"/>
        <item h="1" m="1" x="2113"/>
        <item h="1" m="1" x="3823"/>
        <item h="1" m="1" x="3125"/>
        <item h="1" m="1" x="1536"/>
        <item h="1" m="1" x="1073"/>
        <item h="1" m="1" x="1721"/>
        <item h="1" m="1" x="3289"/>
        <item h="1" m="1" x="197"/>
        <item h="1" m="1" x="4502"/>
        <item h="1" m="1" x="787"/>
        <item h="1" m="1" x="2357"/>
        <item h="1" m="1" x="4744"/>
        <item h="1" m="1" x="1183"/>
        <item h="1" m="1" x="4320"/>
        <item h="1" m="1" x="2518"/>
        <item h="1" m="1" x="3044"/>
        <item h="1" m="1" x="4483"/>
        <item h="1" m="1" x="2165"/>
        <item h="1" m="1" x="513"/>
        <item h="1" m="1" x="4803"/>
        <item h="1" m="1" x="1180"/>
        <item h="1" m="1" x="549"/>
        <item h="1" m="1" x="4533"/>
        <item h="1" m="1" x="1459"/>
        <item h="1" m="1" x="2370"/>
        <item h="1" m="1" x="4569"/>
        <item h="1" m="1" x="4444"/>
        <item h="1" m="1" x="3996"/>
        <item h="1" m="1" x="339"/>
        <item h="1" m="1" x="8"/>
        <item h="1" m="1" x="149"/>
        <item h="1" m="1" x="459"/>
        <item h="1" m="1" x="2410"/>
        <item h="1" m="1" x="2503"/>
        <item h="1" m="1" x="3689"/>
        <item h="1" m="1" x="4725"/>
        <item h="1" m="1" x="3699"/>
        <item h="1" m="1" x="1664"/>
        <item h="1" m="1" x="1604"/>
        <item h="1" m="1" x="3403"/>
        <item h="1" m="1" x="209"/>
        <item h="1" m="1" x="4409"/>
        <item h="1" m="1" x="2999"/>
        <item h="1" m="1" x="3920"/>
        <item h="1" m="1" x="3612"/>
        <item h="1" m="1" x="2297"/>
        <item h="1" m="1" x="198"/>
        <item h="1" m="1" x="2511"/>
        <item h="1" m="1" x="3480"/>
        <item h="1" m="1" x="4706"/>
        <item h="1" m="1" x="4796"/>
        <item h="1" m="1" x="1942"/>
        <item h="1" m="1" x="4184"/>
        <item h="1" m="1" x="2077"/>
        <item h="1" m="1" x="2907"/>
        <item h="1" m="1" x="1718"/>
        <item h="1" m="1" x="3188"/>
        <item h="1" m="1" x="4762"/>
        <item h="1" m="1" x="3914"/>
        <item h="1" m="1" x="2070"/>
        <item h="1" m="1" x="4098"/>
        <item h="1" m="1" x="554"/>
        <item h="1" m="1" x="1918"/>
        <item h="1" m="1" x="384"/>
        <item h="1" m="1" x="1922"/>
        <item h="1" m="1" x="4017"/>
        <item h="1" m="1" x="2874"/>
        <item h="1" m="1" x="1375"/>
        <item h="1" m="1" x="4113"/>
        <item h="1" m="1" x="4282"/>
        <item h="1" m="1" x="2155"/>
        <item h="1" m="1" x="1780"/>
        <item h="1" m="1" x="4394"/>
        <item h="1" m="1" x="2844"/>
        <item h="1" m="1" x="3766"/>
        <item h="1" m="1" x="158"/>
        <item h="1" m="1" x="2005"/>
        <item h="1" m="1" x="3774"/>
        <item h="1" m="1" x="4382"/>
        <item h="1" m="1" x="587"/>
        <item h="1" m="1" x="270"/>
        <item h="1" m="1" x="3319"/>
        <item h="1" m="1" x="948"/>
        <item h="1" m="1" x="764"/>
        <item h="1" m="1" x="4613"/>
        <item h="1" m="1" x="1620"/>
        <item h="1" m="1" x="1386"/>
        <item h="1" m="1" x="1836"/>
        <item h="1" m="1" x="973"/>
        <item h="1" m="1" x="4028"/>
        <item h="1" m="1" x="2349"/>
        <item h="1" m="1" x="1708"/>
        <item h="1" m="1" x="3189"/>
        <item h="1" m="1" x="2088"/>
        <item h="1" m="1" x="928"/>
        <item h="1" m="1" x="1388"/>
        <item h="1" m="1" x="3613"/>
        <item h="1" m="1" x="2673"/>
        <item h="1" m="1" x="3951"/>
        <item h="1" m="1" x="750"/>
        <item h="1" m="1" x="4554"/>
        <item h="1" m="1" x="3250"/>
        <item h="1" m="1" x="557"/>
        <item h="1" m="1" x="1324"/>
        <item h="1" m="1" x="2069"/>
        <item h="1" m="1" x="2459"/>
        <item h="1" m="1" x="3100"/>
        <item h="1" m="1" x="1302"/>
        <item h="1" m="1" x="148"/>
        <item h="1" m="1" x="3755"/>
        <item h="1" m="1" x="3538"/>
        <item h="1" m="1" x="4424"/>
        <item h="1" m="1" x="1771"/>
        <item h="1" m="1" x="3253"/>
        <item h="1" m="1" x="405"/>
        <item h="1" m="1" x="1316"/>
        <item h="1" m="1" x="73"/>
        <item h="1" m="1" x="1037"/>
        <item h="1" m="1" x="4527"/>
        <item h="1" m="1" x="38"/>
        <item h="1" m="1" x="2832"/>
        <item h="1" m="1" x="3918"/>
        <item h="1" m="1" x="1425"/>
        <item h="1" m="1" x="4729"/>
        <item h="1" m="1" x="2380"/>
        <item h="1" m="1" x="4618"/>
        <item h="1" m="1" x="914"/>
        <item h="1" m="1" x="1977"/>
        <item h="1" m="1" x="3820"/>
        <item h="1" m="1" x="3566"/>
        <item h="1" m="1" x="1865"/>
        <item h="1" m="1" x="975"/>
        <item h="1" m="1" x="1960"/>
        <item h="1" m="1" x="3756"/>
        <item h="1" m="1" x="584"/>
        <item h="1" m="1" x="3069"/>
        <item h="1" m="1" x="4510"/>
        <item h="1" m="1" x="4887"/>
        <item h="1" m="1" x="4498"/>
        <item h="1" m="1" x="3128"/>
        <item h="1" m="1" x="1479"/>
        <item h="1" m="1" x="2028"/>
        <item h="1" m="1" x="4106"/>
        <item h="1" m="1" x="3746"/>
        <item h="1" m="1" x="677"/>
        <item h="1" m="1" x="2468"/>
        <item h="1" m="1" x="2139"/>
        <item h="1" m="1" x="2178"/>
        <item h="1" m="1" x="569"/>
        <item h="1" m="1" x="3946"/>
        <item h="1" m="1" x="4810"/>
        <item h="1" m="1" x="1853"/>
        <item h="1" m="1" x="2899"/>
        <item h="1" m="1" x="943"/>
        <item h="1" m="1" x="2519"/>
        <item h="1" m="1" x="1651"/>
        <item h="1" m="1" x="3030"/>
        <item h="1" m="1" x="2246"/>
        <item h="1" m="1" x="2578"/>
        <item h="1" m="1" x="3350"/>
        <item h="1" m="1" x="3894"/>
        <item h="1" m="1" x="3925"/>
        <item h="1" m="1" x="2871"/>
        <item h="1" m="1" x="561"/>
        <item h="1" m="1" x="3556"/>
        <item h="1" m="1" x="4465"/>
        <item h="1" m="1" x="3356"/>
        <item h="1" m="1" x="374"/>
        <item h="1" m="1" x="4046"/>
        <item h="1" m="1" x="2141"/>
        <item h="1" m="1" x="991"/>
        <item h="1" m="1" x="4124"/>
        <item h="1" m="1" x="688"/>
        <item h="1" m="1" x="2565"/>
        <item h="1" m="1" x="137"/>
        <item h="1" m="1" x="828"/>
        <item h="1" m="1" x="440"/>
        <item h="1" m="1" x="2528"/>
        <item h="1" m="1" x="3244"/>
        <item h="1" m="1" x="2324"/>
        <item h="1" m="1" x="4632"/>
        <item h="1" m="1" x="2796"/>
        <item m="1" x="816"/>
        <item h="1" m="1" x="3038"/>
        <item h="1" m="1" x="541"/>
        <item h="1" m="1" x="1122"/>
        <item h="1" m="1" x="1924"/>
        <item h="1" m="1" x="4859"/>
        <item h="1" m="1" x="965"/>
        <item h="1" m="1" x="900"/>
        <item h="1" m="1" x="1312"/>
        <item h="1" m="1" x="217"/>
        <item h="1" m="1" x="2588"/>
        <item h="1" m="1" x="4396"/>
        <item h="1" m="1" x="2458"/>
        <item h="1" m="1" x="3757"/>
        <item h="1" m="1" x="310"/>
        <item h="1" m="1" x="2774"/>
        <item h="1" m="1" x="1063"/>
        <item m="1" x="1207"/>
        <item h="1" m="1" x="4278"/>
        <item h="1" m="1" x="3114"/>
        <item h="1" m="1" x="705"/>
        <item h="1" m="1" x="3181"/>
        <item h="1" m="1" x="3815"/>
        <item h="1" m="1" x="124"/>
        <item h="1" m="1" x="565"/>
        <item h="1" m="1" x="2460"/>
        <item h="1" m="1" x="3438"/>
        <item h="1" m="1" x="4025"/>
        <item h="1" m="1" x="4599"/>
        <item h="1" m="1" x="842"/>
        <item h="1" m="1" x="1297"/>
        <item h="1" m="1" x="1080"/>
        <item h="1" m="1" x="1042"/>
        <item h="1" m="1" x="1115"/>
        <item h="1" m="1" x="1611"/>
        <item h="1" m="1" x="2347"/>
        <item h="1" m="1" x="765"/>
        <item h="1" m="1" x="2367"/>
        <item h="1" m="1" x="2842"/>
        <item h="1" m="1" x="2753"/>
        <item h="1" m="1" x="2964"/>
        <item h="1" m="1" x="3045"/>
        <item h="1" m="1" x="3168"/>
        <item h="1" m="1" x="1757"/>
        <item h="1" m="1" x="4773"/>
        <item h="1" m="1" x="4162"/>
        <item h="1" m="1" x="4254"/>
        <item h="1" m="1" x="746"/>
        <item h="1" m="1" x="3728"/>
        <item h="1" m="1" x="461"/>
        <item h="1" m="1" x="1027"/>
        <item h="1" m="1" x="3835"/>
        <item h="1" m="1" x="1556"/>
        <item h="1" m="1" x="236"/>
        <item h="1" m="1" x="3405"/>
        <item h="1" m="1" x="2478"/>
        <item h="1" m="1" x="2257"/>
        <item h="1" m="1" x="1475"/>
        <item h="1" m="1" x="1216"/>
        <item h="1" m="1" x="780"/>
        <item h="1" m="1" x="2083"/>
        <item h="1" m="1" x="52"/>
        <item h="1" m="1" x="2598"/>
        <item h="1" m="1" x="2343"/>
        <item h="1" m="1" x="675"/>
        <item h="1" m="1" x="2065"/>
        <item h="1" m="1" x="4805"/>
        <item h="1" m="1" x="1539"/>
        <item h="1" m="1" x="577"/>
        <item h="1" m="1" x="762"/>
        <item h="1" m="1" x="282"/>
        <item h="1" m="1" x="101"/>
        <item h="1" m="1" x="2120"/>
        <item h="1" m="1" x="1204"/>
        <item h="1" m="1" x="4290"/>
        <item h="1" m="1" x="4222"/>
        <item h="1" m="1" x="3788"/>
        <item h="1" m="1" x="4075"/>
        <item h="1" m="1" x="235"/>
        <item h="1" m="1" x="976"/>
        <item h="1" m="1" x="372"/>
        <item h="1" m="1" x="321"/>
        <item h="1" m="1" x="4789"/>
        <item h="1" m="1" x="1481"/>
        <item h="1" m="1" x="2827"/>
        <item h="1" m="1" x="530"/>
        <item h="1" m="1" x="343"/>
        <item h="1" m="1" x="1215"/>
        <item h="1" m="1" x="1192"/>
        <item h="1" m="1" x="658"/>
        <item h="1" m="1" x="2369"/>
        <item h="1" m="1" x="2342"/>
        <item h="1" m="1" x="2418"/>
        <item h="1" m="1" x="3543"/>
        <item h="1" m="1" x="3567"/>
        <item h="1" m="1" x="1417"/>
        <item h="1" m="1" x="1135"/>
        <item h="1" m="1" x="4437"/>
        <item h="1" m="1" x="168"/>
        <item h="1" m="1" x="3082"/>
        <item h="1" m="1" x="1843"/>
        <item h="1" m="1" x="4042"/>
        <item h="1" m="1" x="3105"/>
        <item h="1" m="1" x="564"/>
        <item h="1" m="1" x="50"/>
        <item h="1" m="1" x="2936"/>
        <item h="1" m="1" x="1463"/>
        <item h="1" m="1" x="1875"/>
        <item h="1" m="1" x="1603"/>
        <item h="1" m="1" x="4435"/>
        <item h="1" m="1" x="1987"/>
        <item h="1" m="1" x="3394"/>
        <item h="1" m="1" x="3066"/>
        <item h="1" m="1" x="2325"/>
        <item h="1" m="1" x="1403"/>
        <item h="1" m="1" x="2339"/>
        <item h="1" m="1" x="1666"/>
        <item h="1" m="1" x="4034"/>
        <item h="1" m="1" x="2462"/>
        <item h="1" m="1" x="4277"/>
        <item h="1" m="1" x="732"/>
        <item h="1" m="1" x="113"/>
        <item h="1" m="1" x="2173"/>
        <item h="1" m="1" x="1813"/>
        <item h="1" m="1" x="2849"/>
        <item h="1" m="1" x="10"/>
        <item h="1" m="1" x="1985"/>
        <item h="1" m="1" x="1737"/>
        <item h="1" m="1" x="2515"/>
        <item h="1" m="1" x="2248"/>
        <item h="1" m="1" x="3590"/>
        <item h="1" m="1" x="1548"/>
        <item h="1" m="1" x="3240"/>
        <item h="1" m="1" x="3675"/>
        <item h="1" m="1" x="1406"/>
        <item h="1" m="1" x="2204"/>
        <item h="1" m="1" x="3312"/>
        <item h="1" m="1" x="3625"/>
        <item h="1" m="1" x="2555"/>
        <item h="1" m="1" x="805"/>
        <item h="1" m="1" x="1284"/>
        <item h="1" m="1" x="3005"/>
        <item h="1" m="1" x="1908"/>
        <item h="1" m="1" x="4926"/>
        <item h="1" m="1" x="1952"/>
        <item h="1" m="1" x="2742"/>
        <item h="1" m="1" x="338"/>
        <item h="1" m="1" x="744"/>
        <item h="1" m="1" x="4330"/>
        <item h="1" m="1" x="4596"/>
        <item h="1" m="1" x="3280"/>
        <item h="1" m="1" x="871"/>
        <item h="1" m="1" x="1637"/>
        <item h="1" m="1" x="2741"/>
        <item h="1" m="1" x="4590"/>
        <item h="1" m="1" x="1097"/>
        <item h="1" m="1" x="2686"/>
        <item h="1" m="1" x="1941"/>
        <item h="1" m="1" x="2675"/>
        <item h="1" m="1" x="2626"/>
        <item h="1" m="1" x="4873"/>
        <item h="1" m="1" x="1024"/>
        <item h="1" m="1" x="2920"/>
        <item h="1" m="1" x="4722"/>
        <item h="1" m="1" x="3504"/>
        <item h="1" m="1" x="701"/>
        <item h="1" m="1" x="224"/>
        <item h="1" m="1" x="1741"/>
        <item h="1" m="1" x="4047"/>
        <item h="1" m="1" x="1472"/>
        <item h="1" m="1" x="3041"/>
        <item h="1" m="1" x="3118"/>
        <item h="1" m="1" x="2659"/>
        <item h="1" m="1" x="801"/>
        <item h="1" m="1" x="170"/>
        <item h="1" m="1" x="2925"/>
        <item h="1" m="1" x="1168"/>
        <item h="1" m="1" x="2330"/>
        <item h="1" m="1" x="1498"/>
        <item h="1" m="1" x="897"/>
        <item h="1" m="1" x="1596"/>
        <item h="1" m="1" x="651"/>
        <item h="1" m="1" x="3442"/>
        <item h="1" m="1" x="3738"/>
        <item h="1" m="1" x="4247"/>
        <item h="1" m="1" x="3942"/>
        <item h="1" m="1" x="2282"/>
        <item h="1" m="1" x="1542"/>
        <item h="1" m="1" x="703"/>
        <item h="1" m="1" x="2609"/>
        <item h="1" m="1" x="4026"/>
        <item h="1" m="1" x="4526"/>
        <item h="1" m="1" x="3432"/>
        <item h="1" m="1" x="3382"/>
        <item h="1" m="1" x="1537"/>
        <item h="1" m="1" x="2579"/>
        <item h="1" m="1" x="519"/>
        <item h="1" m="1" x="1084"/>
        <item h="1" m="1" x="1763"/>
        <item h="1" m="1" x="4432"/>
        <item h="1" m="1" x="1494"/>
        <item h="1" m="1" x="4839"/>
        <item h="1" m="1" x="4161"/>
        <item h="1" m="1" x="3691"/>
        <item h="1" m="1" x="3077"/>
        <item h="1" m="1" x="2350"/>
        <item h="1" m="1" x="3958"/>
        <item h="1" m="1" x="3352"/>
        <item h="1" m="1" x="128"/>
        <item h="1" m="1" x="733"/>
        <item h="1" m="1" x="4167"/>
        <item h="1" m="1" x="4862"/>
        <item h="1" m="1" x="4512"/>
        <item h="1" m="1" x="4925"/>
        <item h="1" m="1" x="1434"/>
        <item h="1" m="1" x="5"/>
        <item h="1" m="1" x="1796"/>
        <item h="1" m="1" x="4638"/>
        <item h="1" m="1" x="3987"/>
        <item h="1" m="1" x="692"/>
        <item h="1" m="1" x="3236"/>
        <item h="1" m="1" x="1805"/>
        <item h="1" m="1" x="3000"/>
        <item h="1" m="1" x="630"/>
        <item h="1" m="1" x="3369"/>
        <item h="1" m="1" x="3863"/>
        <item h="1" m="1" x="2395"/>
        <item h="1" m="1" x="4858"/>
        <item h="1" m="1" x="881"/>
        <item h="1" m="1" x="292"/>
        <item h="1" m="1" x="4142"/>
        <item h="1" m="1" x="4416"/>
        <item h="1" m="1" x="4802"/>
        <item h="1" m="1" x="336"/>
        <item h="1" m="1" x="1849"/>
        <item h="1" m="1" x="856"/>
        <item h="1" m="1" x="1627"/>
        <item h="1" m="1" x="3392"/>
        <item h="1" m="1" x="1557"/>
        <item h="1" m="1" x="899"/>
        <item h="1" m="1" x="2397"/>
        <item h="1" m="1" x="2232"/>
        <item h="1" m="1" x="4202"/>
        <item h="1" m="1" x="3587"/>
        <item h="1" m="1" x="2539"/>
        <item h="1" m="1" x="1107"/>
        <item h="1" m="1" x="4633"/>
        <item h="1" m="1" x="1181"/>
        <item h="1" m="1" x="2488"/>
        <item h="1" m="1" x="2365"/>
        <item h="1" m="1" x="3478"/>
        <item h="1" m="1" x="3550"/>
        <item h="1" m="1" x="3261"/>
        <item h="1" m="1" x="1048"/>
        <item h="1" m="1" x="4087"/>
        <item h="1" m="1" x="1839"/>
        <item h="1" m="1" x="3067"/>
        <item h="1" m="1" x="3306"/>
        <item h="1" m="1" x="2222"/>
        <item h="1" m="1" x="4136"/>
        <item h="1" m="1" x="921"/>
        <item h="1" m="1" x="1764"/>
        <item h="1" m="1" x="3171"/>
        <item h="1" m="1" x="773"/>
        <item h="1" m="1" x="2125"/>
        <item h="1" m="1" x="1313"/>
        <item h="1" m="1" x="3518"/>
        <item h="1" m="1" x="2412"/>
        <item h="1" m="1" x="1043"/>
        <item h="1" m="1" x="654"/>
        <item h="1" m="1" x="3829"/>
        <item h="1" m="1" x="4484"/>
        <item h="1" m="1" x="4230"/>
        <item h="1" m="1" x="397"/>
        <item h="1" m="1" x="1755"/>
        <item h="1" m="1" x="616"/>
        <item h="1" m="1" x="3885"/>
        <item h="1" m="1" x="971"/>
        <item h="1" m="1" x="2722"/>
        <item h="1" m="1" x="1436"/>
        <item h="1" m="1" x="3707"/>
        <item h="1" m="1" x="4856"/>
        <item h="1" m="1" x="4374"/>
        <item h="1" m="1" x="2756"/>
        <item h="1" m="1" x="2109"/>
        <item h="1" m="1" x="58"/>
        <item h="1" m="1" x="3649"/>
        <item h="1" m="1" x="326"/>
        <item h="1" m="1" x="934"/>
        <item h="1" m="1" x="2859"/>
        <item h="1" m="1" x="1713"/>
        <item h="1" m="1" x="2933"/>
        <item h="1" m="1" x="1221"/>
        <item h="1" m="1" x="4916"/>
        <item h="1" m="1" x="4090"/>
        <item h="1" m="1" x="562"/>
        <item h="1" m="1" x="1217"/>
        <item h="1" m="1" x="1464"/>
        <item h="1" m="1" x="3139"/>
        <item h="1" m="1" x="4829"/>
        <item h="1" m="1" x="2529"/>
        <item h="1" m="1" x="770"/>
        <item h="1" m="1" x="4285"/>
        <item h="1" m="1" x="4380"/>
        <item h="1" m="1" x="2226"/>
        <item h="1" m="1" x="1972"/>
        <item h="1" m="1" x="4405"/>
        <item h="1" m="1" x="294"/>
        <item h="1" m="1" x="1354"/>
        <item h="1" m="1" x="1689"/>
        <item h="1" m="1" x="2291"/>
        <item h="1" m="1" x="1398"/>
        <item h="1" m="1" x="257"/>
        <item h="1" m="1" x="1381"/>
        <item h="1" m="1" x="1142"/>
        <item h="1" m="1" x="2510"/>
        <item h="1" m="1" x="3772"/>
        <item h="1" m="1" x="527"/>
        <item h="1" m="1" x="2577"/>
        <item h="1" m="1" x="1538"/>
        <item h="1" m="1" x="498"/>
        <item h="1" m="1" x="673"/>
        <item h="1" m="1" x="4649"/>
        <item h="1" m="1" x="3735"/>
        <item h="1" m="1" x="4696"/>
        <item h="1" m="1" x="1371"/>
        <item h="1" m="1" x="1056"/>
        <item h="1" m="1" x="1745"/>
        <item h="1" m="1" x="3856"/>
        <item h="1" m="1" x="159"/>
        <item h="1" m="1" x="3971"/>
        <item h="1" m="1" x="2989"/>
        <item h="1" m="1" x="696"/>
        <item h="1" m="1" x="3150"/>
        <item h="1" m="1" x="3040"/>
        <item h="1" m="1" x="2779"/>
        <item h="1" m="1" x="694"/>
        <item h="1" m="1" x="759"/>
        <item h="1" m="1" x="1555"/>
        <item h="1" m="1" x="926"/>
        <item h="1" m="1" x="434"/>
        <item h="1" m="1" x="4718"/>
        <item h="1" m="1" x="896"/>
        <item h="1" m="1" x="726"/>
        <item h="1" m="1" x="1480"/>
        <item h="1" m="1" x="2447"/>
        <item h="1" m="1" x="837"/>
        <item h="1" m="1" x="1226"/>
        <item h="1" m="1" x="176"/>
        <item h="1" m="1" x="1490"/>
        <item h="1" m="1" x="132"/>
        <item h="1" m="1" x="2562"/>
        <item h="1" m="1" x="4351"/>
        <item h="1" m="1" x="1916"/>
        <item h="1" m="1" x="1004"/>
        <item h="1" m="1" x="1684"/>
        <item h="1" m="1" x="4770"/>
        <item h="1" m="1" x="3961"/>
        <item h="1" m="1" x="3832"/>
        <item h="1" m="1" x="4540"/>
        <item h="1" m="1" x="1430"/>
        <item h="1" m="1" x="4276"/>
        <item h="1" m="1" x="3417"/>
        <item h="1" m="1" x="3277"/>
        <item h="1" m="1" x="4174"/>
        <item h="1" m="1" x="67"/>
        <item h="1" m="1" x="1078"/>
        <item h="1" m="1" x="2243"/>
        <item h="1" m="1" x="1429"/>
        <item h="1" m="1" x="4912"/>
        <item h="1" m="1" x="4726"/>
        <item h="1" m="1" x="2951"/>
        <item h="1" m="1" x="3367"/>
        <item h="1" m="1" x="2340"/>
        <item h="1" m="1" x="1947"/>
        <item h="1" m="1" x="4274"/>
        <item h="1" m="1" x="2332"/>
        <item h="1" m="1" x="2096"/>
        <item h="1" m="1" x="2656"/>
        <item h="1" m="1" x="1747"/>
        <item h="1" m="1" x="2568"/>
        <item h="1" m="1" x="2439"/>
        <item h="1" m="1" x="3902"/>
        <item h="1" m="1" x="3304"/>
        <item h="1" m="1" x="1367"/>
        <item h="1" m="1" x="453"/>
        <item h="1" m="1" x="2810"/>
        <item h="1" m="1" x="2268"/>
        <item h="1" m="1" x="1726"/>
        <item h="1" m="1" x="1407"/>
        <item h="1" m="1" x="982"/>
        <item h="1" m="1" x="3335"/>
        <item h="1" m="1" x="3160"/>
        <item h="1" m="1" x="1482"/>
        <item h="1" m="1" x="1760"/>
        <item h="1" m="1" x="3451"/>
        <item h="1" m="1" x="1929"/>
        <item h="1" m="1" x="2801"/>
        <item h="1" m="1" x="2192"/>
        <item h="1" m="1" x="912"/>
        <item h="1" m="1" x="2955"/>
        <item h="1" m="1" x="996"/>
        <item h="1" m="1" x="1132"/>
        <item h="1" m="1" x="64"/>
        <item h="1" m="1" x="1149"/>
        <item h="1" m="1" x="3360"/>
        <item h="1" m="1" x="3953"/>
        <item h="1" m="1" x="129"/>
        <item h="1" m="1" x="7"/>
        <item h="1" m="1" x="1541"/>
        <item h="1" m="1" x="1862"/>
        <item h="1" m="1" x="2229"/>
        <item h="1" m="1" x="2693"/>
        <item h="1" m="1" x="115"/>
        <item h="1" m="1" x="120"/>
        <item h="1" m="1" x="628"/>
        <item h="1" m="1" x="2559"/>
        <item h="1" m="1" x="1740"/>
        <item h="1" m="1" x="2621"/>
        <item h="1" m="1" x="3545"/>
        <item h="1" m="1" x="1524"/>
        <item h="1" m="1" x="3458"/>
        <item h="1" m="1" x="2127"/>
        <item h="1" m="1" x="4519"/>
        <item h="1" m="1" x="1669"/>
        <item h="1" m="1" x="2629"/>
        <item h="1" m="1" x="4261"/>
        <item h="1" m="1" x="249"/>
        <item h="1" m="1" x="2600"/>
        <item h="1" m="1" x="1732"/>
        <item h="1" m="1" x="2674"/>
        <item h="1" m="1" x="4695"/>
        <item h="1" m="1" x="3584"/>
        <item h="1" m="1" x="2338"/>
        <item h="1" m="1" x="3638"/>
        <item h="1" m="1" x="468"/>
        <item h="1" m="1" x="2948"/>
        <item h="1" m="1" x="1934"/>
        <item h="1" m="1" x="3516"/>
        <item h="1" m="1" x="904"/>
        <item h="1" m="1" x="3325"/>
        <item h="1" m="1" x="4884"/>
        <item h="1" m="1" x="1639"/>
        <item h="1" m="1" x="2036"/>
        <item h="1" m="1" x="3850"/>
        <item h="1" m="1" x="1179"/>
        <item h="1" m="1" x="4808"/>
        <item h="1" m="1" x="3445"/>
        <item h="1" m="1" x="1140"/>
        <item h="1" m="1" x="3145"/>
        <item h="1" m="1" x="4708"/>
        <item h="1" m="1" x="51"/>
        <item h="1" m="1" x="665"/>
        <item h="1" m="1" x="152"/>
        <item h="1" m="1" x="389"/>
        <item h="1" m="1" x="997"/>
        <item h="1" m="1" x="4141"/>
        <item h="1" m="1" x="2556"/>
        <item h="1" m="1" x="4799"/>
        <item m="1" x="3380"/>
        <item h="1" m="1" x="318"/>
        <item h="1" m="1" x="1134"/>
        <item h="1" m="1" x="2798"/>
        <item h="1" m="1" x="1804"/>
        <item h="1" m="1" x="1724"/>
        <item h="1" m="1" x="2723"/>
        <item h="1" m="1" x="333"/>
        <item h="1" m="1" x="2254"/>
        <item h="1" m="1" x="3731"/>
        <item h="1" m="1" x="2552"/>
        <item h="1" m="1" x="2231"/>
        <item h="1" m="1" x="3018"/>
        <item h="1" m="1" x="4238"/>
        <item h="1" m="1" x="3286"/>
        <item h="1" m="1" x="4464"/>
        <item h="1" m="1" x="2660"/>
        <item h="1" m="1" x="1882"/>
        <item h="1" m="1" x="47"/>
        <item h="1" m="1" x="718"/>
        <item h="1" m="1" x="1336"/>
        <item h="1" m="1" x="2313"/>
        <item h="1" m="1" x="534"/>
        <item h="1" m="1" x="1248"/>
        <item h="1" m="1" x="3251"/>
        <item h="1" m="1" x="3646"/>
        <item h="1" m="1" x="3730"/>
        <item h="1" m="1" x="3461"/>
        <item h="1" m="1" x="1124"/>
        <item h="1" m="1" x="1116"/>
        <item m="1" x="1720"/>
        <item m="1" x="2211"/>
        <item m="1" x="1507"/>
        <item m="1" x="3881"/>
        <item m="1" x="3282"/>
        <item m="1" x="1379"/>
        <item m="1" x="3078"/>
        <item m="1" x="4226"/>
        <item m="1" x="2699"/>
        <item m="1" x="735"/>
        <item m="1" x="3036"/>
        <item h="1" m="1" x="3310"/>
        <item h="1" m="1" x="4231"/>
        <item h="1" m="1" x="1717"/>
        <item h="1" m="1" x="2361"/>
        <item h="1" m="1" x="2293"/>
        <item h="1" m="1" x="4339"/>
        <item h="1" m="1" x="2527"/>
        <item h="1" m="1" x="4152"/>
        <item h="1" m="1" x="1926"/>
        <item h="1" m="1" x="351"/>
        <item h="1" m="1" x="3949"/>
        <item h="1" m="1" x="2698"/>
        <item h="1" m="1" x="41"/>
        <item h="1" m="1" x="778"/>
        <item h="1" m="1" x="1910"/>
        <item h="1" m="1" x="680"/>
        <item h="1" m="1" x="1873"/>
        <item h="1" m="1" x="3807"/>
        <item h="1" m="1" x="1959"/>
        <item h="1" m="1" x="4077"/>
        <item h="1" m="1" x="1123"/>
        <item h="1" m="1" x="4361"/>
        <item h="1" m="1" x="416"/>
        <item h="1" m="1" x="1714"/>
        <item h="1" m="1" x="2267"/>
        <item h="1" m="1" x="2100"/>
        <item h="1" m="1" x="4008"/>
        <item h="1" m="1" x="1949"/>
        <item h="1" m="1" x="299"/>
        <item h="1" m="1" x="3624"/>
        <item h="1" m="1" x="3990"/>
        <item h="1" m="1" x="3901"/>
        <item h="1" m="1" x="2831"/>
        <item h="1" m="1" x="2433"/>
        <item h="1" m="1" x="1380"/>
        <item h="1" m="1" x="4507"/>
        <item h="1" m="1" x="4453"/>
        <item h="1" m="1" x="3610"/>
        <item h="1" m="1" x="3847"/>
        <item h="1" m="1" x="597"/>
        <item h="1" m="1" x="833"/>
        <item h="1" m="1" x="3010"/>
        <item h="1" m="1" x="815"/>
        <item h="1" m="1" x="771"/>
        <item h="1" m="1" x="4427"/>
        <item h="1" m="1" x="3674"/>
        <item h="1" m="1" x="3227"/>
        <item h="1" m="1" x="320"/>
        <item h="1" m="1" x="592"/>
        <item h="1" m="1" x="309"/>
        <item h="1" m="1" x="3583"/>
        <item h="1" m="1" x="952"/>
        <item h="1" m="1" x="4539"/>
        <item h="1" m="1" x="410"/>
        <item h="1" m="1" x="1915"/>
        <item h="1" m="1" x="1599"/>
        <item h="1" m="1" x="4598"/>
        <item h="1" m="1" x="3899"/>
        <item h="1" m="1" x="2258"/>
        <item h="1" m="1" x="1834"/>
        <item h="1" m="1" x="4352"/>
        <item h="1" m="1" x="4283"/>
        <item h="1" m="1" x="2584"/>
        <item h="1" m="1" x="3967"/>
        <item h="1" m="1" x="345"/>
        <item h="1" m="1" x="1110"/>
        <item h="1" m="1" x="4619"/>
        <item h="1" m="1" x="1242"/>
        <item h="1" m="1" x="2372"/>
        <item h="1" m="1" x="3888"/>
        <item h="1" m="1" x="4558"/>
        <item h="1" m="1" x="2709"/>
        <item h="1" m="1" x="3585"/>
        <item h="1" m="1" x="1"/>
        <item h="1" m="1" x="3035"/>
        <item h="1" m="1" x="3956"/>
        <item h="1" m="1" x="268"/>
        <item h="1" m="1" x="287"/>
        <item h="1" m="1" x="260"/>
        <item h="1" m="1" x="2535"/>
        <item h="1" m="1" x="588"/>
        <item h="1" m="1" x="357"/>
        <item h="1" m="1" x="4736"/>
        <item h="1" m="1" x="1106"/>
        <item h="1" m="1" x="4487"/>
        <item h="1" m="1" x="4847"/>
        <item h="1" m="1" x="2971"/>
        <item h="1" m="1" x="3364"/>
        <item h="1" m="1" x="786"/>
        <item h="1" m="1" x="4440"/>
        <item h="1" m="1" x="3934"/>
        <item h="1" m="1" x="2256"/>
        <item h="1" m="1" x="1887"/>
        <item h="1" m="1" x="4929"/>
        <item h="1" m="1" x="4415"/>
        <item h="1" m="1" x="80"/>
        <item h="1" m="1" x="452"/>
        <item h="1" m="1" x="2897"/>
        <item h="1" m="1" x="2809"/>
        <item h="1" m="1" x="713"/>
        <item h="1" m="1" x="3658"/>
        <item h="1" m="1" x="3879"/>
        <item h="1" m="1" x="1377"/>
        <item h="1" m="1" x="2954"/>
        <item h="1" m="1" x="877"/>
        <item h="1" m="1" x="3749"/>
        <item h="1" m="1" x="1070"/>
        <item h="1" m="1" x="1578"/>
        <item h="1" m="1" x="511"/>
        <item h="1" m="1" x="1781"/>
        <item h="1" m="1" x="581"/>
        <item h="1" m="1" x="4832"/>
        <item h="1" m="1" x="1546"/>
        <item h="1" m="1" x="1402"/>
        <item h="1" m="1" x="638"/>
        <item h="1" m="1" x="3682"/>
        <item h="1" m="1" x="1053"/>
        <item h="1" m="1" x="1504"/>
        <item h="1" m="1" x="272"/>
        <item h="1" m="1" x="3153"/>
        <item h="1" m="1" x="2244"/>
        <item h="1" m="1" x="1999"/>
        <item h="1" m="1" x="1758"/>
        <item h="1" m="1" x="4690"/>
        <item h="1" m="1" x="1303"/>
        <item h="1" m="1" x="1166"/>
        <item h="1" m="1" x="4169"/>
        <item h="1" m="1" x="466"/>
        <item h="1" m="1" x="1447"/>
        <item h="1" m="1" x="4426"/>
        <item h="1" m="1" x="3873"/>
        <item h="1" m="1" x="2497"/>
        <item h="1" m="1" x="3099"/>
        <item h="1" m="1" x="1782"/>
        <item h="1" m="1" x="1079"/>
        <item h="1" m="1" x="4101"/>
        <item h="1" m="1" x="4807"/>
        <item h="1" m="1" x="1945"/>
        <item h="1" m="1" x="3641"/>
        <item h="1" m="1" x="3795"/>
        <item h="1" m="1" x="1092"/>
        <item h="1" m="1" x="576"/>
        <item h="1" m="1" x="4897"/>
        <item h="1" m="1" x="2694"/>
        <item h="1" m="1" x="1513"/>
        <item h="1" m="1" x="1692"/>
        <item h="1" m="1" x="4383"/>
        <item h="1" m="1" x="4603"/>
        <item h="1" m="1" x="4246"/>
        <item h="1" m="1" x="1881"/>
        <item h="1" m="1" x="2863"/>
        <item h="1" m="1" x="3710"/>
        <item h="1" m="1" x="3054"/>
        <item h="1" m="1" x="3868"/>
        <item h="1" m="1" x="3483"/>
        <item h="1" m="1" x="3051"/>
        <item h="1" m="1" x="3212"/>
        <item h="1" m="1" x="2080"/>
        <item h="1" m="1" x="1845"/>
        <item h="1" m="1" x="3660"/>
        <item h="1" m="1" x="2287"/>
        <item h="1" m="1" x="1331"/>
        <item h="1" m="1" x="972"/>
        <item h="1" m="1" x="1986"/>
        <item h="1" m="1" x="570"/>
        <item h="1" m="1" x="26"/>
        <item h="1" m="1" x="3226"/>
        <item h="1" m="1" x="2223"/>
        <item h="1" m="1" x="2550"/>
        <item h="1" m="1" x="19"/>
        <item h="1" m="1" x="3090"/>
        <item h="1" m="1" x="2217"/>
        <item h="1" m="1" x="501"/>
        <item h="1" m="1" x="4058"/>
        <item h="1" m="1" x="2235"/>
        <item h="1" m="1" x="1518"/>
        <item h="1" m="1" x="4005"/>
        <item h="1" m="1" x="601"/>
        <item h="1" m="1" x="2997"/>
        <item h="1" m="1" x="4869"/>
        <item h="1" m="1" x="3076"/>
        <item h="1" m="1" x="2712"/>
        <item h="1" m="1" x="4650"/>
        <item h="1" m="1" x="4575"/>
        <item h="1" m="1" x="3865"/>
        <item h="1" m="1" x="4195"/>
        <item h="1" m="1" x="3944"/>
        <item h="1" m="1" x="1814"/>
        <item h="1" m="1" x="2523"/>
        <item h="1" m="1" x="2641"/>
        <item h="1" m="1" x="3866"/>
        <item h="1" m="1" x="289"/>
        <item h="1" m="1" x="1162"/>
        <item h="1" m="1" x="79"/>
        <item h="1" m="1" x="4389"/>
        <item h="1" m="1" x="2355"/>
        <item h="1" m="1" x="3391"/>
        <item h="1" m="1" x="1957"/>
        <item h="1" m="1" x="3073"/>
        <item h="1" m="1" x="1762"/>
        <item h="1" m="1" x="1159"/>
        <item h="1" m="1" x="4500"/>
        <item h="1" m="1" x="603"/>
        <item h="1" m="1" x="2495"/>
        <item h="1" m="1" x="730"/>
        <item h="1" m="1" x="768"/>
        <item h="1" m="1" x="3395"/>
        <item h="1" m="1" x="1319"/>
        <item h="1" m="1" x="1656"/>
        <item h="1" m="1" x="2786"/>
        <item h="1" m="1" x="1638"/>
        <item h="1" m="1" x="798"/>
        <item h="1" m="1" x="887"/>
        <item h="1" m="1" x="4173"/>
        <item h="1" m="1" x="184"/>
        <item h="1" m="1" x="3309"/>
        <item h="1" m="1" x="491"/>
        <item h="1" m="1" x="4906"/>
        <item h="1" m="1" x="4406"/>
        <item h="1" m="1" x="989"/>
        <item h="1" m="1" x="4208"/>
        <item h="1" m="1" x="1729"/>
        <item h="1" m="1" x="1187"/>
        <item h="1" m="1" x="4551"/>
        <item h="1" m="1" x="3826"/>
        <item h="1" m="1" x="4635"/>
        <item h="1" m="1" x="4462"/>
        <item h="1" m="1" x="1155"/>
        <item h="1" m="1" x="4567"/>
        <item h="1" m="1" x="1223"/>
        <item h="1" m="1" x="2636"/>
        <item h="1" m="1" x="4584"/>
        <item h="1" m="1" x="1103"/>
        <item h="1" m="1" x="4536"/>
        <item h="1" m="1" x="3857"/>
        <item h="1" m="1" x="963"/>
        <item h="1" m="1" x="2778"/>
        <item h="1" m="1" x="1118"/>
        <item h="1" m="1" x="1981"/>
        <item h="1" m="1" x="1010"/>
        <item h="1" m="1" x="4040"/>
        <item h="1" m="1" x="3966"/>
        <item h="1" m="1" x="3056"/>
        <item h="1" m="1" x="4395"/>
        <item h="1" m="1" x="2730"/>
        <item h="1" m="1" x="4475"/>
        <item h="1" m="1" x="1901"/>
        <item h="1" m="1" x="2237"/>
        <item h="1" m="1" x="478"/>
        <item h="1" m="1" x="3695"/>
        <item h="1" m="1" x="1141"/>
        <item h="1" m="1" x="4669"/>
        <item h="1" m="1" x="3471"/>
        <item h="1" m="1" x="2881"/>
        <item h="1" m="1" x="817"/>
        <item h="1" m="1" x="1832"/>
        <item h="1" m="1" x="1679"/>
        <item h="1" m="1" x="4623"/>
        <item h="1" m="1" x="188"/>
        <item h="1" m="1" x="2769"/>
        <item h="1" m="1" x="1245"/>
        <item h="1" m="1" x="3657"/>
        <item h="1" m="1" x="1330"/>
        <item h="1" m="1" x="1665"/>
        <item h="1" m="1" x="3843"/>
        <item h="1" m="1" x="2759"/>
        <item h="1" m="1" x="761"/>
        <item h="1" m="1" x="443"/>
        <item h="1" m="1" x="1583"/>
        <item h="1" m="1" x="3671"/>
        <item h="1" m="1" x="4388"/>
        <item h="1" m="1" x="642"/>
        <item h="1" m="1" x="4886"/>
        <item h="1" m="1" x="2938"/>
        <item h="1" m="1" x="3655"/>
        <item h="1" m="1" x="2286"/>
        <item h="1" m="1" x="1119"/>
        <item h="1" m="1" x="4266"/>
        <item h="1" m="1" x="840"/>
        <item h="1" m="1" x="3275"/>
        <item h="1" m="1" x="3088"/>
        <item h="1" m="1" x="3686"/>
        <item h="1" m="1" x="1697"/>
        <item h="1" m="1" x="4325"/>
        <item h="1" m="1" x="2018"/>
        <item h="1" m="1" x="3435"/>
        <item h="1" m="1" x="3727"/>
        <item h="1" m="1" x="1955"/>
        <item h="1" m="1" x="1527"/>
        <item h="1" m="1" x="3013"/>
        <item h="1" m="1" x="12"/>
        <item h="1" m="1" x="2387"/>
        <item h="1" m="1" x="231"/>
        <item h="1" m="1" x="4122"/>
        <item h="1" m="1" x="4188"/>
        <item h="1" m="1" x="777"/>
        <item h="1" m="1" x="1470"/>
        <item h="1" m="1" x="1965"/>
        <item h="1" m="1" x="1515"/>
        <item h="1" m="1" x="2776"/>
        <item h="1" m="1" x="1249"/>
        <item h="1" m="1" x="1695"/>
        <item h="1" m="1" x="3818"/>
        <item h="1" m="1" x="3121"/>
        <item h="1" m="1" x="3560"/>
        <item h="1" m="1" x="4709"/>
        <item h="1" m="1" x="766"/>
        <item h="1" m="1" x="1158"/>
        <item h="1" m="1" x="2908"/>
        <item h="1" m="1" x="3276"/>
        <item h="1" m="1" x="930"/>
        <item h="1" m="1" x="3295"/>
        <item h="1" m="1" x="2014"/>
        <item h="1" m="1" x="4509"/>
        <item h="1" m="1" x="1198"/>
        <item h="1" m="1" x="182"/>
        <item h="1" m="1" x="1046"/>
        <item h="1" m="1" x="2"/>
        <item h="1" m="1" x="2469"/>
        <item h="1" m="1" x="4656"/>
        <item h="1" m="1" x="512"/>
        <item h="1" m="1" x="352"/>
        <item h="1" m="1" x="3447"/>
        <item h="1" m="1" x="3378"/>
        <item h="1" m="1" x="2169"/>
        <item h="1" m="1" x="2661"/>
        <item h="1" m="1" x="4478"/>
        <item h="1" m="1" x="167"/>
        <item h="1" m="1" x="3266"/>
        <item h="1" m="1" x="463"/>
        <item h="1" m="1" x="97"/>
        <item h="1" m="1" x="2270"/>
        <item h="1" m="1" x="1365"/>
        <item h="1" m="1" x="2805"/>
        <item h="1" m="1" x="3743"/>
        <item h="1" m="1" x="4923"/>
        <item h="1" m="1" x="2032"/>
        <item h="1" m="1" x="1471"/>
        <item h="1" m="1" x="790"/>
        <item h="1" m="1" x="2132"/>
        <item h="1" m="1" x="1067"/>
        <item h="1" m="1" x="2835"/>
        <item h="1" m="1" x="4333"/>
        <item h="1" m="1" x="1677"/>
        <item h="1" m="1" x="3466"/>
        <item h="1" m="1" x="1670"/>
        <item h="1" m="1" x="4116"/>
        <item h="1" m="1" x="475"/>
        <item h="1" m="1" x="2188"/>
        <item h="1" m="1" x="824"/>
        <item h="1" m="1" x="3255"/>
        <item h="1" m="1" x="573"/>
        <item h="1" m="1" x="1864"/>
        <item h="1" m="1" x="2549"/>
        <item h="1" m="1" x="2522"/>
        <item h="1" m="1" x="2115"/>
        <item h="1" m="1" x="4917"/>
        <item h="1" m="1" x="2052"/>
        <item h="1" m="1" x="932"/>
        <item h="1" m="1" x="2437"/>
        <item h="1" m="1" x="2034"/>
        <item h="1" m="1" x="3661"/>
        <item h="1" m="1" x="1672"/>
        <item h="1" m="1" x="3521"/>
        <item h="1" m="1" x="2794"/>
        <item h="1" m="1" x="4257"/>
        <item h="1" m="1" x="2883"/>
        <item h="1" m="1" x="1387"/>
        <item h="1" m="1" x="717"/>
        <item h="1" m="1" x="2213"/>
        <item h="1" m="1" x="3568"/>
        <item h="1" m="1" x="3344"/>
        <item h="1" m="1" x="4390"/>
        <item h="1" m="1" x="3764"/>
        <item h="1" m="1" x="514"/>
        <item h="1" m="1" x="56"/>
        <item h="1" m="1" x="3845"/>
        <item h="1" m="1" x="117"/>
        <item h="1" m="1" x="3539"/>
        <item h="1" m="1" x="2811"/>
        <item h="1" m="1" x="3677"/>
        <item h="1" m="1" x="4468"/>
        <item h="1" m="1" x="408"/>
        <item h="1" m="1" x="544"/>
        <item h="1" m="1" x="4305"/>
        <item h="1" m="1" x="1239"/>
        <item h="1" m="1" x="4702"/>
        <item h="1" m="1" x="2888"/>
        <item h="1" m="1" x="2209"/>
        <item h="1" m="1" x="3626"/>
        <item h="1" m="1" x="4491"/>
        <item h="1" m="1" x="169"/>
        <item h="1" m="1" x="4056"/>
        <item h="1" m="1" x="4616"/>
        <item h="1" m="1" x="4321"/>
        <item h="1" m="1" x="3837"/>
        <item h="1" m="1" x="175"/>
        <item h="1" m="1" x="4684"/>
        <item h="1" m="1" x="3498"/>
        <item h="1" m="1" x="4530"/>
        <item h="1" m="1" x="536"/>
        <item h="1" m="1" x="1112"/>
        <item h="1" m="1" x="2075"/>
        <item h="1" m="1" x="385"/>
        <item h="1" m="1" x="3034"/>
        <item h="1" m="1" x="2153"/>
        <item h="1" m="1" x="2197"/>
        <item h="1" m="1" x="3167"/>
        <item h="1" m="1" x="1327"/>
        <item h="1" m="1" x="431"/>
        <item h="1" m="1" x="884"/>
        <item h="1" m="1" x="2949"/>
        <item h="1" m="1" x="3540"/>
        <item h="1" m="1" x="3827"/>
        <item h="1" m="1" x="4653"/>
        <item h="1" m="1" x="1497"/>
        <item h="1" m="1" x="3783"/>
        <item h="1" m="1" x="2327"/>
        <item h="1" m="1" x="531"/>
        <item h="1" m="1" x="1799"/>
        <item h="1" m="1" x="1704"/>
        <item h="1" m="1" x="2191"/>
        <item h="1" m="1" x="1308"/>
        <item h="1" m="1" x="812"/>
        <item h="1" m="1" x="2234"/>
        <item h="1" m="1" x="1486"/>
        <item h="1" m="1" x="528"/>
        <item h="1" m="1" x="1279"/>
        <item h="1" m="1" x="2825"/>
        <item h="1" m="1" x="2336"/>
        <item h="1" m="1" x="1415"/>
        <item h="1" m="1" x="1401"/>
        <item h="1" m="1" x="2746"/>
        <item h="1" m="1" x="2837"/>
        <item h="1" m="1" x="4723"/>
        <item h="1" m="1" x="990"/>
        <item h="1" m="1" x="3205"/>
        <item h="1" m="1" x="2049"/>
        <item h="1" m="1" x="4370"/>
        <item h="1" m="1" x="4304"/>
        <item h="1" m="1" x="553"/>
        <item h="1" m="1" x="4327"/>
        <item h="1" m="1" x="386"/>
        <item h="1" m="1" x="4364"/>
        <item h="1" m="1" x="4408"/>
        <item h="1" m="1" x="2298"/>
        <item h="1" m="1" x="4601"/>
        <item h="1" m="1" x="4865"/>
        <item h="1" m="1" x="291"/>
        <item h="1" m="1" x="1088"/>
        <item h="1" m="1" x="2487"/>
        <item h="1" m="1" x="2994"/>
        <item h="1" m="1" x="411"/>
        <item h="1" m="1" x="271"/>
        <item h="1" m="1" x="4082"/>
        <item h="1" m="1" x="2733"/>
        <item h="1" m="1" x="2454"/>
        <item h="1" m="1" x="2680"/>
        <item h="1" m="1" x="1431"/>
        <item h="1" m="1" x="341"/>
        <item h="1" m="1" x="578"/>
        <item h="1" m="1" x="4356"/>
        <item h="1" m="1" x="4460"/>
        <item h="1" m="1" x="3420"/>
        <item h="1" m="1" x="4734"/>
        <item h="1" m="1" x="825"/>
        <item h="1" m="1" x="403"/>
        <item h="1" m="1" x="1082"/>
        <item h="1" m="1" x="3597"/>
        <item h="1" m="1" x="3134"/>
        <item h="1" m="1" x="488"/>
        <item h="1" m="1" x="3422"/>
        <item h="1" m="1" x="2726"/>
        <item h="1" m="1" x="2570"/>
        <item h="1" m="1" x="14"/>
        <item h="1" m="1" x="1710"/>
        <item h="1" m="1" x="180"/>
        <item h="1" m="1" x="1074"/>
        <item h="1" m="1" x="390"/>
        <item h="1" m="1" x="3411"/>
        <item h="1" m="1" x="296"/>
        <item h="1" m="1" x="2676"/>
        <item h="1" m="1" x="2716"/>
        <item h="1" m="1" x="2623"/>
        <item h="1" m="1" x="591"/>
        <item h="1" m="1" x="1852"/>
        <item h="1" m="1" x="2416"/>
        <item h="1" m="1" x="364"/>
        <item h="1" m="1" x="4068"/>
        <item h="1" m="1" x="3242"/>
        <item h="1" m="1" x="2112"/>
        <item h="1" m="1" x="1776"/>
        <item h="1" m="1" x="2221"/>
        <item h="1" m="1" x="3407"/>
        <item h="1" m="1" x="4893"/>
        <item h="1" m="1" x="4123"/>
        <item h="1" m="1" x="1963"/>
        <item h="1" m="1" x="3872"/>
        <item h="1" m="1" x="3734"/>
        <item h="1" m="1" x="75"/>
        <item h="1" m="1" x="1644"/>
        <item h="1" m="1" x="2146"/>
        <item h="1" m="1" x="598"/>
        <item h="1" m="1" x="138"/>
        <item h="1" m="1" x="3235"/>
        <item h="1" m="1" x="2164"/>
        <item h="1" m="1" x="2337"/>
        <item h="1" m="1" x="2289"/>
        <item h="1" m="1" x="4127"/>
        <item h="1" m="1" x="199"/>
        <item h="1" m="1" x="4890"/>
        <item h="1" m="1" x="3599"/>
        <item h="1" m="1" x="3074"/>
        <item h="1" m="1" x="3943"/>
        <item h="1" m="1" x="259"/>
        <item h="1" m="1" x="4885"/>
        <item h="1" m="1" x="3669"/>
        <item h="1" m="1" x="3644"/>
        <item h="1" m="1" x="4003"/>
        <item h="1" m="1" x="4905"/>
        <item h="1" m="1" x="1630"/>
        <item h="1" m="1" x="3852"/>
        <item h="1" m="1" x="741"/>
        <item h="1" m="1" x="3222"/>
        <item h="1" m="1" x="2269"/>
        <item h="1" m="1" x="4604"/>
        <item h="1" m="1" x="2431"/>
        <item h="1" m="1" x="358"/>
        <item h="1" m="1" x="1625"/>
        <item h="1" m="1" x="59"/>
        <item h="1" m="1" x="807"/>
        <item h="1" m="1" x="1621"/>
        <item h="1" m="1" x="311"/>
        <item h="1" m="1" x="1237"/>
        <item h="1" m="1" x="882"/>
        <item h="1" m="1" x="1674"/>
        <item h="1" m="1" x="3215"/>
        <item h="1" m="1" x="1835"/>
        <item h="1" m="1" x="1421"/>
        <item h="1" m="1" x="2573"/>
        <item h="1" m="1" x="1566"/>
        <item h="1" m="1" x="1612"/>
        <item h="1" m="1" x="1818"/>
        <item h="1" m="1" x="946"/>
        <item h="1" m="1" x="2534"/>
        <item h="1" m="1" x="3208"/>
        <item h="1" m="1" x="1935"/>
        <item h="1" m="1" x="3112"/>
        <item h="1" m="1" x="2702"/>
        <item h="1" m="1" x="3265"/>
        <item h="1" m="1" x="503"/>
        <item h="1" m="1" x="3376"/>
        <item h="1" m="1" x="3281"/>
        <item h="1" m="1" x="4348"/>
        <item h="1" m="1" x="2170"/>
        <item h="1" m="1" x="3495"/>
        <item h="1" m="1" x="1101"/>
        <item h="1" m="1" x="3683"/>
        <item h="1" m="1" x="3798"/>
        <item h="1" m="1" x="1423"/>
        <item h="1" m="1" x="4251"/>
        <item h="1" m="1" x="2758"/>
        <item h="1" m="1" x="497"/>
        <item h="1" m="1" x="3433"/>
        <item h="1" m="1" x="4436"/>
        <item h="1" m="1" x="4410"/>
        <item h="1" m="1" x="4064"/>
        <item h="1" m="1" x="494"/>
        <item h="1" m="1" x="2909"/>
        <item h="1" m="1" x="4473"/>
        <item h="1" m="1" x="2161"/>
        <item h="1" m="1" x="1251"/>
        <item h="1" m="1" x="4840"/>
        <item h="1" m="1" x="3791"/>
        <item h="1" m="1" x="1522"/>
        <item h="1" m="1" x="2880"/>
        <item h="1" m="1" x="493"/>
        <item h="1" m="1" x="2974"/>
        <item h="1" m="1" x="4563"/>
        <item h="1" m="1" x="303"/>
        <item h="1" m="1" x="2157"/>
        <item h="1" m="1" x="1328"/>
        <item h="1" m="1" x="2154"/>
        <item h="1" m="1" x="1393"/>
        <item h="1" m="1" x="1701"/>
        <item h="1" m="1" x="482"/>
        <item h="1" m="1" x="3089"/>
        <item h="1" m="1" x="4683"/>
        <item h="1" m="1" x="2092"/>
        <item h="1" m="1" x="2148"/>
        <item h="1" m="1" x="1452"/>
        <item h="1" m="1" x="3770"/>
        <item h="1" m="1" x="1121"/>
        <item h="1" m="1" x="3097"/>
        <item h="1" m="1" x="2471"/>
        <item h="1" m="1" x="3762"/>
        <item h="1" m="1" x="1193"/>
        <item h="1" m="1" x="3152"/>
        <item h="1" m="1" x="1041"/>
        <item h="1" m="1" x="2652"/>
        <item h="1" m="1" x="1848"/>
        <item h="1" m="1" x="4809"/>
        <item h="1" m="1" x="3211"/>
        <item h="1" m="1" x="2703"/>
        <item h="1" m="1" x="3194"/>
        <item h="1" m="1" x="1582"/>
        <item h="1" m="1" x="4324"/>
        <item h="1" m="1" x="644"/>
        <item h="1" m="1" x="3207"/>
        <item h="1" m="1" x="3619"/>
        <item h="1" m="1" x="2691"/>
        <item h="1" m="1" x="1266"/>
        <item h="1" m="1" x="1734"/>
        <item h="1" m="1" x="4313"/>
        <item h="1" m="1" x="763"/>
        <item h="1" m="1" x="2108"/>
        <item h="1" m="1" x="3359"/>
        <item h="1" m="1" x="420"/>
        <item h="1" m="1" x="1025"/>
        <item h="1" m="1" x="2250"/>
        <item h="1" m="1" x="94"/>
        <item h="1" m="1" x="2688"/>
        <item h="1" m="1" x="4882"/>
        <item h="1" m="1" x="1807"/>
        <item h="1" m="1" x="831"/>
        <item h="1" m="1" x="2681"/>
        <item h="1" m="1" x="3604"/>
        <item h="1" m="1" x="1874"/>
        <item h="1" m="1" x="4306"/>
        <item h="1" m="1" x="280"/>
        <item h="1" m="1" x="86"/>
        <item h="1" m="1" x="3500"/>
        <item h="1" m="1" x="1636"/>
        <item h="1" m="1" x="1011"/>
        <item h="1" m="1" x="2360"/>
        <item h="1" m="1" x="1516"/>
        <item h="1" m="1" x="230"/>
        <item h="1" m="1" x="2678"/>
        <item h="1" m="1" x="1937"/>
        <item h="1" m="1" x="2043"/>
        <item h="1" m="1" x="4298"/>
        <item h="1" m="1" x="340"/>
        <item h="1" m="1" x="3747"/>
        <item h="1" m="1" x="3559"/>
        <item h="1" m="1" x="4296"/>
        <item h="1" m="1" x="398"/>
        <item h="1" m="1" x="3031"/>
        <item h="1" m="1" x="3630"/>
        <item h="1" m="1" x="2804"/>
        <item h="1" m="1" x="1001"/>
        <item h="1" m="1" x="1919"/>
        <item h="1" m="1" x="3890"/>
        <item h="1" m="1" x="360"/>
        <item h="1" m="1" x="3191"/>
        <item h="1" m="1" x="348"/>
        <item h="1" m="1" x="2078"/>
        <item h="1" m="1" x="3170"/>
        <item h="1" m="1" x="4838"/>
        <item h="1" m="1" x="464"/>
        <item h="1" m="1" x="1809"/>
        <item h="1" m="1" x="3703"/>
        <item h="1" m="1" x="1584"/>
        <item h="1" m="1" x="1980"/>
        <item h="1" m="1" x="3166"/>
        <item h="1" m="1" x="435"/>
        <item h="1" m="1" x="3558"/>
        <item h="1" m="1" x="3185"/>
        <item h="1" m="1" x="3284"/>
        <item h="1" m="1" x="2194"/>
        <item h="1" m="1" x="4911"/>
        <item h="1" m="1" x="4830"/>
        <item h="1" m="1" x="6"/>
        <item h="1" m="1" x="4715"/>
        <item h="1" m="1" x="3853"/>
        <item h="1" m="1" x="1575"/>
        <item h="1" m="1" x="1501"/>
        <item h="1" m="1" x="579"/>
        <item h="1" m="1" x="3177"/>
        <item h="1" m="1" x="3006"/>
        <item h="1" m="1" x="1369"/>
        <item h="1" m="1" x="2877"/>
        <item h="1" m="1" x="4817"/>
        <item h="1" m="1" x="119"/>
        <item h="1" m="1" x="2182"/>
        <item h="1" m="1" x="4559"/>
        <item h="1" m="1" x="1563"/>
        <item h="1" m="1" x="1619"/>
        <item h="1" m="1" x="3565"/>
        <item h="1" m="1" x="1323"/>
        <item h="1" m="1" x="3175"/>
        <item h="1" m="1" x="53"/>
        <item h="1" m="1" x="2943"/>
        <item h="1" m="1" x="4549"/>
        <item h="1" m="1" x="4617"/>
        <item h="1" m="1" x="1167"/>
        <item h="1" m="1" x="1615"/>
        <item h="1" m="1" x="1448"/>
        <item h="1" m="1" x="2993"/>
        <item h="1" m="1" x="3091"/>
        <item h="1" m="1" x="4655"/>
        <item h="1" m="1" x="4748"/>
        <item h="1" m="1" x="1232"/>
        <item h="1" m="1" x="302"/>
        <item h="1" m="1" x="1503"/>
        <item h="1" m="1" x="1280"/>
        <item h="1" m="1" x="3980"/>
        <item h="1" m="1" x="1576"/>
        <item h="1" m="1" x="442"/>
        <item h="1" m="1" x="3204"/>
        <item h="1" m="1" x="4187"/>
        <item h="1" m="1" x="1899"/>
        <item h="1" m="1" x="4879"/>
        <item h="1" m="1" x="4665"/>
        <item h="1" m="1" x="1345"/>
        <item h="1" m="1" x="3247"/>
        <item h="1" m="1" x="1657"/>
        <item h="1" m="1" x="3526"/>
        <item h="1" m="1" x="4673"/>
        <item h="1" m="1" x="3269"/>
        <item h="1" m="1" x="2840"/>
        <item h="1" m="1" x="3396"/>
        <item h="1" m="1" x="3354"/>
        <item h="1" m="1" x="3913"/>
        <item h="1" m="1" x="4307"/>
        <item h="1" m="1" x="4787"/>
        <item h="1" m="1" x="90"/>
        <item h="1" m="1" x="2780"/>
        <item h="1" m="1" x="855"/>
        <item h="1" m="1" x="716"/>
        <item h="1" m="1" x="1803"/>
        <item h="1" m="1" x="3429"/>
        <item h="1" m="1" x="492"/>
        <item h="1" m="1" x="4360"/>
        <item h="1" m="1" x="3531"/>
        <item h="1" m="1" x="164"/>
        <item h="1" m="1" x="4284"/>
        <item h="1" m="1" x="3859"/>
        <item h="1" m="1" x="2278"/>
        <item h="1" m="1" x="225"/>
        <item h="1" m="1" x="140"/>
        <item h="1" m="1" x="3555"/>
        <item h="1" m="1" x="4085"/>
        <item h="1" m="1" x="3912"/>
        <item h="1" m="1" x="1565"/>
        <item h="1" m="1" x="285"/>
        <item h="1" m="1" x="2946"/>
        <item h="1" m="1" x="436"/>
        <item h="1" m="1" x="2419"/>
        <item h="1" m="1" x="2008"/>
        <item h="1" m="1" x="1855"/>
        <item h="1" m="1" x="500"/>
        <item h="1" m="1" x="1715"/>
        <item h="1" m="1" x="2071"/>
        <item h="1" m="1" x="3320"/>
        <item h="1" m="1" x="3095"/>
        <item h="1" m="1" x="3698"/>
        <item h="1" m="1" x="2216"/>
        <item h="1" m="1" x="4013"/>
        <item h="1" m="1" x="3938"/>
        <item h="1" m="1" x="428"/>
        <item h="1" m="1" x="1075"/>
        <item h="1" m="1" x="1854"/>
        <item h="1" m="1" x="3780"/>
        <item h="1" m="1" x="4280"/>
        <item h="1" m="1" x="537"/>
        <item h="1" m="1" x="3851"/>
        <item h="1" m="1" x="3546"/>
        <item h="1" m="1" x="1990"/>
        <item h="1" m="1" x="575"/>
        <item h="1" m="1" x="4664"/>
        <item h="1" m="1" x="95"/>
        <item h="1" m="1" x="3348"/>
        <item h="1" m="1" x="2263"/>
        <item h="1" m="1" x="206"/>
        <item h="1" m="1" x="2406"/>
        <item h="1" m="1" x="1655"/>
        <item h="1" m="1" x="222"/>
        <item h="1" m="1" x="4179"/>
        <item h="1" m="1" x="4081"/>
        <item h="1" m="1" x="4737"/>
        <item h="1" m="1" x="2613"/>
        <item h="1" m="1" x="1850"/>
        <item h="1" m="1" x="2911"/>
        <item h="1" m="1" x="2074"/>
        <item h="1" m="1" x="1233"/>
        <item h="1" m="1" x="4288"/>
        <item h="1" m="1" x="4529"/>
        <item h="1" m="1" x="2405"/>
        <item h="1" m="1" x="4443"/>
        <item h="1" m="1" x="2186"/>
        <item h="1" m="1" x="2916"/>
        <item h="1" m="1" x="4503"/>
        <item h="1" m="1" x="903"/>
        <item h="1" m="1" x="2991"/>
        <item h="1" m="1" x="2203"/>
        <item h="1" m="1" x="1060"/>
        <item h="1" m="1" x="2331"/>
        <item h="1" m="1" x="4666"/>
        <item h="1" m="1" x="1064"/>
        <item h="1" m="1" x="2654"/>
        <item h="1" m="1" x="1766"/>
        <item h="1" m="1" x="1553"/>
        <item h="1" m="1" x="2939"/>
        <item h="1" m="1" x="646"/>
        <item h="1" m="1" x="4853"/>
        <item h="1" m="1" x="674"/>
        <item h="1" m="1" x="2728"/>
        <item h="1" m="1" x="4"/>
        <item h="1" m="1" x="2189"/>
        <item h="1" m="1" x="4107"/>
        <item h="1" m="1" x="1709"/>
        <item h="1" m="1" x="1647"/>
        <item h="1" m="1" x="2252"/>
        <item h="1" m="1" x="1783"/>
        <item h="1" m="1" x="3132"/>
        <item h="1" m="1" x="3758"/>
        <item h="1" m="1" x="3534"/>
        <item h="1" m="1" x="3476"/>
        <item m="1" x="983"/>
        <item h="1" m="1" x="1996"/>
        <item h="1" m="1" x="4449"/>
        <item h="1" m="1" x="2117"/>
        <item h="1" m="1" x="1296"/>
        <item h="1" m="1" x="4268"/>
        <item h="1" m="1" x="4463"/>
        <item h="1" m="1" x="1428"/>
        <item h="1" m="1" x="2374"/>
        <item h="1" m="1" x="4727"/>
        <item h="1" m="1" x="2763"/>
        <item h="1" m="1" x="72"/>
        <item h="1" m="1" x="4157"/>
        <item h="1" m="1" x="1779"/>
        <item h="1" m="1" x="1260"/>
        <item h="1" m="1" x="2193"/>
        <item h="1" m="1" x="1913"/>
        <item h="1" m="1" x="3011"/>
        <item h="1" m="1" x="3535"/>
        <item h="1" m="1" x="3127"/>
        <item h="1" m="1" x="910"/>
        <item h="1" m="1" x="1983"/>
        <item h="1" m="1" x="857"/>
        <item h="1" m="1" x="1039"/>
        <item h="1" m="1" x="3680"/>
        <item h="1" m="1" x="1212"/>
        <item h="1" m="1" x="485"/>
        <item h="1" m="1" x="1347"/>
        <item h="1" m="1" x="2240"/>
        <item h="1" m="1" x="2731"/>
        <item h="1" m="1" x="3893"/>
        <item h="1" m="1" x="3110"/>
        <item h="1" m="1" x="4156"/>
        <item h="1" m="1" x="4518"/>
        <item h="1" m="1" x="902"/>
        <item h="1" m="1" x="992"/>
        <item h="1" m="1" x="2592"/>
        <item h="1" m="1" x="4227"/>
        <item h="1" m="1" x="3813"/>
        <item h="1" m="1" x="967"/>
        <item h="1" m="1" x="4657"/>
        <item h="1" m="1" x="2651"/>
        <item h="1" m="1" x="3950"/>
        <item h="1" m="1" x="2715"/>
        <item h="1" m="1" x="4771"/>
        <item h="1" m="1" x="4368"/>
        <item h="1" m="1" x="1299"/>
        <item h="1" m="1" x="1120"/>
        <item h="1" m="1" x="2689"/>
        <item h="1" m="1" x="2781"/>
        <item h="1" m="1" x="2816"/>
        <item h="1" m="1" x="4497"/>
        <item h="1" m="1" x="200"/>
        <item h="1" m="1" x="1269"/>
        <item h="1" m="1" x="4455"/>
        <item h="1" m="1" x="2898"/>
        <item h="1" m="1" x="3203"/>
        <item h="1" m="1" x="4585"/>
        <item h="1" m="1" x="4883"/>
        <item h="1" m="1" x="1410"/>
        <item h="1" m="1" x="4216"/>
        <item h="1" m="1" x="3033"/>
        <item h="1" m="1" x="3537"/>
        <item h="1" m="1" x="4707"/>
        <item h="1" m="1" x="2865"/>
        <item h="1" m="1" x="1474"/>
        <item h="1" m="1" x="4550"/>
        <item h="1" m="1" x="3741"/>
        <item h="1" m="1" x="1995"/>
        <item h="1" m="1" x="3819"/>
        <item h="1" m="1" x="3616"/>
        <item h="1" m="1" x="617"/>
        <item h="1" m="1" x="2942"/>
        <item h="1" m="1" x="2309"/>
        <item h="1" m="1" x="2294"/>
        <item h="1" m="1" x="3960"/>
        <item h="1" m="1" x="1038"/>
        <item h="1" m="1" x="690"/>
        <item h="1" m="1" x="3954"/>
        <item h="1" m="1" x="760"/>
        <item h="1" m="1" x="2727"/>
        <item h="1" m="1" x="2444"/>
        <item h="1" m="1" x="2064"/>
        <item h="1" m="1" x="4078"/>
        <item h="1" m="1" x="1397"/>
        <item h="1" m="1" x="829"/>
        <item h="1" m="1" x="686"/>
        <item h="1" m="1" x="2509"/>
        <item h="1" m="1" x="3020"/>
        <item h="1" m="1" x="2589"/>
        <item h="1" m="1" x="2373"/>
        <item h="1" m="1" x="4223"/>
        <item h="1" m="1" x="1139"/>
        <item h="1" m="1" x="964"/>
        <item h="1" m="1" x="426"/>
        <item h="1" m="1" x="2645"/>
        <item h="1" m="1" x="4693"/>
        <item h="1" m="1" x="4294"/>
        <item h="1" m="1" x="2135"/>
        <item h="1" m="1" x="4365"/>
        <item h="1" m="1" x="1466"/>
        <item h="1" m="1" x="1114"/>
        <item h="1" m="1" x="767"/>
        <item h="1" m="1" x="2772"/>
        <item h="1" m="1" x="81"/>
        <item h="1" m="1" x="4423"/>
        <item h="1" m="1" x="3789"/>
        <item h="1" m="1" x="1206"/>
        <item h="1" m="1" x="517"/>
        <item h="1" m="1" x="2895"/>
        <item h="1" m="1" x="4763"/>
        <item h="1" m="1" x="4583"/>
        <item h="1" m="1" x="4092"/>
        <item h="1" m="1" x="1348"/>
        <item h="1" m="1" x="3425"/>
        <item h="1" m="1" x="2966"/>
        <item h="1" m="1" x="845"/>
        <item h="1" m="1" x="3028"/>
        <item h="1" m="1" x="165"/>
        <item h="1" m="1" x="4704"/>
        <item h="1" m="1" x="3173"/>
        <item h="1" m="1" x="3107"/>
        <item h="1" m="1" x="2537"/>
        <item h="1" m="1" x="4761"/>
        <item h="1" m="1" x="4836"/>
        <item h="1" m="1" x="4823"/>
        <item h="1" m="1" x="4175"/>
        <item h="1" m="1" x="1601"/>
        <item h="1" m="1" x="2836"/>
        <item h="1" m="1" x="4902"/>
        <item h="1" m="1" x="1614"/>
        <item h="1" m="1" x="1688"/>
        <item h="1" m="1" x="4494"/>
        <item h="1" m="1" x="1754"/>
        <item h="1" m="1" x="3243"/>
        <item h="1" m="1" x="3384"/>
        <item h="1" m="1" x="2615"/>
        <item h="1" m="1" x="111"/>
        <item h="1" m="1" x="1944"/>
        <item h="1" m="1" x="1826"/>
        <item h="1" m="1" x="1271"/>
        <item h="1" m="1" x="3446"/>
        <item h="1" m="1" x="3517"/>
        <item h="1" m="1" x="2903"/>
        <item h="1" m="1" x="240"/>
        <item h="1" m="1" x="1702"/>
        <item h="1" m="1" x="1953"/>
        <item h="1" m="1" x="993"/>
        <item h="1" m="1" x="3577"/>
        <item h="1" m="1" x="312"/>
        <item h="1" m="1" x="315"/>
        <item h="1" m="1" x="2684"/>
        <item h="1" m="1" x="377"/>
        <item h="1" m="1" x="2029"/>
        <item h="1" m="1" x="2091"/>
        <item h="1" m="1" x="1356"/>
        <item h="1" m="1" x="3722"/>
        <item h="1" m="1" x="641"/>
        <item h="1" m="1" x="456"/>
        <item h="1" m="1" x="4340"/>
        <item h="1" m="1" x="2150"/>
        <item h="1" m="1" x="1093"/>
        <item h="1" m="1" x="3867"/>
        <item h="1" m="1" x="387"/>
        <item h="1" m="1" x="594"/>
        <item h="1" m="1" x="4661"/>
        <item h="1" m="1" x="2283"/>
        <item h="1" m="1" x="3985"/>
        <item h="1" m="1" x="3935"/>
        <item h="1" m="1" x="1426"/>
        <item h="1" m="1" x="3999"/>
        <item h="1" m="1" x="720"/>
        <item h="1" m="1" x="736"/>
        <item h="1" m="1" x="4407"/>
        <item h="1" m="1" x="2427"/>
        <item h="1" m="1" x="4057"/>
        <item h="1" m="1" x="3062"/>
        <item h="1" m="1" x="803"/>
        <item h="1" m="1" x="476"/>
        <item h="1" m="1" x="878"/>
        <item h="1" m="1" x="4731"/>
        <item h="1" m="1" x="4049"/>
        <item h="1" m="1" x="4201"/>
        <item h="1" m="1" x="3141"/>
        <item h="1" m="1" x="1681"/>
        <item h="1" m="1" x="2485"/>
        <item h="1" m="1" x="3288"/>
        <item h="1" m="1" x="1837"/>
        <item h="1" m="1" x="46"/>
        <item h="1" m="1" x="4137"/>
        <item h="1" m="1" x="106"/>
        <item h="1" m="1" x="3462"/>
        <item h="1" m="1" x="1822"/>
        <item h="1" m="1" x="2245"/>
        <item h="1" m="1" x="3441"/>
        <item h="1" m="1" x="1571"/>
        <item h="1" m="1" x="178"/>
        <item h="1" m="1" x="885"/>
        <item h="1" m="1" x="1888"/>
        <item h="1" m="1" x="3200"/>
        <item h="1" m="1" x="1950"/>
        <item h="1" m="1" x="2581"/>
        <item h="1" m="1" x="3575"/>
        <item h="1" m="1" x="1907"/>
        <item h="1" m="1" x="308"/>
        <item h="1" m="1" x="631"/>
        <item h="1" m="1" x="2022"/>
        <item h="1" m="1" x="4880"/>
        <item h="1" m="1" x="3645"/>
        <item h="1" m="1" x="4213"/>
        <item h="1" m="1" x="370"/>
        <item h="1" m="1" x="2328"/>
        <item h="1" m="1" x="3716"/>
        <item h="1" m="1" x="449"/>
        <item h="1" m="1" x="960"/>
        <item h="1" m="1" x="2145"/>
        <item h="1" m="1" x="263"/>
        <item h="1" m="1" x="3797"/>
        <item h="1" m="1" x="4546"/>
        <item h="1" m="1" x="524"/>
        <item h="1" m="1" x="1991"/>
        <item h="1" m="1" x="590"/>
        <item h="1" m="1" x="1318"/>
        <item h="1" m="1" x="2280"/>
        <item h="1" m="1" x="39"/>
        <item h="1" m="1" x="3929"/>
        <item h="1" m="1" x="4295"/>
        <item h="1" m="1" x="660"/>
        <item h="1" m="1" x="3611"/>
        <item h="1" m="1" x="2346"/>
        <item h="1" m="1" x="1036"/>
        <item h="1" m="1" x="2425"/>
        <item h="1" m="1" x="347"/>
        <item h="1" m="1" x="4054"/>
        <item h="1" m="1" x="799"/>
        <item h="1" m="1" x="3377"/>
        <item h="1" m="1" x="2481"/>
        <item h="1" m="1" x="2724"/>
        <item h="1" m="1" x="4130"/>
        <item h="1" m="1" x="4375"/>
        <item h="1" m="1" x="938"/>
        <item h="1" m="1" x="3690"/>
        <item h="1" m="1" x="2631"/>
        <item h="1" m="1" x="3016"/>
        <item h="1" m="1" x="4269"/>
        <item h="1" m="1" x="1828"/>
        <item h="1" m="1" x="998"/>
        <item h="1" m="1" x="1133"/>
        <item h="1" m="1" x="2692"/>
        <item h="1" m="1" x="1095"/>
        <item h="1" m="1" x="4016"/>
        <item h="1" m="1" x="2751"/>
        <item h="1" m="1" x="2800"/>
        <item h="1" m="1" x="4400"/>
        <item h="1" m="1" x="2131"/>
        <item h="1" m="1" x="1172"/>
        <item h="1" m="1" x="1461"/>
        <item h="1" m="1" x="2821"/>
        <item h="1" m="1" x="3787"/>
        <item h="1" m="1" x="2873"/>
        <item h="1" m="1" x="3104"/>
        <item h="1" m="1" x="4555"/>
        <item h="1" m="1" x="2452"/>
        <item h="1" m="1" x="1320"/>
        <item h="1" m="1" x="1231"/>
        <item h="1" m="1" x="2937"/>
        <item h="1" m="1" x="515"/>
        <item h="1" m="1" x="4611"/>
        <item h="1" m="1" x="2200"/>
        <item h="1" m="1" x="1444"/>
        <item h="1" m="1" x="1530"/>
        <item h="1" m="1" x="3083"/>
        <item h="1" m="1" x="841"/>
        <item h="1" m="1" x="4743"/>
        <item h="1" m="1" x="4531"/>
        <item h="1" m="1" x="1502"/>
        <item h="1" m="1" x="1870"/>
        <item h="1" m="1" x="3199"/>
        <item h="1" m="1" x="589"/>
        <item h="1" m="1" x="4872"/>
        <item h="1" m="1" x="1654"/>
        <item h="1" m="1" x="4168"/>
        <item h="1" m="1" x="3264"/>
        <item h="1" m="1" x="1610"/>
        <item h="1" m="1" x="923"/>
        <item h="1" m="1" x="2045"/>
        <item h="1" m="1" x="232"/>
        <item h="1" m="1" x="82"/>
        <item h="1" m="1" x="3941"/>
        <item h="1" m="1" x="3676"/>
        <item h="1" m="1" x="3237"/>
        <item h="1" m="1" x="1800"/>
        <item h="1" m="1" x="672"/>
        <item h="1" m="1" x="2106"/>
        <item h="1" m="1" x="4250"/>
        <item h="1" m="1" x="3740"/>
        <item h="1" m="1" x="3569"/>
        <item h="1" m="1" x="1866"/>
        <item h="1" m="1" x="2362"/>
        <item h="1" m="1" x="477"/>
        <item h="1" m="1" x="306"/>
        <item h="1" m="1" x="221"/>
        <item h="1" m="1" x="3322"/>
        <item h="1" m="1" x="1930"/>
        <item h="1" m="1" x="2027"/>
        <item h="1" m="1" x="3551"/>
        <item h="1" m="1" x="4336"/>
        <item h="1" m="1" x="3887"/>
        <item h="1" m="1" x="3652"/>
        <item h="1" m="1" x="2006"/>
        <item h="1" m="1" x="2977"/>
        <item h="1" m="1" x="614"/>
        <item h="1" m="1" x="1086"/>
        <item h="1" m="1" x="2305"/>
        <item h="1" m="1" x="3415"/>
        <item h="1" m="1" x="2066"/>
        <item h="1" m="1" x="2752"/>
        <item h="1" m="1" x="687"/>
        <item h="1" m="1" x="2098"/>
        <item h="1" m="1" x="3693"/>
        <item h="1" m="1" x="1424"/>
        <item h="1" m="1" x="2371"/>
        <item h="1" m="1" x="422"/>
        <item h="1" m="1" x="3058"/>
        <item h="1" m="1" x="757"/>
        <item h="1" m="1" x="1861"/>
        <item h="1" m="1" x="3773"/>
        <item h="1" m="1" x="1182"/>
        <item h="1" m="1" x="2440"/>
        <item h="1" m="1" x="471"/>
        <item h="1" m="1" x="502"/>
        <item h="1" m="1" x="550"/>
        <item h="1" m="1" x="639"/>
        <item h="1" m="1" x="4792"/>
        <item h="1" m="1" x="4219"/>
        <item h="1" m="1" x="4134"/>
        <item h="1" m="1" x="2866"/>
        <item h="1" m="1" x="2890"/>
        <item h="1" m="1" x="962"/>
        <item h="1" m="1" x="1317"/>
        <item h="1" m="1" x="4579"/>
        <item h="1" m="1" x="4293"/>
        <item h="1" m="1" x="3903"/>
        <item h="1" m="1" x="2930"/>
        <item h="1" m="1" x="3196"/>
        <item h="1" m="1" x="1028"/>
        <item h="1" m="1" x="2575"/>
        <item h="1" m="1" x="4609"/>
        <item h="1" m="1" x="4875"/>
        <item h="1" m="1" x="4363"/>
        <item h="1" m="1" x="3004"/>
        <item h="1" m="1" x="2970"/>
        <item h="1" m="1" x="1113"/>
        <item h="1" m="1" x="2326"/>
        <item h="1" m="1" x="4676"/>
        <item h="1" m="1" x="1658"/>
        <item h="1" m="1" x="2770"/>
        <item h="1" m="1" x="3975"/>
        <item h="1" m="1" x="3079"/>
        <item h="1" m="1" x="3272"/>
        <item h="1" m="1" x="1202"/>
        <item h="1" m="1" x="2642"/>
        <item h="1" m="1" x="4741"/>
        <item h="1" m="1" x="1988"/>
        <item h="1" m="1" x="2839"/>
        <item h="1" m="1" x="711"/>
        <item h="1" m="1" x="1500"/>
        <item h="1" m="1" x="3605"/>
        <item h="1" m="1" x="1263"/>
        <item h="1" m="1" x="2402"/>
        <item h="1" m="1" x="4797"/>
        <item h="1" m="1" x="1746"/>
        <item h="1" m="1" x="2892"/>
        <item h="1" m="1" x="1568"/>
        <item h="1" m="1" x="342"/>
        <item h="1" m="1" x="4578"/>
        <item h="1" m="1" x="2717"/>
        <item h="1" m="1" x="4868"/>
        <item h="1" m="1" x="2056"/>
        <item h="1" m="1" x="2963"/>
        <item h="1" m="1" x="789"/>
        <item h="1" m="1" x="1650"/>
        <item h="1" m="1" x="107"/>
        <item h="1" m="1" x="4636"/>
        <item h="1" m="1" x="4371"/>
        <item h="1" m="1" x="3262"/>
        <item h="1" m="1" x="1824"/>
        <item h="1" m="1" x="3027"/>
        <item h="1" m="1" x="1722"/>
        <item h="1" m="1" x="419"/>
        <item h="1" m="1" x="4700"/>
        <item h="1" m="1" x="4686"/>
        <item h="1" m="1" x="3343"/>
        <item h="1" m="1" x="1793"/>
        <item h="1" m="1" x="187"/>
        <item h="1" m="1" x="4759"/>
        <item h="1" m="1" x="4438"/>
        <item h="1" m="1" x="3421"/>
        <item h="1" m="1" x="3781"/>
        <item h="1" m="1" x="1526"/>
        <item h="1" m="1" x="3101"/>
        <item h="1" m="1" x="157"/>
        <item h="1" m="1" x="510"/>
        <item h="1" m="1" x="4820"/>
        <item h="1" m="1" x="4758"/>
        <item h="1" m="1" x="3490"/>
        <item h="1" m="1" x="3530"/>
        <item h="1" m="1" x="1598"/>
        <item h="1" m="1" x="2858"/>
        <item h="1" m="1" x="219"/>
        <item h="1" m="1" x="2198"/>
        <item h="1" m="1" x="3220"/>
        <item h="1" m="1" x="4528"/>
        <item h="1" m="1" x="3547"/>
        <item h="1" m="1" x="3861"/>
        <item h="1" m="1" x="1683"/>
        <item h="1" m="1" x="3169"/>
        <item h="1" m="1" x="274"/>
        <item h="1" m="1" x="2530"/>
        <item h="1" m="1" x="3290"/>
        <item h="1" m="1" x="2003"/>
        <item h="1" m="1" x="2921"/>
        <item h="1" m="1" x="350"/>
        <item h="1" m="1" x="2281"/>
        <item h="1" m="1" x="3379"/>
        <item h="1" m="1" x="1608"/>
        <item h="1" m="1" x="2061"/>
        <item h="1" m="1" x="920"/>
        <item h="1" m="1" x="109"/>
        <item h="1" m="1" x="3234"/>
        <item h="1" m="1" x="415"/>
        <item h="1" m="1" x="2608"/>
        <item h="1" m="1" x="3444"/>
        <item h="1" m="1" x="2123"/>
        <item h="1" m="1" x="671"/>
        <item h="1" m="1" x="181"/>
        <item h="1" m="1" x="4920"/>
        <item h="1" m="1" x="3768"/>
        <item h="1" m="1" x="2356"/>
        <item h="1" m="1" x="3515"/>
        <item h="1" m="1" x="1698"/>
        <item h="1" m="1" x="2181"/>
        <item h="1" m="1" x="988"/>
        <item h="1" m="1" x="238"/>
        <item h="1" m="1" x="4680"/>
        <item h="1" m="1" x="3839"/>
        <item h="1" m="1" x="1083"/>
        <item h="1" m="1" x="373"/>
        <item h="1" m="1" x="380"/>
        <item h="1" m="1" x="3976"/>
        <item h="1" m="1" x="2089"/>
        <item h="1" m="1" x="3410"/>
        <item h="1" m="1" x="708"/>
        <item h="1" m="1" x="2516"/>
        <item h="1" m="1" x="4355"/>
        <item h="1" m="1" x="1858"/>
        <item h="1" m="1" x="2464"/>
        <item h="1" m="1" x="3488"/>
        <item h="1" m="1" x="849"/>
        <item h="1" m="1" x="2826"/>
        <item h="1" m="1" x="4418"/>
        <item h="1" m="1" x="2538"/>
        <item h="1" m="1" x="1488"/>
        <item h="1" m="1" x="1197"/>
        <item h="1" m="1" x="3817"/>
        <item h="1" m="1" x="919"/>
        <item h="1" m="1" x="3133"/>
        <item h="1" m="1" x="4485"/>
        <item h="1" m="1" x="1931"/>
        <item h="1" m="1" x="2603"/>
        <item h="1" m="1" x="1254"/>
        <item h="1" m="1" x="1258"/>
        <item h="1" m="1" x="545"/>
        <item h="1" m="1" x="4244"/>
        <item h="1" m="1" x="4788"/>
        <item h="1" m="1" x="2887"/>
        <item h="1" m="1" x="2885"/>
        <item h="1" m="1" x="4574"/>
        <item h="1" m="1" x="2670"/>
        <item h="1" m="1" x="1560"/>
        <item h="1" m="1" x="1335"/>
        <item h="1" m="1" x="290"/>
        <item h="1" m="1" x="4316"/>
        <item h="1" m="1" x="4577"/>
        <item h="1" m="1" x="2958"/>
        <item h="1" m="1" x="2015"/>
        <item h="1" m="1" x="2734"/>
        <item h="1" m="1" x="1343"/>
        <item h="1" m="1" x="1405"/>
        <item h="1" m="1" x="626"/>
        <item h="1" m="1" x="4384"/>
        <item h="1" m="1" x="4870"/>
        <item h="1" m="1" x="3025"/>
        <item h="1" m="1" x="3636"/>
        <item h="1" m="1" x="1144"/>
        <item h="1" m="1" x="951"/>
        <item h="1" m="1" x="4445"/>
        <item h="1" m="1" x="4643"/>
        <item h="1" m="1" x="3102"/>
        <item h="1" m="1" x="3973"/>
        <item h="1" m="1" x="1225"/>
        <item h="1" m="1" x="3270"/>
        <item h="1" m="1" x="4756"/>
        <item h="1" m="1" x="709"/>
        <item h="1" m="1" x="4520"/>
        <item h="1" m="1" x="32"/>
        <item h="1" m="1" x="3159"/>
        <item h="1" m="1" x="4289"/>
        <item h="1" m="1" x="1290"/>
        <item h="1" m="1" x="3043"/>
        <item h="1" m="1" x="4815"/>
        <item h="1" m="1" x="2910"/>
        <item h="1" m="1" x="4717"/>
        <item h="1" m="1" x="3216"/>
        <item h="1" m="1" x="4035"/>
        <item h="1" m="1" x="1363"/>
        <item h="1" m="1" x="3368"/>
        <item h="1" m="1" x="4899"/>
        <item h="1" m="1" x="2714"/>
        <item h="1" m="1" x="2986"/>
        <item h="1" m="1" x="1483"/>
        <item h="1" m="1" x="1678"/>
        <item h="1" m="1" x="3688"/>
        <item h="1" m="1" x="45"/>
        <item h="1" m="1" x="1823"/>
        <item h="1" m="1" x="1751"/>
        <item h="1" m="1" x="1128"/>
        <item h="1" m="1" x="4721"/>
        <item h="1" m="1" x="1898"/>
        <item h="1" m="1" x="1884"/>
        <item h="1" m="1" x="1224"/>
        <item h="1" m="1" x="4844"/>
        <item h="1" m="1" x="505"/>
        <item h="1" m="1" x="3510"/>
        <item h="1" m="1" x="944"/>
        <item h="1" m="1" x="4927"/>
        <item h="1" m="1" x="4524"/>
        <item h="1" m="1" x="1699"/>
        <item h="1" m="1" x="3858"/>
        <item h="1" m="1" x="300"/>
        <item h="1" m="1" x="1301"/>
        <item h="1" m="1" x="70"/>
        <item h="1" m="1" x="583"/>
        <item h="1" m="1" x="3642"/>
        <item h="1" m="1" x="4827"/>
        <item h="1" m="1" x="1774"/>
        <item h="1" m="1" x="3589"/>
        <item h="1" m="1" x="368"/>
        <item h="1" m="1" x="2918"/>
        <item h="1" m="1" x="3399"/>
        <item h="1" m="1" x="330"/>
        <item h="1" m="1" x="3715"/>
        <item h="1" m="1" x="4606"/>
        <item h="1" m="1" x="1842"/>
        <item h="1" m="1" x="3933"/>
        <item h="1" m="1" x="446"/>
        <item h="1" m="1" x="3472"/>
        <item h="1" m="1" x="2048"/>
        <item h="1" m="1" x="4913"/>
        <item h="1" m="1" x="1906"/>
        <item h="1" m="1" x="3684"/>
        <item h="1" m="1" x="521"/>
        <item h="1" m="1" x="3003"/>
        <item h="1" m="1" x="4097"/>
        <item h="1" m="1" x="2352"/>
        <item h="1" m="1" x="2207"/>
        <item h="1" m="1" x="1696"/>
        <item h="1" m="1" x="844"/>
        <item h="1" m="1" x="4164"/>
        <item h="1" m="1" x="2677"/>
        <item h="1" m="1" x="2277"/>
        <item h="1" m="1" x="1445"/>
        <item h="1" m="1" x="916"/>
        <item h="1" m="1" x="747"/>
        <item h="1" m="1" x="3928"/>
        <item h="1" m="1" x="3093"/>
        <item h="1" m="1" x="4242"/>
        <item h="1" m="1" x="2438"/>
        <item h="1" m="1" x="2345"/>
        <item h="1" m="1" x="977"/>
        <item h="1" m="1" x="3995"/>
        <item h="1" m="1" x="4751"/>
        <item h="1" m="1" x="2664"/>
        <item h="1" m="1" x="1512"/>
        <item h="1" m="1" x="1052"/>
        <item h="1" m="1" x="827"/>
        <item h="1" m="1" x="4051"/>
        <item h="1" m="1" x="145"/>
        <item h="1" m="1" x="4397"/>
        <item h="1" m="1" x="1856"/>
        <item h="1" m="1" x="1174"/>
        <item h="1" m="1" x="4814"/>
        <item h="1" m="1" x="4158"/>
        <item h="1" m="1" x="905"/>
        <item h="1" m="1" x="218"/>
        <item h="1" m="1" x="4471"/>
        <item h="1" m="1" x="2596"/>
        <item h="1" m="1" x="543"/>
        <item h="1" m="1" x="4235"/>
        <item h="1" m="1" x="2882"/>
        <item h="1" m="1" x="2238"/>
        <item h="1" m="1" x="4573"/>
        <item h="1" m="1" x="2671"/>
        <item h="1" m="1" x="2011"/>
        <item h="1" m="1" x="1338"/>
        <item h="1" m="1" x="3633"/>
        <item h="1" m="1" x="2965"/>
        <item h="1" m="1" x="2318"/>
        <item h="1" m="1" x="1653"/>
        <item h="1" m="1" x="366"/>
        <item h="1" m="1" x="3267"/>
        <item h="1" m="1" x="2087"/>
        <item h="1" m="1" x="1411"/>
        <item h="1" m="1" x="706"/>
        <item h="1" m="1" x="29"/>
        <item h="1" m="1" x="2396"/>
        <item h="1" m="1" x="454"/>
        <item h="1" m="1" x="4716"/>
        <item h="1" m="1" x="4033"/>
        <item h="1" m="1" x="785"/>
        <item h="1" m="1" x="100"/>
        <item h="1" m="1" x="3124"/>
        <item h="1" m="1" x="4779"/>
        <item h="1" m="1" x="4115"/>
        <item h="1" m="1" x="3443"/>
        <item h="1" m="1" x="2788"/>
        <item h="1" m="1" x="183"/>
        <item h="1" m="1" x="3184"/>
        <item h="1" m="1" x="2554"/>
        <item h="1" m="1" x="1896"/>
        <item h="1" m="1" x="3527"/>
        <item h="1" m="1" x="2853"/>
        <item h="1" m="1" x="940"/>
        <item h="1" m="1" x="2634"/>
        <item h="1" m="1" x="1966"/>
        <item h="1" m="1" x="1295"/>
        <item h="1" m="1" x="582"/>
        <item h="1" m="1" x="2915"/>
        <item h="1" m="1" x="2274"/>
        <item h="1" m="1" x="1012"/>
        <item h="1" m="1" x="328"/>
        <item h="1" m="1" x="2047"/>
        <item h="1" m="1" x="1378"/>
        <item h="1" m="1" x="663"/>
        <item h="1" m="1" x="4353"/>
        <item h="1" m="1" x="978"/>
        <item h="1" m="1" x="2147"/>
        <item h="1" m="1" x="3840"/>
        <item h="1" m="1" x="612"/>
        <item h="1" m="1" x="2004"/>
        <item h="1" m="1" x="3672"/>
        <item h="1" m="1" x="444"/>
        <item h="1" m="1" x="3287"/>
        <item h="1" m="1" x="3506"/>
        <item h="1" m="1" x="4660"/>
        <item h="1" m="1" x="1467"/>
        <item h="1" m="1" x="3143"/>
        <item h="1" m="1" x="4841"/>
        <item h="1" m="1" x="1314"/>
        <item h="1" m="1" x="2979"/>
        <item h="1" m="1" x="4129"/>
        <item h="1" m="1" x="918"/>
        <item h="1" m="1" x="3810"/>
        <item h="1" m="1" x="18"/>
        <item h="1" m="1" x="1770"/>
        <item h="1" m="1" x="3440"/>
        <item h="1" m="1" x="3081"/>
        <item h="1" m="1" x="4775"/>
        <item h="1" m="1" x="1588"/>
        <item h="1" m="1" x="3256"/>
        <item h="1" m="1" x="4419"/>
        <item h="1" m="1" x="4630"/>
        <item h="1" m="1" x="850"/>
        <item h="1" m="1" x="2586"/>
        <item h="1" m="1" x="4264"/>
        <item h="1" m="1" x="1054"/>
        <item h="1" m="1" x="682"/>
        <item h="1" m="1" x="2420"/>
        <item h="1" m="1" x="4095"/>
        <item h="1" m="1" x="304"/>
        <item h="1" m="1" x="2060"/>
        <item h="1" m="1" x="2251"/>
        <item h="1" m="1" x="3374"/>
        <item h="1" m="1" x="154"/>
        <item h="1" m="1" x="3192"/>
        <item h="1" m="1" x="4919"/>
        <item h="1" m="1" x="1748"/>
        <item h="1" m="1" x="2855"/>
        <item h="1" m="1" x="4576"/>
        <item h="1" m="1" x="4190"/>
        <item h="1" m="1" x="979"/>
        <item h="1" m="1" x="2711"/>
        <item h="1" m="1" x="4391"/>
        <item h="1" m="1" x="1219"/>
        <item h="1" m="1" x="821"/>
        <item h="1" m="1" x="2551"/>
        <item h="1" m="1" x="3673"/>
        <item h="1" m="1" x="445"/>
        <item h="1" m="1" x="2179"/>
        <item h="1" m="1" x="1840"/>
        <item h="1" m="1" x="3509"/>
        <item h="1" m="1" x="2040"/>
        <item h="1" m="1" x="3144"/>
        <item h="1" m="1" x="3338"/>
        <item h="1" m="1" x="130"/>
        <item h="1" m="1" x="1315"/>
        <item h="1" m="1" x="2982"/>
        <item h="1" m="1" x="4692"/>
        <item h="1" m="1" x="1138"/>
        <item h="1" m="1" x="2829"/>
        <item h="1" m="1" x="4542"/>
        <item h="1" m="1" x="753"/>
        <item h="1" m="1" x="1971"/>
        <item h="1" m="1" x="3637"/>
        <item h="1" m="1" x="406"/>
        <item h="1" m="1" x="1592"/>
        <item h="1" m="1" x="3258"/>
        <item h="1" m="1" x="3479"/>
        <item h="1" m="1" x="4631"/>
        <item h="1" m="1" x="1435"/>
        <item h="1" m="1" x="3117"/>
        <item h="1" m="1" x="4813"/>
        <item h="1" m="1" x="4459"/>
        <item h="1" m="1" x="1281"/>
        <item h="1" m="1" x="2953"/>
        <item h="1" m="1" x="4100"/>
        <item h="1" m="1" x="893"/>
        <item h="1" m="1" x="520"/>
        <item h="1" m="1" x="2253"/>
        <item h="1" m="1" x="3952"/>
        <item h="1" m="1" x="722"/>
        <item h="1" m="1" x="2102"/>
        <item h="1" m="1" x="4921"/>
        <item h="1" m="1" x="1750"/>
        <item h="1" m="1" x="3046"/>
        <item h="1" m="1" x="4755"/>
        <item h="1" m="1" x="1559"/>
        <item h="1" m="1" x="3232"/>
        <item h="1" m="1" x="4392"/>
        <item h="1" m="1" x="1413"/>
        <item h="1" m="1" x="2553"/>
        <item h="1" m="1" x="4236"/>
        <item h="1" m="1" x="1018"/>
        <item h="1" m="1" x="655"/>
        <item h="1" m="1" x="2390"/>
        <item h="1" m="1" x="4067"/>
        <item h="1" m="1" x="861"/>
        <item h="1" m="1" x="2042"/>
        <item h="1" m="1" x="2228"/>
        <item h="1" m="1" x="3340"/>
        <item h="1" m="1" x="131"/>
        <item h="1" m="1" x="1880"/>
        <item h="1" m="1" x="3541"/>
        <item h="1" m="1" x="4891"/>
        <item h="1" m="1" x="1712"/>
        <item h="1" m="1" x="2830"/>
        <item h="1" m="1" x="4544"/>
        <item h="1" m="1" x="955"/>
        <item h="1" m="1" x="2682"/>
        <item h="1" m="1" x="4377"/>
        <item h="1" m="1" x="1186"/>
        <item h="1" m="1" x="793"/>
        <item h="1" m="1" x="2526"/>
        <item h="1" m="1" x="3640"/>
        <item h="1" m="1" x="407"/>
        <item h="1" m="1" x="3023"/>
        <item h="1" m="1" x="3321"/>
        <item h="1" m="1" x="2317"/>
        <item h="1" m="1" x="2627"/>
        <item h="1" m="1" x="2359"/>
        <item h="1" m="1" x="2110"/>
        <item h="1" m="1" x="1629"/>
        <item h="1" m="1" x="1385"/>
        <item h="1" m="1" x="1102"/>
        <item h="1" m="1" x="1419"/>
        <item h="1" m="1" x="606"/>
        <item h="1" m="1" x="331"/>
        <item h="1" m="1" x="649"/>
        <item h="1" m="1" x="379"/>
        <item h="1" m="1" x="133"/>
        <item h="1" m="1" x="4594"/>
        <item h="1" m="1" x="4373"/>
        <item h="1" m="1" x="3317"/>
        <item h="1" m="1" x="3375"/>
        <item h="1" m="1" x="3113"/>
        <item h="1" m="1" x="2894"/>
        <item h="1" m="1" x="2662"/>
        <item h="1" m="1" x="2403"/>
        <item h="1" m="1" x="2142"/>
        <item h="1" m="1" x="2448"/>
        <item h="1" m="1" x="1682"/>
        <item h="1" m="1" x="1989"/>
        <item h="1" m="1" x="1723"/>
        <item h="1" m="1" x="1455"/>
        <item h="1" m="1" x="1208"/>
        <item h="1" m="1" x="917"/>
        <item h="1" m="1" x="958"/>
        <item h="1" m="1" x="695"/>
        <item h="1" m="1" x="417"/>
        <item h="1" m="1" x="739"/>
        <item h="1" m="1" x="473"/>
        <item h="1" m="1" x="4628"/>
        <item h="1" m="1" x="4930"/>
        <item h="1" m="1" x="4672"/>
        <item h="1" m="1" x="4404"/>
        <item h="1" m="1" x="4149"/>
        <item h="1" m="1" x="3717"/>
        <item h="1" m="1" x="3460"/>
        <item h="1" m="1" x="2704"/>
        <item h="1" m="1" x="2980"/>
        <item h="1" m="1" x="2480"/>
        <item h="1" m="1" x="2227"/>
        <item h="1" m="1" x="1765"/>
        <item h="1" m="1" x="1489"/>
        <item h="1" m="1" x="1816"/>
        <item h="1" m="1" x="1532"/>
        <item h="1" m="1" x="734"/>
        <item h="1" m="1" x="1040"/>
        <item h="1" m="1" x="783"/>
        <item h="1" m="1" x="516"/>
        <item h="1" m="1" x="243"/>
        <item h="1" m="1" x="43"/>
        <item h="1" m="1" x="4711"/>
        <item h="1" m="1" x="4446"/>
        <item h="1" m="1" x="4752"/>
        <item h="1" m="1" x="4281"/>
        <item h="1" m="1" x="4018"/>
        <item h="1" m="1" x="3763"/>
        <item h="1" m="1" x="3499"/>
        <item h="1" m="1" x="3218"/>
        <item h="1" m="1" x="3017"/>
        <item h="1" m="1" x="2775"/>
        <item h="1" m="1" x="2533"/>
        <item h="1" m="1" x="2822"/>
        <item h="1" m="1" x="2582"/>
        <item h="1" m="1" x="2351"/>
        <item h="1" m="1" x="1851"/>
        <item h="1" m="1" x="1572"/>
        <item h="1" m="1" x="1333"/>
        <item h="1" m="1" x="1099"/>
        <item h="1" m="1" x="823"/>
        <item h="1" m="1" x="1153"/>
        <item h="1" m="1" x="870"/>
        <item h="1" m="1" x="600"/>
        <item h="1" m="1" x="369"/>
        <item h="1" m="1" x="126"/>
        <item h="1" m="1" x="4783"/>
        <item h="1" m="1" x="4545"/>
        <item h="1" m="1" x="4822"/>
        <item h="1" m="1" x="3806"/>
        <item h="1" m="1" x="4102"/>
        <item h="1" m="1" x="3854"/>
        <item h="1" m="1" x="3576"/>
        <item h="1" m="1" x="3365"/>
        <item h="1" m="1" x="3111"/>
        <item h="1" m="1" x="2854"/>
        <item h="1" m="1" x="2617"/>
        <item h="1" m="1" x="2886"/>
        <item h="1" m="1" x="2137"/>
        <item h="1" m="1" x="1895"/>
        <item h="1" m="1" x="2176"/>
        <item h="1" m="1" x="1932"/>
        <item h="1" m="1" x="1675"/>
        <item h="1" m="1" x="1201"/>
        <item h="1" m="1" x="909"/>
        <item h="1" m="1" x="640"/>
        <item h="1" m="1" x="950"/>
        <item h="1" m="1" x="4818"/>
        <item h="1" m="1" x="207"/>
        <item h="1" m="1" x="4867"/>
        <item h="1" m="1" x="4624"/>
        <item h="1" m="1" x="4401"/>
        <item h="1" m="1" x="4143"/>
        <item h="1" m="1" x="3895"/>
        <item h="1" m="1" x="3620"/>
        <item h="1" m="1" x="3936"/>
        <item h="1" m="1" x="3147"/>
        <item h="1" m="1" x="3452"/>
        <item h="1" m="1" x="3178"/>
        <item h="1" m="1" x="2924"/>
        <item h="1" m="1" x="2697"/>
        <item h="1" m="1" x="2477"/>
        <item h="1" m="1" x="2220"/>
        <item h="1" m="1" x="1979"/>
        <item h="1" m="1" x="2262"/>
        <item h="1" m="1" x="2020"/>
        <item h="1" m="1" x="1241"/>
        <item h="1" m="1" x="1528"/>
        <item h="1" m="1" x="1282"/>
        <item h="1" m="1" x="986"/>
        <item h="1" m="1" x="728"/>
        <item h="1" m="1" x="508"/>
        <item h="1" m="1" x="239"/>
        <item h="1" m="1" x="4915"/>
        <item h="1" m="1" x="276"/>
        <item h="1" m="1" x="4181"/>
        <item h="1" m="1" x="4482"/>
        <item h="1" m="1" x="3977"/>
        <item h="1" m="1" x="3706"/>
        <item h="1" m="1" x="2576"/>
        <item h="1" m="1" x="2310"/>
        <item h="1" m="1" x="2055"/>
        <item h="1" m="1" x="1564"/>
        <item h="1" m="1" x="1329"/>
        <item h="1" m="1" x="1029"/>
        <item h="1" m="1" x="1374"/>
        <item h="1" m="1" x="1091"/>
        <item h="1" m="1" x="862"/>
        <item h="1" m="1" x="595"/>
        <item h="1" m="1" x="323"/>
        <item h="1" m="1" x="76"/>
        <item h="1" m="1" x="4742"/>
        <item h="1" m="1" x="4538"/>
        <item h="1" m="1" x="4271"/>
        <item h="1" m="1" x="4011"/>
        <item h="1" m="1" x="4319"/>
        <item h="1" m="1" x="4045"/>
        <item h="1" m="1" x="3848"/>
        <item h="1" m="1" x="3571"/>
        <item h="1" m="1" x="3301"/>
        <item h="1" m="1" x="3055"/>
        <item h="1" m="1" x="2814"/>
        <item h="1" m="1" x="2612"/>
        <item h="1" m="1" x="2344"/>
        <item h="1" m="1" x="2648"/>
        <item h="1" m="1" x="2394"/>
        <item h="1" m="1" x="2134"/>
        <item h="1" m="1" x="1928"/>
        <item h="1" m="1" x="1671"/>
        <item h="1" m="1" x="1409"/>
        <item h="1" m="1" x="1137"/>
        <item h="1" m="1" x="1446"/>
        <item h="1" m="1" x="634"/>
        <item h="1" m="1" x="362"/>
        <item h="1" m="1" x="683"/>
        <item h="1" m="1" x="404"/>
        <item h="1" m="1" x="161"/>
        <item h="1" m="1" x="3606"/>
        <item h="1" m="1" x="1790"/>
        <item h="1" m="1" x="4228"/>
        <item h="1" m="1" x="1817"/>
        <item h="1" m="1" x="4248"/>
        <item h="1" m="1" x="4846"/>
        <item h="1" m="1" x="2972"/>
        <item h="1" m="1" x="2992"/>
        <item h="1" m="1" x="540"/>
        <item h="1" m="1" x="1189"/>
        <item h="1" m="1" x="4189"/>
        <item h="1" m="1" x="1784"/>
        <item h="1" m="1" x="4218"/>
        <item h="1" m="1" x="2376"/>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33">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4"/>
    </i>
    <i r="1">
      <x v="83"/>
    </i>
    <i r="2">
      <x v="90"/>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7"/>
    </i>
    <i r="1">
      <x v="177"/>
    </i>
    <i r="2">
      <x v="210"/>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4" hier="-1"/>
    <pageField fld="27" hier="-1"/>
  </pageFields>
  <dataFields count="5">
    <dataField name=" Fecha de inicio" fld="8" baseField="0" baseItem="0" numFmtId="169"/>
    <dataField name=" Fecha de terminación final" fld="18" baseField="3" baseItem="88"/>
    <dataField name=" Valor Total ($)" fld="19" baseField="0" baseItem="0" numFmtId="174"/>
    <dataField name=" Giros ($)" fld="20" baseField="0" baseItem="0" numFmtId="174"/>
    <dataField name=" Saldos ($)" fld="21" baseField="0" baseItem="0" numFmtId="174"/>
  </dataFields>
  <formats count="218">
    <format dxfId="849">
      <pivotArea type="all" dataOnly="0" outline="0" collapsedLevelsAreSubtotals="1" fieldPosition="0"/>
    </format>
    <format dxfId="848">
      <pivotArea outline="0" collapsedLevelsAreSubtotals="1" fieldPosition="0"/>
    </format>
    <format dxfId="847">
      <pivotArea dataOnly="0" labelOnly="1" outline="0" axis="axisValues" fieldPosition="0"/>
    </format>
    <format dxfId="846">
      <pivotArea outline="0" collapsedLevelsAreSubtotals="1" fieldPosition="0">
        <references count="1">
          <reference field="4294967294" count="1" selected="0">
            <x v="2"/>
          </reference>
        </references>
      </pivotArea>
    </format>
    <format dxfId="845">
      <pivotArea dataOnly="0" labelOnly="1" outline="0" fieldPosition="0">
        <references count="1">
          <reference field="4294967294" count="1">
            <x v="2"/>
          </reference>
        </references>
      </pivotArea>
    </format>
    <format dxfId="844">
      <pivotArea outline="0" collapsedLevelsAreSubtotals="1" fieldPosition="0">
        <references count="1">
          <reference field="4294967294" count="1">
            <x v="3"/>
          </reference>
        </references>
      </pivotArea>
    </format>
    <format dxfId="843">
      <pivotArea outline="0" collapsedLevelsAreSubtotals="1" fieldPosition="0">
        <references count="1">
          <reference field="4294967294" count="2" selected="0">
            <x v="3"/>
            <x v="4"/>
          </reference>
        </references>
      </pivotArea>
    </format>
    <format dxfId="842">
      <pivotArea dataOnly="0" labelOnly="1" outline="0" fieldPosition="0">
        <references count="1">
          <reference field="4294967294" count="2">
            <x v="3"/>
            <x v="4"/>
          </reference>
        </references>
      </pivotArea>
    </format>
    <format dxfId="841">
      <pivotArea field="0" type="button" dataOnly="0" labelOnly="1" outline="0" axis="axisRow" fieldPosition="0"/>
    </format>
    <format dxfId="840">
      <pivotArea dataOnly="0" labelOnly="1" outline="0" fieldPosition="0">
        <references count="1">
          <reference field="4294967294" count="5">
            <x v="0"/>
            <x v="1"/>
            <x v="2"/>
            <x v="3"/>
            <x v="4"/>
          </reference>
        </references>
      </pivotArea>
    </format>
    <format dxfId="839">
      <pivotArea field="0" type="button" dataOnly="0" labelOnly="1" outline="0" axis="axisRow" fieldPosition="0"/>
    </format>
    <format dxfId="838">
      <pivotArea dataOnly="0" labelOnly="1" outline="0" fieldPosition="0">
        <references count="1">
          <reference field="4294967294" count="5">
            <x v="0"/>
            <x v="1"/>
            <x v="2"/>
            <x v="3"/>
            <x v="4"/>
          </reference>
        </references>
      </pivotArea>
    </format>
    <format dxfId="837">
      <pivotArea dataOnly="0" labelOnly="1" outline="0" fieldPosition="0">
        <references count="1">
          <reference field="24" count="0"/>
        </references>
      </pivotArea>
    </format>
    <format dxfId="836">
      <pivotArea field="24" type="button" dataOnly="0" labelOnly="1" outline="0" axis="axisPage" fieldPosition="0"/>
    </format>
    <format dxfId="835">
      <pivotArea collapsedLevelsAreSubtotals="1" fieldPosition="0">
        <references count="3">
          <reference field="0" count="1" selected="0">
            <x v="74"/>
          </reference>
          <reference field="1" count="1" selected="0">
            <x v="83"/>
          </reference>
          <reference field="3" count="1">
            <x v="90"/>
          </reference>
        </references>
      </pivotArea>
    </format>
    <format dxfId="834">
      <pivotArea collapsedLevelsAreSubtotals="1" fieldPosition="0">
        <references count="1">
          <reference field="0" count="1">
            <x v="100"/>
          </reference>
        </references>
      </pivotArea>
    </format>
    <format dxfId="833">
      <pivotArea collapsedLevelsAreSubtotals="1" fieldPosition="0">
        <references count="2">
          <reference field="0" count="1" selected="0">
            <x v="100"/>
          </reference>
          <reference field="1" count="1">
            <x v="56"/>
          </reference>
        </references>
      </pivotArea>
    </format>
    <format dxfId="832">
      <pivotArea collapsedLevelsAreSubtotals="1" fieldPosition="0">
        <references count="3">
          <reference field="0" count="1" selected="0">
            <x v="100"/>
          </reference>
          <reference field="1" count="1" selected="0">
            <x v="56"/>
          </reference>
          <reference field="3" count="1">
            <x v="199"/>
          </reference>
        </references>
      </pivotArea>
    </format>
    <format dxfId="831">
      <pivotArea collapsedLevelsAreSubtotals="1" fieldPosition="0">
        <references count="1">
          <reference field="0" count="1">
            <x v="119"/>
          </reference>
        </references>
      </pivotArea>
    </format>
    <format dxfId="830">
      <pivotArea collapsedLevelsAreSubtotals="1" fieldPosition="0">
        <references count="2">
          <reference field="0" count="1" selected="0">
            <x v="119"/>
          </reference>
          <reference field="1" count="1">
            <x v="141"/>
          </reference>
        </references>
      </pivotArea>
    </format>
    <format dxfId="829">
      <pivotArea collapsedLevelsAreSubtotals="1" fieldPosition="0">
        <references count="3">
          <reference field="0" count="1" selected="0">
            <x v="119"/>
          </reference>
          <reference field="1" count="1" selected="0">
            <x v="141"/>
          </reference>
          <reference field="3" count="1">
            <x v="58"/>
          </reference>
        </references>
      </pivotArea>
    </format>
    <format dxfId="828">
      <pivotArea collapsedLevelsAreSubtotals="1" fieldPosition="0">
        <references count="1">
          <reference field="0" count="1">
            <x v="128"/>
          </reference>
        </references>
      </pivotArea>
    </format>
    <format dxfId="827">
      <pivotArea collapsedLevelsAreSubtotals="1" fieldPosition="0">
        <references count="2">
          <reference field="0" count="1" selected="0">
            <x v="128"/>
          </reference>
          <reference field="1" count="1">
            <x v="38"/>
          </reference>
        </references>
      </pivotArea>
    </format>
    <format dxfId="826">
      <pivotArea collapsedLevelsAreSubtotals="1" fieldPosition="0">
        <references count="3">
          <reference field="0" count="1" selected="0">
            <x v="128"/>
          </reference>
          <reference field="1" count="1" selected="0">
            <x v="38"/>
          </reference>
          <reference field="3" count="1">
            <x v="75"/>
          </reference>
        </references>
      </pivotArea>
    </format>
    <format dxfId="825">
      <pivotArea collapsedLevelsAreSubtotals="1" fieldPosition="0">
        <references count="1">
          <reference field="0" count="1">
            <x v="134"/>
          </reference>
        </references>
      </pivotArea>
    </format>
    <format dxfId="824">
      <pivotArea collapsedLevelsAreSubtotals="1" fieldPosition="0">
        <references count="2">
          <reference field="0" count="1" selected="0">
            <x v="134"/>
          </reference>
          <reference field="1" count="1">
            <x v="87"/>
          </reference>
        </references>
      </pivotArea>
    </format>
    <format dxfId="823">
      <pivotArea collapsedLevelsAreSubtotals="1" fieldPosition="0">
        <references count="3">
          <reference field="0" count="1" selected="0">
            <x v="134"/>
          </reference>
          <reference field="1" count="1" selected="0">
            <x v="87"/>
          </reference>
          <reference field="3" count="1">
            <x v="57"/>
          </reference>
        </references>
      </pivotArea>
    </format>
    <format dxfId="822">
      <pivotArea collapsedLevelsAreSubtotals="1" fieldPosition="0">
        <references count="1">
          <reference field="0" count="1">
            <x v="135"/>
          </reference>
        </references>
      </pivotArea>
    </format>
    <format dxfId="821">
      <pivotArea collapsedLevelsAreSubtotals="1" fieldPosition="0">
        <references count="2">
          <reference field="0" count="1" selected="0">
            <x v="135"/>
          </reference>
          <reference field="1" count="1">
            <x v="63"/>
          </reference>
        </references>
      </pivotArea>
    </format>
    <format dxfId="820">
      <pivotArea collapsedLevelsAreSubtotals="1" fieldPosition="0">
        <references count="3">
          <reference field="0" count="1" selected="0">
            <x v="135"/>
          </reference>
          <reference field="1" count="1" selected="0">
            <x v="63"/>
          </reference>
          <reference field="3" count="1">
            <x v="116"/>
          </reference>
        </references>
      </pivotArea>
    </format>
    <format dxfId="819">
      <pivotArea collapsedLevelsAreSubtotals="1" fieldPosition="0">
        <references count="1">
          <reference field="0" count="1">
            <x v="138"/>
          </reference>
        </references>
      </pivotArea>
    </format>
    <format dxfId="818">
      <pivotArea collapsedLevelsAreSubtotals="1" fieldPosition="0">
        <references count="2">
          <reference field="0" count="1" selected="0">
            <x v="138"/>
          </reference>
          <reference field="1" count="1">
            <x v="69"/>
          </reference>
        </references>
      </pivotArea>
    </format>
    <format dxfId="817">
      <pivotArea collapsedLevelsAreSubtotals="1" fieldPosition="0">
        <references count="3">
          <reference field="0" count="1" selected="0">
            <x v="138"/>
          </reference>
          <reference field="1" count="1" selected="0">
            <x v="69"/>
          </reference>
          <reference field="3" count="1">
            <x v="198"/>
          </reference>
        </references>
      </pivotArea>
    </format>
    <format dxfId="816">
      <pivotArea collapsedLevelsAreSubtotals="1" fieldPosition="0">
        <references count="1">
          <reference field="0" count="1">
            <x v="142"/>
          </reference>
        </references>
      </pivotArea>
    </format>
    <format dxfId="815">
      <pivotArea collapsedLevelsAreSubtotals="1" fieldPosition="0">
        <references count="2">
          <reference field="0" count="1" selected="0">
            <x v="142"/>
          </reference>
          <reference field="1" count="1">
            <x v="164"/>
          </reference>
        </references>
      </pivotArea>
    </format>
    <format dxfId="814">
      <pivotArea collapsedLevelsAreSubtotals="1" fieldPosition="0">
        <references count="3">
          <reference field="0" count="1" selected="0">
            <x v="142"/>
          </reference>
          <reference field="1" count="1" selected="0">
            <x v="164"/>
          </reference>
          <reference field="3" count="1">
            <x v="126"/>
          </reference>
        </references>
      </pivotArea>
    </format>
    <format dxfId="813">
      <pivotArea collapsedLevelsAreSubtotals="1" fieldPosition="0">
        <references count="1">
          <reference field="0" count="1">
            <x v="143"/>
          </reference>
        </references>
      </pivotArea>
    </format>
    <format dxfId="812">
      <pivotArea collapsedLevelsAreSubtotals="1" fieldPosition="0">
        <references count="2">
          <reference field="0" count="1" selected="0">
            <x v="143"/>
          </reference>
          <reference field="1" count="1">
            <x v="145"/>
          </reference>
        </references>
      </pivotArea>
    </format>
    <format dxfId="811">
      <pivotArea collapsedLevelsAreSubtotals="1" fieldPosition="0">
        <references count="3">
          <reference field="0" count="1" selected="0">
            <x v="143"/>
          </reference>
          <reference field="1" count="1" selected="0">
            <x v="145"/>
          </reference>
          <reference field="3" count="1">
            <x v="183"/>
          </reference>
        </references>
      </pivotArea>
    </format>
    <format dxfId="810">
      <pivotArea collapsedLevelsAreSubtotals="1" fieldPosition="0">
        <references count="1">
          <reference field="0" count="1">
            <x v="144"/>
          </reference>
        </references>
      </pivotArea>
    </format>
    <format dxfId="809">
      <pivotArea collapsedLevelsAreSubtotals="1" fieldPosition="0">
        <references count="2">
          <reference field="0" count="1" selected="0">
            <x v="144"/>
          </reference>
          <reference field="1" count="1">
            <x v="82"/>
          </reference>
        </references>
      </pivotArea>
    </format>
    <format dxfId="808">
      <pivotArea collapsedLevelsAreSubtotals="1" fieldPosition="0">
        <references count="3">
          <reference field="0" count="1" selected="0">
            <x v="144"/>
          </reference>
          <reference field="1" count="1" selected="0">
            <x v="82"/>
          </reference>
          <reference field="3" count="1">
            <x v="36"/>
          </reference>
        </references>
      </pivotArea>
    </format>
    <format dxfId="807">
      <pivotArea collapsedLevelsAreSubtotals="1" fieldPosition="0">
        <references count="1">
          <reference field="0" count="1">
            <x v="147"/>
          </reference>
        </references>
      </pivotArea>
    </format>
    <format dxfId="806">
      <pivotArea collapsedLevelsAreSubtotals="1" fieldPosition="0">
        <references count="2">
          <reference field="0" count="1" selected="0">
            <x v="147"/>
          </reference>
          <reference field="1" count="1">
            <x v="134"/>
          </reference>
        </references>
      </pivotArea>
    </format>
    <format dxfId="805">
      <pivotArea collapsedLevelsAreSubtotals="1" fieldPosition="0">
        <references count="3">
          <reference field="0" count="1" selected="0">
            <x v="147"/>
          </reference>
          <reference field="1" count="1" selected="0">
            <x v="134"/>
          </reference>
          <reference field="3" count="1">
            <x v="178"/>
          </reference>
        </references>
      </pivotArea>
    </format>
    <format dxfId="804">
      <pivotArea collapsedLevelsAreSubtotals="1" fieldPosition="0">
        <references count="1">
          <reference field="0" count="1">
            <x v="149"/>
          </reference>
        </references>
      </pivotArea>
    </format>
    <format dxfId="803">
      <pivotArea collapsedLevelsAreSubtotals="1" fieldPosition="0">
        <references count="2">
          <reference field="0" count="1" selected="0">
            <x v="149"/>
          </reference>
          <reference field="1" count="1">
            <x v="130"/>
          </reference>
        </references>
      </pivotArea>
    </format>
    <format dxfId="802">
      <pivotArea collapsedLevelsAreSubtotals="1" fieldPosition="0">
        <references count="3">
          <reference field="0" count="1" selected="0">
            <x v="149"/>
          </reference>
          <reference field="1" count="1" selected="0">
            <x v="130"/>
          </reference>
          <reference field="3" count="1">
            <x v="96"/>
          </reference>
        </references>
      </pivotArea>
    </format>
    <format dxfId="801">
      <pivotArea collapsedLevelsAreSubtotals="1" fieldPosition="0">
        <references count="1">
          <reference field="0" count="1">
            <x v="158"/>
          </reference>
        </references>
      </pivotArea>
    </format>
    <format dxfId="800">
      <pivotArea collapsedLevelsAreSubtotals="1" fieldPosition="0">
        <references count="2">
          <reference field="0" count="1" selected="0">
            <x v="158"/>
          </reference>
          <reference field="1" count="1">
            <x v="166"/>
          </reference>
        </references>
      </pivotArea>
    </format>
    <format dxfId="799">
      <pivotArea collapsedLevelsAreSubtotals="1" fieldPosition="0">
        <references count="3">
          <reference field="0" count="1" selected="0">
            <x v="158"/>
          </reference>
          <reference field="1" count="1" selected="0">
            <x v="166"/>
          </reference>
          <reference field="3" count="1">
            <x v="53"/>
          </reference>
        </references>
      </pivotArea>
    </format>
    <format dxfId="798">
      <pivotArea collapsedLevelsAreSubtotals="1" fieldPosition="0">
        <references count="1">
          <reference field="0" count="1">
            <x v="161"/>
          </reference>
        </references>
      </pivotArea>
    </format>
    <format dxfId="797">
      <pivotArea collapsedLevelsAreSubtotals="1" fieldPosition="0">
        <references count="2">
          <reference field="0" count="1" selected="0">
            <x v="161"/>
          </reference>
          <reference field="1" count="1">
            <x v="48"/>
          </reference>
        </references>
      </pivotArea>
    </format>
    <format dxfId="796">
      <pivotArea collapsedLevelsAreSubtotals="1" fieldPosition="0">
        <references count="3">
          <reference field="0" count="1" selected="0">
            <x v="161"/>
          </reference>
          <reference field="1" count="1" selected="0">
            <x v="48"/>
          </reference>
          <reference field="3" count="1">
            <x v="97"/>
          </reference>
        </references>
      </pivotArea>
    </format>
    <format dxfId="795">
      <pivotArea collapsedLevelsAreSubtotals="1" fieldPosition="0">
        <references count="1">
          <reference field="0" count="1">
            <x v="167"/>
          </reference>
        </references>
      </pivotArea>
    </format>
    <format dxfId="794">
      <pivotArea collapsedLevelsAreSubtotals="1" fieldPosition="0">
        <references count="2">
          <reference field="0" count="1" selected="0">
            <x v="167"/>
          </reference>
          <reference field="1" count="1">
            <x v="132"/>
          </reference>
        </references>
      </pivotArea>
    </format>
    <format dxfId="793">
      <pivotArea collapsedLevelsAreSubtotals="1" fieldPosition="0">
        <references count="3">
          <reference field="0" count="1" selected="0">
            <x v="167"/>
          </reference>
          <reference field="1" count="1" selected="0">
            <x v="132"/>
          </reference>
          <reference field="3" count="1">
            <x v="188"/>
          </reference>
        </references>
      </pivotArea>
    </format>
    <format dxfId="792">
      <pivotArea collapsedLevelsAreSubtotals="1" fieldPosition="0">
        <references count="1">
          <reference field="0" count="1">
            <x v="168"/>
          </reference>
        </references>
      </pivotArea>
    </format>
    <format dxfId="791">
      <pivotArea collapsedLevelsAreSubtotals="1" fieldPosition="0">
        <references count="2">
          <reference field="0" count="1" selected="0">
            <x v="168"/>
          </reference>
          <reference field="1" count="1">
            <x v="102"/>
          </reference>
        </references>
      </pivotArea>
    </format>
    <format dxfId="790">
      <pivotArea collapsedLevelsAreSubtotals="1" fieldPosition="0">
        <references count="3">
          <reference field="0" count="1" selected="0">
            <x v="168"/>
          </reference>
          <reference field="1" count="1" selected="0">
            <x v="102"/>
          </reference>
          <reference field="3" count="1">
            <x v="151"/>
          </reference>
        </references>
      </pivotArea>
    </format>
    <format dxfId="789">
      <pivotArea collapsedLevelsAreSubtotals="1" fieldPosition="0">
        <references count="1">
          <reference field="0" count="1">
            <x v="169"/>
          </reference>
        </references>
      </pivotArea>
    </format>
    <format dxfId="788">
      <pivotArea collapsedLevelsAreSubtotals="1" fieldPosition="0">
        <references count="2">
          <reference field="0" count="1" selected="0">
            <x v="169"/>
          </reference>
          <reference field="1" count="1">
            <x v="21"/>
          </reference>
        </references>
      </pivotArea>
    </format>
    <format dxfId="787">
      <pivotArea collapsedLevelsAreSubtotals="1" fieldPosition="0">
        <references count="3">
          <reference field="0" count="1" selected="0">
            <x v="169"/>
          </reference>
          <reference field="1" count="1" selected="0">
            <x v="21"/>
          </reference>
          <reference field="3" count="1">
            <x v="192"/>
          </reference>
        </references>
      </pivotArea>
    </format>
    <format dxfId="786">
      <pivotArea collapsedLevelsAreSubtotals="1" fieldPosition="0">
        <references count="1">
          <reference field="0" count="1">
            <x v="171"/>
          </reference>
        </references>
      </pivotArea>
    </format>
    <format dxfId="785">
      <pivotArea collapsedLevelsAreSubtotals="1" fieldPosition="0">
        <references count="2">
          <reference field="0" count="1" selected="0">
            <x v="171"/>
          </reference>
          <reference field="1" count="1">
            <x v="136"/>
          </reference>
        </references>
      </pivotArea>
    </format>
    <format dxfId="784">
      <pivotArea collapsedLevelsAreSubtotals="1" fieldPosition="0">
        <references count="3">
          <reference field="0" count="1" selected="0">
            <x v="171"/>
          </reference>
          <reference field="1" count="1" selected="0">
            <x v="136"/>
          </reference>
          <reference field="3" count="1">
            <x v="129"/>
          </reference>
        </references>
      </pivotArea>
    </format>
    <format dxfId="783">
      <pivotArea collapsedLevelsAreSubtotals="1" fieldPosition="0">
        <references count="1">
          <reference field="0" count="1">
            <x v="172"/>
          </reference>
        </references>
      </pivotArea>
    </format>
    <format dxfId="782">
      <pivotArea collapsedLevelsAreSubtotals="1" fieldPosition="0">
        <references count="2">
          <reference field="0" count="1" selected="0">
            <x v="172"/>
          </reference>
          <reference field="1" count="1">
            <x v="170"/>
          </reference>
        </references>
      </pivotArea>
    </format>
    <format dxfId="781">
      <pivotArea collapsedLevelsAreSubtotals="1" fieldPosition="0">
        <references count="3">
          <reference field="0" count="1" selected="0">
            <x v="172"/>
          </reference>
          <reference field="1" count="1" selected="0">
            <x v="170"/>
          </reference>
          <reference field="3" count="1">
            <x v="153"/>
          </reference>
        </references>
      </pivotArea>
    </format>
    <format dxfId="780">
      <pivotArea collapsedLevelsAreSubtotals="1" fieldPosition="0">
        <references count="1">
          <reference field="0" count="1">
            <x v="173"/>
          </reference>
        </references>
      </pivotArea>
    </format>
    <format dxfId="779">
      <pivotArea collapsedLevelsAreSubtotals="1" fieldPosition="0">
        <references count="2">
          <reference field="0" count="1" selected="0">
            <x v="173"/>
          </reference>
          <reference field="1" count="1">
            <x v="54"/>
          </reference>
        </references>
      </pivotArea>
    </format>
    <format dxfId="778">
      <pivotArea collapsedLevelsAreSubtotals="1" fieldPosition="0">
        <references count="3">
          <reference field="0" count="1" selected="0">
            <x v="173"/>
          </reference>
          <reference field="1" count="1" selected="0">
            <x v="54"/>
          </reference>
          <reference field="3" count="1">
            <x v="145"/>
          </reference>
        </references>
      </pivotArea>
    </format>
    <format dxfId="777">
      <pivotArea collapsedLevelsAreSubtotals="1" fieldPosition="0">
        <references count="1">
          <reference field="0" count="1">
            <x v="174"/>
          </reference>
        </references>
      </pivotArea>
    </format>
    <format dxfId="776">
      <pivotArea collapsedLevelsAreSubtotals="1" fieldPosition="0">
        <references count="2">
          <reference field="0" count="1" selected="0">
            <x v="174"/>
          </reference>
          <reference field="1" count="1">
            <x v="64"/>
          </reference>
        </references>
      </pivotArea>
    </format>
    <format dxfId="775">
      <pivotArea collapsedLevelsAreSubtotals="1" fieldPosition="0">
        <references count="3">
          <reference field="0" count="1" selected="0">
            <x v="174"/>
          </reference>
          <reference field="1" count="1" selected="0">
            <x v="64"/>
          </reference>
          <reference field="3" count="1">
            <x v="141"/>
          </reference>
        </references>
      </pivotArea>
    </format>
    <format dxfId="774">
      <pivotArea collapsedLevelsAreSubtotals="1" fieldPosition="0">
        <references count="1">
          <reference field="0" count="1">
            <x v="175"/>
          </reference>
        </references>
      </pivotArea>
    </format>
    <format dxfId="773">
      <pivotArea collapsedLevelsAreSubtotals="1" fieldPosition="0">
        <references count="2">
          <reference field="0" count="1" selected="0">
            <x v="175"/>
          </reference>
          <reference field="1" count="1">
            <x v="91"/>
          </reference>
        </references>
      </pivotArea>
    </format>
    <format dxfId="772">
      <pivotArea collapsedLevelsAreSubtotals="1" fieldPosition="0">
        <references count="3">
          <reference field="0" count="1" selected="0">
            <x v="175"/>
          </reference>
          <reference field="1" count="1" selected="0">
            <x v="91"/>
          </reference>
          <reference field="3" count="1">
            <x v="141"/>
          </reference>
        </references>
      </pivotArea>
    </format>
    <format dxfId="771">
      <pivotArea collapsedLevelsAreSubtotals="1" fieldPosition="0">
        <references count="1">
          <reference field="0" count="1">
            <x v="176"/>
          </reference>
        </references>
      </pivotArea>
    </format>
    <format dxfId="770">
      <pivotArea collapsedLevelsAreSubtotals="1" fieldPosition="0">
        <references count="2">
          <reference field="0" count="1" selected="0">
            <x v="176"/>
          </reference>
          <reference field="1" count="1">
            <x v="169"/>
          </reference>
        </references>
      </pivotArea>
    </format>
    <format dxfId="769">
      <pivotArea collapsedLevelsAreSubtotals="1" fieldPosition="0">
        <references count="3">
          <reference field="0" count="1" selected="0">
            <x v="176"/>
          </reference>
          <reference field="1" count="1" selected="0">
            <x v="169"/>
          </reference>
          <reference field="3" count="1">
            <x v="141"/>
          </reference>
        </references>
      </pivotArea>
    </format>
    <format dxfId="768">
      <pivotArea collapsedLevelsAreSubtotals="1" fieldPosition="0">
        <references count="1">
          <reference field="0" count="1">
            <x v="177"/>
          </reference>
        </references>
      </pivotArea>
    </format>
    <format dxfId="767">
      <pivotArea collapsedLevelsAreSubtotals="1" fieldPosition="0">
        <references count="2">
          <reference field="0" count="1" selected="0">
            <x v="177"/>
          </reference>
          <reference field="1" count="1">
            <x v="120"/>
          </reference>
        </references>
      </pivotArea>
    </format>
    <format dxfId="766">
      <pivotArea collapsedLevelsAreSubtotals="1" fieldPosition="0">
        <references count="3">
          <reference field="0" count="1" selected="0">
            <x v="177"/>
          </reference>
          <reference field="1" count="1" selected="0">
            <x v="120"/>
          </reference>
          <reference field="3" count="1">
            <x v="149"/>
          </reference>
        </references>
      </pivotArea>
    </format>
    <format dxfId="765">
      <pivotArea collapsedLevelsAreSubtotals="1" fieldPosition="0">
        <references count="1">
          <reference field="0" count="1">
            <x v="178"/>
          </reference>
        </references>
      </pivotArea>
    </format>
    <format dxfId="764">
      <pivotArea collapsedLevelsAreSubtotals="1" fieldPosition="0">
        <references count="2">
          <reference field="0" count="1" selected="0">
            <x v="178"/>
          </reference>
          <reference field="1" count="1">
            <x v="8"/>
          </reference>
        </references>
      </pivotArea>
    </format>
    <format dxfId="763">
      <pivotArea collapsedLevelsAreSubtotals="1" fieldPosition="0">
        <references count="3">
          <reference field="0" count="1" selected="0">
            <x v="178"/>
          </reference>
          <reference field="1" count="1" selected="0">
            <x v="8"/>
          </reference>
          <reference field="3" count="1">
            <x v="141"/>
          </reference>
        </references>
      </pivotArea>
    </format>
    <format dxfId="762">
      <pivotArea collapsedLevelsAreSubtotals="1" fieldPosition="0">
        <references count="1">
          <reference field="0" count="1">
            <x v="179"/>
          </reference>
        </references>
      </pivotArea>
    </format>
    <format dxfId="761">
      <pivotArea collapsedLevelsAreSubtotals="1" fieldPosition="0">
        <references count="2">
          <reference field="0" count="1" selected="0">
            <x v="179"/>
          </reference>
          <reference field="1" count="1">
            <x v="94"/>
          </reference>
        </references>
      </pivotArea>
    </format>
    <format dxfId="760">
      <pivotArea collapsedLevelsAreSubtotals="1" fieldPosition="0">
        <references count="3">
          <reference field="0" count="1" selected="0">
            <x v="179"/>
          </reference>
          <reference field="1" count="1" selected="0">
            <x v="94"/>
          </reference>
          <reference field="3" count="1">
            <x v="141"/>
          </reference>
        </references>
      </pivotArea>
    </format>
    <format dxfId="759">
      <pivotArea collapsedLevelsAreSubtotals="1" fieldPosition="0">
        <references count="1">
          <reference field="0" count="1">
            <x v="180"/>
          </reference>
        </references>
      </pivotArea>
    </format>
    <format dxfId="758">
      <pivotArea collapsedLevelsAreSubtotals="1" fieldPosition="0">
        <references count="2">
          <reference field="0" count="1" selected="0">
            <x v="180"/>
          </reference>
          <reference field="1" count="1">
            <x v="111"/>
          </reference>
        </references>
      </pivotArea>
    </format>
    <format dxfId="757">
      <pivotArea collapsedLevelsAreSubtotals="1" fieldPosition="0">
        <references count="3">
          <reference field="0" count="1" selected="0">
            <x v="180"/>
          </reference>
          <reference field="1" count="1" selected="0">
            <x v="111"/>
          </reference>
          <reference field="3" count="1">
            <x v="114"/>
          </reference>
        </references>
      </pivotArea>
    </format>
    <format dxfId="756">
      <pivotArea collapsedLevelsAreSubtotals="1" fieldPosition="0">
        <references count="1">
          <reference field="0" count="1">
            <x v="181"/>
          </reference>
        </references>
      </pivotArea>
    </format>
    <format dxfId="755">
      <pivotArea collapsedLevelsAreSubtotals="1" fieldPosition="0">
        <references count="2">
          <reference field="0" count="1" selected="0">
            <x v="181"/>
          </reference>
          <reference field="1" count="1">
            <x v="53"/>
          </reference>
        </references>
      </pivotArea>
    </format>
    <format dxfId="754">
      <pivotArea collapsedLevelsAreSubtotals="1" fieldPosition="0">
        <references count="3">
          <reference field="0" count="1" selected="0">
            <x v="181"/>
          </reference>
          <reference field="1" count="1" selected="0">
            <x v="53"/>
          </reference>
          <reference field="3" count="1">
            <x v="140"/>
          </reference>
        </references>
      </pivotArea>
    </format>
    <format dxfId="753">
      <pivotArea collapsedLevelsAreSubtotals="1" fieldPosition="0">
        <references count="1">
          <reference field="0" count="1">
            <x v="182"/>
          </reference>
        </references>
      </pivotArea>
    </format>
    <format dxfId="752">
      <pivotArea collapsedLevelsAreSubtotals="1" fieldPosition="0">
        <references count="2">
          <reference field="0" count="1" selected="0">
            <x v="182"/>
          </reference>
          <reference field="1" count="1">
            <x v="55"/>
          </reference>
        </references>
      </pivotArea>
    </format>
    <format dxfId="751">
      <pivotArea collapsedLevelsAreSubtotals="1" fieldPosition="0">
        <references count="3">
          <reference field="0" count="1" selected="0">
            <x v="182"/>
          </reference>
          <reference field="1" count="1" selected="0">
            <x v="55"/>
          </reference>
          <reference field="3" count="1">
            <x v="147"/>
          </reference>
        </references>
      </pivotArea>
    </format>
    <format dxfId="750">
      <pivotArea collapsedLevelsAreSubtotals="1" fieldPosition="0">
        <references count="1">
          <reference field="0" count="1">
            <x v="183"/>
          </reference>
        </references>
      </pivotArea>
    </format>
    <format dxfId="749">
      <pivotArea collapsedLevelsAreSubtotals="1" fieldPosition="0">
        <references count="2">
          <reference field="0" count="1" selected="0">
            <x v="183"/>
          </reference>
          <reference field="1" count="1">
            <x v="93"/>
          </reference>
        </references>
      </pivotArea>
    </format>
    <format dxfId="748">
      <pivotArea collapsedLevelsAreSubtotals="1" fieldPosition="0">
        <references count="3">
          <reference field="0" count="1" selected="0">
            <x v="183"/>
          </reference>
          <reference field="1" count="1" selected="0">
            <x v="93"/>
          </reference>
          <reference field="3" count="1">
            <x v="139"/>
          </reference>
        </references>
      </pivotArea>
    </format>
    <format dxfId="747">
      <pivotArea collapsedLevelsAreSubtotals="1" fieldPosition="0">
        <references count="1">
          <reference field="0" count="1">
            <x v="184"/>
          </reference>
        </references>
      </pivotArea>
    </format>
    <format dxfId="746">
      <pivotArea collapsedLevelsAreSubtotals="1" fieldPosition="0">
        <references count="2">
          <reference field="0" count="1" selected="0">
            <x v="184"/>
          </reference>
          <reference field="1" count="1">
            <x v="60"/>
          </reference>
        </references>
      </pivotArea>
    </format>
    <format dxfId="745">
      <pivotArea collapsedLevelsAreSubtotals="1" fieldPosition="0">
        <references count="3">
          <reference field="0" count="1" selected="0">
            <x v="184"/>
          </reference>
          <reference field="1" count="1" selected="0">
            <x v="60"/>
          </reference>
          <reference field="3" count="1">
            <x v="146"/>
          </reference>
        </references>
      </pivotArea>
    </format>
    <format dxfId="744">
      <pivotArea collapsedLevelsAreSubtotals="1" fieldPosition="0">
        <references count="1">
          <reference field="0" count="1">
            <x v="188"/>
          </reference>
        </references>
      </pivotArea>
    </format>
    <format dxfId="743">
      <pivotArea collapsedLevelsAreSubtotals="1" fieldPosition="0">
        <references count="2">
          <reference field="0" count="1" selected="0">
            <x v="188"/>
          </reference>
          <reference field="1" count="1">
            <x v="113"/>
          </reference>
        </references>
      </pivotArea>
    </format>
    <format dxfId="742">
      <pivotArea collapsedLevelsAreSubtotals="1" fieldPosition="0">
        <references count="3">
          <reference field="0" count="1" selected="0">
            <x v="188"/>
          </reference>
          <reference field="1" count="1" selected="0">
            <x v="113"/>
          </reference>
          <reference field="3" count="1">
            <x v="136"/>
          </reference>
        </references>
      </pivotArea>
    </format>
    <format dxfId="741">
      <pivotArea collapsedLevelsAreSubtotals="1" fieldPosition="0">
        <references count="1">
          <reference field="0" count="1">
            <x v="189"/>
          </reference>
        </references>
      </pivotArea>
    </format>
    <format dxfId="740">
      <pivotArea collapsedLevelsAreSubtotals="1" fieldPosition="0">
        <references count="2">
          <reference field="0" count="1" selected="0">
            <x v="189"/>
          </reference>
          <reference field="1" count="1">
            <x v="4"/>
          </reference>
        </references>
      </pivotArea>
    </format>
    <format dxfId="739">
      <pivotArea collapsedLevelsAreSubtotals="1" fieldPosition="0">
        <references count="3">
          <reference field="0" count="1" selected="0">
            <x v="189"/>
          </reference>
          <reference field="1" count="1" selected="0">
            <x v="4"/>
          </reference>
          <reference field="3" count="1">
            <x v="110"/>
          </reference>
        </references>
      </pivotArea>
    </format>
    <format dxfId="738">
      <pivotArea collapsedLevelsAreSubtotals="1" fieldPosition="0">
        <references count="1">
          <reference field="0" count="1">
            <x v="190"/>
          </reference>
        </references>
      </pivotArea>
    </format>
    <format dxfId="737">
      <pivotArea collapsedLevelsAreSubtotals="1" fieldPosition="0">
        <references count="2">
          <reference field="0" count="1" selected="0">
            <x v="190"/>
          </reference>
          <reference field="1" count="1">
            <x v="49"/>
          </reference>
        </references>
      </pivotArea>
    </format>
    <format dxfId="736">
      <pivotArea collapsedLevelsAreSubtotals="1" fieldPosition="0">
        <references count="3">
          <reference field="0" count="1" selected="0">
            <x v="190"/>
          </reference>
          <reference field="1" count="1" selected="0">
            <x v="49"/>
          </reference>
          <reference field="3" count="1">
            <x v="72"/>
          </reference>
        </references>
      </pivotArea>
    </format>
    <format dxfId="735">
      <pivotArea collapsedLevelsAreSubtotals="1" fieldPosition="0">
        <references count="1">
          <reference field="0" count="1">
            <x v="191"/>
          </reference>
        </references>
      </pivotArea>
    </format>
    <format dxfId="734">
      <pivotArea collapsedLevelsAreSubtotals="1" fieldPosition="0">
        <references count="2">
          <reference field="0" count="1" selected="0">
            <x v="191"/>
          </reference>
          <reference field="1" count="1">
            <x v="154"/>
          </reference>
        </references>
      </pivotArea>
    </format>
    <format dxfId="733">
      <pivotArea collapsedLevelsAreSubtotals="1" fieldPosition="0">
        <references count="3">
          <reference field="0" count="1" selected="0">
            <x v="191"/>
          </reference>
          <reference field="1" count="1" selected="0">
            <x v="154"/>
          </reference>
          <reference field="3" count="1">
            <x v="115"/>
          </reference>
        </references>
      </pivotArea>
    </format>
    <format dxfId="732">
      <pivotArea collapsedLevelsAreSubtotals="1" fieldPosition="0">
        <references count="1">
          <reference field="0" count="1">
            <x v="192"/>
          </reference>
        </references>
      </pivotArea>
    </format>
    <format dxfId="731">
      <pivotArea collapsedLevelsAreSubtotals="1" fieldPosition="0">
        <references count="2">
          <reference field="0" count="1" selected="0">
            <x v="192"/>
          </reference>
          <reference field="1" count="1">
            <x v="112"/>
          </reference>
        </references>
      </pivotArea>
    </format>
    <format dxfId="730">
      <pivotArea collapsedLevelsAreSubtotals="1" fieldPosition="0">
        <references count="3">
          <reference field="0" count="1" selected="0">
            <x v="192"/>
          </reference>
          <reference field="1" count="1" selected="0">
            <x v="112"/>
          </reference>
          <reference field="3" count="1">
            <x v="103"/>
          </reference>
        </references>
      </pivotArea>
    </format>
    <format dxfId="729">
      <pivotArea collapsedLevelsAreSubtotals="1" fieldPosition="0">
        <references count="1">
          <reference field="0" count="1">
            <x v="193"/>
          </reference>
        </references>
      </pivotArea>
    </format>
    <format dxfId="728">
      <pivotArea collapsedLevelsAreSubtotals="1" fieldPosition="0">
        <references count="2">
          <reference field="0" count="1" selected="0">
            <x v="193"/>
          </reference>
          <reference field="1" count="1">
            <x v="148"/>
          </reference>
        </references>
      </pivotArea>
    </format>
    <format dxfId="727">
      <pivotArea collapsedLevelsAreSubtotals="1" fieldPosition="0">
        <references count="3">
          <reference field="0" count="1" selected="0">
            <x v="193"/>
          </reference>
          <reference field="1" count="1" selected="0">
            <x v="148"/>
          </reference>
          <reference field="3" count="1">
            <x v="106"/>
          </reference>
        </references>
      </pivotArea>
    </format>
    <format dxfId="726">
      <pivotArea collapsedLevelsAreSubtotals="1" fieldPosition="0">
        <references count="1">
          <reference field="0" count="1">
            <x v="194"/>
          </reference>
        </references>
      </pivotArea>
    </format>
    <format dxfId="725">
      <pivotArea collapsedLevelsAreSubtotals="1" fieldPosition="0">
        <references count="2">
          <reference field="0" count="1" selected="0">
            <x v="194"/>
          </reference>
          <reference field="1" count="1">
            <x v="138"/>
          </reference>
        </references>
      </pivotArea>
    </format>
    <format dxfId="724">
      <pivotArea collapsedLevelsAreSubtotals="1" fieldPosition="0">
        <references count="3">
          <reference field="0" count="1" selected="0">
            <x v="194"/>
          </reference>
          <reference field="1" count="1" selected="0">
            <x v="138"/>
          </reference>
          <reference field="3" count="1">
            <x v="137"/>
          </reference>
        </references>
      </pivotArea>
    </format>
    <format dxfId="723">
      <pivotArea collapsedLevelsAreSubtotals="1" fieldPosition="0">
        <references count="1">
          <reference field="0" count="1">
            <x v="195"/>
          </reference>
        </references>
      </pivotArea>
    </format>
    <format dxfId="722">
      <pivotArea collapsedLevelsAreSubtotals="1" fieldPosition="0">
        <references count="2">
          <reference field="0" count="1" selected="0">
            <x v="195"/>
          </reference>
          <reference field="1" count="1">
            <x v="71"/>
          </reference>
        </references>
      </pivotArea>
    </format>
    <format dxfId="721">
      <pivotArea collapsedLevelsAreSubtotals="1" fieldPosition="0">
        <references count="3">
          <reference field="0" count="1" selected="0">
            <x v="195"/>
          </reference>
          <reference field="1" count="1" selected="0">
            <x v="71"/>
          </reference>
          <reference field="3" count="1">
            <x v="111"/>
          </reference>
        </references>
      </pivotArea>
    </format>
    <format dxfId="720">
      <pivotArea collapsedLevelsAreSubtotals="1" fieldPosition="0">
        <references count="1">
          <reference field="0" count="1">
            <x v="198"/>
          </reference>
        </references>
      </pivotArea>
    </format>
    <format dxfId="719">
      <pivotArea collapsedLevelsAreSubtotals="1" fieldPosition="0">
        <references count="2">
          <reference field="0" count="1" selected="0">
            <x v="198"/>
          </reference>
          <reference field="1" count="1">
            <x v="68"/>
          </reference>
        </references>
      </pivotArea>
    </format>
    <format dxfId="718">
      <pivotArea collapsedLevelsAreSubtotals="1" fieldPosition="0">
        <references count="3">
          <reference field="0" count="1" selected="0">
            <x v="198"/>
          </reference>
          <reference field="1" count="1" selected="0">
            <x v="68"/>
          </reference>
          <reference field="3" count="1">
            <x v="179"/>
          </reference>
        </references>
      </pivotArea>
    </format>
    <format dxfId="717">
      <pivotArea collapsedLevelsAreSubtotals="1" fieldPosition="0">
        <references count="1">
          <reference field="0" count="1">
            <x v="199"/>
          </reference>
        </references>
      </pivotArea>
    </format>
    <format dxfId="716">
      <pivotArea collapsedLevelsAreSubtotals="1" fieldPosition="0">
        <references count="2">
          <reference field="0" count="1" selected="0">
            <x v="199"/>
          </reference>
          <reference field="1" count="1">
            <x v="1"/>
          </reference>
        </references>
      </pivotArea>
    </format>
    <format dxfId="715">
      <pivotArea collapsedLevelsAreSubtotals="1" fieldPosition="0">
        <references count="3">
          <reference field="0" count="1" selected="0">
            <x v="199"/>
          </reference>
          <reference field="1" count="1" selected="0">
            <x v="1"/>
          </reference>
          <reference field="3" count="1">
            <x v="66"/>
          </reference>
        </references>
      </pivotArea>
    </format>
    <format dxfId="714">
      <pivotArea collapsedLevelsAreSubtotals="1" fieldPosition="0">
        <references count="1">
          <reference field="0" count="1">
            <x v="201"/>
          </reference>
        </references>
      </pivotArea>
    </format>
    <format dxfId="713">
      <pivotArea collapsedLevelsAreSubtotals="1" fieldPosition="0">
        <references count="2">
          <reference field="0" count="1" selected="0">
            <x v="201"/>
          </reference>
          <reference field="1" count="1">
            <x v="114"/>
          </reference>
        </references>
      </pivotArea>
    </format>
    <format dxfId="712">
      <pivotArea collapsedLevelsAreSubtotals="1" fieldPosition="0">
        <references count="3">
          <reference field="0" count="1" selected="0">
            <x v="201"/>
          </reference>
          <reference field="1" count="1" selected="0">
            <x v="114"/>
          </reference>
          <reference field="3" count="1">
            <x v="176"/>
          </reference>
        </references>
      </pivotArea>
    </format>
    <format dxfId="711">
      <pivotArea collapsedLevelsAreSubtotals="1" fieldPosition="0">
        <references count="1">
          <reference field="0" count="1">
            <x v="202"/>
          </reference>
        </references>
      </pivotArea>
    </format>
    <format dxfId="710">
      <pivotArea collapsedLevelsAreSubtotals="1" fieldPosition="0">
        <references count="2">
          <reference field="0" count="1" selected="0">
            <x v="202"/>
          </reference>
          <reference field="1" count="1">
            <x v="70"/>
          </reference>
        </references>
      </pivotArea>
    </format>
    <format dxfId="709">
      <pivotArea collapsedLevelsAreSubtotals="1" fieldPosition="0">
        <references count="3">
          <reference field="0" count="1" selected="0">
            <x v="202"/>
          </reference>
          <reference field="1" count="1" selected="0">
            <x v="70"/>
          </reference>
          <reference field="3" count="1">
            <x v="104"/>
          </reference>
        </references>
      </pivotArea>
    </format>
    <format dxfId="708">
      <pivotArea collapsedLevelsAreSubtotals="1" fieldPosition="0">
        <references count="1">
          <reference field="0" count="1">
            <x v="204"/>
          </reference>
        </references>
      </pivotArea>
    </format>
    <format dxfId="707">
      <pivotArea collapsedLevelsAreSubtotals="1" fieldPosition="0">
        <references count="2">
          <reference field="0" count="1" selected="0">
            <x v="204"/>
          </reference>
          <reference field="1" count="1">
            <x v="160"/>
          </reference>
        </references>
      </pivotArea>
    </format>
    <format dxfId="706">
      <pivotArea collapsedLevelsAreSubtotals="1" fieldPosition="0">
        <references count="3">
          <reference field="0" count="1" selected="0">
            <x v="204"/>
          </reference>
          <reference field="1" count="1" selected="0">
            <x v="160"/>
          </reference>
          <reference field="3" count="1">
            <x v="95"/>
          </reference>
        </references>
      </pivotArea>
    </format>
    <format dxfId="705">
      <pivotArea collapsedLevelsAreSubtotals="1" fieldPosition="0">
        <references count="1">
          <reference field="0" count="1">
            <x v="205"/>
          </reference>
        </references>
      </pivotArea>
    </format>
    <format dxfId="704">
      <pivotArea collapsedLevelsAreSubtotals="1" fieldPosition="0">
        <references count="2">
          <reference field="0" count="1" selected="0">
            <x v="205"/>
          </reference>
          <reference field="1" count="1">
            <x v="158"/>
          </reference>
        </references>
      </pivotArea>
    </format>
    <format dxfId="703">
      <pivotArea collapsedLevelsAreSubtotals="1" fieldPosition="0">
        <references count="3">
          <reference field="0" count="1" selected="0">
            <x v="205"/>
          </reference>
          <reference field="1" count="1" selected="0">
            <x v="158"/>
          </reference>
          <reference field="3" count="1">
            <x v="34"/>
          </reference>
        </references>
      </pivotArea>
    </format>
    <format dxfId="702">
      <pivotArea collapsedLevelsAreSubtotals="1" fieldPosition="0">
        <references count="1">
          <reference field="0" count="1">
            <x v="207"/>
          </reference>
        </references>
      </pivotArea>
    </format>
    <format dxfId="701">
      <pivotArea collapsedLevelsAreSubtotals="1" fieldPosition="0">
        <references count="2">
          <reference field="0" count="1" selected="0">
            <x v="207"/>
          </reference>
          <reference field="1" count="1">
            <x v="157"/>
          </reference>
        </references>
      </pivotArea>
    </format>
    <format dxfId="700">
      <pivotArea collapsedLevelsAreSubtotals="1" fieldPosition="0">
        <references count="3">
          <reference field="0" count="1" selected="0">
            <x v="207"/>
          </reference>
          <reference field="1" count="1" selected="0">
            <x v="157"/>
          </reference>
          <reference field="3" count="1">
            <x v="184"/>
          </reference>
        </references>
      </pivotArea>
    </format>
    <format dxfId="699">
      <pivotArea collapsedLevelsAreSubtotals="1" fieldPosition="0">
        <references count="1">
          <reference field="0" count="1">
            <x v="209"/>
          </reference>
        </references>
      </pivotArea>
    </format>
    <format dxfId="698">
      <pivotArea collapsedLevelsAreSubtotals="1" fieldPosition="0">
        <references count="2">
          <reference field="0" count="1" selected="0">
            <x v="209"/>
          </reference>
          <reference field="1" count="1">
            <x v="155"/>
          </reference>
        </references>
      </pivotArea>
    </format>
    <format dxfId="697">
      <pivotArea collapsedLevelsAreSubtotals="1" fieldPosition="0">
        <references count="3">
          <reference field="0" count="1" selected="0">
            <x v="209"/>
          </reference>
          <reference field="1" count="1" selected="0">
            <x v="155"/>
          </reference>
          <reference field="3" count="1">
            <x v="120"/>
          </reference>
        </references>
      </pivotArea>
    </format>
    <format dxfId="696">
      <pivotArea collapsedLevelsAreSubtotals="1" fieldPosition="0">
        <references count="1">
          <reference field="0" count="1">
            <x v="210"/>
          </reference>
        </references>
      </pivotArea>
    </format>
    <format dxfId="695">
      <pivotArea collapsedLevelsAreSubtotals="1" fieldPosition="0">
        <references count="2">
          <reference field="0" count="1" selected="0">
            <x v="210"/>
          </reference>
          <reference field="1" count="1">
            <x v="61"/>
          </reference>
        </references>
      </pivotArea>
    </format>
    <format dxfId="694">
      <pivotArea collapsedLevelsAreSubtotals="1" fieldPosition="0">
        <references count="3">
          <reference field="0" count="1" selected="0">
            <x v="210"/>
          </reference>
          <reference field="1" count="1" selected="0">
            <x v="61"/>
          </reference>
          <reference field="3" count="1">
            <x v="167"/>
          </reference>
        </references>
      </pivotArea>
    </format>
    <format dxfId="693">
      <pivotArea collapsedLevelsAreSubtotals="1" fieldPosition="0">
        <references count="1">
          <reference field="0" count="1">
            <x v="211"/>
          </reference>
        </references>
      </pivotArea>
    </format>
    <format dxfId="692">
      <pivotArea collapsedLevelsAreSubtotals="1" fieldPosition="0">
        <references count="2">
          <reference field="0" count="1" selected="0">
            <x v="211"/>
          </reference>
          <reference field="1" count="1">
            <x v="10"/>
          </reference>
        </references>
      </pivotArea>
    </format>
    <format dxfId="691">
      <pivotArea collapsedLevelsAreSubtotals="1" fieldPosition="0">
        <references count="3">
          <reference field="0" count="1" selected="0">
            <x v="211"/>
          </reference>
          <reference field="1" count="1" selected="0">
            <x v="10"/>
          </reference>
          <reference field="3" count="1">
            <x v="200"/>
          </reference>
        </references>
      </pivotArea>
    </format>
    <format dxfId="690">
      <pivotArea collapsedLevelsAreSubtotals="1" fieldPosition="0">
        <references count="1">
          <reference field="0" count="1">
            <x v="212"/>
          </reference>
        </references>
      </pivotArea>
    </format>
    <format dxfId="689">
      <pivotArea collapsedLevelsAreSubtotals="1" fieldPosition="0">
        <references count="2">
          <reference field="0" count="1" selected="0">
            <x v="212"/>
          </reference>
          <reference field="1" count="1">
            <x v="50"/>
          </reference>
        </references>
      </pivotArea>
    </format>
    <format dxfId="688">
      <pivotArea collapsedLevelsAreSubtotals="1" fieldPosition="0">
        <references count="3">
          <reference field="0" count="1" selected="0">
            <x v="212"/>
          </reference>
          <reference field="1" count="1" selected="0">
            <x v="50"/>
          </reference>
          <reference field="3" count="1">
            <x v="70"/>
          </reference>
        </references>
      </pivotArea>
    </format>
    <format dxfId="687">
      <pivotArea collapsedLevelsAreSubtotals="1" fieldPosition="0">
        <references count="1">
          <reference field="0" count="1">
            <x v="213"/>
          </reference>
        </references>
      </pivotArea>
    </format>
    <format dxfId="686">
      <pivotArea collapsedLevelsAreSubtotals="1" fieldPosition="0">
        <references count="2">
          <reference field="0" count="1" selected="0">
            <x v="213"/>
          </reference>
          <reference field="1" count="1">
            <x v="29"/>
          </reference>
        </references>
      </pivotArea>
    </format>
    <format dxfId="685">
      <pivotArea collapsedLevelsAreSubtotals="1" fieldPosition="0">
        <references count="3">
          <reference field="0" count="1" selected="0">
            <x v="213"/>
          </reference>
          <reference field="1" count="1" selected="0">
            <x v="29"/>
          </reference>
          <reference field="3" count="1">
            <x v="138"/>
          </reference>
        </references>
      </pivotArea>
    </format>
    <format dxfId="684">
      <pivotArea collapsedLevelsAreSubtotals="1" fieldPosition="0">
        <references count="1">
          <reference field="0" count="1">
            <x v="214"/>
          </reference>
        </references>
      </pivotArea>
    </format>
    <format dxfId="683">
      <pivotArea collapsedLevelsAreSubtotals="1" fieldPosition="0">
        <references count="2">
          <reference field="0" count="1" selected="0">
            <x v="214"/>
          </reference>
          <reference field="1" count="1">
            <x v="40"/>
          </reference>
        </references>
      </pivotArea>
    </format>
    <format dxfId="682">
      <pivotArea collapsedLevelsAreSubtotals="1" fieldPosition="0">
        <references count="3">
          <reference field="0" count="1" selected="0">
            <x v="214"/>
          </reference>
          <reference field="1" count="1" selected="0">
            <x v="40"/>
          </reference>
          <reference field="3" count="1">
            <x v="156"/>
          </reference>
        </references>
      </pivotArea>
    </format>
    <format dxfId="681">
      <pivotArea collapsedLevelsAreSubtotals="1" fieldPosition="0">
        <references count="1">
          <reference field="0" count="1">
            <x v="215"/>
          </reference>
        </references>
      </pivotArea>
    </format>
    <format dxfId="680">
      <pivotArea collapsedLevelsAreSubtotals="1" fieldPosition="0">
        <references count="2">
          <reference field="0" count="1" selected="0">
            <x v="215"/>
          </reference>
          <reference field="1" count="1">
            <x v="75"/>
          </reference>
        </references>
      </pivotArea>
    </format>
    <format dxfId="679">
      <pivotArea collapsedLevelsAreSubtotals="1" fieldPosition="0">
        <references count="3">
          <reference field="0" count="1" selected="0">
            <x v="215"/>
          </reference>
          <reference field="1" count="1" selected="0">
            <x v="75"/>
          </reference>
          <reference field="3" count="1">
            <x v="175"/>
          </reference>
        </references>
      </pivotArea>
    </format>
    <format dxfId="678">
      <pivotArea collapsedLevelsAreSubtotals="1" fieldPosition="0">
        <references count="1">
          <reference field="0" count="1">
            <x v="216"/>
          </reference>
        </references>
      </pivotArea>
    </format>
    <format dxfId="677">
      <pivotArea collapsedLevelsAreSubtotals="1" fieldPosition="0">
        <references count="2">
          <reference field="0" count="1" selected="0">
            <x v="216"/>
          </reference>
          <reference field="1" count="1">
            <x v="86"/>
          </reference>
        </references>
      </pivotArea>
    </format>
    <format dxfId="676">
      <pivotArea collapsedLevelsAreSubtotals="1" fieldPosition="0">
        <references count="3">
          <reference field="0" count="1" selected="0">
            <x v="216"/>
          </reference>
          <reference field="1" count="1" selected="0">
            <x v="86"/>
          </reference>
          <reference field="3" count="1">
            <x v="41"/>
          </reference>
        </references>
      </pivotArea>
    </format>
    <format dxfId="675">
      <pivotArea collapsedLevelsAreSubtotals="1" fieldPosition="0">
        <references count="1">
          <reference field="0" count="1">
            <x v="217"/>
          </reference>
        </references>
      </pivotArea>
    </format>
    <format dxfId="674">
      <pivotArea collapsedLevelsAreSubtotals="1" fieldPosition="0">
        <references count="2">
          <reference field="0" count="1" selected="0">
            <x v="217"/>
          </reference>
          <reference field="1" count="1">
            <x v="72"/>
          </reference>
        </references>
      </pivotArea>
    </format>
    <format dxfId="673">
      <pivotArea collapsedLevelsAreSubtotals="1" fieldPosition="0">
        <references count="3">
          <reference field="0" count="1" selected="0">
            <x v="217"/>
          </reference>
          <reference field="1" count="1" selected="0">
            <x v="72"/>
          </reference>
          <reference field="3" count="1">
            <x v="23"/>
          </reference>
        </references>
      </pivotArea>
    </format>
    <format dxfId="672">
      <pivotArea collapsedLevelsAreSubtotals="1" fieldPosition="0">
        <references count="1">
          <reference field="0" count="1">
            <x v="218"/>
          </reference>
        </references>
      </pivotArea>
    </format>
    <format dxfId="671">
      <pivotArea collapsedLevelsAreSubtotals="1" fieldPosition="0">
        <references count="2">
          <reference field="0" count="1" selected="0">
            <x v="218"/>
          </reference>
          <reference field="1" count="1">
            <x v="33"/>
          </reference>
        </references>
      </pivotArea>
    </format>
    <format dxfId="670">
      <pivotArea collapsedLevelsAreSubtotals="1" fieldPosition="0">
        <references count="3">
          <reference field="0" count="1" selected="0">
            <x v="218"/>
          </reference>
          <reference field="1" count="1" selected="0">
            <x v="33"/>
          </reference>
          <reference field="3" count="1">
            <x v="193"/>
          </reference>
        </references>
      </pivotArea>
    </format>
    <format dxfId="669">
      <pivotArea collapsedLevelsAreSubtotals="1" fieldPosition="0">
        <references count="1">
          <reference field="0" count="1">
            <x v="219"/>
          </reference>
        </references>
      </pivotArea>
    </format>
    <format dxfId="668">
      <pivotArea collapsedLevelsAreSubtotals="1" fieldPosition="0">
        <references count="2">
          <reference field="0" count="1" selected="0">
            <x v="219"/>
          </reference>
          <reference field="1" count="1">
            <x v="58"/>
          </reference>
        </references>
      </pivotArea>
    </format>
    <format dxfId="667">
      <pivotArea collapsedLevelsAreSubtotals="1" fieldPosition="0">
        <references count="3">
          <reference field="0" count="1" selected="0">
            <x v="219"/>
          </reference>
          <reference field="1" count="1" selected="0">
            <x v="58"/>
          </reference>
          <reference field="3" count="1">
            <x v="197"/>
          </reference>
        </references>
      </pivotArea>
    </format>
    <format dxfId="666">
      <pivotArea collapsedLevelsAreSubtotals="1" fieldPosition="0">
        <references count="1">
          <reference field="0" count="1">
            <x v="220"/>
          </reference>
        </references>
      </pivotArea>
    </format>
    <format dxfId="665">
      <pivotArea collapsedLevelsAreSubtotals="1" fieldPosition="0">
        <references count="2">
          <reference field="0" count="1" selected="0">
            <x v="220"/>
          </reference>
          <reference field="1" count="1">
            <x v="153"/>
          </reference>
        </references>
      </pivotArea>
    </format>
    <format dxfId="664">
      <pivotArea collapsedLevelsAreSubtotals="1" fieldPosition="0">
        <references count="3">
          <reference field="0" count="1" selected="0">
            <x v="220"/>
          </reference>
          <reference field="1" count="1" selected="0">
            <x v="153"/>
          </reference>
          <reference field="3" count="1">
            <x v="5"/>
          </reference>
        </references>
      </pivotArea>
    </format>
    <format dxfId="663">
      <pivotArea collapsedLevelsAreSubtotals="1" fieldPosition="0">
        <references count="1">
          <reference field="0" count="1">
            <x v="221"/>
          </reference>
        </references>
      </pivotArea>
    </format>
    <format dxfId="662">
      <pivotArea collapsedLevelsAreSubtotals="1" fieldPosition="0">
        <references count="2">
          <reference field="0" count="1" selected="0">
            <x v="221"/>
          </reference>
          <reference field="1" count="1">
            <x v="116"/>
          </reference>
        </references>
      </pivotArea>
    </format>
    <format dxfId="661">
      <pivotArea collapsedLevelsAreSubtotals="1" fieldPosition="0">
        <references count="3">
          <reference field="0" count="1" selected="0">
            <x v="221"/>
          </reference>
          <reference field="1" count="1" selected="0">
            <x v="116"/>
          </reference>
          <reference field="3" count="1">
            <x v="155"/>
          </reference>
        </references>
      </pivotArea>
    </format>
    <format dxfId="660">
      <pivotArea collapsedLevelsAreSubtotals="1" fieldPosition="0">
        <references count="1">
          <reference field="0" count="1">
            <x v="222"/>
          </reference>
        </references>
      </pivotArea>
    </format>
    <format dxfId="659">
      <pivotArea collapsedLevelsAreSubtotals="1" fieldPosition="0">
        <references count="2">
          <reference field="0" count="1" selected="0">
            <x v="222"/>
          </reference>
          <reference field="1" count="1">
            <x v="97"/>
          </reference>
        </references>
      </pivotArea>
    </format>
    <format dxfId="658">
      <pivotArea collapsedLevelsAreSubtotals="1" fieldPosition="0">
        <references count="3">
          <reference field="0" count="1" selected="0">
            <x v="222"/>
          </reference>
          <reference field="1" count="1" selected="0">
            <x v="97"/>
          </reference>
          <reference field="3" count="1">
            <x v="152"/>
          </reference>
        </references>
      </pivotArea>
    </format>
    <format dxfId="657">
      <pivotArea outline="0" collapsedLevelsAreSubtotals="1" fieldPosition="0"/>
    </format>
    <format dxfId="656">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655">
      <pivotArea dataOnly="0" labelOnly="1" fieldPosition="0">
        <references count="1">
          <reference field="0" count="10">
            <x v="213"/>
            <x v="214"/>
            <x v="215"/>
            <x v="216"/>
            <x v="217"/>
            <x v="218"/>
            <x v="219"/>
            <x v="220"/>
            <x v="221"/>
            <x v="222"/>
          </reference>
        </references>
      </pivotArea>
    </format>
    <format dxfId="654">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653">
      <pivotArea dataOnly="0" labelOnly="1" fieldPosition="0">
        <references count="2">
          <reference field="0" count="1" selected="0">
            <x v="213"/>
          </reference>
          <reference field="1" count="10">
            <x v="29"/>
            <x v="33"/>
            <x v="40"/>
            <x v="58"/>
            <x v="72"/>
            <x v="75"/>
            <x v="86"/>
            <x v="97"/>
            <x v="116"/>
            <x v="153"/>
          </reference>
        </references>
      </pivotArea>
    </format>
    <format dxfId="652">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651">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650">
      <pivotArea outline="0" collapsedLevelsAreSubtotals="1" fieldPosition="0"/>
    </format>
    <format dxfId="649">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648">
      <pivotArea dataOnly="0" labelOnly="1" fieldPosition="0">
        <references count="1">
          <reference field="0" count="10">
            <x v="213"/>
            <x v="214"/>
            <x v="215"/>
            <x v="216"/>
            <x v="217"/>
            <x v="218"/>
            <x v="219"/>
            <x v="220"/>
            <x v="221"/>
            <x v="222"/>
          </reference>
        </references>
      </pivotArea>
    </format>
    <format dxfId="647">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646">
      <pivotArea dataOnly="0" labelOnly="1" fieldPosition="0">
        <references count="2">
          <reference field="0" count="1" selected="0">
            <x v="213"/>
          </reference>
          <reference field="1" count="10">
            <x v="29"/>
            <x v="33"/>
            <x v="40"/>
            <x v="58"/>
            <x v="72"/>
            <x v="75"/>
            <x v="86"/>
            <x v="97"/>
            <x v="116"/>
            <x v="153"/>
          </reference>
        </references>
      </pivotArea>
    </format>
    <format dxfId="645">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644">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643">
      <pivotArea field="0" type="button" dataOnly="0" labelOnly="1" outline="0" axis="axisRow" fieldPosition="0"/>
    </format>
    <format dxfId="642">
      <pivotArea dataOnly="0" labelOnly="1" outline="0" fieldPosition="0">
        <references count="1">
          <reference field="4294967294" count="5">
            <x v="0"/>
            <x v="1"/>
            <x v="2"/>
            <x v="3"/>
            <x v="4"/>
          </reference>
        </references>
      </pivotArea>
    </format>
    <format dxfId="641">
      <pivotArea field="0" type="button" dataOnly="0" labelOnly="1" outline="0" axis="axisRow" fieldPosition="0"/>
    </format>
    <format dxfId="640">
      <pivotArea dataOnly="0" labelOnly="1" outline="0" fieldPosition="0">
        <references count="1">
          <reference field="4294967294" count="5">
            <x v="0"/>
            <x v="1"/>
            <x v="2"/>
            <x v="3"/>
            <x v="4"/>
          </reference>
        </references>
      </pivotArea>
    </format>
    <format dxfId="639">
      <pivotArea field="24" type="button" dataOnly="0" labelOnly="1" outline="0" axis="axisPage" fieldPosition="0"/>
    </format>
    <format dxfId="638">
      <pivotArea dataOnly="0" labelOnly="1" outline="0" fieldPosition="0">
        <references count="1">
          <reference field="24" count="0"/>
        </references>
      </pivotArea>
    </format>
    <format dxfId="637">
      <pivotArea field="27" type="button" dataOnly="0" labelOnly="1" outline="0" axis="axisPage" fieldPosition="1"/>
    </format>
    <format dxfId="636">
      <pivotArea dataOnly="0" labelOnly="1" outline="0" fieldPosition="0">
        <references count="1">
          <reference field="27" count="0"/>
        </references>
      </pivotArea>
    </format>
    <format dxfId="635">
      <pivotArea field="24" type="button" dataOnly="0" labelOnly="1" outline="0" axis="axisPage" fieldPosition="0"/>
    </format>
    <format dxfId="634">
      <pivotArea dataOnly="0" labelOnly="1" outline="0" fieldPosition="0">
        <references count="1">
          <reference field="24" count="0"/>
        </references>
      </pivotArea>
    </format>
    <format dxfId="633">
      <pivotArea field="27" type="button" dataOnly="0" labelOnly="1" outline="0" axis="axisPage" fieldPosition="1"/>
    </format>
    <format dxfId="632">
      <pivotArea dataOnly="0" labelOnly="1" outline="0" fieldPosition="0">
        <references count="1">
          <reference field="27"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69"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69"/>
    <dataField name=" Valor Total ($)" fld="16" baseField="0" baseItem="0" numFmtId="171"/>
    <dataField name=" Giros ($)" fld="17" baseField="0" baseItem="0" numFmtId="171"/>
    <dataField name=" Saldos ($)" fld="18" baseField="0" baseItem="0" numFmtId="171"/>
    <dataField name=" % Ejecución recursos" fld="20" baseField="0" baseItem="0" numFmtId="172"/>
  </dataFields>
  <formats count="19">
    <format dxfId="631">
      <pivotArea outline="0" collapsedLevelsAreSubtotals="1" fieldPosition="0">
        <references count="1">
          <reference field="4294967294" count="3" selected="0">
            <x v="1"/>
            <x v="2"/>
            <x v="3"/>
          </reference>
        </references>
      </pivotArea>
    </format>
    <format dxfId="630">
      <pivotArea dataOnly="0" labelOnly="1" outline="0" fieldPosition="0">
        <references count="1">
          <reference field="24" count="0"/>
        </references>
      </pivotArea>
    </format>
    <format dxfId="629">
      <pivotArea dataOnly="0" labelOnly="1" outline="0" fieldPosition="0">
        <references count="1">
          <reference field="4294967294" count="3">
            <x v="1"/>
            <x v="2"/>
            <x v="3"/>
          </reference>
        </references>
      </pivotArea>
    </format>
    <format dxfId="628">
      <pivotArea outline="0" collapsedLevelsAreSubtotals="1" fieldPosition="0">
        <references count="1">
          <reference field="4294967294" count="1" selected="0">
            <x v="4"/>
          </reference>
        </references>
      </pivotArea>
    </format>
    <format dxfId="627">
      <pivotArea dataOnly="0" labelOnly="1" outline="0" fieldPosition="0">
        <references count="1">
          <reference field="4294967294" count="1">
            <x v="4"/>
          </reference>
        </references>
      </pivotArea>
    </format>
    <format dxfId="626">
      <pivotArea dataOnly="0" labelOnly="1" outline="0" fieldPosition="0">
        <references count="1">
          <reference field="21" count="0"/>
        </references>
      </pivotArea>
    </format>
    <format dxfId="625">
      <pivotArea field="0" type="button" dataOnly="0" labelOnly="1" outline="0" axis="axisRow" fieldPosition="0"/>
    </format>
    <format dxfId="624">
      <pivotArea dataOnly="0" labelOnly="1" outline="0" fieldPosition="0">
        <references count="1">
          <reference field="4294967294" count="5">
            <x v="0"/>
            <x v="1"/>
            <x v="2"/>
            <x v="3"/>
            <x v="4"/>
          </reference>
        </references>
      </pivotArea>
    </format>
    <format dxfId="623">
      <pivotArea field="0" type="button" dataOnly="0" labelOnly="1" outline="0" axis="axisRow" fieldPosition="0"/>
    </format>
    <format dxfId="622">
      <pivotArea dataOnly="0" labelOnly="1" outline="0" fieldPosition="0">
        <references count="1">
          <reference field="4294967294" count="5">
            <x v="0"/>
            <x v="1"/>
            <x v="2"/>
            <x v="3"/>
            <x v="4"/>
          </reference>
        </references>
      </pivotArea>
    </format>
    <format dxfId="621">
      <pivotArea field="0" type="button" dataOnly="0" labelOnly="1" outline="0" axis="axisRow" fieldPosition="0"/>
    </format>
    <format dxfId="620">
      <pivotArea dataOnly="0" labelOnly="1" outline="0" fieldPosition="0">
        <references count="1">
          <reference field="4294967294" count="5">
            <x v="0"/>
            <x v="1"/>
            <x v="2"/>
            <x v="3"/>
            <x v="4"/>
          </reference>
        </references>
      </pivotArea>
    </format>
    <format dxfId="619">
      <pivotArea outline="0" collapsedLevelsAreSubtotals="1" fieldPosition="0">
        <references count="1">
          <reference field="4294967294" count="1">
            <x v="0"/>
          </reference>
        </references>
      </pivotArea>
    </format>
    <format dxfId="618">
      <pivotArea type="all" dataOnly="0" outline="0" collapsedLevelsAreSubtotals="1" fieldPosition="0"/>
    </format>
    <format dxfId="617">
      <pivotArea type="all" dataOnly="0" outline="0" collapsedLevelsAreSubtotals="1" fieldPosition="0"/>
    </format>
    <format dxfId="616">
      <pivotArea outline="0" collapsedLevelsAreSubtotals="1" fieldPosition="0">
        <references count="1">
          <reference field="4294967294" count="1" selected="0">
            <x v="0"/>
          </reference>
        </references>
      </pivotArea>
    </format>
    <format dxfId="615">
      <pivotArea dataOnly="0" labelOnly="1" outline="0" fieldPosition="0">
        <references count="1">
          <reference field="24" count="0"/>
        </references>
      </pivotArea>
    </format>
    <format dxfId="614">
      <pivotArea dataOnly="0" labelOnly="1" outline="0" fieldPosition="0">
        <references count="1">
          <reference field="21" count="0"/>
        </references>
      </pivotArea>
    </format>
    <format dxfId="613">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 dinámica3" cacheId="30" applyNumberFormats="0" applyBorderFormats="0" applyFontFormats="0" applyPatternFormats="0" applyAlignmentFormats="0" applyWidthHeightFormats="1" dataCaption="Valores" updatedVersion="6" minRefreshableVersion="3" rowGrandTotals="0" colGrandTotals="0" itemPrintTitles="1" createdVersion="4" indent="0" outline="1" outlineData="1" multipleFieldFilters="0">
  <location ref="A11:D495" firstHeaderRow="0" firstDataRow="1" firstDataCol="1" rowPageCount="2" colPageCount="1"/>
  <pivotFields count="28">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numFmtId="1" showAll="0" defaultSubtotal="0"/>
    <pivotField showAll="0" defaultSubtotal="0"/>
    <pivotField numFmtId="1" showAll="0" defaultSubtotal="0"/>
    <pivotField showAll="0"/>
    <pivotField showAll="0" defaultSubtotal="0"/>
    <pivotField numFmtId="1" showAll="0"/>
    <pivotField numFmtId="169" showAll="0"/>
    <pivotField dataField="1" numFmtId="169" showAll="0" defaultSubtotal="0"/>
    <pivotField showAll="0" defaultSubtotal="0"/>
    <pivotField showAll="0" defaultSubtotal="0"/>
    <pivotField showAll="0" defaultSubtotal="0"/>
    <pivotField showAll="0" defaultSubtotal="0"/>
    <pivotField dataField="1" showAll="0" defaultSubtotal="0">
      <items count="447">
        <item x="6"/>
        <item m="1" x="135"/>
        <item m="1" x="360"/>
        <item m="1" x="425"/>
        <item m="1" x="369"/>
        <item m="1" x="293"/>
        <item m="1" x="363"/>
        <item m="1" x="247"/>
        <item m="1" x="259"/>
        <item m="1" x="442"/>
        <item m="1" x="250"/>
        <item m="1" x="275"/>
        <item m="1" x="367"/>
        <item m="1" x="311"/>
        <item m="1" x="134"/>
        <item m="1" x="206"/>
        <item m="1" x="380"/>
        <item m="1" x="256"/>
        <item m="1" x="276"/>
        <item m="1" x="286"/>
        <item m="1" x="226"/>
        <item m="1" x="172"/>
        <item m="1" x="288"/>
        <item m="1" x="424"/>
        <item m="1" x="330"/>
        <item m="1" x="356"/>
        <item m="1" x="423"/>
        <item m="1" x="182"/>
        <item m="1" x="370"/>
        <item m="1" x="434"/>
        <item m="1" x="316"/>
        <item m="1" x="169"/>
        <item m="1" x="269"/>
        <item m="1" x="167"/>
        <item m="1" x="391"/>
        <item m="1" x="125"/>
        <item m="1" x="107"/>
        <item m="1" x="379"/>
        <item m="1" x="201"/>
        <item m="1" x="158"/>
        <item m="1" x="295"/>
        <item m="1" x="121"/>
        <item m="1" x="263"/>
        <item m="1" x="241"/>
        <item m="1" x="177"/>
        <item m="1" x="392"/>
        <item m="1" x="187"/>
        <item m="1" x="438"/>
        <item m="1" x="366"/>
        <item m="1" x="339"/>
        <item m="1" x="345"/>
        <item m="1" x="401"/>
        <item m="1" x="233"/>
        <item m="1" x="150"/>
        <item m="1" x="386"/>
        <item m="1" x="229"/>
        <item m="1" x="407"/>
        <item x="2"/>
        <item m="1" x="306"/>
        <item m="1" x="291"/>
        <item m="1" x="418"/>
        <item m="1" x="116"/>
        <item m="1" x="351"/>
        <item m="1" x="186"/>
        <item m="1" x="178"/>
        <item m="1" x="194"/>
        <item m="1" x="317"/>
        <item m="1" x="144"/>
        <item m="1" x="266"/>
        <item m="1" x="156"/>
        <item m="1" x="440"/>
        <item m="1" x="432"/>
        <item m="1" x="441"/>
        <item m="1" x="254"/>
        <item m="1" x="318"/>
        <item m="1" x="222"/>
        <item m="1" x="224"/>
        <item m="1" x="268"/>
        <item m="1" x="343"/>
        <item m="1" x="298"/>
        <item x="5"/>
        <item m="1" x="154"/>
        <item m="1" x="443"/>
        <item m="1" x="287"/>
        <item m="1" x="338"/>
        <item m="1" x="202"/>
        <item m="1" x="285"/>
        <item m="1" x="301"/>
        <item m="1" x="189"/>
        <item m="1" x="251"/>
        <item m="1" x="299"/>
        <item m="1" x="416"/>
        <item m="1" x="171"/>
        <item m="1" x="141"/>
        <item x="66"/>
        <item m="1" x="115"/>
        <item m="1" x="314"/>
        <item m="1" x="374"/>
        <item m="1" x="305"/>
        <item m="1" x="165"/>
        <item x="73"/>
        <item x="83"/>
        <item m="1" x="218"/>
        <item m="1" x="359"/>
        <item m="1" x="153"/>
        <item m="1" x="213"/>
        <item m="1" x="228"/>
        <item m="1" x="253"/>
        <item m="1" x="260"/>
        <item m="1" x="375"/>
        <item m="1" x="431"/>
        <item m="1" x="146"/>
        <item m="1" x="422"/>
        <item m="1" x="428"/>
        <item m="1" x="319"/>
        <item m="1" x="176"/>
        <item m="1" x="397"/>
        <item m="1" x="296"/>
        <item m="1" x="191"/>
        <item m="1" x="446"/>
        <item m="1" x="309"/>
        <item m="1" x="396"/>
        <item m="1" x="147"/>
        <item m="1" x="248"/>
        <item x="48"/>
        <item m="1" x="333"/>
        <item m="1" x="114"/>
        <item x="97"/>
        <item m="1" x="294"/>
        <item x="85"/>
        <item m="1" x="151"/>
        <item m="1" x="195"/>
        <item x="50"/>
        <item m="1" x="199"/>
        <item m="1" x="284"/>
        <item m="1" x="238"/>
        <item m="1" x="120"/>
        <item m="1" x="110"/>
        <item m="1" x="196"/>
        <item m="1" x="400"/>
        <item m="1" x="225"/>
        <item m="1" x="109"/>
        <item m="1" x="405"/>
        <item m="1" x="119"/>
        <item x="72"/>
        <item m="1" x="382"/>
        <item m="1" x="383"/>
        <item m="1" x="126"/>
        <item m="1" x="404"/>
        <item m="1" x="137"/>
        <item m="1" x="313"/>
        <item m="1" x="344"/>
        <item m="1" x="352"/>
        <item m="1" x="277"/>
        <item x="22"/>
        <item m="1" x="193"/>
        <item m="1" x="217"/>
        <item m="1" x="355"/>
        <item m="1" x="429"/>
        <item m="1" x="221"/>
        <item m="1" x="390"/>
        <item x="27"/>
        <item x="100"/>
        <item m="1" x="152"/>
        <item x="44"/>
        <item x="60"/>
        <item m="1" x="270"/>
        <item m="1" x="113"/>
        <item x="84"/>
        <item m="1" x="358"/>
        <item m="1" x="252"/>
        <item m="1" x="435"/>
        <item m="1" x="212"/>
        <item m="1" x="204"/>
        <item x="57"/>
        <item m="1" x="274"/>
        <item m="1" x="261"/>
        <item m="1" x="427"/>
        <item m="1" x="437"/>
        <item m="1" x="402"/>
        <item m="1" x="136"/>
        <item m="1" x="381"/>
        <item m="1" x="377"/>
        <item m="1" x="353"/>
        <item m="1" x="173"/>
        <item m="1" x="312"/>
        <item x="79"/>
        <item m="1" x="408"/>
        <item x="104"/>
        <item m="1" x="255"/>
        <item m="1" x="245"/>
        <item m="1" x="362"/>
        <item x="80"/>
        <item m="1" x="310"/>
        <item m="1" x="439"/>
        <item m="1" x="387"/>
        <item m="1" x="357"/>
        <item m="1" x="267"/>
        <item m="1" x="130"/>
        <item m="1" x="149"/>
        <item m="1" x="426"/>
        <item m="1" x="183"/>
        <item m="1" x="220"/>
        <item m="1" x="444"/>
        <item m="1" x="348"/>
        <item m="1" x="321"/>
        <item m="1" x="322"/>
        <item m="1" x="279"/>
        <item m="1" x="246"/>
        <item m="1" x="145"/>
        <item m="1" x="155"/>
        <item m="1" x="364"/>
        <item m="1" x="349"/>
        <item m="1" x="162"/>
        <item m="1" x="332"/>
        <item m="1" x="216"/>
        <item m="1" x="433"/>
        <item m="1" x="157"/>
        <item x="102"/>
        <item m="1" x="223"/>
        <item m="1" x="112"/>
        <item m="1" x="258"/>
        <item m="1" x="166"/>
        <item m="1" x="413"/>
        <item m="1" x="242"/>
        <item m="1" x="415"/>
        <item m="1" x="271"/>
        <item m="1" x="361"/>
        <item m="1" x="378"/>
        <item x="94"/>
        <item m="1" x="179"/>
        <item m="1" x="203"/>
        <item m="1" x="430"/>
        <item m="1" x="395"/>
        <item m="1" x="328"/>
        <item m="1" x="123"/>
        <item m="1" x="394"/>
        <item x="24"/>
        <item m="1" x="164"/>
        <item x="59"/>
        <item m="1" x="324"/>
        <item m="1" x="292"/>
        <item m="1" x="138"/>
        <item m="1" x="264"/>
        <item x="68"/>
        <item m="1" x="190"/>
        <item m="1" x="231"/>
        <item m="1" x="350"/>
        <item m="1" x="163"/>
        <item m="1" x="337"/>
        <item m="1" x="219"/>
        <item m="1" x="207"/>
        <item m="1" x="327"/>
        <item m="1" x="240"/>
        <item m="1" x="420"/>
        <item m="1" x="133"/>
        <item x="11"/>
        <item m="1" x="384"/>
        <item m="1" x="117"/>
        <item m="1" x="235"/>
        <item m="1" x="421"/>
        <item m="1" x="289"/>
        <item m="1" x="209"/>
        <item m="1" x="329"/>
        <item m="1" x="108"/>
        <item x="8"/>
        <item m="1" x="346"/>
        <item m="1" x="111"/>
        <item m="1" x="188"/>
        <item x="10"/>
        <item m="1" x="304"/>
        <item m="1" x="307"/>
        <item x="34"/>
        <item m="1" x="326"/>
        <item m="1" x="341"/>
        <item x="20"/>
        <item x="29"/>
        <item x="45"/>
        <item m="1" x="127"/>
        <item m="1" x="300"/>
        <item m="1" x="340"/>
        <item m="1" x="290"/>
        <item x="38"/>
        <item m="1" x="302"/>
        <item x="0"/>
        <item m="1" x="200"/>
        <item x="51"/>
        <item m="1" x="118"/>
        <item m="1" x="385"/>
        <item m="1" x="244"/>
        <item m="1" x="278"/>
        <item m="1" x="131"/>
        <item m="1" x="168"/>
        <item m="1" x="230"/>
        <item m="1" x="197"/>
        <item x="19"/>
        <item m="1" x="436"/>
        <item m="1" x="372"/>
        <item x="81"/>
        <item x="12"/>
        <item m="1" x="142"/>
        <item m="1" x="376"/>
        <item m="1" x="232"/>
        <item m="1" x="184"/>
        <item x="36"/>
        <item m="1" x="445"/>
        <item m="1" x="205"/>
        <item m="1" x="237"/>
        <item m="1" x="331"/>
        <item m="1" x="210"/>
        <item m="1" x="281"/>
        <item x="23"/>
        <item x="91"/>
        <item x="103"/>
        <item m="1" x="159"/>
        <item x="33"/>
        <item x="95"/>
        <item m="1" x="257"/>
        <item m="1" x="249"/>
        <item x="62"/>
        <item m="1" x="417"/>
        <item m="1" x="262"/>
        <item x="31"/>
        <item m="1" x="139"/>
        <item x="74"/>
        <item x="4"/>
        <item x="30"/>
        <item m="1" x="175"/>
        <item m="1" x="323"/>
        <item x="70"/>
        <item x="96"/>
        <item m="1" x="403"/>
        <item x="75"/>
        <item x="14"/>
        <item m="1" x="393"/>
        <item x="86"/>
        <item m="1" x="335"/>
        <item x="13"/>
        <item x="17"/>
        <item x="26"/>
        <item x="98"/>
        <item x="78"/>
        <item m="1" x="409"/>
        <item x="93"/>
        <item m="1" x="214"/>
        <item m="1" x="180"/>
        <item x="37"/>
        <item m="1" x="410"/>
        <item x="43"/>
        <item x="105"/>
        <item x="56"/>
        <item x="64"/>
        <item m="1" x="208"/>
        <item x="54"/>
        <item m="1" x="388"/>
        <item x="52"/>
        <item m="1" x="297"/>
        <item x="76"/>
        <item m="1" x="198"/>
        <item x="1"/>
        <item x="15"/>
        <item x="46"/>
        <item x="99"/>
        <item x="77"/>
        <item x="71"/>
        <item x="42"/>
        <item x="21"/>
        <item x="7"/>
        <item x="16"/>
        <item m="1" x="336"/>
        <item x="28"/>
        <item x="55"/>
        <item x="89"/>
        <item x="88"/>
        <item x="40"/>
        <item x="82"/>
        <item x="53"/>
        <item x="35"/>
        <item x="58"/>
        <item m="1" x="283"/>
        <item x="61"/>
        <item x="63"/>
        <item x="101"/>
        <item x="9"/>
        <item x="32"/>
        <item x="87"/>
        <item x="90"/>
        <item x="25"/>
        <item x="41"/>
        <item x="67"/>
        <item x="18"/>
        <item x="39"/>
        <item x="49"/>
        <item x="106"/>
        <item x="92"/>
        <item x="69"/>
        <item m="1" x="308"/>
        <item x="47"/>
        <item x="3"/>
        <item m="1" x="272"/>
        <item m="1" x="354"/>
        <item m="1" x="347"/>
        <item m="1" x="243"/>
        <item m="1" x="373"/>
        <item m="1" x="282"/>
        <item m="1" x="371"/>
        <item m="1" x="192"/>
        <item m="1" x="140"/>
        <item m="1" x="128"/>
        <item m="1" x="215"/>
        <item m="1" x="234"/>
        <item m="1" x="273"/>
        <item m="1" x="170"/>
        <item m="1" x="185"/>
        <item m="1" x="161"/>
        <item m="1" x="181"/>
        <item m="1" x="399"/>
        <item m="1" x="303"/>
        <item m="1" x="365"/>
        <item m="1" x="143"/>
        <item m="1" x="334"/>
        <item m="1" x="419"/>
        <item m="1" x="398"/>
        <item m="1" x="265"/>
        <item m="1" x="325"/>
        <item m="1" x="129"/>
        <item m="1" x="320"/>
        <item m="1" x="412"/>
        <item m="1" x="132"/>
        <item m="1" x="239"/>
        <item m="1" x="227"/>
        <item m="1" x="148"/>
        <item m="1" x="414"/>
        <item m="1" x="160"/>
        <item m="1" x="389"/>
        <item m="1" x="342"/>
        <item m="1" x="368"/>
        <item m="1" x="122"/>
        <item m="1" x="315"/>
        <item m="1" x="406"/>
        <item m="1" x="236"/>
        <item m="1" x="124"/>
        <item m="1" x="411"/>
        <item m="1" x="211"/>
        <item m="1" x="174"/>
        <item m="1" x="280"/>
        <item x="65"/>
      </items>
    </pivotField>
    <pivotField dataField="1" showAll="0" defaultSubtotal="0">
      <items count="4716">
        <item m="1" x="4151"/>
        <item m="1" x="863"/>
        <item m="1" x="3806"/>
        <item m="1" x="880"/>
        <item m="1" x="3018"/>
        <item m="1" x="477"/>
        <item m="1" x="2652"/>
        <item m="1" x="87"/>
        <item m="1" x="2276"/>
        <item m="1" x="4418"/>
        <item m="1" x="1910"/>
        <item m="1" x="4134"/>
        <item m="1" x="1809"/>
        <item m="1" x="500"/>
        <item m="1" x="1625"/>
        <item m="1" x="1871"/>
        <item m="1" x="2682"/>
        <item m="1" x="4130"/>
        <item m="1" x="3750"/>
        <item m="1" x="113"/>
        <item m="1" x="4404"/>
        <item m="1" x="1237"/>
        <item m="1" x="2998"/>
        <item m="1" x="2304"/>
        <item m="1" x="3072"/>
        <item m="1" x="836"/>
        <item m="1" x="3357"/>
        <item m="1" x="4444"/>
        <item m="1" x="820"/>
        <item m="1" x="1929"/>
        <item m="1" x="1036"/>
        <item m="1" x="1727"/>
        <item m="1" x="2970"/>
        <item m="1" x="4049"/>
        <item m="1" x="406"/>
        <item m="1" x="1526"/>
        <item m="1" x="2602"/>
        <item m="1" x="3673"/>
        <item m="1" x="1828"/>
        <item m="1" x="35"/>
        <item m="1" x="1294"/>
        <item m="1" x="1160"/>
        <item m="1" x="2223"/>
        <item m="1" x="3275"/>
        <item m="1" x="2369"/>
        <item m="1" x="4369"/>
        <item m="1" x="302"/>
        <item m="1" x="844"/>
        <item m="1" x="4398"/>
        <item m="1" x="1140"/>
        <item m="1" x="1855"/>
        <item m="1" x="929"/>
        <item m="1" x="3158"/>
        <item m="1" x="1947"/>
        <item m="1" x="2474"/>
        <item m="1" x="2205"/>
        <item m="1" x="484"/>
        <item m="1" x="2991"/>
        <item m="1" x="717"/>
        <item m="1" x="4267"/>
        <item m="1" x="2028"/>
        <item m="1" x="3263"/>
        <item m="1" x="3246"/>
        <item m="1" x="4071"/>
        <item m="1" x="4354"/>
        <item m="1" x="4126"/>
        <item m="1" x="436"/>
        <item m="1" x="720"/>
        <item m="1" x="143"/>
        <item m="1" x="3327"/>
        <item m="1" x="1839"/>
        <item m="1" x="255"/>
        <item m="1" x="3455"/>
        <item m="1" x="1550"/>
        <item m="1" x="385"/>
        <item m="1" x="3590"/>
        <item m="1" x="2082"/>
        <item m="1" x="538"/>
        <item m="1" x="1831"/>
        <item m="1" x="3184"/>
        <item m="1" x="2225"/>
        <item m="1" x="2355"/>
        <item m="1" x="2625"/>
        <item m="1" x="811"/>
        <item m="1" x="3977"/>
        <item m="1" x="141"/>
        <item m="1" x="2484"/>
        <item m="1" x="938"/>
        <item m="1" x="2870"/>
        <item m="1" x="1092"/>
        <item m="1" x="4238"/>
        <item m="1" x="4027"/>
        <item m="1" x="2726"/>
        <item m="1" x="3164"/>
        <item m="1" x="1235"/>
        <item m="1" x="3695"/>
        <item m="1" x="4387"/>
        <item m="1" x="3429"/>
        <item m="1" x="2980"/>
        <item m="1" x="4497"/>
        <item m="1" x="1477"/>
        <item m="1" x="4626"/>
        <item m="1" x="3092"/>
        <item m="1" x="1507"/>
        <item m="1" x="60"/>
        <item m="1" x="4336"/>
        <item m="1" x="3245"/>
        <item m="1" x="1759"/>
        <item m="1" x="2432"/>
        <item m="1" x="1512"/>
        <item m="1" x="4055"/>
        <item m="1" x="878"/>
        <item m="1" x="4233"/>
        <item m="1" x="1004"/>
        <item m="1" x="4180"/>
        <item m="1" x="1182"/>
        <item m="1" x="1171"/>
        <item m="1" x="453"/>
        <item m="1" x="3181"/>
        <item m="1" x="1303"/>
        <item m="1" x="1979"/>
        <item m="1" x="4445"/>
        <item m="1" x="3890"/>
        <item m="1" x="2906"/>
        <item m="1" x="2323"/>
        <item m="1" x="1420"/>
        <item m="1" x="4559"/>
        <item m="1" x="2241"/>
        <item m="1" x="4697"/>
        <item m="1" x="729"/>
        <item m="1" x="3157"/>
        <item m="1" x="1686"/>
        <item m="1" x="762"/>
        <item m="1" x="125"/>
        <item m="1" x="3015"/>
        <item m="1" x="3306"/>
        <item m="1" x="364"/>
        <item m="1" x="4280"/>
        <item m="1" x="3427"/>
        <item m="1" x="1948"/>
        <item m="1" x="3296"/>
        <item m="1" x="370"/>
        <item m="1" x="3567"/>
        <item m="1" x="2450"/>
        <item m="1" x="511"/>
        <item m="1" x="3824"/>
        <item m="1" x="3077"/>
        <item m="1" x="3711"/>
        <item m="1" x="4108"/>
        <item m="1" x="2194"/>
        <item m="1" x="653"/>
        <item m="1" x="3831"/>
        <item m="1" x="2330"/>
        <item m="1" x="785"/>
        <item m="1" x="4388"/>
        <item m="1" x="4139"/>
        <item m="1" x="916"/>
        <item m="1" x="4123"/>
        <item m="1" x="1187"/>
        <item m="1" x="4093"/>
        <item m="1" x="2590"/>
        <item m="1" x="474"/>
        <item m="1" x="1065"/>
        <item m="1" x="4218"/>
        <item m="1" x="2664"/>
        <item m="1" x="759"/>
        <item m="1" x="2826"/>
        <item m="1" x="1349"/>
        <item m="1" x="3975"/>
        <item m="1" x="4484"/>
        <item m="1" x="2961"/>
        <item m="1" x="1450"/>
        <item m="1" x="1599"/>
        <item m="1" x="3070"/>
        <item m="1" x="2126"/>
        <item m="1" x="577"/>
        <item m="1" x="2734"/>
        <item m="1" x="3770"/>
        <item m="1" x="1865"/>
        <item m="1" x="1982"/>
        <item m="1" x="2255"/>
        <item m="1" x="2389"/>
        <item m="1" x="1487"/>
        <item m="1" x="856"/>
        <item m="1" x="2650"/>
        <item m="1" x="4021"/>
        <item m="1" x="2520"/>
        <item m="1" x="972"/>
        <item m="1" x="2903"/>
        <item m="1" x="3016"/>
        <item m="1" x="4276"/>
        <item m="1" x="2758"/>
        <item m="1" x="1280"/>
        <item m="1" x="3733"/>
        <item m="1" x="4215"/>
        <item m="1" x="276"/>
        <item m="1" x="1516"/>
        <item m="1" x="3986"/>
        <item m="1" x="4671"/>
        <item m="1" x="3131"/>
        <item m="1" x="1522"/>
        <item m="1" x="3283"/>
        <item m="1" x="85"/>
        <item m="1" x="3726"/>
        <item m="1" x="218"/>
        <item m="1" x="3405"/>
        <item m="1" x="4491"/>
        <item m="1" x="1927"/>
        <item m="1" x="4067"/>
        <item m="1" x="345"/>
        <item m="1" x="489"/>
        <item m="1" x="3194"/>
        <item m="1" x="3829"/>
        <item m="1" x="4096"/>
        <item m="1" x="2172"/>
        <item m="1" x="1209"/>
        <item m="1" x="4164"/>
        <item m="1" x="761"/>
        <item m="1" x="3933"/>
        <item m="1" x="1464"/>
        <item m="1" x="2439"/>
        <item m="1" x="897"/>
        <item m="1" x="4069"/>
        <item m="1" x="3832"/>
        <item m="1" x="2163"/>
        <item m="1" x="183"/>
        <item m="1" x="2275"/>
        <item m="1" x="4193"/>
        <item m="1" x="1362"/>
        <item m="1" x="2690"/>
        <item m="1" x="269"/>
        <item m="1" x="1192"/>
        <item m="1" x="160"/>
        <item m="1" x="2676"/>
        <item m="1" x="3345"/>
        <item m="1" x="2546"/>
        <item m="1" x="3503"/>
        <item m="1" x="182"/>
        <item m="1" x="4300"/>
        <item m="1" x="1930"/>
        <item m="1" x="1985"/>
        <item m="1" x="410"/>
        <item m="1" x="3334"/>
        <item m="1" x="3615"/>
        <item m="1" x="2095"/>
        <item m="1" x="588"/>
        <item m="1" x="2236"/>
        <item m="1" x="3611"/>
        <item m="1" x="2948"/>
        <item m="1" x="2960"/>
        <item m="1" x="4137"/>
        <item m="1" x="1494"/>
        <item m="1" x="4417"/>
        <item m="1" x="952"/>
        <item m="1" x="2383"/>
        <item m="1" x="4135"/>
        <item m="1" x="1008"/>
        <item m="1" x="4680"/>
        <item m="1" x="4064"/>
        <item m="1" x="4397"/>
        <item m="1" x="2864"/>
        <item m="1" x="795"/>
        <item m="1" x="1377"/>
        <item m="1" x="4526"/>
        <item m="1" x="3758"/>
        <item m="1" x="2995"/>
        <item m="1" x="1636"/>
        <item m="1" x="280"/>
        <item m="1" x="1083"/>
        <item m="1" x="1640"/>
        <item m="1" x="1764"/>
        <item m="1" x="3301"/>
        <item m="1" x="2817"/>
        <item m="1" x="3260"/>
        <item m="1" x="1772"/>
        <item m="1" x="1907"/>
        <item m="1" x="1835"/>
        <item m="1" x="2124"/>
        <item m="1" x="4186"/>
        <item m="1" x="3702"/>
        <item m="1" x="574"/>
        <item m="1" x="2263"/>
        <item m="1" x="2190"/>
        <item m="1" x="3769"/>
        <item m="1" x="2567"/>
        <item m="1" x="3422"/>
        <item m="1" x="3826"/>
        <item m="1" x="1129"/>
        <item m="1" x="2656"/>
        <item m="1" x="713"/>
        <item m="1" x="2328"/>
        <item m="1" x="778"/>
        <item m="1" x="2527"/>
        <item m="1" x="666"/>
        <item m="1" x="851"/>
        <item m="1" x="2462"/>
        <item m="1" x="3845"/>
        <item m="1" x="4549"/>
        <item m="1" x="910"/>
        <item m="1" x="2908"/>
        <item m="1" x="3234"/>
        <item m="1" x="4573"/>
        <item m="1" x="2583"/>
        <item m="1" x="4155"/>
        <item m="1" x="3322"/>
        <item m="1" x="3953"/>
        <item m="1" x="1060"/>
        <item m="1" x="262"/>
        <item m="1" x="2638"/>
        <item m="1" x="3844"/>
        <item m="1" x="4213"/>
        <item m="1" x="585"/>
        <item m="1" x="404"/>
        <item m="1" x="3735"/>
        <item m="1" x="4274"/>
        <item m="1" x="1204"/>
        <item m="1" x="2757"/>
        <item m="1" x="4361"/>
        <item m="1" x="2507"/>
        <item m="1" x="1278"/>
        <item m="1" x="3586"/>
        <item m="1" x="2623"/>
        <item m="1" x="2550"/>
        <item m="1" x="1341"/>
        <item m="1" x="1406"/>
        <item m="1" x="4477"/>
        <item m="1" x="3991"/>
        <item m="1" x="506"/>
        <item m="1" x="1395"/>
        <item m="1" x="4646"/>
        <item m="1" x="2959"/>
        <item m="1" x="1047"/>
        <item m="1" x="1934"/>
        <item m="1" x="3013"/>
        <item m="1" x="4403"/>
        <item m="1" x="4597"/>
        <item m="1" x="3150"/>
        <item m="1" x="1515"/>
        <item m="1" x="3065"/>
        <item m="1" x="3179"/>
        <item m="1" x="89"/>
        <item m="1" x="978"/>
        <item m="1" x="1662"/>
        <item m="1" x="1227"/>
        <item m="1" x="3399"/>
        <item m="1" x="3212"/>
        <item m="1" x="92"/>
        <item m="1" x="4659"/>
        <item m="1" x="1728"/>
        <item m="1" x="3321"/>
        <item m="1" x="1271"/>
        <item m="1" x="1794"/>
        <item m="1" x="3347"/>
        <item m="1" x="347"/>
        <item m="1" x="217"/>
        <item m="1" x="858"/>
        <item m="1" x="1854"/>
        <item m="1" x="3404"/>
        <item m="1" x="905"/>
        <item m="1" x="777"/>
        <item m="1" x="3471"/>
        <item m="1" x="342"/>
        <item m="1" x="1988"/>
        <item m="1" x="185"/>
        <item m="1" x="3539"/>
        <item m="1" x="3822"/>
        <item m="1" x="414"/>
        <item m="1" x="1211"/>
        <item m="1" x="2965"/>
        <item m="1" x="2098"/>
        <item m="1" x="3684"/>
        <item m="1" x="1067"/>
        <item m="1" x="1999"/>
        <item m="1" x="555"/>
        <item m="1" x="834"/>
        <item m="1" x="2552"/>
        <item m="1" x="2711"/>
        <item m="1" x="2342"/>
        <item m="1" x="2754"/>
        <item m="1" x="1466"/>
        <item m="1" x="461"/>
        <item m="1" x="2298"/>
        <item m="1" x="4357"/>
        <item m="1" x="1273"/>
        <item m="1" x="3625"/>
        <item m="1" x="2815"/>
        <item m="1" x="2253"/>
        <item m="1" x="4413"/>
        <item m="1" x="1889"/>
        <item m="1" x="2646"/>
        <item m="1" x="3678"/>
        <item m="1" x="2023"/>
        <item m="1" x="1391"/>
        <item m="1" x="2953"/>
        <item m="1" x="823"/>
        <item m="1" x="4540"/>
        <item m="1" x="2278"/>
        <item m="1" x="1440"/>
        <item m="1" x="400"/>
        <item m="1" x="4302"/>
        <item m="1" x="1509"/>
        <item m="1" x="3062"/>
        <item m="1" x="2142"/>
        <item m="1" x="4664"/>
        <item m="1" x="4557"/>
        <item m="1" x="1588"/>
        <item m="1" x="1243"/>
        <item m="1" x="3125"/>
        <item m="1" x="3662"/>
        <item m="1" x="3740"/>
        <item m="1" x="4011"/>
        <item m="1" x="2549"/>
        <item m="1" x="3714"/>
        <item m="1" x="3207"/>
        <item m="1" x="1803"/>
        <item m="1" x="3464"/>
        <item m="1" x="673"/>
        <item m="1" x="88"/>
        <item m="1" x="1725"/>
        <item m="1" x="389"/>
        <item m="1" x="3277"/>
        <item m="1" x="43"/>
        <item m="1" x="156"/>
        <item m="1" x="2927"/>
        <item m="1" x="2896"/>
        <item m="1" x="3223"/>
        <item m="1" x="212"/>
        <item m="1" x="2528"/>
        <item m="1" x="3400"/>
        <item m="1" x="3338"/>
        <item m="1" x="270"/>
        <item m="1" x="1921"/>
        <item m="1" x="593"/>
        <item m="1" x="1426"/>
        <item m="1" x="1085"/>
        <item m="1" x="1981"/>
        <item m="1" x="3195"/>
        <item m="1" x="3534"/>
        <item m="1" x="407"/>
        <item m="1" x="4590"/>
        <item m="1" x="75"/>
        <item m="1" x="3613"/>
        <item m="1" x="1025"/>
        <item m="1" x="3616"/>
        <item m="1" x="412"/>
        <item m="1" x="4435"/>
        <item m="1" x="3682"/>
        <item m="1" x="552"/>
        <item m="1" x="4613"/>
        <item m="1" x="1567"/>
        <item m="1" x="2165"/>
        <item m="1" x="4007"/>
        <item m="1" x="1084"/>
        <item m="1" x="4362"/>
        <item m="1" x="3744"/>
        <item m="1" x="3668"/>
        <item m="1" x="2303"/>
        <item m="1" x="4421"/>
        <item m="1" x="4464"/>
        <item m="1" x="4273"/>
        <item m="1" x="3239"/>
        <item m="1" x="3992"/>
        <item m="1" x="988"/>
        <item m="1" x="2088"/>
        <item m="1" x="2498"/>
        <item m="1" x="864"/>
        <item m="1" x="2718"/>
        <item m="1" x="4686"/>
        <item m="1" x="3843"/>
        <item m="1" x="4022"/>
        <item m="1" x="2297"/>
        <item m="1" x="981"/>
        <item m="1" x="2686"/>
        <item m="1" x="4575"/>
        <item m="1" x="369"/>
        <item m="1" x="4124"/>
        <item m="1" x="781"/>
        <item m="1" x="137"/>
        <item m="1" x="911"/>
        <item m="1" x="1186"/>
        <item m="1" x="1242"/>
        <item m="1" x="799"/>
        <item m="1" x="2254"/>
        <item m="1" x="4330"/>
        <item m="1" x="2789"/>
        <item m="1" x="1234"/>
        <item m="1" x="3608"/>
        <item m="1" x="3463"/>
        <item m="1" x="2861"/>
        <item m="1" x="4462"/>
        <item m="1" x="1414"/>
        <item m="1" x="2363"/>
        <item m="1" x="2745"/>
        <item m="1" x="1088"/>
        <item m="1" x="4406"/>
        <item m="1" x="439"/>
        <item m="1" x="842"/>
        <item m="1" x="1486"/>
        <item m="1" x="1483"/>
        <item m="1" x="1055"/>
        <item m="1" x="4639"/>
        <item m="1" x="548"/>
        <item m="1" x="3816"/>
        <item m="1" x="4"/>
        <item m="1" x="1911"/>
        <item m="1" x="2893"/>
        <item m="1" x="1291"/>
        <item m="1" x="1639"/>
        <item m="1" x="3365"/>
        <item m="1" x="3236"/>
        <item m="1" x="3406"/>
        <item m="1" x="617"/>
        <item m="1" x="1706"/>
        <item m="1" x="142"/>
        <item m="1" x="2301"/>
        <item m="1" x="107"/>
        <item m="1" x="1213"/>
        <item m="1" x="3324"/>
        <item m="1" x="3825"/>
        <item m="1" x="4289"/>
        <item m="1" x="4178"/>
        <item m="1" x="2161"/>
        <item m="1" x="1425"/>
        <item m="1" x="207"/>
        <item m="1" x="1875"/>
        <item m="1" x="2348"/>
        <item m="1" x="2565"/>
        <item m="1" x="3023"/>
        <item m="1" x="945"/>
        <item m="1" x="194"/>
        <item m="1" x="1716"/>
        <item m="1" x="2647"/>
        <item m="1" x="1906"/>
        <item m="1" x="888"/>
        <item m="1" x="829"/>
        <item m="1" x="2954"/>
        <item m="1" x="4587"/>
        <item m="1" x="4492"/>
        <item m="1" x="3508"/>
        <item m="1" x="3116"/>
        <item m="1" x="3354"/>
        <item m="1" x="4023"/>
        <item m="1" x="4251"/>
        <item m="1" x="1289"/>
        <item m="1" x="597"/>
        <item m="1" x="3713"/>
        <item m="1" x="906"/>
        <item m="1" x="1247"/>
        <item m="1" x="3219"/>
        <item m="1" x="2039"/>
        <item m="1" x="397"/>
        <item m="1" x="1739"/>
        <item m="1" x="3632"/>
        <item m="1" x="1374"/>
        <item m="1" x="4165"/>
        <item m="1" x="3773"/>
        <item m="1" x="4519"/>
        <item m="1" x="2801"/>
        <item m="1" x="3965"/>
        <item m="1" x="1093"/>
        <item m="1" x="4028"/>
        <item m="1" x="923"/>
        <item m="1" x="2186"/>
        <item m="1" x="4259"/>
        <item m="1" x="2306"/>
        <item m="1" x="4441"/>
        <item m="1" x="2394"/>
        <item m="1" x="1788"/>
        <item m="1" x="3261"/>
        <item m="1" x="2678"/>
        <item m="1" x="3745"/>
        <item m="1" x="1823"/>
        <item m="1" x="70"/>
        <item m="1" x="4296"/>
        <item m="1" x="624"/>
        <item m="1" x="1703"/>
        <item m="1" x="2537"/>
        <item m="1" x="3833"/>
        <item m="1" x="1797"/>
        <item m="1" x="2505"/>
        <item m="1" x="4707"/>
        <item m="1" x="1430"/>
        <item m="1" x="710"/>
        <item m="1" x="1832"/>
        <item m="1" x="2752"/>
        <item m="1" x="3381"/>
        <item m="1" x="804"/>
        <item m="1" x="3934"/>
        <item m="1" x="145"/>
        <item m="1" x="1897"/>
        <item m="1" x="381"/>
        <item m="1" x="3830"/>
        <item m="1" x="437"/>
        <item m="1" x="2990"/>
        <item m="1" x="3995"/>
        <item m="1" x="3518"/>
        <item m="1" x="921"/>
        <item m="1" x="816"/>
        <item m="1" x="3504"/>
        <item m="1" x="463"/>
        <item m="1" x="13"/>
        <item m="1" x="2168"/>
        <item m="1" x="2521"/>
        <item m="1" x="3215"/>
        <item m="1" x="677"/>
        <item m="1" x="237"/>
        <item m="1" x="4425"/>
        <item m="1" x="2143"/>
        <item m="1" x="1495"/>
        <item m="1" x="3723"/>
        <item m="1" x="3617"/>
        <item m="1" x="1113"/>
        <item m="1" x="1753"/>
        <item m="1" x="86"/>
        <item m="1" x="2582"/>
        <item m="1" x="338"/>
        <item m="1" x="3129"/>
        <item m="1" x="3012"/>
        <item m="1" x="3336"/>
        <item m="1" x="30"/>
        <item m="1" x="1502"/>
        <item m="1" x="832"/>
        <item m="1" x="3152"/>
        <item m="1" x="979"/>
        <item m="1" x="3488"/>
        <item m="1" x="3971"/>
        <item m="1" x="1925"/>
        <item m="1" x="3240"/>
        <item m="1" x="870"/>
        <item m="1" x="4618"/>
        <item m="1" x="2478"/>
        <item m="1" x="2741"/>
        <item m="1" x="4039"/>
        <item m="1" x="1102"/>
        <item m="1" x="4571"/>
        <item m="1" x="3278"/>
        <item m="1" x="930"/>
        <item m="1" x="1881"/>
        <item m="1" x="2535"/>
        <item m="1" x="1791"/>
        <item m="1" x="3298"/>
        <item m="1" x="1416"/>
        <item m="1" x="2204"/>
        <item m="1" x="69"/>
        <item m="1" x="2596"/>
        <item m="1" x="4019"/>
        <item m="1" x="4057"/>
        <item m="1" x="24"/>
        <item m="1" x="4174"/>
        <item m="1" x="1078"/>
        <item m="1" x="3644"/>
        <item m="1" x="2181"/>
        <item m="1" x="2660"/>
        <item m="1" x="2839"/>
        <item m="1" x="221"/>
        <item m="1" x="4385"/>
        <item m="1" x="2127"/>
        <item m="1" x="2917"/>
        <item m="1" x="984"/>
        <item m="1" x="599"/>
        <item m="1" x="1506"/>
        <item m="1" x="881"/>
        <item m="1" x="4298"/>
        <item m="1" x="2587"/>
        <item m="1" x="1221"/>
        <item m="1" x="2772"/>
        <item m="1" x="4144"/>
        <item m="1" x="2384"/>
        <item m="1" x="4382"/>
        <item m="1" x="3438"/>
        <item m="1" x="2946"/>
        <item m="1" x="2968"/>
        <item m="1" x="1075"/>
        <item m="1" x="1357"/>
        <item m="1" x="4592"/>
        <item m="1" x="3573"/>
        <item m="1" x="2900"/>
        <item m="1" x="1417"/>
        <item m="1" x="4408"/>
        <item m="1" x="4501"/>
        <item m="1" x="1404"/>
        <item m="1" x="1415"/>
        <item m="1" x="2832"/>
        <item m="1" x="2533"/>
        <item m="1" x="1191"/>
        <item m="1" x="1197"/>
        <item m="1" x="3577"/>
        <item m="1" x="3812"/>
        <item m="1" x="4141"/>
        <item m="1" x="3242"/>
        <item m="1" x="3358"/>
        <item m="1" x="3651"/>
        <item m="1" x="4182"/>
        <item m="1" x="2630"/>
        <item m="1" x="3891"/>
        <item m="1" x="3653"/>
        <item m="1" x="592"/>
        <item m="1" x="3759"/>
        <item m="1" x="4216"/>
        <item m="1" x="2210"/>
        <item m="1" x="2386"/>
        <item m="1" x="3785"/>
        <item m="1" x="2875"/>
        <item m="1" x="4077"/>
        <item m="1" x="2694"/>
        <item m="1" x="663"/>
        <item m="1" x="2669"/>
        <item m="1" x="1104"/>
        <item m="1" x="4045"/>
        <item m="1" x="3182"/>
        <item m="1" x="2208"/>
        <item m="1" x="4277"/>
        <item m="1" x="731"/>
        <item m="1" x="745"/>
        <item m="1" x="2341"/>
        <item m="1" x="1970"/>
        <item m="1" x="841"/>
        <item m="1" x="3897"/>
        <item m="1" x="2286"/>
        <item m="1" x="1208"/>
        <item m="1" x="798"/>
        <item m="1" x="3906"/>
        <item m="1" x="2109"/>
        <item m="1" x="2402"/>
        <item m="1" x="2724"/>
        <item m="1" x="4524"/>
        <item m="1" x="2318"/>
        <item m="1" x="2476"/>
        <item m="1" x="976"/>
        <item m="1" x="201"/>
        <item m="1" x="4035"/>
        <item m="1" x="1560"/>
        <item m="1" x="4323"/>
        <item m="1" x="927"/>
        <item m="1" x="1006"/>
        <item m="1" x="2529"/>
        <item m="1" x="4263"/>
        <item m="1" x="643"/>
        <item m="1" x="4103"/>
        <item m="1" x="200"/>
        <item m="1" x="4442"/>
        <item m="1" x="622"/>
        <item m="1" x="982"/>
        <item m="1" x="420"/>
        <item m="1" x="545"/>
        <item m="1" x="3407"/>
        <item m="1" x="11"/>
        <item m="1" x="4172"/>
        <item m="1" x="1891"/>
        <item m="1" x="1258"/>
        <item m="1" x="1073"/>
        <item m="1" x="2691"/>
        <item m="1" x="2651"/>
        <item m="1" x="1446"/>
        <item m="1" x="4226"/>
        <item m="1" x="1161"/>
        <item m="1" x="403"/>
        <item m="1" x="1950"/>
        <item m="1" x="3313"/>
        <item m="1" x="3475"/>
        <item m="1" x="1994"/>
        <item m="1" x="2770"/>
        <item m="1" x="3700"/>
        <item m="1" x="4380"/>
        <item m="1" x="4161"/>
        <item m="1" x="263"/>
        <item m="1" x="1298"/>
        <item m="1" x="2837"/>
        <item m="1" x="4692"/>
        <item m="1" x="1685"/>
        <item m="1" x="1745"/>
        <item m="1" x="2914"/>
        <item m="1" x="2895"/>
        <item m="1" x="693"/>
        <item m="1" x="4498"/>
        <item m="1" x="2360"/>
        <item m="1" x="3626"/>
        <item m="1" x="4074"/>
        <item m="1" x="2969"/>
        <item m="1" x="213"/>
        <item m="1" x="3444"/>
        <item m="1" x="4553"/>
        <item m="1" x="165"/>
        <item m="1" x="317"/>
        <item m="1" x="1133"/>
        <item m="1" x="2981"/>
        <item m="1" x="4611"/>
        <item m="1" x="2672"/>
        <item m="1" x="561"/>
        <item m="1" x="1308"/>
        <item m="1" x="1534"/>
        <item m="1" x="1669"/>
        <item m="1" x="1965"/>
        <item m="1" x="462"/>
        <item m="1" x="931"/>
        <item m="1" x="4687"/>
        <item m="1" x="1519"/>
        <item m="1" x="1619"/>
        <item m="1" x="4448"/>
        <item m="1" x="2747"/>
        <item m="1" x="1193"/>
        <item m="1" x="578"/>
        <item m="1" x="3748"/>
        <item m="1" x="394"/>
        <item m="1" x="1680"/>
        <item m="1" x="3067"/>
        <item m="1" x="3237"/>
        <item m="1" x="1398"/>
        <item m="1" x="1533"/>
        <item m="1" x="108"/>
        <item m="1" x="1229"/>
        <item m="1" x="1746"/>
        <item m="1" x="1351"/>
        <item m="1" x="3294"/>
        <item m="1" x="4365"/>
        <item m="1" x="721"/>
        <item m="1" x="1121"/>
        <item m="1" x="1811"/>
        <item m="1" x="3363"/>
        <item m="1" x="1523"/>
        <item m="1" x="540"/>
        <item m="1" x="2671"/>
        <item m="1" x="227"/>
        <item m="1" x="942"/>
        <item m="1" x="3341"/>
        <item m="1" x="1870"/>
        <item m="1" x="2851"/>
        <item m="1" x="3476"/>
        <item m="1" x="3420"/>
        <item m="1" x="1342"/>
        <item m="1" x="298"/>
        <item m="1" x="2201"/>
        <item m="1" x="2670"/>
        <item m="1" x="4112"/>
        <item m="1" x="1687"/>
        <item m="1" x="115"/>
        <item m="1" x="672"/>
        <item m="1" x="358"/>
        <item m="1" x="525"/>
        <item m="1" x="2000"/>
        <item m="1" x="2756"/>
        <item m="1" x="1383"/>
        <item m="1" x="805"/>
        <item m="1" x="3558"/>
        <item m="1" x="2601"/>
        <item m="1" x="435"/>
        <item m="1" x="2106"/>
        <item m="1" x="873"/>
        <item m="1" x="2056"/>
        <item m="1" x="3851"/>
        <item m="1" x="1879"/>
        <item m="1" x="894"/>
        <item m="1" x="2987"/>
        <item m="1" x="1558"/>
        <item m="1" x="3698"/>
        <item m="1" x="249"/>
        <item m="1" x="570"/>
        <item m="1" x="3082"/>
        <item m="1" x="569"/>
        <item m="1" x="2185"/>
        <item m="1" x="3761"/>
        <item m="1" x="967"/>
        <item m="1" x="418"/>
        <item m="1" x="2848"/>
        <item m="1" x="1155"/>
        <item m="1" x="3793"/>
        <item m="1" x="3823"/>
        <item m="1" x="1196"/>
        <item m="1" x="2627"/>
        <item m="1" x="708"/>
        <item m="1" x="2049"/>
        <item m="1" x="1031"/>
        <item m="1" x="2324"/>
        <item m="1" x="2458"/>
        <item m="1" x="4567"/>
        <item m="1" x="3879"/>
        <item m="1" x="3255"/>
        <item m="1" x="2105"/>
        <item m="1" x="774"/>
        <item m="1" x="528"/>
        <item m="1" x="4629"/>
        <item m="1" x="847"/>
        <item m="1" x="3473"/>
        <item m="1" x="2456"/>
        <item m="1" x="3670"/>
        <item m="1" x="3318"/>
        <item m="1" x="586"/>
        <item m="1" x="4014"/>
        <item m="1" x="1527"/>
        <item m="1" x="2003"/>
        <item m="1" x="2739"/>
        <item m="1" x="639"/>
        <item m="1" x="1740"/>
        <item m="1" x="4068"/>
        <item m="1" x="2331"/>
        <item m="1" x="3441"/>
        <item m="1" x="91"/>
        <item m="1" x="1692"/>
        <item m="1" x="1112"/>
        <item m="1" x="3999"/>
        <item m="1" x="1612"/>
        <item m="1" x="4061"/>
        <item m="1" x="1853"/>
        <item m="1" x="3143"/>
        <item m="1" x="45"/>
        <item m="1" x="3926"/>
        <item m="1" x="845"/>
        <item m="1" x="4663"/>
        <item m="1" x="192"/>
        <item m="1" x="2828"/>
        <item m="1" x="1915"/>
        <item m="1" x="103"/>
        <item m="1" x="1306"/>
        <item m="1" x="1132"/>
        <item m="1" x="105"/>
        <item m="1" x="1742"/>
        <item m="1" x="1638"/>
        <item m="1" x="3556"/>
        <item m="1" x="3289"/>
        <item m="1" x="326"/>
        <item m="1" x="4347"/>
        <item m="1" x="96"/>
        <item m="1" x="169"/>
        <item m="1" x="1019"/>
        <item m="1" x="1702"/>
        <item m="1" x="1808"/>
        <item m="1" x="1885"/>
        <item m="1" x="158"/>
        <item m="1" x="290"/>
        <item m="1" x="3600"/>
        <item m="1" x="3849"/>
        <item m="1" x="1867"/>
        <item m="1" x="33"/>
        <item m="1" x="3418"/>
        <item m="1" x="291"/>
        <item m="1" x="335"/>
        <item m="1" x="4307"/>
        <item m="1" x="1798"/>
        <item m="1" x="1935"/>
        <item m="1" x="4169"/>
        <item m="1" x="3486"/>
        <item m="1" x="1806"/>
        <item m="1" x="352"/>
        <item m="1" x="429"/>
        <item m="1" x="3421"/>
        <item m="1" x="4569"/>
        <item m="1" x="3552"/>
        <item m="1" x="3754"/>
        <item m="1" x="2216"/>
        <item m="1" x="3272"/>
        <item m="1" x="428"/>
        <item m="1" x="2051"/>
        <item m="1" x="3225"/>
        <item m="1" x="3629"/>
        <item m="1" x="2461"/>
        <item m="1" x="281"/>
        <item m="1" x="501"/>
        <item m="1" x="4367"/>
        <item m="1" x="1368"/>
        <item m="1" x="2487"/>
        <item m="1" x="2668"/>
        <item m="1" x="600"/>
        <item m="1" x="1555"/>
        <item m="1" x="566"/>
        <item m="1" x="4681"/>
        <item m="1" x="4378"/>
        <item m="1" x="2182"/>
        <item m="1" x="714"/>
        <item m="1" x="3756"/>
        <item m="1" x="633"/>
        <item m="1" x="3160"/>
        <item m="1" x="2246"/>
        <item m="1" x="2880"/>
        <item m="1" x="1453"/>
        <item m="1" x="562"/>
        <item m="1" x="1158"/>
        <item m="1" x="2322"/>
        <item m="1" x="2166"/>
        <item m="1" x="4243"/>
        <item m="1" x="3876"/>
        <item m="1" x="502"/>
        <item m="1" x="770"/>
        <item m="1" x="898"/>
        <item m="1" x="1107"/>
        <item m="1" x="2376"/>
        <item m="1" x="3782"/>
        <item m="1" x="3547"/>
        <item m="1" x="3945"/>
        <item m="1" x="1542"/>
        <item m="1" x="416"/>
        <item m="1" x="1018"/>
        <item m="1" x="2561"/>
        <item m="1" x="902"/>
        <item m="1" x="4363"/>
        <item m="1" x="99"/>
        <item m="1" x="2515"/>
        <item m="1" x="1418"/>
        <item m="1" x="4037"/>
        <item m="1" x="4081"/>
        <item m="1" x="2486"/>
        <item m="1" x="960"/>
        <item m="1" x="3751"/>
        <item m="1" x="4566"/>
        <item m="1" x="2574"/>
        <item m="1" x="4392"/>
        <item m="1" x="2834"/>
        <item m="1" x="1054"/>
        <item m="1" x="1824"/>
        <item m="1" x="2631"/>
        <item m="1" x="3913"/>
        <item m="1" x="4203"/>
        <item m="1" x="2555"/>
        <item m="1" x="1943"/>
        <item m="1" x="1128"/>
        <item m="1" x="2699"/>
        <item m="1" x="2589"/>
        <item m="1" x="2401"/>
        <item m="1" x="2222"/>
        <item m="1" x="2661"/>
        <item m="1" x="675"/>
        <item m="1" x="3416"/>
        <item m="1" x="2750"/>
        <item m="1" x="4479"/>
        <item m="1" x="4353"/>
        <item m="1" x="2343"/>
        <item m="1" x="753"/>
        <item m="1" x="1270"/>
        <item m="1" x="4024"/>
        <item m="1" x="2810"/>
        <item m="1" x="2984"/>
        <item m="1" x="2617"/>
        <item m="1" x="446"/>
        <item m="1" x="4407"/>
        <item m="1" x="2151"/>
        <item m="1" x="2877"/>
        <item m="1" x="1049"/>
        <item m="1" x="1844"/>
        <item m="1" x="1751"/>
        <item m="1" x="784"/>
        <item m="1" x="1387"/>
        <item m="1" x="3501"/>
        <item m="1" x="2489"/>
        <item m="1" x="2945"/>
        <item m="1" x="3588"/>
        <item m="1" x="4535"/>
        <item m="1" x="1530"/>
        <item m="1" x="3842"/>
        <item m="1" x="1439"/>
        <item m="1" x="136"/>
        <item m="1" x="3104"/>
        <item m="1" x="2257"/>
        <item m="1" x="2867"/>
        <item m="1" x="2485"/>
        <item m="1" x="321"/>
        <item m="1" x="1200"/>
        <item m="1" x="3058"/>
        <item m="1" x="3110"/>
        <item m="1" x="4224"/>
        <item m="1" x="1207"/>
        <item m="1" x="4657"/>
        <item m="1" x="4306"/>
        <item m="1" x="1586"/>
        <item m="1" x="3705"/>
        <item m="1" x="3360"/>
        <item m="1" x="3120"/>
        <item m="1" x="3274"/>
        <item m="1" x="1836"/>
        <item m="1" x="3202"/>
        <item m="1" x="1957"/>
        <item m="1" x="4187"/>
        <item m="1" x="80"/>
        <item m="1" x="3156"/>
        <item m="1" x="3514"/>
        <item m="1" x="2220"/>
        <item m="1" x="3393"/>
        <item m="1" x="893"/>
        <item m="1" x="1722"/>
        <item m="1" x="3187"/>
        <item m="1" x="4499"/>
        <item m="1" x="611"/>
        <item m="1" x="3517"/>
        <item m="1" x="2167"/>
        <item m="1" x="2014"/>
        <item m="1" x="3656"/>
        <item m="1" x="2572"/>
        <item m="1" x="2853"/>
        <item m="1" x="4227"/>
        <item m="1" x="3576"/>
        <item m="1" x="3802"/>
        <item m="1" x="1786"/>
        <item m="1" x="535"/>
        <item m="1" x="4470"/>
        <item m="1" x="456"/>
        <item m="1" x="937"/>
        <item m="1" x="3580"/>
        <item m="1" x="2364"/>
        <item m="1" x="208"/>
        <item m="1" x="3954"/>
        <item m="1" x="1857"/>
        <item m="1" x="1275"/>
        <item m="1" x="131"/>
        <item m="1" x="1847"/>
        <item m="1" x="3752"/>
        <item m="1" x="2522"/>
        <item m="1" x="4053"/>
        <item m="1" x="3587"/>
        <item m="1" x="3396"/>
        <item m="1" x="19"/>
        <item m="1" x="992"/>
        <item m="1" x="1611"/>
        <item m="1" x="3089"/>
        <item m="1" x="3717"/>
        <item m="1" x="3374"/>
        <item m="1" x="2420"/>
        <item m="1" x="1546"/>
        <item m="1" x="1919"/>
        <item m="1" x="3978"/>
        <item m="1" x="589"/>
        <item m="1" x="703"/>
        <item m="1" x="2206"/>
        <item m="1" x="3852"/>
        <item m="1" x="495"/>
        <item m="1" x="246"/>
        <item m="1" x="4695"/>
        <item m="1" x="3908"/>
        <item m="1" x="995"/>
        <item m="1" x="1977"/>
        <item m="1" x="3870"/>
        <item m="1" x="2475"/>
        <item m="1" x="660"/>
        <item m="1" x="2531"/>
        <item m="1" x="4270"/>
        <item m="1" x="536"/>
        <item m="1" x="3530"/>
        <item m="1" x="1616"/>
        <item m="1" x="430"/>
        <item m="1" x="2084"/>
        <item m="1" x="2808"/>
        <item m="1" x="2268"/>
        <item m="1" x="3847"/>
        <item m="1" x="401"/>
        <item m="1" x="4393"/>
        <item m="1" x="3946"/>
        <item m="1" x="2433"/>
        <item m="1" x="549"/>
        <item m="1" x="3737"/>
        <item m="1" x="728"/>
        <item m="1" x="1224"/>
        <item m="1" x="3606"/>
        <item m="1" x="1992"/>
        <item m="1" x="2337"/>
        <item m="1" x="4582"/>
        <item m="1" x="917"/>
        <item m="1" x="4326"/>
        <item m="1" x="480"/>
        <item m="1" x="3185"/>
        <item m="1" x="1665"/>
        <item m="1" x="3894"/>
        <item m="1" x="1524"/>
        <item m="1" x="4624"/>
        <item m="1" x="2503"/>
        <item m="1" x="3575"/>
        <item m="1" x="602"/>
        <item m="1" x="3746"/>
        <item m="1" x="4641"/>
        <item m="1" x="4250"/>
        <item m="1" x="909"/>
        <item m="1" x="2477"/>
        <item m="1" x="1331"/>
        <item m="1" x="3771"/>
        <item m="1" x="2011"/>
        <item m="1" x="2338"/>
        <item m="1" x="3411"/>
        <item m="1" x="1713"/>
        <item m="1" x="3962"/>
        <item m="1" x="15"/>
        <item m="1" x="658"/>
        <item m="1" x="1733"/>
        <item m="1" x="613"/>
        <item m="1" x="4512"/>
        <item m="1" x="4410"/>
        <item m="1" x="4032"/>
        <item m="1" x="3581"/>
        <item m="1" x="619"/>
        <item m="1" x="2077"/>
        <item m="1" x="2743"/>
        <item m="1" x="1697"/>
        <item m="1" x="4647"/>
        <item m="1" x="3858"/>
        <item m="1" x="926"/>
        <item m="1" x="3815"/>
        <item m="1" x="3466"/>
        <item m="1" x="1126"/>
        <item m="1" x="1863"/>
        <item m="1" x="1267"/>
        <item m="1" x="164"/>
        <item m="1" x="2819"/>
        <item m="1" x="4102"/>
        <item m="1" x="1037"/>
        <item m="1" x="408"/>
        <item m="1" x="2803"/>
        <item m="1" x="3003"/>
        <item m="1" x="990"/>
        <item m="1" x="2996"/>
        <item m="1" x="2057"/>
        <item m="1" x="4405"/>
        <item m="1" x="1873"/>
        <item m="1" x="2922"/>
        <item m="1" x="186"/>
        <item m="1" x="3206"/>
        <item m="1" x="336"/>
        <item m="1" x="1284"/>
        <item m="1" x="4170"/>
        <item m="1" x="3133"/>
        <item m="1" x="2872"/>
        <item m="1" x="2399"/>
        <item m="1" x="1072"/>
        <item m="1" x="3105"/>
        <item m="1" x="817"/>
        <item m="1" x="4153"/>
        <item m="1" x="3882"/>
        <item m="1" x="4472"/>
        <item m="1" x="4051"/>
        <item m="1" x="1668"/>
        <item m="1" x="2649"/>
        <item m="1" x="2434"/>
        <item m="1" x="264"/>
        <item m="1" x="2578"/>
        <item m="1" x="3574"/>
        <item m="1" x="4004"/>
        <item m="1" x="48"/>
        <item m="1" x="1860"/>
        <item m="1" x="2941"/>
        <item m="1" x="4416"/>
        <item m="1" x="1157"/>
        <item m="1" x="3931"/>
        <item m="1" x="250"/>
        <item m="1" x="3686"/>
        <item m="1" x="4533"/>
        <item m="1" x="374"/>
        <item m="1" x="766"/>
        <item m="1" x="4447"/>
        <item m="1" x="2716"/>
        <item m="1" x="1718"/>
        <item m="1" x="1437"/>
        <item m="1" x="1850"/>
        <item m="1" x="2778"/>
        <item m="1" x="449"/>
        <item m="1" x="2215"/>
        <item m="1" x="1938"/>
        <item m="1" x="307"/>
        <item m="1" x="3171"/>
        <item m="1" x="1215"/>
        <item m="1" x="3071"/>
        <item m="1" x="3663"/>
        <item m="1" x="697"/>
        <item m="1" x="4503"/>
        <item m="1" x="4506"/>
        <item m="1" x="4586"/>
        <item m="1" x="1956"/>
        <item m="1" x="1317"/>
        <item m="1" x="306"/>
        <item m="1" x="2768"/>
        <item m="1" x="1394"/>
        <item m="1" x="1501"/>
        <item m="1" x="1779"/>
        <item m="1" x="3701"/>
        <item m="1" x="4375"/>
        <item m="1" x="1769"/>
        <item m="1" x="2467"/>
        <item m="1" x="626"/>
        <item m="1" x="1290"/>
        <item m="1" x="3117"/>
        <item m="1" x="4653"/>
        <item m="1" x="2835"/>
        <item m="1" x="2517"/>
        <item m="1" x="4142"/>
        <item m="1" x="4005"/>
        <item m="1" x="65"/>
        <item m="1" x="1582"/>
        <item m="1" x="4545"/>
        <item m="1" x="4432"/>
        <item m="1" x="1723"/>
        <item m="1" x="1137"/>
        <item m="1" x="3118"/>
        <item m="1" x="1164"/>
        <item m="1" x="637"/>
        <item m="1" x="4563"/>
        <item m="1" x="4070"/>
        <item m="1" x="1674"/>
        <item m="1" x="3009"/>
        <item m="1" x="3789"/>
        <item m="1" x="4507"/>
        <item m="1" x="2894"/>
        <item m="1" x="1651"/>
        <item m="1" x="1503"/>
        <item m="1" x="1059"/>
        <item m="1" x="154"/>
        <item m="1" x="3276"/>
        <item m="1" x="4494"/>
        <item m="1" x="3369"/>
        <item m="1" x="3188"/>
        <item m="1" x="4584"/>
        <item m="1" x="3196"/>
        <item m="1" x="2958"/>
        <item m="1" x="337"/>
        <item m="1" x="4318"/>
        <item m="1" x="1528"/>
        <item m="1" x="2319"/>
        <item m="1" x="62"/>
        <item m="1" x="1715"/>
        <item m="1" x="4551"/>
        <item m="1" x="4437"/>
        <item m="1" x="807"/>
        <item m="1" x="3270"/>
        <item m="1" x="393"/>
        <item m="1" x="1146"/>
        <item m="1" x="1461"/>
        <item m="1" x="4637"/>
        <item m="1" x="1667"/>
        <item m="1" x="3774"/>
        <item m="1" x="150"/>
        <item m="1" x="1456"/>
        <item m="1" x="2405"/>
        <item m="1" x="2616"/>
        <item m="1" x="4140"/>
        <item m="1" x="1381"/>
        <item m="1" x="102"/>
        <item m="1" x="4608"/>
        <item m="1" x="2423"/>
        <item m="1" x="2937"/>
        <item m="1" x="3271"/>
        <item m="1" x="3337"/>
        <item m="1" x="3936"/>
        <item m="1" x="3763"/>
        <item m="1" x="1531"/>
        <item m="1" x="3097"/>
        <item m="1" x="1402"/>
        <item m="1" x="206"/>
        <item m="1" x="4701"/>
        <item m="1" x="3078"/>
        <item m="1" x="3340"/>
        <item m="1" x="3382"/>
        <item m="1" x="3119"/>
        <item m="1" x="4600"/>
        <item m="1" x="3238"/>
        <item m="1" x="3199"/>
        <item m="1" x="4538"/>
        <item m="1" x="3392"/>
        <item m="1" x="1878"/>
        <item m="1" x="1614"/>
        <item m="1" x="3331"/>
        <item m="1" x="1660"/>
        <item m="1" x="259"/>
        <item m="1" x="896"/>
        <item m="1" x="2645"/>
        <item m="1" x="4433"/>
        <item m="1" x="3144"/>
        <item m="1" x="4438"/>
        <item m="1" x="3147"/>
        <item m="1" x="1916"/>
        <item m="1" x="2044"/>
        <item m="1" x="4208"/>
        <item m="1" x="2283"/>
        <item m="1" x="4466"/>
        <item m="1" x="3753"/>
        <item m="1" x="2006"/>
        <item m="1" x="1817"/>
        <item m="1" x="3178"/>
        <item m="1" x="1473"/>
        <item m="1" x="2272"/>
        <item m="1" x="869"/>
        <item m="1" x="332"/>
        <item m="1" x="1922"/>
        <item m="1" x="468"/>
        <item m="1" x="1386"/>
        <item m="1" x="3210"/>
        <item m="1" x="3232"/>
        <item m="1" x="2859"/>
        <item m="1" x="50"/>
        <item m="1" x="1972"/>
        <item m="1" x="2269"/>
        <item m="1" x="106"/>
        <item m="1" x="138"/>
        <item m="1" x="4260"/>
        <item m="1" x="2115"/>
        <item m="1" x="81"/>
        <item m="1" x="1796"/>
        <item m="1" x="1653"/>
        <item m="1" x="395"/>
        <item m="1" x="1020"/>
        <item m="1" x="966"/>
        <item m="1" x="2332"/>
        <item m="1" x="3292"/>
        <item m="1" x="1276"/>
        <item m="1" x="2203"/>
        <item m="1" x="2030"/>
        <item m="1" x="2581"/>
        <item m="1" x="3176"/>
        <item m="1" x="172"/>
        <item m="1" x="1741"/>
        <item m="1" x="1016"/>
        <item m="1" x="4694"/>
        <item m="1" x="1028"/>
        <item m="1" x="1581"/>
        <item m="1" x="3601"/>
        <item m="1" x="3034"/>
        <item m="1" x="4324"/>
        <item m="1" x="2133"/>
        <item m="1" x="3361"/>
        <item m="1" x="46"/>
        <item m="1" x="2085"/>
        <item m="1" x="1038"/>
        <item m="1" x="1010"/>
        <item m="1" x="1641"/>
        <item m="1" x="225"/>
        <item m="1" x="3798"/>
        <item m="1" x="3127"/>
        <item m="1" x="1942"/>
        <item m="1" x="363"/>
        <item m="1" x="3671"/>
        <item m="1" x="515"/>
        <item m="1" x="2457"/>
        <item m="1" x="162"/>
        <item m="1" x="2605"/>
        <item m="1" x="651"/>
        <item m="1" x="1650"/>
        <item m="1" x="609"/>
        <item m="1" x="4384"/>
        <item m="1" x="994"/>
        <item m="1" x="1100"/>
        <item m="1" x="353"/>
        <item m="1" x="3853"/>
        <item m="1" x="1106"/>
        <item m="1" x="581"/>
        <item m="1" x="3163"/>
        <item m="1" x="4131"/>
        <item m="1" x="215"/>
        <item m="1" x="2540"/>
        <item m="1" x="1299"/>
        <item m="1" x="2506"/>
        <item m="1" x="1168"/>
        <item m="1" x="40"/>
        <item m="1" x="3925"/>
        <item m="1" x="4196"/>
        <item m="1" x="3877"/>
        <item m="1" x="3124"/>
        <item m="1" x="355"/>
        <item m="1" x="2479"/>
        <item m="1" x="2727"/>
        <item m="1" x="3800"/>
        <item m="1" x="2265"/>
        <item m="1" x="1998"/>
        <item m="1" x="224"/>
        <item m="1" x="2886"/>
        <item m="1" x="1644"/>
        <item m="1" x="681"/>
        <item m="1" x="2436"/>
        <item m="1" x="2557"/>
        <item m="1" x="1577"/>
        <item m="1" x="2916"/>
        <item m="1" x="2122"/>
        <item m="1" x="2635"/>
        <item m="1" x="3730"/>
        <item m="1" x="3935"/>
        <item m="1" x="464"/>
        <item m="1" x="3707"/>
        <item m="1" x="638"/>
        <item m="1" x="4162"/>
        <item m="1" x="3884"/>
        <item m="1" x="4033"/>
        <item m="1" x="2854"/>
        <item m="1" x="573"/>
        <item m="1" x="2361"/>
        <item m="1" x="4632"/>
        <item m="1" x="1914"/>
        <item m="1" x="512"/>
        <item m="1" x="3693"/>
        <item m="1" x="2603"/>
        <item m="1" x="4454"/>
        <item m="1" x="299"/>
        <item m="1" x="3984"/>
        <item m="1" x="818"/>
        <item m="1" x="3325"/>
        <item m="1" x="4221"/>
        <item m="1" x="101"/>
        <item m="1" x="3765"/>
        <item m="1" x="2428"/>
        <item m="1" x="1166"/>
        <item m="1" x="690"/>
        <item m="1" x="3646"/>
        <item m="1" x="1152"/>
        <item m="1" x="1045"/>
        <item m="1" x="272"/>
        <item m="1" x="3985"/>
        <item m="1" x="2114"/>
        <item m="1" x="2933"/>
        <item m="1" x="4009"/>
        <item m="1" x="709"/>
        <item m="1" x="3258"/>
        <item m="1" x="885"/>
        <item m="1" x="4482"/>
        <item m="1" x="4286"/>
        <item m="1" x="4043"/>
        <item m="1" x="568"/>
        <item m="1" x="2488"/>
        <item m="1" x="1813"/>
        <item m="1" x="2076"/>
        <item m="1" x="1210"/>
        <item m="1" x="2920"/>
        <item m="1" x="749"/>
        <item m="1" x="801"/>
        <item m="1" x="4056"/>
        <item m="1" x="4012"/>
        <item m="1" x="3394"/>
        <item m="1" x="3183"/>
        <item m="1" x="2764"/>
        <item m="1" x="932"/>
        <item m="1" x="551"/>
        <item m="1" x="2160"/>
        <item m="1" x="2169"/>
        <item m="1" x="1978"/>
        <item m="1" x="3204"/>
        <item m="1" x="2075"/>
        <item m="1" x="4371"/>
        <item m="1" x="2175"/>
        <item m="1" x="3042"/>
        <item m="1" x="4594"/>
        <item m="1" x="2553"/>
        <item m="1" x="2398"/>
        <item m="1" x="3554"/>
        <item m="1" x="1285"/>
        <item m="1" x="3674"/>
        <item m="1" x="2930"/>
        <item m="1" x="3718"/>
        <item m="1" x="4125"/>
        <item m="1" x="2063"/>
        <item m="1" x="2830"/>
        <item m="1" x="802"/>
        <item m="1" x="4394"/>
        <item m="1" x="1766"/>
        <item m="1" x="4118"/>
        <item m="1" x="4359"/>
        <item m="1" x="2530"/>
        <item m="1" x="2697"/>
        <item m="1" x="564"/>
        <item m="1" x="2614"/>
        <item m="1" x="3602"/>
        <item m="1" x="1352"/>
        <item m="1" x="349"/>
        <item m="1" x="4189"/>
        <item m="1" x="3618"/>
        <item m="1" x="4643"/>
        <item m="1" x="1022"/>
        <item m="1" x="2892"/>
        <item m="1" x="372"/>
        <item m="1" x="2158"/>
        <item m="1" x="1101"/>
        <item m="1" x="292"/>
        <item m="1" x="1238"/>
        <item m="1" x="58"/>
        <item m="1" x="29"/>
        <item m="1" x="3526"/>
        <item m="1" x="1513"/>
        <item m="1" x="2036"/>
        <item m="1" x="1754"/>
        <item m="1" x="2177"/>
        <item m="1" x="2002"/>
        <item m="1" x="4247"/>
        <item m="1" x="1313"/>
        <item m="1" x="1711"/>
        <item m="1" x="2964"/>
        <item m="1" x="2629"/>
        <item m="1" x="3666"/>
        <item m="1" x="2230"/>
        <item m="1" x="1178"/>
        <item m="1" x="1455"/>
        <item m="1" x="3997"/>
        <item m="1" x="4548"/>
        <item m="1" x="339"/>
        <item m="1" x="417"/>
        <item m="1" x="1591"/>
        <item m="1" x="2453"/>
        <item m="1" x="4110"/>
        <item m="1" x="4321"/>
        <item m="1" x="1807"/>
        <item m="1" x="1898"/>
        <item m="1" x="3019"/>
        <item m="1" x="3930"/>
        <item m="1" x="1241"/>
        <item m="1" x="1842"/>
        <item m="1" x="382"/>
        <item m="1" x="4603"/>
        <item m="1" x="3155"/>
        <item m="1" x="163"/>
        <item m="1" x="2091"/>
        <item m="1" x="2217"/>
        <item m="1" x="2783"/>
        <item m="1" x="532"/>
        <item m="1" x="3721"/>
        <item m="1" x="53"/>
        <item m="1" x="3709"/>
        <item m="1" x="1572"/>
        <item m="1" x="812"/>
        <item m="1" x="1151"/>
        <item m="1" x="4409"/>
        <item m="1" x="3074"/>
        <item m="1" x="152"/>
        <item m="1" x="1312"/>
        <item m="1" x="4684"/>
        <item m="1" x="268"/>
        <item m="1" x="557"/>
        <item m="1" x="2856"/>
        <item m="1" x="3226"/>
        <item m="1" x="1471"/>
        <item m="1" x="220"/>
        <item m="1" x="1609"/>
        <item m="1" x="4352"/>
        <item m="1" x="3304"/>
        <item m="1" x="4017"/>
        <item m="1" x="4316"/>
        <item m="1" x="4619"/>
        <item m="1" x="1214"/>
        <item m="1" x="2147"/>
        <item m="1" x="1064"/>
        <item m="1" x="44"/>
        <item m="1" x="594"/>
        <item m="1" x="1912"/>
        <item m="1" x="4266"/>
        <item m="1" x="1678"/>
        <item m="1" x="4314"/>
        <item m="1" x="3703"/>
        <item m="1" x="575"/>
        <item m="1" x="4514"/>
        <item m="1" x="3279"/>
        <item m="1" x="3470"/>
        <item m="1" x="1136"/>
        <item m="1" x="4072"/>
        <item m="1" x="2353"/>
        <item m="1" x="3641"/>
        <item m="1" x="4682"/>
        <item m="1" x="3911"/>
        <item m="1" x="37"/>
        <item m="1" x="553"/>
        <item m="1" x="3211"/>
        <item m="1" x="3468"/>
        <item m="1" x="4046"/>
        <item m="1" x="3560"/>
        <item m="1" x="4635"/>
        <item m="1" x="2725"/>
        <item m="1" x="2409"/>
        <item m="1" x="3054"/>
        <item m="1" x="1272"/>
        <item m="1" x="3330"/>
        <item m="1" x="3198"/>
        <item m="1" x="4672"/>
        <item m="1" x="197"/>
        <item m="1" x="25"/>
        <item m="1" x="2492"/>
        <item m="1" x="1804"/>
        <item m="1" x="1937"/>
        <item m="1" x="4379"/>
        <item m="1" x="3699"/>
        <item m="1" x="147"/>
        <item m="1" x="4631"/>
        <item m="1" x="537"/>
        <item m="1" x="3990"/>
        <item m="1" x="1454"/>
        <item m="1" x="3425"/>
        <item m="1" x="3356"/>
        <item m="1" x="755"/>
        <item m="1" x="4598"/>
        <item m="1" x="2843"/>
        <item m="1" x="2618"/>
        <item m="1" x="547"/>
        <item m="1" x="1750"/>
        <item m="1" x="946"/>
        <item m="1" x="77"/>
        <item m="1" x="2128"/>
        <item m="1" x="2857"/>
        <item m="1" x="2838"/>
        <item m="1" x="4712"/>
        <item m="1" x="1792"/>
        <item m="1" x="4554"/>
        <item m="1" x="356"/>
        <item m="1" x="1348"/>
        <item m="1" x="2138"/>
        <item m="1" x="3339"/>
        <item m="1" x="1630"/>
        <item m="1" x="283"/>
        <item m="1" x="1884"/>
        <item m="1" x="1731"/>
        <item m="1" x="2448"/>
        <item m="1" x="1590"/>
        <item m="1" x="2889"/>
        <item m="1" x="1032"/>
        <item m="1" x="293"/>
        <item m="1" x="3696"/>
        <item m="1" x="68"/>
        <item m="1" x="3886"/>
        <item m="1" x="1868"/>
        <item m="1" x="3483"/>
        <item m="1" x="4301"/>
        <item m="1" x="3208"/>
        <item m="1" x="1698"/>
        <item m="1" x="1174"/>
        <item m="1" x="1134"/>
        <item m="1" x="2977"/>
        <item m="1" x="1578"/>
        <item m="1" x="350"/>
        <item m="1" x="4197"/>
        <item m="1" x="2698"/>
        <item m="1" x="1570"/>
        <item m="1" x="1118"/>
        <item m="1" x="3252"/>
        <item m="1" x="786"/>
        <item m="1" x="3866"/>
        <item m="1" x="1364"/>
        <item m="1" x="2949"/>
        <item m="1" x="1410"/>
        <item m="1" x="4636"/>
        <item m="1" x="3551"/>
        <item m="1" x="3738"/>
        <item m="1" x="1762"/>
        <item m="1" x="4364"/>
        <item m="1" x="3585"/>
        <item m="1" x="425"/>
        <item m="1" x="718"/>
        <item m="1" x="2490"/>
        <item m="1" x="3320"/>
        <item m="1" x="752"/>
        <item m="1" x="2050"/>
        <item m="1" x="1076"/>
        <item m="1" x="3850"/>
        <item m="1" x="288"/>
        <item m="1" x="2997"/>
        <item m="1" x="1825"/>
        <item m="1" x="648"/>
        <item m="1" x="498"/>
        <item m="1" x="1115"/>
        <item m="1" x="3914"/>
        <item m="1" x="3960"/>
        <item m="1" x="426"/>
        <item m="1" x="2110"/>
        <item m="1" x="1631"/>
        <item m="1" x="813"/>
        <item m="1" x="214"/>
        <item m="1" x="1468"/>
        <item m="1" x="3548"/>
        <item m="1" x="918"/>
        <item m="1" x="1162"/>
        <item m="1" x="2665"/>
        <item m="1" x="184"/>
        <item m="1" x="2962"/>
        <item m="1" x="3254"/>
        <item m="1" x="2534"/>
        <item m="1" x="4579"/>
        <item m="1" x="3979"/>
        <item m="1" x="2400"/>
        <item m="1" x="3032"/>
        <item m="1" x="2368"/>
        <item m="1" x="2179"/>
        <item m="1" x="4209"/>
        <item m="1" x="4465"/>
        <item m="1" x="4346"/>
        <item m="1" x="882"/>
        <item m="1" x="2523"/>
        <item m="1" x="2790"/>
        <item m="1" x="1074"/>
        <item m="1" x="3755"/>
        <item m="1" x="724"/>
        <item m="1" x="4044"/>
        <item m="1" x="1198"/>
        <item m="1" x="3328"/>
        <item m="1" x="78"/>
        <item m="1" x="1111"/>
        <item m="1" x="3633"/>
        <item m="1" x="4054"/>
        <item m="1" x="1236"/>
        <item m="1" x="803"/>
        <item m="1" x="2245"/>
        <item m="1" x="190"/>
        <item m="1" x="989"/>
        <item m="1" x="2072"/>
        <item m="1" x="3817"/>
        <item m="1" x="939"/>
        <item m="1" x="4630"/>
        <item m="1" x="3492"/>
        <item m="1" x="3819"/>
        <item m="1" x="4713"/>
        <item m="1" x="2657"/>
        <item m="1" x="2547"/>
        <item m="1" x="1573"/>
        <item m="1" x="4389"/>
        <item m="1" x="64"/>
        <item m="1" x="3519"/>
        <item m="1" x="4312"/>
        <item m="1" x="2413"/>
        <item m="1" x="3910"/>
        <item m="1" x="1474"/>
        <item m="1" x="1343"/>
        <item m="1" x="3480"/>
        <item m="1" x="1013"/>
        <item m="1" x="1564"/>
        <item m="1" x="3873"/>
        <item m="1" x="2277"/>
        <item m="1" x="957"/>
        <item m="1" x="1888"/>
        <item m="1" x="359"/>
        <item m="1" x="4119"/>
        <item m="1" x="1709"/>
        <item m="1" x="1421"/>
        <item m="1" x="2728"/>
        <item m="1" x="2932"/>
        <item m="1" x="2869"/>
        <item m="1" x="544"/>
        <item m="1" x="4117"/>
        <item m="1" x="732"/>
        <item m="1" x="473"/>
        <item m="1" x="3691"/>
        <item m="1" x="846"/>
        <item m="1" x="1747"/>
        <item m="1" x="2687"/>
        <item m="1" x="1899"/>
        <item m="1" x="2410"/>
        <item m="1" x="4531"/>
        <item m="1" x="4443"/>
        <item m="1" x="1940"/>
        <item m="1" x="314"/>
        <item m="1" x="4078"/>
        <item m="1" x="1337"/>
        <item m="1" x="3505"/>
        <item m="1" x="4198"/>
        <item m="1" x="2992"/>
        <item m="1" x="1154"/>
        <item m="1" x="3010"/>
        <item m="1" x="3450"/>
        <item m="1" x="2396"/>
        <item m="1" x="3637"/>
        <item m="1" x="1827"/>
        <item m="1" x="1254"/>
        <item m="1" x="833"/>
        <item m="1" x="2209"/>
        <item m="1" x="1098"/>
        <item m="1" x="4284"/>
        <item m="1" x="4271"/>
        <item m="1" x="4133"/>
        <item m="1" x="1705"/>
        <item m="1" x="1859"/>
        <item m="1" x="1763"/>
        <item m="1" x="1583"/>
        <item m="1" x="441"/>
        <item m="1" x="857"/>
        <item m="1" x="2648"/>
        <item m="1" x="2792"/>
        <item m="1" x="3535"/>
        <item m="1" x="1623"/>
        <item m="1" x="304"/>
        <item m="1" x="2340"/>
        <item m="1" x="1323"/>
        <item m="1" x="2258"/>
        <item m="1" x="1125"/>
        <item m="1" x="2628"/>
        <item m="1" x="2226"/>
        <item m="1" x="1119"/>
        <item m="1" x="3650"/>
        <item m="1" x="2061"/>
        <item m="1" x="3378"/>
        <item m="1" x="3710"/>
        <item m="1" x="2781"/>
        <item m="1" x="1646"/>
        <item m="1" x="735"/>
        <item m="1" x="661"/>
        <item m="1" x="1592"/>
        <item m="1" x="2701"/>
        <item m="1" x="895"/>
        <item m="1" x="1296"/>
        <item m="1" x="2150"/>
        <item m="1" x="1990"/>
        <item m="1" x="2320"/>
        <item m="1" x="722"/>
        <item m="1" x="2377"/>
        <item m="1" x="2060"/>
        <item m="1" x="1890"/>
        <item m="1" x="2440"/>
        <item m="1" x="533"/>
        <item m="1" x="2622"/>
        <item m="1" x="4383"/>
        <item m="1" x="4436"/>
        <item m="1" x="2866"/>
        <item m="1" x="3654"/>
        <item m="1" x="1334"/>
        <item m="1" x="2365"/>
        <item m="1" x="4175"/>
        <item m="1" x="2558"/>
        <item m="1" x="2779"/>
        <item m="1" x="4328"/>
        <item m="1" x="210"/>
        <item m="1" x="2385"/>
        <item m="1" x="1360"/>
        <item m="1" x="442"/>
        <item m="1" x="534"/>
        <item m="1" x="4156"/>
        <item m="1" x="2639"/>
        <item m="1" x="2494"/>
        <item m="1" x="2354"/>
        <item m="1" x="1144"/>
        <item m="1" x="4149"/>
        <item m="1" x="3244"/>
        <item m="1" x="149"/>
        <item m="1" x="4645"/>
        <item m="1" x="516"/>
        <item m="1" x="4311"/>
        <item m="1" x="1244"/>
        <item m="1" x="977"/>
        <item m="1" x="2417"/>
        <item m="1" x="4191"/>
        <item m="1" x="3458"/>
        <item m="1" x="2939"/>
        <item m="1" x="238"/>
        <item m="1" x="3772"/>
        <item m="1" x="727"/>
        <item m="1" x="189"/>
        <item m="1" x="1077"/>
        <item m="1" x="2285"/>
        <item m="1" x="4257"/>
        <item m="1" x="4333"/>
        <item m="1" x="1944"/>
        <item m="1" x="1838"/>
        <item m="1" x="3061"/>
        <item m="1" x="3612"/>
        <item m="1" x="2868"/>
        <item m="1" x="621"/>
        <item m="1" x="3747"/>
        <item m="1" x="2470"/>
        <item m="1" x="3209"/>
        <item m="1" x="3529"/>
        <item m="1" x="3314"/>
        <item m="1" x="2978"/>
        <item m="1" x="3007"/>
        <item m="1" x="4668"/>
        <item m="1" x="550"/>
        <item m="1" x="66"/>
        <item m="1" x="4029"/>
        <item m="1" x="111"/>
        <item m="1" x="2798"/>
        <item m="1" x="3987"/>
        <item m="1" x="3383"/>
        <item m="1" x="2495"/>
        <item m="1" x="2989"/>
        <item m="1" x="2742"/>
        <item m="1" x="1995"/>
        <item m="1" x="3445"/>
        <item m="1" x="4293"/>
        <item m="1" x="509"/>
        <item m="1" x="3902"/>
        <item m="1" x="3367"/>
        <item m="1" x="2539"/>
        <item m="1" x="1628"/>
        <item m="1" x="3280"/>
        <item m="1" x="4349"/>
        <item m="1" x="1199"/>
        <item m="1" x="2675"/>
        <item m="1" x="3024"/>
        <item m="1" x="2773"/>
        <item m="1" x="4381"/>
        <item m="1" x="4368"/>
        <item m="1" x="890"/>
        <item m="1" x="1908"/>
        <item m="1" x="2034"/>
        <item m="1" x="3205"/>
        <item m="1" x="4558"/>
        <item m="1" x="109"/>
        <item m="1" x="3412"/>
        <item m="1" x="2047"/>
        <item m="1" x="3041"/>
        <item m="1" x="3457"/>
        <item m="1" x="12"/>
        <item m="1" x="2814"/>
        <item m="1" x="1663"/>
        <item m="1" x="2087"/>
        <item m="1" x="3375"/>
        <item m="1" x="114"/>
        <item m="1" x="3456"/>
        <item m="1" x="2195"/>
        <item m="1" x="3064"/>
        <item m="1" x="1443"/>
        <item m="1" x="3694"/>
        <item m="1" x="3827"/>
        <item m="1" x="999"/>
        <item m="1" x="1732"/>
        <item m="1" x="1549"/>
        <item m="1" x="1626"/>
        <item m="1" x="3241"/>
        <item m="1" x="3779"/>
        <item m="1" x="2905"/>
        <item m="1" x="482"/>
        <item m="1" x="3467"/>
        <item m="1" x="121"/>
        <item m="1" x="2607"/>
        <item m="1" x="1023"/>
        <item m="1" x="1535"/>
        <item m="1" x="3627"/>
        <item m="1" x="1975"/>
        <item m="1" x="2719"/>
        <item m="1" x="1240"/>
        <item m="1" x="3132"/>
        <item m="1" x="1345"/>
        <item m="1" x="166"/>
        <item m="1" x="659"/>
        <item m="1" x="518"/>
        <item m="1" x="3113"/>
        <item m="1" x="3665"/>
        <item m="1" x="1694"/>
        <item m="1" x="39"/>
        <item m="1" x="1003"/>
        <item m="1" x="1621"/>
        <item m="1" x="891"/>
        <item m="1" x="3546"/>
        <item m="1" x="2985"/>
        <item m="1" x="2887"/>
        <item m="1" x="2795"/>
        <item m="1" x="1147"/>
        <item m="1" x="2270"/>
        <item m="1" x="278"/>
        <item m="1" x="874"/>
        <item m="1" x="1096"/>
        <item m="1" x="2722"/>
        <item m="1" x="3140"/>
        <item m="1" x="405"/>
        <item m="1" x="440"/>
        <item m="1" x="2373"/>
        <item m="1" x="4487"/>
        <item m="1" x="4015"/>
        <item m="1" x="787"/>
        <item m="1" x="1183"/>
        <item m="1" x="4621"/>
        <item m="1" x="1670"/>
        <item m="1" x="3251"/>
        <item m="1" x="2041"/>
        <item m="1" x="1407"/>
        <item m="1" x="4593"/>
        <item m="1" x="1554"/>
        <item m="1" x="1282"/>
        <item m="1" x="3027"/>
        <item m="1" x="738"/>
        <item m="1" x="3951"/>
        <item m="1" x="79"/>
        <item m="1" x="2350"/>
        <item m="1" x="2100"/>
        <item m="1" x="3621"/>
        <item m="1" x="4449"/>
        <item m="1" x="2"/>
        <item m="1" x="2027"/>
        <item m="1" x="685"/>
        <item m="1" x="4578"/>
        <item m="1" x="2305"/>
        <item m="1" x="2976"/>
        <item m="1" x="1721"/>
        <item m="1" x="3880"/>
        <item m="1" x="494"/>
        <item m="1" x="4097"/>
        <item m="1" x="4555"/>
        <item m="1" x="1649"/>
        <item m="1" x="3909"/>
        <item m="1" x="3273"/>
        <item m="1" x="3562"/>
        <item m="1" x="3943"/>
        <item m="1" x="2247"/>
        <item m="1" x="852"/>
        <item m="1" x="3122"/>
        <item m="1" x="4372"/>
        <item m="1" x="814"/>
        <item m="1" x="1148"/>
        <item m="1" x="1230"/>
        <item m="1" x="157"/>
        <item m="1" x="22"/>
        <item m="1" x="284"/>
        <item m="1" x="4662"/>
        <item m="1" x="4309"/>
        <item m="1" x="2015"/>
        <item m="1" x="3033"/>
        <item m="1" x="1489"/>
        <item m="1" x="4285"/>
        <item m="1" x="3568"/>
        <item m="1" x="2427"/>
        <item m="1" x="198"/>
        <item m="1" x="2944"/>
        <item m="1" x="176"/>
        <item m="1" x="4623"/>
        <item m="1" x="3130"/>
        <item m="1" x="900"/>
        <item m="1" x="2865"/>
        <item m="1" x="3989"/>
        <item m="1" x="1292"/>
        <item m="1" x="2855"/>
        <item m="1" x="56"/>
        <item m="1" x="3349"/>
        <item m="1" x="733"/>
        <item m="1" x="3898"/>
        <item m="1" x="1896"/>
        <item m="1" x="2713"/>
        <item m="1" x="2378"/>
        <item m="1" x="2928"/>
        <item m="1" x="1547"/>
        <item m="1" x="3875"/>
        <item m="1" x="2202"/>
        <item m="1" x="788"/>
        <item m="1" x="1607"/>
        <item m="1" x="67"/>
        <item m="1" x="4691"/>
        <item m="1" x="4295"/>
        <item m="1" x="2811"/>
        <item m="1" x="319"/>
        <item m="1" x="2822"/>
        <item m="1" x="4708"/>
        <item m="1" x="507"/>
        <item m="1" x="3099"/>
        <item m="1" x="2407"/>
        <item m="1" x="1344"/>
        <item m="1" x="3993"/>
        <item m="1" x="2500"/>
        <item m="1" x="4520"/>
        <item m="1" x="1861"/>
        <item m="1" x="3397"/>
        <item m="1" x="2923"/>
        <item m="1" x="2738"/>
        <item m="1" x="1223"/>
        <item m="1" x="2333"/>
        <item m="1" x="2714"/>
        <item m="1" x="1608"/>
        <item m="1" x="4616"/>
        <item m="1" x="3648"/>
        <item m="1" x="4688"/>
        <item m="1" x="4505"/>
        <item m="1" x="1869"/>
        <item m="1" x="3927"/>
        <item m="1" x="4113"/>
        <item m="1" x="3417"/>
        <item m="1" x="657"/>
        <item m="1" x="901"/>
        <item m="1" x="2777"/>
        <item m="1" x="4206"/>
        <item m="1" x="3111"/>
        <item m="1" x="1633"/>
        <item m="1" x="1384"/>
        <item m="1" x="123"/>
        <item m="1" x="377"/>
        <item m="1" x="955"/>
        <item m="1" x="1858"/>
        <item m="1" x="1833"/>
        <item m="1" x="295"/>
        <item m="1" x="3085"/>
        <item m="1" x="49"/>
        <item m="1" x="4580"/>
        <item m="1" x="4702"/>
        <item m="1" x="239"/>
        <item m="1" x="3177"/>
        <item m="1" x="2566"/>
        <item m="1" x="3021"/>
        <item m="1" x="1262"/>
        <item m="1" x="4525"/>
        <item m="1" x="308"/>
        <item m="1" x="1941"/>
        <item m="1" x="3563"/>
        <item m="1" x="701"/>
        <item m="1" x="4041"/>
        <item m="1" x="1905"/>
        <item m="1" x="4018"/>
        <item m="1" x="1305"/>
        <item m="1" x="875"/>
        <item m="1" x="1603"/>
        <item m="1" x="615"/>
        <item m="1" x="2967"/>
        <item m="1" x="2079"/>
        <item m="1" x="4147"/>
        <item m="1" x="1574"/>
        <item m="1" x="4016"/>
        <item m="1" x="3497"/>
        <item m="1" x="3095"/>
        <item m="1" x="444"/>
        <item m="1" x="242"/>
        <item m="1" x="465"/>
        <item m="1" x="3856"/>
        <item m="1" x="572"/>
        <item m="1" x="4211"/>
        <item m="1" x="1052"/>
        <item m="1" x="2802"/>
        <item m="1" x="3937"/>
        <item m="1" x="2239"/>
        <item m="1" x="368"/>
        <item m="1" x="4561"/>
        <item m="1" x="2829"/>
        <item m="1" x="4457"/>
        <item m="1" x="671"/>
        <item m="1" x="925"/>
        <item m="1" x="2499"/>
        <item m="1" x="3809"/>
        <item m="1" x="741"/>
        <item m="1" x="3533"/>
        <item m="1" x="4401"/>
        <item m="1" x="3161"/>
        <item m="1" x="2351"/>
        <item m="1" x="3549"/>
        <item m="1" x="1372"/>
        <item m="1" x="962"/>
        <item m="1" x="1482"/>
        <item m="1" x="3578"/>
        <item m="1" x="2116"/>
        <item m="1" x="692"/>
        <item m="1" x="161"/>
        <item m="1" x="3513"/>
        <item m="1" x="4262"/>
        <item m="1" x="3610"/>
        <item m="1" x="4210"/>
        <item m="1" x="667"/>
        <item m="1" x="4310"/>
        <item m="1" x="3572"/>
        <item m="1" x="4612"/>
        <item m="1" x="968"/>
        <item m="1" x="2925"/>
        <item m="1" x="4202"/>
        <item m="1" x="1110"/>
        <item m="1" x="2804"/>
        <item m="1" x="3677"/>
        <item m="1" x="4327"/>
        <item m="1" x="155"/>
        <item m="1" x="716"/>
        <item m="1" x="4278"/>
        <item m="1" x="1699"/>
        <item m="1" x="455"/>
        <item m="1" x="1179"/>
        <item m="1" x="1701"/>
        <item m="1" x="2042"/>
        <item m="1" x="4523"/>
        <item m="1" x="2541"/>
        <item m="1" x="521"/>
        <item m="1" x="3871"/>
        <item m="1" x="1518"/>
        <item m="1" x="4214"/>
        <item m="1" x="3135"/>
        <item m="1" x="1682"/>
        <item m="1" x="3783"/>
        <item m="1" x="913"/>
        <item m="1" x="4658"/>
        <item m="1" x="1041"/>
        <item m="1" x="1457"/>
        <item m="1" x="4065"/>
        <item m="1" x="1099"/>
        <item m="1" x="4461"/>
        <item m="1" x="2112"/>
        <item m="1" x="427"/>
        <item m="1" x="2459"/>
        <item m="1" x="3451"/>
        <item m="1" x="3657"/>
        <item m="1" x="3222"/>
        <item m="1" x="2221"/>
        <item m="1" x="3372"/>
        <item m="1" x="3002"/>
        <item m="1" x="3186"/>
        <item m="1" x="3243"/>
        <item m="1" x="3669"/>
        <item m="1" x="2379"/>
        <item m="1" x="1017"/>
        <item m="1" x="334"/>
        <item m="1" x="4294"/>
        <item m="1" x="1757"/>
        <item m="1" x="2058"/>
        <item m="1" x="2793"/>
        <item m="1" x="529"/>
        <item m="1" x="2311"/>
        <item m="1" x="3559"/>
        <item m="1" x="2046"/>
        <item m="1" x="2426"/>
        <item m="1" x="2942"/>
        <item m="1" x="16"/>
        <item m="1" x="821"/>
        <item m="1" x="3952"/>
        <item m="1" x="2200"/>
        <item m="1" x="2508"/>
        <item m="1" x="3310"/>
        <item m="1" x="1488"/>
        <item m="1" x="680"/>
        <item m="1" x="2765"/>
        <item m="1" x="2148"/>
        <item m="1" x="2481"/>
        <item m="1" x="1504"/>
        <item m="1" x="179"/>
        <item m="1" x="1314"/>
        <item m="1" x="854"/>
        <item m="1" x="4473"/>
        <item m="1" x="2008"/>
        <item m="1" x="4225"/>
        <item m="1" x="3138"/>
        <item m="1" x="1814"/>
        <item m="1" x="584"/>
        <item m="1" x="1373"/>
        <item m="1" x="3734"/>
        <item m="1" x="1429"/>
        <item m="1" x="3059"/>
        <item m="1" x="1033"/>
        <item m="1" x="2813"/>
        <item m="1" x="1220"/>
        <item m="1" x="258"/>
        <item m="1" x="2468"/>
        <item m="1" x="2135"/>
        <item m="1" x="2020"/>
        <item m="1" x="3742"/>
        <item m="1" x="610"/>
        <item m="1" x="132"/>
        <item m="1" x="1826"/>
        <item m="1" x="1026"/>
        <item m="1" x="822"/>
        <item m="1" x="605"/>
        <item m="1" x="375"/>
        <item m="1" x="3938"/>
        <item m="1" x="4665"/>
        <item m="1" x="1376"/>
        <item m="1" x="3435"/>
        <item m="1" x="2659"/>
        <item m="1" x="3190"/>
        <item m="1" x="4450"/>
        <item m="1" x="513"/>
        <item m="1" x="4026"/>
        <item m="1" x="2231"/>
        <item m="1" x="1451"/>
        <item m="1" x="2125"/>
        <item m="1" x="1433"/>
        <item m="1" x="640"/>
        <item m="1" x="233"/>
        <item m="1" x="2229"/>
        <item m="1" x="1593"/>
        <item m="1" x="2068"/>
        <item m="1" x="1637"/>
        <item m="1" x="924"/>
        <item m="1" x="2101"/>
        <item m="1" x="1846"/>
        <item m="1" x="3660"/>
        <item m="1" x="1780"/>
        <item m="1" x="248"/>
        <item m="1" x="526"/>
        <item m="1" x="1472"/>
        <item m="1" x="4345"/>
        <item m="1" x="3442"/>
        <item m="1" x="4609"/>
        <item m="1" x="470"/>
        <item m="1" x="2491"/>
        <item m="1" x="2038"/>
        <item m="1" x="1805"/>
        <item m="1" x="1656"/>
        <item m="1" x="2729"/>
        <item m="1" x="3659"/>
        <item m="1" x="2846"/>
        <item m="1" x="4539"/>
        <item m="1" x="2666"/>
        <item m="1" x="691"/>
        <item m="1" x="1904"/>
        <item m="1" x="1782"/>
        <item m="1" x="3047"/>
        <item m="1" x="4094"/>
        <item m="1" x="1268"/>
        <item m="1" x="2831"/>
        <item m="1" x="1964"/>
        <item m="1" x="38"/>
        <item m="1" x="705"/>
        <item m="1" x="4104"/>
        <item m="1" x="508"/>
        <item m="1" x="2347"/>
        <item m="1" x="4649"/>
        <item m="1" x="1029"/>
        <item m="1" x="3453"/>
        <item m="1" x="3941"/>
        <item m="1" x="3595"/>
        <item m="1" x="3507"/>
        <item m="1" x="723"/>
        <item m="1" x="1719"/>
        <item m="1" x="2414"/>
        <item m="1" x="2240"/>
        <item m="1" x="4157"/>
        <item m="1" x="4212"/>
        <item m="1" x="3920"/>
        <item m="1" x="997"/>
        <item m="1" x="193"/>
        <item m="1" x="331"/>
        <item m="1" x="4644"/>
        <item m="1" x="329"/>
        <item m="1" x="4109"/>
        <item m="1" x="4411"/>
        <item m="1" x="2334"/>
        <item m="1" x="168"/>
        <item m="1" x="2171"/>
        <item m="1" x="2113"/>
        <item m="1" x="3311"/>
        <item m="1" x="3230"/>
        <item m="1" x="2170"/>
        <item m="1" x="4287"/>
        <item m="1" x="90"/>
        <item m="1" x="1447"/>
        <item m="1" x="1409"/>
        <item m="1" x="2604"/>
        <item m="1" x="866"/>
        <item m="1" x="2612"/>
        <item m="1" x="4476"/>
        <item m="1" x="2760"/>
        <item m="1" x="1708"/>
        <item m="1" x="4006"/>
        <item m="1" x="1480"/>
        <item m="1" x="240"/>
        <item m="1" x="4181"/>
        <item m="1" x="505"/>
        <item m="1" x="2096"/>
        <item m="1" x="231"/>
        <item m="1" x="3527"/>
        <item m="1" x="23"/>
        <item m="1" x="3216"/>
        <item m="1" x="3017"/>
        <item m="1" x="3743"/>
        <item m="1" x="2883"/>
        <item m="1" x="3903"/>
        <item m="1" x="1748"/>
        <item m="1" x="3302"/>
        <item m="1" x="1090"/>
        <item m="1" x="2235"/>
        <item m="1" x="3075"/>
        <item m="1" x="2460"/>
        <item m="1" x="1068"/>
        <item m="1" x="2881"/>
        <item m="1" x="496"/>
        <item m="1" x="4604"/>
        <item m="1" x="2575"/>
        <item m="1" x="2178"/>
        <item m="1" x="2818"/>
        <item m="1" x="4483"/>
        <item m="1" x="3087"/>
        <item m="1" x="3305"/>
        <item m="1" x="3838"/>
        <item m="1" x="294"/>
        <item m="1" x="1475"/>
        <item m="1" x="459"/>
        <item m="1" x="2679"/>
        <item m="1" x="1986"/>
        <item m="1" x="4079"/>
        <item m="1" x="2037"/>
        <item m="1" x="3598"/>
        <item m="1" x="1775"/>
        <item m="1" x="2429"/>
        <item m="1" x="3494"/>
        <item m="1" x="4042"/>
        <item m="1" x="1755"/>
        <item m="1" x="3640"/>
        <item m="1" x="1403"/>
        <item m="1" x="2157"/>
        <item m="1" x="2513"/>
        <item m="1" x="859"/>
        <item m="1" x="2346"/>
        <item m="1" x="2721"/>
        <item m="1" x="1310"/>
        <item m="1" x="3515"/>
        <item m="1" x="3619"/>
        <item m="1" x="1520"/>
        <item m="1" x="3807"/>
        <item m="1" x="996"/>
        <item m="1" x="54"/>
        <item m="1" x="4313"/>
        <item m="1" x="2620"/>
        <item m="1" x="3490"/>
        <item m="1" x="2966"/>
        <item m="1" x="2876"/>
        <item m="1" x="4236"/>
        <item m="1" x="1689"/>
        <item m="1" x="341"/>
        <item m="1" x="2349"/>
        <item m="1" x="2446"/>
        <item m="1" x="1184"/>
        <item m="1" x="3966"/>
        <item m="1" x="492"/>
        <item m="1" x="1820"/>
        <item m="1" x="3402"/>
        <item m="1" x="4129"/>
        <item m="1" x="4552"/>
        <item m="1" x="1219"/>
        <item m="1" x="3173"/>
        <item m="1" x="837"/>
        <item m="1" x="34"/>
        <item m="1" x="3878"/>
        <item m="1" x="2885"/>
        <item m="1" x="861"/>
        <item m="1" x="2104"/>
        <item m="1" x="3787"/>
        <item m="1" x="1465"/>
        <item m="1" x="2249"/>
        <item m="1" x="3957"/>
        <item m="1" x="4570"/>
        <item m="1" x="2119"/>
        <item m="1" x="3959"/>
        <item m="1" x="810"/>
        <item m="1" x="2421"/>
        <item m="1" x="4297"/>
        <item m="1" x="792"/>
        <item m="1" x="2307"/>
        <item m="1" x="3200"/>
        <item m="1" x="4332"/>
        <item m="1" x="4355"/>
        <item m="1" x="1479"/>
        <item m="1" x="2136"/>
        <item m="1" x="118"/>
        <item m="1" x="4150"/>
        <item m="1" x="1852"/>
        <item m="1" x="699"/>
        <item m="1" x="2820"/>
        <item m="1" x="1035"/>
        <item m="1" x="1679"/>
        <item m="1" x="3229"/>
        <item m="1" x="1790"/>
        <item m="1" x="1399"/>
        <item m="1" x="2626"/>
        <item m="1" x="181"/>
        <item m="1" x="328"/>
        <item m="1" x="808"/>
        <item m="1" x="565"/>
        <item m="1" x="4585"/>
        <item m="1" x="2860"/>
        <item m="1" x="4620"/>
        <item m="1" x="523"/>
        <item m="1" x="3293"/>
        <item m="1" x="3982"/>
        <item m="1" x="3"/>
        <item m="1" x="3788"/>
        <item m="1" x="4176"/>
        <item m="1" x="1253"/>
        <item m="1" x="1369"/>
        <item m="1" x="4090"/>
        <item m="1" x="1539"/>
        <item m="1" x="82"/>
        <item m="1" x="903"/>
        <item m="1" x="1543"/>
        <item m="1" x="4154"/>
        <item m="1" x="3921"/>
        <item m="1" x="1120"/>
        <item m="1" x="889"/>
        <item m="1" x="3281"/>
        <item m="1" x="2751"/>
        <item m="1" x="2551"/>
        <item m="1" x="3233"/>
        <item m="1" x="1657"/>
        <item m="1" x="4231"/>
        <item m="1" x="2999"/>
        <item m="1" x="219"/>
        <item m="1" x="1385"/>
        <item m="1" x="241"/>
        <item m="1" x="2191"/>
        <item m="1" x="3767"/>
        <item m="1" x="1329"/>
        <item m="1" x="1840"/>
        <item m="1" x="4685"/>
        <item m="1" x="3093"/>
        <item m="1" x="1257"/>
        <item m="1" x="366"/>
        <item m="1" x="180"/>
        <item m="1" x="4423"/>
        <item m="1" x="411"/>
        <item m="1" x="3141"/>
        <item m="1" x="2366"/>
        <item m="1" x="912"/>
        <item m="1" x="645"/>
        <item m="1" x="964"/>
        <item m="1" x="1604"/>
        <item m="1" x="1319"/>
        <item m="1" x="4709"/>
        <item m="1" x="2782"/>
        <item m="1" x="843"/>
        <item m="1" x="2774"/>
        <item m="1" x="1150"/>
        <item m="1" x="853"/>
        <item m="1" x="4062"/>
        <item m="1" x="2374"/>
        <item m="1" x="3413"/>
        <item m="1" x="2805"/>
        <item m="1" x="1491"/>
        <item m="1" x="3060"/>
        <item m="1" x="2262"/>
        <item m="1" x="26"/>
        <item m="1" x="4136"/>
        <item m="1" x="3639"/>
        <item m="1" x="1714"/>
        <item m="1" x="4460"/>
        <item m="1" x="3757"/>
        <item m="1" x="730"/>
        <item m="1" x="3776"/>
        <item m="1" x="3265"/>
        <item m="1" x="763"/>
        <item m="1" x="1458"/>
        <item m="1" x="289"/>
        <item m="1" x="2382"/>
        <item m="1" x="3437"/>
        <item m="1" x="243"/>
        <item m="1" x="47"/>
        <item m="1" x="36"/>
        <item m="1" x="3368"/>
        <item m="1" x="2761"/>
        <item m="1" x="4666"/>
        <item m="1" x="3175"/>
        <item m="1" x="2174"/>
        <item m="1" x="2844"/>
        <item m="1" x="228"/>
        <item m="1" x="3635"/>
        <item m="1" x="1259"/>
        <item m="1" x="3566"/>
        <item m="1" x="167"/>
        <item m="1" x="3439"/>
        <item m="1" x="1939"/>
        <item m="1" x="1484"/>
        <item m="1" x="3818"/>
        <item m="1" x="3080"/>
        <item m="1" x="4414"/>
        <item m="1" x="4244"/>
        <item m="1" x="3874"/>
        <item m="1" x="1681"/>
        <item m="1" x="4536"/>
        <item m="1" x="72"/>
        <item m="1" x="1175"/>
        <item m="1" x="3516"/>
        <item m="1" x="4143"/>
        <item m="1" x="4038"/>
        <item m="1" x="3068"/>
        <item m="1" x="8"/>
        <item m="1" x="4339"/>
        <item m="1" x="1768"/>
        <item m="1" x="3493"/>
        <item m="1" x="1228"/>
        <item m="1" x="2412"/>
        <item m="1" x="4171"/>
        <item m="1" x="1302"/>
        <item m="1" x="2031"/>
        <item m="1" x="2847"/>
        <item m="1" x="3053"/>
        <item m="1" x="187"/>
        <item m="1" x="71"/>
        <item m="1" x="2308"/>
        <item m="1" x="4530"/>
        <item m="1" x="899"/>
        <item m="1" x="2234"/>
        <item m="1" x="2327"/>
        <item m="1" x="4422"/>
        <item m="1" x="1046"/>
        <item m="1" x="365"/>
        <item m="1" x="83"/>
        <item m="1" x="4303"/>
        <item m="1" x="1048"/>
        <item m="1" x="3967"/>
        <item m="1" x="2108"/>
        <item m="1" x="563"/>
        <item m="1" x="2066"/>
        <item m="1" x="2882"/>
        <item m="1" x="3264"/>
        <item m="1" x="3980"/>
        <item m="1" x="3923"/>
        <item m="1" x="3739"/>
        <item m="1" x="2632"/>
        <item m="1" x="1336"/>
        <item m="1" x="2931"/>
        <item m="1" x="2007"/>
        <item m="1" x="2613"/>
        <item m="1" x="855"/>
        <item m="1" x="1370"/>
        <item m="1" x="1300"/>
        <item m="1" x="2951"/>
        <item m="1" x="3896"/>
        <item m="1" x="1218"/>
        <item m="1" x="144"/>
        <item m="1" x="1661"/>
        <item m="1" x="1594"/>
        <item m="1" x="1696"/>
        <item m="1" x="1301"/>
        <item m="1" x="1057"/>
        <item m="1" x="2279"/>
        <item m="1" x="2016"/>
        <item m="1" x="4366"/>
        <item m="1" x="3655"/>
        <item m="1" x="4317"/>
        <item m="1" x="4163"/>
        <item m="1" x="380"/>
        <item m="1" x="1877"/>
        <item m="1" x="3329"/>
        <item m="1" x="2921"/>
        <item m="1" x="2447"/>
        <item m="1" x="1587"/>
        <item m="1" x="546"/>
        <item m="1" x="4095"/>
        <item m="1" x="2149"/>
        <item m="1" x="3220"/>
        <item m="1" x="1781"/>
        <item m="1" x="4667"/>
        <item m="1" x="1079"/>
        <item m="1" x="2045"/>
        <item m="1" x="4386"/>
        <item m="1" x="1138"/>
        <item m="1" x="2692"/>
        <item m="1" x="450"/>
        <item m="1" x="2748"/>
        <item m="1" x="1042"/>
        <item m="1" x="2897"/>
        <item m="1" x="4673"/>
        <item m="1" x="2640"/>
        <item m="1" x="3583"/>
        <item m="1" x="965"/>
        <item m="1" x="3561"/>
        <item m="1" x="3446"/>
        <item m="1" x="2689"/>
        <item m="1" x="1618"/>
        <item m="1" x="3408"/>
        <item m="1" x="490"/>
        <item m="1" x="3861"/>
        <item m="1" x="3401"/>
        <item m="1" x="947"/>
        <item m="1" x="4308"/>
        <item m="1" x="3100"/>
        <item m="1" x="84"/>
        <item m="1" x="2785"/>
        <item m="1" x="1452"/>
        <item m="1" x="1149"/>
        <item m="1" x="767"/>
        <item m="1" x="2775"/>
        <item m="1" x="2680"/>
        <item m="1" x="3628"/>
        <item m="1" x="486"/>
        <item m="1" x="2029"/>
        <item m="1" x="4166"/>
        <item m="1" x="3582"/>
        <item m="1" x="2536"/>
        <item m="1" x="1005"/>
        <item m="1" x="4230"/>
        <item m="1" x="4199"/>
        <item m="1" x="296"/>
        <item m="1" x="1537"/>
        <item m="1" x="4100"/>
        <item m="1" x="1255"/>
        <item m="1" x="3915"/>
        <item m="1" x="2454"/>
        <item m="1" x="4395"/>
        <item m="1" x="2132"/>
        <item m="1" x="527"/>
        <item m="1" x="1393"/>
        <item m="1" x="3146"/>
        <item m="1" x="2898"/>
        <item m="1" x="2380"/>
        <item m="1" x="750"/>
        <item m="1" x="4581"/>
        <item m="1" x="4562"/>
        <item m="1" x="2577"/>
        <item m="1" x="618"/>
        <item m="1" x="1"/>
        <item m="1" x="3720"/>
        <item m="1" x="3949"/>
        <item m="1" x="2403"/>
        <item m="1" x="2753"/>
        <item m="1" x="2615"/>
        <item m="1" x="51"/>
        <item m="1" x="4428"/>
        <item m="1" x="2766"/>
        <item m="1" x="330"/>
        <item m="1" x="4430"/>
        <item m="1" x="2463"/>
        <item m="1" x="3063"/>
        <item m="1" x="2606"/>
        <item m="1" x="1600"/>
        <item m="1" x="222"/>
        <item m="1" x="1730"/>
        <item m="1" x="4342"/>
        <item m="1" x="4377"/>
        <item m="1" x="3048"/>
        <item m="1" x="260"/>
        <item m="1" x="1510"/>
        <item m="1" x="849"/>
        <item m="1" x="3026"/>
        <item m="1" x="3969"/>
        <item m="1" x="4634"/>
        <item m="1" x="4376"/>
        <item m="1" x="1672"/>
        <item m="1" x="3537"/>
        <item m="1" x="3732"/>
        <item m="1" x="27"/>
        <item m="1" x="3900"/>
        <item m="1" x="3055"/>
        <item m="1" x="2956"/>
        <item m="1" x="3631"/>
        <item m="1" x="1188"/>
        <item m="1" x="2464"/>
        <item m="1" x="1363"/>
        <item m="1" x="2749"/>
        <item m="1" x="2776"/>
        <item m="1" x="3139"/>
        <item m="1" x="390"/>
        <item m="1" x="1536"/>
        <item m="1" x="4546"/>
        <item m="1" x="2816"/>
        <item m="1" x="4086"/>
        <item m="1" x="1034"/>
        <item m="1" x="3796"/>
        <item m="1" x="4660"/>
        <item m="1" x="892"/>
        <item m="1" x="4508"/>
        <item m="1" x="4591"/>
        <item m="1" x="1734"/>
        <item m="1" x="1993"/>
        <item m="1" x="4025"/>
        <item m="1" x="2193"/>
        <item m="1" x="598"/>
        <item m="1" x="2840"/>
        <item m="1" x="1770"/>
        <item m="1" x="2445"/>
        <item m="1" x="2227"/>
        <item m="1" x="3524"/>
        <item m="1" x="3955"/>
        <item m="1" x="734"/>
        <item m="1" x="2597"/>
        <item m="1" x="327"/>
        <item m="1" x="1589"/>
        <item m="1" x="2621"/>
        <item m="1" x="3001"/>
        <item m="1" x="920"/>
        <item m="1" x="447"/>
        <item m="1" x="128"/>
        <item m="1" x="652"/>
        <item m="1" x="2152"/>
        <item m="1" x="928"/>
        <item m="1" x="935"/>
        <item m="1" x="4127"/>
        <item m="1" x="3536"/>
        <item m="1" x="3799"/>
        <item m="1" x="3591"/>
        <item m="1" x="1318"/>
        <item m="1" x="3784"/>
        <item m="1" x="1050"/>
        <item m="1" x="3128"/>
        <item m="1" x="100"/>
        <item m="1" x="3532"/>
        <item m="1" x="2086"/>
        <item m="1" x="3727"/>
        <item m="1" x="2526"/>
        <item m="1" x="253"/>
        <item m="1" x="4537"/>
        <item m="1" x="4282"/>
        <item m="1" x="1901"/>
        <item m="1" x="4596"/>
        <item m="1" x="3409"/>
        <item m="1" x="2449"/>
        <item m="1" x="684"/>
        <item m="1" x="4087"/>
        <item m="1" x="52"/>
        <item m="1" x="3869"/>
        <item m="1" x="3168"/>
        <item m="1" x="2891"/>
        <item m="1" x="2509"/>
        <item m="1" x="3495"/>
        <item m="1" x="1248"/>
        <item m="1" x="1424"/>
        <item m="1" x="3039"/>
        <item m="1" x="1980"/>
        <item m="1" x="4059"/>
        <item m="1" x="1249"/>
        <item m="1" x="3447"/>
        <item m="1" x="757"/>
        <item m="1" x="2934"/>
        <item m="1" x="4588"/>
        <item m="1" x="2299"/>
        <item m="1" x="4235"/>
        <item m="1" x="3098"/>
        <item m="1" x="1304"/>
        <item m="1" x="2715"/>
        <item m="1" x="1673"/>
        <item m="1" x="3589"/>
        <item m="1" x="2696"/>
        <item m="1" x="993"/>
        <item m="1" x="4434"/>
        <item m="1" x="4650"/>
        <item m="1" x="324"/>
        <item m="1" x="2162"/>
        <item m="1" x="265"/>
        <item m="1" x="4066"/>
        <item m="1" x="1548"/>
        <item m="1" x="1951"/>
        <item m="1" x="686"/>
        <item m="1" x="1584"/>
        <item m="1" x="4050"/>
        <item m="1" x="4678"/>
        <item m="1" x="3348"/>
        <item m="1" x="2863"/>
        <item m="1" x="3715"/>
        <item m="1" x="2598"/>
        <item m="1" x="2260"/>
        <item m="1" x="391"/>
        <item m="1" x="3680"/>
        <item m="1" x="1169"/>
        <item m="1" x="1967"/>
        <item m="1" x="3081"/>
        <item m="1" x="2310"/>
        <item m="1" x="825"/>
        <item m="1" x="760"/>
        <item m="1" x="285"/>
        <item m="1" x="3423"/>
        <item m="1" x="229"/>
        <item m="1" x="1576"/>
        <item m="1" x="3652"/>
        <item m="1" x="104"/>
        <item m="1" x="612"/>
        <item m="1" x="2243"/>
        <item m="1" x="1009"/>
        <item m="1" x="4527"/>
        <item m="1" x="311"/>
        <item m="1" x="4177"/>
        <item m="1" x="3795"/>
        <item m="1" x="789"/>
        <item m="1" x="322"/>
        <item m="1" x="392"/>
        <item m="1" x="634"/>
        <item m="1" x="3804"/>
        <item m="1" x="3091"/>
        <item m="1" x="1864"/>
        <item m="1" x="4521"/>
        <item m="1" x="4237"/>
        <item m="1" x="1744"/>
        <item m="1" x="4184"/>
        <item m="1" x="503"/>
        <item m="1" x="794"/>
        <item m="1" x="3487"/>
        <item m="1" x="421"/>
        <item m="1" x="1089"/>
        <item m="1" x="1122"/>
        <item m="1" x="2806"/>
        <item m="1" x="1666"/>
        <item m="1" x="1165"/>
        <item m="1" x="398"/>
        <item m="1" x="354"/>
        <item m="1" x="1819"/>
        <item m="1" x="3134"/>
        <item m="1" x="3462"/>
        <item m="1" x="4480"/>
        <item m="1" x="3706"/>
        <item m="1" x="775"/>
        <item m="1" x="4675"/>
        <item m="1" x="3103"/>
        <item m="1" x="2496"/>
        <item m="1" x="2404"/>
        <item m="1" x="1920"/>
        <item m="1" x="1287"/>
        <item m="1" x="1949"/>
        <item m="1" x="4469"/>
        <item m="1" x="1655"/>
        <item m="1" x="765"/>
        <item m="1" x="1332"/>
        <item m="1" x="2940"/>
        <item m="1" x="378"/>
        <item m="1" x="3192"/>
        <item m="1" x="1039"/>
        <item m="1" x="1401"/>
        <item m="1" x="178"/>
        <item m="1" x="1837"/>
        <item m="1" x="1470"/>
        <item m="1" x="3647"/>
        <item m="1" x="4241"/>
        <item m="1" x="2437"/>
        <item m="1" x="2430"/>
        <item m="1" x="3249"/>
        <item m="1" x="3364"/>
        <item m="1" x="970"/>
        <item m="1" x="300"/>
        <item m="1" x="3614"/>
        <item m="1" x="4522"/>
        <item m="1" x="2419"/>
        <item m="1" x="4440"/>
        <item m="1" x="2070"/>
        <item m="1" x="879"/>
        <item m="1" x="3203"/>
        <item m="1" x="4576"/>
        <item m="1" x="2963"/>
        <item m="1" x="1511"/>
        <item m="1" x="3543"/>
        <item m="1" x="4455"/>
        <item m="1" x="1654"/>
        <item m="1" x="689"/>
        <item m="1" x="1180"/>
        <item m="1" x="443"/>
        <item m="1" x="2055"/>
        <item m="1" x="487"/>
        <item m="1" x="2411"/>
        <item m="1" x="1876"/>
        <item m="1" x="3907"/>
        <item m="1" x="4550"/>
        <item m="1" x="838"/>
        <item m="1" x="3377"/>
        <item m="1" x="2913"/>
        <item m="1" x="1822"/>
        <item m="1" x="2787"/>
        <item m="1" x="4670"/>
        <item m="1" x="1894"/>
        <item m="1" x="3376"/>
        <item m="1" x="1991"/>
        <item m="1" x="112"/>
        <item m="1" x="1441"/>
        <item m="1" x="2735"/>
        <item m="1" x="850"/>
        <item m="1" x="2102"/>
        <item m="1" x="32"/>
        <item m="1" x="2302"/>
        <item m="1" x="3262"/>
        <item m="1" x="2129"/>
        <item m="1" x="1983"/>
        <item m="1" x="2633"/>
        <item m="1" x="2180"/>
        <item m="1" x="1866"/>
        <item m="1" x="4240"/>
        <item m="1" x="2019"/>
        <item m="1" x="1562"/>
        <item m="1" x="3805"/>
        <item m="1" x="2032"/>
        <item m="1" x="277"/>
        <item m="1" x="4084"/>
        <item m="1" x="828"/>
        <item m="1" x="4329"/>
        <item m="1" x="3947"/>
        <item m="1" x="4458"/>
        <item m="1" x="3939"/>
        <item m="1" x="1390"/>
        <item m="1" x="4073"/>
        <item m="1" x="3692"/>
        <item m="1" x="3557"/>
        <item m="1" x="135"/>
        <item m="1" x="476"/>
        <item m="1" x="4034"/>
        <item m="1" x="3029"/>
        <item m="1" x="1498"/>
        <item m="1" x="3079"/>
        <item m="1" x="2422"/>
        <item m="1" x="669"/>
        <item m="1" x="1328"/>
        <item m="1" x="3285"/>
        <item m="1" x="94"/>
        <item m="1" x="1256"/>
        <item m="1" x="2316"/>
        <item m="1" x="1900"/>
        <item m="1" x="2312"/>
        <item m="1" x="120"/>
        <item m="1" x="3317"/>
        <item m="1" x="865"/>
        <item m="1" x="943"/>
        <item m="1" x="1862"/>
        <item m="1" x="3414"/>
        <item m="1" x="2387"/>
        <item m="1" x="1615"/>
        <item m="1" x="998"/>
        <item m="1" x="6"/>
        <item m="1" x="3846"/>
        <item m="1" x="742"/>
        <item m="1" x="2159"/>
        <item m="1" x="2794"/>
        <item m="1" x="3998"/>
        <item m="1" x="1645"/>
        <item m="1" x="1103"/>
        <item m="1" x="2183"/>
        <item m="1" x="1617"/>
        <item m="1" x="1431"/>
        <item m="1" x="2957"/>
        <item m="1" x="2313"/>
        <item m="1" x="1438"/>
        <item m="1" x="10"/>
        <item m="1" x="1541"/>
        <item m="1" x="985"/>
        <item m="1" x="1801"/>
        <item m="1" x="1557"/>
        <item m="1" x="886"/>
        <item m="1" x="3764"/>
        <item m="1" x="2388"/>
        <item m="1" x="790"/>
        <item m="1" x="2146"/>
        <item m="1" x="2356"/>
        <item m="1" x="3370"/>
        <item m="1" x="376"/>
        <item m="1" x="3109"/>
        <item m="1" x="2107"/>
        <item m="1" x="3090"/>
        <item m="1" x="1774"/>
        <item m="1" x="2336"/>
        <item m="1" x="1066"/>
        <item m="1" x="1841"/>
        <item m="1" x="2706"/>
        <item m="1" x="1311"/>
        <item m="1" x="2493"/>
        <item m="1" x="4693"/>
        <item m="1" x="1735"/>
        <item m="1" x="2873"/>
        <item m="1" x="3020"/>
        <item m="1" x="1330"/>
        <item m="1" x="3892"/>
        <item m="1" x="644"/>
        <item m="1" x="1851"/>
        <item m="1" x="1024"/>
        <item m="1" x="3213"/>
        <item m="1" x="2947"/>
        <item m="1" x="4340"/>
        <item m="1" x="4705"/>
        <item m="1" x="3899"/>
        <item m="1" x="1159"/>
        <item m="1" x="514"/>
        <item m="1" x="1315"/>
        <item m="1" x="2641"/>
        <item m="1" x="3040"/>
        <item m="1" x="20"/>
        <item m="1" x="3390"/>
        <item m="1" x="3434"/>
        <item m="1" x="1903"/>
        <item m="1" x="2874"/>
        <item m="1" x="3031"/>
        <item m="1" x="2188"/>
        <item m="1" x="2256"/>
        <item m="1" x="3094"/>
        <item m="1" x="3201"/>
        <item m="1" x="1056"/>
        <item m="1" x="4338"/>
        <item m="1" x="1629"/>
        <item m="1" x="116"/>
        <item m="1" x="1097"/>
        <item m="1" x="1553"/>
        <item m="1" x="950"/>
        <item m="1" x="504"/>
        <item m="1" x="1676"/>
        <item m="1" x="4474"/>
        <item m="1" x="3282"/>
        <item m="1" x="199"/>
        <item m="1" x="21"/>
        <item m="1" x="4493"/>
        <item m="1" x="3570"/>
        <item m="1" x="4489"/>
        <item m="1" x="1551"/>
        <item m="1" x="2187"/>
        <item m="1" x="2120"/>
        <item m="1" x="2280"/>
        <item m="1" x="3792"/>
        <item m="1" x="4669"/>
        <item m="1" x="3073"/>
        <item m="1" x="1556"/>
        <item m="1" x="3749"/>
        <item m="1" x="236"/>
        <item m="1" x="4121"/>
        <item m="1" x="2926"/>
        <item m="1" x="3436"/>
        <item m="1" x="1936"/>
        <item m="1" x="301"/>
        <item m="1" x="631"/>
        <item m="1" x="3484"/>
        <item m="1" x="146"/>
        <item m="1" x="779"/>
        <item m="1" x="4348"/>
        <item m="1" x="747"/>
        <item m="1" x="2593"/>
        <item m="1" x="315"/>
        <item m="1" x="3315"/>
        <item m="1" x="2504"/>
        <item m="1" x="1400"/>
        <item m="1" x="3781"/>
        <item m="1" x="3624"/>
        <item m="1" x="4305"/>
        <item m="1" x="151"/>
        <item m="1" x="3942"/>
        <item m="1" x="3389"/>
        <item m="1" x="4640"/>
        <item m="1" x="4542"/>
        <item m="1" x="4265"/>
        <item m="1" x="848"/>
        <item m="1" x="1783"/>
        <item m="1" x="1286"/>
        <item m="1" x="3790"/>
        <item m="1" x="2078"/>
        <item m="1" x="1545"/>
        <item m="1" x="1043"/>
        <item m="1" x="2982"/>
        <item m="1" x="2525"/>
        <item m="1" x="3217"/>
        <item m="1" x="688"/>
        <item m="1" x="1444"/>
        <item m="1" x="361"/>
        <item m="1" x="3854"/>
        <item m="1" x="2274"/>
        <item m="1" x="3895"/>
        <item m="1" x="3893"/>
        <item m="1" x="1777"/>
        <item m="1" x="1647"/>
        <item m="1" x="3259"/>
        <item m="1" x="1339"/>
        <item m="1" x="3049"/>
        <item m="1" x="1829"/>
        <item m="1" x="209"/>
        <item m="1" x="3350"/>
        <item m="1" x="2004"/>
        <item m="1" x="1123"/>
        <item m="1" x="2288"/>
        <item m="1" x="2688"/>
        <item m="1" x="2471"/>
        <item m="1" x="2812"/>
        <item m="1" x="4511"/>
        <item m="1" x="4111"/>
        <item m="1" x="654"/>
        <item m="1" x="2009"/>
        <item m="1" x="1671"/>
        <item m="1" x="2393"/>
        <item m="1" x="3028"/>
        <item m="1" x="1226"/>
        <item m="1" x="2266"/>
        <item m="1" x="2709"/>
        <item m="1" x="3343"/>
        <item m="1" x="4228"/>
        <item m="1" x="3888"/>
        <item m="1" x="1767"/>
        <item m="1" x="4152"/>
        <item m="1" x="2542"/>
        <item m="1" x="4268"/>
        <item m="1" x="3309"/>
        <item m="1" x="4101"/>
        <item m="1" x="2408"/>
        <item m="1" x="2878"/>
        <item m="1" x="4451"/>
        <item m="1" x="2902"/>
        <item m="1" x="1778"/>
        <item m="1" x="647"/>
        <item m="1" x="4690"/>
        <item m="1" x="1185"/>
        <item m="1" x="252"/>
        <item m="1" x="130"/>
        <item m="1" x="975"/>
        <item m="1" x="1830"/>
        <item m="1" x="4158"/>
        <item m="1" x="782"/>
        <item m="1" x="2609"/>
        <item m="1" x="683"/>
        <item m="1" x="3335"/>
        <item m="1" x="3256"/>
        <item m="1" x="2580"/>
        <item m="1" x="2569"/>
        <item m="1" x="676"/>
        <item m="1" x="2841"/>
        <item m="1" x="3426"/>
        <item m="1" x="4258"/>
        <item m="1" x="3066"/>
        <item m="1" x="2704"/>
        <item m="1" x="434"/>
        <item m="1" x="2071"/>
        <item m="1" x="4159"/>
        <item m="1" x="1856"/>
        <item m="1" x="949"/>
        <item m="1" x="1427"/>
        <item m="1" x="4356"/>
        <item m="1" x="606"/>
        <item m="1" x="1442"/>
        <item m="1" x="481"/>
        <item m="1" x="340"/>
        <item m="1" x="1355"/>
        <item m="1" x="1231"/>
        <item m="1" x="2771"/>
        <item m="1" x="1843"/>
        <item m="1" x="2910"/>
        <item m="1" x="3649"/>
        <item m="1" x="3528"/>
        <item m="1" x="4528"/>
        <item m="1" x="4010"/>
        <item m="1" x="3976"/>
        <item m="1" x="3766"/>
        <item m="1" x="2994"/>
        <item m="1" x="98"/>
        <item m="1" x="3565"/>
        <item m="1" x="2644"/>
        <item m="1" x="2619"/>
        <item m="1" x="780"/>
        <item m="1" x="4714"/>
        <item m="1" x="1848"/>
        <item m="1" x="3266"/>
        <item m="1" x="1984"/>
        <item m="1" x="2809"/>
        <item m="1" x="827"/>
        <item m="1" x="2074"/>
        <item m="1" x="1206"/>
        <item m="1" x="1030"/>
        <item m="1" x="2395"/>
        <item m="1" x="2723"/>
        <item m="1" x="522"/>
        <item m="1" x="4000"/>
        <item m="1" x="2833"/>
        <item m="1" x="3248"/>
        <item m="1" x="1579"/>
        <item m="1" x="2197"/>
        <item m="1" x="4577"/>
        <item m="1" x="4098"/>
        <item m="1" x="1081"/>
        <item m="1" x="936"/>
        <item m="1" x="4517"/>
        <item m="1" x="1726"/>
        <item m="1" x="4599"/>
        <item m="1" x="743"/>
        <item m="1" x="1295"/>
        <item m="1" x="2762"/>
        <item m="1" x="3630"/>
        <item m="1" x="2013"/>
        <item m="1" x="1014"/>
        <item m="1" x="2090"/>
        <item m="1" x="2144"/>
        <item m="1" x="458"/>
        <item m="1" x="1170"/>
        <item m="1" x="1493"/>
        <item m="1" x="3996"/>
        <item m="1" x="2519"/>
        <item m="1" x="1325"/>
        <item m="1" x="2674"/>
        <item m="1" x="3162"/>
        <item m="1" x="740"/>
        <item m="1" x="273"/>
        <item m="1" x="1225"/>
        <item m="1" x="282"/>
        <item m="1" x="1340"/>
        <item m="1" x="4374"/>
        <item m="1" x="475"/>
        <item m="1" x="1481"/>
        <item m="1" x="1987"/>
        <item m="1" x="580"/>
        <item m="1" x="1320"/>
        <item m="1" x="871"/>
        <item m="1" x="445"/>
        <item m="1" x="2736"/>
        <item m="1" x="2359"/>
        <item m="1" x="1684"/>
        <item m="1" x="379"/>
        <item m="1" x="2232"/>
        <item m="1" x="2064"/>
        <item m="1" x="1928"/>
        <item m="1" x="41"/>
        <item m="1" x="3658"/>
        <item m="1" x="2390"/>
        <item m="1" x="2993"/>
        <item m="1" x="1293"/>
        <item m="1" x="1459"/>
        <item m="1" x="3728"/>
        <item m="1" x="601"/>
        <item m="1" x="1087"/>
        <item m="1" x="4255"/>
        <item m="1" x="4315"/>
        <item m="1" x="177"/>
        <item m="1" x="2576"/>
        <item m="1" x="2717"/>
        <item m="1" x="4595"/>
        <item m="1" x="4655"/>
        <item m="1" x="55"/>
        <item m="1" x="1605"/>
        <item m="1" x="4092"/>
        <item m="1" x="3477"/>
        <item m="1" x="4190"/>
        <item m="1" x="1366"/>
        <item m="1" x="3523"/>
        <item m="1" x="4116"/>
        <item m="1" x="3584"/>
        <item m="1" x="2224"/>
        <item m="1" x="2915"/>
        <item m="1" x="632"/>
        <item m="1" x="1810"/>
        <item m="1" x="3541"/>
        <item m="1" x="1499"/>
        <item m="1" x="835"/>
        <item m="1" x="3512"/>
        <item m="1" x="4058"/>
        <item m="1" x="824"/>
        <item m="1" x="1812"/>
        <item m="1" x="915"/>
        <item m="1" x="3083"/>
        <item m="1" x="2737"/>
        <item m="1" x="2512"/>
        <item m="1" x="3704"/>
        <item m="1" x="1353"/>
        <item m="1" x="4439"/>
        <item m="1" x="868"/>
        <item m="1" x="472"/>
        <item m="1" x="3712"/>
        <item m="1" x="1691"/>
        <item m="1" x="3828"/>
        <item m="1" x="1552"/>
        <item m="1" x="3797"/>
        <item m="1" x="2089"/>
        <item m="1" x="2242"/>
        <item m="1" x="1490"/>
        <item m="1" x="3520"/>
        <item m="1" x="3126"/>
        <item m="1" x="1969"/>
        <item m="1" x="860"/>
        <item m="1" x="4008"/>
        <item m="1" x="3808"/>
        <item m="1" x="4167"/>
        <item m="1" x="2065"/>
        <item m="1" x="4192"/>
        <item m="1" x="682"/>
        <item m="1" x="2233"/>
        <item m="1" x="3359"/>
        <item m="1" x="1189"/>
        <item m="1" x="3159"/>
        <item m="1" x="3904"/>
        <item m="1" x="31"/>
        <item m="1" x="2425"/>
        <item m="1" x="687"/>
        <item m="1" x="3366"/>
        <item m="1" x="2118"/>
        <item m="1" x="541"/>
        <item m="1" x="3983"/>
        <item m="1" x="3106"/>
        <item m="1" x="4099"/>
        <item m="1" x="2929"/>
        <item m="1" x="2608"/>
        <item m="1" x="3500"/>
        <item m="1" x="2909"/>
        <item m="1" x="641"/>
        <item m="1" x="3623"/>
        <item m="1" x="2431"/>
        <item m="1" x="2296"/>
        <item m="1" x="3924"/>
        <item m="1" x="2339"/>
        <item m="1" x="579"/>
        <item m="1" x="840"/>
        <item m="1" x="4638"/>
        <item m="1" x="3690"/>
        <item m="1" x="3918"/>
        <item m="1" x="769"/>
        <item m="1" x="1222"/>
        <item m="1" x="4510"/>
        <item m="1" x="471"/>
        <item m="1" x="2472"/>
        <item m="1" x="1063"/>
        <item m="1" x="2952"/>
        <item m="1" x="3857"/>
        <item m="1" x="3253"/>
        <item m="1" x="1973"/>
        <item m="1" x="951"/>
        <item m="1" x="1597"/>
        <item m="1" x="1354"/>
        <item m="1" x="3221"/>
        <item m="1" x="3472"/>
        <item m="1" x="746"/>
        <item m="1" x="2595"/>
        <item m="1" x="1834"/>
        <item m="1" x="3708"/>
        <item m="1" x="1176"/>
        <item m="1" x="2624"/>
        <item m="1" x="1787"/>
        <item m="1" x="1423"/>
        <item m="1" x="2062"/>
        <item m="1" x="695"/>
        <item m="1" x="2352"/>
        <item m="1" x="4399"/>
        <item m="1" x="2938"/>
        <item m="1" x="1895"/>
        <item m="1" x="2702"/>
        <item m="1" x="4683"/>
        <item m="1" x="4253"/>
        <item m="1" x="4052"/>
        <item m="1" x="2767"/>
        <item m="1" x="3741"/>
        <item m="1" x="2710"/>
        <item m="1" x="3380"/>
        <item m="1" x="1720"/>
        <item m="1" x="3525"/>
        <item m="1" x="3312"/>
        <item m="1" x="4515"/>
        <item m="1" x="1932"/>
        <item m="1" x="1069"/>
        <item m="1" x="3096"/>
        <item m="1" x="2370"/>
        <item m="1" x="3121"/>
        <item m="1" x="2012"/>
        <item m="1" x="415"/>
        <item m="1" x="956"/>
        <item m="1" x="4334"/>
        <item m="1" x="2415"/>
        <item m="1" x="1743"/>
        <item m="1" x="958"/>
        <item m="1" x="1086"/>
        <item m="1" x="1127"/>
        <item m="1" x="1141"/>
        <item m="1" x="940"/>
        <item m="1" x="2397"/>
        <item m="1" x="4290"/>
        <item m="1" x="2610"/>
        <item m="1" x="2053"/>
        <item m="1" x="3043"/>
        <item m="1" x="4020"/>
        <item m="1" x="4299"/>
        <item m="1" x="2103"/>
        <item m="1" x="1251"/>
        <item m="1" x="3672"/>
        <item m="1" x="3687"/>
        <item m="1" x="271"/>
        <item m="1" x="2733"/>
        <item m="1" x="297"/>
        <item m="1" x="3319"/>
        <item m="1" x="587"/>
        <item m="1" x="1874"/>
        <item m="1" x="4254"/>
        <item m="1" x="3593"/>
        <item m="1" x="4138"/>
        <item m="1" x="2406"/>
        <item m="1" x="2059"/>
        <item m="1" x="3498"/>
        <item m="1" x="3521"/>
        <item m="1" x="478"/>
        <item m="1" x="4220"/>
        <item m="1" x="1917"/>
        <item m="1" x="2586"/>
        <item m="1" x="3510"/>
        <item m="1" x="3813"/>
        <item m="1" x="603"/>
        <item m="1" x="1773"/>
        <item m="1" x="4013"/>
        <item m="1" x="4242"/>
        <item m="1" x="1926"/>
        <item m="1" x="696"/>
        <item m="1" x="413"/>
        <item m="1" x="18"/>
        <item m="1" x="423"/>
        <item m="1" x="1413"/>
        <item m="1" x="4607"/>
        <item m="1" x="3424"/>
        <item m="1" x="1108"/>
        <item m="1" x="1202"/>
        <item m="1" x="3142"/>
        <item m="1" x="2314"/>
        <item m="1" x="1818"/>
        <item m="1" x="3836"/>
        <item m="1" x="3810"/>
        <item m="1" x="1177"/>
        <item m="1" x="986"/>
        <item m="1" x="4089"/>
        <item m="1" x="3166"/>
        <item m="1" x="4145"/>
        <item m="1" x="483"/>
        <item m="1" x="3885"/>
        <item m="1" x="460"/>
        <item m="1" x="3768"/>
        <item m="1" x="59"/>
        <item m="1" x="3352"/>
        <item m="1" x="1749"/>
        <item m="1" x="961"/>
        <item m="1" x="4654"/>
        <item m="1" x="3499"/>
        <item m="1" x="3868"/>
        <item m="1" x="4456"/>
        <item m="1" x="2189"/>
        <item m="1" x="2451"/>
        <item m="1" x="1408"/>
        <item m="1" x="2416"/>
        <item m="1" x="4488"/>
        <item m="1" x="1114"/>
        <item m="1" x="2480"/>
        <item m="1" x="2067"/>
        <item m="1" x="1974"/>
        <item m="1" x="3004"/>
        <item m="1" x="422"/>
        <item m="1" x="234"/>
        <item m="1" x="4360"/>
        <item m="1" x="4628"/>
        <item m="1" x="2054"/>
        <item m="1" x="739"/>
        <item m="1" x="1448"/>
        <item m="1" x="908"/>
        <item m="1" x="3780"/>
        <item m="1" x="616"/>
        <item m="1" x="1634"/>
        <item m="1" x="1379"/>
        <item m="1" x="4583"/>
        <item m="1" x="139"/>
        <item m="1" x="1396"/>
        <item m="1" x="2026"/>
        <item m="1" x="4475"/>
        <item m="1" x="809"/>
        <item m="1" x="4325"/>
        <item m="1" x="776"/>
        <item m="1" x="519"/>
        <item m="1" x="1007"/>
        <item m="1" x="1264"/>
        <item m="1" x="3872"/>
        <item m="1" x="3689"/>
        <item m="1" x="3599"/>
        <item m="1" x="3428"/>
        <item m="1" x="3603"/>
        <item m="1" x="815"/>
        <item m="1" x="2849"/>
        <item m="1" x="1909"/>
        <item m="1" x="3811"/>
        <item m="1" x="3025"/>
        <item m="1" x="175"/>
        <item m="1" x="254"/>
        <item m="1" x="3944"/>
        <item m="1" x="3835"/>
        <item m="1" x="884"/>
        <item m="1" x="2643"/>
        <item m="1" x="2021"/>
        <item m="1" x="1252"/>
        <item m="1" x="343"/>
        <item m="1" x="1989"/>
        <item m="1" x="9"/>
        <item m="1" x="2746"/>
        <item m="1" x="1203"/>
        <item m="1" x="559"/>
        <item m="1" x="1931"/>
        <item m="1" x="510"/>
        <item m="1" x="3889"/>
        <item m="1" x="3545"/>
        <item m="1" x="4614"/>
        <item m="1" x="1500"/>
        <item m="1" x="3391"/>
        <item m="1" x="4288"/>
        <item m="1" x="2904"/>
        <item m="1" x="309"/>
        <item m="1" x="4350"/>
        <item m="1" x="627"/>
        <item m="1" x="3432"/>
        <item m="1" x="867"/>
        <item m="1" x="2024"/>
        <item m="1" x="2791"/>
        <item m="1" x="4627"/>
        <item m="1" x="3379"/>
        <item m="1" x="93"/>
        <item m="1" x="2017"/>
        <item m="1" x="274"/>
        <item m="1" x="2284"/>
        <item m="1" x="2807"/>
        <item m="1" x="4148"/>
        <item m="1" x="2983"/>
        <item m="1" x="312"/>
        <item m="1" x="2069"/>
        <item m="1" x="431"/>
        <item m="1" x="4335"/>
        <item m="1" x="2514"/>
        <item m="1" x="4485"/>
        <item m="1" x="373"/>
        <item m="1" x="4402"/>
        <item m="1" x="3149"/>
        <item m="1" x="2636"/>
        <item m="1" x="3760"/>
        <item m="1" x="3596"/>
        <item m="1" x="2371"/>
        <item m="1" x="3642"/>
        <item m="1" x="4656"/>
        <item m="1" x="3086"/>
        <item m="1" x="773"/>
        <item m="1" x="783"/>
        <item m="1" x="17"/>
        <item m="1" x="1559"/>
        <item m="1" x="1960"/>
        <item m="1" x="1695"/>
        <item m="1" x="3250"/>
        <item m="1" x="286"/>
        <item m="1" x="1216"/>
        <item m="1" x="4264"/>
        <item m="1" x="488"/>
        <item m="1" x="595"/>
        <item m="1" x="3791"/>
        <item m="1" x="3288"/>
        <item m="1" x="590"/>
        <item m="1" x="642"/>
        <item m="1" x="1002"/>
        <item m="1" x="1529"/>
        <item m="1" x="4698"/>
        <item m="1" x="1445"/>
        <item m="1" x="3046"/>
        <item m="1" x="712"/>
        <item m="1" x="1595"/>
        <item m="1" x="2271"/>
        <item m="1" x="2943"/>
        <item m="1" x="3522"/>
        <item m="1" x="4085"/>
        <item m="1" x="702"/>
        <item m="1" x="3905"/>
        <item m="1" x="768"/>
        <item m="1" x="4279"/>
        <item m="1" x="4564"/>
        <item m="1" x="2871"/>
        <item m="1" x="4452"/>
        <item m="1" x="3716"/>
        <item m="1" x="3594"/>
        <item m="1" x="3000"/>
        <item m="1" x="1435"/>
        <item m="1" x="3449"/>
        <item m="1" x="1521"/>
        <item m="1" x="2252"/>
        <item m="1" x="1724"/>
        <item m="1" x="2584"/>
        <item m="1" x="257"/>
        <item m="1" x="670"/>
        <item m="1" x="3112"/>
        <item m="1" x="1627"/>
        <item m="1" x="4674"/>
        <item m="1" x="3729"/>
        <item m="1" x="4222"/>
        <item m="1" x="3362"/>
        <item m="1" x="933"/>
        <item m="1" x="2081"/>
        <item m="1" x="2145"/>
        <item m="1" x="95"/>
        <item m="1" x="2025"/>
        <item m="1" x="195"/>
        <item m="1" x="4532"/>
        <item m="1" x="630"/>
        <item m="1" x="4088"/>
        <item m="1" x="2267"/>
        <item m="1" x="1405"/>
        <item m="1" x="4426"/>
        <item m="1" x="4132"/>
        <item m="1" x="3881"/>
        <item m="1" x="4217"/>
        <item m="1" x="2435"/>
        <item m="1" x="3169"/>
        <item m="1" x="1131"/>
        <item m="1" x="819"/>
        <item m="1" x="1648"/>
        <item m="1" x="409"/>
        <item m="1" x="596"/>
        <item m="1" x="4281"/>
        <item m="1" x="3538"/>
        <item m="1" x="2559"/>
        <item m="1" x="1181"/>
        <item m="1" x="4229"/>
        <item m="1" x="2473"/>
        <item m="1" x="2466"/>
        <item m="1" x="1044"/>
        <item m="1" x="1388"/>
        <item m="1" x="4076"/>
        <item m="1" x="2653"/>
        <item m="1" x="3284"/>
        <item m="1" x="1015"/>
        <item m="1" x="719"/>
        <item m="1" x="1143"/>
        <item m="1" x="1575"/>
        <item m="1" x="3579"/>
        <item m="1" x="1307"/>
        <item m="1" x="3489"/>
        <item m="1" x="3469"/>
        <item m="1" x="2524"/>
        <item m="1" x="1544"/>
        <item m="1" x="1632"/>
        <item m="1" x="1412"/>
        <item m="1" x="2827"/>
        <item m="1" x="3006"/>
        <item m="1" x="2329"/>
        <item m="1" x="1105"/>
        <item m="1" x="655"/>
        <item m="1" x="216"/>
        <item m="1" x="2955"/>
        <item m="1" x="2196"/>
        <item m="1" x="2212"/>
        <item m="1" x="3482"/>
        <item m="1" x="2317"/>
        <item m="1" x="451"/>
        <item m="1" x="1601"/>
        <item m="1" x="1886"/>
        <item m="1" x="2335"/>
        <item m="1" x="3351"/>
        <item m="1" x="1789"/>
        <item m="1" x="3912"/>
        <item m="1" x="4030"/>
        <item m="1" x="1704"/>
        <item m="1" x="1062"/>
        <item m="1" x="287"/>
        <item m="1" x="1538"/>
        <item m="1" x="1784"/>
        <item m="1" x="3981"/>
        <item m="1" x="2140"/>
        <item m="1" x="1040"/>
        <item m="1" x="3022"/>
        <item m="1" x="1971"/>
        <item m="1" x="1729"/>
        <item m="1" x="4080"/>
        <item m="1" x="4543"/>
        <item m="1" x="2642"/>
        <item m="1" x="758"/>
        <item m="1" x="2438"/>
        <item m="1" x="1963"/>
        <item m="1" x="3667"/>
        <item m="1" x="1116"/>
        <item m="1" x="117"/>
        <item m="1" x="3972"/>
        <item m="1" x="726"/>
        <item m="1" x="2192"/>
        <item m="1" x="76"/>
        <item m="1" x="2740"/>
        <item m="1" x="2153"/>
        <item m="1" x="4710"/>
        <item m="1" x="2001"/>
        <item m="1" x="2673"/>
        <item m="1" x="607"/>
        <item m="1" x="3227"/>
        <item m="1" x="971"/>
        <item m="1" x="3820"/>
        <item m="1" x="1610"/>
        <item m="1" x="1799"/>
        <item m="1" x="148"/>
        <item m="1" x="1449"/>
        <item m="1" x="2677"/>
        <item m="1" x="4622"/>
        <item m="1" x="2248"/>
        <item m="1" x="796"/>
        <item m="1" x="1756"/>
        <item m="1" x="3564"/>
        <item m="1" x="275"/>
        <item m="1" x="140"/>
        <item m="1" x="1923"/>
        <item m="1" x="1968"/>
        <item m="1" x="1382"/>
        <item m="1" x="2198"/>
        <item m="1" x="1945"/>
        <item m="1" x="554"/>
        <item m="1" x="1961"/>
        <item m="1" x="4200"/>
        <item m="1" x="1620"/>
        <item m="1" x="3224"/>
        <item m="1" x="4490"/>
        <item m="1" x="3841"/>
        <item m="1" x="3197"/>
        <item m="1" x="1392"/>
        <item m="1" x="1596"/>
        <item m="1" x="1462"/>
        <item m="1" x="3051"/>
        <item m="1" x="4704"/>
        <item m="1" x="2573"/>
        <item m="1" x="3385"/>
        <item m="1" x="531"/>
        <item m="1" x="2367"/>
        <item m="1" x="2097"/>
        <item m="1" x="1776"/>
        <item m="1" x="2111"/>
        <item m="1" x="1675"/>
        <item m="1" x="4529"/>
        <item m="1" x="3036"/>
        <item m="1" x="1130"/>
        <item m="1" x="2732"/>
        <item m="1" x="3332"/>
        <item m="1" x="2879"/>
        <item m="1" x="4114"/>
        <item m="1" x="4602"/>
        <item m="1" x="4373"/>
        <item m="1" x="4219"/>
        <item m="1" x="4463"/>
        <item m="1" x="1976"/>
        <item m="1" x="1802"/>
        <item m="1" x="2705"/>
        <item m="1" x="3607"/>
        <item m="1" x="2712"/>
        <item m="1" x="2663"/>
        <item m="1" x="3973"/>
        <item m="1" x="1281"/>
        <item m="1" x="1274"/>
        <item m="1" x="2658"/>
        <item m="1" x="3571"/>
        <item m="1" x="1411"/>
        <item m="1" x="4292"/>
        <item m="1" x="2309"/>
        <item m="1" x="4122"/>
        <item m="1" x="2282"/>
        <item m="1" x="3333"/>
        <item m="1" x="877"/>
        <item m="1" x="4003"/>
        <item m="1" x="4478"/>
        <item m="1" x="941"/>
        <item m="1" x="1378"/>
        <item m="1" x="1997"/>
        <item m="1" x="4188"/>
        <item m="1" x="1485"/>
        <item m="1" x="2592"/>
        <item m="1" x="3353"/>
        <item m="1" x="2455"/>
        <item m="1" x="872"/>
        <item m="1" x="987"/>
        <item m="1" x="4194"/>
        <item m="1" x="4642"/>
        <item m="1" x="2092"/>
        <item m="1" x="3928"/>
        <item m="1" x="205"/>
        <item m="1" x="1882"/>
        <item m="1" x="1173"/>
        <item m="1" x="3387"/>
        <item m="1" x="479"/>
        <item m="1" x="806"/>
        <item m="1" x="4272"/>
        <item m="1" x="303"/>
        <item m="1" x="1260"/>
        <item m="1" x="1000"/>
        <item m="1" x="2799"/>
        <item m="1" x="4495"/>
        <item m="1" x="2482"/>
        <item m="1" x="3153"/>
        <item m="1" x="791"/>
        <item m="1" x="2570"/>
        <item m="1" x="2358"/>
        <item m="1" x="2441"/>
        <item m="1" x="3384"/>
        <item m="1" x="1071"/>
        <item m="1" x="2022"/>
        <item m="1" x="3604"/>
        <item m="1" x="3511"/>
        <item m="1" x="4677"/>
        <item m="1" x="1821"/>
        <item m="1" x="367"/>
        <item m="1" x="1761"/>
        <item m="1" x="1659"/>
        <item m="1" x="424"/>
        <item m="1" x="520"/>
        <item m="1" x="4446"/>
        <item m="1" x="4481"/>
        <item m="1" x="1277"/>
        <item m="1" x="2362"/>
        <item m="1" x="3664"/>
        <item m="1" x="2083"/>
        <item m="1" x="3069"/>
        <item m="1" x="2294"/>
        <item m="1" x="4047"/>
        <item m="1" x="2344"/>
        <item m="1" x="1785"/>
        <item m="1" x="4351"/>
        <item m="1" x="1167"/>
        <item m="1" x="3398"/>
        <item m="1" x="1434"/>
        <item m="1" x="539"/>
        <item m="1" x="1765"/>
        <item m="1" x="635"/>
        <item m="1" x="3459"/>
        <item m="1" x="2759"/>
        <item m="1" x="3922"/>
        <item m="1" x="4429"/>
        <item m="1" x="1946"/>
        <item m="1" x="1760"/>
        <item m="1" x="3837"/>
        <item m="1" x="1635"/>
        <item m="1" x="2141"/>
        <item m="1" x="1309"/>
        <item m="1" x="1371"/>
        <item m="1" x="1752"/>
        <item m="1" x="3355"/>
        <item m="1" x="3544"/>
        <item m="1" x="650"/>
        <item m="1" x="61"/>
        <item m="1" x="3697"/>
        <item m="1" x="1082"/>
        <item m="1" x="4252"/>
        <item m="1" x="1952"/>
        <item m="1" x="3634"/>
        <item m="1" x="2912"/>
        <item m="1" x="1321"/>
        <item m="1" x="357"/>
        <item m="1" x="1717"/>
        <item m="1" x="3864"/>
        <item m="1" x="4370"/>
        <item m="1" x="3005"/>
        <item m="1" x="3786"/>
        <item m="1" x="1297"/>
        <item m="1" x="2755"/>
        <item m="1" x="2600"/>
        <item m="1" x="1053"/>
        <item m="1" x="3724"/>
        <item m="1" x="1335"/>
        <item m="1" x="3460"/>
        <item m="1" x="2611"/>
        <item m="1" x="2554"/>
        <item m="1" x="2035"/>
        <item m="1" x="2213"/>
        <item m="1" x="2703"/>
        <item m="1" x="3151"/>
        <item m="1" x="2563"/>
        <item m="1" x="3803"/>
        <item m="1" x="3191"/>
        <item m="1" x="1924"/>
        <item m="1" x="3929"/>
        <item m="1" x="744"/>
        <item m="1" x="126"/>
        <item m="1" x="1288"/>
        <item m="1" x="2935"/>
        <item m="1" x="3167"/>
        <item m="1" x="1265"/>
        <item m="1" x="1419"/>
        <item m="1" x="2173"/>
        <item m="1" x="3509"/>
        <item m="1" x="3916"/>
        <item m="1" x="2326"/>
        <item m="1" x="2852"/>
        <item m="1" x="202"/>
        <item m="1" x="3974"/>
        <item m="1" x="3961"/>
        <item m="1" x="1350"/>
        <item m="1" x="1091"/>
        <item m="1" x="4486"/>
        <item m="1" x="4115"/>
        <item m="1" x="1205"/>
        <item m="1" x="3474"/>
        <item m="1" x="3297"/>
        <item m="1" x="2784"/>
        <item m="1" x="419"/>
        <item m="1" x="2139"/>
        <item m="1" x="707"/>
        <item m="1" x="2836"/>
        <item m="1" x="2971"/>
        <item m="1" x="159"/>
        <item m="1" x="2219"/>
        <item m="1" x="1693"/>
        <item m="1" x="1012"/>
        <item m="1" x="556"/>
        <item m="1" x="362"/>
        <item m="1" x="3496"/>
        <item m="1" x="2099"/>
        <item m="1" x="1585"/>
        <item m="1" x="4106"/>
        <item m="1" x="1095"/>
        <item m="1" x="973"/>
        <item m="1" x="2823"/>
        <item m="1" x="119"/>
        <item m="1" x="348"/>
        <item m="1" x="2707"/>
        <item m="1" x="2264"/>
        <item m="1" x="3323"/>
        <item m="1" x="2548"/>
        <item m="1" x="4341"/>
        <item m="1" x="3433"/>
        <item m="1" x="4574"/>
        <item m="1" x="907"/>
        <item m="1" x="2543"/>
        <item m="1" x="2073"/>
        <item m="1" x="646"/>
        <item m="1" x="4291"/>
        <item m="1" x="725"/>
        <item m="1" x="2845"/>
        <item m="1" x="3123"/>
        <item m="1" x="2950"/>
        <item m="1" x="2560"/>
        <item m="1" x="1245"/>
        <item m="1" x="1996"/>
        <item m="1" x="4516"/>
        <item m="1" x="3247"/>
        <item m="1" x="3506"/>
        <item m="1" x="491"/>
        <item m="1" x="1358"/>
        <item m="1" x="3622"/>
        <item m="1" x="983"/>
        <item m="1" x="333"/>
        <item m="1" x="432"/>
        <item m="1" x="3014"/>
        <item m="1" x="204"/>
        <item m="1" x="679"/>
        <item m="1" x="530"/>
        <item m="1" x="625"/>
        <item m="1" x="4245"/>
        <item m="1" x="2544"/>
        <item m="1" x="3307"/>
        <item m="1" x="2281"/>
        <item m="1" x="28"/>
        <item m="1" x="320"/>
        <item m="1" x="4518"/>
        <item m="1" x="4107"/>
        <item m="1" x="2720"/>
        <item m="1" x="2972"/>
        <item m="1" x="3555"/>
        <item m="1" x="4615"/>
        <item m="1" x="1913"/>
        <item m="1" x="953"/>
        <item m="1" x="2516"/>
        <item m="1" x="3286"/>
        <item m="1" x="4661"/>
        <item m="1" x="4319"/>
        <item m="1" x="1269"/>
        <item m="1" x="388"/>
        <item m="1" x="170"/>
        <item m="1" x="2293"/>
        <item m="1" x="256"/>
        <item m="1" x="698"/>
        <item m="1" x="2391"/>
        <item m="1" x="1958"/>
        <item m="1" x="954"/>
        <item m="1" x="1263"/>
        <item m="1" x="1664"/>
        <item m="1" x="1887"/>
        <item m="1" x="1953"/>
        <item m="1" x="3299"/>
        <item m="1" x="2483"/>
        <item m="1" x="3478"/>
        <item m="1" x="433"/>
        <item m="1" x="2325"/>
        <item m="1" x="1683"/>
        <item m="1" x="386"/>
        <item m="1" x="1239"/>
        <item m="1" x="399"/>
        <item m="1" x="4509"/>
        <item m="1" x="2510"/>
        <item m="1" x="1316"/>
        <item m="1" x="3645"/>
        <item m="1" x="1172"/>
        <item m="1" x="1525"/>
        <item m="1" x="4304"/>
        <item m="1" x="3855"/>
        <item m="1" x="2452"/>
        <item m="1" x="4168"/>
        <item m="1" x="323"/>
        <item m="1" x="3052"/>
        <item m="1" x="4496"/>
        <item m="1" x="3114"/>
        <item m="1" x="1469"/>
        <item m="1" x="251"/>
        <item m="1" x="4453"/>
        <item m="1" x="469"/>
        <item m="1" x="235"/>
        <item m="1" x="232"/>
        <item m="1" x="542"/>
        <item m="1" x="1261"/>
        <item m="1" x="2681"/>
        <item m="1" x="1021"/>
        <item m="1" x="2924"/>
        <item m="1" x="316"/>
        <item m="1" x="2199"/>
        <item m="1" x="1476"/>
        <item m="1" x="4036"/>
        <item m="1" x="3326"/>
        <item m="1" x="1872"/>
        <item m="1" x="4711"/>
        <item m="1" x="756"/>
        <item m="1" x="383"/>
        <item m="1" x="4427"/>
        <item m="1" x="402"/>
        <item m="1" x="3620"/>
        <item m="1" x="2381"/>
        <item m="1" x="97"/>
        <item m="1" x="134"/>
        <item m="1" x="2888"/>
        <item m="1" x="1380"/>
        <item m="1" x="3775"/>
        <item m="1" x="4412"/>
        <item m="1" x="3267"/>
        <item m="1" x="4105"/>
        <item m="1" x="4246"/>
        <item m="1" x="4173"/>
        <item m="1" x="2979"/>
        <item m="1" x="2117"/>
        <item m="1" x="4082"/>
        <item m="1" x="800"/>
        <item m="1" x="4431"/>
        <item m="1" x="2562"/>
        <item m="1" x="4560"/>
        <item m="1" x="2986"/>
        <item m="1" x="4601"/>
        <item m="1" x="3948"/>
        <item m="1" x="2858"/>
        <item m="1" x="583"/>
        <item m="1" x="1250"/>
        <item m="1" x="3180"/>
        <item m="1" x="466"/>
        <item m="1" x="3269"/>
        <item m="1" x="3814"/>
        <item m="1" x="3454"/>
        <item m="1" x="4320"/>
        <item m="1" x="3676"/>
        <item m="1" x="2571"/>
        <item m="1" x="963"/>
        <item m="1" x="1139"/>
        <item m="1" x="4261"/>
        <item m="1" x="1080"/>
        <item m="1" x="2824"/>
        <item m="1" x="4331"/>
        <item m="1" x="715"/>
        <item m="1" x="3440"/>
        <item m="1" x="2568"/>
        <item m="1" x="1232"/>
        <item m="1" x="2289"/>
        <item m="1" x="4568"/>
        <item m="1" x="3794"/>
        <item m="1" x="771"/>
        <item m="1" x="7"/>
        <item m="1" x="2825"/>
        <item m="1" x="2685"/>
        <item m="1" x="4699"/>
        <item m="1" x="3932"/>
        <item m="1" x="3688"/>
        <item m="1" x="524"/>
        <item m="1" x="3917"/>
        <item m="1" x="2786"/>
        <item m="1" x="748"/>
        <item m="1" x="266"/>
        <item m="1" x="3291"/>
        <item m="1" x="1375"/>
        <item m="1" x="862"/>
        <item m="1" x="3050"/>
        <item m="1" x="2667"/>
        <item m="1" x="3388"/>
        <item m="1" x="1212"/>
        <item m="1" x="1918"/>
        <item m="1" x="2695"/>
        <item m="1" x="497"/>
        <item m="1" x="1658"/>
        <item m="1" x="174"/>
        <item m="1" x="2155"/>
        <item m="1" x="2207"/>
        <item m="1" x="438"/>
        <item m="1" x="3115"/>
        <item m="1" x="3452"/>
        <item m="1" x="3661"/>
        <item m="1" x="737"/>
        <item m="1" x="1795"/>
        <item m="1" x="1324"/>
        <item m="1" x="2919"/>
        <item m="1" x="1598"/>
        <item m="1" x="2033"/>
        <item m="1" x="3268"/>
        <item m="1" x="14"/>
        <item m="1" x="3731"/>
        <item m="1" x="4625"/>
        <item m="1" x="1117"/>
        <item m="1" x="3777"/>
        <item m="1" x="4232"/>
        <item m="1" x="662"/>
        <item m="1" x="3550"/>
        <item m="1" x="2295"/>
        <item m="1" x="1347"/>
        <item m="1" x="694"/>
        <item m="1" x="3044"/>
        <item m="1" x="2444"/>
        <item m="1" x="2538"/>
        <item m="1" x="110"/>
        <item m="1" x="1816"/>
        <item m="1" x="3722"/>
        <item m="1" x="371"/>
        <item m="1" x="1568"/>
        <item m="1" x="2501"/>
        <item m="1" x="1517"/>
        <item m="1" x="1422"/>
        <item m="1" x="173"/>
        <item m="1" x="3371"/>
        <item m="1" x="2010"/>
        <item m="1" x="2588"/>
        <item m="1" x="3189"/>
        <item m="1" x="567"/>
        <item m="1" x="1124"/>
        <item m="1" x="3465"/>
        <item m="1" x="3165"/>
        <item m="1" x="4201"/>
        <item m="1" x="4706"/>
        <item m="1" x="2637"/>
        <item m="1" x="1436"/>
        <item m="1" x="171"/>
        <item m="1" x="4500"/>
        <item m="1" x="3373"/>
        <item m="1" x="620"/>
        <item m="1" x="1677"/>
        <item m="1" x="1478"/>
        <item m="1" x="2730"/>
        <item m="1" x="3084"/>
        <item m="1" x="3479"/>
        <item m="1" x="3778"/>
        <item m="1" x="4651"/>
        <item m="1" x="3410"/>
        <item m="1" x="3862"/>
        <item m="1" x="467"/>
        <item m="1" x="1569"/>
        <item m="1" x="3316"/>
        <item m="1" x="3108"/>
        <item m="1" x="1566"/>
        <item m="1" x="1624"/>
        <item m="1" x="904"/>
        <item m="1" x="591"/>
        <item m="1" x="1700"/>
        <item m="1" x="2911"/>
        <item m="1" x="1955"/>
        <item m="1" x="63"/>
        <item m="1" x="3235"/>
        <item m="1" x="2901"/>
        <item m="1" x="203"/>
        <item m="1" x="4547"/>
        <item m="1" x="3145"/>
        <item m="1" x="4322"/>
        <item m="1" x="3643"/>
        <item m="1" x="1880"/>
        <item m="1" x="1460"/>
        <item m="1" x="1492"/>
        <item m="1" x="3988"/>
        <item m="1" x="448"/>
        <item m="1" x="2321"/>
        <item m="1" x="3088"/>
        <item m="1" x="1135"/>
        <item m="1" x="2518"/>
        <item m="1" x="2052"/>
        <item m="1" x="3839"/>
        <item m="1" x="4195"/>
        <item m="1" x="4589"/>
        <item m="1" x="678"/>
        <item m="1" x="3609"/>
        <item m="1" x="2392"/>
        <item m="1" x="279"/>
        <item m="1" x="1883"/>
        <item m="1" x="499"/>
        <item m="1" x="1246"/>
        <item m="1" x="674"/>
        <item m="1" x="2237"/>
        <item m="1" x="2821"/>
        <item m="1" x="4075"/>
        <item m="1" x="3821"/>
        <item m="1" x="558"/>
        <item m="1" x="2093"/>
        <item m="1" x="3569"/>
        <item m="1" x="1643"/>
        <item m="1" x="3719"/>
        <item m="1" x="124"/>
        <item m="1" x="2238"/>
        <item m="1" x="1622"/>
        <item m="1" x="2936"/>
        <item m="1" x="1359"/>
        <item m="1" x="3540"/>
        <item m="1" x="346"/>
        <item m="1" x="2443"/>
        <item m="1" x="772"/>
        <item m="1" x="1217"/>
        <item m="1" x="3956"/>
        <item m="1" x="3531"/>
        <item m="1" x="2988"/>
        <item m="1" x="3045"/>
        <item m="1" x="2634"/>
        <item m="1" x="4048"/>
        <item m="1" x="2788"/>
        <item m="1" x="3736"/>
        <item m="1" x="797"/>
        <item m="1" x="980"/>
        <item m="1" x="2176"/>
        <item m="1" x="2228"/>
        <item m="1" x="3303"/>
        <item m="1" x="457"/>
        <item m="1" x="211"/>
        <item m="1" x="974"/>
        <item m="1" x="3172"/>
        <item m="1" x="736"/>
        <item m="1" x="3502"/>
        <item m="1" x="2744"/>
        <item m="1" x="3231"/>
        <item m="1" x="649"/>
        <item m="1" x="310"/>
        <item m="1" x="2780"/>
        <item m="1" x="3485"/>
        <item m="1" x="2662"/>
        <item m="1" x="628"/>
        <item m="1" x="2292"/>
        <item m="1" x="3681"/>
        <item m="1" x="4617"/>
        <item m="1" x="4703"/>
        <item m="1" x="4396"/>
        <item m="1" x="2290"/>
        <item m="1" x="2287"/>
        <item m="1" x="1962"/>
        <item m="1" x="2154"/>
        <item m="1" x="4001"/>
        <item m="1" x="3290"/>
        <item m="1" x="3683"/>
        <item m="1" x="3887"/>
        <item m="1" x="2134"/>
        <item m="1" x="3863"/>
        <item m="1" x="2655"/>
        <item m="1" x="3257"/>
        <item m="1" x="2137"/>
        <item m="1" x="2683"/>
        <item m="1" x="4565"/>
        <item m="1" x="3848"/>
        <item m="1" x="830"/>
        <item m="1" x="826"/>
        <item m="1" x="2594"/>
        <item m="1" x="1959"/>
        <item m="1" x="4419"/>
        <item m="1" x="4400"/>
        <item m="1" x="1954"/>
        <item m="1" x="3970"/>
        <item m="1" x="1508"/>
        <item m="1" x="1326"/>
        <item m="1" x="1688"/>
        <item m="1" x="636"/>
        <item m="1" x="3101"/>
        <item m="1" x="1070"/>
        <item m="1" x="2556"/>
        <item m="1" x="3214"/>
        <item m="1" x="223"/>
        <item m="1" x="959"/>
        <item m="1" x="3940"/>
        <item m="1" x="1571"/>
        <item m="1" x="247"/>
        <item m="1" x="3102"/>
        <item m="1" x="2131"/>
        <item m="1" x="4160"/>
        <item m="1" x="3431"/>
        <item m="1" x="4502"/>
        <item m="1" x="57"/>
        <item m="1" x="3193"/>
        <item m="1" x="5"/>
        <item m="1" x="4185"/>
        <item m="1" x="127"/>
        <item m="1" x="2684"/>
        <item m="1" x="4256"/>
        <item m="1" x="3901"/>
        <item m="1" x="3675"/>
        <item m="1" x="1800"/>
        <item m="1" x="2357"/>
        <item m="1" x="2250"/>
        <item m="1" x="3883"/>
        <item m="1" x="3287"/>
        <item m="1" x="3386"/>
        <item m="1" x="3030"/>
        <item m="1" x="1532"/>
        <item m="1" x="4467"/>
        <item m="1" x="191"/>
        <item m="1" x="3968"/>
        <item m="1" x="3963"/>
        <item m="1" x="3592"/>
        <item m="1" x="3865"/>
        <item m="1" x="73"/>
        <item m="1" x="1153"/>
        <item m="1" x="4689"/>
        <item m="1" x="1346"/>
        <item m="1" x="2442"/>
        <item m="1" x="1563"/>
        <item m="1" x="4471"/>
        <item m="1" x="1190"/>
        <item m="1" x="2796"/>
        <item m="1" x="3443"/>
        <item m="1" x="3107"/>
        <item m="1" x="4676"/>
        <item m="1" x="267"/>
        <item m="1" x="4390"/>
        <item m="1" x="3491"/>
        <item m="1" x="3056"/>
        <item m="1" x="2907"/>
        <item m="1" x="1367"/>
        <item m="1" x="1642"/>
        <item m="1" x="2156"/>
        <item m="1" x="751"/>
        <item m="1" x="2708"/>
        <item m="1" x="2121"/>
        <item m="1" x="133"/>
        <item m="1" x="664"/>
        <item m="1" x="604"/>
        <item m="1" x="543"/>
        <item m="1" x="4358"/>
        <item m="1" x="1758"/>
        <item m="1" x="4343"/>
        <item m="1" x="1580"/>
        <item m="1" x="1361"/>
        <item m="1" x="4223"/>
        <item m="1" x="318"/>
        <item m="1" x="2005"/>
        <item m="1" x="3403"/>
        <item m="1" x="1738"/>
        <item m="1" x="3636"/>
        <item m="1" x="3430"/>
        <item m="1" x="4415"/>
        <item m="1" x="4648"/>
        <item m="1" x="1195"/>
        <item m="1" x="1327"/>
        <item m="1" x="4513"/>
        <item m="1" x="1892"/>
        <item m="1" x="629"/>
        <item m="1" x="2184"/>
        <item m="1" x="188"/>
        <item m="1" x="919"/>
        <item m="1" x="3037"/>
        <item m="1" x="3395"/>
        <item m="1" x="2564"/>
        <item m="1" x="1540"/>
        <item m="1" x="1266"/>
        <item m="1" x="1338"/>
        <item m="1" x="325"/>
        <item m="1" x="4269"/>
        <item m="1" x="3859"/>
        <item m="1" x="1710"/>
        <item m="1" x="4183"/>
        <item m="1" x="1142"/>
        <item m="1" x="4249"/>
        <item m="1" x="3950"/>
        <item m="1" x="2214"/>
        <item m="1" x="4234"/>
        <item m="1" x="244"/>
        <item m="1" x="2591"/>
        <item m="1" x="887"/>
        <item m="1" x="1201"/>
        <item m="1" x="4605"/>
        <item m="1" x="3057"/>
        <item m="1" x="4541"/>
        <item m="1" x="4146"/>
        <item m="1" x="2890"/>
        <item m="1" x="3174"/>
        <item m="1" x="2218"/>
        <item m="1" x="2511"/>
        <item m="1" x="2259"/>
        <item m="1" x="2018"/>
        <item m="1" x="1561"/>
        <item m="1" x="1432"/>
        <item m="1" x="2974"/>
        <item m="1" x="1333"/>
        <item m="1" x="1061"/>
        <item m="1" x="764"/>
        <item m="1" x="1365"/>
        <item m="1" x="582"/>
        <item m="1" x="313"/>
        <item m="1" x="623"/>
        <item m="1" x="360"/>
        <item m="1" x="129"/>
        <item m="1" x="4391"/>
        <item m="1" x="4179"/>
        <item m="1" x="2899"/>
        <item m="1" x="934"/>
        <item m="1" x="3170"/>
        <item m="1" x="2599"/>
        <item m="1" x="4205"/>
        <item m="1" x="3148"/>
        <item m="1" x="3228"/>
        <item m="1" x="4120"/>
        <item m="1" x="2418"/>
        <item m="1" x="2975"/>
        <item m="1" x="1011"/>
        <item m="1" x="2769"/>
        <item m="1" x="2545"/>
        <item m="1" x="2300"/>
        <item m="1" x="2048"/>
        <item m="1" x="2345"/>
        <item m="1" x="1613"/>
        <item m="1" x="1902"/>
        <item m="1" x="1652"/>
        <item m="1" x="1397"/>
        <item m="1" x="944"/>
        <item m="1" x="1163"/>
        <item m="1" x="883"/>
        <item m="1" x="1027"/>
        <item m="1" x="1565"/>
        <item m="1" x="922"/>
        <item m="1" x="668"/>
        <item m="1" x="396"/>
        <item m="1" x="711"/>
        <item m="1" x="3136"/>
        <item m="1" x="452"/>
        <item m="1" x="3481"/>
        <item m="1" x="2315"/>
        <item m="1" x="4424"/>
        <item m="1" x="4715"/>
        <item m="1" x="4468"/>
        <item m="1" x="4207"/>
        <item m="1" x="3964"/>
        <item m="1" x="245"/>
        <item m="1" x="4556"/>
        <item m="1" x="3553"/>
        <item m="1" x="3308"/>
        <item m="1" x="2585"/>
        <item m="1" x="2850"/>
        <item m="1" x="2375"/>
        <item m="1" x="2130"/>
        <item m="1" x="387"/>
        <item m="1" x="1690"/>
        <item m="1" x="1496"/>
        <item m="1" x="1428"/>
        <item m="1" x="1736"/>
        <item m="1" x="1467"/>
        <item m="1" x="706"/>
        <item m="1" x="1001"/>
        <item m="1" x="754"/>
        <item m="1" x="493"/>
        <item m="1" x="230"/>
        <item m="1" x="560"/>
        <item m="1" x="42"/>
        <item m="1" x="4504"/>
        <item m="1" x="4248"/>
        <item m="1" x="4544"/>
        <item m="1" x="3342"/>
        <item m="1" x="4091"/>
        <item m="1" x="3840"/>
        <item m="1" x="3597"/>
        <item m="1" x="3605"/>
        <item m="1" x="3346"/>
        <item m="1" x="3076"/>
        <item m="1" x="2884"/>
        <item m="1" x="2654"/>
        <item m="1" x="2424"/>
        <item m="1" x="2700"/>
        <item m="1" x="2469"/>
        <item m="1" x="2094"/>
        <item m="1" x="4275"/>
        <item m="1" x="2251"/>
        <item m="1" x="1771"/>
        <item m="1" x="1505"/>
        <item m="1" x="1283"/>
        <item m="1" x="1058"/>
        <item m="1" x="793"/>
        <item m="1" x="1109"/>
        <item m="1" x="839"/>
        <item m="1" x="576"/>
        <item m="1" x="969"/>
        <item m="1" x="351"/>
        <item m="1" x="3011"/>
        <item m="1" x="3137"/>
        <item m="1" x="122"/>
        <item m="1" x="1514"/>
        <item m="1" x="4572"/>
        <item m="1" x="4344"/>
        <item m="1" x="4610"/>
        <item m="1" x="1793"/>
        <item m="1" x="3638"/>
        <item m="1" x="3919"/>
        <item m="1" x="3685"/>
        <item m="1" x="3419"/>
        <item m="1" x="665"/>
        <item m="1" x="4063"/>
        <item m="1" x="3218"/>
        <item m="1" x="2973"/>
        <item m="1" x="2731"/>
        <item m="1" x="2502"/>
        <item m="1" x="2763"/>
        <item m="1" x="2043"/>
        <item m="1" x="1815"/>
        <item m="1" x="2080"/>
        <item m="1" x="1849"/>
        <item m="1" x="3860"/>
        <item m="1" x="4679"/>
        <item m="1" x="1606"/>
        <item m="1" x="3295"/>
        <item m="1" x="1156"/>
        <item m="1" x="3344"/>
        <item m="1" x="876"/>
        <item m="1" x="614"/>
        <item m="1" x="914"/>
        <item m="1" x="454"/>
        <item m="1" x="2800"/>
        <item m="1" x="4606"/>
        <item m="1" x="196"/>
        <item m="1" x="4652"/>
        <item m="1" x="4420"/>
        <item m="1" x="2261"/>
        <item m="1" x="4204"/>
        <item m="1" x="3958"/>
        <item m="1" x="3725"/>
        <item m="1" x="3461"/>
        <item m="1" x="3762"/>
        <item m="1" x="3035"/>
        <item m="1" x="3008"/>
        <item m="1" x="3300"/>
        <item m="1" x="3038"/>
        <item m="1" x="2797"/>
        <item m="1" x="2579"/>
        <item m="1" x="4696"/>
        <item m="1" x="2372"/>
        <item m="1" x="2123"/>
        <item m="1" x="4239"/>
        <item m="1" x="1893"/>
        <item m="1" x="2164"/>
        <item m="1" x="1933"/>
        <item m="1" x="1194"/>
        <item m="1" x="1463"/>
        <item m="1" x="1233"/>
        <item m="1" x="4459"/>
        <item m="1" x="948"/>
        <item m="1" x="700"/>
        <item m="1" x="485"/>
        <item m="1" x="226"/>
        <item m="1" x="4700"/>
        <item m="1" x="261"/>
        <item m="1" x="704"/>
        <item m="1" x="3994"/>
        <item m="1" x="4283"/>
        <item m="1" x="3801"/>
        <item m="1" x="3542"/>
        <item m="1" x="2465"/>
        <item m="1" x="2211"/>
        <item m="1" x="1966"/>
        <item m="1" x="1497"/>
        <item m="1" x="1279"/>
        <item m="1" x="991"/>
        <item m="1" x="1322"/>
        <item m="1" x="1051"/>
        <item m="1" x="831"/>
        <item m="1" x="571"/>
        <item m="1" x="305"/>
        <item m="1" x="74"/>
        <item m="1" x="4534"/>
        <item m="1" x="4337"/>
        <item m="1" x="4083"/>
        <item m="1" x="3834"/>
        <item m="1" x="4128"/>
        <item m="1" x="3867"/>
        <item m="1" x="3679"/>
        <item m="1" x="3415"/>
        <item m="1" x="3448"/>
        <item m="1" x="3154"/>
        <item m="1" x="2918"/>
        <item m="1" x="2693"/>
        <item m="1" x="1712"/>
        <item m="1" x="4040"/>
        <item m="1" x="1737"/>
        <item m="1" x="2497"/>
        <item m="1" x="4060"/>
        <item m="1" x="2244"/>
        <item m="1" x="2532"/>
        <item m="1" x="2291"/>
        <item m="1" x="2040"/>
        <item m="1" x="4633"/>
        <item m="1" x="2842"/>
        <item m="1" x="1845"/>
        <item m="1" x="2862"/>
        <item m="1" x="1602"/>
        <item m="1" x="517"/>
        <item m="1" x="1356"/>
        <item m="1" x="1094"/>
        <item m="1" x="1389"/>
        <item m="1" x="1145"/>
        <item m="1" x="4002"/>
        <item m="1" x="608"/>
        <item m="1" x="1707"/>
        <item m="1" x="344"/>
        <item m="1" x="4031"/>
        <item m="1" x="656"/>
        <item m="1" x="384"/>
        <item m="1" x="153"/>
        <item m="1" x="2273"/>
        <item x="0"/>
      </items>
    </pivotField>
    <pivotField axis="axisPage" showAll="0" defaultSubtotal="0">
      <items count="6374">
        <item m="1" x="5857"/>
        <item m="1" x="5408"/>
        <item m="1" x="1507"/>
        <item m="1" x="1521"/>
        <item m="1" x="5557"/>
        <item m="1" x="6352"/>
        <item m="1" x="5401"/>
        <item m="1" x="5579"/>
        <item m="1" x="5324"/>
        <item m="1" x="4049"/>
        <item m="1" x="6118"/>
        <item x="3"/>
        <item x="47"/>
        <item m="1" x="1322"/>
        <item x="49"/>
        <item x="39"/>
        <item x="18"/>
        <item x="67"/>
        <item x="41"/>
        <item x="25"/>
        <item x="90"/>
        <item x="87"/>
        <item x="32"/>
        <item x="9"/>
        <item x="63"/>
        <item m="1" x="347"/>
        <item x="35"/>
        <item x="53"/>
        <item x="82"/>
        <item x="55"/>
        <item x="28"/>
        <item x="16"/>
        <item x="7"/>
        <item x="21"/>
        <item m="1" x="3661"/>
        <item x="42"/>
        <item x="71"/>
        <item x="46"/>
        <item x="15"/>
        <item m="1" x="2427"/>
        <item x="52"/>
        <item m="1" x="5135"/>
        <item m="1" x="3476"/>
        <item x="43"/>
        <item m="1" x="143"/>
        <item x="37"/>
        <item m="1" x="6069"/>
        <item x="17"/>
        <item x="13"/>
        <item m="1" x="5448"/>
        <item x="14"/>
        <item m="1" x="2363"/>
        <item m="1" x="4186"/>
        <item m="1" x="6250"/>
        <item m="1" x="1242"/>
        <item x="4"/>
        <item m="1" x="2449"/>
        <item m="1" x="1516"/>
        <item x="31"/>
        <item x="33"/>
        <item x="23"/>
        <item m="1" x="1307"/>
        <item m="1" x="5509"/>
        <item m="1" x="179"/>
        <item m="1" x="2915"/>
        <item m="1" x="4622"/>
        <item x="36"/>
        <item x="12"/>
        <item m="1" x="1902"/>
        <item m="1" x="1849"/>
        <item m="1" x="632"/>
        <item x="19"/>
        <item m="1" x="4573"/>
        <item m="1" x="2132"/>
        <item x="51"/>
        <item x="0"/>
        <item m="1" x="4346"/>
        <item x="38"/>
        <item x="45"/>
        <item x="20"/>
        <item x="34"/>
        <item x="10"/>
        <item m="1" x="3541"/>
        <item m="1" x="6299"/>
        <item m="1" x="1047"/>
        <item m="1" x="1699"/>
        <item x="8"/>
        <item m="1" x="1931"/>
        <item m="1" x="1705"/>
        <item m="1" x="486"/>
        <item m="1" x="3882"/>
        <item m="1" x="6109"/>
        <item m="1" x="3292"/>
        <item m="1" x="496"/>
        <item m="1" x="5777"/>
        <item x="24"/>
        <item m="1" x="223"/>
        <item m="1" x="2662"/>
        <item m="1" x="4648"/>
        <item m="1" x="705"/>
        <item m="1" x="3534"/>
        <item m="1" x="338"/>
        <item m="1" x="6373"/>
        <item m="1" x="2470"/>
        <item m="1" x="241"/>
        <item m="1" x="739"/>
        <item m="1" x="2870"/>
        <item m="1" x="4638"/>
        <item x="44"/>
        <item m="1" x="3571"/>
        <item x="27"/>
        <item m="1" x="4881"/>
        <item m="1" x="2536"/>
        <item x="22"/>
        <item m="1" x="5080"/>
        <item m="1" x="2121"/>
        <item m="1" x="4696"/>
        <item m="1" x="3677"/>
        <item m="1" x="2812"/>
        <item x="50"/>
        <item m="1" x="820"/>
        <item x="48"/>
        <item m="1" x="6137"/>
        <item m="1" x="5717"/>
        <item m="1" x="2702"/>
        <item m="1" x="4661"/>
        <item x="5"/>
        <item m="1" x="1952"/>
        <item x="2"/>
        <item x="6"/>
        <item x="65"/>
        <item m="1" x="5626"/>
        <item m="1" x="4389"/>
        <item m="1" x="1243"/>
        <item m="1" x="5703"/>
        <item m="1" x="339"/>
        <item m="1" x="2238"/>
        <item m="1" x="6030"/>
        <item m="1" x="1976"/>
        <item m="1" x="4525"/>
        <item m="1" x="904"/>
        <item m="1" x="5246"/>
        <item m="1" x="5698"/>
        <item m="1" x="1327"/>
        <item m="1" x="1452"/>
        <item m="1" x="545"/>
        <item m="1" x="751"/>
        <item m="1" x="3633"/>
        <item m="1" x="1729"/>
        <item m="1" x="3266"/>
        <item m="1" x="2469"/>
        <item m="1" x="1564"/>
        <item m="1" x="3097"/>
        <item m="1" x="4228"/>
        <item m="1" x="877"/>
        <item m="1" x="3102"/>
        <item m="1" x="565"/>
        <item m="1" x="2064"/>
        <item m="1" x="1685"/>
        <item m="1" x="4267"/>
        <item m="1" x="4465"/>
        <item m="1" x="641"/>
        <item m="1" x="5190"/>
        <item m="1" x="5573"/>
        <item m="1" x="5787"/>
        <item m="1" x="2860"/>
        <item m="1" x="1871"/>
        <item m="1" x="6282"/>
        <item m="1" x="3691"/>
        <item m="1" x="5364"/>
        <item m="1" x="4728"/>
        <item m="1" x="2644"/>
        <item m="1" x="2186"/>
        <item m="1" x="1640"/>
        <item m="1" x="4512"/>
        <item m="1" x="1081"/>
        <item m="1" x="1612"/>
        <item m="1" x="3522"/>
        <item m="1" x="833"/>
        <item m="1" x="4709"/>
        <item m="1" x="1104"/>
        <item m="1" x="1370"/>
        <item m="1" x="6053"/>
        <item m="1" x="278"/>
        <item m="1" x="4771"/>
        <item m="1" x="5219"/>
        <item m="1" x="3488"/>
        <item m="1" x="5170"/>
        <item m="1" x="5453"/>
        <item m="1" x="5172"/>
        <item m="1" x="2724"/>
        <item m="1" x="3359"/>
        <item m="1" x="983"/>
        <item m="1" x="2519"/>
        <item m="1" x="5771"/>
        <item m="1" x="2417"/>
        <item m="1" x="1148"/>
        <item m="1" x="4136"/>
        <item m="1" x="311"/>
        <item m="1" x="4271"/>
        <item m="1" x="1637"/>
        <item m="1" x="4042"/>
        <item m="1" x="1026"/>
        <item m="1" x="5094"/>
        <item m="1" x="4822"/>
        <item m="1" x="924"/>
        <item m="1" x="2056"/>
        <item m="1" x="5185"/>
        <item m="1" x="303"/>
        <item m="1" x="2242"/>
        <item m="1" x="5147"/>
        <item m="1" x="2079"/>
        <item m="1" x="5057"/>
        <item m="1" x="4516"/>
        <item m="1" x="5127"/>
        <item m="1" x="6298"/>
        <item m="1" x="2196"/>
        <item m="1" x="2850"/>
        <item m="1" x="4359"/>
        <item m="1" x="4001"/>
        <item m="1" x="1648"/>
        <item m="1" x="6120"/>
        <item m="1" x="332"/>
        <item m="1" x="170"/>
        <item m="1" x="3820"/>
        <item m="1" x="2747"/>
        <item m="1" x="160"/>
        <item m="1" x="1095"/>
        <item m="1" x="2991"/>
        <item m="1" x="2543"/>
        <item m="1" x="2258"/>
        <item m="1" x="1810"/>
        <item m="1" x="803"/>
        <item m="1" x="5141"/>
        <item m="1" x="985"/>
        <item m="1" x="5303"/>
        <item m="1" x="5936"/>
        <item m="1" x="2368"/>
        <item m="1" x="3095"/>
        <item m="1" x="2678"/>
        <item m="1" x="4723"/>
        <item m="1" x="2547"/>
        <item m="1" x="4866"/>
        <item m="1" x="5307"/>
        <item m="1" x="6205"/>
        <item m="1" x="3629"/>
        <item m="1" x="5849"/>
        <item m="1" x="508"/>
        <item m="1" x="2472"/>
        <item m="1" x="4745"/>
        <item m="1" x="997"/>
        <item m="1" x="5461"/>
        <item m="1" x="3219"/>
        <item m="1" x="4647"/>
        <item m="1" x="4081"/>
        <item m="1" x="4373"/>
        <item m="1" x="324"/>
        <item m="1" x="3062"/>
        <item m="1" x="3626"/>
        <item m="1" x="2646"/>
        <item m="1" x="3273"/>
        <item m="1" x="1200"/>
        <item m="1" x="5613"/>
        <item m="1" x="4094"/>
        <item m="1" x="2704"/>
        <item m="1" x="4488"/>
        <item m="1" x="4707"/>
        <item m="1" x="4610"/>
        <item m="1" x="4391"/>
        <item m="1" x="3634"/>
        <item m="1" x="937"/>
        <item m="1" x="6194"/>
        <item m="1" x="2254"/>
        <item m="1" x="5150"/>
        <item m="1" x="4153"/>
        <item m="1" x="4107"/>
        <item m="1" x="1667"/>
        <item m="1" x="684"/>
        <item m="1" x="4974"/>
        <item m="1" x="1106"/>
        <item m="1" x="4374"/>
        <item m="1" x="330"/>
        <item m="1" x="396"/>
        <item m="1" x="2977"/>
        <item m="1" x="248"/>
        <item m="1" x="5418"/>
        <item m="1" x="2130"/>
        <item m="1" x="3791"/>
        <item m="1" x="1240"/>
        <item m="1" x="3142"/>
        <item m="1" x="2326"/>
        <item m="1" x="2022"/>
        <item m="1" x="2683"/>
        <item m="1" x="2937"/>
        <item m="1" x="1068"/>
        <item m="1" x="868"/>
        <item m="1" x="5480"/>
        <item m="1" x="6291"/>
        <item m="1" x="5804"/>
        <item m="1" x="1434"/>
        <item m="1" x="3453"/>
        <item m="1" x="4767"/>
        <item m="1" x="4968"/>
        <item m="1" x="1888"/>
        <item m="1" x="2047"/>
        <item m="1" x="718"/>
        <item m="1" x="1318"/>
        <item m="1" x="5576"/>
        <item m="1" x="5654"/>
        <item m="1" x="309"/>
        <item m="1" x="2781"/>
        <item m="1" x="4963"/>
        <item m="1" x="2310"/>
        <item m="1" x="4750"/>
        <item m="1" x="3725"/>
        <item m="1" x="3756"/>
        <item m="1" x="6135"/>
        <item m="1" x="1615"/>
        <item m="1" x="3264"/>
        <item m="1" x="1407"/>
        <item m="1" x="3656"/>
        <item m="1" x="3255"/>
        <item m="1" x="3233"/>
        <item m="1" x="2134"/>
        <item m="1" x="2763"/>
        <item m="1" x="5438"/>
        <item m="1" x="761"/>
        <item m="1" x="6156"/>
        <item m="1" x="2131"/>
        <item m="1" x="4916"/>
        <item m="1" x="769"/>
        <item m="1" x="1489"/>
        <item m="1" x="4393"/>
        <item m="1" x="4813"/>
        <item m="1" x="6016"/>
        <item m="1" x="1153"/>
        <item m="1" x="1664"/>
        <item m="1" x="4475"/>
        <item m="1" x="6188"/>
        <item m="1" x="5213"/>
        <item m="1" x="2809"/>
        <item m="1" x="1433"/>
        <item m="1" x="1932"/>
        <item m="1" x="796"/>
        <item m="1" x="906"/>
        <item m="1" x="984"/>
        <item m="1" x="2706"/>
        <item m="1" x="5766"/>
        <item m="1" x="4857"/>
        <item m="1" x="4095"/>
        <item m="1" x="3732"/>
        <item m="1" x="1400"/>
        <item m="1" x="703"/>
        <item m="1" x="6365"/>
        <item m="1" x="4348"/>
        <item m="1" x="3242"/>
        <item m="1" x="800"/>
        <item m="1" x="6253"/>
        <item m="1" x="5443"/>
        <item m="1" x="5720"/>
        <item m="1" x="3970"/>
        <item m="1" x="4433"/>
        <item m="1" x="1483"/>
        <item m="1" x="4634"/>
        <item m="1" x="4109"/>
        <item m="1" x="1752"/>
        <item m="1" x="5200"/>
        <item m="1" x="3899"/>
        <item m="1" x="726"/>
        <item m="1" x="948"/>
        <item m="1" x="4489"/>
        <item m="1" x="3764"/>
        <item m="1" x="2087"/>
        <item m="1" x="2808"/>
        <item m="1" x="4659"/>
        <item m="1" x="4896"/>
        <item m="1" x="1311"/>
        <item m="1" x="3055"/>
        <item m="1" x="6370"/>
        <item m="1" x="2954"/>
        <item m="1" x="518"/>
        <item m="1" x="6245"/>
        <item m="1" x="3592"/>
        <item m="1" x="1798"/>
        <item m="1" x="3403"/>
        <item m="1" x="3947"/>
        <item m="1" x="4177"/>
        <item m="1" x="2780"/>
        <item m="1" x="4850"/>
        <item m="1" x="2901"/>
        <item m="1" x="197"/>
        <item m="1" x="2158"/>
        <item m="1" x="3810"/>
        <item m="1" x="1674"/>
        <item m="1" x="3609"/>
        <item m="1" x="4980"/>
        <item m="1" x="401"/>
        <item m="1" x="1673"/>
        <item m="1" x="4537"/>
        <item m="1" x="1568"/>
        <item m="1" x="2089"/>
        <item m="1" x="2745"/>
        <item m="1" x="779"/>
        <item m="1" x="5688"/>
        <item m="1" x="2288"/>
        <item m="1" x="6165"/>
        <item m="1" x="4222"/>
        <item m="1" x="4848"/>
        <item m="1" x="3963"/>
        <item m="1" x="4732"/>
        <item m="1" x="5810"/>
        <item m="1" x="2477"/>
        <item m="1" x="2820"/>
        <item m="1" x="2352"/>
        <item m="1" x="5610"/>
        <item m="1" x="2888"/>
        <item m="1" x="3998"/>
        <item m="1" x="3443"/>
        <item m="1" x="3877"/>
        <item m="1" x="6209"/>
        <item m="1" x="3057"/>
        <item m="1" x="4306"/>
        <item m="1" x="5342"/>
        <item m="1" x="2215"/>
        <item m="1" x="2828"/>
        <item m="1" x="765"/>
        <item m="1" x="5188"/>
        <item m="1" x="2435"/>
        <item m="1" x="2176"/>
        <item m="1" x="1921"/>
        <item m="1" x="3588"/>
        <item m="1" x="1348"/>
        <item m="1" x="5888"/>
        <item m="1" x="1282"/>
        <item m="1" x="406"/>
        <item m="1" x="1781"/>
        <item m="1" x="3445"/>
        <item m="1" x="5072"/>
        <item m="1" x="2007"/>
        <item m="1" x="192"/>
        <item m="1" x="5935"/>
        <item m="1" x="1918"/>
        <item m="1" x="6033"/>
        <item m="1" x="5558"/>
        <item m="1" x="4790"/>
        <item m="1" x="654"/>
        <item m="1" x="6364"/>
        <item m="1" x="837"/>
        <item m="1" x="1177"/>
        <item m="1" x="5876"/>
        <item m="1" x="1558"/>
        <item m="1" x="1422"/>
        <item m="1" x="4870"/>
        <item m="1" x="3746"/>
        <item m="1" x="3392"/>
        <item m="1" x="5009"/>
        <item m="1" x="1646"/>
        <item m="1" x="5641"/>
        <item m="1" x="1256"/>
        <item m="1" x="3480"/>
        <item m="1" x="2133"/>
        <item m="1" x="542"/>
        <item m="1" x="6077"/>
        <item m="1" x="4292"/>
        <item m="1" x="5059"/>
        <item m="1" x="1393"/>
        <item m="1" x="3991"/>
        <item m="1" x="5912"/>
        <item m="1" x="586"/>
        <item m="1" x="2222"/>
        <item m="1" x="6273"/>
        <item m="1" x="2563"/>
        <item m="1" x="2308"/>
        <item m="1" x="741"/>
        <item m="1" x="3538"/>
        <item m="1" x="1900"/>
        <item m="1" x="5060"/>
        <item m="1" x="479"/>
        <item m="1" x="1093"/>
        <item m="1" x="2777"/>
        <item m="1" x="4337"/>
        <item m="1" x="4141"/>
        <item m="1" x="5306"/>
        <item m="1" x="4724"/>
        <item m="1" x="2553"/>
        <item m="1" x="3528"/>
        <item m="1" x="155"/>
        <item m="1" x="1773"/>
        <item m="1" x="1032"/>
        <item m="1" x="2960"/>
        <item m="1" x="5257"/>
        <item m="1" x="6360"/>
        <item m="1" x="5503"/>
        <item m="1" x="560"/>
        <item m="1" x="662"/>
        <item m="1" x="1872"/>
        <item m="1" x="4585"/>
        <item m="1" x="875"/>
        <item m="1" x="2460"/>
        <item m="1" x="5898"/>
        <item m="1" x="1996"/>
        <item m="1" x="4687"/>
        <item m="1" x="528"/>
        <item m="1" x="4931"/>
        <item m="1" x="4241"/>
        <item m="1" x="3787"/>
        <item m="1" x="5755"/>
        <item m="1" x="1258"/>
        <item m="1" x="1195"/>
        <item m="1" x="4596"/>
        <item m="1" x="1075"/>
        <item m="1" x="2063"/>
        <item m="1" x="1526"/>
        <item m="1" x="268"/>
        <item m="1" x="2619"/>
        <item m="1" x="3064"/>
        <item m="1" x="1754"/>
        <item m="1" x="6088"/>
        <item m="1" x="6047"/>
        <item m="1" x="4226"/>
        <item m="1" x="2296"/>
        <item m="1" x="961"/>
        <item m="1" x="5215"/>
        <item m="1" x="114"/>
        <item m="1" x="1131"/>
        <item m="1" x="2115"/>
        <item m="1" x="343"/>
        <item m="1" x="5452"/>
        <item m="1" x="6104"/>
        <item m="1" x="1905"/>
        <item m="1" x="5462"/>
        <item m="1" x="4369"/>
        <item m="1" x="5436"/>
        <item m="1" x="1940"/>
        <item m="1" x="2364"/>
        <item m="1" x="2359"/>
        <item m="1" x="2396"/>
        <item m="1" x="3717"/>
        <item m="1" x="4317"/>
        <item m="1" x="4038"/>
        <item m="1" x="6126"/>
        <item m="1" x="3094"/>
        <item m="1" x="3760"/>
        <item m="1" x="5430"/>
        <item m="1" x="4239"/>
        <item x="61"/>
        <item m="1" x="1885"/>
        <item m="1" x="4901"/>
        <item m="1" x="4366"/>
        <item m="1" x="5522"/>
        <item m="1" x="6301"/>
        <item m="1" x="5580"/>
        <item m="1" x="1583"/>
        <item m="1" x="5316"/>
        <item m="1" x="3678"/>
        <item m="1" x="3956"/>
        <item m="1" x="2533"/>
        <item m="1" x="2349"/>
        <item m="1" x="1953"/>
        <item m="1" x="1350"/>
        <item m="1" x="1779"/>
        <item m="1" x="4046"/>
        <item m="1" x="5609"/>
        <item m="1" x="430"/>
        <item m="1" x="2815"/>
        <item m="1" x="4600"/>
        <item m="1" x="403"/>
        <item m="1" x="5643"/>
        <item m="1" x="1683"/>
        <item m="1" x="975"/>
        <item m="1" x="3537"/>
        <item m="1" x="2093"/>
        <item m="1" x="1736"/>
        <item m="1" x="5349"/>
        <item m="1" x="1735"/>
        <item m="1" x="3507"/>
        <item m="1" x="1198"/>
        <item m="1" x="2233"/>
        <item m="1" x="2759"/>
        <item m="1" x="3315"/>
        <item m="1" x="4011"/>
        <item m="1" x="5431"/>
        <item m="1" x="2375"/>
        <item m="1" x="3069"/>
        <item m="1" x="4717"/>
        <item m="1" x="3645"/>
        <item m="1" x="4266"/>
        <item m="1" x="6025"/>
        <item m="1" x="3505"/>
        <item m="1" x="4673"/>
        <item m="1" x="5304"/>
        <item m="1" x="2304"/>
        <item m="1" x="3220"/>
        <item m="1" x="1878"/>
        <item m="1" x="3513"/>
        <item m="1" x="385"/>
        <item m="1" x="3397"/>
        <item m="1" x="5162"/>
        <item m="1" x="3467"/>
        <item m="1" x="1021"/>
        <item m="1" x="3391"/>
        <item m="1" x="4981"/>
        <item m="1" x="2248"/>
        <item m="1" x="2456"/>
        <item m="1" x="1620"/>
        <item m="1" x="4586"/>
        <item m="1" x="4473"/>
        <item m="1" x="4336"/>
        <item m="1" x="4621"/>
        <item m="1" x="328"/>
        <item m="1" x="3382"/>
        <item m="1" x="5373"/>
        <item m="1" x="689"/>
        <item m="1" x="1481"/>
        <item m="1" x="211"/>
        <item m="1" x="5530"/>
        <item m="1" x="5449"/>
        <item m="1" x="4454"/>
        <item m="1" x="1847"/>
        <item m="1" x="6292"/>
        <item m="1" x="2492"/>
        <item m="1" x="743"/>
        <item m="1" x="381"/>
        <item m="1" x="291"/>
        <item m="1" x="1421"/>
        <item m="1" x="1570"/>
        <item m="1" x="5069"/>
        <item m="1" x="3428"/>
        <item m="1" x="4084"/>
        <item m="1" x="5823"/>
        <item m="1" x="2693"/>
        <item m="1" x="2951"/>
        <item m="1" x="3572"/>
        <item m="1" x="4752"/>
        <item m="1" x="6353"/>
        <item m="1" x="4461"/>
        <item m="1" x="2298"/>
        <item m="1" x="3924"/>
        <item m="1" x="6231"/>
        <item m="1" x="3284"/>
        <item m="1" x="3618"/>
        <item m="1" x="1018"/>
        <item m="1" x="2170"/>
        <item m="1" x="4394"/>
        <item m="1" x="4119"/>
        <item m="1" x="1737"/>
        <item m="1" x="6212"/>
        <item m="1" x="3053"/>
        <item m="1" x="4860"/>
        <item m="1" x="2329"/>
        <item m="1" x="4679"/>
        <item m="1" x="2475"/>
        <item m="1" x="5482"/>
        <item m="1" x="4293"/>
        <item m="1" x="3624"/>
        <item m="1" x="5966"/>
        <item m="1" x="3605"/>
        <item m="1" x="4649"/>
        <item m="1" x="1332"/>
        <item m="1" x="768"/>
        <item m="1" x="271"/>
        <item m="1" x="4611"/>
        <item m="1" x="5536"/>
        <item m="1" x="4089"/>
        <item m="1" x="1669"/>
        <item m="1" x="2927"/>
        <item m="1" x="5276"/>
        <item m="1" x="729"/>
        <item m="1" x="128"/>
        <item m="1" x="4445"/>
        <item m="1" x="6082"/>
        <item m="1" x="4256"/>
        <item m="1" x="2837"/>
        <item m="1" x="3280"/>
        <item m="1" x="130"/>
        <item m="1" x="6010"/>
        <item m="1" x="1394"/>
        <item m="1" x="4538"/>
        <item m="1" x="4183"/>
        <item m="1" x="5578"/>
        <item m="1" x="5676"/>
        <item m="1" x="3487"/>
        <item m="1" x="1467"/>
        <item m="1" x="2920"/>
        <item m="1" x="3321"/>
        <item m="1" x="6128"/>
        <item m="1" x="2938"/>
        <item m="1" x="6214"/>
        <item m="1" x="3450"/>
        <item m="1" x="3641"/>
        <item m="1" x="1326"/>
        <item m="1" x="4882"/>
        <item m="1" x="6116"/>
        <item m="1" x="5444"/>
        <item m="1" x="554"/>
        <item m="1" x="4582"/>
        <item m="1" x="6303"/>
        <item m="1" x="3496"/>
        <item m="1" x="3432"/>
        <item m="1" x="2878"/>
        <item m="1" x="1416"/>
        <item m="1" x="4485"/>
        <item m="1" x="2267"/>
        <item m="1" x="455"/>
        <item m="1" x="2207"/>
        <item m="1" x="1862"/>
        <item m="1" x="5398"/>
        <item m="1" x="6249"/>
        <item m="1" x="4050"/>
        <item m="1" x="1366"/>
        <item m="1" x="2582"/>
        <item m="1" x="1907"/>
        <item m="1" x="5063"/>
        <item m="1" x="4526"/>
        <item m="1" x="888"/>
        <item m="1" x="2040"/>
        <item m="1" x="4195"/>
        <item m="1" x="2467"/>
        <item m="1" x="5604"/>
        <item m="1" x="2795"/>
        <item m="1" x="4846"/>
        <item m="1" x="2531"/>
        <item m="1" x="4130"/>
        <item m="1" x="1232"/>
        <item m="1" x="2697"/>
        <item m="1" x="3308"/>
        <item m="1" x="965"/>
        <item m="1" x="2760"/>
        <item m="1" x="550"/>
        <item m="1" x="3556"/>
        <item m="1" x="2008"/>
        <item m="1" x="3339"/>
        <item m="1" x="6223"/>
        <item m="1" x="2957"/>
        <item m="1" x="5952"/>
        <item m="1" x="5409"/>
        <item m="1" x="1651"/>
        <item m="1" x="3451"/>
        <item m="1" x="2356"/>
        <item m="1" x="4840"/>
        <item m="1" x="1360"/>
        <item m="1" x="4695"/>
        <item m="1" x="1313"/>
        <item m="1" x="1271"/>
        <item m="1" x="4828"/>
        <item m="1" x="3114"/>
        <item m="1" x="3096"/>
        <item m="1" x="3420"/>
        <item m="1" x="4450"/>
        <item m="1" x="4509"/>
        <item m="1" x="2178"/>
        <item m="1" x="562"/>
        <item m="1" x="2552"/>
        <item m="1" x="1168"/>
        <item m="1" x="3322"/>
        <item m="1" x="5105"/>
        <item m="1" x="195"/>
        <item m="1" x="3876"/>
        <item m="1" x="4531"/>
        <item m="1" x="1733"/>
        <item m="1" x="5474"/>
        <item m="1" x="3925"/>
        <item m="1" x="4061"/>
        <item m="1" x="4856"/>
        <item m="1" x="2197"/>
        <item m="1" x="1011"/>
        <item m="1" x="243"/>
        <item m="1" x="1515"/>
        <item m="1" x="5970"/>
        <item m="1" x="1530"/>
        <item m="1" x="1974"/>
        <item m="1" x="390"/>
        <item m="1" x="4894"/>
        <item m="1" x="1429"/>
        <item m="1" x="2136"/>
        <item m="1" x="3214"/>
        <item m="1" x="3987"/>
        <item m="1" x="3387"/>
        <item m="1" x="2912"/>
        <item m="1" x="2545"/>
        <item m="1" x="5797"/>
        <item m="1" x="2006"/>
        <item m="1" x="5406"/>
        <item m="1" x="173"/>
        <item m="1" x="4004"/>
        <item m="1" x="2104"/>
        <item m="1" x="6060"/>
        <item m="1" x="3165"/>
        <item m="1" x="979"/>
        <item m="1" x="4502"/>
        <item m="1" x="5165"/>
        <item m="1" x="5247"/>
        <item m="1" x="1087"/>
        <item m="1" x="187"/>
        <item m="1" x="148"/>
        <item m="1" x="723"/>
        <item m="1" x="6184"/>
        <item m="1" x="2228"/>
        <item m="1" x="3444"/>
        <item m="1" x="4078"/>
        <item m="1" x="2894"/>
        <item m="1" x="1196"/>
        <item m="1" x="1693"/>
        <item m="1" x="6141"/>
        <item m="1" x="3550"/>
        <item m="1" x="2836"/>
        <item m="1" x="1730"/>
        <item m="1" x="5953"/>
        <item m="1" x="4685"/>
        <item m="1" x="334"/>
        <item m="1" x="1038"/>
        <item m="1" x="691"/>
        <item m="1" x="4874"/>
        <item m="1" x="5071"/>
        <item m="1" x="6295"/>
        <item m="1" x="1077"/>
        <item m="1" x="5180"/>
        <item m="1" x="2459"/>
        <item m="1" x="2561"/>
        <item m="1" x="3483"/>
        <item m="1" x="4003"/>
        <item m="1" x="1732"/>
        <item m="1" x="2495"/>
        <item m="1" x="5990"/>
        <item m="1" x="760"/>
        <item m="1" x="5883"/>
        <item m="1" x="5605"/>
        <item m="1" x="1686"/>
        <item m="1" x="1097"/>
        <item m="1" x="813"/>
        <item m="1" x="2578"/>
        <item m="1" x="3923"/>
        <item m="1" x="6226"/>
        <item m="1" x="2052"/>
        <item m="1" x="2548"/>
        <item m="1" x="3288"/>
        <item m="1" x="5146"/>
        <item m="1" x="2513"/>
        <item m="1" x="1056"/>
        <item m="1" x="4482"/>
        <item m="1" x="1157"/>
        <item m="1" x="1628"/>
        <item m="1" x="2715"/>
        <item m="1" x="3171"/>
        <item m="1" x="4671"/>
        <item m="1" x="5566"/>
        <item m="1" x="2491"/>
        <item m="1" x="3828"/>
        <item m="1" x="1819"/>
        <item m="1" x="5114"/>
        <item m="1" x="4305"/>
        <item m="1" x="724"/>
        <item m="1" x="5619"/>
        <item m="1" x="3289"/>
        <item m="1" x="153"/>
        <item m="1" x="2421"/>
        <item m="1" x="4662"/>
        <item m="1" x="6230"/>
        <item m="1" x="2723"/>
        <item m="1" x="3298"/>
        <item m="1" x="6361"/>
        <item m="1" x="5169"/>
        <item m="1" x="1869"/>
        <item m="1" x="3805"/>
        <item m="1" x="3739"/>
        <item m="1" x="5830"/>
        <item m="1" x="6106"/>
        <item m="1" x="2893"/>
        <item m="1" x="5744"/>
        <item m="1" x="4834"/>
        <item m="1" x="4175"/>
        <item m="1" x="4296"/>
        <item m="1" x="3497"/>
        <item m="1" x="2489"/>
        <item m="1" x="2143"/>
        <item m="1" x="651"/>
        <item m="1" x="1114"/>
        <item m="1" x="1275"/>
        <item m="1" x="3643"/>
        <item m="1" x="2527"/>
        <item m="1" x="5737"/>
        <item m="1" x="3012"/>
        <item m="1" x="5707"/>
        <item m="1" x="3749"/>
        <item m="1" x="1499"/>
        <item m="1" x="119"/>
        <item m="1" x="1215"/>
        <item m="1" x="2654"/>
        <item m="1" x="126"/>
        <item m="1" x="564"/>
        <item m="1" x="5934"/>
        <item m="1" x="2339"/>
        <item m="1" x="2799"/>
        <item m="1" x="1659"/>
        <item m="1" x="1517"/>
        <item m="1" x="3693"/>
        <item m="1" x="604"/>
        <item m="1" x="374"/>
        <item m="1" x="4026"/>
        <item m="1" x="750"/>
        <item m="1" x="1033"/>
        <item m="1" x="5628"/>
        <item m="1" x="5424"/>
        <item m="1" x="3976"/>
        <item m="1" x="1024"/>
        <item m="1" x="1150"/>
        <item m="1" x="1892"/>
        <item m="1" x="1760"/>
        <item m="1" x="3658"/>
        <item m="1" x="1895"/>
        <item m="1" x="4171"/>
        <item m="1" x="3543"/>
        <item m="1" x="4439"/>
        <item m="1" x="5942"/>
        <item m="1" x="2486"/>
        <item m="1" x="282"/>
        <item m="1" x="1174"/>
        <item m="1" x="4242"/>
        <item m="1" x="4490"/>
        <item m="1" x="1924"/>
        <item m="1" x="4572"/>
        <item m="1" x="6018"/>
        <item m="1" x="6157"/>
        <item m="1" x="3188"/>
        <item m="1" x="2738"/>
        <item m="1" x="4956"/>
        <item m="1" x="1290"/>
        <item m="1" x="2892"/>
        <item m="1" x="3140"/>
        <item m="1" x="5274"/>
        <item m="1" x="1936"/>
        <item m="1" x="336"/>
        <item m="1" x="549"/>
        <item m="1" x="5968"/>
        <item m="1" x="3583"/>
        <item m="1" x="3412"/>
        <item m="1" x="4726"/>
        <item m="1" x="5221"/>
        <item m="1" x="4804"/>
        <item m="1" x="3268"/>
        <item m="1" x="3262"/>
        <item m="1" x="2929"/>
        <item m="1" x="1987"/>
        <item m="1" x="4550"/>
        <item m="1" x="1582"/>
        <item m="1" x="4895"/>
        <item m="1" x="1261"/>
        <item m="1" x="866"/>
        <item m="1" x="1785"/>
        <item m="1" x="5475"/>
        <item m="1" x="5037"/>
        <item m="1" x="4113"/>
        <item m="1" x="4973"/>
        <item m="1" x="4751"/>
        <item m="1" x="5940"/>
        <item m="1" x="2807"/>
        <item m="1" x="3204"/>
        <item m="1" x="3263"/>
        <item m="1" x="2987"/>
        <item m="1" x="6071"/>
        <item m="1" x="2636"/>
        <item m="1" x="2522"/>
        <item m="1" x="6012"/>
        <item m="1" x="5584"/>
        <item m="1" x="2074"/>
        <item m="1" x="5764"/>
        <item m="1" x="134"/>
        <item m="1" x="1206"/>
        <item m="1" x="4815"/>
        <item m="1" x="3653"/>
        <item m="1" x="438"/>
        <item m="1" x="337"/>
        <item m="1" x="2710"/>
        <item m="1" x="1776"/>
        <item m="1" x="3889"/>
        <item m="1" x="1812"/>
        <item m="1" x="5415"/>
        <item m="1" x="3975"/>
        <item m="1" x="754"/>
        <item m="1" x="4350"/>
        <item m="1" x="4730"/>
        <item m="1" x="2827"/>
        <item m="1" x="3027"/>
        <item m="1" x="6084"/>
        <item m="1" x="5951"/>
        <item m="1" x="1770"/>
        <item m="1" x="3319"/>
        <item m="1" x="3844"/>
        <item m="1" x="1825"/>
        <item m="1" x="757"/>
        <item m="1" x="1881"/>
        <item m="1" x="4920"/>
        <item m="1" x="3745"/>
        <item m="1" x="1013"/>
        <item m="1" x="6101"/>
        <item m="1" x="1823"/>
        <item m="1" x="827"/>
        <item m="1" x="3237"/>
        <item m="1" x="1403"/>
        <item m="1" x="5118"/>
        <item m="1" x="218"/>
        <item m="1" x="4381"/>
        <item m="1" x="5450"/>
        <item m="1" x="4054"/>
        <item m="1" x="3474"/>
        <item m="1" x="3464"/>
        <item m="1" x="5699"/>
        <item m="1" x="3763"/>
        <item m="1" x="964"/>
        <item m="1" x="3034"/>
        <item m="1" x="6256"/>
        <item m="1" x="5120"/>
        <item m="1" x="1919"/>
        <item m="1" x="3128"/>
        <item m="1" x="5668"/>
        <item m="1" x="166"/>
        <item m="1" x="4839"/>
        <item m="1" x="5280"/>
        <item m="1" x="3771"/>
        <item m="1" x="5954"/>
        <item m="1" x="5240"/>
        <item m="1" x="3905"/>
        <item m="1" x="3819"/>
        <item m="1" x="2794"/>
        <item m="1" x="4409"/>
        <item m="1" x="4640"/>
        <item m="1" x="5569"/>
        <item m="1" x="771"/>
        <item m="1" x="4340"/>
        <item m="1" x="5174"/>
        <item m="1" x="392"/>
        <item m="1" x="5421"/>
        <item m="1" x="3074"/>
        <item m="1" x="5410"/>
        <item m="1" x="4342"/>
        <item m="1" x="5137"/>
        <item m="1" x="1706"/>
        <item m="1" x="949"/>
        <item m="1" x="2908"/>
        <item m="1" x="873"/>
        <item m="1" x="885"/>
        <item m="1" x="1300"/>
        <item m="1" x="6040"/>
        <item m="1" x="2182"/>
        <item m="1" x="1302"/>
        <item m="1" x="660"/>
        <item m="1" x="872"/>
        <item m="1" x="3880"/>
        <item m="1" x="352"/>
        <item m="1" x="3809"/>
        <item m="1" x="519"/>
        <item m="1" x="5220"/>
        <item m="1" x="1731"/>
        <item m="1" x="2803"/>
        <item m="1" x="1784"/>
        <item m="1" x="732"/>
        <item m="1" x="3663"/>
        <item m="1" x="2303"/>
        <item m="1" x="3168"/>
        <item m="1" x="4682"/>
        <item m="1" x="1305"/>
        <item m="1" x="531"/>
        <item m="1" x="6235"/>
        <item m="1" x="572"/>
        <item m="1" x="1173"/>
        <item m="1" x="3506"/>
        <item m="1" x="5359"/>
        <item m="1" x="4117"/>
        <item m="1" x="3671"/>
        <item m="1" x="3992"/>
        <item m="1" x="3846"/>
        <item m="1" x="2321"/>
        <item m="1" x="1046"/>
        <item m="1" x="1158"/>
        <item m="1" x="5683"/>
        <item m="1" x="3118"/>
        <item m="1" x="1367"/>
        <item m="1" x="792"/>
        <item m="1" x="6307"/>
        <item m="1" x="3617"/>
        <item m="1" x="1563"/>
        <item m="1" x="4934"/>
        <item m="1" x="5378"/>
        <item m="1" x="5496"/>
        <item m="1" x="3338"/>
        <item m="1" x="1707"/>
        <item m="1" x="4099"/>
        <item m="1" x="926"/>
        <item m="1" x="2980"/>
        <item m="1" x="6308"/>
        <item m="1" x="5153"/>
        <item m="1" x="2194"/>
        <item m="1" x="1048"/>
        <item m="1" x="4805"/>
        <item m="1" x="5319"/>
        <item m="1" x="1340"/>
        <item m="1" x="3378"/>
        <item m="1" x="621"/>
        <item m="1" x="4772"/>
        <item m="1" x="1993"/>
        <item m="1" x="3000"/>
        <item m="1" x="3709"/>
        <item m="1" x="746"/>
        <item m="1" x="107"/>
        <item m="1" x="1860"/>
        <item m="1" x="6172"/>
        <item m="1" x="2637"/>
        <item m="1" x="5617"/>
        <item m="1" x="4280"/>
        <item m="1" x="5590"/>
        <item m="1" x="4859"/>
        <item m="1" x="3396"/>
        <item m="1" x="4960"/>
        <item m="1" x="1886"/>
        <item m="1" x="1725"/>
        <item m="1" x="2453"/>
        <item m="1" x="5879"/>
        <item m="1" x="4701"/>
        <item m="1" x="891"/>
        <item m="1" x="4830"/>
        <item m="1" x="1716"/>
        <item m="1" x="2785"/>
        <item m="1" x="3565"/>
        <item m="1" x="4283"/>
        <item m="1" x="3742"/>
        <item m="1" x="4161"/>
        <item m="1" x="1790"/>
        <item m="1" x="4085"/>
        <item m="1" x="4057"/>
        <item m="1" x="1548"/>
        <item m="1" x="3818"/>
        <item m="1" x="2669"/>
        <item m="1" x="4225"/>
        <item m="1" x="3485"/>
        <item m="1" x="5144"/>
        <item m="1" x="4556"/>
        <item m="1" x="1979"/>
        <item m="1" x="1560"/>
        <item m="1" x="1135"/>
        <item m="1" x="4826"/>
        <item m="1" x="4414"/>
        <item m="1" x="1119"/>
        <item m="1" x="5032"/>
        <item m="1" x="1494"/>
        <item m="1" x="4688"/>
        <item m="1" x="4385"/>
        <item m="1" x="242"/>
        <item m="1" x="3018"/>
        <item m="1" x="4298"/>
        <item m="1" x="263"/>
        <item m="1" x="1237"/>
        <item m="1" x="5772"/>
        <item m="1" x="756"/>
        <item m="1" x="3694"/>
        <item m="1" x="4291"/>
        <item m="1" x="4985"/>
        <item m="1" x="1710"/>
        <item m="1" x="1207"/>
        <item m="1" x="4748"/>
        <item m="1" x="3647"/>
        <item m="1" x="3312"/>
        <item m="1" x="3437"/>
        <item m="1" x="4746"/>
        <item m="1" x="1593"/>
        <item m="1" x="1321"/>
        <item m="1" x="4420"/>
        <item m="1" x="312"/>
        <item m="1" x="5945"/>
        <item m="1" x="2922"/>
        <item m="1" x="2275"/>
        <item m="1" x="5279"/>
        <item m="1" x="6243"/>
        <item m="1" x="1611"/>
        <item m="1" x="5157"/>
        <item m="1" x="3586"/>
        <item m="1" x="2955"/>
        <item m="1" x="2633"/>
        <item m="1" x="1251"/>
        <item m="1" x="2153"/>
        <item m="1" x="1914"/>
        <item m="1" x="3526"/>
        <item m="1" x="3834"/>
        <item m="1" x="2390"/>
        <item m="1" x="4495"/>
        <item m="1" x="1665"/>
        <item m="1" x="1875"/>
        <item m="1" x="763"/>
        <item m="1" x="640"/>
        <item m="1" x="1604"/>
        <item m="1" x="4794"/>
        <item m="1" x="3462"/>
        <item m="1" x="6313"/>
        <item m="1" x="1566"/>
        <item m="1" x="5880"/>
        <item m="1" x="2311"/>
        <item m="1" x="1377"/>
        <item m="1" x="1857"/>
        <item m="1" x="3276"/>
        <item m="1" x="302"/>
        <item m="1" x="1750"/>
        <item m="1" x="4583"/>
        <item m="1" x="2526"/>
        <item m="1" x="5333"/>
        <item m="1" x="4363"/>
        <item m="1" x="183"/>
        <item m="1" x="124"/>
        <item m="1" x="507"/>
        <item m="1" x="3194"/>
        <item m="1" x="3108"/>
        <item m="1" x="5377"/>
        <item m="1" x="1829"/>
        <item m="1" x="935"/>
        <item m="1" x="2343"/>
        <item m="1" x="1272"/>
        <item m="1" x="3087"/>
        <item m="1" x="4467"/>
        <item m="1" x="4415"/>
        <item m="1" x="1227"/>
        <item m="1" x="5571"/>
        <item m="1" x="4421"/>
        <item m="1" x="168"/>
        <item m="1" x="752"/>
        <item m="1" x="2058"/>
        <item m="1" x="3213"/>
        <item m="1" x="3110"/>
        <item m="1" x="3638"/>
        <item m="1" x="5070"/>
        <item m="1" x="5568"/>
        <item m="1" x="1571"/>
        <item m="1" x="3862"/>
        <item m="1" x="4014"/>
        <item m="1" x="4937"/>
        <item m="1" x="2230"/>
        <item m="1" x="2584"/>
        <item m="1" x="3795"/>
        <item m="1" x="3985"/>
        <item m="1" x="2796"/>
        <item m="1" x="693"/>
        <item m="1" x="3578"/>
        <item m="1" x="4615"/>
        <item m="1" x="3355"/>
        <item m="1" x="3458"/>
        <item m="1" x="6255"/>
        <item m="1" x="5255"/>
        <item m="1" x="2009"/>
        <item m="1" x="3131"/>
        <item m="1" x="294"/>
        <item m="1" x="1809"/>
        <item m="1" x="5311"/>
        <item m="1" x="245"/>
        <item m="1" x="181"/>
        <item m="1" x="3604"/>
        <item m="1" x="3949"/>
        <item m="1" x="4354"/>
        <item m="1" x="2611"/>
        <item m="1" x="2202"/>
        <item m="1" x="482"/>
        <item m="1" x="6272"/>
        <item m="1" x="1757"/>
        <item m="1" x="2590"/>
        <item m="1" x="5030"/>
        <item m="1" x="4285"/>
        <item m="1" x="2361"/>
        <item m="1" x="934"/>
        <item m="1" x="2451"/>
        <item m="1" x="5716"/>
        <item m="1" x="4548"/>
        <item m="1" x="5107"/>
        <item m="1" x="4774"/>
        <item m="1" x="410"/>
        <item m="1" x="5784"/>
        <item m="1" x="4584"/>
        <item m="1" x="1927"/>
        <item m="1" x="185"/>
        <item m="1" x="547"/>
        <item m="1" x="5678"/>
        <item m="1" x="4390"/>
        <item m="1" x="6334"/>
        <item m="1" x="5459"/>
        <item m="1" x="6297"/>
        <item m="1" x="2685"/>
        <item m="1" x="3318"/>
        <item m="1" x="4514"/>
        <item m="1" x="5947"/>
        <item m="1" x="5479"/>
        <item m="1" x="306"/>
        <item m="1" x="3271"/>
        <item m="1" x="511"/>
        <item m="1" x="4377"/>
        <item m="1" x="2995"/>
        <item m="1" x="3738"/>
        <item m="1" x="1967"/>
        <item m="1" x="4580"/>
        <item m="1" x="2091"/>
        <item m="1" x="443"/>
        <item m="1" x="136"/>
        <item m="1" x="492"/>
        <item m="1" x="5064"/>
        <item m="1" x="4012"/>
        <item m="1" x="4532"/>
        <item m="1" x="2906"/>
        <item m="1" x="483"/>
        <item m="1" x="4300"/>
        <item m="1" x="221"/>
        <item m="1" x="3894"/>
        <item m="1" x="1351"/>
        <item m="1" x="5991"/>
        <item m="1" x="3446"/>
        <item m="1" x="4312"/>
        <item m="1" x="3227"/>
        <item m="1" x="4458"/>
        <item m="1" x="4282"/>
        <item m="1" x="2609"/>
        <item m="1" x="3944"/>
        <item m="1" x="440"/>
        <item m="1" x="5782"/>
        <item m="1" x="398"/>
        <item m="1" x="993"/>
        <item m="1" x="1603"/>
        <item m="1" x="2200"/>
        <item m="1" x="5640"/>
        <item m="1" x="1154"/>
        <item m="1" x="3516"/>
        <item m="1" x="4627"/>
        <item m="1" x="5638"/>
        <item m="1" x="2571"/>
        <item m="1" x="3440"/>
        <item m="1" x="3744"/>
        <item m="1" x="5925"/>
        <item m="1" x="478"/>
        <item m="1" x="5506"/>
        <item m="1" x="5921"/>
        <item m="1" x="5029"/>
        <item m="1" x="4132"/>
        <item m="1" x="1170"/>
        <item m="1" x="4388"/>
        <item m="1" x="5414"/>
        <item m="1" x="3774"/>
        <item m="1" x="6344"/>
        <item m="1" x="2741"/>
        <item m="1" x="1209"/>
        <item m="1" x="5780"/>
        <item m="1" x="4932"/>
        <item m="1" x="5112"/>
        <item m="1" x="2377"/>
        <item m="1" x="224"/>
        <item m="1" x="3106"/>
        <item m="1" x="2509"/>
        <item m="1" x="2993"/>
        <item m="1" x="3417"/>
        <item m="1" x="3854"/>
        <item m="1" x="678"/>
        <item m="1" x="5992"/>
        <item m="1" x="5268"/>
        <item m="1" x="4664"/>
        <item m="1" x="5248"/>
        <item m="1" x="2015"/>
        <item m="1" x="2160"/>
        <item m="1" x="4529"/>
        <item m="1" x="5646"/>
        <item m="1" x="874"/>
        <item m="1" x="6023"/>
        <item m="1" x="4362"/>
        <item m="1" x="4827"/>
        <item m="1" x="3441"/>
        <item m="1" x="5721"/>
        <item m="1" x="852"/>
        <item m="1" x="4260"/>
        <item m="1" x="538"/>
        <item m="1" x="2839"/>
        <item m="1" x="3793"/>
        <item m="1" x="6193"/>
        <item m="1" x="5950"/>
        <item m="1" x="2643"/>
        <item m="1" x="3320"/>
        <item m="1" x="2388"/>
        <item m="1" x="6183"/>
        <item m="1" x="3313"/>
        <item m="1" x="6154"/>
        <item m="1" x="5897"/>
        <item m="1" x="3974"/>
        <item m="1" x="4105"/>
        <item m="1" x="4503"/>
        <item m="1" x="2934"/>
        <item m="1" x="2281"/>
        <item m="1" x="4230"/>
        <item m="1" x="1424"/>
        <item m="1" x="4633"/>
        <item m="1" x="3374"/>
        <item m="1" x="416"/>
        <item m="1" x="2108"/>
        <item m="1" x="4604"/>
        <item m="1" x="6180"/>
        <item m="1" x="5033"/>
        <item m="1" x="3737"/>
        <item m="1" x="1463"/>
        <item m="1" x="6049"/>
        <item m="1" x="3201"/>
        <item m="1" x="3587"/>
        <item m="1" x="5131"/>
        <item m="1" x="2169"/>
        <item m="1" x="3511"/>
        <item m="1" x="5725"/>
        <item m="1" x="3533"/>
        <item m="1" x="613"/>
        <item m="1" x="867"/>
        <item m="1" x="468"/>
        <item m="1" x="5881"/>
        <item m="1" x="3066"/>
        <item m="1" x="3807"/>
        <item m="1" x="1086"/>
        <item m="1" x="5882"/>
        <item m="1" x="770"/>
        <item m="1" x="5652"/>
        <item m="1" x="4070"/>
        <item m="1" x="3517"/>
        <item m="1" x="3940"/>
        <item m="1" x="1661"/>
        <item m="1" x="2625"/>
        <item m="1" x="5792"/>
        <item m="1" x="2066"/>
        <item m="1" x="1718"/>
        <item m="1" x="3554"/>
        <item m="1" x="5500"/>
        <item m="1" x="6052"/>
        <item m="1" x="1281"/>
        <item m="1" x="456"/>
        <item m="1" x="1162"/>
        <item m="1" x="370"/>
        <item m="1" x="2983"/>
        <item m="1" x="3580"/>
        <item m="1" x="712"/>
        <item m="1" x="5062"/>
        <item m="1" x="2566"/>
        <item m="1" x="2306"/>
        <item m="1" x="5464"/>
        <item m="1" x="4448"/>
        <item m="1" x="4029"/>
        <item m="1" x="5086"/>
        <item m="1" x="1747"/>
        <item m="1" x="3047"/>
        <item m="1" x="2257"/>
        <item m="1" x="903"/>
        <item m="1" x="2342"/>
        <item m="1" x="3414"/>
        <item m="1" x="1552"/>
        <item m="1" x="1260"/>
        <item m="1" x="3713"/>
        <item m="1" x="2320"/>
        <item m="1" x="4861"/>
        <item m="1" x="3664"/>
        <item m="1" x="6320"/>
        <item m="1" x="3491"/>
        <item m="1" x="1795"/>
        <item m="1" x="2555"/>
        <item m="1" x="2482"/>
        <item m="1" x="5543"/>
        <item m="1" x="389"/>
        <item m="1" x="3332"/>
        <item m="1" x="783"/>
        <item m="1" x="862"/>
        <item m="1" x="3190"/>
        <item m="1" x="277"/>
        <item m="1" x="6076"/>
        <item m="1" x="1410"/>
        <item m="1" x="597"/>
        <item m="1" x="3163"/>
        <item m="1" x="2675"/>
        <item m="1" x="6086"/>
        <item m="1" x="2568"/>
        <item m="1" x="1137"/>
        <item m="1" x="5254"/>
        <item m="1" x="5252"/>
        <item m="1" x="5234"/>
        <item m="1" x="480"/>
        <item m="1" x="2585"/>
        <item m="1" x="5347"/>
        <item m="1" x="5018"/>
        <item m="1" x="6058"/>
        <item m="1" x="4668"/>
        <item m="1" x="2187"/>
        <item m="1" x="4444"/>
        <item m="1" x="2885"/>
        <item m="1" x="3376"/>
        <item m="1" x="5591"/>
        <item m="1" x="5728"/>
        <item m="1" x="3705"/>
        <item m="1" x="5052"/>
        <item m="1" x="3309"/>
        <item m="1" x="942"/>
        <item m="1" x="2501"/>
        <item m="1" x="2366"/>
        <item m="1" x="6325"/>
        <item m="1" x="2657"/>
        <item m="1" x="1127"/>
        <item m="1" x="2998"/>
        <item m="1" x="1161"/>
        <item m="1" x="2297"/>
        <item m="1" x="6343"/>
        <item m="1" x="4074"/>
        <item m="1" x="1821"/>
        <item m="1" x="4353"/>
        <item m="1" x="2634"/>
        <item m="1" x="4955"/>
        <item m="1" x="1614"/>
        <item m="1" x="2034"/>
        <item m="1" x="1402"/>
        <item m="1" x="2653"/>
        <item m="1" x="1359"/>
        <item m="1" x="6252"/>
        <item m="1" x="3510"/>
        <item m="1" x="4810"/>
        <item m="1" x="122"/>
        <item m="1" x="879"/>
        <item m="1" x="532"/>
        <item m="1" x="4311"/>
        <item m="1" x="2080"/>
        <item m="1" x="5521"/>
        <item m="1" x="6037"/>
        <item m="1" x="2401"/>
        <item m="1" x="4520"/>
        <item m="1" x="1977"/>
        <item m="1" x="2430"/>
        <item m="1" x="6091"/>
        <item m="1" x="2786"/>
        <item m="1" x="4209"/>
        <item m="1" x="4181"/>
        <item m="1" x="759"/>
        <item m="1" x="3331"/>
        <item m="1" x="5505"/>
        <item m="1" x="1576"/>
        <item m="1" x="4151"/>
        <item m="1" x="1755"/>
        <item m="1" x="118"/>
        <item m="1" x="1518"/>
        <item m="1" x="1684"/>
        <item m="1" x="2736"/>
        <item m="1" x="4547"/>
        <item m="1" x="5329"/>
        <item m="1" x="4868"/>
        <item m="1" x="1944"/>
        <item m="1" x="3356"/>
        <item m="1" x="675"/>
        <item m="1" x="5440"/>
        <item m="1" x="2323"/>
        <item m="1" x="1539"/>
        <item m="1" x="274"/>
        <item m="1" x="5499"/>
        <item m="1" x="2965"/>
        <item m="1" x="4386"/>
        <item m="1" x="5381"/>
        <item m="1" x="3144"/>
        <item m="1" x="5694"/>
        <item m="1" x="3593"/>
        <item m="1" x="411"/>
        <item m="1" x="1330"/>
        <item m="1" x="4392"/>
        <item m="1" x="5068"/>
        <item m="1" x="5907"/>
        <item m="1" x="4043"/>
        <item m="1" x="5585"/>
        <item m="1" x="5546"/>
        <item x="60"/>
        <item m="1" x="3953"/>
        <item m="1" x="5629"/>
        <item m="1" x="5871"/>
        <item m="1" x="1008"/>
        <item m="1" x="2399"/>
        <item m="1" x="2606"/>
        <item m="1" x="5087"/>
        <item m="1" x="4472"/>
        <item m="1" x="2114"/>
        <item m="1" x="2062"/>
        <item m="1" x="880"/>
        <item m="1" x="4879"/>
        <item m="1" x="6000"/>
        <item m="1" x="3261"/>
        <item m="1" x="649"/>
        <item m="1" x="781"/>
        <item m="1" x="445"/>
        <item m="1" x="5300"/>
        <item m="1" x="4959"/>
        <item m="1" x="839"/>
        <item m="1" x="6197"/>
        <item m="1" x="4951"/>
        <item m="1" x="5396"/>
        <item m="1" x="2287"/>
        <item m="1" x="1559"/>
        <item m="1" x="121"/>
        <item m="1" x="6199"/>
        <item m="1" x="3368"/>
        <item m="1" x="427"/>
        <item m="1" x="720"/>
        <item m="1" x="2335"/>
        <item m="1" x="1865"/>
        <item m="1" x="285"/>
        <item m="1" x="5964"/>
        <item m="1" x="4703"/>
        <item m="1" x="1344"/>
        <item m="1" x="1743"/>
        <item m="1" x="4174"/>
        <item m="1" x="1868"/>
        <item m="1" x="5008"/>
        <item m="1" x="614"/>
        <item m="1" x="6287"/>
        <item m="1" x="6296"/>
        <item m="1" x="5816"/>
        <item m="1" x="2032"/>
        <item m="1" x="5244"/>
        <item m="1" x="2319"/>
        <item m="1" x="4783"/>
        <item m="1" x="433"/>
        <item m="1" x="146"/>
        <item m="1" x="6355"/>
        <item m="1" x="4997"/>
        <item m="1" x="314"/>
        <item m="1" x="3115"/>
        <item m="1" x="701"/>
        <item m="1" x="2440"/>
        <item m="1" x="6372"/>
        <item m="1" x="5701"/>
        <item m="1" x="4197"/>
        <item m="1" x="2011"/>
        <item m="1" x="5101"/>
        <item m="1" x="3311"/>
        <item m="1" x="2856"/>
        <item m="1" x="1887"/>
        <item m="1" x="5519"/>
        <item m="1" x="666"/>
        <item m="1" x="3836"/>
        <item m="1" x="1813"/>
        <item m="1" x="2732"/>
        <item m="1" x="842"/>
        <item m="1" x="2411"/>
        <item m="1" x="5913"/>
        <item m="1" x="4579"/>
        <item m="1" x="3527"/>
        <item m="1" x="4782"/>
        <item m="1" x="4555"/>
        <item m="1" x="3139"/>
        <item m="1" x="6095"/>
        <item m="1" x="6068"/>
        <item m="1" x="5845"/>
        <item m="1" x="778"/>
        <item m="1" x="3983"/>
        <item m="1" x="4402"/>
        <item m="1" x="4023"/>
        <item m="1" x="2245"/>
        <item m="1" x="1069"/>
        <item m="1" x="4923"/>
        <item m="1" x="5671"/>
        <item m="1" x="1477"/>
        <item m="1" x="1939"/>
        <item m="1" x="4297"/>
        <item m="1" x="3863"/>
        <item m="1" x="581"/>
        <item m="1" x="677"/>
        <item m="1" x="5331"/>
        <item m="1" x="2305"/>
        <item m="1" x="5735"/>
        <item m="1" x="1792"/>
        <item m="1" x="2344"/>
        <item m="1" x="2239"/>
        <item m="1" x="1458"/>
        <item m="1" x="6026"/>
        <item m="1" x="6036"/>
        <item m="1" x="1594"/>
        <item m="1" x="5391"/>
        <item m="1" x="351"/>
        <item m="1" x="4811"/>
        <item m="1" x="2629"/>
        <item m="1" x="3418"/>
        <item m="1" x="859"/>
        <item m="1" x="4883"/>
        <item m="1" x="4795"/>
        <item m="1" x="5104"/>
        <item m="1" x="4347"/>
        <item m="1" x="5132"/>
        <item m="1" x="5938"/>
        <item m="1" x="1035"/>
        <item m="1" x="2546"/>
        <item m="1" x="1782"/>
        <item m="1" x="5493"/>
        <item m="1" x="1613"/>
        <item m="1" x="461"/>
        <item m="1" x="6222"/>
        <item m="1" x="4480"/>
        <item m="1" x="3950"/>
        <item m="1" x="3100"/>
        <item m="1" x="3961"/>
        <item m="1" x="1016"/>
        <item m="1" x="2094"/>
        <item m="1" x="4657"/>
        <item m="1" x="5518"/>
        <item m="1" x="2264"/>
        <item m="1" x="3847"/>
        <item m="1" x="5149"/>
        <item m="1" x="1807"/>
        <item m="1" x="2570"/>
        <item m="1" x="5323"/>
        <item m="1" x="1658"/>
        <item m="1" x="2159"/>
        <item m="1" x="5083"/>
        <item m="1" x="4744"/>
        <item m="1" x="4869"/>
        <item m="1" x="3479"/>
        <item m="1" x="1306"/>
        <item m="1" x="5218"/>
        <item m="1" x="5974"/>
        <item m="1" x="3086"/>
        <item m="1" x="125"/>
        <item m="1" x="3247"/>
        <item m="1" x="1339"/>
        <item m="1" x="3555"/>
        <item m="1" x="6110"/>
        <item m="1" x="5237"/>
        <item m="1" x="5143"/>
        <item m="1" x="2743"/>
        <item m="1" x="5225"/>
        <item m="1" x="167"/>
        <item m="1" x="6099"/>
        <item m="1" x="3022"/>
        <item m="1" x="5054"/>
        <item m="1" x="3945"/>
        <item m="1" x="1592"/>
        <item m="1" x="2395"/>
        <item m="1" x="2479"/>
        <item m="1" x="4295"/>
        <item m="1" x="3665"/>
        <item m="1" x="969"/>
        <item m="1" x="2852"/>
        <item m="1" x="698"/>
        <item m="1" x="2942"/>
        <item m="1" x="6002"/>
        <item m="1" x="5623"/>
        <item m="1" x="4361"/>
        <item m="1" x="376"/>
        <item m="1" x="3249"/>
        <item m="1" x="363"/>
        <item m="1" x="4698"/>
        <item m="1" x="3449"/>
        <item m="1" x="2514"/>
        <item m="1" x="1945"/>
        <item m="1" x="3780"/>
        <item m="1" x="5814"/>
        <item m="1" x="2719"/>
        <item m="1" x="3608"/>
        <item m="1" x="1455"/>
        <item m="1" x="495"/>
        <item m="1" x="5463"/>
        <item m="1" x="653"/>
        <item m="1" x="848"/>
        <item m="1" x="622"/>
        <item m="1" x="664"/>
        <item m="1" x="1794"/>
        <item m="1" x="3049"/>
        <item m="1" x="1870"/>
        <item x="102"/>
        <item m="1" x="5487"/>
        <item m="1" x="1374"/>
        <item m="1" x="1894"/>
        <item m="1" x="823"/>
        <item m="1" x="4083"/>
        <item m="1" x="574"/>
        <item m="1" x="5695"/>
        <item m="1" x="4704"/>
        <item m="1" x="5750"/>
        <item m="1" x="1089"/>
        <item m="1" x="2190"/>
        <item m="1" x="2205"/>
        <item m="1" x="2676"/>
        <item m="1" x="2966"/>
        <item m="1" x="3573"/>
        <item m="1" x="4062"/>
        <item m="1" x="3727"/>
        <item m="1" x="620"/>
        <item m="1" x="5199"/>
        <item m="1" x="1371"/>
        <item m="1" x="1017"/>
        <item m="1" x="1039"/>
        <item m="1" x="3195"/>
        <item m="1" x="551"/>
        <item m="1" x="5038"/>
        <item m="1" x="2069"/>
        <item m="1" x="5989"/>
        <item m="1" x="3984"/>
        <item m="1" x="4918"/>
        <item m="1" x="3287"/>
        <item m="1" x="1415"/>
        <item m="1" x="2324"/>
        <item m="1" x="2014"/>
        <item m="1" x="896"/>
        <item m="1" x="1497"/>
        <item m="1" x="5856"/>
        <item m="1" x="4396"/>
        <item m="1" x="4106"/>
        <item m="1" x="1205"/>
        <item m="1" x="3990"/>
        <item m="1" x="3962"/>
        <item m="1" x="5099"/>
        <item m="1" x="5589"/>
        <item m="1" x="174"/>
        <item m="1" x="6147"/>
        <item m="1" x="6114"/>
        <item m="1" x="2055"/>
        <item m="1" x="2231"/>
        <item m="1" x="3344"/>
        <item m="1" x="974"/>
        <item m="1" x="5538"/>
        <item m="1" x="3613"/>
        <item m="1" x="4500"/>
        <item m="1" x="5085"/>
        <item m="1" x="2220"/>
        <item m="1" x="1267"/>
        <item m="1" x="855"/>
        <item m="1" x="6096"/>
        <item m="1" x="1998"/>
        <item m="1" x="816"/>
        <item m="1" x="6167"/>
        <item m="1" x="2868"/>
        <item m="1" x="5848"/>
        <item m="1" x="3207"/>
        <item m="1" x="6337"/>
        <item m="1" x="1797"/>
        <item m="1" x="4905"/>
        <item m="1" x="281"/>
        <item m="1" x="1187"/>
        <item m="1" x="2073"/>
        <item m="1" x="4343"/>
        <item m="1" x="1964"/>
        <item m="1" x="3512"/>
        <item m="1" x="1391"/>
        <item m="1" x="1357"/>
        <item m="1" x="139"/>
        <item m="1" x="3253"/>
        <item m="1" x="3048"/>
        <item m="1" x="2033"/>
        <item m="1" x="3070"/>
        <item m="1" x="4534"/>
        <item m="1" x="2355"/>
        <item m="1" x="1208"/>
        <item m="1" x="2211"/>
        <item m="1" x="4116"/>
        <item m="1" x="5757"/>
        <item m="1" x="1786"/>
        <item m="1" x="5926"/>
        <item m="1" x="6164"/>
        <item m="1" x="5513"/>
        <item m="1" x="3314"/>
        <item m="1" x="3733"/>
        <item m="1" x="6290"/>
        <item m="1" x="1802"/>
        <item m="1" x="6363"/>
        <item m="1" x="4913"/>
        <item m="1" x="2274"/>
        <item m="1" x="6044"/>
        <item m="1" x="3363"/>
        <item m="1" x="2103"/>
        <item m="1" x="4552"/>
        <item m="1" x="3602"/>
        <item m="1" x="5001"/>
        <item m="1" x="5997"/>
        <item m="1" x="6201"/>
        <item m="1" x="204"/>
        <item m="1" x="1428"/>
        <item m="1" x="3231"/>
        <item m="1" x="884"/>
        <item m="1" x="2949"/>
        <item m="1" x="2031"/>
        <item m="1" x="4872"/>
        <item m="1" x="6242"/>
        <item m="1" x="2673"/>
        <item m="1" x="3172"/>
        <item m="1" x="4812"/>
        <item m="1" x="1978"/>
        <item m="1" x="5893"/>
        <item m="1" x="4252"/>
        <item m="1" x="945"/>
        <item m="1" x="3372"/>
        <item m="1" x="4892"/>
        <item m="1" x="2072"/>
        <item m="1" x="5851"/>
        <item m="1" x="5211"/>
        <item m="1" x="4769"/>
        <item m="1" x="5665"/>
        <item m="1" x="227"/>
        <item m="1" x="1226"/>
        <item m="1" x="6087"/>
        <item m="1" x="1003"/>
        <item m="1" x="5486"/>
        <item m="1" x="4909"/>
        <item m="1" x="2043"/>
        <item m="1" x="5917"/>
        <item m="1" x="894"/>
        <item m="1" x="3430"/>
        <item m="1" x="5121"/>
        <item m="1" x="1714"/>
        <item m="1" x="2213"/>
        <item m="1" x="1845"/>
        <item m="1" x="5655"/>
        <item m="1" x="6192"/>
        <item m="1" x="3083"/>
        <item m="1" x="5166"/>
        <item m="1" x="1361"/>
        <item m="1" x="3421"/>
        <item m="1" x="3353"/>
        <item m="1" x="4727"/>
        <item m="1" x="5397"/>
        <item m="1" x="2146"/>
        <item m="1" x="4387"/>
        <item m="1" x="5454"/>
        <item m="1" x="5981"/>
        <item m="1" x="5250"/>
        <item m="1" x="3459"/>
        <item m="1" x="253"/>
        <item m="1" x="3241"/>
        <item m="1" x="1588"/>
        <item m="1" x="5525"/>
        <item m="1" x="4077"/>
        <item m="1" x="3542"/>
        <item m="1" x="1235"/>
        <item m="1" x="4208"/>
        <item m="1" x="787"/>
        <item m="1" x="367"/>
        <item m="1" x="4234"/>
        <item m="1" x="6017"/>
        <item m="1" x="1111"/>
        <item m="1" x="3729"/>
        <item m="1" x="115"/>
        <item m="1" x="4922"/>
        <item m="1" x="1191"/>
        <item m="1" x="299"/>
        <item m="1" x="382"/>
        <item m="1" x="1316"/>
        <item x="57"/>
        <item m="1" x="706"/>
        <item m="1" x="3837"/>
        <item m="1" x="2346"/>
        <item m="1" x="3932"/>
        <item m="1" x="5534"/>
        <item m="1" x="2716"/>
        <item m="1" x="399"/>
        <item m="1" x="798"/>
        <item m="1" x="6319"/>
        <item m="1" x="3328"/>
        <item m="1" x="1471"/>
        <item m="1" x="4700"/>
        <item m="1" x="1565"/>
        <item m="1" x="4983"/>
        <item m="1" x="4087"/>
        <item m="1" x="915"/>
        <item m="1" x="5902"/>
        <item m="1" x="1368"/>
        <item m="1" x="3257"/>
        <item m="1" x="2116"/>
        <item m="1" x="1928"/>
        <item m="1" x="3704"/>
        <item m="1" x="2299"/>
        <item m="1" x="2367"/>
        <item m="1" x="5210"/>
        <item m="1" x="730"/>
        <item m="1" x="1877"/>
        <item m="1" x="1791"/>
        <item m="1" x="4560"/>
        <item m="1" x="2490"/>
        <item m="1" x="2394"/>
        <item m="1" x="6019"/>
        <item m="1" x="4102"/>
        <item m="1" x="3788"/>
        <item m="1" x="3557"/>
        <item m="1" x="3902"/>
        <item m="1" x="2713"/>
        <item m="1" x="331"/>
        <item m="1" x="2591"/>
        <item m="1" x="5093"/>
        <item m="1" x="782"/>
        <item m="1" x="451"/>
        <item m="1" x="5960"/>
        <item m="1" x="2911"/>
        <item m="1" x="1388"/>
        <item m="1" x="4015"/>
        <item m="1" x="717"/>
        <item m="1" x="144"/>
        <item m="1" x="2273"/>
        <item m="1" x="4127"/>
        <item m="1" x="2179"/>
        <item m="1" x="2097"/>
        <item m="1" x="1587"/>
        <item m="1" x="1538"/>
        <item m="1" x="2572"/>
        <item m="1" x="499"/>
        <item m="1" x="5526"/>
        <item m="1" x="1986"/>
        <item m="1" x="6351"/>
        <item m="1" x="5731"/>
        <item m="1" x="3792"/>
        <item m="1" x="4686"/>
        <item m="1" x="2406"/>
        <item m="1" x="288"/>
        <item m="1" x="2535"/>
        <item m="1" x="4619"/>
        <item m="1" x="1159"/>
        <item m="1" x="5040"/>
        <item m="1" x="1085"/>
        <item m="1" x="4214"/>
        <item m="1" x="2831"/>
        <item m="1" x="5467"/>
        <item m="1" x="2958"/>
        <item m="1" x="3089"/>
        <item m="1" x="526"/>
        <item m="1" x="3928"/>
        <item m="1" x="5551"/>
        <item m="1" x="4010"/>
        <item m="1" x="3611"/>
        <item m="1" x="5667"/>
        <item m="1" x="4073"/>
        <item m="1" x="4243"/>
        <item m="1" x="6041"/>
        <item m="1" x="4544"/>
        <item m="1" x="3670"/>
        <item m="1" x="2051"/>
        <item m="1" x="419"/>
        <item m="1" x="5813"/>
        <item m="1" x="2269"/>
        <item m="1" x="3056"/>
        <item m="1" x="2926"/>
        <item m="1" x="2026"/>
        <item m="1" x="1390"/>
        <item m="1" x="4601"/>
        <item m="1" x="3723"/>
        <item m="1" x="4654"/>
        <item m="1" x="2660"/>
        <item m="1" x="537"/>
        <item m="1" x="683"/>
        <item m="1" x="2982"/>
        <item m="1" x="1280"/>
        <item m="1" x="1409"/>
        <item m="1" x="2725"/>
        <item m="1" x="1229"/>
        <item m="1" x="3419"/>
        <item m="1" x="5232"/>
        <item m="1" x="6277"/>
        <item m="1" x="4786"/>
        <item m="1" x="4543"/>
        <item m="1" x="4781"/>
        <item m="1" x="6203"/>
        <item m="1" x="3494"/>
        <item m="1" x="4053"/>
        <item m="1" x="1815"/>
        <item m="1" x="2138"/>
        <item m="1" x="2961"/>
        <item m="1" x="3833"/>
        <item m="1" x="1398"/>
        <item m="1" x="5672"/>
        <item m="1" x="3503"/>
        <item m="1" x="3642"/>
        <item m="1" x="5251"/>
        <item m="1" x="2334"/>
        <item m="1" x="3735"/>
        <item m="1" x="627"/>
        <item m="1" x="668"/>
        <item m="1" x="6169"/>
        <item m="1" x="5006"/>
        <item m="1" x="315"/>
        <item m="1" x="1435"/>
        <item m="1" x="5298"/>
        <item m="1" x="1990"/>
        <item m="1" x="6102"/>
        <item m="1" x="3515"/>
        <item m="1" x="2791"/>
        <item m="1" x="5779"/>
        <item m="1" x="1540"/>
        <item m="1" x="3831"/>
        <item m="1" x="279"/>
        <item m="1" x="2800"/>
        <item m="1" x="2382"/>
        <item m="1" x="5392"/>
        <item m="1" x="6369"/>
        <item m="1" x="428"/>
        <item m="1" x="2317"/>
        <item m="1" x="3007"/>
        <item m="1" x="5704"/>
        <item m="1" x="838"/>
        <item m="1" x="2630"/>
        <item m="1" x="5632"/>
        <item m="1" x="583"/>
        <item m="1" x="3870"/>
        <item m="1" x="637"/>
        <item m="1" x="1670"/>
        <item m="1" x="1180"/>
        <item m="1" x="5084"/>
        <item m="1" x="5388"/>
        <item m="1" x="1641"/>
        <item m="1" x="4587"/>
        <item m="1" x="5639"/>
        <item m="1" x="4079"/>
        <item m="1" x="529"/>
        <item m="1" x="1179"/>
        <item m="1" x="1973"/>
        <item m="1" x="5738"/>
        <item m="1" x="4925"/>
        <item m="1" x="1850"/>
        <item m="1" x="6136"/>
        <item m="1" x="2698"/>
        <item m="1" x="1960"/>
        <item m="1" x="2882"/>
        <item m="1" x="145"/>
        <item m="1" x="4693"/>
        <item m="1" x="667"/>
        <item m="1" x="1682"/>
        <item m="1" x="4614"/>
        <item m="1" x="4044"/>
        <item m="1" x="3179"/>
        <item m="1" x="2049"/>
        <item m="1" x="3680"/>
        <item m="1" x="1903"/>
        <item m="1" x="4460"/>
        <item m="1" x="2851"/>
        <item m="1" x="1678"/>
        <item m="1" x="603"/>
        <item m="1" x="1096"/>
        <item m="1" x="1879"/>
        <item m="1" x="3890"/>
        <item m="1" x="3405"/>
        <item m="1" x="3252"/>
        <item m="1" x="2224"/>
        <item m="1" x="1690"/>
        <item m="1" x="255"/>
        <item m="1" x="5908"/>
        <item m="1" x="4947"/>
        <item m="1" x="1041"/>
        <item m="1" x="3013"/>
        <item m="1" x="1426"/>
        <item m="1" x="1160"/>
        <item m="1" x="2972"/>
        <item m="1" x="120"/>
        <item m="1" x="2494"/>
        <item m="1" x="1938"/>
        <item m="1" x="4545"/>
        <item m="1" x="4832"/>
        <item m="1" x="165"/>
        <item m="1" x="1269"/>
        <item m="1" x="4395"/>
        <item m="1" x="982"/>
        <item m="1" x="1529"/>
        <item m="1" x="3821"/>
        <item m="1" x="348"/>
        <item m="1" x="2508"/>
        <item m="1" x="4598"/>
        <item m="1" x="6014"/>
        <item m="1" x="5216"/>
        <item m="1" x="789"/>
        <item m="1" x="4238"/>
        <item m="1" x="5887"/>
        <item m="1" x="2899"/>
        <item m="1" x="3927"/>
        <item m="1" x="4223"/>
        <item m="1" x="6094"/>
        <item m="1" x="1132"/>
        <item m="1" x="2768"/>
        <item m="1" x="3843"/>
        <item m="1" x="1647"/>
        <item m="1" x="6257"/>
        <item m="1" x="1855"/>
        <item m="1" x="1662"/>
        <item m="1" x="6054"/>
        <item m="1" x="4608"/>
        <item m="1" x="1279"/>
        <item m="1" x="3310"/>
        <item m="1" x="2291"/>
        <item m="1" x="4889"/>
        <item m="1" x="5139"/>
        <item m="1" x="4025"/>
        <item m="1" x="1763"/>
        <item m="1" x="5338"/>
        <item m="1" x="5963"/>
        <item m="1" x="1079"/>
        <item m="1" x="3224"/>
        <item m="1" x="5227"/>
        <item m="1" x="5044"/>
        <item m="1" x="1389"/>
        <item m="1" x="209"/>
        <item m="1" x="3323"/>
        <item m="1" x="5710"/>
        <item m="1" x="987"/>
        <item m="1" x="418"/>
        <item m="1" x="4900"/>
        <item m="1" x="2602"/>
        <item m="1" x="5642"/>
        <item m="1" x="3946"/>
        <item m="1" x="3574"/>
        <item m="1" x="5822"/>
        <item m="1" x="1873"/>
        <item m="1" x="5718"/>
        <item m="1" x="890"/>
        <item m="1" x="6174"/>
        <item m="1" x="5825"/>
        <item m="1" x="3347"/>
        <item m="1" x="5819"/>
        <item m="1" x="1323"/>
        <item m="1" x="3081"/>
        <item m="1" x="1675"/>
        <item m="1" x="3702"/>
        <item m="1" x="2263"/>
        <item m="1" x="5293"/>
        <item m="1" x="841"/>
        <item m="1" x="6004"/>
        <item m="1" x="5124"/>
        <item m="1" x="2322"/>
        <item m="1" x="310"/>
        <item m="1" x="1858"/>
        <item m="1" x="3718"/>
        <item m="1" x="3365"/>
        <item m="1" x="5267"/>
        <item m="1" x="5446"/>
        <item m="1" x="5508"/>
        <item m="1" x="3306"/>
        <item m="1" x="865"/>
        <item m="1" x="2446"/>
        <item m="1" x="5140"/>
        <item m="1" x="3971"/>
        <item m="1" x="137"/>
        <item m="1" x="694"/>
        <item m="1" x="2348"/>
        <item m="1" x="467"/>
        <item m="1" x="3150"/>
        <item m="1" x="2559"/>
        <item m="1" x="2113"/>
        <item m="1" x="4476"/>
        <item m="1" x="4939"/>
        <item m="1" x="2573"/>
        <item m="1" x="2897"/>
        <item m="1" x="3390"/>
        <item m="1" x="5562"/>
        <item m="1" x="3651"/>
        <item m="1" x="4463"/>
        <item m="1" x="1509"/>
        <item m="1" x="4797"/>
        <item m="1" x="4156"/>
        <item m="1" x="1901"/>
        <item m="1" x="3761"/>
        <item m="1" x="2709"/>
        <item m="1" x="1549"/>
        <item m="1" x="5982"/>
        <item m="1" x="2564"/>
        <item m="1" x="6276"/>
        <item m="1" x="116"/>
        <item m="1" x="1482"/>
        <item m="1" x="5198"/>
        <item m="1" x="2282"/>
        <item m="1" x="131"/>
        <item m="1" x="3632"/>
        <item m="1" x="4356"/>
        <item m="1" x="913"/>
        <item m="1" x="3673"/>
        <item m="1" x="388"/>
        <item m="1" x="5868"/>
        <item m="1" x="289"/>
        <item x="29"/>
        <item m="1" x="5445"/>
        <item m="1" x="5049"/>
        <item m="1" x="1759"/>
        <item m="1" x="463"/>
        <item m="1" x="2863"/>
        <item m="1" x="200"/>
        <item m="1" x="1043"/>
        <item m="1" x="2890"/>
        <item m="1" x="4371"/>
        <item m="1" x="4289"/>
        <item m="1" x="3130"/>
        <item m="1" x="609"/>
        <item m="1" x="4952"/>
        <item m="1" x="1891"/>
        <item m="1" x="2779"/>
        <item m="1" x="5353"/>
        <item m="1" x="4201"/>
        <item m="1" x="2755"/>
        <item m="1" x="5809"/>
        <item m="1" x="3174"/>
        <item m="1" x="3800"/>
        <item m="1" x="5233"/>
        <item m="1" x="3502"/>
        <item m="1" x="1555"/>
        <item m="1" x="408"/>
        <item m="1" x="6131"/>
        <item m="1" x="736"/>
        <item m="1" x="4052"/>
        <item m="1" x="1155"/>
        <item m="1" x="4689"/>
        <item m="1" x="3948"/>
        <item m="1" x="2496"/>
        <item m="1" x="2057"/>
        <item m="1" x="4215"/>
        <item m="1" x="2735"/>
        <item m="1" x="2000"/>
        <item m="1" x="1183"/>
        <item m="1" x="2112"/>
        <item m="1" x="5829"/>
        <item m="1" x="5375"/>
        <item m="1" x="3157"/>
        <item m="1" x="1392"/>
        <item m="1" x="3568"/>
        <item m="1" x="3965"/>
        <item m="1" x="3136"/>
        <item m="1" x="725"/>
        <item m="1" x="1102"/>
        <item m="1" x="4988"/>
        <item m="1" x="3994"/>
        <item m="1" x="2621"/>
        <item m="1" x="4541"/>
        <item m="1" x="4862"/>
        <item m="1" x="3002"/>
        <item m="1" x="3786"/>
        <item m="1" x="1349"/>
        <item x="91"/>
        <item m="1" x="3348"/>
        <item m="1" x="5577"/>
        <item m="1" x="927"/>
        <item x="70"/>
        <item m="1" x="2019"/>
        <item m="1" x="6115"/>
        <item m="1" x="3326"/>
        <item m="1" x="6311"/>
        <item m="1" x="6285"/>
        <item m="1" x="4144"/>
        <item m="1" x="3520"/>
        <item m="1" x="259"/>
        <item m="1" x="373"/>
        <item m="1" x="6064"/>
        <item m="1" x="2042"/>
        <item m="1" x="4766"/>
        <item m="1" x="5205"/>
        <item m="1" x="5886"/>
        <item m="1" x="5181"/>
        <item m="1" x="2444"/>
        <item m="1" x="4148"/>
        <item m="1" x="4941"/>
        <item m="1" x="1387"/>
        <item x="84"/>
        <item m="1" x="3383"/>
        <item m="1" x="5520"/>
        <item m="1" x="2151"/>
        <item m="1" x="3802"/>
        <item m="1" x="4464"/>
        <item m="1" x="481"/>
        <item m="1" x="2651"/>
        <item m="1" x="2383"/>
        <item m="1" x="1925"/>
        <item m="1" x="2109"/>
        <item m="1" x="5581"/>
        <item m="1" x="831"/>
        <item m="1" x="3815"/>
        <item m="1" x="5514"/>
        <item m="1" x="6306"/>
        <item m="1" x="3051"/>
        <item m="1" x="5258"/>
        <item m="1" x="2823"/>
        <item m="1" x="1456"/>
        <item m="1" x="1291"/>
        <item m="1" x="2666"/>
        <item m="1" x="851"/>
        <item m="1" x="6178"/>
        <item m="1" x="4762"/>
        <item m="1" x="4121"/>
        <item m="1" x="2821"/>
        <item m="1" x="878"/>
        <item m="1" x="5489"/>
        <item m="1" x="2550"/>
        <item m="1" x="5005"/>
        <item m="1" x="952"/>
        <item m="1" x="5847"/>
        <item m="1" x="2227"/>
        <item m="1" x="3840"/>
        <item m="1" x="5451"/>
        <item m="1" x="6354"/>
        <item m="1" x="1864"/>
        <item m="1" x="819"/>
        <item m="1" x="1120"/>
        <item m="1" x="3859"/>
        <item m="1" x="1437"/>
        <item m="1" x="1336"/>
        <item m="1" x="5542"/>
        <item m="1" x="220"/>
        <item m="1" x="1140"/>
        <item m="1" x="6175"/>
        <item m="1" x="568"/>
        <item m="1" x="1000"/>
        <item m="1" x="3243"/>
        <item m="1" x="2332"/>
        <item m="1" x="5861"/>
        <item m="1" x="5145"/>
        <item m="1" x="5539"/>
        <item m="1" x="509"/>
        <item m="1" x="2039"/>
        <item m="1" x="3098"/>
        <item m="1" x="6229"/>
        <item m="1" x="3370"/>
        <item m="1" x="498"/>
        <item m="1" x="3151"/>
        <item m="1" x="3675"/>
        <item m="1" x="5079"/>
        <item m="1" x="5478"/>
        <item m="1" x="2442"/>
        <item m="1" x="525"/>
        <item m="1" x="493"/>
        <item m="1" x="1464"/>
        <item m="1" x="3710"/>
        <item m="1" x="5799"/>
        <item m="1" x="1806"/>
        <item m="1" x="1866"/>
        <item m="1" x="4945"/>
        <item m="1" x="2520"/>
        <item m="1" x="5355"/>
        <item m="1" x="1186"/>
        <item m="1" x="1677"/>
        <item m="1" x="3972"/>
        <item m="1" x="834"/>
        <item m="1" x="1827"/>
        <item m="1" x="3300"/>
        <item m="1" x="642"/>
        <item m="1" x="4008"/>
        <item m="1" x="2162"/>
        <item m="1" x="2125"/>
        <item m="1" x="510"/>
        <item m="1" x="1399"/>
        <item m="1" x="369"/>
        <item m="1" x="5000"/>
        <item m="1" x="5603"/>
        <item m="1" x="980"/>
        <item m="1" x="3644"/>
        <item m="1" x="3832"/>
        <item m="1" x="5212"/>
        <item m="1" x="5563"/>
        <item m="1" x="998"/>
        <item m="1" x="3415"/>
        <item m="1" x="5126"/>
        <item m="1" x="1796"/>
        <item m="1" x="1213"/>
        <item m="1" x="6021"/>
        <item m="1" x="3857"/>
        <item m="1" x="3265"/>
        <item m="1" x="454"/>
        <item m="1" x="905"/>
        <item m="1" x="436"/>
        <item m="1" x="4906"/>
        <item m="1" x="3036"/>
        <item m="1" x="2217"/>
        <item m="1" x="1971"/>
        <item m="1" x="384"/>
        <item m="1" x="1250"/>
        <item m="1" x="4365"/>
        <item m="1" x="3841"/>
        <item m="1" x="600"/>
        <item m="1" x="1044"/>
        <item m="1" x="2147"/>
        <item m="1" x="3803"/>
        <item m="1" x="4041"/>
        <item m="1" x="514"/>
        <item m="1" x="3784"/>
        <item m="1" x="1020"/>
        <item m="1" x="3659"/>
        <item m="1" x="3388"/>
        <item m="1" x="2829"/>
        <item m="1" x="4650"/>
        <item m="1" x="5031"/>
        <item m="1" x="4912"/>
        <item m="1" x="530"/>
        <item m="1" x="898"/>
        <item m="1" x="3689"/>
        <item m="1" x="169"/>
        <item m="1" x="5350"/>
        <item m="1" x="821"/>
        <item m="1" x="1557"/>
        <item m="1" x="371"/>
        <item m="1" x="205"/>
        <item m="1" x="4676"/>
        <item m="1" x="3914"/>
        <item m="1" x="788"/>
        <item m="1" x="1193"/>
        <item m="1" x="3123"/>
        <item m="1" x="766"/>
        <item m="1" x="4591"/>
        <item m="1" x="804"/>
        <item m="1" x="251"/>
        <item m="1" x="1949"/>
        <item m="1" x="2797"/>
        <item m="1" x="307"/>
        <item m="1" x="688"/>
        <item m="1" x="5434"/>
        <item m="1" x="5327"/>
        <item m="1" x="2436"/>
        <item m="1" x="5783"/>
        <item m="1" x="284"/>
        <item m="1" x="1663"/>
        <item m="1" x="4453"/>
        <item m="1" x="5305"/>
        <item m="1" x="2538"/>
        <item m="1" x="2945"/>
        <item m="1" x="1074"/>
        <item m="1" x="1353"/>
        <item m="1" x="3697"/>
        <item m="1" x="5664"/>
        <item m="1" x="3380"/>
        <item m="1" x="3728"/>
        <item m="1" x="2256"/>
        <item m="1" x="1644"/>
        <item m="1" x="1688"/>
        <item m="1" x="1578"/>
        <item m="1" x="212"/>
        <item m="1" x="3514"/>
        <item m="1" x="571"/>
        <item m="1" x="3856"/>
        <item m="1" x="4930"/>
        <item m="1" x="3054"/>
        <item m="1" x="1112"/>
        <item m="1" x="1057"/>
        <item m="1" x="2106"/>
        <item m="1" x="825"/>
        <item m="1" x="4065"/>
        <item m="1" x="1219"/>
        <item m="1" x="2244"/>
        <item m="1" x="470"/>
        <item m="1" x="1492"/>
        <item m="1" x="2771"/>
        <item m="1" x="3277"/>
        <item m="1" x="616"/>
        <item m="1" x="4140"/>
        <item m="1" x="3078"/>
        <item m="1" x="3712"/>
        <item m="1" x="3299"/>
        <item m="1" x="1345"/>
        <item m="1" x="4992"/>
        <item m="1" x="5036"/>
        <item m="1" x="907"/>
        <item x="40"/>
        <item m="1" x="6045"/>
        <item m="1" x="4875"/>
        <item m="1" x="1972"/>
        <item m="1" x="539"/>
        <item m="1" x="117"/>
        <item m="1" x="1783"/>
        <item m="1" x="5702"/>
        <item m="1" x="3389"/>
        <item m="1" x="4479"/>
        <item m="1" x="2225"/>
        <item m="1" x="6145"/>
        <item m="1" x="3141"/>
        <item m="1" x="3867"/>
        <item m="1" x="5533"/>
        <item m="1" x="5826"/>
        <item m="1" x="3153"/>
        <item m="1" x="350"/>
        <item m="1" x="790"/>
        <item m="1" x="3133"/>
        <item m="1" x="1738"/>
        <item m="1" x="5743"/>
        <item m="1" x="5561"/>
        <item m="1" x="5423"/>
        <item m="1" x="4199"/>
        <item m="1" x="4964"/>
        <item m="1" x="1769"/>
        <item m="1" x="647"/>
        <item m="1" x="4278"/>
        <item m="1" x="4692"/>
        <item m="1" x="4902"/>
        <item m="1" x="5892"/>
        <item m="1" x="4938"/>
        <item m="1" x="1228"/>
        <item m="1" x="858"/>
        <item m="1" x="584"/>
        <item m="1" x="2881"/>
        <item m="1" x="280"/>
        <item m="1" x="3783"/>
        <item m="1" x="3639"/>
        <item m="1" x="608"/>
        <item m="1" x="4219"/>
        <item m="1" x="6208"/>
        <item m="1" x="1298"/>
        <item m="1" x="178"/>
        <item m="1" x="1581"/>
        <item m="1" x="3631"/>
        <item m="1" x="5283"/>
        <item m="1" x="6140"/>
        <item m="1" x="5616"/>
        <item m="1" x="5092"/>
        <item m="1" x="939"/>
        <item m="1" x="1753"/>
        <item m="1" x="458"/>
        <item m="1" x="4075"/>
        <item m="1" x="6122"/>
        <item m="1" x="6264"/>
        <item m="1" x="5394"/>
        <item m="1" x="4719"/>
        <item m="1" x="2580"/>
        <item m="1" x="1777"/>
        <item m="1" x="138"/>
        <item m="1" x="4706"/>
        <item m="1" x="2544"/>
        <item m="1" x="4919"/>
        <item m="1" x="113"/>
        <item m="1" x="1610"/>
        <item m="1" x="5088"/>
        <item m="1" x="2277"/>
        <item m="1" x="2744"/>
        <item m="1" x="970"/>
        <item m="1" x="5317"/>
        <item m="1" x="3590"/>
        <item m="1" x="5351"/>
        <item m="1" x="3256"/>
        <item m="1" x="5911"/>
        <item m="1" x="4820"/>
        <item m="1" x="269"/>
        <item m="1" x="2618"/>
        <item m="1" x="2756"/>
        <item m="1" x="1202"/>
        <item m="1" x="1745"/>
        <item m="1" x="1343"/>
        <item m="1" x="127"/>
        <item m="1" x="5635"/>
        <item m="1" x="2733"/>
        <item m="1" x="5758"/>
        <item m="1" x="941"/>
        <item m="1" x="2822"/>
        <item m="1" x="2061"/>
        <item m="1" x="2774"/>
        <item m="1" x="3438"/>
        <item m="1" x="3395"/>
        <item m="1" x="3825"/>
        <item m="1" x="5834"/>
        <item m="1" x="1619"/>
        <item m="1" x="1216"/>
        <item m="1" x="1591"/>
        <item m="1" x="5133"/>
        <item m="1" x="1325"/>
        <item m="1" x="2904"/>
        <item m="1" x="3161"/>
        <item m="1" x="5102"/>
        <item m="1" x="5663"/>
        <item m="1" x="3044"/>
        <item m="1" x="6286"/>
        <item m="1" x="520"/>
        <item m="1" x="6224"/>
        <item m="1" x="1355"/>
        <item m="1" x="2020"/>
        <item m="1" x="1834"/>
        <item m="1" x="887"/>
        <item m="1" x="5261"/>
        <item m="1" x="1171"/>
        <item m="1" x="4231"/>
        <item m="1" x="950"/>
        <item m="1" x="2597"/>
        <item m="1" x="3352"/>
        <item m="1" x="598"/>
        <item m="1" x="4459"/>
        <item m="1" x="4192"/>
        <item m="1" x="5077"/>
        <item m="1" x="886"/>
        <item m="1" x="4310"/>
        <item m="1" x="4754"/>
        <item m="1" x="2358"/>
        <item m="1" x="5186"/>
        <item m="1" x="4977"/>
        <item m="1" x="2579"/>
        <item m="1" x="3929"/>
        <item m="1" x="3015"/>
        <item m="1" x="5827"/>
        <item m="1" x="1080"/>
        <item m="1" x="5328"/>
        <item m="1" x="3721"/>
        <item m="1" x="353"/>
        <item m="1" x="3720"/>
        <item m="1" x="420"/>
        <item m="1" x="663"/>
        <item m="1" x="3767"/>
        <item m="1" x="1923"/>
        <item m="1" x="5850"/>
        <item m="1" x="4624"/>
        <item m="1" x="1508"/>
        <item m="1" x="801"/>
        <item m="1" x="1513"/>
        <item m="1" x="2173"/>
        <item m="1" x="2813"/>
        <item m="1" x="3676"/>
        <item m="1" x="1500"/>
        <item m="1" x="304"/>
        <item m="1" x="6315"/>
        <item m="1" x="6269"/>
        <item m="1" x="5386"/>
        <item m="1" x="4005"/>
        <item m="1" x="978"/>
        <item m="1" x="3552"/>
        <item m="1" x="2330"/>
        <item m="1" x="4108"/>
        <item m="1" x="4249"/>
        <item m="1" x="6168"/>
        <item m="1" x="5516"/>
        <item m="1" x="3903"/>
        <item m="1" x="2511"/>
        <item m="1" x="4440"/>
        <item m="1" x="3875"/>
        <item m="1" x="5983"/>
        <item m="1" x="828"/>
        <item m="1" x="275"/>
        <item m="1" x="397"/>
        <item m="1" x="3493"/>
        <item m="1" x="3238"/>
        <item m="1" x="1312"/>
        <item m="1" x="2285"/>
        <item m="1" x="2931"/>
        <item m="1" x="1653"/>
        <item m="1" x="5004"/>
        <item m="1" x="3020"/>
        <item m="1" x="4368"/>
        <item m="1" x="5631"/>
        <item m="1" x="5296"/>
        <item m="1" x="140"/>
        <item m="1" x="1273"/>
        <item m="1" x="1210"/>
        <item m="1" x="1121"/>
        <item m="1" x="4713"/>
        <item m="1" x="215"/>
        <item m="1" x="196"/>
        <item m="1" x="414"/>
        <item m="1" x="471"/>
        <item m="1" x="1910"/>
        <item m="1" x="490"/>
        <item m="1" x="5962"/>
        <item m="1" x="2769"/>
        <item m="1" x="270"/>
        <item m="1" x="5056"/>
        <item m="1" x="2315"/>
        <item m="1" x="2172"/>
        <item m="1" x="2859"/>
        <item m="1" x="4018"/>
        <item m="1" x="1408"/>
        <item m="1" x="4878"/>
        <item m="1" x="4725"/>
        <item m="1" x="405"/>
        <item m="1" x="4413"/>
        <item m="1" x="4349"/>
        <item m="1" x="1943"/>
        <item m="1" x="5236"/>
        <item m="1" x="4496"/>
        <item m="1" x="2278"/>
        <item m="1" x="5765"/>
        <item m="1" x="836"/>
        <item m="1" x="3874"/>
        <item m="1" x="1356"/>
        <item m="1" x="1639"/>
        <item m="1" x="5612"/>
        <item m="1" x="570"/>
        <item m="1" x="4264"/>
        <item m="1" x="4765"/>
        <item m="1" x="2085"/>
        <item m="1" x="6294"/>
        <item m="1" x="3248"/>
        <item m="1" x="3025"/>
        <item m="1" x="2249"/>
        <item m="1" x="655"/>
        <item m="1" x="189"/>
        <item m="1" x="3523"/>
        <item m="1" x="2234"/>
        <item m="1" x="1542"/>
        <item m="1" x="4843"/>
        <item m="1" x="3799"/>
        <item m="1" x="5159"/>
        <item m="1" x="2144"/>
        <item m="1" x="4720"/>
        <item m="1" x="5818"/>
        <item m="1" x="5808"/>
        <item m="1" x="4142"/>
        <item m="1" x="2081"/>
        <item m="1" x="393"/>
        <item m="1" x="646"/>
        <item m="1" x="2478"/>
        <item m="1" x="4517"/>
        <item m="1" x="1584"/>
        <item m="1" x="4953"/>
        <item m="1" x="4510"/>
        <item m="1" x="2943"/>
        <item m="1" x="2029"/>
        <item m="1" x="863"/>
        <item m="1" x="4612"/>
        <item m="1" x="2627"/>
        <item m="1" x="3029"/>
        <item m="1" x="4793"/>
        <item m="1" x="1631"/>
        <item m="1" x="5014"/>
        <item m="1" x="3176"/>
        <item m="1" x="4549"/>
        <item m="1" x="2280"/>
        <item m="1" x="5998"/>
        <item m="1" x="5986"/>
        <item m="1" x="395"/>
        <item m="1" x="2167"/>
        <item m="1" x="4779"/>
        <item m="1" x="5918"/>
        <item m="1" x="2986"/>
        <item m="1" x="5941"/>
        <item m="1" x="3124"/>
        <item x="62"/>
        <item m="1" x="673"/>
        <item m="1" x="5767"/>
        <item m="1" x="5481"/>
        <item m="1" x="3272"/>
        <item m="1" x="2642"/>
        <item m="1" x="3305"/>
        <item m="1" x="1719"/>
        <item m="1" x="1554"/>
        <item m="1" x="5422"/>
        <item m="1" x="4961"/>
        <item m="1" x="2928"/>
        <item m="1" x="4737"/>
        <item m="1" x="2206"/>
        <item m="1" x="2150"/>
        <item m="1" x="1259"/>
        <item m="1" x="4270"/>
        <item m="1" x="591"/>
        <item m="1" x="650"/>
        <item m="1" x="5862"/>
        <item m="1" x="5657"/>
        <item m="1" x="4844"/>
        <item m="1" x="5700"/>
        <item m="1" x="3667"/>
        <item m="1" x="5439"/>
        <item m="1" x="357"/>
        <item m="1" x="3071"/>
        <item m="1" x="2502"/>
        <item m="1" x="3539"/>
        <item m="1" x="807"/>
        <item m="1" x="5647"/>
        <item m="1" x="4426"/>
        <item m="1" x="5310"/>
        <item m="1" x="2376"/>
        <item m="1" x="4288"/>
        <item m="1" x="432"/>
        <item m="1" x="3980"/>
        <item m="1" x="2030"/>
        <item m="1" x="541"/>
        <item m="1" x="1417"/>
        <item m="1" x="2433"/>
        <item m="1" x="5592"/>
        <item m="1" x="6072"/>
        <item m="1" x="3765"/>
        <item m="1" x="899"/>
        <item m="1" x="2842"/>
        <item m="1" x="3614"/>
        <item m="1" x="805"/>
        <item m="1" x="4808"/>
        <item m="1" x="5719"/>
        <item m="1" x="1985"/>
        <item m="1" x="1982"/>
        <item x="68"/>
        <item m="1" x="267"/>
        <item m="1" x="4131"/>
        <item m="1" x="6097"/>
        <item m="1" x="3881"/>
        <item m="1" x="921"/>
        <item m="1" x="4533"/>
        <item m="1" x="617"/>
        <item m="1" x="4711"/>
        <item m="1" x="2610"/>
        <item m="1" x="4970"/>
        <item m="1" x="431"/>
        <item m="1" x="6323"/>
        <item m="1" x="5290"/>
        <item m="1" x="5129"/>
        <item m="1" x="2129"/>
        <item m="1" x="162"/>
        <item x="79"/>
        <item m="1" x="3698"/>
        <item m="1" x="4466"/>
        <item m="1" x="5714"/>
        <item m="1" x="2232"/>
        <item m="1" x="2101"/>
        <item m="1" x="3116"/>
        <item m="1" x="5020"/>
        <item m="1" x="2964"/>
        <item m="1" x="2128"/>
        <item m="1" x="2409"/>
        <item m="1" x="5494"/>
        <item m="1" x="3342"/>
        <item m="1" x="487"/>
        <item m="1" x="3431"/>
        <item m="1" x="3061"/>
        <item m="1" x="2694"/>
        <item m="1" x="1283"/>
        <item m="1" x="3768"/>
        <item m="1" x="5959"/>
        <item m="1" x="1486"/>
        <item m="1" x="1642"/>
        <item m="1" x="2593"/>
        <item m="1" x="157"/>
        <item m="1" x="3189"/>
        <item m="1" x="940"/>
        <item m="1" x="2551"/>
        <item m="1" x="1504"/>
        <item m="1" x="579"/>
        <item m="1" x="3304"/>
        <item m="1" x="4887"/>
        <item m="1" x="918"/>
        <item m="1" x="5802"/>
        <item m="1" x="2907"/>
        <item m="1" x="3660"/>
        <item m="1" x="5130"/>
        <item m="1" x="5943"/>
        <item m="1" x="4642"/>
        <item m="1" x="1099"/>
        <item m="1" x="2854"/>
        <item m="1" x="1544"/>
        <item m="1" x="1163"/>
        <item m="1" x="3077"/>
        <item m="1" x="4135"/>
        <item m="1" x="5111"/>
        <item m="1" x="2088"/>
        <item m="1" x="3478"/>
        <item m="1" x="5658"/>
        <item m="1" x="5308"/>
        <item m="1" x="1479"/>
        <item m="1" x="5275"/>
        <item m="1" x="3532"/>
        <item m="1" x="5245"/>
        <item m="1" x="5491"/>
        <item m="1" x="5553"/>
        <item m="1" x="5354"/>
        <item m="1" x="1384"/>
        <item m="1" x="2560"/>
        <item m="1" x="2950"/>
        <item m="1" x="901"/>
        <item m="1" x="2849"/>
        <item m="1" x="4287"/>
        <item m="1" x="2038"/>
        <item m="1" x="354"/>
        <item m="1" x="4218"/>
        <item m="1" x="1652"/>
        <item m="1" x="1299"/>
        <item m="1" x="3082"/>
        <item m="1" x="2111"/>
        <item m="1" x="4966"/>
        <item m="1" x="3072"/>
        <item m="1" x="3333"/>
        <item m="1" x="3758"/>
        <item m="1" x="5362"/>
        <item m="1" x="596"/>
        <item m="1" x="5082"/>
        <item m="1" x="5477"/>
        <item m="1" x="3743"/>
        <item m="1" x="5554"/>
        <item m="1" x="1176"/>
        <item m="1" x="4924"/>
        <item m="1" x="3209"/>
        <item m="1" x="6206"/>
        <item m="1" x="6144"/>
        <item m="1" x="1212"/>
        <item m="1" x="4807"/>
        <item m="1" x="2241"/>
        <item m="1" x="5860"/>
        <item m="1" x="5173"/>
        <item m="1" x="4566"/>
        <item m="1" x="2905"/>
        <item m="1" x="1190"/>
        <item m="1" x="2082"/>
        <item m="1" x="4250"/>
        <item m="1" x="4979"/>
        <item m="1" x="5490"/>
        <item m="1" x="5661"/>
        <item m="1" x="149"/>
        <item m="1" x="6228"/>
        <item m="1" x="4816"/>
        <item m="1" x="4694"/>
        <item m="1" x="2474"/>
        <item m="1" x="4430"/>
        <item m="1" x="6236"/>
        <item m="1" x="1995"/>
        <item m="1" x="6300"/>
        <item m="1" x="4091"/>
        <item m="1" x="2844"/>
        <item m="1" x="4838"/>
        <item x="80"/>
        <item m="1" x="2424"/>
        <item x="94"/>
        <item m="1" x="3755"/>
        <item m="1" x="425"/>
        <item m="1" x="4302"/>
        <item m="1" x="4546"/>
        <item m="1" x="5425"/>
        <item m="1" x="5370"/>
        <item m="1" x="826"/>
        <item m="1" x="1574"/>
        <item m="1" x="4220"/>
        <item m="1" x="6347"/>
        <item m="1" x="394"/>
        <item m="1" x="4712"/>
        <item m="1" x="5748"/>
        <item m="1" x="2783"/>
        <item m="1" x="3873"/>
        <item m="1" x="4055"/>
        <item m="1" x="2730"/>
        <item m="1" x="846"/>
        <item m="1" x="364"/>
        <item m="1" x="4411"/>
        <item m="1" x="3092"/>
        <item m="1" x="164"/>
        <item m="1" x="6079"/>
        <item m="1" x="3779"/>
        <item m="1" x="2978"/>
        <item m="1" x="3401"/>
        <item m="1" x="2523"/>
        <item m="1" x="2283"/>
        <item m="1" x="2805"/>
        <item m="1" x="6134"/>
        <item m="1" x="6310"/>
        <item m="1" x="3960"/>
        <item m="1" x="611"/>
        <item m="1" x="2858"/>
        <item m="1" x="4581"/>
        <item m="1" x="563"/>
        <item m="1" x="5812"/>
        <item m="1" x="3570"/>
        <item m="1" x="1501"/>
        <item m="1" x="2703"/>
        <item m="1" x="3085"/>
        <item m="1" x="4265"/>
        <item m="1" x="6038"/>
        <item m="1" x="776"/>
        <item m="1" x="4403"/>
        <item m="1" x="442"/>
        <item m="1" x="1201"/>
        <item m="1" x="6278"/>
        <item m="1" x="2659"/>
        <item m="1" x="1789"/>
        <item m="1" x="3295"/>
        <item m="1" x="4101"/>
        <item m="1" x="226"/>
        <item m="1" x="3861"/>
        <item m="1" x="6092"/>
        <item m="1" x="4867"/>
        <item m="1" x="4184"/>
        <item m="1" x="4736"/>
        <item m="1" x="2988"/>
        <item m="1" x="1808"/>
        <item m="1" x="5727"/>
        <item m="1" x="840"/>
        <item m="1" x="3234"/>
        <item m="1" x="690"/>
        <item m="1" x="5470"/>
        <item m="1" x="2337"/>
        <item m="1" x="3067"/>
        <item m="1" x="5587"/>
        <item m="1" x="1896"/>
        <item m="1" x="300"/>
        <item m="1" x="623"/>
        <item m="1" x="6240"/>
        <item m="1" x="676"/>
        <item m="1" x="5042"/>
        <item m="1" x="6248"/>
        <item m="1" x="6302"/>
        <item m="1" x="3627"/>
        <item m="1" x="4357"/>
        <item m="1" x="3221"/>
        <item m="1" x="5598"/>
        <item m="1" x="4660"/>
        <item m="1" x="3457"/>
        <item m="1" x="2289"/>
        <item m="1" x="3865"/>
        <item m="1" x="6210"/>
        <item m="1" x="1073"/>
        <item m="1" x="2695"/>
        <item m="1" x="5680"/>
        <item m="1" x="6244"/>
        <item m="1" x="1450"/>
        <item m="1" x="2293"/>
        <item m="1" x="3010"/>
        <item m="1" x="2004"/>
        <item m="1" x="2037"/>
        <item m="1" x="1495"/>
        <item m="1" x="3033"/>
        <item m="1" x="6042"/>
        <item m="1" x="4637"/>
        <item m="1" x="444"/>
        <item m="1" x="5532"/>
        <item m="1" x="3117"/>
        <item m="1" x="1224"/>
        <item m="1" x="4376"/>
        <item m="1" x="1561"/>
        <item m="1" x="2347"/>
        <item m="1" x="5644"/>
        <item m="1" x="1867"/>
        <item m="1" x="5184"/>
        <item m="1" x="5053"/>
        <item m="1" x="1249"/>
        <item m="1" x="5201"/>
        <item m="1" x="996"/>
        <item m="1" x="2691"/>
        <item m="1" x="5624"/>
        <item m="1" x="5660"/>
        <item m="1" x="4562"/>
        <item m="1" x="5313"/>
        <item m="1" x="5803"/>
        <item m="1" x="5987"/>
        <item m="1" x="2587"/>
        <item m="1" x="3938"/>
        <item m="1" x="2110"/>
        <item m="1" x="3121"/>
        <item m="1" x="4235"/>
        <item m="1" x="3011"/>
        <item m="1" x="1687"/>
        <item m="1" x="2476"/>
        <item m="1" x="1430"/>
        <item m="1" x="316"/>
        <item m="1" x="2874"/>
        <item m="1" x="1897"/>
        <item m="1" x="1381"/>
        <item m="1" x="4738"/>
        <item m="1" x="602"/>
        <item m="1" x="1125"/>
        <item m="1" x="296"/>
        <item m="1" x="2252"/>
        <item m="1" x="3205"/>
        <item m="1" x="5202"/>
        <item m="1" x="2117"/>
        <item m="1" x="1053"/>
        <item m="1" x="4180"/>
        <item m="1" x="1969"/>
        <item m="1" x="1126"/>
        <item m="1" x="3747"/>
        <item m="1" x="5511"/>
        <item m="1" x="5343"/>
        <item m="1" x="4086"/>
        <item m="1" x="2939"/>
        <item m="1" x="6342"/>
        <item m="1" x="6129"/>
        <item m="1" x="4681"/>
        <item m="1" x="5854"/>
        <item m="1" x="4722"/>
        <item m="1" x="3149"/>
        <item m="1" x="1512"/>
        <item m="1" x="6339"/>
        <item m="1" x="544"/>
        <item m="1" x="4017"/>
        <item m="1" x="3563"/>
        <item m="1" x="5156"/>
        <item m="1" x="5136"/>
        <item m="1" x="5878"/>
        <item m="1" x="2714"/>
        <item m="1" x="4158"/>
        <item m="1" x="1303"/>
        <item m="1" x="2992"/>
        <item m="1" x="1067"/>
        <item m="1" x="536"/>
        <item m="1" x="5729"/>
        <item m="1" x="1431"/>
        <item m="1" x="3180"/>
        <item m="1" x="3851"/>
        <item m="1" x="1954"/>
        <item m="1" x="1373"/>
        <item m="1" x="5920"/>
        <item m="1" x="5341"/>
        <item m="1" x="1908"/>
        <item m="1" x="494"/>
        <item m="1" x="3447"/>
        <item m="1" x="2076"/>
        <item m="1" x="3330"/>
        <item m="1" x="3198"/>
        <item m="1" x="3535"/>
        <item m="1" x="4763"/>
        <item m="1" x="1630"/>
        <item m="1" x="3254"/>
        <item m="1" x="3741"/>
        <item m="1" x="6093"/>
        <item m="1" x="5649"/>
        <item m="1" x="968"/>
        <item m="1" x="4224"/>
        <item m="1" x="4788"/>
        <item m="1" x="4082"/>
        <item m="1" x="5713"/>
        <item m="1" x="957"/>
        <item m="1" x="6065"/>
        <item m="1" x="2518"/>
        <item x="72"/>
        <item m="1" x="5875"/>
        <item m="1" x="464"/>
        <item m="1" x="3827"/>
        <item m="1" x="254"/>
        <item m="1" x="5972"/>
        <item m="1" x="1184"/>
        <item m="1" x="1556"/>
        <item m="1" x="5217"/>
        <item m="1" x="2974"/>
        <item m="1" x="503"/>
        <item m="1" x="1627"/>
        <item m="1" x="6218"/>
        <item m="1" x="2504"/>
        <item m="1" x="5465"/>
        <item m="1" x="1948"/>
        <item m="1" x="1446"/>
        <item m="1" x="4792"/>
        <item m="1" x="1884"/>
        <item m="1" x="1505"/>
        <item m="1" x="4911"/>
        <item m="1" x="4710"/>
        <item m="1" x="2403"/>
        <item m="1" x="6011"/>
        <item m="1" x="2092"/>
        <item m="1" x="728"/>
        <item m="1" x="5844"/>
        <item m="1" x="5051"/>
        <item m="1" x="6241"/>
        <item m="1" x="1480"/>
        <item m="1" x="2811"/>
        <item m="1" x="3442"/>
        <item m="1" x="1618"/>
        <item m="1" x="3003"/>
        <item m="1" x="659"/>
        <item m="1" x="6113"/>
        <item m="1" x="619"/>
        <item m="1" x="5885"/>
        <item m="1" x="4678"/>
        <item m="1" x="109"/>
        <item m="1" x="5821"/>
        <item m="1" x="2914"/>
        <item m="1" x="2426"/>
        <item m="1" x="1005"/>
        <item m="1" x="321"/>
        <item m="1" x="3969"/>
        <item m="1" x="5906"/>
        <item m="1" x="4321"/>
        <item m="1" x="6359"/>
        <item m="1" x="3017"/>
        <item m="1" x="4897"/>
        <item m="1" x="1225"/>
        <item m="1" x="1525"/>
        <item m="1" x="755"/>
        <item m="1" x="644"/>
        <item m="1" x="5432"/>
        <item m="1" x="3426"/>
        <item m="1" x="4334"/>
        <item m="1" x="2268"/>
        <item m="1" x="5427"/>
        <item m="1" x="3160"/>
        <item m="1" x="1146"/>
        <item m="1" x="916"/>
        <item m="1" x="6081"/>
        <item m="1" x="2148"/>
        <item m="1" x="1929"/>
        <item m="1" x="2623"/>
        <item m="1" x="818"/>
        <item m="1" x="3654"/>
        <item m="1" x="434"/>
        <item m="1" x="2156"/>
        <item m="1" x="4021"/>
        <item m="1" x="2887"/>
        <item m="1" x="5026"/>
        <item m="1" x="4056"/>
        <item m="1" x="1395"/>
        <item m="1" x="5781"/>
        <item m="1" x="4567"/>
        <item m="1" x="4000"/>
        <item m="1" x="362"/>
        <item m="1" x="4221"/>
        <item m="1" x="1616"/>
        <item m="1" x="4009"/>
        <item m="1" x="1405"/>
        <item m="1" x="3997"/>
        <item m="1" x="4716"/>
        <item m="1" x="938"/>
        <item m="1" x="3910"/>
        <item m="1" x="1764"/>
        <item m="1" x="4565"/>
        <item m="1" x="606"/>
        <item m="1" x="1062"/>
        <item m="1" x="4491"/>
        <item m="1" x="2462"/>
        <item m="1" x="4039"/>
        <item m="1" x="6003"/>
        <item m="1" x="4982"/>
        <item m="1" x="260"/>
        <item m="1" x="3159"/>
        <item m="1" x="2214"/>
        <item m="1" x="1088"/>
        <item m="1" x="3101"/>
        <item m="1" x="1055"/>
        <item m="1" x="2999"/>
        <item m="1" x="2635"/>
        <item m="1" x="4191"/>
        <item m="1" x="4898"/>
        <item m="1" x="5734"/>
        <item m="1" x="476"/>
        <item m="1" x="3930"/>
        <item m="1" x="391"/>
        <item m="1" x="3696"/>
        <item m="1" x="3156"/>
        <item m="1" x="2046"/>
        <item m="1" x="4382"/>
        <item m="1" x="3674"/>
        <item m="1" x="2416"/>
        <item m="1" x="3122"/>
        <item m="1" x="4954"/>
        <item m="1" x="4462"/>
        <item m="1" x="485"/>
        <item m="1" x="3075"/>
        <item m="1" x="6338"/>
        <item m="1" x="2594"/>
        <item m="1" x="3191"/>
        <item m="1" x="1427"/>
        <item m="1" x="3468"/>
        <item m="1" x="3531"/>
        <item m="1" x="1404"/>
        <item m="1" x="2959"/>
        <item m="1" x="2216"/>
        <item m="1" x="2431"/>
        <item m="1" x="1287"/>
        <item m="1" x="5097"/>
        <item m="1" x="3966"/>
        <item m="1" x="5183"/>
        <item m="1" x="3063"/>
        <item m="1" x="4739"/>
        <item m="1" x="6254"/>
        <item m="1" x="5785"/>
        <item m="1" x="3068"/>
        <item m="1" x="1462"/>
        <item m="1" x="3079"/>
        <item m="1" x="1214"/>
        <item m="1" x="3579"/>
        <item m="1" x="3030"/>
        <item m="1" x="3750"/>
        <item m="1" x="5196"/>
        <item m="1" x="5706"/>
        <item m="1" x="3411"/>
        <item m="1" x="2259"/>
        <item m="1" x="6322"/>
        <item m="1" x="4304"/>
        <item m="1" x="6198"/>
        <item m="1" x="2336"/>
        <item m="1" x="5776"/>
        <item m="1" x="4740"/>
        <item m="1" x="1876"/>
        <item m="1" x="446"/>
        <item m="1" x="3606"/>
        <item m="1" x="360"/>
        <item m="1" x="4449"/>
        <item m="1" x="161"/>
        <item m="1" x="566"/>
        <item m="1" x="2667"/>
        <item m="1" x="1476"/>
        <item m="1" x="1523"/>
        <item m="1" x="3829"/>
        <item m="1" x="3135"/>
        <item m="1" x="6207"/>
        <item m="1" x="2016"/>
        <item m="1" x="429"/>
        <item m="1" x="5958"/>
        <item x="73"/>
        <item m="1" x="2956"/>
        <item m="1" x="5796"/>
        <item m="1" x="1346"/>
        <item m="1" x="2752"/>
        <item m="1" x="2181"/>
        <item m="1" x="4756"/>
        <item m="1" x="6098"/>
        <item m="1" x="1485"/>
        <item m="1" x="4416"/>
        <item m="1" x="1379"/>
        <item m="1" x="685"/>
        <item m="1" x="4943"/>
        <item m="1" x="4890"/>
        <item m="1" x="881"/>
        <item m="1" x="5984"/>
        <item m="1" x="697"/>
        <item m="1" x="1337"/>
        <item m="1" x="5697"/>
        <item m="1" x="3021"/>
        <item m="1" x="3433"/>
        <item m="1" x="3798"/>
        <item m="1" x="2866"/>
        <item m="1" x="5891"/>
        <item m="1" x="2825"/>
        <item m="1" x="2412"/>
        <item m="1" x="3548"/>
        <item m="1" x="5045"/>
        <item m="1" x="3199"/>
        <item m="1" x="2734"/>
        <item m="1" x="1609"/>
        <item m="1" x="2286"/>
        <item m="1" x="4663"/>
        <item m="1" x="6348"/>
        <item m="1" x="4876"/>
        <item m="1" x="505"/>
        <item m="1" x="4013"/>
        <item m="1" x="786"/>
        <item m="1" x="5769"/>
        <item m="1" x="4641"/>
        <item m="1" x="1748"/>
        <item m="1" x="4139"/>
        <item m="1" x="2028"/>
        <item m="1" x="2841"/>
        <item m="1" x="4146"/>
        <item m="1" x="5345"/>
        <item m="1" x="5288"/>
        <item m="1" x="1192"/>
        <item m="1" x="3895"/>
        <item m="1" x="4551"/>
        <item m="1" x="2521"/>
        <item m="1" x="3900"/>
        <item m="1" x="2434"/>
        <item m="1" x="2137"/>
        <item m="1" x="5773"/>
        <item m="1" x="3898"/>
        <item m="1" x="3375"/>
        <item m="1" x="710"/>
        <item m="1" x="4319"/>
        <item m="1" x="1194"/>
        <item m="1" x="845"/>
        <item m="1" x="5458"/>
        <item m="1" x="3495"/>
        <item m="1" x="931"/>
        <item m="1" x="2123"/>
        <item m="1" x="5208"/>
        <item m="1" x="4323"/>
        <item m="1" x="900"/>
        <item m="1" x="5807"/>
        <item m="1" x="4034"/>
        <item m="1" x="4987"/>
        <item m="1" x="5330"/>
        <item m="1" x="4785"/>
        <item m="1" x="1072"/>
        <item m="1" x="2751"/>
        <item m="1" x="1959"/>
        <item m="1" x="5545"/>
        <item m="1" x="2425"/>
        <item m="1" x="1774"/>
        <item m="1" x="5838"/>
        <item m="1" x="4885"/>
        <item m="1" x="2463"/>
        <item m="1" x="3455"/>
        <item m="1" x="628"/>
        <item m="1" x="1329"/>
        <item m="1" x="439"/>
        <item m="1" x="1701"/>
        <item m="1" x="5322"/>
        <item m="1" x="3267"/>
        <item m="1" x="5437"/>
        <item m="1" x="2746"/>
        <item m="1" x="3968"/>
        <item m="1" x="587"/>
        <item m="1" x="3469"/>
        <item m="1" x="2188"/>
        <item m="1" x="1122"/>
        <item m="1" x="1830"/>
        <item m="1" x="1771"/>
        <item m="1" x="3132"/>
        <item m="1" x="474"/>
        <item m="1" x="5833"/>
        <item m="1" x="3500"/>
        <item m="1" x="4667"/>
        <item m="1" x="2070"/>
        <item m="1" x="3577"/>
        <item m="1" x="4036"/>
        <item m="1" x="301"/>
        <item m="1" x="2266"/>
        <item m="1" x="2438"/>
        <item m="1" x="5745"/>
        <item m="1" x="4318"/>
        <item m="1" x="2437"/>
        <item m="1" x="2923"/>
        <item m="1" x="2824"/>
        <item m="1" x="785"/>
        <item m="1" x="5685"/>
        <item m="1" x="1814"/>
        <item m="1" x="3471"/>
        <item m="1" x="6020"/>
        <item m="1" x="3884"/>
        <item m="1" x="5634"/>
        <item m="1" x="3811"/>
        <item m="1" x="2415"/>
        <item m="1" x="2105"/>
        <item m="1" x="2265"/>
        <item m="1" x="2622"/>
        <item m="1" x="123"/>
        <item m="1" x="2700"/>
        <item m="1" x="6029"/>
        <item m="1" x="3185"/>
        <item m="1" x="5988"/>
        <item m="1" x="665"/>
        <item m="1" x="3808"/>
        <item m="1" x="3769"/>
        <item m="1" x="4423"/>
        <item m="1" x="540"/>
        <item m="1" x="1263"/>
        <item m="1" x="1385"/>
        <item m="1" x="3754"/>
        <item m="1" x="132"/>
        <item m="1" x="3040"/>
        <item m="1" x="1694"/>
        <item m="1" x="3084"/>
        <item m="1" x="4275"/>
        <item m="1" x="5739"/>
        <item m="1" x="4680"/>
        <item m="1" x="1253"/>
        <item m="1" x="2381"/>
        <item m="1" x="4809"/>
        <item m="1" x="3170"/>
        <item m="1" x="3422"/>
        <item m="1" x="5832"/>
        <item m="1" x="4206"/>
        <item m="1" x="1654"/>
        <item m="1" x="1454"/>
        <item m="1" x="1751"/>
        <item m="1" x="2084"/>
        <item m="1" x="5969"/>
        <item m="1" x="6070"/>
        <item m="1" x="2817"/>
        <item m="1" x="5759"/>
        <item m="1" x="5894"/>
        <item m="1" x="5937"/>
        <item m="1" x="2549"/>
        <item m="1" x="1984"/>
        <item m="1" x="1916"/>
        <item m="1" x="1383"/>
        <item m="1" x="3324"/>
        <item m="1" x="5608"/>
        <item m="1" x="4806"/>
        <item m="1" x="5034"/>
        <item m="1" x="849"/>
        <item m="1" x="569"/>
        <item m="1" x="5687"/>
        <item m="1" x="236"/>
        <item m="1" x="1461"/>
        <item m="1" x="4630"/>
        <item m="1" x="2658"/>
        <item m="1" x="2408"/>
        <item m="1" x="963"/>
        <item m="1" x="273"/>
        <item m="1" x="1288"/>
        <item m="1" x="895"/>
        <item m="1" x="595"/>
        <item m="1" x="2604"/>
        <item m="1" x="5075"/>
        <item m="1" x="1852"/>
        <item m="1" x="190"/>
        <item m="1" x="1734"/>
        <item m="1" x="1524"/>
        <item m="1" x="3005"/>
        <item m="1" x="4915"/>
        <item m="1" x="1608"/>
        <item m="1" x="2392"/>
        <item m="1" x="1022"/>
        <item m="1" x="4658"/>
        <item m="1" x="4051"/>
        <item m="1" x="2370"/>
        <item m="1" x="1254"/>
        <item m="1" x="3286"/>
        <item m="1" x="2834"/>
        <item m="1" x="2767"/>
        <item m="1" x="1103"/>
        <item m="1" x="1961"/>
        <item m="1" x="5013"/>
        <item m="1" x="1109"/>
        <item m="1" x="2023"/>
        <item m="1" x="6085"/>
        <item m="1" x="422"/>
        <item m="1" x="517"/>
        <item m="1" x="172"/>
        <item m="1" x="375"/>
        <item m="1" x="1975"/>
        <item m="1" x="2102"/>
        <item m="1" x="3073"/>
        <item m="1" x="1231"/>
        <item m="1" x="1601"/>
        <item m="1" x="5517"/>
        <item m="1" x="2441"/>
        <item m="1" x="5872"/>
        <item m="1" x="2077"/>
        <item m="1" x="2640"/>
        <item m="1" x="5096"/>
        <item m="1" x="217"/>
        <item m="1" x="5653"/>
        <item m="1" x="5027"/>
        <item m="1" x="5012"/>
        <item m="1" x="2271"/>
        <item m="1" x="2432"/>
        <item m="1" x="4170"/>
        <item m="1" x="897"/>
        <item m="1" x="1006"/>
        <item m="1" x="5679"/>
        <item m="1" x="4998"/>
        <item m="1" x="578"/>
        <item m="1" x="4213"/>
        <item m="1" x="1890"/>
        <item m="1" x="5669"/>
        <item m="1" x="6219"/>
        <item m="1" x="2876"/>
        <item m="1" x="5428"/>
        <item m="1" x="2195"/>
        <item m="1" x="2530"/>
        <item m="1" x="1723"/>
        <item m="1" x="1301"/>
        <item m="1" x="3751"/>
        <item m="1" x="3762"/>
        <item m="1" x="4031"/>
        <item m="1" x="3197"/>
        <item m="1" x="4777"/>
        <item m="1" x="4261"/>
        <item m="1" x="1522"/>
        <item m="1" x="6332"/>
        <item m="1" x="1098"/>
        <item m="1" x="6034"/>
        <item m="1" x="700"/>
        <item m="1" x="3251"/>
        <item m="1" x="1528"/>
        <item m="1" x="5510"/>
        <item m="1" x="5287"/>
        <item m="1" x="932"/>
        <item m="1" x="3813"/>
        <item m="1" x="4248"/>
        <item m="1" x="6318"/>
        <item m="1" x="198"/>
        <item m="1" x="4758"/>
        <item m="1" x="4665"/>
        <item m="1" x="6362"/>
        <item m="1" x="1553"/>
        <item m="1" x="6324"/>
        <item m="1" x="4962"/>
        <item m="1" x="2400"/>
        <item m="1" x="3616"/>
        <item m="1" x="1065"/>
        <item m="1" x="1440"/>
        <item m="1" x="1113"/>
        <item m="1" x="5820"/>
        <item m="1" x="5793"/>
        <item m="1" x="3822"/>
        <item m="1" x="3937"/>
        <item m="1" x="6238"/>
        <item m="1" x="709"/>
        <item m="1" x="3794"/>
        <item m="1" x="2413"/>
        <item m="1" x="6013"/>
        <item m="1" x="1203"/>
        <item m="1" x="5985"/>
        <item m="1" x="6105"/>
        <item m="1" x="1230"/>
        <item m="1" x="1595"/>
        <item m="1" x="1457"/>
        <item m="1" x="151"/>
        <item m="1" x="3536"/>
        <item m="1" x="5957"/>
        <item m="1" x="4577"/>
        <item m="1" x="4190"/>
        <item m="1" x="2708"/>
        <item m="1" x="5175"/>
        <item m="1" x="2003"/>
        <item m="1" x="6213"/>
        <item m="1" x="4024"/>
        <item m="1" x="3524"/>
        <item m="1" x="5116"/>
        <item m="1" x="5325"/>
        <item m="1" x="817"/>
        <item m="1" x="4339"/>
        <item m="1" x="3351"/>
        <item m="1" x="437"/>
        <item m="1" x="4033"/>
        <item m="1" x="404"/>
        <item m="1" x="4263"/>
        <item m="1" x="947"/>
        <item m="1" x="4110"/>
        <item m="1" x="5512"/>
        <item m="1" x="3386"/>
        <item m="1" x="2372"/>
        <item m="1" x="2932"/>
        <item m="1" x="713"/>
        <item m="1" x="5178"/>
        <item m="1" x="2641"/>
        <item m="1" x="6048"/>
        <item m="1" x="2095"/>
        <item m="1" x="4564"/>
        <item m="1" x="2804"/>
        <item m="1" x="5390"/>
        <item m="1" x="6073"/>
        <item m="1" x="6350"/>
        <item m="1" x="1672"/>
        <item m="1" x="5318"/>
        <item m="1" x="3385"/>
        <item m="1" x="3559"/>
        <item m="1" x="3708"/>
        <item m="1" x="1220"/>
        <item m="1" x="4884"/>
        <item m="1" x="3973"/>
        <item m="1" x="946"/>
        <item m="1" x="5289"/>
        <item m="1" x="5393"/>
        <item m="1" x="2917"/>
        <item m="1" x="3706"/>
        <item m="1" x="292"/>
        <item m="1" x="3619"/>
        <item m="1" x="3270"/>
        <item m="1" x="1937"/>
        <item m="1" x="6083"/>
        <item m="1" x="708"/>
        <item m="1" x="5630"/>
        <item m="1" x="2722"/>
        <item m="1" x="4168"/>
        <item m="1" x="4595"/>
        <item m="1" x="1586"/>
        <item m="1" x="1882"/>
        <item m="1" x="141"/>
        <item m="1" x="1324"/>
        <item m="1" x="4315"/>
        <item m="1" x="4167"/>
        <item m="1" x="5760"/>
        <item m="1" x="407"/>
        <item m="1" x="4886"/>
        <item m="1" x="3279"/>
        <item m="1" x="1856"/>
        <item m="1" x="4097"/>
        <item m="1" x="1623"/>
        <item m="1" x="5994"/>
        <item m="1" x="1946"/>
        <item m="1" x="1002"/>
        <item m="1" x="2692"/>
        <item m="1" x="2936"/>
        <item m="1" x="3770"/>
        <item m="1" x="3896"/>
        <item m="1" x="2968"/>
        <item m="1" x="4607"/>
        <item m="1" x="6009"/>
        <item m="1" x="3688"/>
        <item m="1" x="775"/>
        <item m="1" x="3337"/>
        <item m="1" x="4418"/>
        <item m="1" x="3291"/>
        <item m="1" x="5931"/>
        <item m="1" x="6039"/>
        <item m="1" x="2588"/>
        <item m="1" x="4563"/>
        <item m="1" x="1314"/>
        <item m="1" x="4524"/>
        <item m="1" x="111"/>
        <item m="1" x="1636"/>
        <item m="1" x="5656"/>
        <item m="1" x="4301"/>
        <item m="1" x="681"/>
        <item m="1" x="6028"/>
        <item m="1" x="1413"/>
        <item m="1" x="2583"/>
        <item m="1" x="1328"/>
        <item m="1" x="383"/>
        <item m="1" x="735"/>
        <item m="1" x="1178"/>
        <item m="1" x="4670"/>
        <item m="1" x="4090"/>
        <item m="1" x="5677"/>
        <item m="1" x="6006"/>
        <item m="1" x="5559"/>
        <item m="1" x="2447"/>
        <item m="1" x="4672"/>
        <item m="1" x="1740"/>
        <item m="1" x="5262"/>
        <item m="1" x="914"/>
        <item m="1" x="2439"/>
        <item m="1" x="999"/>
        <item m="1" x="4147"/>
        <item m="1" x="2485"/>
        <item m="1" x="2718"/>
        <item m="1" x="594"/>
        <item m="1" x="3957"/>
        <item m="1" x="2300"/>
        <item m="1" x="4501"/>
        <item m="1" x="4655"/>
        <item m="1" x="4468"/>
        <item m="1" x="6321"/>
        <item m="1" x="488"/>
        <item m="1" x="3178"/>
        <item m="1" x="953"/>
        <item m="1" x="2762"/>
        <item m="1" x="6247"/>
        <item m="1" x="576"/>
        <item m="1" x="6046"/>
        <item m="1" x="773"/>
        <item m="1" x="4903"/>
        <item m="1" x="3958"/>
        <item m="1" x="1970"/>
        <item m="1" x="1514"/>
        <item m="1" x="2946"/>
        <item m="1" x="5003"/>
        <item m="1" x="2843"/>
        <item m="1" x="5374"/>
        <item m="1" x="716"/>
        <item m="1" x="258"/>
        <item m="1" x="1617"/>
        <item m="1" x="6111"/>
        <item m="1" x="4341"/>
        <item m="1" x="4138"/>
        <item m="1" x="2913"/>
        <item m="1" x="2711"/>
        <item m="1" x="5366"/>
        <item m="1" x="3060"/>
        <item m="1" x="5999"/>
        <item m="1" x="6080"/>
        <item m="1" x="1655"/>
        <item m="1" x="3439"/>
        <item m="1" x="286"/>
        <item m="1" x="5091"/>
        <item m="1" x="4047"/>
        <item m="1" x="3603"/>
        <item m="1" x="6204"/>
        <item m="1" x="3364"/>
        <item m="1" x="5260"/>
        <item m="1" x="6108"/>
        <item m="1" x="4150"/>
        <item m="1" x="4697"/>
        <item m="1" x="1668"/>
        <item m="1" x="3916"/>
        <item m="1" x="1445"/>
        <item x="81"/>
        <item m="1" x="4571"/>
        <item m="1" x="6371"/>
        <item m="1" x="2682"/>
        <item m="1" x="5297"/>
        <item m="1" x="5182"/>
        <item m="1" x="5690"/>
        <item m="1" x="2301"/>
        <item m="1" x="3544"/>
        <item m="1" x="835"/>
        <item m="1" x="4646"/>
        <item m="1" x="2557"/>
        <item m="1" x="2681"/>
        <item m="1" x="674"/>
        <item m="1" x="3581"/>
        <item m="1" x="5429"/>
        <item m="1" x="152"/>
        <item m="1" x="2975"/>
        <item m="1" x="4629"/>
        <item m="1" x="4229"/>
        <item m="1" x="1487"/>
        <item m="1" x="2226"/>
        <item m="1" x="6270"/>
        <item m="1" x="722"/>
        <item m="1" x="2818"/>
        <item m="1" x="276"/>
        <item m="1" x="4367"/>
        <item m="1" x="1142"/>
        <item m="1" x="5602"/>
        <item m="1" x="4152"/>
        <item m="1" x="5547"/>
        <item m="1" x="1063"/>
        <item m="1" x="2952"/>
        <item m="1" x="2947"/>
        <item m="1" x="3472"/>
        <item m="1" x="4320"/>
        <item m="1" x="6335"/>
        <item m="1" x="453"/>
        <item m="1" x="3448"/>
        <item m="1" x="5224"/>
        <item m="1" x="3909"/>
        <item m="1" x="1963"/>
        <item m="1" x="5468"/>
        <item m="1" x="5932"/>
        <item m="1" x="2997"/>
        <item m="1" x="5301"/>
        <item m="1" x="184"/>
        <item m="1" x="3434"/>
        <item m="1" x="4456"/>
        <item m="1" x="1585"/>
        <item m="1" x="6341"/>
        <item m="1" x="4309"/>
        <item m="1" x="1050"/>
        <item m="1" x="707"/>
        <item m="1" x="3817"/>
        <item m="1" x="3850"/>
        <item m="1" x="335"/>
        <item m="1" x="615"/>
        <item m="1" x="994"/>
        <item m="1" x="2782"/>
        <item m="1" x="1484"/>
        <item m="1" x="1606"/>
        <item m="1" x="3460"/>
        <item m="1" x="1401"/>
        <item m="1" x="4854"/>
        <item m="1" x="3346"/>
        <item m="1" x="3294"/>
        <item m="1" x="3892"/>
        <item m="1" x="1439"/>
        <item m="1" x="1342"/>
        <item m="1" x="4917"/>
        <item m="1" x="3134"/>
        <item m="1" x="5395"/>
        <item m="1" x="2889"/>
        <item m="1" x="2963"/>
        <item m="1" x="256"/>
        <item m="1" x="158"/>
        <item m="1" x="2397"/>
        <item m="1" x="4847"/>
        <item x="59"/>
        <item m="1" x="4030"/>
        <item m="1" x="319"/>
        <item m="1" x="1289"/>
        <item m="1" x="4032"/>
        <item m="1" x="1965"/>
        <item m="1" x="3726"/>
        <item m="1" x="5594"/>
        <item m="1" x="6062"/>
        <item m="1" x="2632"/>
        <item m="1" x="2778"/>
        <item m="1" x="3014"/>
        <item m="1" x="3977"/>
        <item m="1" x="1994"/>
        <item m="1" x="3164"/>
        <item m="1" x="1629"/>
        <item m="1" x="4189"/>
        <item m="1" x="3921"/>
        <item m="1" x="2605"/>
        <item m="1" x="5485"/>
        <item m="1" x="6331"/>
        <item m="1" x="2532"/>
        <item m="1" x="3112"/>
        <item m="1" x="5852"/>
        <item m="1" x="5740"/>
        <item m="1" x="6031"/>
        <item m="1" x="2389"/>
        <item m="1" x="4205"/>
        <item m="1" x="3722"/>
        <item m="1" x="4329"/>
        <item m="1" x="2276"/>
        <item m="1" x="473"/>
        <item m="1" x="3703"/>
        <item m="1" x="4705"/>
        <item m="1" x="3436"/>
        <item m="1" x="4173"/>
        <item m="1" x="1715"/>
        <item m="1" x="4098"/>
        <item m="1" x="1156"/>
        <item m="1" x="3885"/>
        <item m="1" x="744"/>
        <item m="1" x="2457"/>
        <item m="1" x="1084"/>
        <item m="1" x="791"/>
        <item m="1" x="3652"/>
        <item m="1" x="2731"/>
        <item m="1" x="1818"/>
        <item m="1" x="4858"/>
        <item m="1" x="3504"/>
        <item m="1" x="2010"/>
        <item m="1" x="5197"/>
        <item m="1" x="5815"/>
        <item m="1" x="3350"/>
        <item m="1" x="645"/>
        <item m="1" x="4428"/>
        <item m="1" x="207"/>
        <item m="1" x="4478"/>
        <item m="1" x="3955"/>
        <item m="1" x="3186"/>
        <item m="1" x="5411"/>
        <item m="1" x="5686"/>
        <item m="1" x="1958"/>
        <item m="1" x="2826"/>
        <item m="1" x="2325"/>
        <item m="1" x="1536"/>
        <item m="1" x="4729"/>
        <item m="1" x="4842"/>
        <item m="1" x="4542"/>
        <item m="1" x="193"/>
        <item m="1" x="1703"/>
        <item m="1" x="557"/>
        <item m="1" x="2921"/>
        <item m="1" x="2690"/>
        <item m="1" x="2120"/>
        <item m="1" x="1255"/>
        <item m="1" x="6227"/>
        <item m="1" x="1533"/>
        <item m="1" x="3484"/>
        <item m="1" x="3845"/>
        <item m="1" x="5890"/>
        <item m="1" x="711"/>
        <item m="1" x="4442"/>
        <item m="1" x="3891"/>
        <item m="1" x="2896"/>
        <item m="1" x="5291"/>
        <item m="1" x="4933"/>
        <item m="1" x="5904"/>
        <item m="1" x="177"/>
        <item m="1" x="1110"/>
        <item m="1" x="6127"/>
        <item m="1" x="6055"/>
        <item m="1" x="704"/>
        <item m="1" x="6130"/>
        <item m="1" x="3008"/>
        <item m="1" x="4441"/>
        <item m="1" x="5134"/>
        <item m="1" x="1692"/>
        <item m="1" x="6289"/>
        <item m="1" x="5751"/>
        <item m="1" x="1643"/>
        <item m="1" x="533"/>
        <item m="1" x="3782"/>
        <item m="1" x="4322"/>
        <item m="1" x="3400"/>
        <item m="1" x="387"/>
        <item m="1" x="4020"/>
        <item m="1" x="3206"/>
        <item m="1" x="5223"/>
        <item m="1" x="5028"/>
        <item m="1" x="2717"/>
        <item m="1" x="4088"/>
        <item m="1" x="5586"/>
        <item m="1" x="6176"/>
        <item m="1" x="2340"/>
        <item m="1" x="1832"/>
        <item m="1" x="2090"/>
        <item m="1" x="3918"/>
        <item m="1" x="4165"/>
        <item m="1" x="6117"/>
        <item m="1" x="1169"/>
        <item m="1" x="1149"/>
        <item m="1" x="4345"/>
        <item m="1" x="4599"/>
        <item m="1" x="958"/>
        <item m="1" x="222"/>
        <item m="1" x="2345"/>
        <item m="1" x="652"/>
        <item m="1" x="6173"/>
        <item m="1" x="4967"/>
        <item m="1" x="6148"/>
        <item m="1" x="6182"/>
        <item m="1" x="4576"/>
        <item m="1" x="1824"/>
        <item m="1" x="5294"/>
        <item m="1" x="2385"/>
        <item m="1" x="4002"/>
        <item m="1" x="5928"/>
        <item m="1" x="4268"/>
        <item m="1" x="1266"/>
        <item m="1" x="3871"/>
        <item m="1" x="2865"/>
        <item x="85"/>
        <item m="1" x="3901"/>
        <item m="1" x="2497"/>
        <item m="1" x="287"/>
        <item m="1" x="2318"/>
        <item m="1" x="5187"/>
        <item m="1" x="3274"/>
        <item m="1" x="5564"/>
        <item m="1" x="4975"/>
        <item m="1" x="3285"/>
        <item m="1" x="249"/>
        <item m="1" x="5923"/>
        <item m="1" x="5176"/>
        <item m="1" x="5914"/>
        <item m="1" x="6233"/>
        <item m="1" x="6162"/>
        <item m="1" x="4528"/>
        <item m="1" x="2192"/>
        <item m="1" x="5691"/>
        <item m="1" x="6100"/>
        <item m="1" x="1204"/>
        <item m="1" x="5371"/>
        <item m="1" x="6022"/>
        <item m="1" x="5320"/>
        <item m="1" x="4506"/>
        <item m="1" x="3979"/>
        <item m="1" x="876"/>
        <item m="1" x="342"/>
        <item m="1" x="4594"/>
        <item m="1" x="326"/>
        <item m="1" x="325"/>
        <item m="1" x="465"/>
        <item m="1" x="4328"/>
        <item m="1" x="3907"/>
        <item m="1" x="3711"/>
        <item m="1" x="4877"/>
        <item m="1" x="1983"/>
        <item m="1" x="234"/>
        <item m="1" x="5368"/>
        <item m="1" x="1054"/>
        <item m="1" x="4899"/>
        <item m="1" x="6305"/>
        <item m="1" x="1015"/>
        <item m="1" x="944"/>
        <item m="1" x="3872"/>
        <item m="1" x="2402"/>
        <item m="1" x="5206"/>
        <item m="1" x="6150"/>
        <item m="1" x="5447"/>
        <item m="1" x="3343"/>
        <item m="1" x="1107"/>
        <item x="64"/>
        <item m="1" x="3951"/>
        <item m="1" x="2728"/>
        <item m="1" x="3032"/>
        <item m="1" x="6293"/>
        <item m="1" x="2270"/>
        <item m="1" x="5119"/>
        <item m="1" x="1671"/>
        <item m="1" x="4384"/>
        <item m="1" x="3470"/>
        <item m="1" x="5239"/>
        <item m="1" x="1141"/>
        <item m="1" x="4775"/>
        <item m="1" x="2516"/>
        <item m="1" x="5733"/>
        <item m="1" x="4824"/>
        <item m="1" x="4233"/>
        <item m="1" x="3906"/>
        <item m="1" x="2362"/>
        <item m="1" x="5385"/>
        <item m="1" x="3964"/>
        <item m="1" x="2649"/>
        <item m="1" x="4035"/>
        <item m="1" x="2165"/>
        <item m="1" x="1572"/>
        <item m="1" x="4864"/>
        <item m="1" x="3423"/>
        <item m="1" x="5191"/>
        <item m="1" x="4360"/>
        <item m="1" x="2612"/>
        <item m="1" x="2721"/>
        <item m="1" x="2740"/>
        <item m="1" x="2183"/>
        <item m="1" x="2754"/>
        <item m="1" x="629"/>
        <item m="1" x="4397"/>
        <item m="1" x="679"/>
        <item m="1" x="1721"/>
        <item m="1" x="977"/>
        <item m="1" x="3707"/>
        <item m="1" x="5314"/>
        <item m="1" x="4324"/>
        <item m="1" x="4259"/>
        <item m="1" x="4493"/>
        <item m="1" x="2407"/>
        <item m="1" x="1874"/>
        <item m="1" x="1889"/>
        <item m="1" x="5811"/>
        <item m="1" x="2294"/>
        <item m="1" x="3088"/>
        <item m="1" x="6139"/>
        <item m="1" x="4936"/>
        <item m="1" x="5106"/>
        <item m="1" x="986"/>
        <item m="1" x="4569"/>
        <item m="1" x="5256"/>
        <item m="1" x="2830"/>
        <item m="1" x="5369"/>
        <item m="1" x="5607"/>
        <item m="1" x="3716"/>
        <item m="1" x="3275"/>
        <item m="1" x="6133"/>
        <item m="1" x="5074"/>
        <item m="1" x="853"/>
        <item m="1" x="2328"/>
        <item m="1" x="1831"/>
        <item m="1" x="5976"/>
        <item m="1" x="2506"/>
        <item m="1" x="4246"/>
        <item m="1" x="3936"/>
        <item m="1" x="1115"/>
        <item m="1" x="917"/>
        <item m="1" x="1333"/>
        <item m="1" x="6366"/>
        <item m="1" x="2528"/>
        <item m="1" x="2671"/>
        <item m="1" x="2107"/>
        <item m="1" x="5007"/>
        <item m="1" x="6112"/>
        <item m="1" x="3037"/>
        <item m="1" x="4027"/>
        <item m="1" x="1724"/>
        <item m="1" x="3669"/>
        <item m="1" x="1058"/>
        <item m="1" x="3006"/>
        <item m="1" x="2044"/>
        <item m="1" x="5433"/>
        <item m="1" x="5214"/>
        <item m="1" x="832"/>
        <item m="1" x="3223"/>
        <item m="1" x="3681"/>
        <item m="1" x="6281"/>
        <item m="1" x="5866"/>
        <item m="1" x="635"/>
        <item m="1" x="3551"/>
        <item m="1" x="3407"/>
        <item m="1" x="558"/>
        <item m="1" x="636"/>
        <item m="1" x="1466"/>
        <item m="1" x="3120"/>
        <item m="1" x="3336"/>
        <item m="1" x="2726"/>
        <item m="1" x="2149"/>
        <item m="1" x="639"/>
        <item m="1" x="4372"/>
        <item m="1" x="4375"/>
        <item m="1" x="1475"/>
        <item m="1" x="5076"/>
        <item m="1" x="4200"/>
        <item m="1" x="4438"/>
        <item m="1" x="4755"/>
        <item m="1" x="203"/>
        <item m="1" x="1638"/>
        <item m="1" x="2575"/>
        <item m="1" x="671"/>
        <item m="1" x="4294"/>
        <item m="1" x="4431"/>
        <item m="1" x="5770"/>
        <item m="1" x="5039"/>
        <item m="1" x="2816"/>
        <item m="1" x="3585"/>
        <item m="1" x="5523"/>
        <item m="1" x="5899"/>
        <item m="1" x="911"/>
        <item m="1" x="580"/>
        <item m="1" x="972"/>
        <item m="1" x="967"/>
        <item m="1" x="378"/>
        <item m="1" x="4523"/>
        <item m="1" x="4111"/>
        <item m="1" x="1397"/>
        <item m="1" x="4623"/>
        <item m="1" x="3917"/>
        <item m="1" x="3599"/>
        <item m="1" x="6260"/>
        <item m="1" x="5228"/>
        <item m="1" x="3216"/>
        <item m="1" x="758"/>
        <item m="1" x="6279"/>
        <item m="1" x="6330"/>
        <item m="1" x="4677"/>
        <item m="1" x="2050"/>
        <item m="1" x="2541"/>
        <item m="1" x="3687"/>
        <item m="1" x="3888"/>
        <item m="1" x="460"/>
        <item m="1" x="3600"/>
        <item m="1" x="2468"/>
        <item m="1" x="356"/>
        <item m="1" x="6304"/>
        <item m="1" x="5593"/>
        <item m="1" x="3988"/>
        <item m="1" x="1460"/>
        <item m="1" x="1698"/>
        <item m="1" x="4494"/>
        <item m="1" x="1036"/>
        <item m="1" x="5151"/>
        <item m="1" x="257"/>
        <item m="1" x="1023"/>
        <item m="1" x="955"/>
        <item m="1" x="3408"/>
        <item m="1" x="3212"/>
        <item m="1" x="4072"/>
        <item m="1" x="731"/>
        <item m="1" x="500"/>
        <item m="1" x="962"/>
        <item m="1" x="592"/>
        <item m="1" x="1598"/>
        <item m="1" x="548"/>
        <item m="1" x="908"/>
        <item m="1" x="194"/>
        <item m="1" x="1294"/>
        <item m="1" x="847"/>
        <item m="1" x="4157"/>
        <item m="1" x="4286"/>
        <item m="1" x="4058"/>
        <item m="1" x="1551"/>
        <item m="1" x="5484"/>
        <item m="1" x="4669"/>
        <item m="1" x="1166"/>
        <item m="1" x="5896"/>
        <item m="1" x="2772"/>
        <item m="1" x="5570"/>
        <item m="1" x="5115"/>
        <item m="1" x="1358"/>
        <item m="1" x="1218"/>
        <item m="1" x="5122"/>
        <item m="1" x="1124"/>
        <item m="1" x="2916"/>
        <item m="1" x="6153"/>
        <item m="1" x="1060"/>
        <item m="1" x="5515"/>
        <item m="1" x="6179"/>
        <item m="1" x="5843"/>
        <item m="1" x="3630"/>
        <item m="1" x="2565"/>
        <item m="1" x="516"/>
        <item m="1" x="3692"/>
        <item m="1" x="2967"/>
        <item m="1" x="2302"/>
        <item m="1" x="4120"/>
        <item m="1" x="4178"/>
        <item m="1" x="3734"/>
        <item m="1" x="2404"/>
        <item m="1" x="1842"/>
        <item m="1" x="5043"/>
        <item m="1" x="4477"/>
        <item m="1" x="3931"/>
        <item m="1" x="6146"/>
        <item m="1" x="5768"/>
        <item m="1" x="3202"/>
        <item m="1" x="2600"/>
        <item m="1" x="1034"/>
        <item m="1" x="4123"/>
        <item m="1" x="5376"/>
        <item m="1" x="522"/>
        <item m="1" x="4957"/>
        <item m="1" x="5152"/>
        <item m="1" x="6015"/>
        <item m="1" x="5967"/>
        <item m="1" x="235"/>
        <item m="1" x="3222"/>
        <item m="1" x="3518"/>
        <item m="1" x="318"/>
        <item m="1" x="3492"/>
        <item m="1" x="567"/>
        <item m="1" x="1270"/>
        <item m="1" x="2067"/>
        <item m="1" x="247"/>
        <item m="1" x="4910"/>
        <item m="1" x="5455"/>
        <item m="1" x="2295"/>
        <item m="1" x="1543"/>
        <item m="1" x="3922"/>
        <item m="1" x="5915"/>
        <item m="1" x="719"/>
        <item m="1" x="951"/>
        <item m="1" x="6123"/>
        <item m="1" x="4653"/>
        <item m="1" x="721"/>
        <item m="1" x="3682"/>
        <item m="1" x="4149"/>
        <item m="1" x="5400"/>
        <item m="1" x="1988"/>
        <item m="1" x="626"/>
        <item m="1" x="2775"/>
        <item m="1" x="4588"/>
        <item m="1" x="3562"/>
        <item m="1" x="3211"/>
        <item m="1" x="5778"/>
        <item m="1" x="2493"/>
        <item m="1" x="4064"/>
        <item m="1" x="912"/>
        <item m="1" x="656"/>
        <item m="1" x="2603"/>
        <item m="1" x="2068"/>
        <item m="1" x="1626"/>
        <item m="1" x="5117"/>
        <item m="1" x="1567"/>
        <item m="1" x="1762"/>
        <item m="1" x="4644"/>
        <item m="1" x="202"/>
        <item m="1" x="3103"/>
        <item m="1" x="3868"/>
        <item m="1" x="5549"/>
        <item m="1" x="4333"/>
        <item m="1" x="960"/>
        <item m="1" x="5344"/>
        <item m="1" x="1550"/>
        <item m="1" x="2607"/>
        <item m="1" x="3046"/>
        <item m="1" x="1372"/>
        <item m="1" x="5361"/>
        <item m="1" x="2180"/>
        <item m="1" x="4796"/>
        <item m="1" x="6043"/>
        <item m="1" x="2247"/>
        <item m="1" x="5312"/>
        <item m="1" x="5435"/>
        <item m="1" x="734"/>
        <item m="1" x="2060"/>
        <item m="1" x="2013"/>
        <item m="1" x="680"/>
        <item m="1" x="2017"/>
        <item m="1" x="631"/>
        <item m="1" x="3162"/>
        <item m="1" x="5524"/>
        <item m="1" x="6246"/>
        <item m="1" x="889"/>
        <item m="1" x="5110"/>
        <item m="1" x="5024"/>
        <item m="1" x="4908"/>
        <item m="1" x="188"/>
        <item m="1" x="5471"/>
        <item m="1" x="2832"/>
        <item m="1" x="3107"/>
        <item m="1" x="413"/>
        <item m="1" x="2910"/>
        <item m="1" x="2620"/>
        <item m="1" x="5659"/>
        <item m="1" x="2122"/>
        <item m="1" x="6336"/>
        <item m="1" x="2142"/>
        <item m="1" x="2448"/>
        <item m="1" x="240"/>
        <item m="1" x="4714"/>
        <item m="1" x="110"/>
        <item m="1" x="1911"/>
        <item m="1" x="2615"/>
        <item m="1" x="2454"/>
        <item m="1" x="4990"/>
        <item m="1" x="4950"/>
        <item m="1" x="6170"/>
        <item m="1" x="1066"/>
        <item m="1" x="1129"/>
        <item m="1" x="4999"/>
        <item m="1" x="3714"/>
        <item m="1" x="5282"/>
        <item m="1" x="824"/>
        <item m="1" x="3183"/>
        <item m="1" x="4773"/>
        <item m="1" x="1143"/>
        <item m="1" x="2246"/>
        <item m="1" x="1262"/>
        <item m="1" x="1765"/>
        <item m="1" x="3393"/>
        <item m="1" x="3425"/>
        <item m="1" x="4636"/>
        <item m="1" x="449"/>
        <item m="1" x="5078"/>
        <item m="1" x="2614"/>
        <item m="1" x="4539"/>
        <item m="1" x="1700"/>
        <item m="1" x="4470"/>
        <item m="1" x="4406"/>
        <item m="1" x="5138"/>
        <item m="1" x="4281"/>
        <item m="1" x="2872"/>
        <item m="1" x="3246"/>
        <item m="1" x="5836"/>
        <item m="1" x="5791"/>
        <item m="1" x="3250"/>
        <item m="1" x="4944"/>
        <item m="1" x="2687"/>
        <item m="1" x="441"/>
        <item m="1" x="2787"/>
        <item m="1" x="3031"/>
        <item m="1" x="5128"/>
        <item m="1" x="2792"/>
        <item m="1" x="3143"/>
        <item m="1" x="4536"/>
        <item m="1" x="2510"/>
        <item m="1" x="4128"/>
        <item m="1" x="971"/>
        <item m="1" x="3913"/>
        <item m="1" x="3099"/>
        <item m="1" x="4133"/>
        <item m="1" x="1941"/>
        <item m="1" x="5420"/>
        <item m="1" x="3039"/>
        <item m="1" x="2793"/>
        <item m="1" x="3775"/>
        <item m="1" x="2652"/>
        <item m="1" x="3193"/>
        <item m="1" x="2309"/>
        <item m="1" x="317"/>
        <item m="1" x="4497"/>
        <item m="1" x="909"/>
        <item m="1" x="593"/>
        <item m="1" x="933"/>
        <item m="1" x="4163"/>
        <item m="1" x="3225"/>
        <item m="1" x="2393"/>
        <item m="1" x="6125"/>
        <item m="1" x="956"/>
        <item m="1" x="3379"/>
        <item m="1" x="2574"/>
        <item m="1" x="3145"/>
        <item m="1" x="5919"/>
        <item m="1" x="4880"/>
        <item m="1" x="1691"/>
        <item m="1" x="2314"/>
        <item m="1" x="1778"/>
        <item m="1" x="4530"/>
        <item m="1" x="3893"/>
        <item m="1" x="2163"/>
        <item m="1" x="320"/>
        <item m="1" x="2465"/>
        <item m="1" x="250"/>
        <item m="1" x="3169"/>
        <item m="1" x="3883"/>
        <item m="1" x="3646"/>
        <item m="1" x="6159"/>
        <item m="1" x="2898"/>
        <item m="1" x="6027"/>
        <item m="1" x="5321"/>
        <item m="1" x="1835"/>
        <item m="1" x="5786"/>
        <item m="1" x="3475"/>
        <item m="1" x="633"/>
        <item m="1" x="5010"/>
        <item m="1" x="1912"/>
        <item m="1" x="4399"/>
        <item m="1" x="6163"/>
        <item m="1" x="5405"/>
        <item m="1" x="4355"/>
        <item m="1" x="6005"/>
        <item m="1" x="2086"/>
        <item m="1" x="6329"/>
        <item m="1" x="2229"/>
        <item m="1" x="4803"/>
        <item m="1" x="2838"/>
        <item m="1" x="386"/>
        <item m="1" x="6267"/>
        <item m="1" x="5335"/>
        <item m="1" x="3181"/>
        <item m="1" x="892"/>
        <item m="1" x="1443"/>
        <item m="1" x="3490"/>
        <item m="1" x="3210"/>
        <item m="1" x="4527"/>
        <item m="1" x="3377"/>
        <item m="1" x="2617"/>
        <item m="1" x="4258"/>
        <item m="1" x="2124"/>
        <item m="1" x="3797"/>
        <item m="1" x="5125"/>
        <item m="1" x="772"/>
        <item m="1" x="4776"/>
        <item m="1" x="1880"/>
        <item m="1" x="4303"/>
        <item m="1" x="3239"/>
        <item m="1" x="2307"/>
        <item m="1" x="2354"/>
        <item m="1" x="2539"/>
        <item m="1" x="1211"/>
        <item m="1" x="4134"/>
        <item m="1" x="2737"/>
        <item m="1" x="812"/>
        <item m="1" x="4203"/>
        <item m="1" x="5865"/>
        <item m="1" x="4958"/>
        <item m="1" x="923"/>
        <item m="1" x="5382"/>
        <item m="1" x="4590"/>
        <item m="1" x="3218"/>
        <item m="1" x="4007"/>
        <item m="1" x="3778"/>
        <item m="1" x="3558"/>
        <item m="1" x="1569"/>
        <item m="1" x="2562"/>
        <item m="1" x="4118"/>
        <item m="1" x="2380"/>
        <item m="1" x="3986"/>
        <item m="1" x="4308"/>
        <item m="1" x="2316"/>
        <item m="1" x="2379"/>
        <item m="1" x="607"/>
        <item m="1" x="1029"/>
        <item m="1" x="1352"/>
        <item m="1" x="5402"/>
        <item m="1" x="1775"/>
        <item m="1" x="5864"/>
        <item m="1" x="3860"/>
        <item m="1" x="5975"/>
        <item m="1" x="5309"/>
        <item m="1" x="1061"/>
        <item m="1" x="5922"/>
        <item m="1" x="2696"/>
        <item m="1" x="3912"/>
        <item m="1" x="5736"/>
        <item m="1" x="3549"/>
        <item m="1" x="1031"/>
        <item x="97"/>
        <item m="1" x="1234"/>
        <item m="1" x="3127"/>
        <item m="1" x="6051"/>
        <item m="1" x="3229"/>
        <item m="1" x="2596"/>
        <item m="1" x="3839"/>
        <item m="1" x="2984"/>
        <item m="1" x="329"/>
        <item m="1" x="1838"/>
        <item m="1" x="213"/>
        <item m="1" x="1223"/>
        <item m="1" x="3200"/>
        <item m="1" x="552"/>
        <item m="1" x="1728"/>
        <item m="1" x="6225"/>
        <item m="1" x="4557"/>
        <item m="1" x="1841"/>
        <item m="1" x="4103"/>
        <item m="1" x="6074"/>
        <item m="1" x="2045"/>
        <item m="1" x="2979"/>
        <item m="1" x="5774"/>
        <item m="1" x="4379"/>
        <item m="1" x="4617"/>
        <item m="1" x="1335"/>
        <item m="1" x="171"/>
        <item m="1" x="5090"/>
        <item m="1" x="154"/>
        <item m="1" x="1001"/>
        <item m="1" x="1547"/>
        <item m="1" x="1531"/>
        <item m="1" x="1649"/>
        <item m="1" x="1727"/>
        <item m="1" x="3879"/>
        <item m="1" x="575"/>
        <item m="1" x="1909"/>
        <item m="1" x="4684"/>
        <item m="1" x="1286"/>
        <item m="1" x="3335"/>
        <item m="1" x="4216"/>
        <item m="1" x="4447"/>
        <item m="1" x="1666"/>
        <item m="1" x="4277"/>
        <item m="1" x="5109"/>
        <item m="1" x="1801"/>
        <item m="1" x="5050"/>
        <item m="1" x="3621"/>
        <item m="1" x="5203"/>
        <item m="1" x="4991"/>
        <item m="1" x="1320"/>
        <item m="1" x="5867"/>
        <item m="1" x="3789"/>
        <item m="1" x="5384"/>
        <item m="1" x="5599"/>
        <item m="1" x="3547"/>
        <item m="1" x="1992"/>
        <item m="1" x="1245"/>
        <item m="1" x="4436"/>
        <item m="1" x="4819"/>
        <item m="1" x="988"/>
        <item m="1" x="6328"/>
        <item m="1" x="612"/>
        <item m="1" x="219"/>
        <item m="1" x="3594"/>
        <item m="1" x="5222"/>
        <item m="1" x="1009"/>
        <item m="1" x="3137"/>
        <item m="1" x="702"/>
        <item m="1" x="5909"/>
        <item m="1" x="5352"/>
        <item m="1" x="3926"/>
        <item m="1" x="5801"/>
        <item m="1" x="3904"/>
        <item m="1" x="3545"/>
        <item m="1" x="1926"/>
        <item m="1" x="5372"/>
        <item m="1" x="5724"/>
        <item m="1" x="6280"/>
        <item m="1" x="3525"/>
        <item m="1" x="497"/>
        <item m="1" x="4068"/>
        <item m="1" x="1051"/>
        <item m="1" x="6035"/>
        <item m="1" x="340"/>
        <item x="83"/>
        <item m="1" x="4626"/>
        <item m="1" x="4122"/>
        <item m="1" x="5098"/>
        <item m="1" x="4212"/>
        <item m="1" x="3316"/>
        <item m="1" x="3358"/>
        <item m="1" x="201"/>
        <item m="1" x="3173"/>
        <item m="1" x="2990"/>
        <item m="1" x="4401"/>
        <item m="1" x="4066"/>
        <item m="1" x="1116"/>
        <item m="1" x="4971"/>
        <item m="1" x="4193"/>
        <item m="1" x="1028"/>
        <item m="1" x="5675"/>
        <item m="1" x="477"/>
        <item m="1" x="2100"/>
        <item m="1" x="1304"/>
        <item m="1" x="6268"/>
        <item m="1" x="582"/>
        <item m="1" x="686"/>
        <item m="1" x="902"/>
        <item m="1" x="1741"/>
        <item m="1" x="1493"/>
        <item m="1" x="6259"/>
        <item m="1" x="2452"/>
        <item m="1" x="2684"/>
        <item m="1" x="2384"/>
        <item m="1" x="747"/>
        <item m="1" x="5763"/>
        <item m="1" x="3429"/>
        <item m="1" x="3259"/>
        <item m="1" x="2458"/>
        <item m="1" x="3158"/>
        <item m="1" x="992"/>
        <item m="1" x="2350"/>
        <item m="1" x="4995"/>
        <item m="1" x="1386"/>
        <item m="1" x="1425"/>
        <item m="1" x="2135"/>
        <item m="1" x="4643"/>
        <item m="1" x="447"/>
        <item m="1" x="261"/>
        <item m="1" x="1007"/>
        <item m="1" x="108"/>
        <item m="1" x="1968"/>
        <item m="1" x="239"/>
        <item m="1" x="1130"/>
        <item m="1" x="2279"/>
        <item m="1" x="3293"/>
        <item m="1" x="1935"/>
        <item m="1" x="1364"/>
        <item m="1" x="452"/>
        <item m="1" x="5798"/>
        <item m="1" x="6066"/>
        <item m="1" x="4821"/>
        <item m="1" x="3349"/>
        <item m="1" x="1059"/>
        <item m="1" x="246"/>
        <item m="1" x="1188"/>
        <item m="1" x="5356"/>
        <item m="1" x="341"/>
        <item m="1" x="2586"/>
        <item m="1" x="2902"/>
        <item m="1" x="682"/>
        <item m="1" x="3560"/>
        <item m="1" x="2001"/>
        <item m="1" x="3435"/>
        <item m="1" x="409"/>
        <item m="1" x="1436"/>
        <item m="1" x="3230"/>
        <item m="1" x="559"/>
        <item m="1" x="2798"/>
        <item m="1" x="976"/>
        <item m="1" x="5749"/>
        <item m="1" x="672"/>
        <item m="1" x="4380"/>
        <item m="1" x="4914"/>
        <item m="1" x="5732"/>
        <item m="1" x="3373"/>
        <item m="1" x="6271"/>
        <item m="1" x="4272"/>
        <item m="1" x="4969"/>
        <item m="1" x="3155"/>
        <item m="1" x="1378"/>
        <item m="1" x="764"/>
        <item m="1" x="2577"/>
        <item m="1" x="1488"/>
        <item m="1" x="1597"/>
        <item m="1" x="5019"/>
        <item m="1" x="133"/>
        <item m="1" x="3366"/>
        <item m="1" x="3244"/>
        <item m="1" x="5259"/>
        <item m="1" x="6166"/>
        <item m="1" x="344"/>
        <item m="1" x="4863"/>
        <item m="1" x="2727"/>
        <item m="1" x="1082"/>
        <item m="1" x="1496"/>
        <item m="1" x="1848"/>
        <item m="1" x="5840"/>
        <item m="1" x="2369"/>
        <item m="1" x="1573"/>
        <item m="1" x="4789"/>
        <item m="1" x="4016"/>
        <item m="1" x="210"/>
        <item m="1" x="2204"/>
        <item m="1" x="1239"/>
        <item m="1" x="2313"/>
        <item m="1" x="3686"/>
        <item m="1" x="4429"/>
        <item m="1" x="1934"/>
        <item m="1" x="424"/>
        <item m="1" x="3911"/>
        <item m="1" x="5627"/>
        <item m="1" x="2848"/>
        <item m="1" x="2712"/>
        <item m="1" x="4849"/>
        <item m="1" x="4185"/>
        <item m="1" x="2272"/>
        <item m="1" x="2141"/>
        <item m="1" x="1309"/>
        <item m="1" x="4028"/>
        <item m="1" x="5615"/>
        <item m="1" x="5055"/>
        <item m="1" x="1844"/>
        <item m="1" x="5955"/>
        <item m="1" x="3561"/>
        <item m="1" x="5337"/>
        <item m="1" x="1165"/>
        <item m="1" x="2208"/>
        <item m="1" x="5476"/>
        <item m="1" x="1432"/>
        <item m="1" x="4352"/>
        <item m="1" x="2075"/>
        <item m="1" x="1382"/>
        <item m="1" x="5726"/>
        <item m="1" x="1991"/>
        <item m="1" x="163"/>
        <item m="1" x="2540"/>
        <item m="1" x="5192"/>
        <item m="1" x="2505"/>
        <item m="1" x="4358"/>
        <item m="1" x="5761"/>
        <item m="1" x="5753"/>
        <item m="1" x="1739"/>
        <item m="1" x="5383"/>
        <item m="1" x="206"/>
        <item m="1" x="1999"/>
        <item m="1" x="2171"/>
        <item m="1" x="469"/>
        <item m="1" x="3942"/>
        <item m="1" x="1473"/>
        <item m="1" x="2423"/>
        <item m="1" x="5179"/>
        <item m="1" x="2118"/>
        <item m="1" x="3345"/>
        <item m="1" x="4092"/>
        <item m="1" x="1257"/>
        <item m="1" x="2261"/>
        <item m="1" x="1920"/>
        <item m="1" x="2236"/>
        <item m="1" x="361"/>
        <item m="1" x="2845"/>
        <item m="1" x="3041"/>
        <item m="1" x="4481"/>
        <item m="1" x="1030"/>
        <item m="1" x="2357"/>
        <item m="1" x="2450"/>
        <item m="1" x="5017"/>
        <item m="1" x="6357"/>
        <item m="1" x="5946"/>
        <item m="1" x="2251"/>
        <item m="1" x="4994"/>
        <item m="1" x="2471"/>
        <item m="1" x="780"/>
        <item m="1" x="6187"/>
        <item m="1" x="3499"/>
        <item m="1" x="2981"/>
        <item m="1" x="5492"/>
        <item m="1" x="5611"/>
        <item m="1" x="2971"/>
        <item m="1" x="4927"/>
        <item m="1" x="4335"/>
        <item m="1" x="4620"/>
        <item m="1" x="3228"/>
        <item m="1" x="2599"/>
        <item m="1" x="535"/>
        <item m="1" x="3406"/>
        <item m="1" x="2260"/>
        <item m="1" x="4437"/>
        <item m="1" x="4628"/>
        <item m="1" x="1295"/>
        <item m="1" x="3740"/>
        <item m="1" x="6309"/>
        <item m="1" x="191"/>
        <item m="1" x="4928"/>
        <item m="1" x="3297"/>
        <item m="1" x="5193"/>
        <item m="1" x="1851"/>
        <item m="1" x="3307"/>
        <item m="1" x="1503"/>
        <item m="1" x="4063"/>
        <item m="1" x="3625"/>
        <item m="1" x="2360"/>
        <item m="1" x="3043"/>
        <item m="1" x="3278"/>
        <item m="1" x="670"/>
        <item m="1" x="2243"/>
        <item m="1" x="4568"/>
        <item m="1" x="3371"/>
        <item m="1" x="893"/>
        <item m="1" x="3235"/>
        <item m="1" x="3935"/>
        <item m="1" x="809"/>
        <item m="1" x="2985"/>
        <item m="1" x="2665"/>
        <item m="1" x="4279"/>
        <item m="1" x="2819"/>
        <item m="1" x="182"/>
        <item m="1" x="4499"/>
        <item m="1" x="4202"/>
        <item m="1" x="5684"/>
        <item m="1" x="5472"/>
        <item m="1" x="5204"/>
        <item m="1" x="4492"/>
        <item m="1" x="6327"/>
        <item m="1" x="1532"/>
        <item m="1" x="1331"/>
        <item m="1" x="2677"/>
        <item m="1" x="2139"/>
        <item m="1" x="1840"/>
        <item m="1" x="2235"/>
        <item m="1" x="4791"/>
        <item m="1" x="4274"/>
        <item m="1" x="1843"/>
        <item m="1" x="322"/>
        <item m="1" x="4408"/>
        <item m="1" x="5574"/>
        <item m="1" x="1185"/>
        <item m="1" x="349"/>
        <item m="1" x="5270"/>
        <item m="1" x="696"/>
        <item m="1" x="4316"/>
        <item m="1" x="4427"/>
        <item m="1" x="4370"/>
        <item m="1" x="3796"/>
        <item m="1" x="1650"/>
        <item m="1" x="4284"/>
        <item m="1" x="5565"/>
        <item m="1" x="129"/>
        <item m="1" x="5596"/>
        <item m="1" x="959"/>
        <item m="1" x="1933"/>
        <item m="1" x="233"/>
        <item m="1" x="175"/>
        <item m="1" x="4735"/>
        <item m="1" x="534"/>
        <item m="1" x="2290"/>
        <item m="1" x="4921"/>
        <item m="1" x="3362"/>
        <item m="1" x="6059"/>
        <item m="1" x="4613"/>
        <item m="1" x="3623"/>
        <item m="1" x="6032"/>
        <item m="1" x="1535"/>
        <item m="1" x="2223"/>
        <item m="1" x="4364"/>
        <item m="1" x="3648"/>
        <item m="1" x="4823"/>
        <item m="1" x="1151"/>
        <item m="1" x="3610"/>
        <item m="1" x="5555"/>
        <item m="1" x="5529"/>
        <item m="1" x="5035"/>
        <item m="1" x="4674"/>
        <item m="1" x="1942"/>
        <item m="1" x="5460"/>
        <item m="1" x="5195"/>
        <item m="1" x="4602"/>
        <item m="1" x="2650"/>
        <item m="1" x="1915"/>
        <item m="1" x="4351"/>
        <item m="1" x="6333"/>
        <item m="1" x="869"/>
        <item m="1" x="5747"/>
        <item m="1" x="4273"/>
        <item m="1" x="2443"/>
        <item m="1" x="4825"/>
        <item m="1" x="5367"/>
        <item m="1" x="990"/>
        <item m="1" x="3009"/>
        <item m="1" x="3519"/>
        <item m="1" x="1596"/>
        <item m="1" x="3878"/>
        <item m="1" x="475"/>
        <item m="1" x="5901"/>
        <item m="1" x="504"/>
        <item m="1" x="1980"/>
        <item m="1" x="860"/>
        <item m="1" x="4574"/>
        <item m="1" x="5824"/>
        <item m="1" x="3360"/>
        <item m="1" x="1711"/>
        <item m="1" x="5582"/>
        <item m="1" x="4143"/>
        <item m="1" x="5348"/>
        <item m="1" x="2940"/>
        <item m="1" x="4154"/>
        <item m="1" x="6067"/>
        <item m="1" x="5723"/>
        <item m="1" x="1134"/>
        <item m="1" x="1147"/>
        <item m="1" x="643"/>
        <item m="1" x="4605"/>
        <item m="1" x="553"/>
        <item m="1" x="5340"/>
        <item m="1" x="4169"/>
        <item m="1" x="3076"/>
        <item m="1" x="5023"/>
        <item m="1" x="1027"/>
        <item m="1" x="5742"/>
        <item m="1" x="112"/>
        <item m="1" x="2212"/>
        <item m="1" x="5194"/>
        <item m="1" x="297"/>
        <item m="1" x="3591"/>
        <item m="1" x="2524"/>
        <item m="1" x="3701"/>
        <item m="1" x="2989"/>
        <item m="1" x="856"/>
        <item m="1" x="850"/>
        <item x="76"/>
        <item m="1" x="1375"/>
        <item m="1" x="4747"/>
        <item m="1" x="6288"/>
        <item m="1" x="2626"/>
        <item m="1" x="3004"/>
        <item m="1" x="5456"/>
        <item m="1" x="2638"/>
        <item m="1" x="5142"/>
        <item m="1" x="3232"/>
        <item m="1" x="2935"/>
        <item m="1" x="657"/>
        <item m="1" x="6121"/>
        <item m="1" x="4487"/>
        <item m="1" x="648"/>
        <item m="1" x="3662"/>
        <item m="1" x="810"/>
        <item m="1" x="5095"/>
        <item m="1" x="1579"/>
        <item m="1" x="829"/>
        <item m="1" x="3567"/>
        <item m="1" x="5011"/>
        <item m="1" x="590"/>
        <item m="1" x="5548"/>
        <item m="1" x="1189"/>
        <item m="1" x="995"/>
        <item m="1" x="295"/>
        <item m="1" x="5189"/>
        <item m="1" x="1490"/>
        <item m="1" x="3842"/>
        <item m="1" x="3019"/>
        <item m="1" x="2378"/>
        <item m="1" x="400"/>
        <item m="1" x="1966"/>
        <item m="1" x="922"/>
        <item m="1" x="920"/>
        <item m="1" x="638"/>
        <item m="1" x="3001"/>
        <item m="1" x="1138"/>
        <item m="1" x="2862"/>
        <item m="1" x="2512"/>
        <item m="1" x="4484"/>
        <item m="1" x="919"/>
        <item m="1" x="2189"/>
        <item m="1" x="1635"/>
        <item x="86"/>
        <item m="1" x="2875"/>
        <item m="1" x="3982"/>
        <item m="1" x="6195"/>
        <item m="1" x="1519"/>
        <item m="1" x="1217"/>
        <item m="1" x="808"/>
        <item m="1" x="6346"/>
        <item m="1" x="3601"/>
        <item x="11"/>
        <item x="30"/>
        <item m="1" x="313"/>
        <item x="56"/>
        <item m="1" x="733"/>
        <item x="74"/>
        <item m="1" x="6001"/>
        <item m="1" x="5164"/>
        <item m="1" x="1438"/>
        <item m="1" x="2701"/>
        <item m="1" x="4837"/>
        <item m="1" x="5996"/>
        <item m="1" x="2645"/>
        <item m="1" x="501"/>
        <item m="1" x="2391"/>
        <item m="1" x="512"/>
        <item m="1" x="2429"/>
        <item m="1" x="4893"/>
        <item m="1" x="2071"/>
        <item m="1" x="4093"/>
        <item m="1" x="2689"/>
        <item m="1" x="4888"/>
        <item m="1" x="1589"/>
        <item m="1" x="699"/>
        <item m="1" x="4853"/>
        <item m="1" x="323"/>
        <item m="1" x="854"/>
        <item m="1" x="864"/>
        <item m="1" x="3628"/>
        <item m="1" x="1863"/>
        <item m="1" x="727"/>
        <item m="1" x="4511"/>
        <item m="1" x="3461"/>
        <item m="1" x="5855"/>
        <item x="1"/>
        <item m="1" x="1681"/>
        <item m="1" x="661"/>
        <item m="1" x="2855"/>
        <item m="1" x="2670"/>
        <item m="1" x="2556"/>
        <item m="1" x="2145"/>
        <item m="1" x="2284"/>
        <item m="1" x="3090"/>
        <item m="1" x="4851"/>
        <item m="1" x="4104"/>
        <item m="1" x="5315"/>
        <item m="1" x="5412"/>
        <item x="105"/>
        <item m="1" x="3752"/>
        <item m="1" x="457"/>
        <item m="1" x="5552"/>
        <item m="1" x="1625"/>
        <item m="1" x="2464"/>
        <item m="1" x="3589"/>
        <item m="1" x="806"/>
        <item m="1" x="2002"/>
        <item m="1" x="3852"/>
        <item m="1" x="5498"/>
        <item m="1" x="5858"/>
        <item m="1" x="290"/>
        <item m="1" x="1274"/>
        <item m="1" x="1341"/>
        <item m="1" x="2353"/>
        <item m="1" x="5022"/>
        <item m="1" x="4831"/>
        <item m="1" x="1656"/>
        <item m="1" x="3584"/>
        <item m="1" x="4976"/>
        <item m="1" x="1695"/>
        <item m="1" x="794"/>
        <item m="1" x="3989"/>
        <item m="1" x="366"/>
        <item m="1" x="2973"/>
        <item m="1" x="228"/>
        <item m="1" x="2688"/>
        <item m="1" x="589"/>
        <item m="1" x="3954"/>
        <item m="1" x="2628"/>
        <item m="1" x="4443"/>
        <item m="1" x="1704"/>
        <item m="1" x="225"/>
        <item m="1" x="4425"/>
        <item m="1" x="4331"/>
        <item m="1" x="3427"/>
        <item m="1" x="5209"/>
        <item m="1" x="5504"/>
        <item m="1" x="5048"/>
        <item m="1" x="4422"/>
        <item m="1" x="5841"/>
        <item m="1" x="3773"/>
        <item x="58"/>
        <item m="1" x="737"/>
        <item m="1" x="3042"/>
        <item m="1" x="871"/>
        <item m="1" x="4048"/>
        <item m="1" x="3334"/>
        <item m="1" x="415"/>
        <item m="1" x="4759"/>
        <item m="1" x="3967"/>
        <item m="1" x="4314"/>
        <item m="1" x="4833"/>
        <item m="1" x="3886"/>
        <item m="1" x="6237"/>
        <item m="1" x="5889"/>
        <item m="1" x="515"/>
        <item m="1" x="2864"/>
        <item m="1" x="3052"/>
        <item m="1" x="1811"/>
        <item m="1" x="3302"/>
        <item m="1" x="3111"/>
        <item m="1" x="4949"/>
        <item m="1" x="3835"/>
        <item m="1" x="2487"/>
        <item m="1" x="4069"/>
        <item m="1" x="601"/>
        <item m="1" x="687"/>
        <item m="1" x="1720"/>
        <item m="1" x="346"/>
        <item m="1" x="4829"/>
        <item m="1" x="2790"/>
        <item m="1" x="3864"/>
        <item m="1" x="4708"/>
        <item m="1" x="2608"/>
        <item m="1" x="1676"/>
        <item m="1" x="4852"/>
        <item m="1" x="2857"/>
        <item m="1" x="3790"/>
        <item m="1" x="156"/>
        <item m="1" x="1284"/>
        <item m="1" x="1768"/>
        <item m="1" x="3766"/>
        <item m="1" x="5788"/>
        <item m="1" x="1094"/>
        <item m="1" x="266"/>
        <item m="1" x="4760"/>
        <item m="1" x="1817"/>
        <item m="1" x="2098"/>
        <item m="1" x="5177"/>
        <item m="1" x="6349"/>
        <item m="1" x="4435"/>
        <item m="1" x="5473"/>
        <item m="1" x="2410"/>
        <item m="1" x="3672"/>
        <item m="1" x="767"/>
        <item m="1" x="5846"/>
        <item m="1" x="4814"/>
        <item m="1" x="1537"/>
        <item m="1" x="1474"/>
        <item m="1" x="1010"/>
        <item m="1" x="599"/>
        <item m="1" x="180"/>
        <item m="1" x="4504"/>
        <item m="1" x="3489"/>
        <item m="1" x="2201"/>
        <item m="1" x="5752"/>
        <item m="1" x="3812"/>
        <item m="1" x="1396"/>
        <item m="1" x="3104"/>
        <item m="1" x="412"/>
        <item m="1" x="2869"/>
        <item m="1" x="6152"/>
        <item m="1" x="5389"/>
        <item m="1" x="3830"/>
        <item m="1" x="1453"/>
        <item m="1" x="147"/>
        <item x="98"/>
        <item m="1" x="1622"/>
        <item m="1" x="2428"/>
        <item m="1" x="2500"/>
        <item m="1" x="2161"/>
        <item m="1" x="6317"/>
        <item m="1" x="1854"/>
        <item m="1" x="1091"/>
        <item m="1" x="1014"/>
        <item m="1" x="2903"/>
        <item x="101"/>
        <item m="1" x="2933"/>
        <item m="1" x="4535"/>
        <item m="1" x="5863"/>
        <item m="1" x="3869"/>
        <item m="1" x="6220"/>
        <item m="1" x="2970"/>
        <item m="1" x="372"/>
        <item m="1" x="5903"/>
        <item m="1" x="936"/>
        <item m="1" x="3566"/>
        <item m="1" x="355"/>
        <item m="1" x="2994"/>
        <item m="1" x="4865"/>
        <item m="1" x="577"/>
        <item m="1" x="3327"/>
        <item m="1" x="5148"/>
        <item m="1" x="1546"/>
        <item m="1" x="692"/>
        <item m="1" x="1822"/>
        <item m="1" x="368"/>
        <item m="1" x="5466"/>
        <item m="1" x="1590"/>
        <item m="1" x="5837"/>
        <item m="1" x="2199"/>
        <item m="1" x="1989"/>
        <item m="1" x="5595"/>
        <item m="1" x="4554"/>
        <item m="1" x="6024"/>
        <item m="1" x="4290"/>
        <item m="1" x="1004"/>
        <item m="1" x="6266"/>
        <item m="1" x="3546"/>
        <item m="1" x="2595"/>
        <item m="1" x="4469"/>
        <item m="1" x="4159"/>
        <item m="1" x="3759"/>
        <item m="1" x="5264"/>
        <item m="1" x="380"/>
        <item m="1" x="2414"/>
        <item m="1" x="5285"/>
        <item m="1" x="1244"/>
        <item m="1" x="1459"/>
        <item m="1" x="1369"/>
        <item m="1" x="5502"/>
        <item m="1" x="2099"/>
        <item m="1" x="2488"/>
        <item m="1" x="4457"/>
        <item m="1" x="2680"/>
        <item m="1" x="3785"/>
        <item m="1" x="2484"/>
        <item m="1" x="5800"/>
        <item m="1" x="6312"/>
        <item m="1" x="4155"/>
        <item m="1" x="1380"/>
        <item m="1" x="2483"/>
        <item m="1" x="4045"/>
        <item m="1" x="6107"/>
        <item m="1" x="2373"/>
        <item m="1" x="4332"/>
        <item m="1" x="2753"/>
        <item m="1" x="3826"/>
        <item m="1" x="5404"/>
        <item m="1" x="4721"/>
        <item m="1" x="1105"/>
        <item m="1" x="3919"/>
        <item m="1" x="1506"/>
        <item m="1" x="5905"/>
        <item m="1" x="843"/>
        <item m="1" x="3454"/>
        <item m="1" x="2480"/>
        <item m="1" x="3806"/>
        <item m="1" x="5339"/>
        <item m="1" x="2624"/>
        <item m="1" x="1758"/>
        <item m="1" x="5948"/>
        <item m="1" x="1172"/>
        <item m="1" x="4022"/>
        <item m="1" x="3730"/>
        <item m="1" x="5265"/>
        <item m="1" x="4419"/>
        <item m="1" x="2219"/>
        <item m="1" x="4986"/>
        <item m="1" x="5900"/>
        <item m="1" x="5993"/>
        <item m="1" x="3855"/>
        <item m="1" x="5540"/>
        <item m="1" x="5877"/>
        <item m="1" x="4801"/>
        <item m="1" x="6261"/>
        <item m="1" x="358"/>
        <item m="1" x="5441"/>
        <item m="1" x="3146"/>
        <item m="1" x="237"/>
        <item m="1" x="4076"/>
        <item m="1" x="3410"/>
        <item m="1" x="5556"/>
        <item m="1" x="5971"/>
        <item m="1" x="2707"/>
        <item x="89"/>
        <item m="1" x="618"/>
        <item m="1" x="4718"/>
        <item m="1" x="4778"/>
        <item m="1" x="4187"/>
        <item m="1" x="4236"/>
        <item m="1" x="5442"/>
        <item m="1" x="2059"/>
        <item m="1" x="624"/>
        <item m="1" x="5041"/>
        <item m="1" x="1772"/>
        <item m="1" x="5334"/>
        <item m="1" x="1599"/>
        <item m="1" x="5346"/>
        <item m="1" x="929"/>
        <item m="1" x="4625"/>
        <item m="1" x="5243"/>
        <item m="1" x="521"/>
        <item m="1" x="3615"/>
        <item m="1" x="3154"/>
        <item m="1" x="2507"/>
        <item m="1" x="2648"/>
        <item m="1" x="5249"/>
        <item m="1" x="4522"/>
        <item m="1" x="5859"/>
        <item m="1" x="2168"/>
        <item m="1" x="5230"/>
        <item m="1" x="5869"/>
        <item m="1" x="4299"/>
        <item m="1" x="5161"/>
        <item m="1" x="5419"/>
        <item m="1" x="4407"/>
        <item m="1" x="4019"/>
        <item m="1" x="748"/>
        <item m="1" x="5242"/>
        <item m="1" x="2814"/>
        <item m="1" x="1025"/>
        <item m="1" x="5622"/>
        <item m="1" x="5873"/>
        <item m="1" x="2663"/>
        <item m="1" x="2720"/>
        <item m="1" x="1078"/>
        <item m="1" x="5469"/>
        <item m="1" x="2773"/>
        <item m="1" x="6263"/>
        <item m="1" x="5775"/>
        <item m="1" x="2542"/>
        <item m="1" x="3666"/>
        <item m="1" x="1414"/>
        <item m="1" x="1241"/>
        <item m="1" x="3175"/>
        <item m="1" x="2655"/>
        <item m="1" x="3736"/>
        <item m="1" x="6186"/>
        <item m="1" x="4164"/>
        <item m="1" x="2398"/>
        <item m="1" x="2631"/>
        <item m="1" x="2041"/>
        <item m="1" x="6119"/>
        <item m="1" x="5253"/>
        <item m="1" x="5269"/>
        <item m="1" x="4734"/>
        <item m="1" x="527"/>
        <item m="1" x="1545"/>
        <item m="1" x="4639"/>
        <item m="1" x="1092"/>
        <item m="1" x="2422"/>
        <item m="1" x="5722"/>
        <item m="1" x="448"/>
        <item m="1" x="1441"/>
        <item m="1" x="3196"/>
        <item m="1" x="2517"/>
        <item m="1" x="2770"/>
        <item m="1" x="4172"/>
        <item m="1" x="814"/>
        <item m="1" x="5828"/>
        <item m="1" x="4559"/>
        <item m="1" x="2953"/>
        <item m="1" x="2996"/>
        <item m="1" x="5979"/>
        <item x="96"/>
        <item m="1" x="6358"/>
        <item m="1" x="3887"/>
        <item m="1" x="5413"/>
        <item m="1" x="5155"/>
        <item m="1" x="1419"/>
        <item m="1" x="5709"/>
        <item m="1" x="2871"/>
        <item m="1" x="1541"/>
        <item m="1" x="1788"/>
        <item m="1" x="2592"/>
        <item m="1" x="625"/>
        <item x="93"/>
        <item m="1" x="5600"/>
        <item m="1" x="4993"/>
        <item m="1" x="5263"/>
        <item m="1" x="5207"/>
        <item m="1" x="1605"/>
        <item m="1" x="4929"/>
        <item m="1" x="4764"/>
        <item m="1" x="244"/>
        <item m="1" x="2127"/>
        <item m="1" x="5281"/>
        <item m="1" x="2155"/>
        <item m="1" x="4518"/>
        <item m="1" x="3715"/>
        <item m="1" x="3838"/>
        <item m="1" x="6057"/>
        <item m="1" x="1803"/>
        <item m="1" x="5682"/>
        <item m="1" x="3939"/>
        <item m="1" x="2601"/>
        <item m="1" x="5066"/>
        <item m="1" x="2036"/>
        <item m="1" x="6050"/>
        <item m="1" x="2096"/>
        <item x="88"/>
        <item m="1" x="4257"/>
        <item m="1" x="3640"/>
        <item m="1" x="5273"/>
        <item m="1" x="2613"/>
        <item m="1" x="5332"/>
        <item m="1" x="2218"/>
        <item m="1" x="3404"/>
        <item m="1" x="3217"/>
        <item m="1" x="1265"/>
        <item m="1" x="305"/>
        <item m="1" x="3258"/>
        <item m="1" x="5614"/>
        <item m="1" x="3724"/>
        <item m="1" x="555"/>
        <item m="1" x="1308"/>
        <item m="1" x="1175"/>
        <item m="1" x="2018"/>
        <item m="1" x="4841"/>
        <item m="1" x="3340"/>
        <item m="1" x="5924"/>
        <item m="1" x="459"/>
        <item m="1" x="1101"/>
        <item m="1" x="5360"/>
        <item m="1" x="5417"/>
        <item m="1" x="1292"/>
        <item m="1" x="3685"/>
        <item m="1" x="5399"/>
        <item m="1" x="1083"/>
        <item m="1" x="4632"/>
        <item m="1" x="2616"/>
        <item m="1" x="2598"/>
        <item m="1" x="3282"/>
        <item m="1" x="3283"/>
        <item m="1" x="3023"/>
        <item m="1" x="2374"/>
        <item m="1" x="506"/>
        <item m="1" x="1749"/>
        <item m="1" x="6340"/>
        <item m="1" x="1575"/>
        <item m="1" x="3959"/>
        <item m="1" x="1861"/>
        <item m="1" x="4432"/>
        <item x="77"/>
        <item m="1" x="1362"/>
        <item m="1" x="5870"/>
        <item m="1" x="2193"/>
        <item m="1" x="3038"/>
        <item m="1" x="4978"/>
        <item m="1" x="4702"/>
        <item m="1" x="6124"/>
        <item m="1" x="6155"/>
        <item m="1" x="610"/>
        <item m="1" x="2558"/>
        <item m="1" x="2191"/>
        <item m="1" x="3192"/>
        <item m="1" x="4188"/>
        <item m="1" x="6143"/>
        <item m="1" x="4942"/>
        <item m="1" x="2083"/>
        <item m="1" x="3384"/>
        <item m="1" x="3303"/>
        <item m="1" x="5933"/>
        <item m="1" x="1702"/>
        <item m="1" x="2742"/>
        <item m="1" x="4207"/>
        <item m="1" x="2900"/>
        <item m="1" x="2873"/>
        <item m="1" x="1221"/>
        <item m="1" x="1354"/>
        <item m="1" x="2025"/>
        <item m="1" x="1962"/>
        <item m="1" x="3529"/>
        <item m="1" x="6239"/>
        <item m="1" x="5403"/>
        <item m="1" x="3050"/>
        <item m="1" x="1746"/>
        <item m="1" x="1645"/>
        <item m="1" x="2847"/>
        <item m="1" x="3329"/>
        <item m="1" x="4742"/>
        <item m="1" x="2764"/>
        <item m="1" x="1951"/>
        <item m="1" x="1136"/>
        <item m="1" x="5705"/>
        <item m="1" x="2686"/>
        <item x="54"/>
        <item m="1" x="2867"/>
        <item m="1" x="214"/>
        <item m="1" x="1520"/>
        <item m="1" x="1780"/>
        <item m="1" x="561"/>
        <item m="1" x="4575"/>
        <item m="1" x="4675"/>
        <item m="1" x="4731"/>
        <item m="1" x="6258"/>
        <item m="1" x="2174"/>
        <item m="1" x="1285"/>
        <item m="1" x="585"/>
        <item m="1" x="2699"/>
        <item m="1" x="4160"/>
        <item m="1" x="5537"/>
        <item m="1" x="797"/>
        <item m="1" x="6171"/>
        <item m="1" x="1472"/>
        <item m="1" x="5295"/>
        <item m="1" x="1293"/>
        <item m="1" x="4067"/>
        <item m="1" x="3184"/>
        <item m="1" x="5956"/>
        <item m="1" x="2758"/>
        <item m="1" x="6191"/>
        <item m="1" x="5853"/>
        <item m="1" x="5292"/>
        <item m="1" x="5606"/>
        <item m="1" x="3402"/>
        <item m="1" x="135"/>
        <item x="75"/>
        <item x="95"/>
        <item m="1" x="5100"/>
        <item m="1" x="1315"/>
        <item m="1" x="1090"/>
        <item m="1" x="484"/>
        <item m="1" x="298"/>
        <item m="1" x="4768"/>
        <item m="1" x="2802"/>
        <item m="1" x="1108"/>
        <item m="1" x="1713"/>
        <item m="1" x="2005"/>
        <item m="1" x="4513"/>
        <item m="1" x="466"/>
        <item m="1" x="3148"/>
        <item m="1" x="3413"/>
        <item m="1" x="6202"/>
        <item m="1" x="2177"/>
        <item m="1" x="4603"/>
        <item m="1" x="2757"/>
        <item m="1" x="2647"/>
        <item m="1" x="2679"/>
        <item m="1" x="4818"/>
        <item m="1" x="4060"/>
        <item m="1" x="6232"/>
        <item m="1" x="1898"/>
        <item m="1" x="5497"/>
        <item m="1" x="2053"/>
        <item m="1" x="2656"/>
        <item m="1" x="695"/>
        <item m="1" x="4166"/>
        <item m="1" x="3612"/>
        <item m="1" x="2119"/>
        <item m="1" x="3508"/>
        <item m="1" x="1040"/>
        <item m="1" x="199"/>
        <item m="1" x="738"/>
        <item m="1" x="3035"/>
        <item m="1" x="5302"/>
        <item m="1" x="2835"/>
        <item m="1" x="4741"/>
        <item m="1" x="3357"/>
        <item m="1" x="5674"/>
        <item m="1" x="4194"/>
        <item m="1" x="5730"/>
        <item m="1" x="489"/>
        <item m="1" x="3553"/>
        <item m="1" x="3182"/>
        <item m="1" x="2292"/>
        <item m="1" x="5636"/>
        <item m="1" x="634"/>
        <item x="78"/>
        <item m="1" x="4176"/>
        <item m="1" x="2833"/>
        <item m="1" x="3367"/>
        <item m="1" x="774"/>
        <item m="1" x="6221"/>
        <item m="1" x="5158"/>
        <item m="1" x="5168"/>
        <item x="104"/>
        <item m="1" x="3719"/>
        <item m="1" x="2877"/>
        <item m="1" x="4800"/>
        <item m="1" x="6189"/>
        <item m="1" x="4784"/>
        <item m="1" x="5681"/>
        <item m="1" x="6265"/>
        <item m="1" x="5597"/>
        <item m="1" x="1767"/>
        <item m="1" x="1502"/>
        <item m="1" x="5575"/>
        <item m="1" x="1045"/>
        <item m="1" x="2861"/>
        <item m="1" x="2924"/>
        <item m="1" x="4182"/>
        <item m="1" x="2035"/>
        <item m="1" x="3203"/>
        <item m="1" x="1510"/>
        <item m="1" x="3521"/>
        <item m="1" x="3045"/>
        <item m="1" x="4269"/>
        <item m="1" x="216"/>
        <item m="1" x="777"/>
        <item m="1" x="1469"/>
        <item m="1" x="5229"/>
        <item m="1" x="4651"/>
        <item m="1" x="3683"/>
        <item m="1" x="5620"/>
        <item m="1" x="1956"/>
        <item m="1" x="1319"/>
        <item m="1" x="3501"/>
        <item m="1" x="1621"/>
        <item m="1" x="4946"/>
        <item m="1" x="2515"/>
        <item m="1" x="5113"/>
        <item m="1" x="3564"/>
        <item m="1" x="2976"/>
        <item m="1" x="2333"/>
        <item m="1" x="2891"/>
        <item m="1" x="3481"/>
        <item m="1" x="989"/>
        <item m="1" x="159"/>
        <item m="1" x="5689"/>
        <item m="1" x="4498"/>
        <item m="1" x="4096"/>
        <item m="1" x="6200"/>
        <item m="1" x="2445"/>
        <item m="1" x="2021"/>
        <item m="1" x="435"/>
        <item m="1" x="5916"/>
        <item m="1" x="6215"/>
        <item m="1" x="925"/>
        <item m="1" x="5927"/>
        <item m="1" x="4129"/>
        <item m="1" x="1406"/>
        <item m="1" x="3941"/>
        <item m="1" x="2846"/>
        <item m="1" x="4114"/>
        <item m="1" x="5379"/>
        <item m="1" x="784"/>
        <item m="1" x="4631"/>
        <item m="1" x="546"/>
        <item m="1" x="4965"/>
        <item m="1" x="4926"/>
        <item m="1" x="3655"/>
        <item m="1" x="4326"/>
        <item m="1" x="1562"/>
        <item m="1" x="3093"/>
        <item m="1" x="5762"/>
        <item m="1" x="1145"/>
        <item m="1" x="3699"/>
        <item m="1" x="1632"/>
        <item m="1" x="2140"/>
        <item m="1" x="4245"/>
        <item m="1" x="150"/>
        <item m="1" x="2969"/>
        <item m="1" x="3772"/>
        <item m="1" x="5884"/>
        <item m="1" x="1742"/>
        <item m="1" x="6056"/>
        <item m="1" x="5567"/>
        <item m="1" x="4597"/>
        <item m="1" x="4253"/>
        <item m="1" x="3126"/>
        <item m="1" x="5939"/>
        <item m="1" x="5061"/>
        <item m="1" x="1268"/>
        <item m="1" x="3620"/>
        <item m="1" x="4940"/>
        <item m="1" x="3823"/>
        <item m="1" x="740"/>
        <item m="1" x="3477"/>
        <item m="1" x="5535"/>
        <item m="1" x="2250"/>
        <item x="103"/>
        <item m="1" x="1922"/>
        <item m="1" x="5794"/>
        <item m="1" x="2466"/>
        <item m="1" x="2461"/>
        <item x="26"/>
        <item m="1" x="5746"/>
        <item m="1" x="5805"/>
        <item m="1" x="6103"/>
        <item m="1" x="3649"/>
        <item m="1" x="4508"/>
        <item m="1" x="1222"/>
        <item m="1" x="262"/>
        <item m="1" x="4616"/>
        <item m="1" x="3597"/>
        <item m="1" x="1717"/>
        <item m="1" x="5601"/>
        <item m="1" x="2925"/>
        <item m="1" x="4802"/>
        <item m="1" x="502"/>
        <item m="1" x="1947"/>
        <item m="1" x="3866"/>
        <item m="1" x="6151"/>
        <item m="1" x="1708"/>
        <item m="1" x="3215"/>
        <item m="1" x="3152"/>
        <item m="1" x="4505"/>
        <item m="1" x="3147"/>
        <item m="1" x="4338"/>
        <item x="99"/>
        <item m="1" x="3637"/>
        <item m="1" x="2253"/>
        <item m="1" x="4606"/>
        <item m="1" x="4307"/>
        <item m="1" x="5067"/>
        <item m="1" x="5670"/>
        <item m="1" x="5550"/>
        <item m="1" x="2883"/>
        <item m="1" x="3853"/>
        <item m="1" x="3569"/>
        <item m="1" x="973"/>
        <item m="1" x="4179"/>
        <item m="1" x="272"/>
        <item m="1" x="6274"/>
        <item m="1" x="1123"/>
        <item m="1" x="745"/>
        <item m="1" x="2765"/>
        <item m="1" x="5286"/>
        <item m="1" x="4126"/>
        <item m="1" x="2419"/>
        <item m="1" x="630"/>
        <item m="1" x="742"/>
        <item m="1" x="4757"/>
        <item m="1" x="1689"/>
        <item m="1" x="327"/>
        <item m="1" x="5528"/>
        <item m="1" x="4471"/>
        <item m="1" x="6284"/>
        <item m="1" x="293"/>
        <item m="1" x="491"/>
        <item m="1" x="3016"/>
        <item m="1" x="5065"/>
        <item m="1" x="3690"/>
        <item m="1" x="2175"/>
        <item m="1" x="3650"/>
        <item m="1" x="4344"/>
        <item m="1" x="3978"/>
        <item m="1" x="2909"/>
        <item m="1" x="462"/>
        <item m="1" x="1197"/>
        <item m="1" x="815"/>
        <item m="1" x="6061"/>
        <item m="1" x="2198"/>
        <item m="1" x="3129"/>
        <item m="1" x="4247"/>
        <item m="1" x="3622"/>
        <item m="1" x="6356"/>
        <item m="1" x="4798"/>
        <item m="1" x="1423"/>
        <item m="1" x="1899"/>
        <item m="1" x="2525"/>
        <item m="1" x="1726"/>
        <item m="1" x="2054"/>
        <item m="1" x="3113"/>
        <item m="1" x="3466"/>
        <item m="1" x="3776"/>
        <item m="1" x="4124"/>
        <item m="1" x="3607"/>
        <item m="1" x="3748"/>
        <item m="1" x="3934"/>
        <item m="1" x="4100"/>
        <item m="1" x="4770"/>
        <item m="1" x="795"/>
        <item m="1" x="4817"/>
        <item m="1" x="1853"/>
        <item m="1" x="5531"/>
        <item m="1" x="4405"/>
        <item m="1" x="3317"/>
        <item m="1" x="1118"/>
        <item m="1" x="2944"/>
        <item m="1" x="2569"/>
        <item m="1" x="1012"/>
        <item m="1" x="1347"/>
        <item m="1" x="3166"/>
        <item m="1" x="4244"/>
        <item m="1" x="6138"/>
        <item m="1" x="4609"/>
        <item m="1" x="176"/>
        <item m="1" x="1236"/>
        <item m="1" x="3059"/>
        <item m="1" x="4891"/>
        <item m="1" x="3398"/>
        <item m="1" x="4515"/>
        <item x="106"/>
        <item m="1" x="6326"/>
        <item m="1" x="5266"/>
        <item m="1" x="1906"/>
        <item x="100"/>
        <item m="1" x="5160"/>
        <item m="1" x="1805"/>
        <item m="1" x="5495"/>
        <item m="1" x="2154"/>
        <item m="1" x="5073"/>
        <item m="1" x="5693"/>
        <item m="1" x="2387"/>
        <item m="1" x="5284"/>
        <item m="1" x="2498"/>
        <item m="1" x="2729"/>
        <item m="1" x="2341"/>
        <item m="1" x="2930"/>
        <item m="1" x="4835"/>
        <item m="1" x="5278"/>
        <item m="1" x="5645"/>
        <item m="1" x="4652"/>
        <item m="1" x="1950"/>
        <item m="1" x="4873"/>
        <item m="1" x="3167"/>
        <item m="1" x="3301"/>
        <item m="1" x="3296"/>
        <item m="1" x="3240"/>
        <item m="1" x="3024"/>
        <item m="1" x="3452"/>
        <item m="1" x="3080"/>
        <item m="1" x="2806"/>
        <item m="1" x="1296"/>
        <item m="1" x="4313"/>
        <item m="1" x="1363"/>
        <item m="1" x="3995"/>
        <item m="1" x="1071"/>
        <item m="1" x="4434"/>
        <item m="1" x="3753"/>
        <item m="1" x="861"/>
        <item m="1" x="3486"/>
        <item m="1" x="6275"/>
        <item m="1" x="523"/>
        <item m="1" x="5527"/>
        <item m="1" x="4446"/>
        <item m="1" x="2661"/>
        <item m="1" x="793"/>
        <item m="1" x="5961"/>
        <item m="1" x="1181"/>
        <item m="1" x="5633"/>
        <item m="1" x="3801"/>
        <item m="1" x="4996"/>
        <item m="1" x="3897"/>
        <item m="1" x="2078"/>
        <item m="1" x="3598"/>
        <item m="1" x="1756"/>
        <item m="1" x="669"/>
        <item m="1" x="5103"/>
        <item m="1" x="3260"/>
        <item m="1" x="1182"/>
        <item m="1" x="3409"/>
        <item m="1" x="5621"/>
        <item m="1" x="1577"/>
        <item m="1" x="4540"/>
        <item m="1" x="472"/>
        <item m="1" x="4907"/>
        <item m="1" x="883"/>
        <item m="1" x="3091"/>
        <item m="1" x="6063"/>
        <item m="1" x="1957"/>
        <item m="1" x="2386"/>
        <item m="1" x="4618"/>
        <item m="1" x="1264"/>
        <item m="1" x="3509"/>
        <item m="1" x="5711"/>
        <item m="1" x="6149"/>
        <item m="1" x="2801"/>
        <item m="1" x="5002"/>
        <item m="1" x="966"/>
        <item m="1" x="3187"/>
        <item m="1" x="283"/>
        <item m="1" x="2503"/>
        <item m="1" x="4691"/>
        <item m="1" x="658"/>
        <item m="1" x="2880"/>
        <item m="1" x="1761"/>
        <item m="1" x="3981"/>
        <item m="1" x="6217"/>
        <item m="1" x="2164"/>
        <item m="1" x="4400"/>
        <item m="1" x="5483"/>
        <item m="1" x="1448"/>
        <item m="1" x="3684"/>
        <item m="1" x="5895"/>
        <item m="1" x="1820"/>
        <item m="1" x="5167"/>
        <item m="1" x="1128"/>
        <item m="1" x="3354"/>
        <item m="1" x="6316"/>
        <item m="1" x="1049"/>
        <item m="1" x="5277"/>
        <item m="1" x="3269"/>
        <item m="1" x="1246"/>
        <item m="1" x="1442"/>
        <item m="1" x="5692"/>
        <item m="1" x="3679"/>
        <item m="1" x="2371"/>
        <item m="1" x="359"/>
        <item m="1" x="543"/>
        <item m="1" x="2784"/>
        <item m="1" x="753"/>
        <item m="1" x="4984"/>
        <item m="1" x="5163"/>
        <item m="1" x="1828"/>
        <item m="1" x="4071"/>
        <item m="1" x="4251"/>
        <item m="1" x="2255"/>
        <item m="1" x="252"/>
        <item m="1" x="2481"/>
        <item m="1" x="3369"/>
        <item m="1" x="1338"/>
        <item m="1" x="5583"/>
        <item m="1" x="3575"/>
        <item m="1" x="1527"/>
        <item m="1" x="1744"/>
        <item m="1" x="6007"/>
        <item m="1" x="3952"/>
        <item m="1" x="1913"/>
        <item m="1" x="3456"/>
        <item m="1" x="1420"/>
        <item m="1" x="142"/>
        <item m="1" x="4383"/>
        <item m="1" x="4592"/>
        <item m="1" x="2589"/>
        <item m="1" x="513"/>
        <item m="1" x="4753"/>
        <item m="1" x="2766"/>
        <item m="1" x="2941"/>
        <item m="1" x="1634"/>
        <item m="1" x="5874"/>
        <item m="1" x="3848"/>
        <item m="1" x="1800"/>
        <item m="1" x="2024"/>
        <item m="1" x="6283"/>
        <item m="1" x="4232"/>
        <item m="1" x="2221"/>
        <item m="1" x="231"/>
        <item m="1" x="1117"/>
        <item m="1" x="5357"/>
        <item m="1" x="3341"/>
        <item m="1" x="1317"/>
        <item m="1" x="5560"/>
        <item m="1" x="5754"/>
        <item m="1" x="3731"/>
        <item m="1" x="1722"/>
        <item m="1" x="5978"/>
        <item m="1" x="4656"/>
        <item m="1" x="4845"/>
        <item m="1" x="2840"/>
        <item m="1" x="822"/>
        <item m="1" x="5058"/>
        <item m="1" x="3226"/>
        <item m="1" x="1199"/>
        <item m="1" x="1076"/>
        <item m="1" x="2185"/>
        <item m="1" x="3999"/>
        <item m="1" x="5835"/>
        <item m="1" x="4327"/>
        <item m="1" x="5426"/>
        <item m="1" x="981"/>
        <item m="1" x="2810"/>
        <item m="1" x="3920"/>
        <item m="1" x="2418"/>
        <item m="1" x="4210"/>
        <item m="1" x="6078"/>
        <item m="1" x="910"/>
        <item m="1" x="2749"/>
        <item m="1" x="1297"/>
        <item m="1" x="4237"/>
        <item m="1" x="1633"/>
        <item m="1" x="4570"/>
        <item m="1" x="1511"/>
        <item m="1" x="4455"/>
        <item m="1" x="1826"/>
        <item m="1" x="4761"/>
        <item m="1" x="1418"/>
        <item m="1" x="930"/>
        <item m="1" x="573"/>
        <item m="1" x="870"/>
        <item m="1" x="1144"/>
        <item m="1" x="4410"/>
        <item m="1" x="5238"/>
        <item m="1" x="4799"/>
        <item m="1" x="6158"/>
        <item m="1" x="4593"/>
        <item m="1" x="4255"/>
        <item m="1" x="1859"/>
        <item m="1" x="5226"/>
        <item m="1" x="1602"/>
        <item m="1" x="4948"/>
        <item m="1" x="1712"/>
        <item m="1" x="5016"/>
        <item m="1" x="1376"/>
        <item m="1" x="4715"/>
        <item m="1" x="1766"/>
        <item m="1" x="4417"/>
        <item m="1" x="5790"/>
        <item m="1" x="4690"/>
        <item m="1" x="2895"/>
        <item m="1" x="1037"/>
        <item m="1" x="6216"/>
        <item m="1" x="1447"/>
        <item m="1" x="5910"/>
        <item m="1" x="4059"/>
        <item m="1" x="2962"/>
        <item m="1" x="1139"/>
        <item m="1" x="844"/>
        <item m="1" x="6008"/>
        <item m="1" x="4162"/>
        <item m="1" x="2351"/>
        <item m="1" x="3849"/>
        <item m="1" x="2761"/>
        <item m="1" x="928"/>
        <item m="1" x="5358"/>
        <item m="1" x="4227"/>
        <item m="1" x="4452"/>
        <item x="92"/>
        <item m="1" x="421"/>
        <item m="1" x="2674"/>
        <item m="1" x="4836"/>
        <item m="1" x="1498"/>
        <item m="1" x="4125"/>
        <item m="1" x="3026"/>
        <item m="1" x="5231"/>
        <item m="1" x="6089"/>
        <item m="1" x="1981"/>
        <item m="1" x="4211"/>
        <item m="1" x="3530"/>
        <item m="1" x="1697"/>
        <item m="1" x="3908"/>
        <item m="1" x="5021"/>
        <item m="1" x="1904"/>
        <item m="1" x="1064"/>
        <item m="1" x="238"/>
        <item m="1" x="5618"/>
        <item m="1" x="2338"/>
        <item m="1" x="1468"/>
        <item m="1" x="6190"/>
        <item m="1" x="5299"/>
        <item m="1" x="4474"/>
        <item m="1" x="1167"/>
        <item m="1" x="333"/>
        <item m="1" x="5715"/>
        <item m="1" x="4137"/>
        <item m="1" x="3290"/>
        <item m="1" x="5407"/>
        <item m="1" x="4578"/>
        <item m="1" x="3700"/>
        <item m="1" x="2853"/>
        <item m="1" x="5817"/>
        <item m="1" x="4972"/>
        <item m="1" x="3399"/>
        <item m="1" x="2576"/>
        <item m="1" x="1680"/>
        <item m="1" x="3781"/>
        <item m="1" x="2948"/>
        <item m="1" x="1365"/>
        <item m="1" x="3824"/>
        <item m="1" x="556"/>
        <item m="1" x="5977"/>
        <item m="1" x="4404"/>
        <item m="1" x="3540"/>
        <item m="1" x="2705"/>
        <item m="1" x="5648"/>
        <item m="1" x="4780"/>
        <item m="1" x="3933"/>
        <item m="1" x="1491"/>
        <item m="1" x="4507"/>
        <item m="1" x="3636"/>
        <item m="1" x="2788"/>
        <item m="1" x="1883"/>
        <item m="1" x="1052"/>
        <item m="1" x="4037"/>
        <item m="1" x="3177"/>
        <item m="1" x="1600"/>
        <item m="1" x="762"/>
        <item m="1" x="6177"/>
        <item m="1" x="2879"/>
        <item m="1" x="1997"/>
        <item m="1" x="1152"/>
        <item m="1" x="5842"/>
        <item m="1" x="4989"/>
        <item m="1" x="1709"/>
        <item m="1" x="857"/>
        <item m="1" x="6262"/>
        <item m="1" x="5387"/>
        <item m="1" x="3804"/>
        <item m="1" x="1248"/>
        <item m="1" x="417"/>
        <item m="1" x="5089"/>
        <item m="1" x="4217"/>
        <item m="1" x="3381"/>
        <item m="1" x="5488"/>
        <item m="1" x="4645"/>
        <item m="1" x="3065"/>
        <item m="1" x="2209"/>
        <item m="1" x="5171"/>
        <item m="1" x="4330"/>
        <item m="1" x="3482"/>
        <item m="1" x="2668"/>
        <item m="1" x="1042"/>
        <item m="1" x="4733"/>
        <item m="1" x="2312"/>
        <item m="1" x="1451"/>
        <item m="1" x="605"/>
        <item m="1" x="2750"/>
        <item m="1" x="1833"/>
        <item m="1" x="308"/>
        <item m="1" x="5696"/>
        <item m="1" x="1534"/>
        <item m="1" x="714"/>
        <item m="1" x="6142"/>
        <item m="1" x="4553"/>
        <item m="1" x="1930"/>
        <item m="1" x="402"/>
        <item m="1" x="5789"/>
        <item m="1" x="4935"/>
        <item m="1" x="4080"/>
        <item m="1" x="811"/>
        <item m="1" x="6211"/>
        <item m="1" x="5336"/>
        <item m="1" x="3757"/>
        <item m="1" x="5025"/>
        <item m="1" x="943"/>
        <item m="1" x="3105"/>
        <item m="1" x="5271"/>
        <item m="1" x="749"/>
        <item m="1" x="2918"/>
        <item m="1" x="4378"/>
        <item m="1" x="2473"/>
        <item m="1" x="1955"/>
        <item m="1" x="4145"/>
        <item m="1" x="6345"/>
        <item m="1" x="2237"/>
        <item m="1" x="3695"/>
        <item m="1" x="6160"/>
        <item m="1" x="1310"/>
        <item m="1" x="3498"/>
        <item m="1" x="5662"/>
        <item m="1" x="2365"/>
        <item m="1" x="4561"/>
        <item m="1" x="450"/>
        <item m="1" x="2664"/>
        <item m="1" x="2152"/>
        <item m="1" x="4325"/>
        <item m="1" x="264"/>
        <item m="1" x="1696"/>
        <item m="1" x="3858"/>
        <item m="1" x="4112"/>
        <item m="1" x="5572"/>
        <item m="1" x="1470"/>
        <item m="1" x="3668"/>
        <item m="1" x="5831"/>
        <item m="1" x="5363"/>
        <item m="1" x="1276"/>
        <item m="1" x="3463"/>
        <item m="1" x="4904"/>
        <item m="1" x="830"/>
        <item m="1" x="377"/>
        <item m="1" x="2567"/>
        <item m="1" x="4699"/>
        <item m="1" x="2327"/>
        <item m="1" x="4519"/>
        <item m="1" x="5973"/>
        <item m="1" x="1836"/>
        <item m="1" x="4040"/>
        <item m="1" x="3582"/>
        <item m="1" x="5741"/>
        <item m="1" x="1657"/>
        <item m="1" x="3814"/>
        <item m="1" x="5272"/>
        <item m="1" x="5541"/>
        <item m="1" x="1444"/>
        <item m="1" x="2919"/>
        <item m="1" x="5081"/>
        <item m="1" x="991"/>
        <item m="1" x="524"/>
        <item m="1" x="2739"/>
        <item m="1" x="799"/>
        <item m="1" x="2240"/>
        <item m="1" x="2534"/>
        <item m="1" x="3943"/>
        <item m="1" x="6161"/>
        <item m="1" x="2027"/>
        <item m="1" x="4196"/>
        <item m="1" x="5929"/>
        <item m="1" x="1799"/>
        <item m="1" x="3281"/>
        <item m="1" x="5457"/>
        <item m="1" x="715"/>
        <item m="1" x="2884"/>
        <item m="1" x="5046"/>
        <item m="1" x="265"/>
        <item m="1" x="2420"/>
        <item m="1" x="1917"/>
        <item m="1" x="4115"/>
        <item m="1" x="6314"/>
        <item m="1" x="2203"/>
        <item m="1" x="4398"/>
        <item m="1" x="3915"/>
        <item m="1" x="6132"/>
        <item m="1" x="1277"/>
        <item m="1" x="3465"/>
        <item m="1" x="5625"/>
        <item m="1" x="5154"/>
        <item m="1" x="1070"/>
        <item m="1" x="3245"/>
        <item m="1" x="5416"/>
        <item m="1" x="882"/>
        <item m="1" x="4521"/>
        <item m="1" x="426"/>
        <item m="1" x="2126"/>
        <item m="1" x="4276"/>
        <item m="1" x="230"/>
        <item m="1" x="1660"/>
        <item m="1" x="3816"/>
        <item m="1" x="5544"/>
        <item m="1" x="1449"/>
        <item m="1" x="3635"/>
        <item m="1" x="5795"/>
        <item m="1" x="5326"/>
        <item m="1" x="1238"/>
        <item m="1" x="3424"/>
        <item m="1" x="4871"/>
        <item m="1" x="802"/>
        <item m="1" x="345"/>
        <item m="1" x="2537"/>
        <item m="1" x="4666"/>
        <item m="1" x="588"/>
        <item m="1" x="2776"/>
        <item m="1" x="4483"/>
        <item m="1" x="5930"/>
        <item m="1" x="1804"/>
        <item m="1" x="4006"/>
        <item m="1" x="5708"/>
        <item m="1" x="1624"/>
        <item m="1" x="3777"/>
        <item m="1" x="5235"/>
        <item m="1" x="5501"/>
        <item m="1" x="1411"/>
        <item m="1" x="2886"/>
        <item m="1" x="5047"/>
        <item x="66"/>
        <item x="69"/>
        <item m="1" x="2499"/>
        <item m="1" x="1164"/>
        <item m="1" x="2048"/>
        <item m="1" x="4412"/>
        <item m="1" x="3208"/>
        <item m="1" x="5380"/>
        <item m="1" x="3473"/>
        <item m="1" x="3595"/>
        <item m="1" x="2210"/>
        <item m="1" x="2184"/>
        <item m="1" x="3657"/>
        <item m="1" x="2639"/>
        <item m="1" x="3028"/>
        <item m="1" x="2529"/>
        <item m="1" x="5980"/>
        <item m="1" x="1252"/>
        <item m="1" x="379"/>
        <item m="1" x="5995"/>
        <item m="1" x="4589"/>
        <item m="1" x="1679"/>
        <item m="1" x="1278"/>
        <item m="1" x="4743"/>
        <item m="1" x="1019"/>
        <item m="1" x="1793"/>
        <item m="1" x="4424"/>
        <item m="1" x="3325"/>
        <item m="1" x="5965"/>
        <item m="1" x="2065"/>
        <item m="1" x="1247"/>
        <item m="1" x="2789"/>
        <item m="1" x="5241"/>
        <item m="1" x="3125"/>
        <item m="1" x="4254"/>
        <item m="1" x="5108"/>
        <item m="1" x="6367"/>
        <item m="1" x="5666"/>
        <item m="1" x="1839"/>
        <item m="1" x="186"/>
        <item m="1" x="5806"/>
        <item m="1" x="1607"/>
        <item m="1" x="1893"/>
        <item m="1" x="2331"/>
        <item m="1" x="3993"/>
        <item m="1" x="4749"/>
        <item m="1" x="3394"/>
        <item m="1" x="5651"/>
        <item m="1" x="6234"/>
        <item m="1" x="4204"/>
        <item m="1" x="1846"/>
        <item m="1" x="6075"/>
        <item m="1" x="6251"/>
        <item m="1" x="5949"/>
        <item m="1" x="2012"/>
        <item m="1" x="3109"/>
        <item m="1" x="5365"/>
        <item m="1" x="208"/>
        <item m="1" x="2262"/>
        <item m="1" x="1787"/>
        <item m="1" x="1334"/>
        <item m="1" x="2581"/>
        <item m="1" x="4262"/>
        <item m="1" x="2672"/>
        <item m="1" x="4451"/>
        <item m="1" x="6181"/>
        <item m="1" x="3236"/>
        <item m="1" x="2748"/>
        <item m="1" x="229"/>
        <item m="1" x="5756"/>
        <item m="1" x="1100"/>
        <item m="1" x="365"/>
        <item m="1" x="954"/>
        <item m="1" x="6185"/>
        <item m="1" x="4683"/>
        <item m="1" x="5944"/>
        <item m="1" x="5637"/>
        <item m="1" x="5015"/>
        <item m="1" x="5588"/>
        <item m="1" x="5712"/>
        <item m="1" x="1465"/>
        <item m="1" x="3361"/>
        <item m="1" x="4240"/>
        <item m="1" x="5123"/>
        <item m="1" x="2405"/>
        <item m="1" x="1412"/>
        <item m="1" x="3119"/>
        <item m="1" x="1133"/>
        <item m="1" x="1816"/>
        <item m="1" x="4855"/>
        <item m="1" x="3138"/>
        <item m="1" x="4787"/>
        <item m="1" x="2554"/>
        <item m="1" x="5839"/>
        <item m="1" x="4198"/>
        <item m="1" x="1478"/>
        <item m="1" x="3596"/>
        <item m="1" x="6090"/>
        <item m="1" x="423"/>
        <item m="1" x="232"/>
        <item m="1" x="5673"/>
        <item m="1" x="2157"/>
        <item m="1" x="4558"/>
        <item m="1" x="2166"/>
        <item m="1" x="3058"/>
        <item m="1" x="5507"/>
        <item m="1" x="4486"/>
        <item m="1" x="1233"/>
        <item m="1" x="1837"/>
        <item m="1" x="6196"/>
        <item m="1" x="3576"/>
        <item m="1" x="2455"/>
        <item m="1" x="1580"/>
        <item m="1" x="6368"/>
        <item m="1" x="3416"/>
        <item m="1" x="3996"/>
        <item m="1" x="5650"/>
        <item m="1" x="4635"/>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7" hier="-1"/>
    <pageField fld="25" hier="-1"/>
  </pageFields>
  <dataFields count="3">
    <dataField name=" Fecha de terminación final" fld="18" baseField="0" baseItem="0" numFmtId="169"/>
    <dataField name=" % Ejecución recursos" fld="23" baseField="0" baseItem="0" numFmtId="10"/>
    <dataField name=" % Ejecución física" fld="24" baseField="0" baseItem="0" numFmtId="10"/>
  </dataFields>
  <formats count="6">
    <format dxfId="612">
      <pivotArea field="0" type="button" dataOnly="0" labelOnly="1" outline="0" axis="axisRow" fieldPosition="0"/>
    </format>
    <format dxfId="611">
      <pivotArea dataOnly="0" labelOnly="1" outline="0" fieldPosition="0">
        <references count="1">
          <reference field="4294967294" count="3">
            <x v="0"/>
            <x v="1"/>
            <x v="2"/>
          </reference>
        </references>
      </pivotArea>
    </format>
    <format dxfId="610">
      <pivotArea field="0" type="button" dataOnly="0" labelOnly="1" outline="0" axis="axisRow" fieldPosition="0"/>
    </format>
    <format dxfId="609">
      <pivotArea dataOnly="0" labelOnly="1" outline="0" fieldPosition="0">
        <references count="1">
          <reference field="4294967294" count="3">
            <x v="0"/>
            <x v="1"/>
            <x v="2"/>
          </reference>
        </references>
      </pivotArea>
    </format>
    <format dxfId="608">
      <pivotArea field="0" type="button" dataOnly="0" labelOnly="1" outline="0" axis="axisRow" fieldPosition="0"/>
    </format>
    <format dxfId="607">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a dinámica1" cacheId="22" applyNumberFormats="0" applyBorderFormats="0" applyFontFormats="0" applyPatternFormats="0" applyAlignmentFormats="0" applyWidthHeightFormats="1" dataCaption="Valores" updatedVersion="6"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8" showAll="0"/>
    <pivotField showAll="0"/>
    <pivotField showAll="0"/>
    <pivotField showAll="0"/>
    <pivotField showAll="0"/>
    <pivotField numFmtId="169"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1" count="1" selected="0">
            <x v="0"/>
          </reference>
        </references>
      </pivotArea>
    </chartFormat>
    <chartFormat chart="0" format="2" series="1">
      <pivotArea type="data" outline="0" fieldPosition="0">
        <references count="2">
          <reference field="4294967294" count="1" selected="0">
            <x v="0"/>
          </reference>
          <reference field="11" count="1" selected="0">
            <x v="1"/>
          </reference>
        </references>
      </pivotArea>
    </chartFormat>
    <chartFormat chart="0" format="3" series="1">
      <pivotArea type="data" outline="0" fieldPosition="0">
        <references count="2">
          <reference field="4294967294" count="1" selected="0">
            <x v="0"/>
          </reference>
          <reference field="11" count="1" selected="0">
            <x v="2"/>
          </reference>
        </references>
      </pivotArea>
    </chartFormat>
    <chartFormat chart="0" format="4" series="1">
      <pivotArea type="data" outline="0" fieldPosition="0">
        <references count="2">
          <reference field="4294967294" count="1" selected="0">
            <x v="0"/>
          </reference>
          <reference field="11" count="1" selected="0">
            <x v="3"/>
          </reference>
        </references>
      </pivotArea>
    </chartFormat>
    <chartFormat chart="0" format="5" series="1">
      <pivotArea type="data" outline="0" fieldPosition="0">
        <references count="2">
          <reference field="4294967294" count="1" selected="0">
            <x v="0"/>
          </reference>
          <reference field="11" count="1" selected="0">
            <x v="4"/>
          </reference>
        </references>
      </pivotArea>
    </chartFormat>
    <chartFormat chart="0" format="6" series="1">
      <pivotArea type="data" outline="0" fieldPosition="0">
        <references count="2">
          <reference field="4294967294" count="1" selected="0">
            <x v="0"/>
          </reference>
          <reference field="11" count="1" selected="0">
            <x v="5"/>
          </reference>
        </references>
      </pivotArea>
    </chartFormat>
    <chartFormat chart="0" format="7" series="1">
      <pivotArea type="data" outline="0" fieldPosition="0">
        <references count="2">
          <reference field="4294967294" count="1" selected="0">
            <x v="0"/>
          </reference>
          <reference field="11" count="1" selected="0">
            <x v="6"/>
          </reference>
        </references>
      </pivotArea>
    </chartFormat>
    <chartFormat chart="0" format="8" series="1">
      <pivotArea type="data" outline="0" fieldPosition="0">
        <references count="2">
          <reference field="4294967294" count="1" selected="0">
            <x v="0"/>
          </reference>
          <reference field="11" count="1" selected="0">
            <x v="7"/>
          </reference>
        </references>
      </pivotArea>
    </chartFormat>
    <chartFormat chart="0" format="9" series="1">
      <pivotArea type="data" outline="0" fieldPosition="0">
        <references count="2">
          <reference field="4294967294" count="1" selected="0">
            <x v="0"/>
          </reference>
          <reference field="11" count="1" selected="0">
            <x v="8"/>
          </reference>
        </references>
      </pivotArea>
    </chartFormat>
    <chartFormat chart="0" format="10" series="1">
      <pivotArea type="data" outline="0" fieldPosition="0">
        <references count="2">
          <reference field="4294967294" count="1" selected="0">
            <x v="0"/>
          </reference>
          <reference field="11" count="1" selected="0">
            <x v="9"/>
          </reference>
        </references>
      </pivotArea>
    </chartFormat>
    <chartFormat chart="0" format="11" series="1">
      <pivotArea type="data" outline="0" fieldPosition="0">
        <references count="2">
          <reference field="4294967294" count="1" selected="0">
            <x v="0"/>
          </reference>
          <reference field="11" count="1" selected="0">
            <x v="10"/>
          </reference>
        </references>
      </pivotArea>
    </chartFormat>
    <chartFormat chart="0" format="12" series="1">
      <pivotArea type="data" outline="0" fieldPosition="0">
        <references count="2">
          <reference field="4294967294" count="1" selected="0">
            <x v="0"/>
          </reference>
          <reference field="11" count="1" selected="0">
            <x v="11"/>
          </reference>
        </references>
      </pivotArea>
    </chartFormat>
    <chartFormat chart="0" format="13" series="1">
      <pivotArea type="data" outline="0" fieldPosition="0">
        <references count="2">
          <reference field="4294967294" count="1" selected="0">
            <x v="0"/>
          </reference>
          <reference field="11"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Tabla dinámica6" cacheId="16" applyNumberFormats="0" applyBorderFormats="0" applyFontFormats="0" applyPatternFormats="0" applyAlignmentFormats="0" applyWidthHeightFormats="1" dataCaption="Valores" updatedVersion="6"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Tabla dinámica5" cacheId="19" applyNumberFormats="0" applyBorderFormats="0" applyFontFormats="0" applyPatternFormats="0" applyAlignmentFormats="0" applyWidthHeightFormats="1" dataCaption="Valores" updatedVersion="6"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__Ejecución_recursos" xr10:uid="{00000000-0013-0000-FFFF-FFFF01000000}"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__Ejecución_recursos1" xr10:uid="{00000000-0013-0000-FFFF-FFFF02000000}" sourceName="% Ejecución recursos">
  <pivotTables>
    <pivotTable tabId="20" name="Tabla dinámica3"/>
  </pivotTables>
  <data>
    <tabular pivotCacheId="2">
      <items count="447">
        <i x="6" s="1"/>
        <i x="2" s="1"/>
        <i x="5" s="1"/>
        <i x="66" s="1"/>
        <i x="73" s="1"/>
        <i x="83" s="1"/>
        <i x="48" s="1"/>
        <i x="97" s="1"/>
        <i x="85" s="1"/>
        <i x="50" s="1"/>
        <i x="72" s="1"/>
        <i x="22" s="1"/>
        <i x="27" s="1"/>
        <i x="100" s="1"/>
        <i x="44" s="1"/>
        <i x="60" s="1"/>
        <i x="84" s="1"/>
        <i x="57" s="1"/>
        <i x="79" s="1"/>
        <i x="104" s="1"/>
        <i x="80" s="1"/>
        <i x="102" s="1"/>
        <i x="94" s="1"/>
        <i x="24" s="1"/>
        <i x="59" s="1"/>
        <i x="68" s="1"/>
        <i x="11" s="1"/>
        <i x="8" s="1"/>
        <i x="10" s="1"/>
        <i x="34" s="1"/>
        <i x="20" s="1"/>
        <i x="29" s="1"/>
        <i x="45" s="1"/>
        <i x="38" s="1"/>
        <i x="0" s="1"/>
        <i x="51" s="1"/>
        <i x="19" s="1"/>
        <i x="81" s="1"/>
        <i x="12" s="1"/>
        <i x="36" s="1"/>
        <i x="23" s="1"/>
        <i x="91" s="1"/>
        <i x="103" s="1"/>
        <i x="33" s="1"/>
        <i x="95" s="1"/>
        <i x="62" s="1"/>
        <i x="31" s="1"/>
        <i x="74" s="1"/>
        <i x="4" s="1"/>
        <i x="30" s="1"/>
        <i x="70" s="1"/>
        <i x="96" s="1"/>
        <i x="75" s="1"/>
        <i x="14" s="1"/>
        <i x="86" s="1"/>
        <i x="13" s="1"/>
        <i x="17" s="1"/>
        <i x="26" s="1"/>
        <i x="98" s="1"/>
        <i x="78" s="1"/>
        <i x="93" s="1"/>
        <i x="37" s="1"/>
        <i x="43" s="1"/>
        <i x="105"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6" s="1"/>
        <i x="92" s="1"/>
        <i x="69" s="1"/>
        <i x="47" s="1"/>
        <i x="3" s="1"/>
        <i x="65" s="1"/>
        <i x="135" s="1" nd="1"/>
        <i x="360" s="1" nd="1"/>
        <i x="425" s="1" nd="1"/>
        <i x="369" s="1" nd="1"/>
        <i x="293" s="1" nd="1"/>
        <i x="363" s="1" nd="1"/>
        <i x="247" s="1" nd="1"/>
        <i x="259" s="1" nd="1"/>
        <i x="442" s="1" nd="1"/>
        <i x="250" s="1" nd="1"/>
        <i x="275" s="1" nd="1"/>
        <i x="367" s="1" nd="1"/>
        <i x="311" s="1" nd="1"/>
        <i x="134" s="1" nd="1"/>
        <i x="206" s="1" nd="1"/>
        <i x="380" s="1" nd="1"/>
        <i x="256" s="1" nd="1"/>
        <i x="276" s="1" nd="1"/>
        <i x="286" s="1" nd="1"/>
        <i x="226" s="1" nd="1"/>
        <i x="172" s="1" nd="1"/>
        <i x="288" s="1" nd="1"/>
        <i x="424" s="1" nd="1"/>
        <i x="330" s="1" nd="1"/>
        <i x="356" s="1" nd="1"/>
        <i x="423" s="1" nd="1"/>
        <i x="182" s="1" nd="1"/>
        <i x="370" s="1" nd="1"/>
        <i x="434" s="1" nd="1"/>
        <i x="316" s="1" nd="1"/>
        <i x="169" s="1" nd="1"/>
        <i x="269" s="1" nd="1"/>
        <i x="167" s="1" nd="1"/>
        <i x="391" s="1" nd="1"/>
        <i x="125" s="1" nd="1"/>
        <i x="107" s="1" nd="1"/>
        <i x="379" s="1" nd="1"/>
        <i x="201" s="1" nd="1"/>
        <i x="158" s="1" nd="1"/>
        <i x="295" s="1" nd="1"/>
        <i x="121" s="1" nd="1"/>
        <i x="263" s="1" nd="1"/>
        <i x="241" s="1" nd="1"/>
        <i x="177" s="1" nd="1"/>
        <i x="392" s="1" nd="1"/>
        <i x="187" s="1" nd="1"/>
        <i x="438" s="1" nd="1"/>
        <i x="366" s="1" nd="1"/>
        <i x="339" s="1" nd="1"/>
        <i x="345" s="1" nd="1"/>
        <i x="401" s="1" nd="1"/>
        <i x="233" s="1" nd="1"/>
        <i x="150" s="1" nd="1"/>
        <i x="386" s="1" nd="1"/>
        <i x="229" s="1" nd="1"/>
        <i x="407" s="1" nd="1"/>
        <i x="306" s="1" nd="1"/>
        <i x="291" s="1" nd="1"/>
        <i x="418" s="1" nd="1"/>
        <i x="116" s="1" nd="1"/>
        <i x="351" s="1" nd="1"/>
        <i x="186" s="1" nd="1"/>
        <i x="178" s="1" nd="1"/>
        <i x="194" s="1" nd="1"/>
        <i x="317" s="1" nd="1"/>
        <i x="144" s="1" nd="1"/>
        <i x="266" s="1" nd="1"/>
        <i x="156" s="1" nd="1"/>
        <i x="440" s="1" nd="1"/>
        <i x="432" s="1" nd="1"/>
        <i x="441" s="1" nd="1"/>
        <i x="254" s="1" nd="1"/>
        <i x="318" s="1" nd="1"/>
        <i x="222" s="1" nd="1"/>
        <i x="224" s="1" nd="1"/>
        <i x="268" s="1" nd="1"/>
        <i x="343" s="1" nd="1"/>
        <i x="298" s="1" nd="1"/>
        <i x="154" s="1" nd="1"/>
        <i x="443" s="1" nd="1"/>
        <i x="287" s="1" nd="1"/>
        <i x="338" s="1" nd="1"/>
        <i x="202" s="1" nd="1"/>
        <i x="285" s="1" nd="1"/>
        <i x="301" s="1" nd="1"/>
        <i x="189" s="1" nd="1"/>
        <i x="251" s="1" nd="1"/>
        <i x="299" s="1" nd="1"/>
        <i x="416" s="1" nd="1"/>
        <i x="171" s="1" nd="1"/>
        <i x="141" s="1" nd="1"/>
        <i x="115" s="1" nd="1"/>
        <i x="314" s="1" nd="1"/>
        <i x="374" s="1" nd="1"/>
        <i x="305" s="1" nd="1"/>
        <i x="165" s="1" nd="1"/>
        <i x="218" s="1" nd="1"/>
        <i x="359" s="1" nd="1"/>
        <i x="153" s="1" nd="1"/>
        <i x="213" s="1" nd="1"/>
        <i x="228" s="1" nd="1"/>
        <i x="253" s="1" nd="1"/>
        <i x="260" s="1" nd="1"/>
        <i x="375" s="1" nd="1"/>
        <i x="431" s="1" nd="1"/>
        <i x="146" s="1" nd="1"/>
        <i x="422" s="1" nd="1"/>
        <i x="428" s="1" nd="1"/>
        <i x="319" s="1" nd="1"/>
        <i x="176" s="1" nd="1"/>
        <i x="397" s="1" nd="1"/>
        <i x="296" s="1" nd="1"/>
        <i x="191" s="1" nd="1"/>
        <i x="446" s="1" nd="1"/>
        <i x="309" s="1" nd="1"/>
        <i x="396" s="1" nd="1"/>
        <i x="147" s="1" nd="1"/>
        <i x="248" s="1" nd="1"/>
        <i x="333" s="1" nd="1"/>
        <i x="114" s="1" nd="1"/>
        <i x="294" s="1" nd="1"/>
        <i x="151" s="1" nd="1"/>
        <i x="195" s="1" nd="1"/>
        <i x="199" s="1" nd="1"/>
        <i x="284" s="1" nd="1"/>
        <i x="238" s="1" nd="1"/>
        <i x="120" s="1" nd="1"/>
        <i x="110" s="1" nd="1"/>
        <i x="196" s="1" nd="1"/>
        <i x="400" s="1" nd="1"/>
        <i x="225" s="1" nd="1"/>
        <i x="109" s="1" nd="1"/>
        <i x="405" s="1" nd="1"/>
        <i x="119" s="1" nd="1"/>
        <i x="382" s="1" nd="1"/>
        <i x="383" s="1" nd="1"/>
        <i x="126" s="1" nd="1"/>
        <i x="404" s="1" nd="1"/>
        <i x="137" s="1" nd="1"/>
        <i x="313" s="1" nd="1"/>
        <i x="344" s="1" nd="1"/>
        <i x="352" s="1" nd="1"/>
        <i x="277" s="1" nd="1"/>
        <i x="193" s="1" nd="1"/>
        <i x="217" s="1" nd="1"/>
        <i x="355" s="1" nd="1"/>
        <i x="429" s="1" nd="1"/>
        <i x="221" s="1" nd="1"/>
        <i x="390" s="1" nd="1"/>
        <i x="152" s="1" nd="1"/>
        <i x="270" s="1" nd="1"/>
        <i x="113" s="1" nd="1"/>
        <i x="358" s="1" nd="1"/>
        <i x="252" s="1" nd="1"/>
        <i x="435" s="1" nd="1"/>
        <i x="212" s="1" nd="1"/>
        <i x="204" s="1" nd="1"/>
        <i x="274" s="1" nd="1"/>
        <i x="261" s="1" nd="1"/>
        <i x="427" s="1" nd="1"/>
        <i x="437" s="1" nd="1"/>
        <i x="402" s="1" nd="1"/>
        <i x="136" s="1" nd="1"/>
        <i x="381" s="1" nd="1"/>
        <i x="377" s="1" nd="1"/>
        <i x="353" s="1" nd="1"/>
        <i x="173" s="1" nd="1"/>
        <i x="312" s="1" nd="1"/>
        <i x="408" s="1" nd="1"/>
        <i x="255" s="1" nd="1"/>
        <i x="245" s="1" nd="1"/>
        <i x="362" s="1" nd="1"/>
        <i x="310" s="1" nd="1"/>
        <i x="439" s="1" nd="1"/>
        <i x="387" s="1" nd="1"/>
        <i x="357" s="1" nd="1"/>
        <i x="267" s="1" nd="1"/>
        <i x="130" s="1" nd="1"/>
        <i x="149" s="1" nd="1"/>
        <i x="426" s="1" nd="1"/>
        <i x="183" s="1" nd="1"/>
        <i x="220" s="1" nd="1"/>
        <i x="444" s="1" nd="1"/>
        <i x="348" s="1" nd="1"/>
        <i x="321" s="1" nd="1"/>
        <i x="322" s="1" nd="1"/>
        <i x="279" s="1" nd="1"/>
        <i x="246" s="1" nd="1"/>
        <i x="145" s="1" nd="1"/>
        <i x="155" s="1" nd="1"/>
        <i x="364" s="1" nd="1"/>
        <i x="349" s="1" nd="1"/>
        <i x="162" s="1" nd="1"/>
        <i x="332" s="1" nd="1"/>
        <i x="216" s="1" nd="1"/>
        <i x="433" s="1" nd="1"/>
        <i x="157" s="1" nd="1"/>
        <i x="223" s="1" nd="1"/>
        <i x="112" s="1" nd="1"/>
        <i x="258" s="1" nd="1"/>
        <i x="166" s="1" nd="1"/>
        <i x="413" s="1" nd="1"/>
        <i x="242" s="1" nd="1"/>
        <i x="415" s="1" nd="1"/>
        <i x="271" s="1" nd="1"/>
        <i x="361" s="1" nd="1"/>
        <i x="378" s="1" nd="1"/>
        <i x="179" s="1" nd="1"/>
        <i x="203" s="1" nd="1"/>
        <i x="430" s="1" nd="1"/>
        <i x="395" s="1" nd="1"/>
        <i x="328" s="1" nd="1"/>
        <i x="123" s="1" nd="1"/>
        <i x="394" s="1" nd="1"/>
        <i x="164" s="1" nd="1"/>
        <i x="324" s="1" nd="1"/>
        <i x="292" s="1" nd="1"/>
        <i x="138" s="1" nd="1"/>
        <i x="264" s="1" nd="1"/>
        <i x="190" s="1" nd="1"/>
        <i x="231" s="1" nd="1"/>
        <i x="350" s="1" nd="1"/>
        <i x="163" s="1" nd="1"/>
        <i x="337" s="1" nd="1"/>
        <i x="219" s="1" nd="1"/>
        <i x="207" s="1" nd="1"/>
        <i x="327" s="1" nd="1"/>
        <i x="240" s="1" nd="1"/>
        <i x="420" s="1" nd="1"/>
        <i x="133" s="1" nd="1"/>
        <i x="384" s="1" nd="1"/>
        <i x="117" s="1" nd="1"/>
        <i x="235" s="1" nd="1"/>
        <i x="421" s="1" nd="1"/>
        <i x="289" s="1" nd="1"/>
        <i x="209" s="1" nd="1"/>
        <i x="329" s="1" nd="1"/>
        <i x="108" s="1" nd="1"/>
        <i x="346" s="1" nd="1"/>
        <i x="111" s="1" nd="1"/>
        <i x="188" s="1" nd="1"/>
        <i x="304" s="1" nd="1"/>
        <i x="307" s="1" nd="1"/>
        <i x="326" s="1" nd="1"/>
        <i x="341" s="1" nd="1"/>
        <i x="127" s="1" nd="1"/>
        <i x="300" s="1" nd="1"/>
        <i x="340" s="1" nd="1"/>
        <i x="290" s="1" nd="1"/>
        <i x="302" s="1" nd="1"/>
        <i x="200" s="1" nd="1"/>
        <i x="118" s="1" nd="1"/>
        <i x="385" s="1" nd="1"/>
        <i x="244" s="1" nd="1"/>
        <i x="278" s="1" nd="1"/>
        <i x="131" s="1" nd="1"/>
        <i x="168" s="1" nd="1"/>
        <i x="230" s="1" nd="1"/>
        <i x="197" s="1" nd="1"/>
        <i x="436" s="1" nd="1"/>
        <i x="372" s="1" nd="1"/>
        <i x="142" s="1" nd="1"/>
        <i x="376" s="1" nd="1"/>
        <i x="232" s="1" nd="1"/>
        <i x="184" s="1" nd="1"/>
        <i x="445" s="1" nd="1"/>
        <i x="205" s="1" nd="1"/>
        <i x="237" s="1" nd="1"/>
        <i x="331" s="1" nd="1"/>
        <i x="210" s="1" nd="1"/>
        <i x="281" s="1" nd="1"/>
        <i x="159" s="1" nd="1"/>
        <i x="257" s="1" nd="1"/>
        <i x="249" s="1" nd="1"/>
        <i x="417" s="1" nd="1"/>
        <i x="262" s="1" nd="1"/>
        <i x="139" s="1" nd="1"/>
        <i x="175" s="1" nd="1"/>
        <i x="323" s="1" nd="1"/>
        <i x="403" s="1" nd="1"/>
        <i x="393" s="1" nd="1"/>
        <i x="335" s="1" nd="1"/>
        <i x="409" s="1" nd="1"/>
        <i x="214" s="1" nd="1"/>
        <i x="180" s="1" nd="1"/>
        <i x="410" s="1" nd="1"/>
        <i x="208" s="1" nd="1"/>
        <i x="388" s="1" nd="1"/>
        <i x="297" s="1" nd="1"/>
        <i x="198" s="1" nd="1"/>
        <i x="336" s="1" nd="1"/>
        <i x="283" s="1" nd="1"/>
        <i x="308" s="1" nd="1"/>
        <i x="272" s="1" nd="1"/>
        <i x="354" s="1" nd="1"/>
        <i x="347" s="1" nd="1"/>
        <i x="243" s="1" nd="1"/>
        <i x="373" s="1" nd="1"/>
        <i x="282" s="1" nd="1"/>
        <i x="371" s="1" nd="1"/>
        <i x="192" s="1" nd="1"/>
        <i x="140" s="1" nd="1"/>
        <i x="128" s="1" nd="1"/>
        <i x="215" s="1" nd="1"/>
        <i x="234" s="1" nd="1"/>
        <i x="273" s="1" nd="1"/>
        <i x="170" s="1" nd="1"/>
        <i x="185" s="1" nd="1"/>
        <i x="161" s="1" nd="1"/>
        <i x="181" s="1" nd="1"/>
        <i x="399" s="1" nd="1"/>
        <i x="303" s="1" nd="1"/>
        <i x="365" s="1" nd="1"/>
        <i x="143" s="1" nd="1"/>
        <i x="334" s="1" nd="1"/>
        <i x="419" s="1" nd="1"/>
        <i x="398" s="1" nd="1"/>
        <i x="265" s="1" nd="1"/>
        <i x="325" s="1" nd="1"/>
        <i x="129" s="1" nd="1"/>
        <i x="320" s="1" nd="1"/>
        <i x="412" s="1" nd="1"/>
        <i x="132" s="1" nd="1"/>
        <i x="239" s="1" nd="1"/>
        <i x="227" s="1" nd="1"/>
        <i x="148" s="1" nd="1"/>
        <i x="414" s="1" nd="1"/>
        <i x="160" s="1" nd="1"/>
        <i x="389" s="1" nd="1"/>
        <i x="342" s="1" nd="1"/>
        <i x="368" s="1" nd="1"/>
        <i x="122" s="1" nd="1"/>
        <i x="315" s="1" nd="1"/>
        <i x="406" s="1" nd="1"/>
        <i x="236" s="1" nd="1"/>
        <i x="124" s="1" nd="1"/>
        <i x="411" s="1" nd="1"/>
        <i x="211" s="1" nd="1"/>
        <i x="174" s="1" nd="1"/>
        <i x="280"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__Ejecución_física" xr10:uid="{00000000-0013-0000-FFFF-FFFF03000000}" sourceName="% Ejecución física">
  <pivotTables>
    <pivotTable tabId="20" name="Tabla dinámica3"/>
  </pivotTables>
  <data>
    <tabular pivotCacheId="2">
      <items count="4716">
        <i x="0" s="1"/>
        <i x="4151" s="1" nd="1"/>
        <i x="863" s="1" nd="1"/>
        <i x="3806" s="1" nd="1"/>
        <i x="880" s="1" nd="1"/>
        <i x="3018" s="1" nd="1"/>
        <i x="477" s="1" nd="1"/>
        <i x="2652" s="1" nd="1"/>
        <i x="87" s="1" nd="1"/>
        <i x="2276" s="1" nd="1"/>
        <i x="4418" s="1" nd="1"/>
        <i x="1910" s="1" nd="1"/>
        <i x="4134" s="1" nd="1"/>
        <i x="1809" s="1" nd="1"/>
        <i x="500" s="1" nd="1"/>
        <i x="1625" s="1" nd="1"/>
        <i x="1871" s="1" nd="1"/>
        <i x="2682" s="1" nd="1"/>
        <i x="4130" s="1" nd="1"/>
        <i x="3750" s="1" nd="1"/>
        <i x="113" s="1" nd="1"/>
        <i x="4404" s="1" nd="1"/>
        <i x="1237" s="1" nd="1"/>
        <i x="2998" s="1" nd="1"/>
        <i x="2304" s="1" nd="1"/>
        <i x="3072" s="1" nd="1"/>
        <i x="836" s="1" nd="1"/>
        <i x="3357" s="1" nd="1"/>
        <i x="4444" s="1" nd="1"/>
        <i x="820" s="1" nd="1"/>
        <i x="1929" s="1" nd="1"/>
        <i x="1036" s="1" nd="1"/>
        <i x="1727" s="1" nd="1"/>
        <i x="2970" s="1" nd="1"/>
        <i x="4049" s="1" nd="1"/>
        <i x="406" s="1" nd="1"/>
        <i x="1526" s="1" nd="1"/>
        <i x="2602" s="1" nd="1"/>
        <i x="3673" s="1" nd="1"/>
        <i x="1828" s="1" nd="1"/>
        <i x="35" s="1" nd="1"/>
        <i x="1294" s="1" nd="1"/>
        <i x="1160" s="1" nd="1"/>
        <i x="2223" s="1" nd="1"/>
        <i x="3275" s="1" nd="1"/>
        <i x="2369" s="1" nd="1"/>
        <i x="4369" s="1" nd="1"/>
        <i x="302" s="1" nd="1"/>
        <i x="844" s="1" nd="1"/>
        <i x="4398" s="1" nd="1"/>
        <i x="1140" s="1" nd="1"/>
        <i x="1855" s="1" nd="1"/>
        <i x="929" s="1" nd="1"/>
        <i x="3158" s="1" nd="1"/>
        <i x="1947" s="1" nd="1"/>
        <i x="2474" s="1" nd="1"/>
        <i x="2205" s="1" nd="1"/>
        <i x="484" s="1" nd="1"/>
        <i x="2991" s="1" nd="1"/>
        <i x="717" s="1" nd="1"/>
        <i x="4267" s="1" nd="1"/>
        <i x="2028" s="1" nd="1"/>
        <i x="3263" s="1" nd="1"/>
        <i x="3246" s="1" nd="1"/>
        <i x="4071" s="1" nd="1"/>
        <i x="4354" s="1" nd="1"/>
        <i x="4126" s="1" nd="1"/>
        <i x="436" s="1" nd="1"/>
        <i x="720" s="1" nd="1"/>
        <i x="143" s="1" nd="1"/>
        <i x="3327" s="1" nd="1"/>
        <i x="1839" s="1" nd="1"/>
        <i x="255" s="1" nd="1"/>
        <i x="3455" s="1" nd="1"/>
        <i x="1550" s="1" nd="1"/>
        <i x="385" s="1" nd="1"/>
        <i x="3590" s="1" nd="1"/>
        <i x="2082" s="1" nd="1"/>
        <i x="538" s="1" nd="1"/>
        <i x="1831" s="1" nd="1"/>
        <i x="3184" s="1" nd="1"/>
        <i x="2225" s="1" nd="1"/>
        <i x="2355" s="1" nd="1"/>
        <i x="2625" s="1" nd="1"/>
        <i x="811" s="1" nd="1"/>
        <i x="3977" s="1" nd="1"/>
        <i x="141" s="1" nd="1"/>
        <i x="2484" s="1" nd="1"/>
        <i x="938" s="1" nd="1"/>
        <i x="2870" s="1" nd="1"/>
        <i x="1092" s="1" nd="1"/>
        <i x="4238" s="1" nd="1"/>
        <i x="4027" s="1" nd="1"/>
        <i x="2726" s="1" nd="1"/>
        <i x="3164" s="1" nd="1"/>
        <i x="1235" s="1" nd="1"/>
        <i x="3695" s="1" nd="1"/>
        <i x="4387" s="1" nd="1"/>
        <i x="3429" s="1" nd="1"/>
        <i x="2980" s="1" nd="1"/>
        <i x="4497" s="1" nd="1"/>
        <i x="1477" s="1" nd="1"/>
        <i x="4626" s="1" nd="1"/>
        <i x="3092" s="1" nd="1"/>
        <i x="1507" s="1" nd="1"/>
        <i x="60" s="1" nd="1"/>
        <i x="4336" s="1" nd="1"/>
        <i x="3245" s="1" nd="1"/>
        <i x="1759" s="1" nd="1"/>
        <i x="2432" s="1" nd="1"/>
        <i x="1512" s="1" nd="1"/>
        <i x="4055" s="1" nd="1"/>
        <i x="878" s="1" nd="1"/>
        <i x="4233" s="1" nd="1"/>
        <i x="1004" s="1" nd="1"/>
        <i x="4180" s="1" nd="1"/>
        <i x="1182" s="1" nd="1"/>
        <i x="1171" s="1" nd="1"/>
        <i x="453" s="1" nd="1"/>
        <i x="3181" s="1" nd="1"/>
        <i x="1303" s="1" nd="1"/>
        <i x="1979" s="1" nd="1"/>
        <i x="4445" s="1" nd="1"/>
        <i x="3890" s="1" nd="1"/>
        <i x="2906" s="1" nd="1"/>
        <i x="2323" s="1" nd="1"/>
        <i x="1420" s="1" nd="1"/>
        <i x="4559" s="1" nd="1"/>
        <i x="2241" s="1" nd="1"/>
        <i x="4697" s="1" nd="1"/>
        <i x="729" s="1" nd="1"/>
        <i x="3157" s="1" nd="1"/>
        <i x="1686" s="1" nd="1"/>
        <i x="762" s="1" nd="1"/>
        <i x="125" s="1" nd="1"/>
        <i x="3015" s="1" nd="1"/>
        <i x="3306" s="1" nd="1"/>
        <i x="364" s="1" nd="1"/>
        <i x="4280" s="1" nd="1"/>
        <i x="3427" s="1" nd="1"/>
        <i x="1948" s="1" nd="1"/>
        <i x="3296" s="1" nd="1"/>
        <i x="370" s="1" nd="1"/>
        <i x="3567" s="1" nd="1"/>
        <i x="2450" s="1" nd="1"/>
        <i x="511" s="1" nd="1"/>
        <i x="3824" s="1" nd="1"/>
        <i x="3077" s="1" nd="1"/>
        <i x="3711" s="1" nd="1"/>
        <i x="4108" s="1" nd="1"/>
        <i x="2194" s="1" nd="1"/>
        <i x="653" s="1" nd="1"/>
        <i x="3831" s="1" nd="1"/>
        <i x="2330" s="1" nd="1"/>
        <i x="785" s="1" nd="1"/>
        <i x="4388" s="1" nd="1"/>
        <i x="4139" s="1" nd="1"/>
        <i x="916" s="1" nd="1"/>
        <i x="4123" s="1" nd="1"/>
        <i x="1187" s="1" nd="1"/>
        <i x="4093" s="1" nd="1"/>
        <i x="2590" s="1" nd="1"/>
        <i x="474" s="1" nd="1"/>
        <i x="1065" s="1" nd="1"/>
        <i x="4218" s="1" nd="1"/>
        <i x="2664" s="1" nd="1"/>
        <i x="759" s="1" nd="1"/>
        <i x="2826" s="1" nd="1"/>
        <i x="1349" s="1" nd="1"/>
        <i x="3975" s="1" nd="1"/>
        <i x="4484" s="1" nd="1"/>
        <i x="2961" s="1" nd="1"/>
        <i x="1450" s="1" nd="1"/>
        <i x="1599" s="1" nd="1"/>
        <i x="3070" s="1" nd="1"/>
        <i x="2126" s="1" nd="1"/>
        <i x="577" s="1" nd="1"/>
        <i x="2734" s="1" nd="1"/>
        <i x="3770" s="1" nd="1"/>
        <i x="1865" s="1" nd="1"/>
        <i x="1982" s="1" nd="1"/>
        <i x="2255" s="1" nd="1"/>
        <i x="2389" s="1" nd="1"/>
        <i x="1487" s="1" nd="1"/>
        <i x="856" s="1" nd="1"/>
        <i x="2650" s="1" nd="1"/>
        <i x="4021" s="1" nd="1"/>
        <i x="2520" s="1" nd="1"/>
        <i x="972" s="1" nd="1"/>
        <i x="2903" s="1" nd="1"/>
        <i x="3016" s="1" nd="1"/>
        <i x="4276" s="1" nd="1"/>
        <i x="2758" s="1" nd="1"/>
        <i x="1280" s="1" nd="1"/>
        <i x="3733" s="1" nd="1"/>
        <i x="4215" s="1" nd="1"/>
        <i x="276" s="1" nd="1"/>
        <i x="1516" s="1" nd="1"/>
        <i x="3986" s="1" nd="1"/>
        <i x="4671" s="1" nd="1"/>
        <i x="3131" s="1" nd="1"/>
        <i x="1522" s="1" nd="1"/>
        <i x="3283" s="1" nd="1"/>
        <i x="85" s="1" nd="1"/>
        <i x="3726" s="1" nd="1"/>
        <i x="218" s="1" nd="1"/>
        <i x="3405" s="1" nd="1"/>
        <i x="4491" s="1" nd="1"/>
        <i x="1927" s="1" nd="1"/>
        <i x="4067" s="1" nd="1"/>
        <i x="345" s="1" nd="1"/>
        <i x="489" s="1" nd="1"/>
        <i x="3194" s="1" nd="1"/>
        <i x="3829" s="1" nd="1"/>
        <i x="4096" s="1" nd="1"/>
        <i x="2172" s="1" nd="1"/>
        <i x="1209" s="1" nd="1"/>
        <i x="4164" s="1" nd="1"/>
        <i x="761" s="1" nd="1"/>
        <i x="3933" s="1" nd="1"/>
        <i x="1464" s="1" nd="1"/>
        <i x="2439" s="1" nd="1"/>
        <i x="897" s="1" nd="1"/>
        <i x="4069" s="1" nd="1"/>
        <i x="3832" s="1" nd="1"/>
        <i x="2163" s="1" nd="1"/>
        <i x="183" s="1" nd="1"/>
        <i x="2275" s="1" nd="1"/>
        <i x="4193" s="1" nd="1"/>
        <i x="1362" s="1" nd="1"/>
        <i x="2690" s="1" nd="1"/>
        <i x="269" s="1" nd="1"/>
        <i x="1192" s="1" nd="1"/>
        <i x="160" s="1" nd="1"/>
        <i x="2676" s="1" nd="1"/>
        <i x="3345" s="1" nd="1"/>
        <i x="2546" s="1" nd="1"/>
        <i x="3503" s="1" nd="1"/>
        <i x="182" s="1" nd="1"/>
        <i x="4300" s="1" nd="1"/>
        <i x="1930" s="1" nd="1"/>
        <i x="1985" s="1" nd="1"/>
        <i x="410" s="1" nd="1"/>
        <i x="3334" s="1" nd="1"/>
        <i x="3615" s="1" nd="1"/>
        <i x="2095" s="1" nd="1"/>
        <i x="588" s="1" nd="1"/>
        <i x="2236" s="1" nd="1"/>
        <i x="3611" s="1" nd="1"/>
        <i x="2948" s="1" nd="1"/>
        <i x="2960" s="1" nd="1"/>
        <i x="4137" s="1" nd="1"/>
        <i x="1494" s="1" nd="1"/>
        <i x="4417" s="1" nd="1"/>
        <i x="952" s="1" nd="1"/>
        <i x="2383" s="1" nd="1"/>
        <i x="4135" s="1" nd="1"/>
        <i x="1008" s="1" nd="1"/>
        <i x="4680" s="1" nd="1"/>
        <i x="4064" s="1" nd="1"/>
        <i x="4397" s="1" nd="1"/>
        <i x="2864" s="1" nd="1"/>
        <i x="795" s="1" nd="1"/>
        <i x="1377" s="1" nd="1"/>
        <i x="4526" s="1" nd="1"/>
        <i x="3758" s="1" nd="1"/>
        <i x="2995" s="1" nd="1"/>
        <i x="1636" s="1" nd="1"/>
        <i x="280" s="1" nd="1"/>
        <i x="1083" s="1" nd="1"/>
        <i x="1640" s="1" nd="1"/>
        <i x="1764" s="1" nd="1"/>
        <i x="3301" s="1" nd="1"/>
        <i x="2817" s="1" nd="1"/>
        <i x="3260" s="1" nd="1"/>
        <i x="1772" s="1" nd="1"/>
        <i x="1907" s="1" nd="1"/>
        <i x="1835" s="1" nd="1"/>
        <i x="2124" s="1" nd="1"/>
        <i x="4186" s="1" nd="1"/>
        <i x="3702" s="1" nd="1"/>
        <i x="574" s="1" nd="1"/>
        <i x="2263" s="1" nd="1"/>
        <i x="2190" s="1" nd="1"/>
        <i x="3769" s="1" nd="1"/>
        <i x="2567" s="1" nd="1"/>
        <i x="3422" s="1" nd="1"/>
        <i x="3826" s="1" nd="1"/>
        <i x="1129" s="1" nd="1"/>
        <i x="2656" s="1" nd="1"/>
        <i x="713" s="1" nd="1"/>
        <i x="2328" s="1" nd="1"/>
        <i x="778" s="1" nd="1"/>
        <i x="2527" s="1" nd="1"/>
        <i x="666" s="1" nd="1"/>
        <i x="851" s="1" nd="1"/>
        <i x="2462" s="1" nd="1"/>
        <i x="3845" s="1" nd="1"/>
        <i x="4549" s="1" nd="1"/>
        <i x="910" s="1" nd="1"/>
        <i x="2908" s="1" nd="1"/>
        <i x="3234" s="1" nd="1"/>
        <i x="4573" s="1" nd="1"/>
        <i x="2583" s="1" nd="1"/>
        <i x="4155" s="1" nd="1"/>
        <i x="3322" s="1" nd="1"/>
        <i x="3953" s="1" nd="1"/>
        <i x="1060" s="1" nd="1"/>
        <i x="262" s="1" nd="1"/>
        <i x="2638" s="1" nd="1"/>
        <i x="3844" s="1" nd="1"/>
        <i x="4213" s="1" nd="1"/>
        <i x="585" s="1" nd="1"/>
        <i x="404" s="1" nd="1"/>
        <i x="3735" s="1" nd="1"/>
        <i x="4274" s="1" nd="1"/>
        <i x="1204" s="1" nd="1"/>
        <i x="2757" s="1" nd="1"/>
        <i x="4361" s="1" nd="1"/>
        <i x="2507" s="1" nd="1"/>
        <i x="1278" s="1" nd="1"/>
        <i x="3586" s="1" nd="1"/>
        <i x="2623" s="1" nd="1"/>
        <i x="2550" s="1" nd="1"/>
        <i x="1341" s="1" nd="1"/>
        <i x="1406" s="1" nd="1"/>
        <i x="4477" s="1" nd="1"/>
        <i x="3991" s="1" nd="1"/>
        <i x="506" s="1" nd="1"/>
        <i x="1395" s="1" nd="1"/>
        <i x="4646" s="1" nd="1"/>
        <i x="2959" s="1" nd="1"/>
        <i x="1047" s="1" nd="1"/>
        <i x="1934" s="1" nd="1"/>
        <i x="3013" s="1" nd="1"/>
        <i x="4403" s="1" nd="1"/>
        <i x="4597" s="1" nd="1"/>
        <i x="3150" s="1" nd="1"/>
        <i x="1515" s="1" nd="1"/>
        <i x="3065" s="1" nd="1"/>
        <i x="3179" s="1" nd="1"/>
        <i x="89" s="1" nd="1"/>
        <i x="978" s="1" nd="1"/>
        <i x="1662" s="1" nd="1"/>
        <i x="1227" s="1" nd="1"/>
        <i x="3399" s="1" nd="1"/>
        <i x="3212" s="1" nd="1"/>
        <i x="92" s="1" nd="1"/>
        <i x="4659" s="1" nd="1"/>
        <i x="1728" s="1" nd="1"/>
        <i x="3321" s="1" nd="1"/>
        <i x="1271" s="1" nd="1"/>
        <i x="1794" s="1" nd="1"/>
        <i x="3347" s="1" nd="1"/>
        <i x="347" s="1" nd="1"/>
        <i x="217" s="1" nd="1"/>
        <i x="858" s="1" nd="1"/>
        <i x="1854" s="1" nd="1"/>
        <i x="3404" s="1" nd="1"/>
        <i x="905" s="1" nd="1"/>
        <i x="777" s="1" nd="1"/>
        <i x="3471" s="1" nd="1"/>
        <i x="342" s="1" nd="1"/>
        <i x="1988" s="1" nd="1"/>
        <i x="185" s="1" nd="1"/>
        <i x="3539" s="1" nd="1"/>
        <i x="3822" s="1" nd="1"/>
        <i x="414" s="1" nd="1"/>
        <i x="1211" s="1" nd="1"/>
        <i x="2965" s="1" nd="1"/>
        <i x="2098" s="1" nd="1"/>
        <i x="3684" s="1" nd="1"/>
        <i x="1067" s="1" nd="1"/>
        <i x="1999" s="1" nd="1"/>
        <i x="555" s="1" nd="1"/>
        <i x="834" s="1" nd="1"/>
        <i x="2552" s="1" nd="1"/>
        <i x="2711" s="1" nd="1"/>
        <i x="2342" s="1" nd="1"/>
        <i x="2754" s="1" nd="1"/>
        <i x="1466" s="1" nd="1"/>
        <i x="461" s="1" nd="1"/>
        <i x="2298" s="1" nd="1"/>
        <i x="4357" s="1" nd="1"/>
        <i x="1273" s="1" nd="1"/>
        <i x="3625" s="1" nd="1"/>
        <i x="2815" s="1" nd="1"/>
        <i x="2253" s="1" nd="1"/>
        <i x="4413" s="1" nd="1"/>
        <i x="1889" s="1" nd="1"/>
        <i x="2646" s="1" nd="1"/>
        <i x="3678" s="1" nd="1"/>
        <i x="2023" s="1" nd="1"/>
        <i x="1391" s="1" nd="1"/>
        <i x="2953" s="1" nd="1"/>
        <i x="823" s="1" nd="1"/>
        <i x="4540" s="1" nd="1"/>
        <i x="2278" s="1" nd="1"/>
        <i x="1440" s="1" nd="1"/>
        <i x="400" s="1" nd="1"/>
        <i x="4302" s="1" nd="1"/>
        <i x="1509" s="1" nd="1"/>
        <i x="3062" s="1" nd="1"/>
        <i x="2142" s="1" nd="1"/>
        <i x="4664" s="1" nd="1"/>
        <i x="4557" s="1" nd="1"/>
        <i x="1588" s="1" nd="1"/>
        <i x="1243" s="1" nd="1"/>
        <i x="3125" s="1" nd="1"/>
        <i x="3662" s="1" nd="1"/>
        <i x="3740" s="1" nd="1"/>
        <i x="4011" s="1" nd="1"/>
        <i x="2549" s="1" nd="1"/>
        <i x="3714" s="1" nd="1"/>
        <i x="3207" s="1" nd="1"/>
        <i x="1803" s="1" nd="1"/>
        <i x="3464" s="1" nd="1"/>
        <i x="673" s="1" nd="1"/>
        <i x="88" s="1" nd="1"/>
        <i x="1725" s="1" nd="1"/>
        <i x="389" s="1" nd="1"/>
        <i x="3277" s="1" nd="1"/>
        <i x="43" s="1" nd="1"/>
        <i x="156" s="1" nd="1"/>
        <i x="2927" s="1" nd="1"/>
        <i x="2896" s="1" nd="1"/>
        <i x="3223" s="1" nd="1"/>
        <i x="212" s="1" nd="1"/>
        <i x="2528" s="1" nd="1"/>
        <i x="3400" s="1" nd="1"/>
        <i x="3338" s="1" nd="1"/>
        <i x="270" s="1" nd="1"/>
        <i x="1921" s="1" nd="1"/>
        <i x="593" s="1" nd="1"/>
        <i x="1426" s="1" nd="1"/>
        <i x="1085" s="1" nd="1"/>
        <i x="1981" s="1" nd="1"/>
        <i x="3195" s="1" nd="1"/>
        <i x="3534" s="1" nd="1"/>
        <i x="407" s="1" nd="1"/>
        <i x="4590" s="1" nd="1"/>
        <i x="75" s="1" nd="1"/>
        <i x="3613" s="1" nd="1"/>
        <i x="1025" s="1" nd="1"/>
        <i x="3616" s="1" nd="1"/>
        <i x="412" s="1" nd="1"/>
        <i x="4435" s="1" nd="1"/>
        <i x="3682" s="1" nd="1"/>
        <i x="552" s="1" nd="1"/>
        <i x="4613" s="1" nd="1"/>
        <i x="1567" s="1" nd="1"/>
        <i x="2165" s="1" nd="1"/>
        <i x="4007" s="1" nd="1"/>
        <i x="1084" s="1" nd="1"/>
        <i x="4362" s="1" nd="1"/>
        <i x="3744" s="1" nd="1"/>
        <i x="3668" s="1" nd="1"/>
        <i x="2303" s="1" nd="1"/>
        <i x="4421" s="1" nd="1"/>
        <i x="4464" s="1" nd="1"/>
        <i x="4273" s="1" nd="1"/>
        <i x="3239" s="1" nd="1"/>
        <i x="3992" s="1" nd="1"/>
        <i x="988" s="1" nd="1"/>
        <i x="2088" s="1" nd="1"/>
        <i x="2498" s="1" nd="1"/>
        <i x="864" s="1" nd="1"/>
        <i x="2718" s="1" nd="1"/>
        <i x="4686" s="1" nd="1"/>
        <i x="3843" s="1" nd="1"/>
        <i x="4022" s="1" nd="1"/>
        <i x="2297" s="1" nd="1"/>
        <i x="981" s="1" nd="1"/>
        <i x="2686" s="1" nd="1"/>
        <i x="4575" s="1" nd="1"/>
        <i x="369" s="1" nd="1"/>
        <i x="4124" s="1" nd="1"/>
        <i x="781" s="1" nd="1"/>
        <i x="137" s="1" nd="1"/>
        <i x="911" s="1" nd="1"/>
        <i x="1186" s="1" nd="1"/>
        <i x="1242" s="1" nd="1"/>
        <i x="799" s="1" nd="1"/>
        <i x="2254" s="1" nd="1"/>
        <i x="4330" s="1" nd="1"/>
        <i x="2789" s="1" nd="1"/>
        <i x="1234" s="1" nd="1"/>
        <i x="3608" s="1" nd="1"/>
        <i x="3463" s="1" nd="1"/>
        <i x="2861" s="1" nd="1"/>
        <i x="4462" s="1" nd="1"/>
        <i x="1414" s="1" nd="1"/>
        <i x="2363" s="1" nd="1"/>
        <i x="2745" s="1" nd="1"/>
        <i x="1088" s="1" nd="1"/>
        <i x="4406" s="1" nd="1"/>
        <i x="439" s="1" nd="1"/>
        <i x="842" s="1" nd="1"/>
        <i x="1486" s="1" nd="1"/>
        <i x="1483" s="1" nd="1"/>
        <i x="1055" s="1" nd="1"/>
        <i x="4639" s="1" nd="1"/>
        <i x="548" s="1" nd="1"/>
        <i x="3816" s="1" nd="1"/>
        <i x="4" s="1" nd="1"/>
        <i x="1911" s="1" nd="1"/>
        <i x="2893" s="1" nd="1"/>
        <i x="1291" s="1" nd="1"/>
        <i x="1639" s="1" nd="1"/>
        <i x="3365" s="1" nd="1"/>
        <i x="3236" s="1" nd="1"/>
        <i x="3406" s="1" nd="1"/>
        <i x="617" s="1" nd="1"/>
        <i x="1706" s="1" nd="1"/>
        <i x="142" s="1" nd="1"/>
        <i x="2301" s="1" nd="1"/>
        <i x="107" s="1" nd="1"/>
        <i x="1213" s="1" nd="1"/>
        <i x="3324" s="1" nd="1"/>
        <i x="3825" s="1" nd="1"/>
        <i x="4289" s="1" nd="1"/>
        <i x="4178" s="1" nd="1"/>
        <i x="2161" s="1" nd="1"/>
        <i x="1425" s="1" nd="1"/>
        <i x="207" s="1" nd="1"/>
        <i x="1875" s="1" nd="1"/>
        <i x="2348" s="1" nd="1"/>
        <i x="2565" s="1" nd="1"/>
        <i x="3023" s="1" nd="1"/>
        <i x="945" s="1" nd="1"/>
        <i x="194" s="1" nd="1"/>
        <i x="1716" s="1" nd="1"/>
        <i x="2647" s="1" nd="1"/>
        <i x="1906" s="1" nd="1"/>
        <i x="888" s="1" nd="1"/>
        <i x="829" s="1" nd="1"/>
        <i x="2954" s="1" nd="1"/>
        <i x="4587" s="1" nd="1"/>
        <i x="4492" s="1" nd="1"/>
        <i x="3508" s="1" nd="1"/>
        <i x="3116" s="1" nd="1"/>
        <i x="3354" s="1" nd="1"/>
        <i x="4023" s="1" nd="1"/>
        <i x="4251" s="1" nd="1"/>
        <i x="1289" s="1" nd="1"/>
        <i x="597" s="1" nd="1"/>
        <i x="3713" s="1" nd="1"/>
        <i x="906" s="1" nd="1"/>
        <i x="1247" s="1" nd="1"/>
        <i x="3219" s="1" nd="1"/>
        <i x="2039" s="1" nd="1"/>
        <i x="397" s="1" nd="1"/>
        <i x="1739" s="1" nd="1"/>
        <i x="3632" s="1" nd="1"/>
        <i x="1374" s="1" nd="1"/>
        <i x="4165" s="1" nd="1"/>
        <i x="3773" s="1" nd="1"/>
        <i x="4519" s="1" nd="1"/>
        <i x="2801" s="1" nd="1"/>
        <i x="3965" s="1" nd="1"/>
        <i x="1093" s="1" nd="1"/>
        <i x="4028" s="1" nd="1"/>
        <i x="923" s="1" nd="1"/>
        <i x="2186" s="1" nd="1"/>
        <i x="4259" s="1" nd="1"/>
        <i x="2306" s="1" nd="1"/>
        <i x="4441" s="1" nd="1"/>
        <i x="2394" s="1" nd="1"/>
        <i x="1788" s="1" nd="1"/>
        <i x="3261" s="1" nd="1"/>
        <i x="2678" s="1" nd="1"/>
        <i x="3745" s="1" nd="1"/>
        <i x="1823" s="1" nd="1"/>
        <i x="70" s="1" nd="1"/>
        <i x="4296" s="1" nd="1"/>
        <i x="624" s="1" nd="1"/>
        <i x="1703" s="1" nd="1"/>
        <i x="2537" s="1" nd="1"/>
        <i x="3833" s="1" nd="1"/>
        <i x="1797" s="1" nd="1"/>
        <i x="2505" s="1" nd="1"/>
        <i x="4707" s="1" nd="1"/>
        <i x="1430" s="1" nd="1"/>
        <i x="710" s="1" nd="1"/>
        <i x="1832" s="1" nd="1"/>
        <i x="2752" s="1" nd="1"/>
        <i x="3381" s="1" nd="1"/>
        <i x="804" s="1" nd="1"/>
        <i x="3934" s="1" nd="1"/>
        <i x="145" s="1" nd="1"/>
        <i x="1897" s="1" nd="1"/>
        <i x="381" s="1" nd="1"/>
        <i x="3830" s="1" nd="1"/>
        <i x="437" s="1" nd="1"/>
        <i x="2990" s="1" nd="1"/>
        <i x="3995" s="1" nd="1"/>
        <i x="3518" s="1" nd="1"/>
        <i x="921" s="1" nd="1"/>
        <i x="816" s="1" nd="1"/>
        <i x="3504" s="1" nd="1"/>
        <i x="463" s="1" nd="1"/>
        <i x="13" s="1" nd="1"/>
        <i x="2168" s="1" nd="1"/>
        <i x="2521" s="1" nd="1"/>
        <i x="3215" s="1" nd="1"/>
        <i x="677" s="1" nd="1"/>
        <i x="237" s="1" nd="1"/>
        <i x="4425" s="1" nd="1"/>
        <i x="2143" s="1" nd="1"/>
        <i x="1495" s="1" nd="1"/>
        <i x="3723" s="1" nd="1"/>
        <i x="3617" s="1" nd="1"/>
        <i x="1113" s="1" nd="1"/>
        <i x="1753" s="1" nd="1"/>
        <i x="86" s="1" nd="1"/>
        <i x="2582" s="1" nd="1"/>
        <i x="338" s="1" nd="1"/>
        <i x="3129" s="1" nd="1"/>
        <i x="3012" s="1" nd="1"/>
        <i x="3336" s="1" nd="1"/>
        <i x="30" s="1" nd="1"/>
        <i x="1502" s="1" nd="1"/>
        <i x="832" s="1" nd="1"/>
        <i x="3152" s="1" nd="1"/>
        <i x="979" s="1" nd="1"/>
        <i x="3488" s="1" nd="1"/>
        <i x="3971" s="1" nd="1"/>
        <i x="1925" s="1" nd="1"/>
        <i x="3240" s="1" nd="1"/>
        <i x="870" s="1" nd="1"/>
        <i x="4618" s="1" nd="1"/>
        <i x="2478" s="1" nd="1"/>
        <i x="2741" s="1" nd="1"/>
        <i x="4039" s="1" nd="1"/>
        <i x="1102" s="1" nd="1"/>
        <i x="4571" s="1" nd="1"/>
        <i x="3278" s="1" nd="1"/>
        <i x="930" s="1" nd="1"/>
        <i x="1881" s="1" nd="1"/>
        <i x="2535" s="1" nd="1"/>
        <i x="1791" s="1" nd="1"/>
        <i x="3298" s="1" nd="1"/>
        <i x="1416" s="1" nd="1"/>
        <i x="2204" s="1" nd="1"/>
        <i x="69" s="1" nd="1"/>
        <i x="2596" s="1" nd="1"/>
        <i x="4019" s="1" nd="1"/>
        <i x="4057" s="1" nd="1"/>
        <i x="24" s="1" nd="1"/>
        <i x="4174" s="1" nd="1"/>
        <i x="1078" s="1" nd="1"/>
        <i x="3644" s="1" nd="1"/>
        <i x="2181" s="1" nd="1"/>
        <i x="2660" s="1" nd="1"/>
        <i x="2839" s="1" nd="1"/>
        <i x="221" s="1" nd="1"/>
        <i x="4385" s="1" nd="1"/>
        <i x="2127" s="1" nd="1"/>
        <i x="2917" s="1" nd="1"/>
        <i x="984" s="1" nd="1"/>
        <i x="599" s="1" nd="1"/>
        <i x="1506" s="1" nd="1"/>
        <i x="881" s="1" nd="1"/>
        <i x="4298" s="1" nd="1"/>
        <i x="2587" s="1" nd="1"/>
        <i x="1221" s="1" nd="1"/>
        <i x="2772" s="1" nd="1"/>
        <i x="4144" s="1" nd="1"/>
        <i x="2384" s="1" nd="1"/>
        <i x="4382" s="1" nd="1"/>
        <i x="3438" s="1" nd="1"/>
        <i x="2946" s="1" nd="1"/>
        <i x="2968" s="1" nd="1"/>
        <i x="1075" s="1" nd="1"/>
        <i x="1357" s="1" nd="1"/>
        <i x="4592" s="1" nd="1"/>
        <i x="3573" s="1" nd="1"/>
        <i x="2900" s="1" nd="1"/>
        <i x="1417" s="1" nd="1"/>
        <i x="4408" s="1" nd="1"/>
        <i x="4501" s="1" nd="1"/>
        <i x="1404" s="1" nd="1"/>
        <i x="1415" s="1" nd="1"/>
        <i x="2832" s="1" nd="1"/>
        <i x="2533" s="1" nd="1"/>
        <i x="1191" s="1" nd="1"/>
        <i x="1197" s="1" nd="1"/>
        <i x="3577" s="1" nd="1"/>
        <i x="3812" s="1" nd="1"/>
        <i x="4141" s="1" nd="1"/>
        <i x="3242" s="1" nd="1"/>
        <i x="3358" s="1" nd="1"/>
        <i x="3651" s="1" nd="1"/>
        <i x="4182" s="1" nd="1"/>
        <i x="2630" s="1" nd="1"/>
        <i x="3891" s="1" nd="1"/>
        <i x="3653" s="1" nd="1"/>
        <i x="592" s="1" nd="1"/>
        <i x="3759" s="1" nd="1"/>
        <i x="4216" s="1" nd="1"/>
        <i x="2210" s="1" nd="1"/>
        <i x="2386" s="1" nd="1"/>
        <i x="3785" s="1" nd="1"/>
        <i x="2875" s="1" nd="1"/>
        <i x="4077" s="1" nd="1"/>
        <i x="2694" s="1" nd="1"/>
        <i x="663" s="1" nd="1"/>
        <i x="2669" s="1" nd="1"/>
        <i x="1104" s="1" nd="1"/>
        <i x="4045" s="1" nd="1"/>
        <i x="3182" s="1" nd="1"/>
        <i x="2208" s="1" nd="1"/>
        <i x="4277" s="1" nd="1"/>
        <i x="731" s="1" nd="1"/>
        <i x="745" s="1" nd="1"/>
        <i x="2341" s="1" nd="1"/>
        <i x="1970" s="1" nd="1"/>
        <i x="841" s="1" nd="1"/>
        <i x="3897" s="1" nd="1"/>
        <i x="2286" s="1" nd="1"/>
        <i x="1208" s="1" nd="1"/>
        <i x="798" s="1" nd="1"/>
        <i x="3906" s="1" nd="1"/>
        <i x="2109" s="1" nd="1"/>
        <i x="2402" s="1" nd="1"/>
        <i x="2724" s="1" nd="1"/>
        <i x="4524" s="1" nd="1"/>
        <i x="2318" s="1" nd="1"/>
        <i x="2476" s="1" nd="1"/>
        <i x="976" s="1" nd="1"/>
        <i x="201" s="1" nd="1"/>
        <i x="4035" s="1" nd="1"/>
        <i x="1560" s="1" nd="1"/>
        <i x="4323" s="1" nd="1"/>
        <i x="927" s="1" nd="1"/>
        <i x="1006" s="1" nd="1"/>
        <i x="2529" s="1" nd="1"/>
        <i x="4263" s="1" nd="1"/>
        <i x="643" s="1" nd="1"/>
        <i x="4103" s="1" nd="1"/>
        <i x="200" s="1" nd="1"/>
        <i x="4442" s="1" nd="1"/>
        <i x="622" s="1" nd="1"/>
        <i x="982" s="1" nd="1"/>
        <i x="420" s="1" nd="1"/>
        <i x="545" s="1" nd="1"/>
        <i x="3407" s="1" nd="1"/>
        <i x="11" s="1" nd="1"/>
        <i x="4172" s="1" nd="1"/>
        <i x="1891" s="1" nd="1"/>
        <i x="1258" s="1" nd="1"/>
        <i x="1073" s="1" nd="1"/>
        <i x="2691" s="1" nd="1"/>
        <i x="2651" s="1" nd="1"/>
        <i x="1446" s="1" nd="1"/>
        <i x="4226" s="1" nd="1"/>
        <i x="1161" s="1" nd="1"/>
        <i x="403" s="1" nd="1"/>
        <i x="1950" s="1" nd="1"/>
        <i x="3313" s="1" nd="1"/>
        <i x="3475" s="1" nd="1"/>
        <i x="1994" s="1" nd="1"/>
        <i x="2770" s="1" nd="1"/>
        <i x="3700" s="1" nd="1"/>
        <i x="4380" s="1" nd="1"/>
        <i x="4161" s="1" nd="1"/>
        <i x="263" s="1" nd="1"/>
        <i x="1298" s="1" nd="1"/>
        <i x="2837" s="1" nd="1"/>
        <i x="4692" s="1" nd="1"/>
        <i x="1685" s="1" nd="1"/>
        <i x="1745" s="1" nd="1"/>
        <i x="2914" s="1" nd="1"/>
        <i x="2895" s="1" nd="1"/>
        <i x="693" s="1" nd="1"/>
        <i x="4498" s="1" nd="1"/>
        <i x="2360" s="1" nd="1"/>
        <i x="3626" s="1" nd="1"/>
        <i x="4074" s="1" nd="1"/>
        <i x="2969" s="1" nd="1"/>
        <i x="213" s="1" nd="1"/>
        <i x="3444" s="1" nd="1"/>
        <i x="4553" s="1" nd="1"/>
        <i x="165" s="1" nd="1"/>
        <i x="317" s="1" nd="1"/>
        <i x="1133" s="1" nd="1"/>
        <i x="2981" s="1" nd="1"/>
        <i x="4611" s="1" nd="1"/>
        <i x="2672" s="1" nd="1"/>
        <i x="561" s="1" nd="1"/>
        <i x="1308" s="1" nd="1"/>
        <i x="1534" s="1" nd="1"/>
        <i x="1669" s="1" nd="1"/>
        <i x="1965" s="1" nd="1"/>
        <i x="462" s="1" nd="1"/>
        <i x="931" s="1" nd="1"/>
        <i x="4687" s="1" nd="1"/>
        <i x="1519" s="1" nd="1"/>
        <i x="1619" s="1" nd="1"/>
        <i x="4448" s="1" nd="1"/>
        <i x="2747" s="1" nd="1"/>
        <i x="1193" s="1" nd="1"/>
        <i x="578" s="1" nd="1"/>
        <i x="3748" s="1" nd="1"/>
        <i x="394" s="1" nd="1"/>
        <i x="1680" s="1" nd="1"/>
        <i x="3067" s="1" nd="1"/>
        <i x="3237" s="1" nd="1"/>
        <i x="1398" s="1" nd="1"/>
        <i x="1533" s="1" nd="1"/>
        <i x="108" s="1" nd="1"/>
        <i x="1229" s="1" nd="1"/>
        <i x="1746" s="1" nd="1"/>
        <i x="1351" s="1" nd="1"/>
        <i x="3294" s="1" nd="1"/>
        <i x="4365" s="1" nd="1"/>
        <i x="721" s="1" nd="1"/>
        <i x="1121" s="1" nd="1"/>
        <i x="1811" s="1" nd="1"/>
        <i x="3363" s="1" nd="1"/>
        <i x="1523" s="1" nd="1"/>
        <i x="540" s="1" nd="1"/>
        <i x="2671" s="1" nd="1"/>
        <i x="227" s="1" nd="1"/>
        <i x="942" s="1" nd="1"/>
        <i x="3341" s="1" nd="1"/>
        <i x="1870" s="1" nd="1"/>
        <i x="2851" s="1" nd="1"/>
        <i x="3476" s="1" nd="1"/>
        <i x="3420" s="1" nd="1"/>
        <i x="1342" s="1" nd="1"/>
        <i x="298" s="1" nd="1"/>
        <i x="2201" s="1" nd="1"/>
        <i x="2670" s="1" nd="1"/>
        <i x="4112" s="1" nd="1"/>
        <i x="1687" s="1" nd="1"/>
        <i x="115" s="1" nd="1"/>
        <i x="672" s="1" nd="1"/>
        <i x="358" s="1" nd="1"/>
        <i x="525" s="1" nd="1"/>
        <i x="2000" s="1" nd="1"/>
        <i x="2756" s="1" nd="1"/>
        <i x="1383" s="1" nd="1"/>
        <i x="805" s="1" nd="1"/>
        <i x="3558" s="1" nd="1"/>
        <i x="2601" s="1" nd="1"/>
        <i x="435" s="1" nd="1"/>
        <i x="2106" s="1" nd="1"/>
        <i x="873" s="1" nd="1"/>
        <i x="2056" s="1" nd="1"/>
        <i x="3851" s="1" nd="1"/>
        <i x="1879" s="1" nd="1"/>
        <i x="894" s="1" nd="1"/>
        <i x="2987" s="1" nd="1"/>
        <i x="1558" s="1" nd="1"/>
        <i x="3698" s="1" nd="1"/>
        <i x="249" s="1" nd="1"/>
        <i x="570" s="1" nd="1"/>
        <i x="3082" s="1" nd="1"/>
        <i x="569" s="1" nd="1"/>
        <i x="2185" s="1" nd="1"/>
        <i x="3761" s="1" nd="1"/>
        <i x="967" s="1" nd="1"/>
        <i x="418" s="1" nd="1"/>
        <i x="2848" s="1" nd="1"/>
        <i x="1155" s="1" nd="1"/>
        <i x="3793" s="1" nd="1"/>
        <i x="3823" s="1" nd="1"/>
        <i x="1196" s="1" nd="1"/>
        <i x="2627" s="1" nd="1"/>
        <i x="708" s="1" nd="1"/>
        <i x="2049" s="1" nd="1"/>
        <i x="1031" s="1" nd="1"/>
        <i x="2324" s="1" nd="1"/>
        <i x="2458" s="1" nd="1"/>
        <i x="4567" s="1" nd="1"/>
        <i x="3879" s="1" nd="1"/>
        <i x="3255" s="1" nd="1"/>
        <i x="2105" s="1" nd="1"/>
        <i x="774" s="1" nd="1"/>
        <i x="528" s="1" nd="1"/>
        <i x="4629" s="1" nd="1"/>
        <i x="847" s="1" nd="1"/>
        <i x="3473" s="1" nd="1"/>
        <i x="2456" s="1" nd="1"/>
        <i x="3670" s="1" nd="1"/>
        <i x="3318" s="1" nd="1"/>
        <i x="586" s="1" nd="1"/>
        <i x="4014" s="1" nd="1"/>
        <i x="1527" s="1" nd="1"/>
        <i x="2003" s="1" nd="1"/>
        <i x="2739" s="1" nd="1"/>
        <i x="639" s="1" nd="1"/>
        <i x="1740" s="1" nd="1"/>
        <i x="4068" s="1" nd="1"/>
        <i x="2331" s="1" nd="1"/>
        <i x="3441" s="1" nd="1"/>
        <i x="91" s="1" nd="1"/>
        <i x="1692" s="1" nd="1"/>
        <i x="1112" s="1" nd="1"/>
        <i x="3999" s="1" nd="1"/>
        <i x="1612" s="1" nd="1"/>
        <i x="4061" s="1" nd="1"/>
        <i x="1853" s="1" nd="1"/>
        <i x="3143" s="1" nd="1"/>
        <i x="45" s="1" nd="1"/>
        <i x="3926" s="1" nd="1"/>
        <i x="845" s="1" nd="1"/>
        <i x="4663" s="1" nd="1"/>
        <i x="192" s="1" nd="1"/>
        <i x="2828" s="1" nd="1"/>
        <i x="1915" s="1" nd="1"/>
        <i x="103" s="1" nd="1"/>
        <i x="1306" s="1" nd="1"/>
        <i x="1132" s="1" nd="1"/>
        <i x="105" s="1" nd="1"/>
        <i x="1742" s="1" nd="1"/>
        <i x="1638" s="1" nd="1"/>
        <i x="3556" s="1" nd="1"/>
        <i x="3289" s="1" nd="1"/>
        <i x="326" s="1" nd="1"/>
        <i x="4347" s="1" nd="1"/>
        <i x="96" s="1" nd="1"/>
        <i x="169" s="1" nd="1"/>
        <i x="1019" s="1" nd="1"/>
        <i x="1702" s="1" nd="1"/>
        <i x="1808" s="1" nd="1"/>
        <i x="1885" s="1" nd="1"/>
        <i x="158" s="1" nd="1"/>
        <i x="290" s="1" nd="1"/>
        <i x="3600" s="1" nd="1"/>
        <i x="3849" s="1" nd="1"/>
        <i x="1867" s="1" nd="1"/>
        <i x="33" s="1" nd="1"/>
        <i x="3418" s="1" nd="1"/>
        <i x="291" s="1" nd="1"/>
        <i x="335" s="1" nd="1"/>
        <i x="4307" s="1" nd="1"/>
        <i x="1798" s="1" nd="1"/>
        <i x="1935" s="1" nd="1"/>
        <i x="4169" s="1" nd="1"/>
        <i x="3486" s="1" nd="1"/>
        <i x="1806" s="1" nd="1"/>
        <i x="352" s="1" nd="1"/>
        <i x="429" s="1" nd="1"/>
        <i x="3421" s="1" nd="1"/>
        <i x="4569" s="1" nd="1"/>
        <i x="3552" s="1" nd="1"/>
        <i x="3754" s="1" nd="1"/>
        <i x="2216" s="1" nd="1"/>
        <i x="3272" s="1" nd="1"/>
        <i x="428" s="1" nd="1"/>
        <i x="2051" s="1" nd="1"/>
        <i x="3225" s="1" nd="1"/>
        <i x="3629" s="1" nd="1"/>
        <i x="2461" s="1" nd="1"/>
        <i x="281" s="1" nd="1"/>
        <i x="501" s="1" nd="1"/>
        <i x="4367" s="1" nd="1"/>
        <i x="1368" s="1" nd="1"/>
        <i x="2487" s="1" nd="1"/>
        <i x="2668" s="1" nd="1"/>
        <i x="600" s="1" nd="1"/>
        <i x="1555" s="1" nd="1"/>
        <i x="566" s="1" nd="1"/>
        <i x="4681" s="1" nd="1"/>
        <i x="4378" s="1" nd="1"/>
        <i x="2182" s="1" nd="1"/>
        <i x="714" s="1" nd="1"/>
        <i x="3756" s="1" nd="1"/>
        <i x="633" s="1" nd="1"/>
        <i x="3160" s="1" nd="1"/>
        <i x="2246" s="1" nd="1"/>
        <i x="2880" s="1" nd="1"/>
        <i x="1453" s="1" nd="1"/>
        <i x="562" s="1" nd="1"/>
        <i x="1158" s="1" nd="1"/>
        <i x="2322" s="1" nd="1"/>
        <i x="2166" s="1" nd="1"/>
        <i x="4243" s="1" nd="1"/>
        <i x="3876" s="1" nd="1"/>
        <i x="502" s="1" nd="1"/>
        <i x="770" s="1" nd="1"/>
        <i x="898" s="1" nd="1"/>
        <i x="1107" s="1" nd="1"/>
        <i x="2376" s="1" nd="1"/>
        <i x="3782" s="1" nd="1"/>
        <i x="3547" s="1" nd="1"/>
        <i x="3945" s="1" nd="1"/>
        <i x="1542" s="1" nd="1"/>
        <i x="416" s="1" nd="1"/>
        <i x="1018" s="1" nd="1"/>
        <i x="2561" s="1" nd="1"/>
        <i x="902" s="1" nd="1"/>
        <i x="4363" s="1" nd="1"/>
        <i x="99" s="1" nd="1"/>
        <i x="2515" s="1" nd="1"/>
        <i x="1418" s="1" nd="1"/>
        <i x="4037" s="1" nd="1"/>
        <i x="4081" s="1" nd="1"/>
        <i x="2486" s="1" nd="1"/>
        <i x="960" s="1" nd="1"/>
        <i x="3751" s="1" nd="1"/>
        <i x="4566" s="1" nd="1"/>
        <i x="2574" s="1" nd="1"/>
        <i x="4392" s="1" nd="1"/>
        <i x="2834" s="1" nd="1"/>
        <i x="1054" s="1" nd="1"/>
        <i x="1824" s="1" nd="1"/>
        <i x="2631" s="1" nd="1"/>
        <i x="3913" s="1" nd="1"/>
        <i x="4203" s="1" nd="1"/>
        <i x="2555" s="1" nd="1"/>
        <i x="1943" s="1" nd="1"/>
        <i x="1128" s="1" nd="1"/>
        <i x="2699" s="1" nd="1"/>
        <i x="2589" s="1" nd="1"/>
        <i x="2401" s="1" nd="1"/>
        <i x="2222" s="1" nd="1"/>
        <i x="2661" s="1" nd="1"/>
        <i x="675" s="1" nd="1"/>
        <i x="3416" s="1" nd="1"/>
        <i x="2750" s="1" nd="1"/>
        <i x="4479" s="1" nd="1"/>
        <i x="4353" s="1" nd="1"/>
        <i x="2343" s="1" nd="1"/>
        <i x="753" s="1" nd="1"/>
        <i x="1270" s="1" nd="1"/>
        <i x="4024" s="1" nd="1"/>
        <i x="2810" s="1" nd="1"/>
        <i x="2984" s="1" nd="1"/>
        <i x="2617" s="1" nd="1"/>
        <i x="446" s="1" nd="1"/>
        <i x="4407" s="1" nd="1"/>
        <i x="2151" s="1" nd="1"/>
        <i x="2877" s="1" nd="1"/>
        <i x="1049" s="1" nd="1"/>
        <i x="1844" s="1" nd="1"/>
        <i x="1751" s="1" nd="1"/>
        <i x="784" s="1" nd="1"/>
        <i x="1387" s="1" nd="1"/>
        <i x="3501" s="1" nd="1"/>
        <i x="2489" s="1" nd="1"/>
        <i x="2945" s="1" nd="1"/>
        <i x="3588" s="1" nd="1"/>
        <i x="4535" s="1" nd="1"/>
        <i x="1530" s="1" nd="1"/>
        <i x="3842" s="1" nd="1"/>
        <i x="1439" s="1" nd="1"/>
        <i x="136" s="1" nd="1"/>
        <i x="3104" s="1" nd="1"/>
        <i x="2257" s="1" nd="1"/>
        <i x="2867" s="1" nd="1"/>
        <i x="2485" s="1" nd="1"/>
        <i x="321" s="1" nd="1"/>
        <i x="1200" s="1" nd="1"/>
        <i x="3058" s="1" nd="1"/>
        <i x="3110" s="1" nd="1"/>
        <i x="4224" s="1" nd="1"/>
        <i x="1207" s="1" nd="1"/>
        <i x="4657" s="1" nd="1"/>
        <i x="4306" s="1" nd="1"/>
        <i x="1586" s="1" nd="1"/>
        <i x="3705" s="1" nd="1"/>
        <i x="3360" s="1" nd="1"/>
        <i x="3120" s="1" nd="1"/>
        <i x="3274" s="1" nd="1"/>
        <i x="1836" s="1" nd="1"/>
        <i x="3202" s="1" nd="1"/>
        <i x="1957" s="1" nd="1"/>
        <i x="4187" s="1" nd="1"/>
        <i x="80" s="1" nd="1"/>
        <i x="3156" s="1" nd="1"/>
        <i x="3514" s="1" nd="1"/>
        <i x="2220" s="1" nd="1"/>
        <i x="3393" s="1" nd="1"/>
        <i x="893" s="1" nd="1"/>
        <i x="1722" s="1" nd="1"/>
        <i x="3187" s="1" nd="1"/>
        <i x="4499" s="1" nd="1"/>
        <i x="611" s="1" nd="1"/>
        <i x="3517" s="1" nd="1"/>
        <i x="2167" s="1" nd="1"/>
        <i x="2014" s="1" nd="1"/>
        <i x="3656" s="1" nd="1"/>
        <i x="2572" s="1" nd="1"/>
        <i x="2853" s="1" nd="1"/>
        <i x="4227" s="1" nd="1"/>
        <i x="3576" s="1" nd="1"/>
        <i x="3802" s="1" nd="1"/>
        <i x="1786" s="1" nd="1"/>
        <i x="535" s="1" nd="1"/>
        <i x="4470" s="1" nd="1"/>
        <i x="456" s="1" nd="1"/>
        <i x="937" s="1" nd="1"/>
        <i x="3580" s="1" nd="1"/>
        <i x="2364" s="1" nd="1"/>
        <i x="208" s="1" nd="1"/>
        <i x="3954" s="1" nd="1"/>
        <i x="1857" s="1" nd="1"/>
        <i x="1275" s="1" nd="1"/>
        <i x="131" s="1" nd="1"/>
        <i x="1847" s="1" nd="1"/>
        <i x="3752" s="1" nd="1"/>
        <i x="2522" s="1" nd="1"/>
        <i x="4053" s="1" nd="1"/>
        <i x="3587" s="1" nd="1"/>
        <i x="3396" s="1" nd="1"/>
        <i x="19" s="1" nd="1"/>
        <i x="992" s="1" nd="1"/>
        <i x="1611" s="1" nd="1"/>
        <i x="3089" s="1" nd="1"/>
        <i x="3717" s="1" nd="1"/>
        <i x="3374" s="1" nd="1"/>
        <i x="2420" s="1" nd="1"/>
        <i x="1546" s="1" nd="1"/>
        <i x="1919" s="1" nd="1"/>
        <i x="3978" s="1" nd="1"/>
        <i x="589" s="1" nd="1"/>
        <i x="703" s="1" nd="1"/>
        <i x="2206" s="1" nd="1"/>
        <i x="3852" s="1" nd="1"/>
        <i x="495" s="1" nd="1"/>
        <i x="246" s="1" nd="1"/>
        <i x="4695" s="1" nd="1"/>
        <i x="3908" s="1" nd="1"/>
        <i x="995" s="1" nd="1"/>
        <i x="1977" s="1" nd="1"/>
        <i x="3870" s="1" nd="1"/>
        <i x="2475" s="1" nd="1"/>
        <i x="660" s="1" nd="1"/>
        <i x="2531" s="1" nd="1"/>
        <i x="4270" s="1" nd="1"/>
        <i x="536" s="1" nd="1"/>
        <i x="3530" s="1" nd="1"/>
        <i x="1616" s="1" nd="1"/>
        <i x="430" s="1" nd="1"/>
        <i x="2084" s="1" nd="1"/>
        <i x="2808" s="1" nd="1"/>
        <i x="2268" s="1" nd="1"/>
        <i x="3847" s="1" nd="1"/>
        <i x="401" s="1" nd="1"/>
        <i x="4393" s="1" nd="1"/>
        <i x="3946" s="1" nd="1"/>
        <i x="2433" s="1" nd="1"/>
        <i x="549" s="1" nd="1"/>
        <i x="3737" s="1" nd="1"/>
        <i x="728" s="1" nd="1"/>
        <i x="1224" s="1" nd="1"/>
        <i x="3606" s="1" nd="1"/>
        <i x="1992" s="1" nd="1"/>
        <i x="2337" s="1" nd="1"/>
        <i x="4582" s="1" nd="1"/>
        <i x="917" s="1" nd="1"/>
        <i x="4326" s="1" nd="1"/>
        <i x="480" s="1" nd="1"/>
        <i x="3185" s="1" nd="1"/>
        <i x="1665" s="1" nd="1"/>
        <i x="3894" s="1" nd="1"/>
        <i x="1524" s="1" nd="1"/>
        <i x="4624" s="1" nd="1"/>
        <i x="2503" s="1" nd="1"/>
        <i x="3575" s="1" nd="1"/>
        <i x="602" s="1" nd="1"/>
        <i x="3746" s="1" nd="1"/>
        <i x="4641" s="1" nd="1"/>
        <i x="4250" s="1" nd="1"/>
        <i x="909" s="1" nd="1"/>
        <i x="2477" s="1" nd="1"/>
        <i x="1331" s="1" nd="1"/>
        <i x="3771" s="1" nd="1"/>
        <i x="2011" s="1" nd="1"/>
        <i x="2338" s="1" nd="1"/>
        <i x="3411" s="1" nd="1"/>
        <i x="1713" s="1" nd="1"/>
        <i x="3962" s="1" nd="1"/>
        <i x="15" s="1" nd="1"/>
        <i x="658" s="1" nd="1"/>
        <i x="1733" s="1" nd="1"/>
        <i x="613" s="1" nd="1"/>
        <i x="4512" s="1" nd="1"/>
        <i x="4410" s="1" nd="1"/>
        <i x="4032" s="1" nd="1"/>
        <i x="3581" s="1" nd="1"/>
        <i x="619" s="1" nd="1"/>
        <i x="2077" s="1" nd="1"/>
        <i x="2743" s="1" nd="1"/>
        <i x="1697" s="1" nd="1"/>
        <i x="4647" s="1" nd="1"/>
        <i x="3858" s="1" nd="1"/>
        <i x="926" s="1" nd="1"/>
        <i x="3815" s="1" nd="1"/>
        <i x="3466" s="1" nd="1"/>
        <i x="1126" s="1" nd="1"/>
        <i x="1863" s="1" nd="1"/>
        <i x="1267" s="1" nd="1"/>
        <i x="164" s="1" nd="1"/>
        <i x="2819" s="1" nd="1"/>
        <i x="4102" s="1" nd="1"/>
        <i x="1037" s="1" nd="1"/>
        <i x="408" s="1" nd="1"/>
        <i x="2803" s="1" nd="1"/>
        <i x="3003" s="1" nd="1"/>
        <i x="990" s="1" nd="1"/>
        <i x="2996" s="1" nd="1"/>
        <i x="2057" s="1" nd="1"/>
        <i x="4405" s="1" nd="1"/>
        <i x="1873" s="1" nd="1"/>
        <i x="2922" s="1" nd="1"/>
        <i x="186" s="1" nd="1"/>
        <i x="3206" s="1" nd="1"/>
        <i x="336" s="1" nd="1"/>
        <i x="1284" s="1" nd="1"/>
        <i x="4170" s="1" nd="1"/>
        <i x="3133" s="1" nd="1"/>
        <i x="2872" s="1" nd="1"/>
        <i x="2399" s="1" nd="1"/>
        <i x="1072" s="1" nd="1"/>
        <i x="3105" s="1" nd="1"/>
        <i x="817" s="1" nd="1"/>
        <i x="4153" s="1" nd="1"/>
        <i x="3882" s="1" nd="1"/>
        <i x="4472" s="1" nd="1"/>
        <i x="4051" s="1" nd="1"/>
        <i x="1668" s="1" nd="1"/>
        <i x="2649" s="1" nd="1"/>
        <i x="2434" s="1" nd="1"/>
        <i x="264" s="1" nd="1"/>
        <i x="2578" s="1" nd="1"/>
        <i x="3574" s="1" nd="1"/>
        <i x="4004" s="1" nd="1"/>
        <i x="48" s="1" nd="1"/>
        <i x="1860" s="1" nd="1"/>
        <i x="2941" s="1" nd="1"/>
        <i x="4416" s="1" nd="1"/>
        <i x="1157" s="1" nd="1"/>
        <i x="3931" s="1" nd="1"/>
        <i x="250" s="1" nd="1"/>
        <i x="3686" s="1" nd="1"/>
        <i x="4533" s="1" nd="1"/>
        <i x="374" s="1" nd="1"/>
        <i x="766" s="1" nd="1"/>
        <i x="4447" s="1" nd="1"/>
        <i x="2716" s="1" nd="1"/>
        <i x="1718" s="1" nd="1"/>
        <i x="1437" s="1" nd="1"/>
        <i x="1850" s="1" nd="1"/>
        <i x="2778" s="1" nd="1"/>
        <i x="449" s="1" nd="1"/>
        <i x="2215" s="1" nd="1"/>
        <i x="1938" s="1" nd="1"/>
        <i x="307" s="1" nd="1"/>
        <i x="3171" s="1" nd="1"/>
        <i x="1215" s="1" nd="1"/>
        <i x="3071" s="1" nd="1"/>
        <i x="3663" s="1" nd="1"/>
        <i x="697" s="1" nd="1"/>
        <i x="4503" s="1" nd="1"/>
        <i x="4506" s="1" nd="1"/>
        <i x="4586" s="1" nd="1"/>
        <i x="1956" s="1" nd="1"/>
        <i x="1317" s="1" nd="1"/>
        <i x="306" s="1" nd="1"/>
        <i x="2768" s="1" nd="1"/>
        <i x="1394" s="1" nd="1"/>
        <i x="1501" s="1" nd="1"/>
        <i x="1779" s="1" nd="1"/>
        <i x="3701" s="1" nd="1"/>
        <i x="4375" s="1" nd="1"/>
        <i x="1769" s="1" nd="1"/>
        <i x="2467" s="1" nd="1"/>
        <i x="626" s="1" nd="1"/>
        <i x="1290" s="1" nd="1"/>
        <i x="3117" s="1" nd="1"/>
        <i x="4653" s="1" nd="1"/>
        <i x="2835" s="1" nd="1"/>
        <i x="2517" s="1" nd="1"/>
        <i x="4142" s="1" nd="1"/>
        <i x="4005" s="1" nd="1"/>
        <i x="65" s="1" nd="1"/>
        <i x="1582" s="1" nd="1"/>
        <i x="4545" s="1" nd="1"/>
        <i x="4432" s="1" nd="1"/>
        <i x="1723" s="1" nd="1"/>
        <i x="1137" s="1" nd="1"/>
        <i x="3118" s="1" nd="1"/>
        <i x="1164" s="1" nd="1"/>
        <i x="637" s="1" nd="1"/>
        <i x="4563" s="1" nd="1"/>
        <i x="4070" s="1" nd="1"/>
        <i x="1674" s="1" nd="1"/>
        <i x="3009" s="1" nd="1"/>
        <i x="3789" s="1" nd="1"/>
        <i x="4507" s="1" nd="1"/>
        <i x="2894" s="1" nd="1"/>
        <i x="1651" s="1" nd="1"/>
        <i x="1503" s="1" nd="1"/>
        <i x="1059" s="1" nd="1"/>
        <i x="154" s="1" nd="1"/>
        <i x="3276" s="1" nd="1"/>
        <i x="4494" s="1" nd="1"/>
        <i x="3369" s="1" nd="1"/>
        <i x="3188" s="1" nd="1"/>
        <i x="4584" s="1" nd="1"/>
        <i x="3196" s="1" nd="1"/>
        <i x="2958" s="1" nd="1"/>
        <i x="337" s="1" nd="1"/>
        <i x="4318" s="1" nd="1"/>
        <i x="1528" s="1" nd="1"/>
        <i x="2319" s="1" nd="1"/>
        <i x="62" s="1" nd="1"/>
        <i x="1715" s="1" nd="1"/>
        <i x="4551" s="1" nd="1"/>
        <i x="4437" s="1" nd="1"/>
        <i x="807" s="1" nd="1"/>
        <i x="3270" s="1" nd="1"/>
        <i x="393" s="1" nd="1"/>
        <i x="1146" s="1" nd="1"/>
        <i x="1461" s="1" nd="1"/>
        <i x="4637" s="1" nd="1"/>
        <i x="1667" s="1" nd="1"/>
        <i x="3774" s="1" nd="1"/>
        <i x="150" s="1" nd="1"/>
        <i x="1456" s="1" nd="1"/>
        <i x="2405" s="1" nd="1"/>
        <i x="2616" s="1" nd="1"/>
        <i x="4140" s="1" nd="1"/>
        <i x="1381" s="1" nd="1"/>
        <i x="102" s="1" nd="1"/>
        <i x="4608" s="1" nd="1"/>
        <i x="2423" s="1" nd="1"/>
        <i x="2937" s="1" nd="1"/>
        <i x="3271" s="1" nd="1"/>
        <i x="3337" s="1" nd="1"/>
        <i x="3936" s="1" nd="1"/>
        <i x="3763" s="1" nd="1"/>
        <i x="1531" s="1" nd="1"/>
        <i x="3097" s="1" nd="1"/>
        <i x="1402" s="1" nd="1"/>
        <i x="206" s="1" nd="1"/>
        <i x="4701" s="1" nd="1"/>
        <i x="3078" s="1" nd="1"/>
        <i x="3340" s="1" nd="1"/>
        <i x="3382" s="1" nd="1"/>
        <i x="3119" s="1" nd="1"/>
        <i x="4600" s="1" nd="1"/>
        <i x="3238" s="1" nd="1"/>
        <i x="3199" s="1" nd="1"/>
        <i x="4538" s="1" nd="1"/>
        <i x="3392" s="1" nd="1"/>
        <i x="1878" s="1" nd="1"/>
        <i x="1614" s="1" nd="1"/>
        <i x="3331" s="1" nd="1"/>
        <i x="1660" s="1" nd="1"/>
        <i x="259" s="1" nd="1"/>
        <i x="896" s="1" nd="1"/>
        <i x="2645" s="1" nd="1"/>
        <i x="4433" s="1" nd="1"/>
        <i x="3144" s="1" nd="1"/>
        <i x="4438" s="1" nd="1"/>
        <i x="3147" s="1" nd="1"/>
        <i x="1916" s="1" nd="1"/>
        <i x="2044" s="1" nd="1"/>
        <i x="4208" s="1" nd="1"/>
        <i x="2283" s="1" nd="1"/>
        <i x="4466" s="1" nd="1"/>
        <i x="3753" s="1" nd="1"/>
        <i x="2006" s="1" nd="1"/>
        <i x="1817" s="1" nd="1"/>
        <i x="3178" s="1" nd="1"/>
        <i x="1473" s="1" nd="1"/>
        <i x="2272" s="1" nd="1"/>
        <i x="869" s="1" nd="1"/>
        <i x="332" s="1" nd="1"/>
        <i x="1922" s="1" nd="1"/>
        <i x="468" s="1" nd="1"/>
        <i x="1386" s="1" nd="1"/>
        <i x="3210" s="1" nd="1"/>
        <i x="3232" s="1" nd="1"/>
        <i x="2859" s="1" nd="1"/>
        <i x="50" s="1" nd="1"/>
        <i x="1972" s="1" nd="1"/>
        <i x="2269" s="1" nd="1"/>
        <i x="106" s="1" nd="1"/>
        <i x="138" s="1" nd="1"/>
        <i x="4260" s="1" nd="1"/>
        <i x="2115" s="1" nd="1"/>
        <i x="81" s="1" nd="1"/>
        <i x="1796" s="1" nd="1"/>
        <i x="1653" s="1" nd="1"/>
        <i x="395" s="1" nd="1"/>
        <i x="1020" s="1" nd="1"/>
        <i x="966" s="1" nd="1"/>
        <i x="2332" s="1" nd="1"/>
        <i x="3292" s="1" nd="1"/>
        <i x="1276" s="1" nd="1"/>
        <i x="2203" s="1" nd="1"/>
        <i x="2030" s="1" nd="1"/>
        <i x="2581" s="1" nd="1"/>
        <i x="3176" s="1" nd="1"/>
        <i x="172" s="1" nd="1"/>
        <i x="1741" s="1" nd="1"/>
        <i x="1016" s="1" nd="1"/>
        <i x="4694" s="1" nd="1"/>
        <i x="1028" s="1" nd="1"/>
        <i x="1581" s="1" nd="1"/>
        <i x="3601" s="1" nd="1"/>
        <i x="3034" s="1" nd="1"/>
        <i x="4324" s="1" nd="1"/>
        <i x="2133" s="1" nd="1"/>
        <i x="3361" s="1" nd="1"/>
        <i x="46" s="1" nd="1"/>
        <i x="2085" s="1" nd="1"/>
        <i x="1038" s="1" nd="1"/>
        <i x="1010" s="1" nd="1"/>
        <i x="1641" s="1" nd="1"/>
        <i x="225" s="1" nd="1"/>
        <i x="3798" s="1" nd="1"/>
        <i x="3127" s="1" nd="1"/>
        <i x="1942" s="1" nd="1"/>
        <i x="363" s="1" nd="1"/>
        <i x="3671" s="1" nd="1"/>
        <i x="515" s="1" nd="1"/>
        <i x="2457" s="1" nd="1"/>
        <i x="162" s="1" nd="1"/>
        <i x="2605" s="1" nd="1"/>
        <i x="651" s="1" nd="1"/>
        <i x="1650" s="1" nd="1"/>
        <i x="609" s="1" nd="1"/>
        <i x="4384" s="1" nd="1"/>
        <i x="994" s="1" nd="1"/>
        <i x="1100" s="1" nd="1"/>
        <i x="353" s="1" nd="1"/>
        <i x="3853" s="1" nd="1"/>
        <i x="1106" s="1" nd="1"/>
        <i x="581" s="1" nd="1"/>
        <i x="3163" s="1" nd="1"/>
        <i x="4131" s="1" nd="1"/>
        <i x="215" s="1" nd="1"/>
        <i x="2540" s="1" nd="1"/>
        <i x="1299" s="1" nd="1"/>
        <i x="2506" s="1" nd="1"/>
        <i x="1168" s="1" nd="1"/>
        <i x="40" s="1" nd="1"/>
        <i x="3925" s="1" nd="1"/>
        <i x="4196" s="1" nd="1"/>
        <i x="3877" s="1" nd="1"/>
        <i x="3124" s="1" nd="1"/>
        <i x="355" s="1" nd="1"/>
        <i x="2479" s="1" nd="1"/>
        <i x="2727" s="1" nd="1"/>
        <i x="3800" s="1" nd="1"/>
        <i x="2265" s="1" nd="1"/>
        <i x="1998" s="1" nd="1"/>
        <i x="224" s="1" nd="1"/>
        <i x="2886" s="1" nd="1"/>
        <i x="1644" s="1" nd="1"/>
        <i x="681" s="1" nd="1"/>
        <i x="2436" s="1" nd="1"/>
        <i x="2557" s="1" nd="1"/>
        <i x="1577" s="1" nd="1"/>
        <i x="2916" s="1" nd="1"/>
        <i x="2122" s="1" nd="1"/>
        <i x="2635" s="1" nd="1"/>
        <i x="3730" s="1" nd="1"/>
        <i x="3935" s="1" nd="1"/>
        <i x="464" s="1" nd="1"/>
        <i x="3707" s="1" nd="1"/>
        <i x="638" s="1" nd="1"/>
        <i x="4162" s="1" nd="1"/>
        <i x="3884" s="1" nd="1"/>
        <i x="4033" s="1" nd="1"/>
        <i x="2854" s="1" nd="1"/>
        <i x="573" s="1" nd="1"/>
        <i x="2361" s="1" nd="1"/>
        <i x="4632" s="1" nd="1"/>
        <i x="1914" s="1" nd="1"/>
        <i x="512" s="1" nd="1"/>
        <i x="3693" s="1" nd="1"/>
        <i x="2603" s="1" nd="1"/>
        <i x="4454" s="1" nd="1"/>
        <i x="299" s="1" nd="1"/>
        <i x="3984" s="1" nd="1"/>
        <i x="818" s="1" nd="1"/>
        <i x="3325" s="1" nd="1"/>
        <i x="4221" s="1" nd="1"/>
        <i x="101" s="1" nd="1"/>
        <i x="3765" s="1" nd="1"/>
        <i x="2428" s="1" nd="1"/>
        <i x="1166" s="1" nd="1"/>
        <i x="690" s="1" nd="1"/>
        <i x="3646" s="1" nd="1"/>
        <i x="1152" s="1" nd="1"/>
        <i x="1045" s="1" nd="1"/>
        <i x="272" s="1" nd="1"/>
        <i x="3985" s="1" nd="1"/>
        <i x="2114" s="1" nd="1"/>
        <i x="2933" s="1" nd="1"/>
        <i x="4009" s="1" nd="1"/>
        <i x="709" s="1" nd="1"/>
        <i x="3258" s="1" nd="1"/>
        <i x="885" s="1" nd="1"/>
        <i x="4482" s="1" nd="1"/>
        <i x="4286" s="1" nd="1"/>
        <i x="4043" s="1" nd="1"/>
        <i x="568" s="1" nd="1"/>
        <i x="2488" s="1" nd="1"/>
        <i x="1813" s="1" nd="1"/>
        <i x="2076" s="1" nd="1"/>
        <i x="1210" s="1" nd="1"/>
        <i x="2920" s="1" nd="1"/>
        <i x="749" s="1" nd="1"/>
        <i x="801" s="1" nd="1"/>
        <i x="4056" s="1" nd="1"/>
        <i x="4012" s="1" nd="1"/>
        <i x="3394" s="1" nd="1"/>
        <i x="3183" s="1" nd="1"/>
        <i x="2764" s="1" nd="1"/>
        <i x="932" s="1" nd="1"/>
        <i x="551" s="1" nd="1"/>
        <i x="2160" s="1" nd="1"/>
        <i x="2169" s="1" nd="1"/>
        <i x="1978" s="1" nd="1"/>
        <i x="3204" s="1" nd="1"/>
        <i x="2075" s="1" nd="1"/>
        <i x="4371" s="1" nd="1"/>
        <i x="2175" s="1" nd="1"/>
        <i x="3042" s="1" nd="1"/>
        <i x="4594" s="1" nd="1"/>
        <i x="2553" s="1" nd="1"/>
        <i x="2398" s="1" nd="1"/>
        <i x="3554" s="1" nd="1"/>
        <i x="1285" s="1" nd="1"/>
        <i x="3674" s="1" nd="1"/>
        <i x="2930" s="1" nd="1"/>
        <i x="3718" s="1" nd="1"/>
        <i x="4125" s="1" nd="1"/>
        <i x="2063" s="1" nd="1"/>
        <i x="2830" s="1" nd="1"/>
        <i x="802" s="1" nd="1"/>
        <i x="4394" s="1" nd="1"/>
        <i x="1766" s="1" nd="1"/>
        <i x="4118" s="1" nd="1"/>
        <i x="4359" s="1" nd="1"/>
        <i x="2530" s="1" nd="1"/>
        <i x="2697" s="1" nd="1"/>
        <i x="564" s="1" nd="1"/>
        <i x="2614" s="1" nd="1"/>
        <i x="3602" s="1" nd="1"/>
        <i x="1352" s="1" nd="1"/>
        <i x="349" s="1" nd="1"/>
        <i x="4189" s="1" nd="1"/>
        <i x="3618" s="1" nd="1"/>
        <i x="4643" s="1" nd="1"/>
        <i x="1022" s="1" nd="1"/>
        <i x="2892" s="1" nd="1"/>
        <i x="372" s="1" nd="1"/>
        <i x="2158" s="1" nd="1"/>
        <i x="1101" s="1" nd="1"/>
        <i x="292" s="1" nd="1"/>
        <i x="1238" s="1" nd="1"/>
        <i x="58" s="1" nd="1"/>
        <i x="29" s="1" nd="1"/>
        <i x="3526" s="1" nd="1"/>
        <i x="1513" s="1" nd="1"/>
        <i x="2036" s="1" nd="1"/>
        <i x="1754" s="1" nd="1"/>
        <i x="2177" s="1" nd="1"/>
        <i x="2002" s="1" nd="1"/>
        <i x="4247" s="1" nd="1"/>
        <i x="1313" s="1" nd="1"/>
        <i x="1711" s="1" nd="1"/>
        <i x="2964" s="1" nd="1"/>
        <i x="2629" s="1" nd="1"/>
        <i x="3666" s="1" nd="1"/>
        <i x="2230" s="1" nd="1"/>
        <i x="1178" s="1" nd="1"/>
        <i x="1455" s="1" nd="1"/>
        <i x="3997" s="1" nd="1"/>
        <i x="4548" s="1" nd="1"/>
        <i x="339" s="1" nd="1"/>
        <i x="417" s="1" nd="1"/>
        <i x="1591" s="1" nd="1"/>
        <i x="2453" s="1" nd="1"/>
        <i x="4110" s="1" nd="1"/>
        <i x="4321" s="1" nd="1"/>
        <i x="1807" s="1" nd="1"/>
        <i x="1898" s="1" nd="1"/>
        <i x="3019" s="1" nd="1"/>
        <i x="3930" s="1" nd="1"/>
        <i x="1241" s="1" nd="1"/>
        <i x="1842" s="1" nd="1"/>
        <i x="382" s="1" nd="1"/>
        <i x="4603" s="1" nd="1"/>
        <i x="3155" s="1" nd="1"/>
        <i x="163" s="1" nd="1"/>
        <i x="2091" s="1" nd="1"/>
        <i x="2217" s="1" nd="1"/>
        <i x="2783" s="1" nd="1"/>
        <i x="532" s="1" nd="1"/>
        <i x="3721" s="1" nd="1"/>
        <i x="53" s="1" nd="1"/>
        <i x="3709" s="1" nd="1"/>
        <i x="1572" s="1" nd="1"/>
        <i x="812" s="1" nd="1"/>
        <i x="1151" s="1" nd="1"/>
        <i x="4409" s="1" nd="1"/>
        <i x="3074" s="1" nd="1"/>
        <i x="152" s="1" nd="1"/>
        <i x="1312" s="1" nd="1"/>
        <i x="4684" s="1" nd="1"/>
        <i x="268" s="1" nd="1"/>
        <i x="557" s="1" nd="1"/>
        <i x="2856" s="1" nd="1"/>
        <i x="3226" s="1" nd="1"/>
        <i x="1471" s="1" nd="1"/>
        <i x="220" s="1" nd="1"/>
        <i x="1609" s="1" nd="1"/>
        <i x="4352" s="1" nd="1"/>
        <i x="3304" s="1" nd="1"/>
        <i x="4017" s="1" nd="1"/>
        <i x="4316" s="1" nd="1"/>
        <i x="4619" s="1" nd="1"/>
        <i x="1214" s="1" nd="1"/>
        <i x="2147" s="1" nd="1"/>
        <i x="1064" s="1" nd="1"/>
        <i x="44" s="1" nd="1"/>
        <i x="594" s="1" nd="1"/>
        <i x="1912" s="1" nd="1"/>
        <i x="4266" s="1" nd="1"/>
        <i x="1678" s="1" nd="1"/>
        <i x="4314" s="1" nd="1"/>
        <i x="3703" s="1" nd="1"/>
        <i x="575" s="1" nd="1"/>
        <i x="4514" s="1" nd="1"/>
        <i x="3279" s="1" nd="1"/>
        <i x="3470" s="1" nd="1"/>
        <i x="1136" s="1" nd="1"/>
        <i x="4072" s="1" nd="1"/>
        <i x="2353" s="1" nd="1"/>
        <i x="3641" s="1" nd="1"/>
        <i x="4682" s="1" nd="1"/>
        <i x="3911" s="1" nd="1"/>
        <i x="37" s="1" nd="1"/>
        <i x="553" s="1" nd="1"/>
        <i x="3211" s="1" nd="1"/>
        <i x="3468" s="1" nd="1"/>
        <i x="4046" s="1" nd="1"/>
        <i x="3560" s="1" nd="1"/>
        <i x="4635" s="1" nd="1"/>
        <i x="2725" s="1" nd="1"/>
        <i x="2409" s="1" nd="1"/>
        <i x="3054" s="1" nd="1"/>
        <i x="1272" s="1" nd="1"/>
        <i x="3330" s="1" nd="1"/>
        <i x="3198" s="1" nd="1"/>
        <i x="4672" s="1" nd="1"/>
        <i x="197" s="1" nd="1"/>
        <i x="25" s="1" nd="1"/>
        <i x="2492" s="1" nd="1"/>
        <i x="1804" s="1" nd="1"/>
        <i x="1937" s="1" nd="1"/>
        <i x="4379" s="1" nd="1"/>
        <i x="3699" s="1" nd="1"/>
        <i x="147" s="1" nd="1"/>
        <i x="4631" s="1" nd="1"/>
        <i x="537" s="1" nd="1"/>
        <i x="3990" s="1" nd="1"/>
        <i x="1454" s="1" nd="1"/>
        <i x="3425" s="1" nd="1"/>
        <i x="3356" s="1" nd="1"/>
        <i x="755" s="1" nd="1"/>
        <i x="4598" s="1" nd="1"/>
        <i x="2843" s="1" nd="1"/>
        <i x="2618" s="1" nd="1"/>
        <i x="547" s="1" nd="1"/>
        <i x="1750" s="1" nd="1"/>
        <i x="946" s="1" nd="1"/>
        <i x="77" s="1" nd="1"/>
        <i x="2128" s="1" nd="1"/>
        <i x="2857" s="1" nd="1"/>
        <i x="2838" s="1" nd="1"/>
        <i x="4712" s="1" nd="1"/>
        <i x="1792" s="1" nd="1"/>
        <i x="4554" s="1" nd="1"/>
        <i x="356" s="1" nd="1"/>
        <i x="1348" s="1" nd="1"/>
        <i x="2138" s="1" nd="1"/>
        <i x="3339" s="1" nd="1"/>
        <i x="1630" s="1" nd="1"/>
        <i x="283" s="1" nd="1"/>
        <i x="1884" s="1" nd="1"/>
        <i x="1731" s="1" nd="1"/>
        <i x="2448" s="1" nd="1"/>
        <i x="1590" s="1" nd="1"/>
        <i x="2889" s="1" nd="1"/>
        <i x="1032" s="1" nd="1"/>
        <i x="293" s="1" nd="1"/>
        <i x="3696" s="1" nd="1"/>
        <i x="68" s="1" nd="1"/>
        <i x="3886" s="1" nd="1"/>
        <i x="1868" s="1" nd="1"/>
        <i x="3483" s="1" nd="1"/>
        <i x="4301" s="1" nd="1"/>
        <i x="3208" s="1" nd="1"/>
        <i x="1698" s="1" nd="1"/>
        <i x="1174" s="1" nd="1"/>
        <i x="1134" s="1" nd="1"/>
        <i x="2977" s="1" nd="1"/>
        <i x="1578" s="1" nd="1"/>
        <i x="350" s="1" nd="1"/>
        <i x="4197" s="1" nd="1"/>
        <i x="2698" s="1" nd="1"/>
        <i x="1570" s="1" nd="1"/>
        <i x="1118" s="1" nd="1"/>
        <i x="3252" s="1" nd="1"/>
        <i x="786" s="1" nd="1"/>
        <i x="3866" s="1" nd="1"/>
        <i x="1364" s="1" nd="1"/>
        <i x="2949" s="1" nd="1"/>
        <i x="1410" s="1" nd="1"/>
        <i x="4636" s="1" nd="1"/>
        <i x="3551" s="1" nd="1"/>
        <i x="3738" s="1" nd="1"/>
        <i x="1762" s="1" nd="1"/>
        <i x="4364" s="1" nd="1"/>
        <i x="3585" s="1" nd="1"/>
        <i x="425" s="1" nd="1"/>
        <i x="718" s="1" nd="1"/>
        <i x="2490" s="1" nd="1"/>
        <i x="3320" s="1" nd="1"/>
        <i x="752" s="1" nd="1"/>
        <i x="2050" s="1" nd="1"/>
        <i x="1076" s="1" nd="1"/>
        <i x="3850" s="1" nd="1"/>
        <i x="288" s="1" nd="1"/>
        <i x="2997" s="1" nd="1"/>
        <i x="1825" s="1" nd="1"/>
        <i x="648" s="1" nd="1"/>
        <i x="498" s="1" nd="1"/>
        <i x="1115" s="1" nd="1"/>
        <i x="3914" s="1" nd="1"/>
        <i x="3960" s="1" nd="1"/>
        <i x="426" s="1" nd="1"/>
        <i x="2110" s="1" nd="1"/>
        <i x="1631" s="1" nd="1"/>
        <i x="813" s="1" nd="1"/>
        <i x="214" s="1" nd="1"/>
        <i x="1468" s="1" nd="1"/>
        <i x="3548" s="1" nd="1"/>
        <i x="918" s="1" nd="1"/>
        <i x="1162" s="1" nd="1"/>
        <i x="2665" s="1" nd="1"/>
        <i x="184" s="1" nd="1"/>
        <i x="2962" s="1" nd="1"/>
        <i x="3254" s="1" nd="1"/>
        <i x="2534" s="1" nd="1"/>
        <i x="4579" s="1" nd="1"/>
        <i x="3979" s="1" nd="1"/>
        <i x="2400" s="1" nd="1"/>
        <i x="3032" s="1" nd="1"/>
        <i x="2368" s="1" nd="1"/>
        <i x="2179" s="1" nd="1"/>
        <i x="4209" s="1" nd="1"/>
        <i x="4465" s="1" nd="1"/>
        <i x="4346" s="1" nd="1"/>
        <i x="882" s="1" nd="1"/>
        <i x="2523" s="1" nd="1"/>
        <i x="2790" s="1" nd="1"/>
        <i x="1074" s="1" nd="1"/>
        <i x="3755" s="1" nd="1"/>
        <i x="724" s="1" nd="1"/>
        <i x="4044" s="1" nd="1"/>
        <i x="1198" s="1" nd="1"/>
        <i x="3328" s="1" nd="1"/>
        <i x="78" s="1" nd="1"/>
        <i x="1111" s="1" nd="1"/>
        <i x="3633" s="1" nd="1"/>
        <i x="4054" s="1" nd="1"/>
        <i x="1236" s="1" nd="1"/>
        <i x="803" s="1" nd="1"/>
        <i x="2245" s="1" nd="1"/>
        <i x="190" s="1" nd="1"/>
        <i x="989" s="1" nd="1"/>
        <i x="2072" s="1" nd="1"/>
        <i x="3817" s="1" nd="1"/>
        <i x="939" s="1" nd="1"/>
        <i x="4630" s="1" nd="1"/>
        <i x="3492" s="1" nd="1"/>
        <i x="3819" s="1" nd="1"/>
        <i x="4713" s="1" nd="1"/>
        <i x="2657" s="1" nd="1"/>
        <i x="2547" s="1" nd="1"/>
        <i x="1573" s="1" nd="1"/>
        <i x="4389" s="1" nd="1"/>
        <i x="64" s="1" nd="1"/>
        <i x="3519" s="1" nd="1"/>
        <i x="4312" s="1" nd="1"/>
        <i x="2413" s="1" nd="1"/>
        <i x="3910" s="1" nd="1"/>
        <i x="1474" s="1" nd="1"/>
        <i x="1343" s="1" nd="1"/>
        <i x="3480" s="1" nd="1"/>
        <i x="1013" s="1" nd="1"/>
        <i x="1564" s="1" nd="1"/>
        <i x="3873" s="1" nd="1"/>
        <i x="2277" s="1" nd="1"/>
        <i x="957" s="1" nd="1"/>
        <i x="1888" s="1" nd="1"/>
        <i x="359" s="1" nd="1"/>
        <i x="4119" s="1" nd="1"/>
        <i x="1709" s="1" nd="1"/>
        <i x="1421" s="1" nd="1"/>
        <i x="2728" s="1" nd="1"/>
        <i x="2932" s="1" nd="1"/>
        <i x="2869" s="1" nd="1"/>
        <i x="544" s="1" nd="1"/>
        <i x="4117" s="1" nd="1"/>
        <i x="732" s="1" nd="1"/>
        <i x="473" s="1" nd="1"/>
        <i x="3691" s="1" nd="1"/>
        <i x="846" s="1" nd="1"/>
        <i x="1747" s="1" nd="1"/>
        <i x="2687" s="1" nd="1"/>
        <i x="1899" s="1" nd="1"/>
        <i x="2410" s="1" nd="1"/>
        <i x="4531" s="1" nd="1"/>
        <i x="4443" s="1" nd="1"/>
        <i x="1940" s="1" nd="1"/>
        <i x="314" s="1" nd="1"/>
        <i x="4078" s="1" nd="1"/>
        <i x="1337" s="1" nd="1"/>
        <i x="3505" s="1" nd="1"/>
        <i x="4198" s="1" nd="1"/>
        <i x="2992" s="1" nd="1"/>
        <i x="1154" s="1" nd="1"/>
        <i x="3010" s="1" nd="1"/>
        <i x="3450" s="1" nd="1"/>
        <i x="2396" s="1" nd="1"/>
        <i x="3637" s="1" nd="1"/>
        <i x="1827" s="1" nd="1"/>
        <i x="1254" s="1" nd="1"/>
        <i x="833" s="1" nd="1"/>
        <i x="2209" s="1" nd="1"/>
        <i x="1098" s="1" nd="1"/>
        <i x="4284" s="1" nd="1"/>
        <i x="4271" s="1" nd="1"/>
        <i x="4133" s="1" nd="1"/>
        <i x="1705" s="1" nd="1"/>
        <i x="1859" s="1" nd="1"/>
        <i x="1763" s="1" nd="1"/>
        <i x="1583" s="1" nd="1"/>
        <i x="441" s="1" nd="1"/>
        <i x="857" s="1" nd="1"/>
        <i x="2648" s="1" nd="1"/>
        <i x="2792" s="1" nd="1"/>
        <i x="3535" s="1" nd="1"/>
        <i x="1623" s="1" nd="1"/>
        <i x="304" s="1" nd="1"/>
        <i x="2340" s="1" nd="1"/>
        <i x="1323" s="1" nd="1"/>
        <i x="2258" s="1" nd="1"/>
        <i x="1125" s="1" nd="1"/>
        <i x="2628" s="1" nd="1"/>
        <i x="2226" s="1" nd="1"/>
        <i x="1119" s="1" nd="1"/>
        <i x="3650" s="1" nd="1"/>
        <i x="2061" s="1" nd="1"/>
        <i x="3378" s="1" nd="1"/>
        <i x="3710" s="1" nd="1"/>
        <i x="2781" s="1" nd="1"/>
        <i x="1646" s="1" nd="1"/>
        <i x="735" s="1" nd="1"/>
        <i x="661" s="1" nd="1"/>
        <i x="1592" s="1" nd="1"/>
        <i x="2701" s="1" nd="1"/>
        <i x="895" s="1" nd="1"/>
        <i x="1296" s="1" nd="1"/>
        <i x="2150" s="1" nd="1"/>
        <i x="1990" s="1" nd="1"/>
        <i x="2320" s="1" nd="1"/>
        <i x="722" s="1" nd="1"/>
        <i x="2377" s="1" nd="1"/>
        <i x="2060" s="1" nd="1"/>
        <i x="1890" s="1" nd="1"/>
        <i x="2440" s="1" nd="1"/>
        <i x="533" s="1" nd="1"/>
        <i x="2622" s="1" nd="1"/>
        <i x="4383" s="1" nd="1"/>
        <i x="4436" s="1" nd="1"/>
        <i x="2866" s="1" nd="1"/>
        <i x="3654" s="1" nd="1"/>
        <i x="1334" s="1" nd="1"/>
        <i x="2365" s="1" nd="1"/>
        <i x="4175" s="1" nd="1"/>
        <i x="2558" s="1" nd="1"/>
        <i x="2779" s="1" nd="1"/>
        <i x="4328" s="1" nd="1"/>
        <i x="210" s="1" nd="1"/>
        <i x="2385" s="1" nd="1"/>
        <i x="1360" s="1" nd="1"/>
        <i x="442" s="1" nd="1"/>
        <i x="534" s="1" nd="1"/>
        <i x="4156" s="1" nd="1"/>
        <i x="2639" s="1" nd="1"/>
        <i x="2494" s="1" nd="1"/>
        <i x="2354" s="1" nd="1"/>
        <i x="1144" s="1" nd="1"/>
        <i x="4149" s="1" nd="1"/>
        <i x="3244" s="1" nd="1"/>
        <i x="149" s="1" nd="1"/>
        <i x="4645" s="1" nd="1"/>
        <i x="516" s="1" nd="1"/>
        <i x="4311" s="1" nd="1"/>
        <i x="1244" s="1" nd="1"/>
        <i x="977" s="1" nd="1"/>
        <i x="2417" s="1" nd="1"/>
        <i x="4191" s="1" nd="1"/>
        <i x="3458" s="1" nd="1"/>
        <i x="2939" s="1" nd="1"/>
        <i x="238" s="1" nd="1"/>
        <i x="3772" s="1" nd="1"/>
        <i x="727" s="1" nd="1"/>
        <i x="189" s="1" nd="1"/>
        <i x="1077" s="1" nd="1"/>
        <i x="2285" s="1" nd="1"/>
        <i x="4257" s="1" nd="1"/>
        <i x="4333" s="1" nd="1"/>
        <i x="1944" s="1" nd="1"/>
        <i x="1838" s="1" nd="1"/>
        <i x="3061" s="1" nd="1"/>
        <i x="3612" s="1" nd="1"/>
        <i x="2868" s="1" nd="1"/>
        <i x="621" s="1" nd="1"/>
        <i x="3747" s="1" nd="1"/>
        <i x="2470" s="1" nd="1"/>
        <i x="3209" s="1" nd="1"/>
        <i x="3529" s="1" nd="1"/>
        <i x="3314" s="1" nd="1"/>
        <i x="2978" s="1" nd="1"/>
        <i x="3007" s="1" nd="1"/>
        <i x="4668" s="1" nd="1"/>
        <i x="550" s="1" nd="1"/>
        <i x="66" s="1" nd="1"/>
        <i x="4029" s="1" nd="1"/>
        <i x="111" s="1" nd="1"/>
        <i x="2798" s="1" nd="1"/>
        <i x="3987" s="1" nd="1"/>
        <i x="3383" s="1" nd="1"/>
        <i x="2495" s="1" nd="1"/>
        <i x="2989" s="1" nd="1"/>
        <i x="2742" s="1" nd="1"/>
        <i x="1995" s="1" nd="1"/>
        <i x="3445" s="1" nd="1"/>
        <i x="4293" s="1" nd="1"/>
        <i x="509" s="1" nd="1"/>
        <i x="3902" s="1" nd="1"/>
        <i x="3367" s="1" nd="1"/>
        <i x="2539" s="1" nd="1"/>
        <i x="1628" s="1" nd="1"/>
        <i x="3280" s="1" nd="1"/>
        <i x="4349" s="1" nd="1"/>
        <i x="1199" s="1" nd="1"/>
        <i x="2675" s="1" nd="1"/>
        <i x="3024" s="1" nd="1"/>
        <i x="2773" s="1" nd="1"/>
        <i x="4381" s="1" nd="1"/>
        <i x="4368" s="1" nd="1"/>
        <i x="890" s="1" nd="1"/>
        <i x="1908" s="1" nd="1"/>
        <i x="2034" s="1" nd="1"/>
        <i x="3205" s="1" nd="1"/>
        <i x="4558" s="1" nd="1"/>
        <i x="109" s="1" nd="1"/>
        <i x="3412" s="1" nd="1"/>
        <i x="2047" s="1" nd="1"/>
        <i x="3041" s="1" nd="1"/>
        <i x="3457" s="1" nd="1"/>
        <i x="12" s="1" nd="1"/>
        <i x="2814" s="1" nd="1"/>
        <i x="1663" s="1" nd="1"/>
        <i x="2087" s="1" nd="1"/>
        <i x="3375" s="1" nd="1"/>
        <i x="114" s="1" nd="1"/>
        <i x="3456" s="1" nd="1"/>
        <i x="2195" s="1" nd="1"/>
        <i x="3064" s="1" nd="1"/>
        <i x="1443" s="1" nd="1"/>
        <i x="3694" s="1" nd="1"/>
        <i x="3827" s="1" nd="1"/>
        <i x="999" s="1" nd="1"/>
        <i x="1732" s="1" nd="1"/>
        <i x="1549" s="1" nd="1"/>
        <i x="1626" s="1" nd="1"/>
        <i x="3241" s="1" nd="1"/>
        <i x="3779" s="1" nd="1"/>
        <i x="2905" s="1" nd="1"/>
        <i x="482" s="1" nd="1"/>
        <i x="3467" s="1" nd="1"/>
        <i x="121" s="1" nd="1"/>
        <i x="2607" s="1" nd="1"/>
        <i x="1023" s="1" nd="1"/>
        <i x="1535" s="1" nd="1"/>
        <i x="3627" s="1" nd="1"/>
        <i x="1975" s="1" nd="1"/>
        <i x="2719" s="1" nd="1"/>
        <i x="1240" s="1" nd="1"/>
        <i x="3132" s="1" nd="1"/>
        <i x="1345" s="1" nd="1"/>
        <i x="166" s="1" nd="1"/>
        <i x="659" s="1" nd="1"/>
        <i x="518" s="1" nd="1"/>
        <i x="3113" s="1" nd="1"/>
        <i x="3665" s="1" nd="1"/>
        <i x="1694" s="1" nd="1"/>
        <i x="39" s="1" nd="1"/>
        <i x="1003" s="1" nd="1"/>
        <i x="1621" s="1" nd="1"/>
        <i x="891" s="1" nd="1"/>
        <i x="3546" s="1" nd="1"/>
        <i x="2985" s="1" nd="1"/>
        <i x="2887" s="1" nd="1"/>
        <i x="2795" s="1" nd="1"/>
        <i x="1147" s="1" nd="1"/>
        <i x="2270" s="1" nd="1"/>
        <i x="278" s="1" nd="1"/>
        <i x="874" s="1" nd="1"/>
        <i x="1096" s="1" nd="1"/>
        <i x="2722" s="1" nd="1"/>
        <i x="3140" s="1" nd="1"/>
        <i x="405" s="1" nd="1"/>
        <i x="440" s="1" nd="1"/>
        <i x="2373" s="1" nd="1"/>
        <i x="4487" s="1" nd="1"/>
        <i x="4015" s="1" nd="1"/>
        <i x="787" s="1" nd="1"/>
        <i x="1183" s="1" nd="1"/>
        <i x="4621" s="1" nd="1"/>
        <i x="1670" s="1" nd="1"/>
        <i x="3251" s="1" nd="1"/>
        <i x="2041" s="1" nd="1"/>
        <i x="1407" s="1" nd="1"/>
        <i x="4593" s="1" nd="1"/>
        <i x="1554" s="1" nd="1"/>
        <i x="1282" s="1" nd="1"/>
        <i x="3027" s="1" nd="1"/>
        <i x="738" s="1" nd="1"/>
        <i x="3951" s="1" nd="1"/>
        <i x="79" s="1" nd="1"/>
        <i x="2350" s="1" nd="1"/>
        <i x="2100" s="1" nd="1"/>
        <i x="3621" s="1" nd="1"/>
        <i x="4449" s="1" nd="1"/>
        <i x="2" s="1" nd="1"/>
        <i x="2027" s="1" nd="1"/>
        <i x="685" s="1" nd="1"/>
        <i x="4578" s="1" nd="1"/>
        <i x="2305" s="1" nd="1"/>
        <i x="2976" s="1" nd="1"/>
        <i x="1721" s="1" nd="1"/>
        <i x="3880" s="1" nd="1"/>
        <i x="494" s="1" nd="1"/>
        <i x="4097" s="1" nd="1"/>
        <i x="4555" s="1" nd="1"/>
        <i x="1649" s="1" nd="1"/>
        <i x="3909" s="1" nd="1"/>
        <i x="3273" s="1" nd="1"/>
        <i x="3562" s="1" nd="1"/>
        <i x="3943" s="1" nd="1"/>
        <i x="2247" s="1" nd="1"/>
        <i x="852" s="1" nd="1"/>
        <i x="3122" s="1" nd="1"/>
        <i x="4372" s="1" nd="1"/>
        <i x="814" s="1" nd="1"/>
        <i x="1148" s="1" nd="1"/>
        <i x="1230" s="1" nd="1"/>
        <i x="157" s="1" nd="1"/>
        <i x="22" s="1" nd="1"/>
        <i x="284" s="1" nd="1"/>
        <i x="4662" s="1" nd="1"/>
        <i x="4309" s="1" nd="1"/>
        <i x="2015" s="1" nd="1"/>
        <i x="3033" s="1" nd="1"/>
        <i x="1489" s="1" nd="1"/>
        <i x="4285" s="1" nd="1"/>
        <i x="3568" s="1" nd="1"/>
        <i x="2427" s="1" nd="1"/>
        <i x="198" s="1" nd="1"/>
        <i x="2944" s="1" nd="1"/>
        <i x="176" s="1" nd="1"/>
        <i x="4623" s="1" nd="1"/>
        <i x="3130" s="1" nd="1"/>
        <i x="900" s="1" nd="1"/>
        <i x="2865" s="1" nd="1"/>
        <i x="3989" s="1" nd="1"/>
        <i x="1292" s="1" nd="1"/>
        <i x="2855" s="1" nd="1"/>
        <i x="56" s="1" nd="1"/>
        <i x="3349" s="1" nd="1"/>
        <i x="733" s="1" nd="1"/>
        <i x="3898" s="1" nd="1"/>
        <i x="1896" s="1" nd="1"/>
        <i x="2713" s="1" nd="1"/>
        <i x="2378" s="1" nd="1"/>
        <i x="2928" s="1" nd="1"/>
        <i x="1547" s="1" nd="1"/>
        <i x="3875" s="1" nd="1"/>
        <i x="2202" s="1" nd="1"/>
        <i x="788" s="1" nd="1"/>
        <i x="1607" s="1" nd="1"/>
        <i x="67" s="1" nd="1"/>
        <i x="4691" s="1" nd="1"/>
        <i x="4295" s="1" nd="1"/>
        <i x="2811" s="1" nd="1"/>
        <i x="319" s="1" nd="1"/>
        <i x="2822" s="1" nd="1"/>
        <i x="4708" s="1" nd="1"/>
        <i x="507" s="1" nd="1"/>
        <i x="3099" s="1" nd="1"/>
        <i x="2407" s="1" nd="1"/>
        <i x="1344" s="1" nd="1"/>
        <i x="3993" s="1" nd="1"/>
        <i x="2500" s="1" nd="1"/>
        <i x="4520" s="1" nd="1"/>
        <i x="1861" s="1" nd="1"/>
        <i x="3397" s="1" nd="1"/>
        <i x="2923" s="1" nd="1"/>
        <i x="2738" s="1" nd="1"/>
        <i x="1223" s="1" nd="1"/>
        <i x="2333" s="1" nd="1"/>
        <i x="2714" s="1" nd="1"/>
        <i x="1608" s="1" nd="1"/>
        <i x="4616" s="1" nd="1"/>
        <i x="3648" s="1" nd="1"/>
        <i x="4688" s="1" nd="1"/>
        <i x="4505" s="1" nd="1"/>
        <i x="1869" s="1" nd="1"/>
        <i x="3927" s="1" nd="1"/>
        <i x="4113" s="1" nd="1"/>
        <i x="3417" s="1" nd="1"/>
        <i x="657" s="1" nd="1"/>
        <i x="901" s="1" nd="1"/>
        <i x="2777" s="1" nd="1"/>
        <i x="4206" s="1" nd="1"/>
        <i x="3111" s="1" nd="1"/>
        <i x="1633" s="1" nd="1"/>
        <i x="1384" s="1" nd="1"/>
        <i x="123" s="1" nd="1"/>
        <i x="377" s="1" nd="1"/>
        <i x="955" s="1" nd="1"/>
        <i x="1858" s="1" nd="1"/>
        <i x="1833" s="1" nd="1"/>
        <i x="295" s="1" nd="1"/>
        <i x="3085" s="1" nd="1"/>
        <i x="49" s="1" nd="1"/>
        <i x="4580" s="1" nd="1"/>
        <i x="4702" s="1" nd="1"/>
        <i x="239" s="1" nd="1"/>
        <i x="3177" s="1" nd="1"/>
        <i x="2566" s="1" nd="1"/>
        <i x="3021" s="1" nd="1"/>
        <i x="1262" s="1" nd="1"/>
        <i x="4525" s="1" nd="1"/>
        <i x="308" s="1" nd="1"/>
        <i x="1941" s="1" nd="1"/>
        <i x="3563" s="1" nd="1"/>
        <i x="701" s="1" nd="1"/>
        <i x="4041" s="1" nd="1"/>
        <i x="1905" s="1" nd="1"/>
        <i x="4018" s="1" nd="1"/>
        <i x="1305" s="1" nd="1"/>
        <i x="875" s="1" nd="1"/>
        <i x="1603" s="1" nd="1"/>
        <i x="615" s="1" nd="1"/>
        <i x="2967" s="1" nd="1"/>
        <i x="2079" s="1" nd="1"/>
        <i x="4147" s="1" nd="1"/>
        <i x="1574" s="1" nd="1"/>
        <i x="4016" s="1" nd="1"/>
        <i x="3497" s="1" nd="1"/>
        <i x="3095" s="1" nd="1"/>
        <i x="444" s="1" nd="1"/>
        <i x="242" s="1" nd="1"/>
        <i x="465" s="1" nd="1"/>
        <i x="3856" s="1" nd="1"/>
        <i x="572" s="1" nd="1"/>
        <i x="4211" s="1" nd="1"/>
        <i x="1052" s="1" nd="1"/>
        <i x="2802" s="1" nd="1"/>
        <i x="3937" s="1" nd="1"/>
        <i x="2239" s="1" nd="1"/>
        <i x="368" s="1" nd="1"/>
        <i x="4561" s="1" nd="1"/>
        <i x="2829" s="1" nd="1"/>
        <i x="4457" s="1" nd="1"/>
        <i x="671" s="1" nd="1"/>
        <i x="925" s="1" nd="1"/>
        <i x="2499" s="1" nd="1"/>
        <i x="3809" s="1" nd="1"/>
        <i x="741" s="1" nd="1"/>
        <i x="3533" s="1" nd="1"/>
        <i x="4401" s="1" nd="1"/>
        <i x="3161" s="1" nd="1"/>
        <i x="2351" s="1" nd="1"/>
        <i x="3549" s="1" nd="1"/>
        <i x="1372" s="1" nd="1"/>
        <i x="962" s="1" nd="1"/>
        <i x="1482" s="1" nd="1"/>
        <i x="3578" s="1" nd="1"/>
        <i x="2116" s="1" nd="1"/>
        <i x="692" s="1" nd="1"/>
        <i x="161" s="1" nd="1"/>
        <i x="3513" s="1" nd="1"/>
        <i x="4262" s="1" nd="1"/>
        <i x="3610" s="1" nd="1"/>
        <i x="4210" s="1" nd="1"/>
        <i x="667" s="1" nd="1"/>
        <i x="4310" s="1" nd="1"/>
        <i x="3572" s="1" nd="1"/>
        <i x="4612" s="1" nd="1"/>
        <i x="968" s="1" nd="1"/>
        <i x="2925" s="1" nd="1"/>
        <i x="4202" s="1" nd="1"/>
        <i x="1110" s="1" nd="1"/>
        <i x="2804" s="1" nd="1"/>
        <i x="3677" s="1" nd="1"/>
        <i x="4327" s="1" nd="1"/>
        <i x="155" s="1" nd="1"/>
        <i x="716" s="1" nd="1"/>
        <i x="4278" s="1" nd="1"/>
        <i x="1699" s="1" nd="1"/>
        <i x="455" s="1" nd="1"/>
        <i x="1179" s="1" nd="1"/>
        <i x="1701" s="1" nd="1"/>
        <i x="2042" s="1" nd="1"/>
        <i x="4523" s="1" nd="1"/>
        <i x="2541" s="1" nd="1"/>
        <i x="521" s="1" nd="1"/>
        <i x="3871" s="1" nd="1"/>
        <i x="1518" s="1" nd="1"/>
        <i x="4214" s="1" nd="1"/>
        <i x="3135" s="1" nd="1"/>
        <i x="1682" s="1" nd="1"/>
        <i x="3783" s="1" nd="1"/>
        <i x="913" s="1" nd="1"/>
        <i x="4658" s="1" nd="1"/>
        <i x="1041" s="1" nd="1"/>
        <i x="1457" s="1" nd="1"/>
        <i x="4065" s="1" nd="1"/>
        <i x="1099" s="1" nd="1"/>
        <i x="4461" s="1" nd="1"/>
        <i x="2112" s="1" nd="1"/>
        <i x="427" s="1" nd="1"/>
        <i x="2459" s="1" nd="1"/>
        <i x="3451" s="1" nd="1"/>
        <i x="3657" s="1" nd="1"/>
        <i x="3222" s="1" nd="1"/>
        <i x="2221" s="1" nd="1"/>
        <i x="3372" s="1" nd="1"/>
        <i x="3002" s="1" nd="1"/>
        <i x="3186" s="1" nd="1"/>
        <i x="3243" s="1" nd="1"/>
        <i x="3669" s="1" nd="1"/>
        <i x="2379" s="1" nd="1"/>
        <i x="1017" s="1" nd="1"/>
        <i x="334" s="1" nd="1"/>
        <i x="4294" s="1" nd="1"/>
        <i x="1757" s="1" nd="1"/>
        <i x="2058" s="1" nd="1"/>
        <i x="2793" s="1" nd="1"/>
        <i x="529" s="1" nd="1"/>
        <i x="2311" s="1" nd="1"/>
        <i x="3559" s="1" nd="1"/>
        <i x="2046" s="1" nd="1"/>
        <i x="2426" s="1" nd="1"/>
        <i x="2942" s="1" nd="1"/>
        <i x="16" s="1" nd="1"/>
        <i x="821" s="1" nd="1"/>
        <i x="3952" s="1" nd="1"/>
        <i x="2200" s="1" nd="1"/>
        <i x="2508" s="1" nd="1"/>
        <i x="3310" s="1" nd="1"/>
        <i x="1488" s="1" nd="1"/>
        <i x="680" s="1" nd="1"/>
        <i x="2765" s="1" nd="1"/>
        <i x="2148" s="1" nd="1"/>
        <i x="2481" s="1" nd="1"/>
        <i x="1504" s="1" nd="1"/>
        <i x="179" s="1" nd="1"/>
        <i x="1314" s="1" nd="1"/>
        <i x="854" s="1" nd="1"/>
        <i x="4473" s="1" nd="1"/>
        <i x="2008" s="1" nd="1"/>
        <i x="4225" s="1" nd="1"/>
        <i x="3138" s="1" nd="1"/>
        <i x="1814" s="1" nd="1"/>
        <i x="584" s="1" nd="1"/>
        <i x="1373" s="1" nd="1"/>
        <i x="3734" s="1" nd="1"/>
        <i x="1429" s="1" nd="1"/>
        <i x="3059" s="1" nd="1"/>
        <i x="1033" s="1" nd="1"/>
        <i x="2813" s="1" nd="1"/>
        <i x="1220" s="1" nd="1"/>
        <i x="258" s="1" nd="1"/>
        <i x="2468" s="1" nd="1"/>
        <i x="2135" s="1" nd="1"/>
        <i x="2020" s="1" nd="1"/>
        <i x="3742" s="1" nd="1"/>
        <i x="610" s="1" nd="1"/>
        <i x="132" s="1" nd="1"/>
        <i x="1826" s="1" nd="1"/>
        <i x="1026" s="1" nd="1"/>
        <i x="822" s="1" nd="1"/>
        <i x="605" s="1" nd="1"/>
        <i x="375" s="1" nd="1"/>
        <i x="3938" s="1" nd="1"/>
        <i x="4665" s="1" nd="1"/>
        <i x="1376" s="1" nd="1"/>
        <i x="3435" s="1" nd="1"/>
        <i x="2659" s="1" nd="1"/>
        <i x="3190" s="1" nd="1"/>
        <i x="4450" s="1" nd="1"/>
        <i x="513" s="1" nd="1"/>
        <i x="4026" s="1" nd="1"/>
        <i x="2231" s="1" nd="1"/>
        <i x="1451" s="1" nd="1"/>
        <i x="2125" s="1" nd="1"/>
        <i x="1433" s="1" nd="1"/>
        <i x="640" s="1" nd="1"/>
        <i x="233" s="1" nd="1"/>
        <i x="2229" s="1" nd="1"/>
        <i x="1593" s="1" nd="1"/>
        <i x="2068" s="1" nd="1"/>
        <i x="1637" s="1" nd="1"/>
        <i x="924" s="1" nd="1"/>
        <i x="2101" s="1" nd="1"/>
        <i x="1846" s="1" nd="1"/>
        <i x="3660" s="1" nd="1"/>
        <i x="1780" s="1" nd="1"/>
        <i x="248" s="1" nd="1"/>
        <i x="526" s="1" nd="1"/>
        <i x="1472" s="1" nd="1"/>
        <i x="4345" s="1" nd="1"/>
        <i x="3442" s="1" nd="1"/>
        <i x="4609" s="1" nd="1"/>
        <i x="470" s="1" nd="1"/>
        <i x="2491" s="1" nd="1"/>
        <i x="2038" s="1" nd="1"/>
        <i x="1805" s="1" nd="1"/>
        <i x="1656" s="1" nd="1"/>
        <i x="2729" s="1" nd="1"/>
        <i x="3659" s="1" nd="1"/>
        <i x="2846" s="1" nd="1"/>
        <i x="4539" s="1" nd="1"/>
        <i x="2666" s="1" nd="1"/>
        <i x="691" s="1" nd="1"/>
        <i x="1904" s="1" nd="1"/>
        <i x="1782" s="1" nd="1"/>
        <i x="3047" s="1" nd="1"/>
        <i x="4094" s="1" nd="1"/>
        <i x="1268" s="1" nd="1"/>
        <i x="2831" s="1" nd="1"/>
        <i x="1964" s="1" nd="1"/>
        <i x="38" s="1" nd="1"/>
        <i x="705" s="1" nd="1"/>
        <i x="4104" s="1" nd="1"/>
        <i x="508" s="1" nd="1"/>
        <i x="2347" s="1" nd="1"/>
        <i x="4649" s="1" nd="1"/>
        <i x="1029" s="1" nd="1"/>
        <i x="3453" s="1" nd="1"/>
        <i x="3941" s="1" nd="1"/>
        <i x="3595" s="1" nd="1"/>
        <i x="3507" s="1" nd="1"/>
        <i x="723" s="1" nd="1"/>
        <i x="1719" s="1" nd="1"/>
        <i x="2414" s="1" nd="1"/>
        <i x="2240" s="1" nd="1"/>
        <i x="4157" s="1" nd="1"/>
        <i x="4212" s="1" nd="1"/>
        <i x="3920" s="1" nd="1"/>
        <i x="997" s="1" nd="1"/>
        <i x="193" s="1" nd="1"/>
        <i x="331" s="1" nd="1"/>
        <i x="4644" s="1" nd="1"/>
        <i x="329" s="1" nd="1"/>
        <i x="4109" s="1" nd="1"/>
        <i x="4411" s="1" nd="1"/>
        <i x="2334" s="1" nd="1"/>
        <i x="168" s="1" nd="1"/>
        <i x="2171" s="1" nd="1"/>
        <i x="2113" s="1" nd="1"/>
        <i x="3311" s="1" nd="1"/>
        <i x="3230" s="1" nd="1"/>
        <i x="2170" s="1" nd="1"/>
        <i x="4287" s="1" nd="1"/>
        <i x="90" s="1" nd="1"/>
        <i x="1447" s="1" nd="1"/>
        <i x="1409" s="1" nd="1"/>
        <i x="2604" s="1" nd="1"/>
        <i x="866" s="1" nd="1"/>
        <i x="2612" s="1" nd="1"/>
        <i x="4476" s="1" nd="1"/>
        <i x="2760" s="1" nd="1"/>
        <i x="1708" s="1" nd="1"/>
        <i x="4006" s="1" nd="1"/>
        <i x="1480" s="1" nd="1"/>
        <i x="240" s="1" nd="1"/>
        <i x="4181" s="1" nd="1"/>
        <i x="505" s="1" nd="1"/>
        <i x="2096" s="1" nd="1"/>
        <i x="231" s="1" nd="1"/>
        <i x="3527" s="1" nd="1"/>
        <i x="23" s="1" nd="1"/>
        <i x="3216" s="1" nd="1"/>
        <i x="3017" s="1" nd="1"/>
        <i x="3743" s="1" nd="1"/>
        <i x="2883" s="1" nd="1"/>
        <i x="3903" s="1" nd="1"/>
        <i x="1748" s="1" nd="1"/>
        <i x="3302" s="1" nd="1"/>
        <i x="1090" s="1" nd="1"/>
        <i x="2235" s="1" nd="1"/>
        <i x="3075" s="1" nd="1"/>
        <i x="2460" s="1" nd="1"/>
        <i x="1068" s="1" nd="1"/>
        <i x="2881" s="1" nd="1"/>
        <i x="496" s="1" nd="1"/>
        <i x="4604" s="1" nd="1"/>
        <i x="2575" s="1" nd="1"/>
        <i x="2178" s="1" nd="1"/>
        <i x="2818" s="1" nd="1"/>
        <i x="4483" s="1" nd="1"/>
        <i x="3087" s="1" nd="1"/>
        <i x="3305" s="1" nd="1"/>
        <i x="3838" s="1" nd="1"/>
        <i x="294" s="1" nd="1"/>
        <i x="1475" s="1" nd="1"/>
        <i x="459" s="1" nd="1"/>
        <i x="2679" s="1" nd="1"/>
        <i x="1986" s="1" nd="1"/>
        <i x="4079" s="1" nd="1"/>
        <i x="2037" s="1" nd="1"/>
        <i x="3598" s="1" nd="1"/>
        <i x="1775" s="1" nd="1"/>
        <i x="2429" s="1" nd="1"/>
        <i x="3494" s="1" nd="1"/>
        <i x="4042" s="1" nd="1"/>
        <i x="1755" s="1" nd="1"/>
        <i x="3640" s="1" nd="1"/>
        <i x="1403" s="1" nd="1"/>
        <i x="2157" s="1" nd="1"/>
        <i x="2513" s="1" nd="1"/>
        <i x="859" s="1" nd="1"/>
        <i x="2346" s="1" nd="1"/>
        <i x="2721" s="1" nd="1"/>
        <i x="1310" s="1" nd="1"/>
        <i x="3515" s="1" nd="1"/>
        <i x="3619" s="1" nd="1"/>
        <i x="1520" s="1" nd="1"/>
        <i x="3807" s="1" nd="1"/>
        <i x="996" s="1" nd="1"/>
        <i x="54" s="1" nd="1"/>
        <i x="4313" s="1" nd="1"/>
        <i x="2620" s="1" nd="1"/>
        <i x="3490" s="1" nd="1"/>
        <i x="2966" s="1" nd="1"/>
        <i x="2876" s="1" nd="1"/>
        <i x="4236" s="1" nd="1"/>
        <i x="1689" s="1" nd="1"/>
        <i x="341" s="1" nd="1"/>
        <i x="2349" s="1" nd="1"/>
        <i x="2446" s="1" nd="1"/>
        <i x="1184" s="1" nd="1"/>
        <i x="3966" s="1" nd="1"/>
        <i x="492" s="1" nd="1"/>
        <i x="1820" s="1" nd="1"/>
        <i x="3402" s="1" nd="1"/>
        <i x="4129" s="1" nd="1"/>
        <i x="4552" s="1" nd="1"/>
        <i x="1219" s="1" nd="1"/>
        <i x="3173" s="1" nd="1"/>
        <i x="837" s="1" nd="1"/>
        <i x="34" s="1" nd="1"/>
        <i x="3878" s="1" nd="1"/>
        <i x="2885" s="1" nd="1"/>
        <i x="861" s="1" nd="1"/>
        <i x="2104" s="1" nd="1"/>
        <i x="3787" s="1" nd="1"/>
        <i x="1465" s="1" nd="1"/>
        <i x="2249" s="1" nd="1"/>
        <i x="3957" s="1" nd="1"/>
        <i x="4570" s="1" nd="1"/>
        <i x="2119" s="1" nd="1"/>
        <i x="3959" s="1" nd="1"/>
        <i x="810" s="1" nd="1"/>
        <i x="2421" s="1" nd="1"/>
        <i x="4297" s="1" nd="1"/>
        <i x="792" s="1" nd="1"/>
        <i x="2307" s="1" nd="1"/>
        <i x="3200" s="1" nd="1"/>
        <i x="4332" s="1" nd="1"/>
        <i x="4355" s="1" nd="1"/>
        <i x="1479" s="1" nd="1"/>
        <i x="2136" s="1" nd="1"/>
        <i x="118" s="1" nd="1"/>
        <i x="4150" s="1" nd="1"/>
        <i x="1852" s="1" nd="1"/>
        <i x="699" s="1" nd="1"/>
        <i x="2820" s="1" nd="1"/>
        <i x="1035" s="1" nd="1"/>
        <i x="1679" s="1" nd="1"/>
        <i x="3229" s="1" nd="1"/>
        <i x="1790" s="1" nd="1"/>
        <i x="1399" s="1" nd="1"/>
        <i x="2626" s="1" nd="1"/>
        <i x="181" s="1" nd="1"/>
        <i x="328" s="1" nd="1"/>
        <i x="808" s="1" nd="1"/>
        <i x="565" s="1" nd="1"/>
        <i x="4585" s="1" nd="1"/>
        <i x="2860" s="1" nd="1"/>
        <i x="4620" s="1" nd="1"/>
        <i x="523" s="1" nd="1"/>
        <i x="3293" s="1" nd="1"/>
        <i x="3982" s="1" nd="1"/>
        <i x="3" s="1" nd="1"/>
        <i x="3788" s="1" nd="1"/>
        <i x="4176" s="1" nd="1"/>
        <i x="1253" s="1" nd="1"/>
        <i x="1369" s="1" nd="1"/>
        <i x="4090" s="1" nd="1"/>
        <i x="1539" s="1" nd="1"/>
        <i x="82" s="1" nd="1"/>
        <i x="903" s="1" nd="1"/>
        <i x="1543" s="1" nd="1"/>
        <i x="4154" s="1" nd="1"/>
        <i x="3921" s="1" nd="1"/>
        <i x="1120" s="1" nd="1"/>
        <i x="889" s="1" nd="1"/>
        <i x="3281" s="1" nd="1"/>
        <i x="2751" s="1" nd="1"/>
        <i x="2551" s="1" nd="1"/>
        <i x="3233" s="1" nd="1"/>
        <i x="1657" s="1" nd="1"/>
        <i x="4231" s="1" nd="1"/>
        <i x="2999" s="1" nd="1"/>
        <i x="219" s="1" nd="1"/>
        <i x="1385" s="1" nd="1"/>
        <i x="241" s="1" nd="1"/>
        <i x="2191" s="1" nd="1"/>
        <i x="3767" s="1" nd="1"/>
        <i x="1329" s="1" nd="1"/>
        <i x="1840" s="1" nd="1"/>
        <i x="4685" s="1" nd="1"/>
        <i x="3093" s="1" nd="1"/>
        <i x="1257" s="1" nd="1"/>
        <i x="366" s="1" nd="1"/>
        <i x="180" s="1" nd="1"/>
        <i x="4423" s="1" nd="1"/>
        <i x="411" s="1" nd="1"/>
        <i x="3141" s="1" nd="1"/>
        <i x="2366" s="1" nd="1"/>
        <i x="912" s="1" nd="1"/>
        <i x="645" s="1" nd="1"/>
        <i x="964" s="1" nd="1"/>
        <i x="1604" s="1" nd="1"/>
        <i x="1319" s="1" nd="1"/>
        <i x="4709" s="1" nd="1"/>
        <i x="2782" s="1" nd="1"/>
        <i x="843" s="1" nd="1"/>
        <i x="2774" s="1" nd="1"/>
        <i x="1150" s="1" nd="1"/>
        <i x="853" s="1" nd="1"/>
        <i x="4062" s="1" nd="1"/>
        <i x="2374" s="1" nd="1"/>
        <i x="3413" s="1" nd="1"/>
        <i x="2805" s="1" nd="1"/>
        <i x="1491" s="1" nd="1"/>
        <i x="3060" s="1" nd="1"/>
        <i x="2262" s="1" nd="1"/>
        <i x="26" s="1" nd="1"/>
        <i x="4136" s="1" nd="1"/>
        <i x="3639" s="1" nd="1"/>
        <i x="1714" s="1" nd="1"/>
        <i x="4460" s="1" nd="1"/>
        <i x="3757" s="1" nd="1"/>
        <i x="730" s="1" nd="1"/>
        <i x="3776" s="1" nd="1"/>
        <i x="3265" s="1" nd="1"/>
        <i x="763" s="1" nd="1"/>
        <i x="1458" s="1" nd="1"/>
        <i x="289" s="1" nd="1"/>
        <i x="2382" s="1" nd="1"/>
        <i x="3437" s="1" nd="1"/>
        <i x="243" s="1" nd="1"/>
        <i x="47" s="1" nd="1"/>
        <i x="36" s="1" nd="1"/>
        <i x="3368" s="1" nd="1"/>
        <i x="2761" s="1" nd="1"/>
        <i x="4666" s="1" nd="1"/>
        <i x="3175" s="1" nd="1"/>
        <i x="2174" s="1" nd="1"/>
        <i x="2844" s="1" nd="1"/>
        <i x="228" s="1" nd="1"/>
        <i x="3635" s="1" nd="1"/>
        <i x="1259" s="1" nd="1"/>
        <i x="3566" s="1" nd="1"/>
        <i x="167" s="1" nd="1"/>
        <i x="3439" s="1" nd="1"/>
        <i x="1939" s="1" nd="1"/>
        <i x="1484" s="1" nd="1"/>
        <i x="3818" s="1" nd="1"/>
        <i x="3080" s="1" nd="1"/>
        <i x="4414" s="1" nd="1"/>
        <i x="4244" s="1" nd="1"/>
        <i x="3874" s="1" nd="1"/>
        <i x="1681" s="1" nd="1"/>
        <i x="4536" s="1" nd="1"/>
        <i x="72" s="1" nd="1"/>
        <i x="1175" s="1" nd="1"/>
        <i x="3516" s="1" nd="1"/>
        <i x="4143" s="1" nd="1"/>
        <i x="4038" s="1" nd="1"/>
        <i x="3068" s="1" nd="1"/>
        <i x="8" s="1" nd="1"/>
        <i x="4339" s="1" nd="1"/>
        <i x="1768" s="1" nd="1"/>
        <i x="3493" s="1" nd="1"/>
        <i x="1228" s="1" nd="1"/>
        <i x="2412" s="1" nd="1"/>
        <i x="4171" s="1" nd="1"/>
        <i x="1302" s="1" nd="1"/>
        <i x="2031" s="1" nd="1"/>
        <i x="2847" s="1" nd="1"/>
        <i x="3053" s="1" nd="1"/>
        <i x="187" s="1" nd="1"/>
        <i x="71" s="1" nd="1"/>
        <i x="2308" s="1" nd="1"/>
        <i x="4530" s="1" nd="1"/>
        <i x="899" s="1" nd="1"/>
        <i x="2234" s="1" nd="1"/>
        <i x="2327" s="1" nd="1"/>
        <i x="4422" s="1" nd="1"/>
        <i x="1046" s="1" nd="1"/>
        <i x="365" s="1" nd="1"/>
        <i x="83" s="1" nd="1"/>
        <i x="4303" s="1" nd="1"/>
        <i x="1048" s="1" nd="1"/>
        <i x="3967" s="1" nd="1"/>
        <i x="2108" s="1" nd="1"/>
        <i x="563" s="1" nd="1"/>
        <i x="2066" s="1" nd="1"/>
        <i x="2882" s="1" nd="1"/>
        <i x="3264" s="1" nd="1"/>
        <i x="3980" s="1" nd="1"/>
        <i x="3923" s="1" nd="1"/>
        <i x="3739" s="1" nd="1"/>
        <i x="2632" s="1" nd="1"/>
        <i x="1336" s="1" nd="1"/>
        <i x="2931" s="1" nd="1"/>
        <i x="2007" s="1" nd="1"/>
        <i x="2613" s="1" nd="1"/>
        <i x="855" s="1" nd="1"/>
        <i x="1370" s="1" nd="1"/>
        <i x="1300" s="1" nd="1"/>
        <i x="2951" s="1" nd="1"/>
        <i x="3896" s="1" nd="1"/>
        <i x="1218" s="1" nd="1"/>
        <i x="144" s="1" nd="1"/>
        <i x="1661" s="1" nd="1"/>
        <i x="1594" s="1" nd="1"/>
        <i x="1696" s="1" nd="1"/>
        <i x="1301" s="1" nd="1"/>
        <i x="1057" s="1" nd="1"/>
        <i x="2279" s="1" nd="1"/>
        <i x="2016" s="1" nd="1"/>
        <i x="4366" s="1" nd="1"/>
        <i x="3655" s="1" nd="1"/>
        <i x="4317" s="1" nd="1"/>
        <i x="4163" s="1" nd="1"/>
        <i x="380" s="1" nd="1"/>
        <i x="1877" s="1" nd="1"/>
        <i x="3329" s="1" nd="1"/>
        <i x="2921" s="1" nd="1"/>
        <i x="2447" s="1" nd="1"/>
        <i x="1587" s="1" nd="1"/>
        <i x="546" s="1" nd="1"/>
        <i x="4095" s="1" nd="1"/>
        <i x="2149" s="1" nd="1"/>
        <i x="3220" s="1" nd="1"/>
        <i x="1781" s="1" nd="1"/>
        <i x="4667" s="1" nd="1"/>
        <i x="1079" s="1" nd="1"/>
        <i x="2045" s="1" nd="1"/>
        <i x="4386" s="1" nd="1"/>
        <i x="1138" s="1" nd="1"/>
        <i x="2692" s="1" nd="1"/>
        <i x="450" s="1" nd="1"/>
        <i x="2748" s="1" nd="1"/>
        <i x="1042" s="1" nd="1"/>
        <i x="2897" s="1" nd="1"/>
        <i x="4673" s="1" nd="1"/>
        <i x="2640" s="1" nd="1"/>
        <i x="3583" s="1" nd="1"/>
        <i x="965" s="1" nd="1"/>
        <i x="3561" s="1" nd="1"/>
        <i x="3446" s="1" nd="1"/>
        <i x="2689" s="1" nd="1"/>
        <i x="1618" s="1" nd="1"/>
        <i x="3408" s="1" nd="1"/>
        <i x="490" s="1" nd="1"/>
        <i x="3861" s="1" nd="1"/>
        <i x="3401" s="1" nd="1"/>
        <i x="947" s="1" nd="1"/>
        <i x="4308" s="1" nd="1"/>
        <i x="3100" s="1" nd="1"/>
        <i x="84" s="1" nd="1"/>
        <i x="2785" s="1" nd="1"/>
        <i x="1452" s="1" nd="1"/>
        <i x="1149" s="1" nd="1"/>
        <i x="767" s="1" nd="1"/>
        <i x="2775" s="1" nd="1"/>
        <i x="2680" s="1" nd="1"/>
        <i x="3628" s="1" nd="1"/>
        <i x="486" s="1" nd="1"/>
        <i x="2029" s="1" nd="1"/>
        <i x="4166" s="1" nd="1"/>
        <i x="3582" s="1" nd="1"/>
        <i x="2536" s="1" nd="1"/>
        <i x="1005" s="1" nd="1"/>
        <i x="4230" s="1" nd="1"/>
        <i x="4199" s="1" nd="1"/>
        <i x="296" s="1" nd="1"/>
        <i x="1537" s="1" nd="1"/>
        <i x="4100" s="1" nd="1"/>
        <i x="1255" s="1" nd="1"/>
        <i x="3915" s="1" nd="1"/>
        <i x="2454" s="1" nd="1"/>
        <i x="4395" s="1" nd="1"/>
        <i x="2132" s="1" nd="1"/>
        <i x="527" s="1" nd="1"/>
        <i x="1393" s="1" nd="1"/>
        <i x="3146" s="1" nd="1"/>
        <i x="2898" s="1" nd="1"/>
        <i x="2380" s="1" nd="1"/>
        <i x="750" s="1" nd="1"/>
        <i x="4581" s="1" nd="1"/>
        <i x="4562" s="1" nd="1"/>
        <i x="2577" s="1" nd="1"/>
        <i x="618" s="1" nd="1"/>
        <i x="1" s="1" nd="1"/>
        <i x="3720" s="1" nd="1"/>
        <i x="3949" s="1" nd="1"/>
        <i x="2403" s="1" nd="1"/>
        <i x="2753" s="1" nd="1"/>
        <i x="2615" s="1" nd="1"/>
        <i x="51" s="1" nd="1"/>
        <i x="4428" s="1" nd="1"/>
        <i x="2766" s="1" nd="1"/>
        <i x="330" s="1" nd="1"/>
        <i x="4430" s="1" nd="1"/>
        <i x="2463" s="1" nd="1"/>
        <i x="3063" s="1" nd="1"/>
        <i x="2606" s="1" nd="1"/>
        <i x="1600" s="1" nd="1"/>
        <i x="222" s="1" nd="1"/>
        <i x="1730" s="1" nd="1"/>
        <i x="4342" s="1" nd="1"/>
        <i x="4377" s="1" nd="1"/>
        <i x="3048" s="1" nd="1"/>
        <i x="260" s="1" nd="1"/>
        <i x="1510" s="1" nd="1"/>
        <i x="849" s="1" nd="1"/>
        <i x="3026" s="1" nd="1"/>
        <i x="3969" s="1" nd="1"/>
        <i x="4634" s="1" nd="1"/>
        <i x="4376" s="1" nd="1"/>
        <i x="1672" s="1" nd="1"/>
        <i x="3537" s="1" nd="1"/>
        <i x="3732" s="1" nd="1"/>
        <i x="27" s="1" nd="1"/>
        <i x="3900" s="1" nd="1"/>
        <i x="3055" s="1" nd="1"/>
        <i x="2956" s="1" nd="1"/>
        <i x="3631" s="1" nd="1"/>
        <i x="1188" s="1" nd="1"/>
        <i x="2464" s="1" nd="1"/>
        <i x="1363" s="1" nd="1"/>
        <i x="2749" s="1" nd="1"/>
        <i x="2776" s="1" nd="1"/>
        <i x="3139" s="1" nd="1"/>
        <i x="390" s="1" nd="1"/>
        <i x="1536" s="1" nd="1"/>
        <i x="4546" s="1" nd="1"/>
        <i x="2816" s="1" nd="1"/>
        <i x="4086" s="1" nd="1"/>
        <i x="1034" s="1" nd="1"/>
        <i x="3796" s="1" nd="1"/>
        <i x="4660" s="1" nd="1"/>
        <i x="892" s="1" nd="1"/>
        <i x="4508" s="1" nd="1"/>
        <i x="4591" s="1" nd="1"/>
        <i x="1734" s="1" nd="1"/>
        <i x="1993" s="1" nd="1"/>
        <i x="4025" s="1" nd="1"/>
        <i x="2193" s="1" nd="1"/>
        <i x="598" s="1" nd="1"/>
        <i x="2840" s="1" nd="1"/>
        <i x="1770" s="1" nd="1"/>
        <i x="2445" s="1" nd="1"/>
        <i x="2227" s="1" nd="1"/>
        <i x="3524" s="1" nd="1"/>
        <i x="3955" s="1" nd="1"/>
        <i x="734" s="1" nd="1"/>
        <i x="2597" s="1" nd="1"/>
        <i x="327" s="1" nd="1"/>
        <i x="1589" s="1" nd="1"/>
        <i x="2621" s="1" nd="1"/>
        <i x="3001" s="1" nd="1"/>
        <i x="920" s="1" nd="1"/>
        <i x="447" s="1" nd="1"/>
        <i x="128" s="1" nd="1"/>
        <i x="652" s="1" nd="1"/>
        <i x="2152" s="1" nd="1"/>
        <i x="928" s="1" nd="1"/>
        <i x="935" s="1" nd="1"/>
        <i x="4127" s="1" nd="1"/>
        <i x="3536" s="1" nd="1"/>
        <i x="3799" s="1" nd="1"/>
        <i x="3591" s="1" nd="1"/>
        <i x="1318" s="1" nd="1"/>
        <i x="3784" s="1" nd="1"/>
        <i x="1050" s="1" nd="1"/>
        <i x="3128" s="1" nd="1"/>
        <i x="100" s="1" nd="1"/>
        <i x="3532" s="1" nd="1"/>
        <i x="2086" s="1" nd="1"/>
        <i x="3727" s="1" nd="1"/>
        <i x="2526" s="1" nd="1"/>
        <i x="253" s="1" nd="1"/>
        <i x="4537" s="1" nd="1"/>
        <i x="4282" s="1" nd="1"/>
        <i x="1901" s="1" nd="1"/>
        <i x="4596" s="1" nd="1"/>
        <i x="3409" s="1" nd="1"/>
        <i x="2449" s="1" nd="1"/>
        <i x="684" s="1" nd="1"/>
        <i x="4087" s="1" nd="1"/>
        <i x="52" s="1" nd="1"/>
        <i x="3869" s="1" nd="1"/>
        <i x="3168" s="1" nd="1"/>
        <i x="2891" s="1" nd="1"/>
        <i x="2509" s="1" nd="1"/>
        <i x="3495" s="1" nd="1"/>
        <i x="1248" s="1" nd="1"/>
        <i x="1424" s="1" nd="1"/>
        <i x="3039" s="1" nd="1"/>
        <i x="1980" s="1" nd="1"/>
        <i x="4059" s="1" nd="1"/>
        <i x="1249" s="1" nd="1"/>
        <i x="3447" s="1" nd="1"/>
        <i x="757" s="1" nd="1"/>
        <i x="2934" s="1" nd="1"/>
        <i x="4588" s="1" nd="1"/>
        <i x="2299" s="1" nd="1"/>
        <i x="4235" s="1" nd="1"/>
        <i x="3098" s="1" nd="1"/>
        <i x="1304" s="1" nd="1"/>
        <i x="2715" s="1" nd="1"/>
        <i x="1673" s="1" nd="1"/>
        <i x="3589" s="1" nd="1"/>
        <i x="2696" s="1" nd="1"/>
        <i x="993" s="1" nd="1"/>
        <i x="4434" s="1" nd="1"/>
        <i x="4650" s="1" nd="1"/>
        <i x="324" s="1" nd="1"/>
        <i x="2162" s="1" nd="1"/>
        <i x="265" s="1" nd="1"/>
        <i x="4066" s="1" nd="1"/>
        <i x="1548" s="1" nd="1"/>
        <i x="1951" s="1" nd="1"/>
        <i x="686" s="1" nd="1"/>
        <i x="1584" s="1" nd="1"/>
        <i x="4050" s="1" nd="1"/>
        <i x="4678" s="1" nd="1"/>
        <i x="3348" s="1" nd="1"/>
        <i x="2863" s="1" nd="1"/>
        <i x="3715" s="1" nd="1"/>
        <i x="2598" s="1" nd="1"/>
        <i x="2260" s="1" nd="1"/>
        <i x="391" s="1" nd="1"/>
        <i x="3680" s="1" nd="1"/>
        <i x="1169" s="1" nd="1"/>
        <i x="1967" s="1" nd="1"/>
        <i x="3081" s="1" nd="1"/>
        <i x="2310" s="1" nd="1"/>
        <i x="825" s="1" nd="1"/>
        <i x="760" s="1" nd="1"/>
        <i x="285" s="1" nd="1"/>
        <i x="3423" s="1" nd="1"/>
        <i x="229" s="1" nd="1"/>
        <i x="1576" s="1" nd="1"/>
        <i x="3652" s="1" nd="1"/>
        <i x="104" s="1" nd="1"/>
        <i x="612" s="1" nd="1"/>
        <i x="2243" s="1" nd="1"/>
        <i x="1009" s="1" nd="1"/>
        <i x="4527" s="1" nd="1"/>
        <i x="311" s="1" nd="1"/>
        <i x="4177" s="1" nd="1"/>
        <i x="3795" s="1" nd="1"/>
        <i x="789" s="1" nd="1"/>
        <i x="322" s="1" nd="1"/>
        <i x="392" s="1" nd="1"/>
        <i x="634" s="1" nd="1"/>
        <i x="3804" s="1" nd="1"/>
        <i x="3091" s="1" nd="1"/>
        <i x="1864" s="1" nd="1"/>
        <i x="4521" s="1" nd="1"/>
        <i x="4237" s="1" nd="1"/>
        <i x="1744" s="1" nd="1"/>
        <i x="4184" s="1" nd="1"/>
        <i x="503" s="1" nd="1"/>
        <i x="794" s="1" nd="1"/>
        <i x="3487" s="1" nd="1"/>
        <i x="421" s="1" nd="1"/>
        <i x="1089" s="1" nd="1"/>
        <i x="1122" s="1" nd="1"/>
        <i x="2806" s="1" nd="1"/>
        <i x="1666" s="1" nd="1"/>
        <i x="1165" s="1" nd="1"/>
        <i x="398" s="1" nd="1"/>
        <i x="354" s="1" nd="1"/>
        <i x="1819" s="1" nd="1"/>
        <i x="3134" s="1" nd="1"/>
        <i x="3462" s="1" nd="1"/>
        <i x="4480" s="1" nd="1"/>
        <i x="3706" s="1" nd="1"/>
        <i x="775" s="1" nd="1"/>
        <i x="4675" s="1" nd="1"/>
        <i x="3103" s="1" nd="1"/>
        <i x="2496" s="1" nd="1"/>
        <i x="2404" s="1" nd="1"/>
        <i x="1920" s="1" nd="1"/>
        <i x="1287" s="1" nd="1"/>
        <i x="1949" s="1" nd="1"/>
        <i x="4469" s="1" nd="1"/>
        <i x="1655" s="1" nd="1"/>
        <i x="765" s="1" nd="1"/>
        <i x="1332" s="1" nd="1"/>
        <i x="2940" s="1" nd="1"/>
        <i x="378" s="1" nd="1"/>
        <i x="3192" s="1" nd="1"/>
        <i x="1039" s="1" nd="1"/>
        <i x="1401" s="1" nd="1"/>
        <i x="178" s="1" nd="1"/>
        <i x="1837" s="1" nd="1"/>
        <i x="1470" s="1" nd="1"/>
        <i x="3647" s="1" nd="1"/>
        <i x="4241" s="1" nd="1"/>
        <i x="2437" s="1" nd="1"/>
        <i x="2430" s="1" nd="1"/>
        <i x="3249" s="1" nd="1"/>
        <i x="3364" s="1" nd="1"/>
        <i x="970" s="1" nd="1"/>
        <i x="300" s="1" nd="1"/>
        <i x="3614" s="1" nd="1"/>
        <i x="4522" s="1" nd="1"/>
        <i x="2419" s="1" nd="1"/>
        <i x="4440" s="1" nd="1"/>
        <i x="2070" s="1" nd="1"/>
        <i x="879" s="1" nd="1"/>
        <i x="3203" s="1" nd="1"/>
        <i x="4576" s="1" nd="1"/>
        <i x="2963" s="1" nd="1"/>
        <i x="1511" s="1" nd="1"/>
        <i x="3543" s="1" nd="1"/>
        <i x="4455" s="1" nd="1"/>
        <i x="1654" s="1" nd="1"/>
        <i x="689" s="1" nd="1"/>
        <i x="1180" s="1" nd="1"/>
        <i x="443" s="1" nd="1"/>
        <i x="2055" s="1" nd="1"/>
        <i x="487" s="1" nd="1"/>
        <i x="2411" s="1" nd="1"/>
        <i x="1876" s="1" nd="1"/>
        <i x="3907" s="1" nd="1"/>
        <i x="4550" s="1" nd="1"/>
        <i x="838" s="1" nd="1"/>
        <i x="3377" s="1" nd="1"/>
        <i x="2913" s="1" nd="1"/>
        <i x="1822" s="1" nd="1"/>
        <i x="2787" s="1" nd="1"/>
        <i x="4670" s="1" nd="1"/>
        <i x="1894" s="1" nd="1"/>
        <i x="3376" s="1" nd="1"/>
        <i x="1991" s="1" nd="1"/>
        <i x="112" s="1" nd="1"/>
        <i x="1441" s="1" nd="1"/>
        <i x="2735" s="1" nd="1"/>
        <i x="850" s="1" nd="1"/>
        <i x="2102" s="1" nd="1"/>
        <i x="32" s="1" nd="1"/>
        <i x="2302" s="1" nd="1"/>
        <i x="3262" s="1" nd="1"/>
        <i x="2129" s="1" nd="1"/>
        <i x="1983" s="1" nd="1"/>
        <i x="2633" s="1" nd="1"/>
        <i x="2180" s="1" nd="1"/>
        <i x="1866" s="1" nd="1"/>
        <i x="4240" s="1" nd="1"/>
        <i x="2019" s="1" nd="1"/>
        <i x="1562" s="1" nd="1"/>
        <i x="3805" s="1" nd="1"/>
        <i x="2032" s="1" nd="1"/>
        <i x="277" s="1" nd="1"/>
        <i x="4084" s="1" nd="1"/>
        <i x="828" s="1" nd="1"/>
        <i x="4329" s="1" nd="1"/>
        <i x="3947" s="1" nd="1"/>
        <i x="4458" s="1" nd="1"/>
        <i x="3939" s="1" nd="1"/>
        <i x="1390" s="1" nd="1"/>
        <i x="4073" s="1" nd="1"/>
        <i x="3692" s="1" nd="1"/>
        <i x="3557" s="1" nd="1"/>
        <i x="135" s="1" nd="1"/>
        <i x="476" s="1" nd="1"/>
        <i x="4034" s="1" nd="1"/>
        <i x="3029" s="1" nd="1"/>
        <i x="1498" s="1" nd="1"/>
        <i x="3079" s="1" nd="1"/>
        <i x="2422" s="1" nd="1"/>
        <i x="669" s="1" nd="1"/>
        <i x="1328" s="1" nd="1"/>
        <i x="3285" s="1" nd="1"/>
        <i x="94" s="1" nd="1"/>
        <i x="1256" s="1" nd="1"/>
        <i x="2316" s="1" nd="1"/>
        <i x="1900" s="1" nd="1"/>
        <i x="2312" s="1" nd="1"/>
        <i x="120" s="1" nd="1"/>
        <i x="3317" s="1" nd="1"/>
        <i x="865" s="1" nd="1"/>
        <i x="943" s="1" nd="1"/>
        <i x="1862" s="1" nd="1"/>
        <i x="3414" s="1" nd="1"/>
        <i x="2387" s="1" nd="1"/>
        <i x="1615" s="1" nd="1"/>
        <i x="998" s="1" nd="1"/>
        <i x="6" s="1" nd="1"/>
        <i x="3846" s="1" nd="1"/>
        <i x="742" s="1" nd="1"/>
        <i x="2159" s="1" nd="1"/>
        <i x="2794" s="1" nd="1"/>
        <i x="3998" s="1" nd="1"/>
        <i x="1645" s="1" nd="1"/>
        <i x="1103" s="1" nd="1"/>
        <i x="2183" s="1" nd="1"/>
        <i x="1617" s="1" nd="1"/>
        <i x="1431" s="1" nd="1"/>
        <i x="2957" s="1" nd="1"/>
        <i x="2313" s="1" nd="1"/>
        <i x="1438" s="1" nd="1"/>
        <i x="10" s="1" nd="1"/>
        <i x="1541" s="1" nd="1"/>
        <i x="985" s="1" nd="1"/>
        <i x="1801" s="1" nd="1"/>
        <i x="1557" s="1" nd="1"/>
        <i x="886" s="1" nd="1"/>
        <i x="3764" s="1" nd="1"/>
        <i x="2388" s="1" nd="1"/>
        <i x="790" s="1" nd="1"/>
        <i x="2146" s="1" nd="1"/>
        <i x="2356" s="1" nd="1"/>
        <i x="3370" s="1" nd="1"/>
        <i x="376" s="1" nd="1"/>
        <i x="3109" s="1" nd="1"/>
        <i x="2107" s="1" nd="1"/>
        <i x="3090" s="1" nd="1"/>
        <i x="1774" s="1" nd="1"/>
        <i x="2336" s="1" nd="1"/>
        <i x="1066" s="1" nd="1"/>
        <i x="1841" s="1" nd="1"/>
        <i x="2706" s="1" nd="1"/>
        <i x="1311" s="1" nd="1"/>
        <i x="2493" s="1" nd="1"/>
        <i x="4693" s="1" nd="1"/>
        <i x="1735" s="1" nd="1"/>
        <i x="2873" s="1" nd="1"/>
        <i x="3020" s="1" nd="1"/>
        <i x="1330" s="1" nd="1"/>
        <i x="3892" s="1" nd="1"/>
        <i x="644" s="1" nd="1"/>
        <i x="1851" s="1" nd="1"/>
        <i x="1024" s="1" nd="1"/>
        <i x="3213" s="1" nd="1"/>
        <i x="2947" s="1" nd="1"/>
        <i x="4340" s="1" nd="1"/>
        <i x="4705" s="1" nd="1"/>
        <i x="3899" s="1" nd="1"/>
        <i x="1159" s="1" nd="1"/>
        <i x="514" s="1" nd="1"/>
        <i x="1315" s="1" nd="1"/>
        <i x="2641" s="1" nd="1"/>
        <i x="3040" s="1" nd="1"/>
        <i x="20" s="1" nd="1"/>
        <i x="3390" s="1" nd="1"/>
        <i x="3434" s="1" nd="1"/>
        <i x="1903" s="1" nd="1"/>
        <i x="2874" s="1" nd="1"/>
        <i x="3031" s="1" nd="1"/>
        <i x="2188" s="1" nd="1"/>
        <i x="2256" s="1" nd="1"/>
        <i x="3094" s="1" nd="1"/>
        <i x="3201" s="1" nd="1"/>
        <i x="1056" s="1" nd="1"/>
        <i x="4338" s="1" nd="1"/>
        <i x="1629" s="1" nd="1"/>
        <i x="116" s="1" nd="1"/>
        <i x="1097" s="1" nd="1"/>
        <i x="1553" s="1" nd="1"/>
        <i x="950" s="1" nd="1"/>
        <i x="504" s="1" nd="1"/>
        <i x="1676" s="1" nd="1"/>
        <i x="4474" s="1" nd="1"/>
        <i x="3282" s="1" nd="1"/>
        <i x="199" s="1" nd="1"/>
        <i x="21" s="1" nd="1"/>
        <i x="4493" s="1" nd="1"/>
        <i x="3570" s="1" nd="1"/>
        <i x="4489" s="1" nd="1"/>
        <i x="1551" s="1" nd="1"/>
        <i x="2187" s="1" nd="1"/>
        <i x="2120" s="1" nd="1"/>
        <i x="2280" s="1" nd="1"/>
        <i x="3792" s="1" nd="1"/>
        <i x="4669" s="1" nd="1"/>
        <i x="3073" s="1" nd="1"/>
        <i x="1556" s="1" nd="1"/>
        <i x="3749" s="1" nd="1"/>
        <i x="236" s="1" nd="1"/>
        <i x="4121" s="1" nd="1"/>
        <i x="2926" s="1" nd="1"/>
        <i x="3436" s="1" nd="1"/>
        <i x="1936" s="1" nd="1"/>
        <i x="301" s="1" nd="1"/>
        <i x="631" s="1" nd="1"/>
        <i x="3484" s="1" nd="1"/>
        <i x="146" s="1" nd="1"/>
        <i x="779" s="1" nd="1"/>
        <i x="4348" s="1" nd="1"/>
        <i x="747" s="1" nd="1"/>
        <i x="2593" s="1" nd="1"/>
        <i x="315" s="1" nd="1"/>
        <i x="3315" s="1" nd="1"/>
        <i x="2504" s="1" nd="1"/>
        <i x="1400" s="1" nd="1"/>
        <i x="3781" s="1" nd="1"/>
        <i x="3624" s="1" nd="1"/>
        <i x="4305" s="1" nd="1"/>
        <i x="151" s="1" nd="1"/>
        <i x="3942" s="1" nd="1"/>
        <i x="3389" s="1" nd="1"/>
        <i x="4640" s="1" nd="1"/>
        <i x="4542" s="1" nd="1"/>
        <i x="4265" s="1" nd="1"/>
        <i x="848" s="1" nd="1"/>
        <i x="1783" s="1" nd="1"/>
        <i x="1286" s="1" nd="1"/>
        <i x="3790" s="1" nd="1"/>
        <i x="2078" s="1" nd="1"/>
        <i x="1545" s="1" nd="1"/>
        <i x="1043" s="1" nd="1"/>
        <i x="2982" s="1" nd="1"/>
        <i x="2525" s="1" nd="1"/>
        <i x="3217" s="1" nd="1"/>
        <i x="688" s="1" nd="1"/>
        <i x="1444" s="1" nd="1"/>
        <i x="361" s="1" nd="1"/>
        <i x="3854" s="1" nd="1"/>
        <i x="2274" s="1" nd="1"/>
        <i x="3895" s="1" nd="1"/>
        <i x="3893" s="1" nd="1"/>
        <i x="1777" s="1" nd="1"/>
        <i x="1647" s="1" nd="1"/>
        <i x="3259" s="1" nd="1"/>
        <i x="1339" s="1" nd="1"/>
        <i x="3049" s="1" nd="1"/>
        <i x="1829" s="1" nd="1"/>
        <i x="209" s="1" nd="1"/>
        <i x="3350" s="1" nd="1"/>
        <i x="2004" s="1" nd="1"/>
        <i x="1123" s="1" nd="1"/>
        <i x="2288" s="1" nd="1"/>
        <i x="2688" s="1" nd="1"/>
        <i x="2471" s="1" nd="1"/>
        <i x="2812" s="1" nd="1"/>
        <i x="4511" s="1" nd="1"/>
        <i x="4111" s="1" nd="1"/>
        <i x="654" s="1" nd="1"/>
        <i x="2009" s="1" nd="1"/>
        <i x="1671" s="1" nd="1"/>
        <i x="2393" s="1" nd="1"/>
        <i x="3028" s="1" nd="1"/>
        <i x="1226" s="1" nd="1"/>
        <i x="2266" s="1" nd="1"/>
        <i x="2709" s="1" nd="1"/>
        <i x="3343" s="1" nd="1"/>
        <i x="4228" s="1" nd="1"/>
        <i x="3888" s="1" nd="1"/>
        <i x="1767" s="1" nd="1"/>
        <i x="4152" s="1" nd="1"/>
        <i x="2542" s="1" nd="1"/>
        <i x="4268" s="1" nd="1"/>
        <i x="3309" s="1" nd="1"/>
        <i x="4101" s="1" nd="1"/>
        <i x="2408" s="1" nd="1"/>
        <i x="2878" s="1" nd="1"/>
        <i x="4451" s="1" nd="1"/>
        <i x="2902" s="1" nd="1"/>
        <i x="1778" s="1" nd="1"/>
        <i x="647" s="1" nd="1"/>
        <i x="4690" s="1" nd="1"/>
        <i x="1185" s="1" nd="1"/>
        <i x="252" s="1" nd="1"/>
        <i x="130" s="1" nd="1"/>
        <i x="975" s="1" nd="1"/>
        <i x="1830" s="1" nd="1"/>
        <i x="4158" s="1" nd="1"/>
        <i x="782" s="1" nd="1"/>
        <i x="2609" s="1" nd="1"/>
        <i x="683" s="1" nd="1"/>
        <i x="3335" s="1" nd="1"/>
        <i x="3256" s="1" nd="1"/>
        <i x="2580" s="1" nd="1"/>
        <i x="2569" s="1" nd="1"/>
        <i x="676" s="1" nd="1"/>
        <i x="2841" s="1" nd="1"/>
        <i x="3426" s="1" nd="1"/>
        <i x="4258" s="1" nd="1"/>
        <i x="3066" s="1" nd="1"/>
        <i x="2704" s="1" nd="1"/>
        <i x="434" s="1" nd="1"/>
        <i x="2071" s="1" nd="1"/>
        <i x="4159" s="1" nd="1"/>
        <i x="1856" s="1" nd="1"/>
        <i x="949" s="1" nd="1"/>
        <i x="1427" s="1" nd="1"/>
        <i x="4356" s="1" nd="1"/>
        <i x="606" s="1" nd="1"/>
        <i x="1442" s="1" nd="1"/>
        <i x="481" s="1" nd="1"/>
        <i x="340" s="1" nd="1"/>
        <i x="1355" s="1" nd="1"/>
        <i x="1231" s="1" nd="1"/>
        <i x="2771" s="1" nd="1"/>
        <i x="1843" s="1" nd="1"/>
        <i x="2910" s="1" nd="1"/>
        <i x="3649" s="1" nd="1"/>
        <i x="3528" s="1" nd="1"/>
        <i x="4528" s="1" nd="1"/>
        <i x="4010" s="1" nd="1"/>
        <i x="3976" s="1" nd="1"/>
        <i x="3766" s="1" nd="1"/>
        <i x="2994" s="1" nd="1"/>
        <i x="98" s="1" nd="1"/>
        <i x="3565" s="1" nd="1"/>
        <i x="2644" s="1" nd="1"/>
        <i x="2619" s="1" nd="1"/>
        <i x="780" s="1" nd="1"/>
        <i x="4714" s="1" nd="1"/>
        <i x="1848" s="1" nd="1"/>
        <i x="3266" s="1" nd="1"/>
        <i x="1984" s="1" nd="1"/>
        <i x="2809" s="1" nd="1"/>
        <i x="827" s="1" nd="1"/>
        <i x="2074" s="1" nd="1"/>
        <i x="1206" s="1" nd="1"/>
        <i x="1030" s="1" nd="1"/>
        <i x="2395" s="1" nd="1"/>
        <i x="2723" s="1" nd="1"/>
        <i x="522" s="1" nd="1"/>
        <i x="4000" s="1" nd="1"/>
        <i x="2833" s="1" nd="1"/>
        <i x="3248" s="1" nd="1"/>
        <i x="1579" s="1" nd="1"/>
        <i x="2197" s="1" nd="1"/>
        <i x="4577" s="1" nd="1"/>
        <i x="4098" s="1" nd="1"/>
        <i x="1081" s="1" nd="1"/>
        <i x="936" s="1" nd="1"/>
        <i x="4517" s="1" nd="1"/>
        <i x="1726" s="1" nd="1"/>
        <i x="4599" s="1" nd="1"/>
        <i x="743" s="1" nd="1"/>
        <i x="1295" s="1" nd="1"/>
        <i x="2762" s="1" nd="1"/>
        <i x="3630" s="1" nd="1"/>
        <i x="2013" s="1" nd="1"/>
        <i x="1014" s="1" nd="1"/>
        <i x="2090" s="1" nd="1"/>
        <i x="2144" s="1" nd="1"/>
        <i x="458" s="1" nd="1"/>
        <i x="1170" s="1" nd="1"/>
        <i x="1493" s="1" nd="1"/>
        <i x="3996" s="1" nd="1"/>
        <i x="2519" s="1" nd="1"/>
        <i x="1325" s="1" nd="1"/>
        <i x="2674" s="1" nd="1"/>
        <i x="3162" s="1" nd="1"/>
        <i x="740" s="1" nd="1"/>
        <i x="273" s="1" nd="1"/>
        <i x="1225" s="1" nd="1"/>
        <i x="282" s="1" nd="1"/>
        <i x="1340" s="1" nd="1"/>
        <i x="4374" s="1" nd="1"/>
        <i x="475" s="1" nd="1"/>
        <i x="1481" s="1" nd="1"/>
        <i x="1987" s="1" nd="1"/>
        <i x="580" s="1" nd="1"/>
        <i x="1320" s="1" nd="1"/>
        <i x="871" s="1" nd="1"/>
        <i x="445" s="1" nd="1"/>
        <i x="2736" s="1" nd="1"/>
        <i x="2359" s="1" nd="1"/>
        <i x="1684" s="1" nd="1"/>
        <i x="379" s="1" nd="1"/>
        <i x="2232" s="1" nd="1"/>
        <i x="2064" s="1" nd="1"/>
        <i x="1928" s="1" nd="1"/>
        <i x="41" s="1" nd="1"/>
        <i x="3658" s="1" nd="1"/>
        <i x="2390" s="1" nd="1"/>
        <i x="2993" s="1" nd="1"/>
        <i x="1293" s="1" nd="1"/>
        <i x="1459" s="1" nd="1"/>
        <i x="3728" s="1" nd="1"/>
        <i x="601" s="1" nd="1"/>
        <i x="1087" s="1" nd="1"/>
        <i x="4255" s="1" nd="1"/>
        <i x="4315" s="1" nd="1"/>
        <i x="177" s="1" nd="1"/>
        <i x="2576" s="1" nd="1"/>
        <i x="2717" s="1" nd="1"/>
        <i x="4595" s="1" nd="1"/>
        <i x="4655" s="1" nd="1"/>
        <i x="55" s="1" nd="1"/>
        <i x="1605" s="1" nd="1"/>
        <i x="4092" s="1" nd="1"/>
        <i x="3477" s="1" nd="1"/>
        <i x="4190" s="1" nd="1"/>
        <i x="1366" s="1" nd="1"/>
        <i x="3523" s="1" nd="1"/>
        <i x="4116" s="1" nd="1"/>
        <i x="3584" s="1" nd="1"/>
        <i x="2224" s="1" nd="1"/>
        <i x="2915" s="1" nd="1"/>
        <i x="632" s="1" nd="1"/>
        <i x="1810" s="1" nd="1"/>
        <i x="3541" s="1" nd="1"/>
        <i x="1499" s="1" nd="1"/>
        <i x="835" s="1" nd="1"/>
        <i x="3512" s="1" nd="1"/>
        <i x="4058" s="1" nd="1"/>
        <i x="824" s="1" nd="1"/>
        <i x="1812" s="1" nd="1"/>
        <i x="915" s="1" nd="1"/>
        <i x="3083" s="1" nd="1"/>
        <i x="2737" s="1" nd="1"/>
        <i x="2512" s="1" nd="1"/>
        <i x="3704" s="1" nd="1"/>
        <i x="1353" s="1" nd="1"/>
        <i x="4439" s="1" nd="1"/>
        <i x="868" s="1" nd="1"/>
        <i x="472" s="1" nd="1"/>
        <i x="3712" s="1" nd="1"/>
        <i x="1691" s="1" nd="1"/>
        <i x="3828" s="1" nd="1"/>
        <i x="1552" s="1" nd="1"/>
        <i x="3797" s="1" nd="1"/>
        <i x="2089" s="1" nd="1"/>
        <i x="2242" s="1" nd="1"/>
        <i x="1490" s="1" nd="1"/>
        <i x="3520" s="1" nd="1"/>
        <i x="3126" s="1" nd="1"/>
        <i x="1969" s="1" nd="1"/>
        <i x="860" s="1" nd="1"/>
        <i x="4008" s="1" nd="1"/>
        <i x="3808" s="1" nd="1"/>
        <i x="4167" s="1" nd="1"/>
        <i x="2065" s="1" nd="1"/>
        <i x="4192" s="1" nd="1"/>
        <i x="682" s="1" nd="1"/>
        <i x="2233" s="1" nd="1"/>
        <i x="3359" s="1" nd="1"/>
        <i x="1189" s="1" nd="1"/>
        <i x="3159" s="1" nd="1"/>
        <i x="3904" s="1" nd="1"/>
        <i x="31" s="1" nd="1"/>
        <i x="2425" s="1" nd="1"/>
        <i x="687" s="1" nd="1"/>
        <i x="3366" s="1" nd="1"/>
        <i x="2118" s="1" nd="1"/>
        <i x="541" s="1" nd="1"/>
        <i x="3983" s="1" nd="1"/>
        <i x="3106" s="1" nd="1"/>
        <i x="4099" s="1" nd="1"/>
        <i x="2929" s="1" nd="1"/>
        <i x="2608" s="1" nd="1"/>
        <i x="3500" s="1" nd="1"/>
        <i x="2909" s="1" nd="1"/>
        <i x="641" s="1" nd="1"/>
        <i x="3623" s="1" nd="1"/>
        <i x="2431" s="1" nd="1"/>
        <i x="2296" s="1" nd="1"/>
        <i x="3924" s="1" nd="1"/>
        <i x="2339" s="1" nd="1"/>
        <i x="579" s="1" nd="1"/>
        <i x="840" s="1" nd="1"/>
        <i x="4638" s="1" nd="1"/>
        <i x="3690" s="1" nd="1"/>
        <i x="3918" s="1" nd="1"/>
        <i x="769" s="1" nd="1"/>
        <i x="1222" s="1" nd="1"/>
        <i x="4510" s="1" nd="1"/>
        <i x="471" s="1" nd="1"/>
        <i x="2472" s="1" nd="1"/>
        <i x="1063" s="1" nd="1"/>
        <i x="2952" s="1" nd="1"/>
        <i x="3857" s="1" nd="1"/>
        <i x="3253" s="1" nd="1"/>
        <i x="1973" s="1" nd="1"/>
        <i x="951" s="1" nd="1"/>
        <i x="1597" s="1" nd="1"/>
        <i x="1354" s="1" nd="1"/>
        <i x="3221" s="1" nd="1"/>
        <i x="3472" s="1" nd="1"/>
        <i x="746" s="1" nd="1"/>
        <i x="2595" s="1" nd="1"/>
        <i x="1834" s="1" nd="1"/>
        <i x="3708" s="1" nd="1"/>
        <i x="1176" s="1" nd="1"/>
        <i x="2624" s="1" nd="1"/>
        <i x="1787" s="1" nd="1"/>
        <i x="1423" s="1" nd="1"/>
        <i x="2062" s="1" nd="1"/>
        <i x="695" s="1" nd="1"/>
        <i x="2352" s="1" nd="1"/>
        <i x="4399" s="1" nd="1"/>
        <i x="2938" s="1" nd="1"/>
        <i x="1895" s="1" nd="1"/>
        <i x="2702" s="1" nd="1"/>
        <i x="4683" s="1" nd="1"/>
        <i x="4253" s="1" nd="1"/>
        <i x="4052" s="1" nd="1"/>
        <i x="2767" s="1" nd="1"/>
        <i x="3741" s="1" nd="1"/>
        <i x="2710" s="1" nd="1"/>
        <i x="3380" s="1" nd="1"/>
        <i x="1720" s="1" nd="1"/>
        <i x="3525" s="1" nd="1"/>
        <i x="3312" s="1" nd="1"/>
        <i x="4515" s="1" nd="1"/>
        <i x="1932" s="1" nd="1"/>
        <i x="1069" s="1" nd="1"/>
        <i x="3096" s="1" nd="1"/>
        <i x="2370" s="1" nd="1"/>
        <i x="3121" s="1" nd="1"/>
        <i x="2012" s="1" nd="1"/>
        <i x="415" s="1" nd="1"/>
        <i x="956" s="1" nd="1"/>
        <i x="4334" s="1" nd="1"/>
        <i x="2415" s="1" nd="1"/>
        <i x="1743" s="1" nd="1"/>
        <i x="958" s="1" nd="1"/>
        <i x="1086" s="1" nd="1"/>
        <i x="1127" s="1" nd="1"/>
        <i x="1141" s="1" nd="1"/>
        <i x="940" s="1" nd="1"/>
        <i x="2397" s="1" nd="1"/>
        <i x="4290" s="1" nd="1"/>
        <i x="2610" s="1" nd="1"/>
        <i x="2053" s="1" nd="1"/>
        <i x="3043" s="1" nd="1"/>
        <i x="4020" s="1" nd="1"/>
        <i x="4299" s="1" nd="1"/>
        <i x="2103" s="1" nd="1"/>
        <i x="1251" s="1" nd="1"/>
        <i x="3672" s="1" nd="1"/>
        <i x="3687" s="1" nd="1"/>
        <i x="271" s="1" nd="1"/>
        <i x="2733" s="1" nd="1"/>
        <i x="297" s="1" nd="1"/>
        <i x="3319" s="1" nd="1"/>
        <i x="587" s="1" nd="1"/>
        <i x="1874" s="1" nd="1"/>
        <i x="4254" s="1" nd="1"/>
        <i x="3593" s="1" nd="1"/>
        <i x="4138" s="1" nd="1"/>
        <i x="2406" s="1" nd="1"/>
        <i x="2059" s="1" nd="1"/>
        <i x="3498" s="1" nd="1"/>
        <i x="3521" s="1" nd="1"/>
        <i x="478" s="1" nd="1"/>
        <i x="4220" s="1" nd="1"/>
        <i x="1917" s="1" nd="1"/>
        <i x="2586" s="1" nd="1"/>
        <i x="3510" s="1" nd="1"/>
        <i x="3813" s="1" nd="1"/>
        <i x="603" s="1" nd="1"/>
        <i x="1773" s="1" nd="1"/>
        <i x="4013" s="1" nd="1"/>
        <i x="4242" s="1" nd="1"/>
        <i x="1926" s="1" nd="1"/>
        <i x="696" s="1" nd="1"/>
        <i x="413" s="1" nd="1"/>
        <i x="18" s="1" nd="1"/>
        <i x="423" s="1" nd="1"/>
        <i x="1413" s="1" nd="1"/>
        <i x="4607" s="1" nd="1"/>
        <i x="3424" s="1" nd="1"/>
        <i x="1108" s="1" nd="1"/>
        <i x="1202" s="1" nd="1"/>
        <i x="3142" s="1" nd="1"/>
        <i x="2314" s="1" nd="1"/>
        <i x="1818" s="1" nd="1"/>
        <i x="3836" s="1" nd="1"/>
        <i x="3810" s="1" nd="1"/>
        <i x="1177" s="1" nd="1"/>
        <i x="986" s="1" nd="1"/>
        <i x="4089" s="1" nd="1"/>
        <i x="3166" s="1" nd="1"/>
        <i x="4145" s="1" nd="1"/>
        <i x="483" s="1" nd="1"/>
        <i x="3885" s="1" nd="1"/>
        <i x="460" s="1" nd="1"/>
        <i x="3768" s="1" nd="1"/>
        <i x="59" s="1" nd="1"/>
        <i x="3352" s="1" nd="1"/>
        <i x="1749" s="1" nd="1"/>
        <i x="961" s="1" nd="1"/>
        <i x="4654" s="1" nd="1"/>
        <i x="3499" s="1" nd="1"/>
        <i x="3868" s="1" nd="1"/>
        <i x="4456" s="1" nd="1"/>
        <i x="2189" s="1" nd="1"/>
        <i x="2451" s="1" nd="1"/>
        <i x="1408" s="1" nd="1"/>
        <i x="2416" s="1" nd="1"/>
        <i x="4488" s="1" nd="1"/>
        <i x="1114" s="1" nd="1"/>
        <i x="2480" s="1" nd="1"/>
        <i x="2067" s="1" nd="1"/>
        <i x="1974" s="1" nd="1"/>
        <i x="3004" s="1" nd="1"/>
        <i x="422" s="1" nd="1"/>
        <i x="234" s="1" nd="1"/>
        <i x="4360" s="1" nd="1"/>
        <i x="4628" s="1" nd="1"/>
        <i x="2054" s="1" nd="1"/>
        <i x="739" s="1" nd="1"/>
        <i x="1448" s="1" nd="1"/>
        <i x="908" s="1" nd="1"/>
        <i x="3780" s="1" nd="1"/>
        <i x="616" s="1" nd="1"/>
        <i x="1634" s="1" nd="1"/>
        <i x="1379" s="1" nd="1"/>
        <i x="4583" s="1" nd="1"/>
        <i x="139" s="1" nd="1"/>
        <i x="1396" s="1" nd="1"/>
        <i x="2026" s="1" nd="1"/>
        <i x="4475" s="1" nd="1"/>
        <i x="809" s="1" nd="1"/>
        <i x="4325" s="1" nd="1"/>
        <i x="776" s="1" nd="1"/>
        <i x="519" s="1" nd="1"/>
        <i x="1007" s="1" nd="1"/>
        <i x="1264" s="1" nd="1"/>
        <i x="3872" s="1" nd="1"/>
        <i x="3689" s="1" nd="1"/>
        <i x="3599" s="1" nd="1"/>
        <i x="3428" s="1" nd="1"/>
        <i x="3603" s="1" nd="1"/>
        <i x="815" s="1" nd="1"/>
        <i x="2849" s="1" nd="1"/>
        <i x="1909" s="1" nd="1"/>
        <i x="3811" s="1" nd="1"/>
        <i x="3025" s="1" nd="1"/>
        <i x="175" s="1" nd="1"/>
        <i x="254" s="1" nd="1"/>
        <i x="3944" s="1" nd="1"/>
        <i x="3835" s="1" nd="1"/>
        <i x="884" s="1" nd="1"/>
        <i x="2643" s="1" nd="1"/>
        <i x="2021" s="1" nd="1"/>
        <i x="1252" s="1" nd="1"/>
        <i x="343" s="1" nd="1"/>
        <i x="1989" s="1" nd="1"/>
        <i x="9" s="1" nd="1"/>
        <i x="2746" s="1" nd="1"/>
        <i x="1203" s="1" nd="1"/>
        <i x="559" s="1" nd="1"/>
        <i x="1931" s="1" nd="1"/>
        <i x="510" s="1" nd="1"/>
        <i x="3889" s="1" nd="1"/>
        <i x="3545" s="1" nd="1"/>
        <i x="4614" s="1" nd="1"/>
        <i x="1500" s="1" nd="1"/>
        <i x="3391" s="1" nd="1"/>
        <i x="4288" s="1" nd="1"/>
        <i x="2904" s="1" nd="1"/>
        <i x="309" s="1" nd="1"/>
        <i x="4350" s="1" nd="1"/>
        <i x="627" s="1" nd="1"/>
        <i x="3432" s="1" nd="1"/>
        <i x="867" s="1" nd="1"/>
        <i x="2024" s="1" nd="1"/>
        <i x="2791" s="1" nd="1"/>
        <i x="4627" s="1" nd="1"/>
        <i x="3379" s="1" nd="1"/>
        <i x="93" s="1" nd="1"/>
        <i x="2017" s="1" nd="1"/>
        <i x="274" s="1" nd="1"/>
        <i x="2284" s="1" nd="1"/>
        <i x="2807" s="1" nd="1"/>
        <i x="4148" s="1" nd="1"/>
        <i x="2983" s="1" nd="1"/>
        <i x="312" s="1" nd="1"/>
        <i x="2069" s="1" nd="1"/>
        <i x="431" s="1" nd="1"/>
        <i x="4335" s="1" nd="1"/>
        <i x="2514" s="1" nd="1"/>
        <i x="4485" s="1" nd="1"/>
        <i x="373" s="1" nd="1"/>
        <i x="4402" s="1" nd="1"/>
        <i x="3149" s="1" nd="1"/>
        <i x="2636" s="1" nd="1"/>
        <i x="3760" s="1" nd="1"/>
        <i x="3596" s="1" nd="1"/>
        <i x="2371" s="1" nd="1"/>
        <i x="3642" s="1" nd="1"/>
        <i x="4656" s="1" nd="1"/>
        <i x="3086" s="1" nd="1"/>
        <i x="773" s="1" nd="1"/>
        <i x="783" s="1" nd="1"/>
        <i x="17" s="1" nd="1"/>
        <i x="1559" s="1" nd="1"/>
        <i x="1960" s="1" nd="1"/>
        <i x="1695" s="1" nd="1"/>
        <i x="3250" s="1" nd="1"/>
        <i x="286" s="1" nd="1"/>
        <i x="1216" s="1" nd="1"/>
        <i x="4264" s="1" nd="1"/>
        <i x="488" s="1" nd="1"/>
        <i x="595" s="1" nd="1"/>
        <i x="3791" s="1" nd="1"/>
        <i x="3288" s="1" nd="1"/>
        <i x="590" s="1" nd="1"/>
        <i x="642" s="1" nd="1"/>
        <i x="1002" s="1" nd="1"/>
        <i x="1529" s="1" nd="1"/>
        <i x="4698" s="1" nd="1"/>
        <i x="1445" s="1" nd="1"/>
        <i x="3046" s="1" nd="1"/>
        <i x="712" s="1" nd="1"/>
        <i x="1595" s="1" nd="1"/>
        <i x="2271" s="1" nd="1"/>
        <i x="2943" s="1" nd="1"/>
        <i x="3522" s="1" nd="1"/>
        <i x="4085" s="1" nd="1"/>
        <i x="702" s="1" nd="1"/>
        <i x="3905" s="1" nd="1"/>
        <i x="768" s="1" nd="1"/>
        <i x="4279" s="1" nd="1"/>
        <i x="4564" s="1" nd="1"/>
        <i x="2871" s="1" nd="1"/>
        <i x="4452" s="1" nd="1"/>
        <i x="3716" s="1" nd="1"/>
        <i x="3594" s="1" nd="1"/>
        <i x="3000" s="1" nd="1"/>
        <i x="1435" s="1" nd="1"/>
        <i x="3449" s="1" nd="1"/>
        <i x="1521" s="1" nd="1"/>
        <i x="2252" s="1" nd="1"/>
        <i x="1724" s="1" nd="1"/>
        <i x="2584" s="1" nd="1"/>
        <i x="257" s="1" nd="1"/>
        <i x="670" s="1" nd="1"/>
        <i x="3112" s="1" nd="1"/>
        <i x="1627" s="1" nd="1"/>
        <i x="4674" s="1" nd="1"/>
        <i x="3729" s="1" nd="1"/>
        <i x="4222" s="1" nd="1"/>
        <i x="3362" s="1" nd="1"/>
        <i x="933" s="1" nd="1"/>
        <i x="2081" s="1" nd="1"/>
        <i x="2145" s="1" nd="1"/>
        <i x="95" s="1" nd="1"/>
        <i x="2025" s="1" nd="1"/>
        <i x="195" s="1" nd="1"/>
        <i x="4532" s="1" nd="1"/>
        <i x="630" s="1" nd="1"/>
        <i x="4088" s="1" nd="1"/>
        <i x="2267" s="1" nd="1"/>
        <i x="1405" s="1" nd="1"/>
        <i x="4426" s="1" nd="1"/>
        <i x="4132" s="1" nd="1"/>
        <i x="3881" s="1" nd="1"/>
        <i x="4217" s="1" nd="1"/>
        <i x="2435" s="1" nd="1"/>
        <i x="3169" s="1" nd="1"/>
        <i x="1131" s="1" nd="1"/>
        <i x="819" s="1" nd="1"/>
        <i x="1648" s="1" nd="1"/>
        <i x="409" s="1" nd="1"/>
        <i x="596" s="1" nd="1"/>
        <i x="4281" s="1" nd="1"/>
        <i x="3538" s="1" nd="1"/>
        <i x="2559" s="1" nd="1"/>
        <i x="1181" s="1" nd="1"/>
        <i x="4229" s="1" nd="1"/>
        <i x="2473" s="1" nd="1"/>
        <i x="2466" s="1" nd="1"/>
        <i x="1044" s="1" nd="1"/>
        <i x="1388" s="1" nd="1"/>
        <i x="4076" s="1" nd="1"/>
        <i x="2653" s="1" nd="1"/>
        <i x="3284" s="1" nd="1"/>
        <i x="1015" s="1" nd="1"/>
        <i x="719" s="1" nd="1"/>
        <i x="1143" s="1" nd="1"/>
        <i x="1575" s="1" nd="1"/>
        <i x="3579" s="1" nd="1"/>
        <i x="1307" s="1" nd="1"/>
        <i x="3489" s="1" nd="1"/>
        <i x="3469" s="1" nd="1"/>
        <i x="2524" s="1" nd="1"/>
        <i x="1544" s="1" nd="1"/>
        <i x="1632" s="1" nd="1"/>
        <i x="1412" s="1" nd="1"/>
        <i x="2827" s="1" nd="1"/>
        <i x="3006" s="1" nd="1"/>
        <i x="2329" s="1" nd="1"/>
        <i x="1105" s="1" nd="1"/>
        <i x="655" s="1" nd="1"/>
        <i x="216" s="1" nd="1"/>
        <i x="2955" s="1" nd="1"/>
        <i x="2196" s="1" nd="1"/>
        <i x="2212" s="1" nd="1"/>
        <i x="3482" s="1" nd="1"/>
        <i x="2317" s="1" nd="1"/>
        <i x="451" s="1" nd="1"/>
        <i x="1601" s="1" nd="1"/>
        <i x="1886" s="1" nd="1"/>
        <i x="2335" s="1" nd="1"/>
        <i x="3351" s="1" nd="1"/>
        <i x="1789" s="1" nd="1"/>
        <i x="3912" s="1" nd="1"/>
        <i x="4030" s="1" nd="1"/>
        <i x="1704" s="1" nd="1"/>
        <i x="1062" s="1" nd="1"/>
        <i x="287" s="1" nd="1"/>
        <i x="1538" s="1" nd="1"/>
        <i x="1784" s="1" nd="1"/>
        <i x="3981" s="1" nd="1"/>
        <i x="2140" s="1" nd="1"/>
        <i x="1040" s="1" nd="1"/>
        <i x="3022" s="1" nd="1"/>
        <i x="1971" s="1" nd="1"/>
        <i x="1729" s="1" nd="1"/>
        <i x="4080" s="1" nd="1"/>
        <i x="4543" s="1" nd="1"/>
        <i x="2642" s="1" nd="1"/>
        <i x="758" s="1" nd="1"/>
        <i x="2438" s="1" nd="1"/>
        <i x="1963" s="1" nd="1"/>
        <i x="3667" s="1" nd="1"/>
        <i x="1116" s="1" nd="1"/>
        <i x="117" s="1" nd="1"/>
        <i x="3972" s="1" nd="1"/>
        <i x="726" s="1" nd="1"/>
        <i x="2192" s="1" nd="1"/>
        <i x="76" s="1" nd="1"/>
        <i x="2740" s="1" nd="1"/>
        <i x="2153" s="1" nd="1"/>
        <i x="4710" s="1" nd="1"/>
        <i x="2001" s="1" nd="1"/>
        <i x="2673" s="1" nd="1"/>
        <i x="607" s="1" nd="1"/>
        <i x="3227" s="1" nd="1"/>
        <i x="971" s="1" nd="1"/>
        <i x="3820" s="1" nd="1"/>
        <i x="1610" s="1" nd="1"/>
        <i x="1799" s="1" nd="1"/>
        <i x="148" s="1" nd="1"/>
        <i x="1449" s="1" nd="1"/>
        <i x="2677" s="1" nd="1"/>
        <i x="4622" s="1" nd="1"/>
        <i x="2248" s="1" nd="1"/>
        <i x="796" s="1" nd="1"/>
        <i x="1756" s="1" nd="1"/>
        <i x="3564" s="1" nd="1"/>
        <i x="275" s="1" nd="1"/>
        <i x="140" s="1" nd="1"/>
        <i x="1923" s="1" nd="1"/>
        <i x="1968" s="1" nd="1"/>
        <i x="1382" s="1" nd="1"/>
        <i x="2198" s="1" nd="1"/>
        <i x="1945" s="1" nd="1"/>
        <i x="554" s="1" nd="1"/>
        <i x="1961" s="1" nd="1"/>
        <i x="4200" s="1" nd="1"/>
        <i x="1620" s="1" nd="1"/>
        <i x="3224" s="1" nd="1"/>
        <i x="4490" s="1" nd="1"/>
        <i x="3841" s="1" nd="1"/>
        <i x="3197" s="1" nd="1"/>
        <i x="1392" s="1" nd="1"/>
        <i x="1596" s="1" nd="1"/>
        <i x="1462" s="1" nd="1"/>
        <i x="3051" s="1" nd="1"/>
        <i x="4704" s="1" nd="1"/>
        <i x="2573" s="1" nd="1"/>
        <i x="3385" s="1" nd="1"/>
        <i x="531" s="1" nd="1"/>
        <i x="2367" s="1" nd="1"/>
        <i x="2097" s="1" nd="1"/>
        <i x="1776" s="1" nd="1"/>
        <i x="2111" s="1" nd="1"/>
        <i x="1675" s="1" nd="1"/>
        <i x="4529" s="1" nd="1"/>
        <i x="3036" s="1" nd="1"/>
        <i x="1130" s="1" nd="1"/>
        <i x="2732" s="1" nd="1"/>
        <i x="3332" s="1" nd="1"/>
        <i x="2879" s="1" nd="1"/>
        <i x="4114" s="1" nd="1"/>
        <i x="4602" s="1" nd="1"/>
        <i x="4373" s="1" nd="1"/>
        <i x="4219" s="1" nd="1"/>
        <i x="4463" s="1" nd="1"/>
        <i x="1976" s="1" nd="1"/>
        <i x="1802" s="1" nd="1"/>
        <i x="2705" s="1" nd="1"/>
        <i x="3607" s="1" nd="1"/>
        <i x="2712" s="1" nd="1"/>
        <i x="2663" s="1" nd="1"/>
        <i x="3973" s="1" nd="1"/>
        <i x="1281" s="1" nd="1"/>
        <i x="1274" s="1" nd="1"/>
        <i x="2658" s="1" nd="1"/>
        <i x="3571" s="1" nd="1"/>
        <i x="1411" s="1" nd="1"/>
        <i x="4292" s="1" nd="1"/>
        <i x="2309" s="1" nd="1"/>
        <i x="4122" s="1" nd="1"/>
        <i x="2282" s="1" nd="1"/>
        <i x="3333" s="1" nd="1"/>
        <i x="877" s="1" nd="1"/>
        <i x="4003" s="1" nd="1"/>
        <i x="4478" s="1" nd="1"/>
        <i x="941" s="1" nd="1"/>
        <i x="1378" s="1" nd="1"/>
        <i x="1997" s="1" nd="1"/>
        <i x="4188" s="1" nd="1"/>
        <i x="1485" s="1" nd="1"/>
        <i x="2592" s="1" nd="1"/>
        <i x="3353" s="1" nd="1"/>
        <i x="2455" s="1" nd="1"/>
        <i x="872" s="1" nd="1"/>
        <i x="987" s="1" nd="1"/>
        <i x="4194" s="1" nd="1"/>
        <i x="4642" s="1" nd="1"/>
        <i x="2092" s="1" nd="1"/>
        <i x="3928" s="1" nd="1"/>
        <i x="205" s="1" nd="1"/>
        <i x="1882" s="1" nd="1"/>
        <i x="1173" s="1" nd="1"/>
        <i x="3387" s="1" nd="1"/>
        <i x="479" s="1" nd="1"/>
        <i x="806" s="1" nd="1"/>
        <i x="4272" s="1" nd="1"/>
        <i x="303" s="1" nd="1"/>
        <i x="1260" s="1" nd="1"/>
        <i x="1000" s="1" nd="1"/>
        <i x="2799" s="1" nd="1"/>
        <i x="4495" s="1" nd="1"/>
        <i x="2482" s="1" nd="1"/>
        <i x="3153" s="1" nd="1"/>
        <i x="791" s="1" nd="1"/>
        <i x="2570" s="1" nd="1"/>
        <i x="2358" s="1" nd="1"/>
        <i x="2441" s="1" nd="1"/>
        <i x="3384" s="1" nd="1"/>
        <i x="1071" s="1" nd="1"/>
        <i x="2022" s="1" nd="1"/>
        <i x="3604" s="1" nd="1"/>
        <i x="3511" s="1" nd="1"/>
        <i x="4677" s="1" nd="1"/>
        <i x="1821" s="1" nd="1"/>
        <i x="367" s="1" nd="1"/>
        <i x="1761" s="1" nd="1"/>
        <i x="1659" s="1" nd="1"/>
        <i x="424" s="1" nd="1"/>
        <i x="520" s="1" nd="1"/>
        <i x="4446" s="1" nd="1"/>
        <i x="4481" s="1" nd="1"/>
        <i x="1277" s="1" nd="1"/>
        <i x="2362" s="1" nd="1"/>
        <i x="3664" s="1" nd="1"/>
        <i x="2083" s="1" nd="1"/>
        <i x="3069" s="1" nd="1"/>
        <i x="2294" s="1" nd="1"/>
        <i x="4047" s="1" nd="1"/>
        <i x="2344" s="1" nd="1"/>
        <i x="1785" s="1" nd="1"/>
        <i x="4351" s="1" nd="1"/>
        <i x="1167" s="1" nd="1"/>
        <i x="3398" s="1" nd="1"/>
        <i x="1434" s="1" nd="1"/>
        <i x="539" s="1" nd="1"/>
        <i x="1765" s="1" nd="1"/>
        <i x="635" s="1" nd="1"/>
        <i x="3459" s="1" nd="1"/>
        <i x="2759" s="1" nd="1"/>
        <i x="3922" s="1" nd="1"/>
        <i x="4429" s="1" nd="1"/>
        <i x="1946" s="1" nd="1"/>
        <i x="1760" s="1" nd="1"/>
        <i x="3837" s="1" nd="1"/>
        <i x="1635" s="1" nd="1"/>
        <i x="2141" s="1" nd="1"/>
        <i x="1309" s="1" nd="1"/>
        <i x="1371" s="1" nd="1"/>
        <i x="1752" s="1" nd="1"/>
        <i x="3355" s="1" nd="1"/>
        <i x="3544" s="1" nd="1"/>
        <i x="650" s="1" nd="1"/>
        <i x="61" s="1" nd="1"/>
        <i x="3697" s="1" nd="1"/>
        <i x="1082" s="1" nd="1"/>
        <i x="4252" s="1" nd="1"/>
        <i x="1952" s="1" nd="1"/>
        <i x="3634" s="1" nd="1"/>
        <i x="2912" s="1" nd="1"/>
        <i x="1321" s="1" nd="1"/>
        <i x="357" s="1" nd="1"/>
        <i x="1717" s="1" nd="1"/>
        <i x="3864" s="1" nd="1"/>
        <i x="4370" s="1" nd="1"/>
        <i x="3005" s="1" nd="1"/>
        <i x="3786" s="1" nd="1"/>
        <i x="1297" s="1" nd="1"/>
        <i x="2755" s="1" nd="1"/>
        <i x="2600" s="1" nd="1"/>
        <i x="1053" s="1" nd="1"/>
        <i x="3724" s="1" nd="1"/>
        <i x="1335" s="1" nd="1"/>
        <i x="3460" s="1" nd="1"/>
        <i x="2611" s="1" nd="1"/>
        <i x="2554" s="1" nd="1"/>
        <i x="2035" s="1" nd="1"/>
        <i x="2213" s="1" nd="1"/>
        <i x="2703" s="1" nd="1"/>
        <i x="3151" s="1" nd="1"/>
        <i x="2563" s="1" nd="1"/>
        <i x="3803" s="1" nd="1"/>
        <i x="3191" s="1" nd="1"/>
        <i x="1924" s="1" nd="1"/>
        <i x="3929" s="1" nd="1"/>
        <i x="744" s="1" nd="1"/>
        <i x="126" s="1" nd="1"/>
        <i x="1288" s="1" nd="1"/>
        <i x="2935" s="1" nd="1"/>
        <i x="3167" s="1" nd="1"/>
        <i x="1265" s="1" nd="1"/>
        <i x="1419" s="1" nd="1"/>
        <i x="2173" s="1" nd="1"/>
        <i x="3509" s="1" nd="1"/>
        <i x="3916" s="1" nd="1"/>
        <i x="2326" s="1" nd="1"/>
        <i x="2852" s="1" nd="1"/>
        <i x="202" s="1" nd="1"/>
        <i x="3974" s="1" nd="1"/>
        <i x="3961" s="1" nd="1"/>
        <i x="1350" s="1" nd="1"/>
        <i x="1091" s="1" nd="1"/>
        <i x="4486" s="1" nd="1"/>
        <i x="4115" s="1" nd="1"/>
        <i x="1205" s="1" nd="1"/>
        <i x="3474" s="1" nd="1"/>
        <i x="3297" s="1" nd="1"/>
        <i x="2784" s="1" nd="1"/>
        <i x="419" s="1" nd="1"/>
        <i x="2139" s="1" nd="1"/>
        <i x="707" s="1" nd="1"/>
        <i x="2836" s="1" nd="1"/>
        <i x="2971" s="1" nd="1"/>
        <i x="159" s="1" nd="1"/>
        <i x="2219" s="1" nd="1"/>
        <i x="1693" s="1" nd="1"/>
        <i x="1012" s="1" nd="1"/>
        <i x="556" s="1" nd="1"/>
        <i x="362" s="1" nd="1"/>
        <i x="3496" s="1" nd="1"/>
        <i x="2099" s="1" nd="1"/>
        <i x="1585" s="1" nd="1"/>
        <i x="4106" s="1" nd="1"/>
        <i x="1095" s="1" nd="1"/>
        <i x="973" s="1" nd="1"/>
        <i x="2823" s="1" nd="1"/>
        <i x="119" s="1" nd="1"/>
        <i x="348" s="1" nd="1"/>
        <i x="2707" s="1" nd="1"/>
        <i x="2264" s="1" nd="1"/>
        <i x="3323" s="1" nd="1"/>
        <i x="2548" s="1" nd="1"/>
        <i x="4341" s="1" nd="1"/>
        <i x="3433" s="1" nd="1"/>
        <i x="4574" s="1" nd="1"/>
        <i x="907" s="1" nd="1"/>
        <i x="2543" s="1" nd="1"/>
        <i x="2073" s="1" nd="1"/>
        <i x="646" s="1" nd="1"/>
        <i x="4291" s="1" nd="1"/>
        <i x="725" s="1" nd="1"/>
        <i x="2845" s="1" nd="1"/>
        <i x="3123" s="1" nd="1"/>
        <i x="2950" s="1" nd="1"/>
        <i x="2560" s="1" nd="1"/>
        <i x="1245" s="1" nd="1"/>
        <i x="1996" s="1" nd="1"/>
        <i x="4516" s="1" nd="1"/>
        <i x="3247" s="1" nd="1"/>
        <i x="3506" s="1" nd="1"/>
        <i x="491" s="1" nd="1"/>
        <i x="1358" s="1" nd="1"/>
        <i x="3622" s="1" nd="1"/>
        <i x="983" s="1" nd="1"/>
        <i x="333" s="1" nd="1"/>
        <i x="432" s="1" nd="1"/>
        <i x="3014" s="1" nd="1"/>
        <i x="204" s="1" nd="1"/>
        <i x="679" s="1" nd="1"/>
        <i x="530" s="1" nd="1"/>
        <i x="625" s="1" nd="1"/>
        <i x="4245" s="1" nd="1"/>
        <i x="2544" s="1" nd="1"/>
        <i x="3307" s="1" nd="1"/>
        <i x="2281" s="1" nd="1"/>
        <i x="28" s="1" nd="1"/>
        <i x="320" s="1" nd="1"/>
        <i x="4518" s="1" nd="1"/>
        <i x="4107" s="1" nd="1"/>
        <i x="2720" s="1" nd="1"/>
        <i x="2972" s="1" nd="1"/>
        <i x="3555" s="1" nd="1"/>
        <i x="4615" s="1" nd="1"/>
        <i x="1913" s="1" nd="1"/>
        <i x="953" s="1" nd="1"/>
        <i x="2516" s="1" nd="1"/>
        <i x="3286" s="1" nd="1"/>
        <i x="4661" s="1" nd="1"/>
        <i x="4319" s="1" nd="1"/>
        <i x="1269" s="1" nd="1"/>
        <i x="388" s="1" nd="1"/>
        <i x="170" s="1" nd="1"/>
        <i x="2293" s="1" nd="1"/>
        <i x="256" s="1" nd="1"/>
        <i x="698" s="1" nd="1"/>
        <i x="2391" s="1" nd="1"/>
        <i x="1958" s="1" nd="1"/>
        <i x="954" s="1" nd="1"/>
        <i x="1263" s="1" nd="1"/>
        <i x="1664" s="1" nd="1"/>
        <i x="1887" s="1" nd="1"/>
        <i x="1953" s="1" nd="1"/>
        <i x="3299" s="1" nd="1"/>
        <i x="2483" s="1" nd="1"/>
        <i x="3478" s="1" nd="1"/>
        <i x="433" s="1" nd="1"/>
        <i x="2325" s="1" nd="1"/>
        <i x="1683" s="1" nd="1"/>
        <i x="386" s="1" nd="1"/>
        <i x="1239" s="1" nd="1"/>
        <i x="399" s="1" nd="1"/>
        <i x="4509" s="1" nd="1"/>
        <i x="2510" s="1" nd="1"/>
        <i x="1316" s="1" nd="1"/>
        <i x="3645" s="1" nd="1"/>
        <i x="1172" s="1" nd="1"/>
        <i x="1525" s="1" nd="1"/>
        <i x="4304" s="1" nd="1"/>
        <i x="3855" s="1" nd="1"/>
        <i x="2452" s="1" nd="1"/>
        <i x="4168" s="1" nd="1"/>
        <i x="323" s="1" nd="1"/>
        <i x="3052" s="1" nd="1"/>
        <i x="4496" s="1" nd="1"/>
        <i x="3114" s="1" nd="1"/>
        <i x="1469" s="1" nd="1"/>
        <i x="251" s="1" nd="1"/>
        <i x="4453" s="1" nd="1"/>
        <i x="469" s="1" nd="1"/>
        <i x="235" s="1" nd="1"/>
        <i x="232" s="1" nd="1"/>
        <i x="542" s="1" nd="1"/>
        <i x="1261" s="1" nd="1"/>
        <i x="2681" s="1" nd="1"/>
        <i x="1021" s="1" nd="1"/>
        <i x="2924" s="1" nd="1"/>
        <i x="316" s="1" nd="1"/>
        <i x="2199" s="1" nd="1"/>
        <i x="1476" s="1" nd="1"/>
        <i x="4036" s="1" nd="1"/>
        <i x="3326" s="1" nd="1"/>
        <i x="1872" s="1" nd="1"/>
        <i x="4711" s="1" nd="1"/>
        <i x="756" s="1" nd="1"/>
        <i x="383" s="1" nd="1"/>
        <i x="4427" s="1" nd="1"/>
        <i x="402" s="1" nd="1"/>
        <i x="3620" s="1" nd="1"/>
        <i x="2381" s="1" nd="1"/>
        <i x="97" s="1" nd="1"/>
        <i x="134" s="1" nd="1"/>
        <i x="2888" s="1" nd="1"/>
        <i x="1380" s="1" nd="1"/>
        <i x="3775" s="1" nd="1"/>
        <i x="4412" s="1" nd="1"/>
        <i x="3267" s="1" nd="1"/>
        <i x="4105" s="1" nd="1"/>
        <i x="4246" s="1" nd="1"/>
        <i x="4173" s="1" nd="1"/>
        <i x="2979" s="1" nd="1"/>
        <i x="2117" s="1" nd="1"/>
        <i x="4082" s="1" nd="1"/>
        <i x="800" s="1" nd="1"/>
        <i x="4431" s="1" nd="1"/>
        <i x="2562" s="1" nd="1"/>
        <i x="4560" s="1" nd="1"/>
        <i x="2986" s="1" nd="1"/>
        <i x="4601" s="1" nd="1"/>
        <i x="3948" s="1" nd="1"/>
        <i x="2858" s="1" nd="1"/>
        <i x="583" s="1" nd="1"/>
        <i x="1250" s="1" nd="1"/>
        <i x="3180" s="1" nd="1"/>
        <i x="466" s="1" nd="1"/>
        <i x="3269" s="1" nd="1"/>
        <i x="3814" s="1" nd="1"/>
        <i x="3454" s="1" nd="1"/>
        <i x="4320" s="1" nd="1"/>
        <i x="3676" s="1" nd="1"/>
        <i x="2571" s="1" nd="1"/>
        <i x="963" s="1" nd="1"/>
        <i x="1139" s="1" nd="1"/>
        <i x="4261" s="1" nd="1"/>
        <i x="1080" s="1" nd="1"/>
        <i x="2824" s="1" nd="1"/>
        <i x="4331" s="1" nd="1"/>
        <i x="715" s="1" nd="1"/>
        <i x="3440" s="1" nd="1"/>
        <i x="2568" s="1" nd="1"/>
        <i x="1232" s="1" nd="1"/>
        <i x="2289" s="1" nd="1"/>
        <i x="4568" s="1" nd="1"/>
        <i x="3794" s="1" nd="1"/>
        <i x="771" s="1" nd="1"/>
        <i x="7" s="1" nd="1"/>
        <i x="2825" s="1" nd="1"/>
        <i x="2685" s="1" nd="1"/>
        <i x="4699" s="1" nd="1"/>
        <i x="3932" s="1" nd="1"/>
        <i x="3688" s="1" nd="1"/>
        <i x="524" s="1" nd="1"/>
        <i x="3917" s="1" nd="1"/>
        <i x="2786" s="1" nd="1"/>
        <i x="748" s="1" nd="1"/>
        <i x="266" s="1" nd="1"/>
        <i x="3291" s="1" nd="1"/>
        <i x="1375" s="1" nd="1"/>
        <i x="862" s="1" nd="1"/>
        <i x="3050" s="1" nd="1"/>
        <i x="2667" s="1" nd="1"/>
        <i x="3388" s="1" nd="1"/>
        <i x="1212" s="1" nd="1"/>
        <i x="1918" s="1" nd="1"/>
        <i x="2695" s="1" nd="1"/>
        <i x="497" s="1" nd="1"/>
        <i x="1658" s="1" nd="1"/>
        <i x="174" s="1" nd="1"/>
        <i x="2155" s="1" nd="1"/>
        <i x="2207" s="1" nd="1"/>
        <i x="438" s="1" nd="1"/>
        <i x="3115" s="1" nd="1"/>
        <i x="3452" s="1" nd="1"/>
        <i x="3661" s="1" nd="1"/>
        <i x="737" s="1" nd="1"/>
        <i x="1795" s="1" nd="1"/>
        <i x="1324" s="1" nd="1"/>
        <i x="2919" s="1" nd="1"/>
        <i x="1598" s="1" nd="1"/>
        <i x="2033" s="1" nd="1"/>
        <i x="3268" s="1" nd="1"/>
        <i x="14" s="1" nd="1"/>
        <i x="3731" s="1" nd="1"/>
        <i x="4625" s="1" nd="1"/>
        <i x="1117" s="1" nd="1"/>
        <i x="3777" s="1" nd="1"/>
        <i x="4232" s="1" nd="1"/>
        <i x="662" s="1" nd="1"/>
        <i x="3550" s="1" nd="1"/>
        <i x="2295" s="1" nd="1"/>
        <i x="1347" s="1" nd="1"/>
        <i x="694" s="1" nd="1"/>
        <i x="3044" s="1" nd="1"/>
        <i x="2444" s="1" nd="1"/>
        <i x="2538" s="1" nd="1"/>
        <i x="110" s="1" nd="1"/>
        <i x="1816" s="1" nd="1"/>
        <i x="3722" s="1" nd="1"/>
        <i x="371" s="1" nd="1"/>
        <i x="1568" s="1" nd="1"/>
        <i x="2501" s="1" nd="1"/>
        <i x="1517" s="1" nd="1"/>
        <i x="1422" s="1" nd="1"/>
        <i x="173" s="1" nd="1"/>
        <i x="3371" s="1" nd="1"/>
        <i x="2010" s="1" nd="1"/>
        <i x="2588" s="1" nd="1"/>
        <i x="3189" s="1" nd="1"/>
        <i x="567" s="1" nd="1"/>
        <i x="1124" s="1" nd="1"/>
        <i x="3465" s="1" nd="1"/>
        <i x="3165" s="1" nd="1"/>
        <i x="4201" s="1" nd="1"/>
        <i x="4706" s="1" nd="1"/>
        <i x="2637" s="1" nd="1"/>
        <i x="1436" s="1" nd="1"/>
        <i x="171" s="1" nd="1"/>
        <i x="4500" s="1" nd="1"/>
        <i x="3373" s="1" nd="1"/>
        <i x="620" s="1" nd="1"/>
        <i x="1677" s="1" nd="1"/>
        <i x="1478" s="1" nd="1"/>
        <i x="2730" s="1" nd="1"/>
        <i x="3084" s="1" nd="1"/>
        <i x="3479" s="1" nd="1"/>
        <i x="3778" s="1" nd="1"/>
        <i x="4651" s="1" nd="1"/>
        <i x="3410" s="1" nd="1"/>
        <i x="3862" s="1" nd="1"/>
        <i x="467" s="1" nd="1"/>
        <i x="1569" s="1" nd="1"/>
        <i x="3316" s="1" nd="1"/>
        <i x="3108" s="1" nd="1"/>
        <i x="1566" s="1" nd="1"/>
        <i x="1624" s="1" nd="1"/>
        <i x="904" s="1" nd="1"/>
        <i x="591" s="1" nd="1"/>
        <i x="1700" s="1" nd="1"/>
        <i x="2911" s="1" nd="1"/>
        <i x="1955" s="1" nd="1"/>
        <i x="63" s="1" nd="1"/>
        <i x="3235" s="1" nd="1"/>
        <i x="2901" s="1" nd="1"/>
        <i x="203" s="1" nd="1"/>
        <i x="4547" s="1" nd="1"/>
        <i x="3145" s="1" nd="1"/>
        <i x="4322" s="1" nd="1"/>
        <i x="3643" s="1" nd="1"/>
        <i x="1880" s="1" nd="1"/>
        <i x="1460" s="1" nd="1"/>
        <i x="1492" s="1" nd="1"/>
        <i x="3988" s="1" nd="1"/>
        <i x="448" s="1" nd="1"/>
        <i x="2321" s="1" nd="1"/>
        <i x="3088" s="1" nd="1"/>
        <i x="1135" s="1" nd="1"/>
        <i x="2518" s="1" nd="1"/>
        <i x="2052" s="1" nd="1"/>
        <i x="3839" s="1" nd="1"/>
        <i x="4195" s="1" nd="1"/>
        <i x="4589" s="1" nd="1"/>
        <i x="678" s="1" nd="1"/>
        <i x="3609" s="1" nd="1"/>
        <i x="2392" s="1" nd="1"/>
        <i x="279" s="1" nd="1"/>
        <i x="1883" s="1" nd="1"/>
        <i x="499" s="1" nd="1"/>
        <i x="1246" s="1" nd="1"/>
        <i x="674" s="1" nd="1"/>
        <i x="2237" s="1" nd="1"/>
        <i x="2821" s="1" nd="1"/>
        <i x="4075" s="1" nd="1"/>
        <i x="3821" s="1" nd="1"/>
        <i x="558" s="1" nd="1"/>
        <i x="2093" s="1" nd="1"/>
        <i x="3569" s="1" nd="1"/>
        <i x="1643" s="1" nd="1"/>
        <i x="3719" s="1" nd="1"/>
        <i x="124" s="1" nd="1"/>
        <i x="2238" s="1" nd="1"/>
        <i x="1622" s="1" nd="1"/>
        <i x="2936" s="1" nd="1"/>
        <i x="1359" s="1" nd="1"/>
        <i x="3540" s="1" nd="1"/>
        <i x="346" s="1" nd="1"/>
        <i x="2443" s="1" nd="1"/>
        <i x="772" s="1" nd="1"/>
        <i x="1217" s="1" nd="1"/>
        <i x="3956" s="1" nd="1"/>
        <i x="3531" s="1" nd="1"/>
        <i x="2988" s="1" nd="1"/>
        <i x="3045" s="1" nd="1"/>
        <i x="2634" s="1" nd="1"/>
        <i x="4048" s="1" nd="1"/>
        <i x="2788" s="1" nd="1"/>
        <i x="3736" s="1" nd="1"/>
        <i x="797" s="1" nd="1"/>
        <i x="980" s="1" nd="1"/>
        <i x="2176" s="1" nd="1"/>
        <i x="2228" s="1" nd="1"/>
        <i x="3303" s="1" nd="1"/>
        <i x="457" s="1" nd="1"/>
        <i x="211" s="1" nd="1"/>
        <i x="974" s="1" nd="1"/>
        <i x="3172" s="1" nd="1"/>
        <i x="736" s="1" nd="1"/>
        <i x="3502" s="1" nd="1"/>
        <i x="2744" s="1" nd="1"/>
        <i x="3231" s="1" nd="1"/>
        <i x="649" s="1" nd="1"/>
        <i x="310" s="1" nd="1"/>
        <i x="2780" s="1" nd="1"/>
        <i x="3485" s="1" nd="1"/>
        <i x="2662" s="1" nd="1"/>
        <i x="628" s="1" nd="1"/>
        <i x="2292" s="1" nd="1"/>
        <i x="3681" s="1" nd="1"/>
        <i x="4617" s="1" nd="1"/>
        <i x="4703" s="1" nd="1"/>
        <i x="4396" s="1" nd="1"/>
        <i x="2290" s="1" nd="1"/>
        <i x="2287" s="1" nd="1"/>
        <i x="1962" s="1" nd="1"/>
        <i x="2154" s="1" nd="1"/>
        <i x="4001" s="1" nd="1"/>
        <i x="3290" s="1" nd="1"/>
        <i x="3683" s="1" nd="1"/>
        <i x="3887" s="1" nd="1"/>
        <i x="2134" s="1" nd="1"/>
        <i x="3863" s="1" nd="1"/>
        <i x="2655" s="1" nd="1"/>
        <i x="3257" s="1" nd="1"/>
        <i x="2137" s="1" nd="1"/>
        <i x="2683" s="1" nd="1"/>
        <i x="4565" s="1" nd="1"/>
        <i x="3848" s="1" nd="1"/>
        <i x="830" s="1" nd="1"/>
        <i x="826" s="1" nd="1"/>
        <i x="2594" s="1" nd="1"/>
        <i x="1959" s="1" nd="1"/>
        <i x="4419" s="1" nd="1"/>
        <i x="4400" s="1" nd="1"/>
        <i x="1954" s="1" nd="1"/>
        <i x="3970" s="1" nd="1"/>
        <i x="1508" s="1" nd="1"/>
        <i x="1326" s="1" nd="1"/>
        <i x="1688" s="1" nd="1"/>
        <i x="636" s="1" nd="1"/>
        <i x="3101" s="1" nd="1"/>
        <i x="1070" s="1" nd="1"/>
        <i x="2556" s="1" nd="1"/>
        <i x="3214" s="1" nd="1"/>
        <i x="223" s="1" nd="1"/>
        <i x="959" s="1" nd="1"/>
        <i x="3940" s="1" nd="1"/>
        <i x="1571" s="1" nd="1"/>
        <i x="247" s="1" nd="1"/>
        <i x="3102" s="1" nd="1"/>
        <i x="2131" s="1" nd="1"/>
        <i x="4160" s="1" nd="1"/>
        <i x="3431" s="1" nd="1"/>
        <i x="4502" s="1" nd="1"/>
        <i x="57" s="1" nd="1"/>
        <i x="3193" s="1" nd="1"/>
        <i x="5" s="1" nd="1"/>
        <i x="4185" s="1" nd="1"/>
        <i x="127" s="1" nd="1"/>
        <i x="2684" s="1" nd="1"/>
        <i x="4256" s="1" nd="1"/>
        <i x="3901" s="1" nd="1"/>
        <i x="3675" s="1" nd="1"/>
        <i x="1800" s="1" nd="1"/>
        <i x="2357" s="1" nd="1"/>
        <i x="2250" s="1" nd="1"/>
        <i x="3883" s="1" nd="1"/>
        <i x="3287" s="1" nd="1"/>
        <i x="3386" s="1" nd="1"/>
        <i x="3030" s="1" nd="1"/>
        <i x="1532" s="1" nd="1"/>
        <i x="4467" s="1" nd="1"/>
        <i x="191" s="1" nd="1"/>
        <i x="3968" s="1" nd="1"/>
        <i x="3963" s="1" nd="1"/>
        <i x="3592" s="1" nd="1"/>
        <i x="3865" s="1" nd="1"/>
        <i x="73" s="1" nd="1"/>
        <i x="1153" s="1" nd="1"/>
        <i x="4689" s="1" nd="1"/>
        <i x="1346" s="1" nd="1"/>
        <i x="2442" s="1" nd="1"/>
        <i x="1563" s="1" nd="1"/>
        <i x="4471" s="1" nd="1"/>
        <i x="1190" s="1" nd="1"/>
        <i x="2796" s="1" nd="1"/>
        <i x="3443" s="1" nd="1"/>
        <i x="3107" s="1" nd="1"/>
        <i x="4676" s="1" nd="1"/>
        <i x="267" s="1" nd="1"/>
        <i x="4390" s="1" nd="1"/>
        <i x="3491" s="1" nd="1"/>
        <i x="3056" s="1" nd="1"/>
        <i x="2907" s="1" nd="1"/>
        <i x="1367" s="1" nd="1"/>
        <i x="1642" s="1" nd="1"/>
        <i x="2156" s="1" nd="1"/>
        <i x="751" s="1" nd="1"/>
        <i x="2708" s="1" nd="1"/>
        <i x="2121" s="1" nd="1"/>
        <i x="133" s="1" nd="1"/>
        <i x="664" s="1" nd="1"/>
        <i x="604" s="1" nd="1"/>
        <i x="543" s="1" nd="1"/>
        <i x="4358" s="1" nd="1"/>
        <i x="1758" s="1" nd="1"/>
        <i x="4343" s="1" nd="1"/>
        <i x="1580" s="1" nd="1"/>
        <i x="1361" s="1" nd="1"/>
        <i x="4223" s="1" nd="1"/>
        <i x="318" s="1" nd="1"/>
        <i x="2005" s="1" nd="1"/>
        <i x="3403" s="1" nd="1"/>
        <i x="1738" s="1" nd="1"/>
        <i x="3636" s="1" nd="1"/>
        <i x="3430" s="1" nd="1"/>
        <i x="4415" s="1" nd="1"/>
        <i x="4648" s="1" nd="1"/>
        <i x="1195" s="1" nd="1"/>
        <i x="1327" s="1" nd="1"/>
        <i x="4513" s="1" nd="1"/>
        <i x="1892" s="1" nd="1"/>
        <i x="629" s="1" nd="1"/>
        <i x="2184" s="1" nd="1"/>
        <i x="188" s="1" nd="1"/>
        <i x="919" s="1" nd="1"/>
        <i x="3037" s="1" nd="1"/>
        <i x="3395" s="1" nd="1"/>
        <i x="2564" s="1" nd="1"/>
        <i x="1540" s="1" nd="1"/>
        <i x="1266" s="1" nd="1"/>
        <i x="1338" s="1" nd="1"/>
        <i x="325" s="1" nd="1"/>
        <i x="4269" s="1" nd="1"/>
        <i x="3859" s="1" nd="1"/>
        <i x="1710" s="1" nd="1"/>
        <i x="4183" s="1" nd="1"/>
        <i x="1142" s="1" nd="1"/>
        <i x="4249" s="1" nd="1"/>
        <i x="3950" s="1" nd="1"/>
        <i x="2214" s="1" nd="1"/>
        <i x="4234" s="1" nd="1"/>
        <i x="244" s="1" nd="1"/>
        <i x="2591" s="1" nd="1"/>
        <i x="887" s="1" nd="1"/>
        <i x="1201" s="1" nd="1"/>
        <i x="4605" s="1" nd="1"/>
        <i x="3057" s="1" nd="1"/>
        <i x="4541" s="1" nd="1"/>
        <i x="4146" s="1" nd="1"/>
        <i x="2890" s="1" nd="1"/>
        <i x="3174" s="1" nd="1"/>
        <i x="2218" s="1" nd="1"/>
        <i x="2511" s="1" nd="1"/>
        <i x="2259" s="1" nd="1"/>
        <i x="2018" s="1" nd="1"/>
        <i x="1561" s="1" nd="1"/>
        <i x="1432" s="1" nd="1"/>
        <i x="2974" s="1" nd="1"/>
        <i x="1333" s="1" nd="1"/>
        <i x="1061" s="1" nd="1"/>
        <i x="764" s="1" nd="1"/>
        <i x="1365" s="1" nd="1"/>
        <i x="582" s="1" nd="1"/>
        <i x="313" s="1" nd="1"/>
        <i x="623" s="1" nd="1"/>
        <i x="360" s="1" nd="1"/>
        <i x="129" s="1" nd="1"/>
        <i x="4391" s="1" nd="1"/>
        <i x="4179" s="1" nd="1"/>
        <i x="2899" s="1" nd="1"/>
        <i x="934" s="1" nd="1"/>
        <i x="3170" s="1" nd="1"/>
        <i x="2599" s="1" nd="1"/>
        <i x="4205" s="1" nd="1"/>
        <i x="3148" s="1" nd="1"/>
        <i x="3228" s="1" nd="1"/>
        <i x="4120" s="1" nd="1"/>
        <i x="2418" s="1" nd="1"/>
        <i x="2975" s="1" nd="1"/>
        <i x="1011" s="1" nd="1"/>
        <i x="2769" s="1" nd="1"/>
        <i x="2545" s="1" nd="1"/>
        <i x="2300" s="1" nd="1"/>
        <i x="2048" s="1" nd="1"/>
        <i x="2345" s="1" nd="1"/>
        <i x="1613" s="1" nd="1"/>
        <i x="1902" s="1" nd="1"/>
        <i x="1652" s="1" nd="1"/>
        <i x="1397" s="1" nd="1"/>
        <i x="944" s="1" nd="1"/>
        <i x="1163" s="1" nd="1"/>
        <i x="883" s="1" nd="1"/>
        <i x="1027" s="1" nd="1"/>
        <i x="1565" s="1" nd="1"/>
        <i x="922" s="1" nd="1"/>
        <i x="668" s="1" nd="1"/>
        <i x="396" s="1" nd="1"/>
        <i x="711" s="1" nd="1"/>
        <i x="3136" s="1" nd="1"/>
        <i x="452" s="1" nd="1"/>
        <i x="3481" s="1" nd="1"/>
        <i x="2315" s="1" nd="1"/>
        <i x="4424" s="1" nd="1"/>
        <i x="4715" s="1" nd="1"/>
        <i x="4468" s="1" nd="1"/>
        <i x="4207" s="1" nd="1"/>
        <i x="3964" s="1" nd="1"/>
        <i x="245" s="1" nd="1"/>
        <i x="4556" s="1" nd="1"/>
        <i x="3553" s="1" nd="1"/>
        <i x="3308" s="1" nd="1"/>
        <i x="2585" s="1" nd="1"/>
        <i x="2850" s="1" nd="1"/>
        <i x="2375" s="1" nd="1"/>
        <i x="2130" s="1" nd="1"/>
        <i x="387" s="1" nd="1"/>
        <i x="1690" s="1" nd="1"/>
        <i x="1496" s="1" nd="1"/>
        <i x="1428" s="1" nd="1"/>
        <i x="1736" s="1" nd="1"/>
        <i x="1467" s="1" nd="1"/>
        <i x="706" s="1" nd="1"/>
        <i x="1001" s="1" nd="1"/>
        <i x="754" s="1" nd="1"/>
        <i x="493" s="1" nd="1"/>
        <i x="230" s="1" nd="1"/>
        <i x="560" s="1" nd="1"/>
        <i x="42" s="1" nd="1"/>
        <i x="4504" s="1" nd="1"/>
        <i x="4248" s="1" nd="1"/>
        <i x="4544" s="1" nd="1"/>
        <i x="3342" s="1" nd="1"/>
        <i x="4091" s="1" nd="1"/>
        <i x="3840" s="1" nd="1"/>
        <i x="3597" s="1" nd="1"/>
        <i x="3605" s="1" nd="1"/>
        <i x="3346" s="1" nd="1"/>
        <i x="3076" s="1" nd="1"/>
        <i x="2884" s="1" nd="1"/>
        <i x="2654" s="1" nd="1"/>
        <i x="2424" s="1" nd="1"/>
        <i x="2700" s="1" nd="1"/>
        <i x="2469" s="1" nd="1"/>
        <i x="2094" s="1" nd="1"/>
        <i x="4275" s="1" nd="1"/>
        <i x="2251" s="1" nd="1"/>
        <i x="1771" s="1" nd="1"/>
        <i x="1505" s="1" nd="1"/>
        <i x="1283" s="1" nd="1"/>
        <i x="1058" s="1" nd="1"/>
        <i x="793" s="1" nd="1"/>
        <i x="1109" s="1" nd="1"/>
        <i x="839" s="1" nd="1"/>
        <i x="576" s="1" nd="1"/>
        <i x="969" s="1" nd="1"/>
        <i x="351" s="1" nd="1"/>
        <i x="3011" s="1" nd="1"/>
        <i x="3137" s="1" nd="1"/>
        <i x="122" s="1" nd="1"/>
        <i x="1514" s="1" nd="1"/>
        <i x="4572" s="1" nd="1"/>
        <i x="4344" s="1" nd="1"/>
        <i x="4610" s="1" nd="1"/>
        <i x="1793" s="1" nd="1"/>
        <i x="3638" s="1" nd="1"/>
        <i x="3919" s="1" nd="1"/>
        <i x="3685" s="1" nd="1"/>
        <i x="3419" s="1" nd="1"/>
        <i x="665" s="1" nd="1"/>
        <i x="4063" s="1" nd="1"/>
        <i x="3218" s="1" nd="1"/>
        <i x="2973" s="1" nd="1"/>
        <i x="2731" s="1" nd="1"/>
        <i x="2502" s="1" nd="1"/>
        <i x="2763" s="1" nd="1"/>
        <i x="2043" s="1" nd="1"/>
        <i x="1815" s="1" nd="1"/>
        <i x="2080" s="1" nd="1"/>
        <i x="1849" s="1" nd="1"/>
        <i x="3860" s="1" nd="1"/>
        <i x="4679" s="1" nd="1"/>
        <i x="1606" s="1" nd="1"/>
        <i x="3295" s="1" nd="1"/>
        <i x="1156" s="1" nd="1"/>
        <i x="3344" s="1" nd="1"/>
        <i x="876" s="1" nd="1"/>
        <i x="614" s="1" nd="1"/>
        <i x="914" s="1" nd="1"/>
        <i x="454" s="1" nd="1"/>
        <i x="2800" s="1" nd="1"/>
        <i x="4606" s="1" nd="1"/>
        <i x="196" s="1" nd="1"/>
        <i x="4652" s="1" nd="1"/>
        <i x="4420" s="1" nd="1"/>
        <i x="2261" s="1" nd="1"/>
        <i x="4204" s="1" nd="1"/>
        <i x="3958" s="1" nd="1"/>
        <i x="3725" s="1" nd="1"/>
        <i x="3461" s="1" nd="1"/>
        <i x="3762" s="1" nd="1"/>
        <i x="3035" s="1" nd="1"/>
        <i x="3008" s="1" nd="1"/>
        <i x="3300" s="1" nd="1"/>
        <i x="3038" s="1" nd="1"/>
        <i x="2797" s="1" nd="1"/>
        <i x="2579" s="1" nd="1"/>
        <i x="4696" s="1" nd="1"/>
        <i x="2372" s="1" nd="1"/>
        <i x="2123" s="1" nd="1"/>
        <i x="4239" s="1" nd="1"/>
        <i x="1893" s="1" nd="1"/>
        <i x="2164" s="1" nd="1"/>
        <i x="1933" s="1" nd="1"/>
        <i x="1194" s="1" nd="1"/>
        <i x="1463" s="1" nd="1"/>
        <i x="1233" s="1" nd="1"/>
        <i x="4459" s="1" nd="1"/>
        <i x="948" s="1" nd="1"/>
        <i x="700" s="1" nd="1"/>
        <i x="485" s="1" nd="1"/>
        <i x="226" s="1" nd="1"/>
        <i x="4700" s="1" nd="1"/>
        <i x="261" s="1" nd="1"/>
        <i x="704" s="1" nd="1"/>
        <i x="3994" s="1" nd="1"/>
        <i x="4283" s="1" nd="1"/>
        <i x="3801" s="1" nd="1"/>
        <i x="3542" s="1" nd="1"/>
        <i x="2465" s="1" nd="1"/>
        <i x="2211" s="1" nd="1"/>
        <i x="1966" s="1" nd="1"/>
        <i x="1497" s="1" nd="1"/>
        <i x="1279" s="1" nd="1"/>
        <i x="991" s="1" nd="1"/>
        <i x="1322" s="1" nd="1"/>
        <i x="1051" s="1" nd="1"/>
        <i x="831" s="1" nd="1"/>
        <i x="571" s="1" nd="1"/>
        <i x="305" s="1" nd="1"/>
        <i x="74" s="1" nd="1"/>
        <i x="4534" s="1" nd="1"/>
        <i x="4337" s="1" nd="1"/>
        <i x="4083" s="1" nd="1"/>
        <i x="3834" s="1" nd="1"/>
        <i x="4128" s="1" nd="1"/>
        <i x="3867" s="1" nd="1"/>
        <i x="3679" s="1" nd="1"/>
        <i x="3415" s="1" nd="1"/>
        <i x="3448" s="1" nd="1"/>
        <i x="3154" s="1" nd="1"/>
        <i x="2918" s="1" nd="1"/>
        <i x="2693" s="1" nd="1"/>
        <i x="1712" s="1" nd="1"/>
        <i x="4040" s="1" nd="1"/>
        <i x="1737" s="1" nd="1"/>
        <i x="2497" s="1" nd="1"/>
        <i x="4060" s="1" nd="1"/>
        <i x="2244" s="1" nd="1"/>
        <i x="2532" s="1" nd="1"/>
        <i x="2291" s="1" nd="1"/>
        <i x="2040" s="1" nd="1"/>
        <i x="4633" s="1" nd="1"/>
        <i x="2842" s="1" nd="1"/>
        <i x="1845" s="1" nd="1"/>
        <i x="2862" s="1" nd="1"/>
        <i x="1602" s="1" nd="1"/>
        <i x="517" s="1" nd="1"/>
        <i x="1356" s="1" nd="1"/>
        <i x="1094" s="1" nd="1"/>
        <i x="1389" s="1" nd="1"/>
        <i x="1145" s="1" nd="1"/>
        <i x="4002" s="1" nd="1"/>
        <i x="608" s="1" nd="1"/>
        <i x="1707" s="1" nd="1"/>
        <i x="344" s="1" nd="1"/>
        <i x="4031" s="1" nd="1"/>
        <i x="656" s="1" nd="1"/>
        <i x="384" s="1" nd="1"/>
        <i x="153" s="1" nd="1"/>
        <i x="227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Ejecución recursos" xr10:uid="{00000000-0014-0000-FFFF-FFFF01000000}"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Ejecución recursos 1" xr10:uid="{00000000-0014-0000-FFFF-FFFF02000000}" cache="SegmentaciónDeDatos___Ejecución_recursos1" caption="% Ejecución recursos" startItem="61" rowHeight="241300"/>
  <slicer name="% Ejecución física" xr10:uid="{00000000-0014-0000-FFFF-FFFF03000000}"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34" Type="http://schemas.openxmlformats.org/officeDocument/2006/relationships/hyperlink" Target="https://www.contratos.gov.co/consultas/detalleProceso.do?numConstancia=15-12-362805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76" Type="http://schemas.openxmlformats.org/officeDocument/2006/relationships/hyperlink" Target="https://www.contratos.gov.co/consultas/detalleProceso.do?numConstancia=15-11-3803468"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16" Type="http://schemas.openxmlformats.org/officeDocument/2006/relationships/hyperlink" Target="https://www.contratos.gov.co/consultas/detalleProceso.do?numConstancia=15-13-3559466" TargetMode="External"/><Relationship Id="rId29" Type="http://schemas.openxmlformats.org/officeDocument/2006/relationships/hyperlink" Target="https://www.contratos.gov.co/consultas/detalleProceso.do?numConstancia=15-9-398335" TargetMode="External"/><Relationship Id="rId11" Type="http://schemas.openxmlformats.org/officeDocument/2006/relationships/hyperlink" Target="https://www.contratos.gov.co/consultas/detalleProceso.do?numConstancia=15-12-3553134" TargetMode="External"/><Relationship Id="rId24" Type="http://schemas.openxmlformats.org/officeDocument/2006/relationships/hyperlink" Target="https://www.contratos.gov.co/consultas/detalleProceso.do?numConstancia=15-11-3691528"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66" Type="http://schemas.openxmlformats.org/officeDocument/2006/relationships/hyperlink" Target="https://www.contratos.gov.co/consultas/detalleProceso.do?numConstancia=14-17-2800394"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87" Type="http://schemas.openxmlformats.org/officeDocument/2006/relationships/hyperlink" Target="https://www.contratos.gov.co/consultas/detalleProceso.do?numConstancia=15-13-4020539"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56" Type="http://schemas.openxmlformats.org/officeDocument/2006/relationships/hyperlink" Target="https://www.contratos.gov.co/consultas/detalleProceso.do?numConstancia=14-9-383497"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1.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17" Type="http://schemas.openxmlformats.org/officeDocument/2006/relationships/hyperlink" Target="file:///\\cbprint\..\..\..\..\..\..\..\..\Documents\Actas%20de%20liquidaci&#243;n%20aprobados\130091-0-2013%20-%20Acta%20de%20liquidaci&#243;n-%20ok.pdf" TargetMode="External"/><Relationship Id="rId299" Type="http://schemas.openxmlformats.org/officeDocument/2006/relationships/hyperlink" Target="file:///\\cbprint\Documents\Actas%20de%20liquidaci&#243;n%20aprobados\2017\170130-%20DOUGLAS%20TRADE.pdf" TargetMode="External"/><Relationship Id="rId21" Type="http://schemas.openxmlformats.org/officeDocument/2006/relationships/hyperlink" Target="file:///\\cbprint\..\..\..\..\..\..\..\..\Documents\Actas%20de%20liquidaci&#243;n%20aprobados\LIQUIDACIONES%202015\150256-%20DAYANNA%20FERNANDEZ.pdf" TargetMode="External"/><Relationship Id="rId63" Type="http://schemas.openxmlformats.org/officeDocument/2006/relationships/hyperlink" Target="file:///\\cbprint\..\..\..\..\..\..\..\..\Documents\Actas%20de%20liquidaci&#243;n%20aprobados\LIQUIDACIONES%202015\150382-%20OPENLINK.pdf" TargetMode="External"/><Relationship Id="rId159" Type="http://schemas.openxmlformats.org/officeDocument/2006/relationships/hyperlink" Target="file:///\\cbprint\..\..\..\..\..\..\..\..\Documents\Actas%20de%20liquidaci&#243;n%20aprobados\liquidacion%20cto%20221-2012%20-%20ok.pdf" TargetMode="External"/><Relationship Id="rId324" Type="http://schemas.openxmlformats.org/officeDocument/2006/relationships/hyperlink" Target="file:///\\cbprint\..\..\..\..\Documents\Actas%20de%20liquidaci&#243;n%20aprobados\2018\180083-%20JAVIER%20AVENDA&#209;O.pdf" TargetMode="External"/><Relationship Id="rId366" Type="http://schemas.openxmlformats.org/officeDocument/2006/relationships/hyperlink" Target="file:///\\cbprint\Documents\BACKUP%20DOCUMENTOS%20MAR\Actas%20de%20liquidaci&#243;n%20aprobados\2017\170274-%20MAGIQ%20ALL.pdf" TargetMode="External"/><Relationship Id="rId170" Type="http://schemas.openxmlformats.org/officeDocument/2006/relationships/hyperlink" Target="file:///\\cbprint\..\..\..\..\..\..\..\..\Documents\Actas%20de%20liquidaci&#243;n%20aprobados\LIQUIDACIONES%202015\140234.pdf" TargetMode="External"/><Relationship Id="rId226" Type="http://schemas.openxmlformats.org/officeDocument/2006/relationships/hyperlink" Target="file:///\\cbprint\..\..\..\..\..\..\..\..\Documents\Actas%20de%20liquidaci&#243;n%20aprobados\LIQUIDACIONES%202015\160048-%20REVISTA%20EL%20CONGRESO.pdf" TargetMode="External"/><Relationship Id="rId268" Type="http://schemas.openxmlformats.org/officeDocument/2006/relationships/hyperlink" Target="file:///\\cbprint\Documents\Actas%20de%20liquidaci&#243;n%20aprobados\2017\170064-0-2017%20EL%20TIEMPO.pdf" TargetMode="External"/><Relationship Id="rId32" Type="http://schemas.openxmlformats.org/officeDocument/2006/relationships/hyperlink" Target="file:///\\cbprint\..\..\..\..\..\..\..\..\Documents\Actas%20de%20liquidaci&#243;n%20aprobados\LIQUIDACIONES%202015\150363-%20EDITORIAL%20EL%20GLOBO.pdf" TargetMode="External"/><Relationship Id="rId74" Type="http://schemas.openxmlformats.org/officeDocument/2006/relationships/hyperlink" Target="file:///\\cbprint\..\..\..\..\..\..\..\..\Documents\Actas%20de%20liquidaci&#243;n%20aprobados\LIQUIDACIONES%202015\160240-%20DORA%20PINILLA.pdf" TargetMode="External"/><Relationship Id="rId128" Type="http://schemas.openxmlformats.org/officeDocument/2006/relationships/hyperlink" Target="file:///\\cbprint\..\..\..\..\..\..\..\..\Documents\Actas%20de%20liquidaci&#243;n%20aprobados\130281-0-2013%20-%20Acta%20de%20liquidaci&#243;n%20-%20ok.pdf" TargetMode="External"/><Relationship Id="rId335" Type="http://schemas.openxmlformats.org/officeDocument/2006/relationships/hyperlink" Target="file:///\\cbprint\..\..\..\..\Documents\Actas%20de%20liquidaci&#243;n%20aprobados\2008-2012\120000-125-0-2012%20-%20REVISTA%20EL%20CONGRESO.pdf" TargetMode="External"/><Relationship Id="rId377" Type="http://schemas.openxmlformats.org/officeDocument/2006/relationships/hyperlink" Target="file:///\\cbprint\Documents\BACKUP%20DOCUMENTOS%20MAR\Actas%20de%20liquidaci&#243;n%20aprobados\2017\170347-%20EXITO.pdf" TargetMode="External"/><Relationship Id="rId5" Type="http://schemas.openxmlformats.org/officeDocument/2006/relationships/hyperlink" Target="file:///\\cbprint\..\..\..\..\..\..\..\..\Documents\Actas%20de%20liquidaci&#243;n%20aprobados\LIQUIDACIONES%202015\150053-%20Adriana%20Payares.pdf" TargetMode="External"/><Relationship Id="rId181" Type="http://schemas.openxmlformats.org/officeDocument/2006/relationships/hyperlink" Target="file:///\\cbprint\..\..\..\..\..\..\..\..\Documents\Actas%20de%20liquidaci&#243;n%20aprobados\LIQUIDACIONES%202015\150338%20-%20editorial%20la%20unidad.pdf" TargetMode="External"/><Relationship Id="rId237" Type="http://schemas.openxmlformats.org/officeDocument/2006/relationships/hyperlink" Target="file:///\\cbprint\..\..\..\..\..\..\..\..\Documents\Actas%20de%20liquidaci&#243;n%20aprobados\LIQUIDACIONES%202015\160236-%20LUZ%20YANETH%20RODRIGUEZ.pdf" TargetMode="External"/><Relationship Id="rId402" Type="http://schemas.openxmlformats.org/officeDocument/2006/relationships/hyperlink" Target="file:///\\cbprint\Documents\BACKUP%20DOCUMENTOS%20MAR\Actas%20de%20liquidaci&#243;n%20aprobados\2017\170164-%20MITSUBISHI%20ELECTRIC.pdf" TargetMode="External"/><Relationship Id="rId279" Type="http://schemas.openxmlformats.org/officeDocument/2006/relationships/hyperlink" Target="file:///\\cbprint\Documents\Actas%20de%20liquidaci&#243;n%20aprobados\2015\150351-%20NEGSA.pdf" TargetMode="External"/><Relationship Id="rId43" Type="http://schemas.openxmlformats.org/officeDocument/2006/relationships/hyperlink" Target="file:///\\cbprint\..\..\..\..\..\..\..\..\Documents\Actas%20de%20liquidaci&#243;n%20aprobados\LIQUIDACIONES%202015\140356.pdf" TargetMode="External"/><Relationship Id="rId139" Type="http://schemas.openxmlformats.org/officeDocument/2006/relationships/hyperlink" Target="file:///\\cbprint\..\..\..\..\..\..\..\..\Documents\Actas%20de%20liquidaci&#243;n%20aprobados\ACTA%20DE%20LIQUIDACION%20CONTRATO%20120000-399-0-2012%20-%20ok.pdf" TargetMode="External"/><Relationship Id="rId290" Type="http://schemas.openxmlformats.org/officeDocument/2006/relationships/hyperlink" Target="file:///\\cbprint\Documents\Actas%20de%20liquidaci&#243;n%20aprobados\2017\170141-%20INGENIERIA%20Y%20SOLUCIONES.pdf" TargetMode="External"/><Relationship Id="rId304" Type="http://schemas.openxmlformats.org/officeDocument/2006/relationships/hyperlink" Target="file:///\\cbprint\Documents\Actas%20de%20liquidaci&#243;n%20aprobados\2013\130142-%20AGR%20SOLUCIONES.pdf" TargetMode="External"/><Relationship Id="rId346" Type="http://schemas.openxmlformats.org/officeDocument/2006/relationships/hyperlink" Target="file:///\\cbprint\Documents\Actas%20de%20liquidaci&#243;n%20aprobados\2018\180175-%20ALKOSTO.pdf" TargetMode="External"/><Relationship Id="rId388" Type="http://schemas.openxmlformats.org/officeDocument/2006/relationships/hyperlink" Target="file:///\\cbprint\Documents\BACKUP%20DOCUMENTOS%20MAR\Actas%20de%20liquidaci&#243;n%20aprobados\2008-2012\120000-518-0-2012%20IDPC.pdf" TargetMode="External"/><Relationship Id="rId85" Type="http://schemas.openxmlformats.org/officeDocument/2006/relationships/hyperlink" Target="file:///\\cbprint\..\..\..\..\..\..\..\..\Documents\Actas%20de%20liquidaci&#243;n%20aprobados\LIQUIDACIONES%202015\160143-IVON%20A.%20JIMENEZ.pdf" TargetMode="External"/><Relationship Id="rId150" Type="http://schemas.openxmlformats.org/officeDocument/2006/relationships/hyperlink" Target="file:///\\cbprint\..\..\..\..\..\..\..\..\Documents\Actas%20de%20liquidaci&#243;n%20aprobados\INFORME%20FINAL%20DE%20SUPERVISION%20CTO%20130365-0-2013.pdf" TargetMode="External"/><Relationship Id="rId171" Type="http://schemas.openxmlformats.org/officeDocument/2006/relationships/hyperlink" Target="file:///\\cbprint\..\..\..\..\..\..\..\..\Documents\Actas%20de%20liquidaci&#243;n%20aprobados\LIQUIDACIONES%202015\140236.pdf" TargetMode="External"/><Relationship Id="rId192" Type="http://schemas.openxmlformats.org/officeDocument/2006/relationships/hyperlink" Target="file:///\\cbprint\..\..\..\..\..\..\..\..\Documents\Actas%20de%20liquidaci&#243;n%20aprobados\LIQUIDACIONES%202015\140216-%20UNP.pdf" TargetMode="External"/><Relationship Id="rId206" Type="http://schemas.openxmlformats.org/officeDocument/2006/relationships/hyperlink" Target="file:///\\cbprint\..\..\..\..\..\..\..\..\Documents\Actas%20de%20liquidaci&#243;n%20aprobados\LIQUIDACIONES%202015\140334-%20EL%20GLOBO.pdf" TargetMode="External"/><Relationship Id="rId227" Type="http://schemas.openxmlformats.org/officeDocument/2006/relationships/hyperlink" Target="file:///\\cbprint\..\..\..\..\..\..\..\..\Documents\Actas%20de%20liquidaci&#243;n%20aprobados\LIQUIDACIONES%202015\160087-%20FACTOR%20VISUAL.pdf" TargetMode="External"/><Relationship Id="rId413" Type="http://schemas.openxmlformats.org/officeDocument/2006/relationships/hyperlink" Target="../../AppData/Roaming/Microsoft/Documents/BACKUP%20DOCUMENTOS%20MAR/Actas%20de%20liquidaci&#243;n%20aprobados/2017/170298-%20PUBLICACIONES%20SEMANA.pdf" TargetMode="External"/><Relationship Id="rId248" Type="http://schemas.openxmlformats.org/officeDocument/2006/relationships/hyperlink" Target="file:///\\cbprint\..\..\..\..\..\..\..\..\Documents\Actas%20de%20liquidaci&#243;n%20aprobados\LIQUIDACIONES%202015\160273-%20ETB.pdf" TargetMode="External"/><Relationship Id="rId269" Type="http://schemas.openxmlformats.org/officeDocument/2006/relationships/hyperlink" Target="file:///\\cbprint\Documents\BACKUP%20DOCUMENTOS%20MAR\Actas%20de%20liquidaci&#243;n%20aprobados\2016\160185-%20EDER%20CASTIBLANCO.pdf" TargetMode="External"/><Relationship Id="rId12" Type="http://schemas.openxmlformats.org/officeDocument/2006/relationships/hyperlink" Target="file:///\\cbprint\..\..\..\..\..\..\..\..\Documents\Actas%20de%20liquidaci&#243;n%20aprobados\LIQUIDACIONES%202015\150189-%20UNIPLES.pdf" TargetMode="External"/><Relationship Id="rId33" Type="http://schemas.openxmlformats.org/officeDocument/2006/relationships/hyperlink" Target="file:///\\cbprint\..\..\..\..\..\..\..\..\Documents\Actas%20de%20liquidaci&#243;n%20aprobados\LIQUIDACIONES%202015\15369-%20DANIEL%20JOSE%20MORALES.pdf" TargetMode="External"/><Relationship Id="rId108" Type="http://schemas.openxmlformats.org/officeDocument/2006/relationships/hyperlink" Target="file:///\\cbprint\..\..\..\..\..\..\..\..\Documents\Actas%20de%20liquidaci&#243;n%20aprobados\LIQUIDACIONES%202015\160145-%20INTELLIGENT.pdf" TargetMode="External"/><Relationship Id="rId129" Type="http://schemas.openxmlformats.org/officeDocument/2006/relationships/hyperlink" Target="file:///\\cbprint\..\..\..\..\..\..\..\..\Documents\Actas%20de%20liquidaci&#243;n%20aprobados\130286-0-2013%20-%20Acta%20de%20liquidaci&#243;n%20-ok.pdf" TargetMode="External"/><Relationship Id="rId280" Type="http://schemas.openxmlformats.org/officeDocument/2006/relationships/hyperlink" Target="file:///\\cbprint\Documents\Actas%20de%20liquidaci&#243;n%20aprobados\2015\150340-%20RICOH%20COLOMBIA.pdf" TargetMode="External"/><Relationship Id="rId315" Type="http://schemas.openxmlformats.org/officeDocument/2006/relationships/hyperlink" Target="file:///\\cbprint\Documents\Actas%20de%20liquidaci&#243;n%20aprobados\2008-2012\120000-436-0-2011%20D&amp;D%20AIRE%20ACONDICIONADO.pdf" TargetMode="External"/><Relationship Id="rId336" Type="http://schemas.openxmlformats.org/officeDocument/2006/relationships/hyperlink" Target="file:///\\cbprint\..\..\..\..\Documents\Actas%20de%20liquidaci&#243;n%20aprobados\2013\130372-%20VICTOR%20ARMENLLA.pdf" TargetMode="External"/><Relationship Id="rId357" Type="http://schemas.openxmlformats.org/officeDocument/2006/relationships/hyperlink" Target="file:///\\cbprint\Documents\BACKUP%20DOCUMENTOS%20MAR\Actas%20de%20liquidaci&#243;n%20aprobados\2017\170148-%20ARANDA%20SOFTWARE.pdf" TargetMode="External"/><Relationship Id="rId54" Type="http://schemas.openxmlformats.org/officeDocument/2006/relationships/hyperlink" Target="file:///\\cbprint\..\..\..\..\..\..\..\..\Documents\Actas%20de%20liquidaci&#243;n%20aprobados\LIQUIDACIONES%202015\160293-ANGELA%20LIZETH%20PE&#209;A.pdf" TargetMode="External"/><Relationship Id="rId75" Type="http://schemas.openxmlformats.org/officeDocument/2006/relationships/hyperlink" Target="file:///\\cbprint\..\..\..\..\..\..\..\..\Documents\Actas%20de%20liquidaci&#243;n%20aprobados\LIQUIDACIONES%202015\160141-%20MARTHA%20TAPIA.pdf" TargetMode="External"/><Relationship Id="rId96" Type="http://schemas.openxmlformats.org/officeDocument/2006/relationships/hyperlink" Target="file:///\\cbprint\..\..\..\..\..\..\..\..\Documents\Actas%20de%20liquidaci&#243;n%20aprobados\140190-0-2014%20-%20ok.pdf" TargetMode="External"/><Relationship Id="rId140" Type="http://schemas.openxmlformats.org/officeDocument/2006/relationships/hyperlink" Target="file:///\\cbprint\..\..\..\..\..\..\..\..\Documents\Actas%20de%20liquidaci&#243;n%20aprobados\Acta%20de%20Liquidaci&#243;n%20Contrato%20130200-0-2013%20-ok.pdf" TargetMode="External"/><Relationship Id="rId161" Type="http://schemas.openxmlformats.org/officeDocument/2006/relationships/hyperlink" Target="file:///\\cbprint\..\..\..\..\..\..\..\..\Documents\Actas%20de%20liquidaci&#243;n%20aprobados\LIQUIDACION%20CTO%20120000-453-0-2012%20HERNANDO%20BULLA%20-%20ok.pdf" TargetMode="External"/><Relationship Id="rId182" Type="http://schemas.openxmlformats.org/officeDocument/2006/relationships/hyperlink" Target="file:///\\cbprint\..\..\..\..\..\..\..\..\Documents\Actas%20de%20liquidaci&#243;n%20aprobados\LIQUIDACIONES%202015\150281-%20HUGO%20FERNANDO.pdf" TargetMode="External"/><Relationship Id="rId217" Type="http://schemas.openxmlformats.org/officeDocument/2006/relationships/hyperlink" Target="file:///\\cbprint\..\..\..\..\..\..\..\..\Documents\Actas%20de%20liquidaci&#243;n%20aprobados\LIQUIDACIONES%202015\150168-%20MONRAK%20INGENIERIA.pdf" TargetMode="External"/><Relationship Id="rId378" Type="http://schemas.openxmlformats.org/officeDocument/2006/relationships/hyperlink" Target="file:///\\cbprint\Documents\BACKUP%20DOCUMENTOS%20MAR\Actas%20de%20liquidaci&#243;n%20aprobados\2013\130361-%20ANDREA%20SUSANA%20BELLO.pdf" TargetMode="External"/><Relationship Id="rId399" Type="http://schemas.openxmlformats.org/officeDocument/2006/relationships/hyperlink" Target="file:///\\cbprint\Documents\BACKUP%20DOCUMENTOS%20MAR\Actas%20de%20liquidaci&#243;n%20aprobados\2018\180371-%20PANAMERICANA.pdf" TargetMode="External"/><Relationship Id="rId403" Type="http://schemas.openxmlformats.org/officeDocument/2006/relationships/hyperlink" Target="file:///\\cbprint\Documents\BACKUP%20DOCUMENTOS%20MAR\Actas%20de%20liquidaci&#243;n%20aprobados\2018\180182-%20SGS%20COLOMBIA.pdf" TargetMode="External"/><Relationship Id="rId6" Type="http://schemas.openxmlformats.org/officeDocument/2006/relationships/hyperlink" Target="file:///\\cbprint\..\..\..\..\..\..\..\..\Documents\Actas%20de%20liquidaci&#243;n%20aprobados\LIQUIDACIONES%202015\150067-%20WIESNER%20ROBAYO.pdf" TargetMode="External"/><Relationship Id="rId238" Type="http://schemas.openxmlformats.org/officeDocument/2006/relationships/hyperlink" Target="file:///\\cbprint\..\..\..\..\..\..\..\..\Documents\Actas%20de%20liquidaci&#243;n%20aprobados\LIQUIDACIONES%202015\160319-%20NEX%20COMPUTER.pdf" TargetMode="External"/><Relationship Id="rId259" Type="http://schemas.openxmlformats.org/officeDocument/2006/relationships/hyperlink" Target="file:///\\cbprint\Documents\Actas%20de%20liquidaci&#243;n%20aprobados\LIQUIDACIONES%202015\170251-%20DELIGREIZ%20SUAREZ.pdf" TargetMode="External"/><Relationship Id="rId424" Type="http://schemas.openxmlformats.org/officeDocument/2006/relationships/hyperlink" Target="../../AppData/Roaming/Documents/BACKUP%20DOCUMENTOS%20MAR/Actas%20de%20liquidaci&#243;n%20aprobados/2008-2012/120000-368-0-2012%20EMINSER%20SOLO%20ASEO.pdf" TargetMode="External"/><Relationship Id="rId23" Type="http://schemas.openxmlformats.org/officeDocument/2006/relationships/hyperlink" Target="file:///\\cbprint\..\..\..\..\..\..\..\..\Documents\Actas%20de%20liquidaci&#243;n%20aprobados\LIQUIDACIONES%202015\150276-%20JAVIER%20JATIVA.pdf" TargetMode="External"/><Relationship Id="rId119" Type="http://schemas.openxmlformats.org/officeDocument/2006/relationships/hyperlink" Target="file:///\\cbprint\..\..\..\..\..\..\..\..\Documents\Actas%20de%20liquidaci&#243;n%20aprobados\130139-0-2013%20-%20Acta%20de%20liquidaci&#243;n%20-ok.pdf" TargetMode="External"/><Relationship Id="rId270" Type="http://schemas.openxmlformats.org/officeDocument/2006/relationships/hyperlink" Target="file:///\\cbprint\Documents\Actas%20de%20liquidaci&#243;n%20aprobados\2016\160156-%20MEDALLAS%20COLOMBIANAS.pdf" TargetMode="External"/><Relationship Id="rId291" Type="http://schemas.openxmlformats.org/officeDocument/2006/relationships/hyperlink" Target="file:///\\cbprint\Documents\Actas%20de%20liquidaci&#243;n%20aprobados\2017\170308-%20VALORACIONES.pdf" TargetMode="External"/><Relationship Id="rId305" Type="http://schemas.openxmlformats.org/officeDocument/2006/relationships/hyperlink" Target="file:///\\cbprint\Documents\Actas%20de%20liquidaci&#243;n%20aprobados\2008-2012\120000-490-0-2012%20AQUANATURA.pdf" TargetMode="External"/><Relationship Id="rId326" Type="http://schemas.openxmlformats.org/officeDocument/2006/relationships/hyperlink" Target="file:///\\cbprint\..\..\..\..\Documents\Actas%20de%20liquidaci&#243;n%20aprobados\2014\140160-%20NORMA%20MESA.pdf" TargetMode="External"/><Relationship Id="rId347" Type="http://schemas.openxmlformats.org/officeDocument/2006/relationships/hyperlink" Target="file:///\\cbprint\Documents\Actas%20de%20liquidaci&#243;n%20aprobados\2017\170320-%20UNP.pdf" TargetMode="External"/><Relationship Id="rId44" Type="http://schemas.openxmlformats.org/officeDocument/2006/relationships/hyperlink" Target="file:///\\cbprint\..\..\..\..\..\..\..\..\Documents\Actas%20de%20liquidaci&#243;n%20aprobados\LIQUIDACIONES%202015\140233-%20ELKIN%20DIMAS.pdf" TargetMode="External"/><Relationship Id="rId65" Type="http://schemas.openxmlformats.org/officeDocument/2006/relationships/hyperlink" Target="file:///\\cbprint\..\..\..\..\..\..\..\..\Documents\Actas%20de%20liquidaci&#243;n%20aprobados\LIQUIDACIONES%202015\160216-%20DANIELA%20ANTOLINEZ.pdf" TargetMode="External"/><Relationship Id="rId86" Type="http://schemas.openxmlformats.org/officeDocument/2006/relationships/hyperlink" Target="file:///\\cbprint\..\..\..\..\..\..\..\..\Documents\Actas%20de%20liquidaci&#243;n%20aprobados\LIQUIDACIONES%202015\160112-%20WIESNER%20FABIAN%20ROBAYO.pdf" TargetMode="External"/><Relationship Id="rId130" Type="http://schemas.openxmlformats.org/officeDocument/2006/relationships/hyperlink" Target="file:///\\cbprint\..\..\..\..\..\..\..\..\Documents\Actas%20de%20liquidaci&#243;n%20aprobados\130334-0-2013%20Acta%20de%20liquidaci&#243;n%20-%20ok.pdf" TargetMode="External"/><Relationship Id="rId151" Type="http://schemas.openxmlformats.org/officeDocument/2006/relationships/hyperlink" Target="file:///\\cbprint\..\..\..\..\..\..\..\..\Documents\Actas%20de%20liquidaci&#243;n%20aprobados\LIQUIDACION%20120000-504-0-2012%20GRUPO%20LOS%20LAGOS%20SAS%20(2)%20-%20ok.pdf" TargetMode="External"/><Relationship Id="rId368" Type="http://schemas.openxmlformats.org/officeDocument/2006/relationships/hyperlink" Target="file:///\\cbprint\Documents\BACKUP%20DOCUMENTOS%20MAR\Actas%20de%20liquidaci&#243;n%20aprobados\2017\170359-%20DELL%20COLOMBIA.pdf" TargetMode="External"/><Relationship Id="rId389" Type="http://schemas.openxmlformats.org/officeDocument/2006/relationships/hyperlink" Target="file:///\\cbprint\Documents\BACKUP%20DOCUMENTOS%20MAR\Actas%20de%20liquidaci&#243;n%20aprobados\2016\160127-%20SECURITYCOM%20SAS.pdf" TargetMode="External"/><Relationship Id="rId172" Type="http://schemas.openxmlformats.org/officeDocument/2006/relationships/hyperlink" Target="file:///\\cbprint\..\..\..\..\..\..\..\..\Documents\Actas%20de%20liquidaci&#243;n%20aprobados\LIQUIDACIONES%202015\140249.pdf" TargetMode="External"/><Relationship Id="rId193" Type="http://schemas.openxmlformats.org/officeDocument/2006/relationships/hyperlink" Target="file:///\\cbprint\..\..\..\..\..\..\..\..\Documents\Actas%20de%20liquidaci&#243;n%20aprobados\LIQUIDACIONES%202015\140274-%20PUBLICACIONES%20SEMANA.pdf" TargetMode="External"/><Relationship Id="rId207" Type="http://schemas.openxmlformats.org/officeDocument/2006/relationships/hyperlink" Target="file:///\\cbprint\..\..\..\..\..\..\..\..\Documents\Actas%20de%20liquidaci&#243;n%20aprobados\LIQUIDACIONES%202015\140418-%20CENTURY.pdf" TargetMode="External"/><Relationship Id="rId228" Type="http://schemas.openxmlformats.org/officeDocument/2006/relationships/hyperlink" Target="file:///\\cbprint\..\..\..\..\..\..\..\..\Documents\Actas%20de%20liquidaci&#243;n%20aprobados\LIQUIDACIONES%202015\160215-%20DIDIER%20ESTEVEZ.pdf" TargetMode="External"/><Relationship Id="rId249" Type="http://schemas.openxmlformats.org/officeDocument/2006/relationships/hyperlink" Target="file:///\\cbprint\..\..\..\..\..\..\..\..\Documents\Actas%20de%20liquidaci&#243;n%20aprobados\LIQUIDACIONES%202015\160170-%20UT%20RGV.pdf" TargetMode="External"/><Relationship Id="rId414" Type="http://schemas.openxmlformats.org/officeDocument/2006/relationships/hyperlink" Target="../../AppData/Roaming/Microsoft/Documents/BACKUP%20DOCUMENTOS%20MAR/Actas%20de%20liquidaci&#243;n%20aprobados/2017/170275-%20ALIADOS%20DE%20COLOMBIA.pdf" TargetMode="External"/><Relationship Id="rId13" Type="http://schemas.openxmlformats.org/officeDocument/2006/relationships/hyperlink" Target="file:///\\cbprint\..\..\..\..\..\..\..\..\Documents\Actas%20de%20liquidaci&#243;n%20aprobados\LIQUIDACIONES%202015\150221-%20SGS%20COLOMBIA.pdf" TargetMode="External"/><Relationship Id="rId109" Type="http://schemas.openxmlformats.org/officeDocument/2006/relationships/hyperlink" Target="file:///\\cbprint\..\..\..\..\..\..\..\..\Documents\Actas%20de%20liquidaci&#243;n%20aprobados\LIQUIDACIONES%202015\150308-%20ARANDA%20SOFTWARE.pdf" TargetMode="External"/><Relationship Id="rId260" Type="http://schemas.openxmlformats.org/officeDocument/2006/relationships/hyperlink" Target="file:///\\cbprint\Documents\Actas%20de%20liquidaci&#243;n%20aprobados\LIQUIDACIONES%202015\170195-%20JHON%20SUAREZ.pdf" TargetMode="External"/><Relationship Id="rId281" Type="http://schemas.openxmlformats.org/officeDocument/2006/relationships/hyperlink" Target="file:///\\cbprint\Documents\Actas%20de%20liquidaci&#243;n%20aprobados\2017\170041-%20SOLUCIONES%20ICG%20SAS.pdf" TargetMode="External"/><Relationship Id="rId316" Type="http://schemas.openxmlformats.org/officeDocument/2006/relationships/hyperlink" Target="file:///\\cbprint\Documents\Actas%20de%20liquidaci&#243;n%20aprobados\2008-2012\120000-307-0-2011%20-%20ELECTRIMEK%20LTDA.pdf" TargetMode="External"/><Relationship Id="rId337" Type="http://schemas.openxmlformats.org/officeDocument/2006/relationships/hyperlink" Target="file:///\\cbprint\..\..\..\..\Documents\Actas%20de%20liquidaci&#243;n%20aprobados\2008-2012\50000-348-0-2012-%20PUBLICACIONES%20SEMANA.pdf" TargetMode="External"/><Relationship Id="rId34" Type="http://schemas.openxmlformats.org/officeDocument/2006/relationships/hyperlink" Target="file:///\\cbprint\..\..\..\..\..\..\..\..\Documents\Actas%20de%20liquidaci&#243;n%20aprobados\LIQUIDACIONES%202015\160041-%20DPC.pdf" TargetMode="External"/><Relationship Id="rId55" Type="http://schemas.openxmlformats.org/officeDocument/2006/relationships/hyperlink" Target="file:///\\cbprint\..\..\..\..\..\..\..\..\Documents\Actas%20de%20liquidaci&#243;n%20aprobados\LIQUIDACIONES%202015\160144-0ELENCO.pdf" TargetMode="External"/><Relationship Id="rId76" Type="http://schemas.openxmlformats.org/officeDocument/2006/relationships/hyperlink" Target="file:///\\cbprint\..\..\..\..\..\..\..\..\Documents\Actas%20de%20liquidaci&#243;n%20aprobados\LIQUIDACIONES%202015\160148-%20SANDRA%20MARCELA%20ROJAS.pdf" TargetMode="External"/><Relationship Id="rId97" Type="http://schemas.openxmlformats.org/officeDocument/2006/relationships/hyperlink" Target="file:///\\cbprint\..\..\..\..\..\..\..\..\Documents\Actas%20de%20liquidaci&#243;n%20aprobados\LIQUIDACIONES%202015\140315-%20PROSEGUR.pdf" TargetMode="External"/><Relationship Id="rId120" Type="http://schemas.openxmlformats.org/officeDocument/2006/relationships/hyperlink" Target="file:///\\cbprint\..\..\..\..\..\..\..\..\Documents\Actas%20de%20liquidaci&#243;n%20aprobados\130141-0-2013%20-%20Acta%20de%20liquidaci&#243;n%20-%20ok.pdf" TargetMode="External"/><Relationship Id="rId141" Type="http://schemas.openxmlformats.org/officeDocument/2006/relationships/hyperlink" Target="file:///\\cbprint\..\..\..\..\..\..\..\..\Documents\Actas%20de%20liquidaci&#243;n%20aprobados\ACTA%20DE%20LIQUIDACION%20CONTRATO%20130346-0-2013%20-%20ok.pdf" TargetMode="External"/><Relationship Id="rId358" Type="http://schemas.openxmlformats.org/officeDocument/2006/relationships/hyperlink" Target="file:///\\cbprint\Documents\BACKUP%20DOCUMENTOS%20MAR\Actas%20de%20liquidaci&#243;n%20aprobados\2017\170152-%20MEDICAL%20PROTECTION.pdf" TargetMode="External"/><Relationship Id="rId379" Type="http://schemas.openxmlformats.org/officeDocument/2006/relationships/hyperlink" Target="file:///\\cbprint\Documents\BACKUP%20DOCUMENTOS%20MAR\Actas%20de%20liquidaci&#243;n%20aprobados\2013\130340-%20RIELCO.pdf" TargetMode="External"/><Relationship Id="rId7" Type="http://schemas.openxmlformats.org/officeDocument/2006/relationships/hyperlink" Target="file:///\\cbprint\..\..\..\..\..\..\..\..\Documents\Actas%20de%20liquidaci&#243;n%20aprobados\150073-%20ELVIN%20ALEXANDER.pdf" TargetMode="External"/><Relationship Id="rId162" Type="http://schemas.openxmlformats.org/officeDocument/2006/relationships/hyperlink" Target="file:///\\cbprint\..\..\..\..\..\..\..\..\Documents\Actas%20de%20liquidaci&#243;n%20aprobados\LIQUIDACION%20CTO%20130154-0-2013%20MUDANZAS%20LEMUS%20-%20ok.pdf" TargetMode="External"/><Relationship Id="rId183" Type="http://schemas.openxmlformats.org/officeDocument/2006/relationships/hyperlink" Target="file:///\\cbprint\..\..\..\..\..\..\..\..\Documents\Actas%20de%20liquidaci&#243;n%20aprobados\LIQUIDACIONES%202015\160089-%20UNIPLES.pdf" TargetMode="External"/><Relationship Id="rId218" Type="http://schemas.openxmlformats.org/officeDocument/2006/relationships/hyperlink" Target="file:///\\cbprint\..\..\..\..\..\..\..\..\Documents\Actas%20de%20liquidaci&#243;n%20aprobados\LIQUIDACIONES%202015\150193-%20SOPT.pdf" TargetMode="External"/><Relationship Id="rId239" Type="http://schemas.openxmlformats.org/officeDocument/2006/relationships/hyperlink" Target="file:///\\cbprint\..\..\..\..\..\..\..\..\Documents\Actas%20de%20liquidaci&#243;n%20aprobados\LIQUIDACIONES%202015\160195-%20SOLUCIONES%20INTEGRALES%20MJ.pdf" TargetMode="External"/><Relationship Id="rId390" Type="http://schemas.openxmlformats.org/officeDocument/2006/relationships/hyperlink" Target="file:///\\cbprint\Documents\BACKUP%20DOCUMENTOS%20MAR\Actas%20de%20liquidaci&#243;n%20aprobados\2016\160163-%20LUIS%20CARVAJALINO.pdf" TargetMode="External"/><Relationship Id="rId404" Type="http://schemas.openxmlformats.org/officeDocument/2006/relationships/hyperlink" Target="file:///\\cbprint\Documents\BACKUP%20DOCUMENTOS%20MAR\Actas%20de%20liquidaci&#243;n%20aprobados\2017\170059-%20HERNADO%20BULLA.pdf" TargetMode="External"/><Relationship Id="rId425" Type="http://schemas.openxmlformats.org/officeDocument/2006/relationships/hyperlink" Target="../../AppData/Roaming/Documents/BACKUP%20DOCUMENTOS%20MAR/Actas%20de%20liquidaci&#243;n%20aprobados/2017/170231-%20ROYAL%20PARK.pdf" TargetMode="External"/><Relationship Id="rId250" Type="http://schemas.openxmlformats.org/officeDocument/2006/relationships/hyperlink" Target="file:///\\cbprint\..\..\..\..\..\..\..\..\Documents\Actas%20de%20liquidaci&#243;n%20aprobados\LIQUIDACIONES%202015\170214-%20SGS.pdf" TargetMode="External"/><Relationship Id="rId271" Type="http://schemas.openxmlformats.org/officeDocument/2006/relationships/hyperlink" Target="file:///\\cbprint\Documents\Actas%20de%20liquidaci&#243;n%20aprobados\2016\160178-%20RIELCO.pdf" TargetMode="External"/><Relationship Id="rId292" Type="http://schemas.openxmlformats.org/officeDocument/2006/relationships/hyperlink" Target="file:///\\cbprint\Documents\BACKUP%20DOCUMENTOS%20MAR\Actas%20de%20liquidaci&#243;n%20aprobados\2015\150322-%20GREEN%20TIC.pdf" TargetMode="External"/><Relationship Id="rId306" Type="http://schemas.openxmlformats.org/officeDocument/2006/relationships/hyperlink" Target="file:///\\cbprint\Documents\Actas%20de%20liquidaci&#243;n%20aprobados\2013\130161-%20AUGUSTO%20MENDILVIESO.pdf" TargetMode="External"/><Relationship Id="rId24" Type="http://schemas.openxmlformats.org/officeDocument/2006/relationships/hyperlink" Target="file:///\\cbprint\..\..\..\..\..\..\..\..\Documents\Actas%20de%20liquidaci&#243;n%20aprobados\LIQUIDACIONES%202015\150279-%20WILLIAM%20QUINTERO.pdf" TargetMode="External"/><Relationship Id="rId45" Type="http://schemas.openxmlformats.org/officeDocument/2006/relationships/hyperlink" Target="file:///\\cbprint\..\..\..\..\..\..\..\..\Documents\Actas%20de%20liquidaci&#243;n%20aprobados\LIQUIDACIONES%202015\150405-%20PROSEGUR.pdf" TargetMode="External"/><Relationship Id="rId66" Type="http://schemas.openxmlformats.org/officeDocument/2006/relationships/hyperlink" Target="file:///\\cbprint\..\..\..\..\..\..\..\..\Documents\Actas%20de%20liquidaci&#243;n%20aprobados\LIQUIDACIONES%202015\160076-%20EDGAR%20E.%20GONZALEZ.pdf" TargetMode="External"/><Relationship Id="rId87" Type="http://schemas.openxmlformats.org/officeDocument/2006/relationships/hyperlink" Target="file:///\\cbprint\..\..\..\..\..\..\..\..\Documents\Actas%20de%20liquidaci&#243;n%20aprobados\LIQUIDACIONES%202015\160162-%20JULIO%20ANDRES%20SANCHEZ.pdf" TargetMode="External"/><Relationship Id="rId110" Type="http://schemas.openxmlformats.org/officeDocument/2006/relationships/hyperlink" Target="file:///\\cbprint\..\..\..\..\..\..\..\..\Documents\Actas%20de%20liquidaci&#243;n%20aprobados\LIQUIDACIONES%202015\160137-%20LAURA%20VILLARRAGA.pdf" TargetMode="External"/><Relationship Id="rId131" Type="http://schemas.openxmlformats.org/officeDocument/2006/relationships/hyperlink" Target="file:///\\cbprint\..\..\..\..\..\..\..\..\Documents\Actas%20de%20liquidaci&#243;n%20aprobados\130363-0-2013%20-%20Acta%20de%20liquidaci&#243;n%20-%20ok.pdf" TargetMode="External"/><Relationship Id="rId327" Type="http://schemas.openxmlformats.org/officeDocument/2006/relationships/hyperlink" Target="file:///\\cbprint\..\..\..\..\Documents\Actas%20de%20liquidaci&#243;n%20aprobados\2014\140168-%20JORGE%20TRUJILLO.pdf" TargetMode="External"/><Relationship Id="rId348" Type="http://schemas.openxmlformats.org/officeDocument/2006/relationships/hyperlink" Target="file:///\\cbprint\Documents\Actas%20de%20liquidaci&#243;n%20aprobados\2017\170204-%20JESUS%20AGUAS.pdf" TargetMode="External"/><Relationship Id="rId369" Type="http://schemas.openxmlformats.org/officeDocument/2006/relationships/hyperlink" Target="file:///\\cbprint\Documents\BACKUP%20DOCUMENTOS%20MAR\Actas%20de%20liquidaci&#243;n%20aprobados\2017\170368-%20ZILL%20BUSINESS.pdf" TargetMode="External"/><Relationship Id="rId152" Type="http://schemas.openxmlformats.org/officeDocument/2006/relationships/hyperlink" Target="file:///\\cbprint\..\..\..\..\..\..\..\..\Documents\Actas%20de%20liquidaci&#243;n%20aprobados\LIQUIDACION%20130265-02013%20TECNOLOGIA%20BIOMEDICA%20SUMINISTROS%20-%20ok.pdf" TargetMode="External"/><Relationship Id="rId173" Type="http://schemas.openxmlformats.org/officeDocument/2006/relationships/hyperlink" Target="file:///\\cbprint\..\..\..\..\..\..\..\..\Documents\Actas%20de%20liquidaci&#243;n%20aprobados\LIQUIDACIONES%202015\140279.pdf" TargetMode="External"/><Relationship Id="rId194" Type="http://schemas.openxmlformats.org/officeDocument/2006/relationships/hyperlink" Target="file:///\\cbprint\..\..\..\..\..\..\..\..\Documents\Actas%20de%20liquidaci&#243;n%20aprobados\LIQUIDACIONES%202015\140281-%20SUPERIOR%20DE%20DOTACIONES.pdf" TargetMode="External"/><Relationship Id="rId208" Type="http://schemas.openxmlformats.org/officeDocument/2006/relationships/hyperlink" Target="file:///\\cbprint\..\..\..\..\..\..\..\..\Documents\Actas%20de%20liquidaci&#243;n%20aprobados\LIQUIDACIONES%202015\140369-%20ICONTEC.pdf" TargetMode="External"/><Relationship Id="rId229" Type="http://schemas.openxmlformats.org/officeDocument/2006/relationships/hyperlink" Target="file:///\\cbprint\..\..\..\..\..\..\..\..\Documents\Actas%20de%20liquidaci&#243;n%20aprobados\LIQUIDACIONES%202015\160260-%20MAP%20ING..pdf" TargetMode="External"/><Relationship Id="rId380" Type="http://schemas.openxmlformats.org/officeDocument/2006/relationships/hyperlink" Target="file:///\\cbprint\Documents\BACKUP%20DOCUMENTOS%20MAR\Actas%20de%20liquidaci&#243;n%20aprobados\2013\130368-%20NEX%20COMPUTER.pdf" TargetMode="External"/><Relationship Id="rId415" Type="http://schemas.openxmlformats.org/officeDocument/2006/relationships/hyperlink" Target="../../AppData/Roaming/Microsoft/Documents/BACKUP%20DOCUMENTOS%20MAR/Actas%20de%20liquidaci&#243;n%20aprobados/2017/170233-%20EDITORIAL%20LA%20UNIDAD.pdf" TargetMode="External"/><Relationship Id="rId240" Type="http://schemas.openxmlformats.org/officeDocument/2006/relationships/hyperlink" Target="file:///\\cbprint\..\..\..\..\..\..\..\..\Documents\Actas%20de%20liquidaci&#243;n%20aprobados\LIQUIDACIONES%202015\170114-%20KHAANKO%20RUIZ.pdf" TargetMode="External"/><Relationship Id="rId261" Type="http://schemas.openxmlformats.org/officeDocument/2006/relationships/hyperlink" Target="file:///\\cbprint\Documents\Actas%20de%20liquidaci&#243;n%20aprobados\LIQUIDACIONES%202015\160188-%20SOLUTION%20COPY.pdf" TargetMode="External"/><Relationship Id="rId14" Type="http://schemas.openxmlformats.org/officeDocument/2006/relationships/hyperlink" Target="file:///\\cbprint\..\..\..\..\..\..\..\..\Documents\Actas%20de%20liquidaci&#243;n%20aprobados\LIQUIDACIONES%202015\150214-%20CARLOS%20FERNANDO%20IBARRA.pdf" TargetMode="External"/><Relationship Id="rId35" Type="http://schemas.openxmlformats.org/officeDocument/2006/relationships/hyperlink" Target="file:///\\cbprint\..\..\..\..\..\..\..\..\Documents\Actas%20de%20liquidaci&#243;n%20aprobados\LIQUIDACIONES%202015\150129-0-2015%20DIEGO%20ALEJANDRO%20RUBIO.pdf" TargetMode="External"/><Relationship Id="rId56" Type="http://schemas.openxmlformats.org/officeDocument/2006/relationships/hyperlink" Target="file:///\\cbprint\..\..\..\..\..\..\..\..\Documents\Actas%20de%20liquidaci&#243;n%20aprobados\LIQUIDACIONES%202015\150223-SECURITYCOM%20SAS.pdf" TargetMode="External"/><Relationship Id="rId77" Type="http://schemas.openxmlformats.org/officeDocument/2006/relationships/hyperlink" Target="file:///\\cbprint\..\..\..\..\..\..\..\..\Documents\Actas%20de%20liquidaci&#243;n%20aprobados\LIQUIDACIONES%202015\150225-%20TV%20ANDINA.pdf" TargetMode="External"/><Relationship Id="rId100" Type="http://schemas.openxmlformats.org/officeDocument/2006/relationships/hyperlink" Target="file:///\\cbprint\..\..\..\..\..\..\..\..\Documents\Actas%20de%20liquidaci&#243;n%20aprobados\LIQUIDACIONES%202015\140306-%20LINALCA.pdf" TargetMode="External"/><Relationship Id="rId282" Type="http://schemas.openxmlformats.org/officeDocument/2006/relationships/hyperlink" Target="file:///\\cbprint\Documents\Actas%20de%20liquidaci&#243;n%20aprobados\2017\170216-%20TECNOLOGIA%20BIOMEDICA.pdf" TargetMode="External"/><Relationship Id="rId317" Type="http://schemas.openxmlformats.org/officeDocument/2006/relationships/hyperlink" Target="file:///\\cbprint\..\..\..\..\Documents\Actas%20de%20liquidaci&#243;n%20aprobados\2016\160238-%20LA%20UNIDAD.pdf" TargetMode="External"/><Relationship Id="rId338" Type="http://schemas.openxmlformats.org/officeDocument/2006/relationships/hyperlink" Target="https://www.colombiacompra.gov.co/sites/cce_public/files/documentos_adicionales_oc/informe_final_de_supervision_cto_170337-0-2017.pdf" TargetMode="External"/><Relationship Id="rId359" Type="http://schemas.openxmlformats.org/officeDocument/2006/relationships/hyperlink" Target="file:///\\cbprint\Documents\BACKUP%20DOCUMENTOS%20MAR\Actas%20de%20liquidaci&#243;n%20aprobados\2017\170145-%20COLSOFT.pdf" TargetMode="External"/><Relationship Id="rId8" Type="http://schemas.openxmlformats.org/officeDocument/2006/relationships/hyperlink" Target="file:///\\cbprint\..\..\..\..\..\..\..\..\Documents\Actas%20de%20liquidaci&#243;n%20aprobados\LIQUIDACIONES%202015\150198-%20UNP.pdf" TargetMode="External"/><Relationship Id="rId98" Type="http://schemas.openxmlformats.org/officeDocument/2006/relationships/hyperlink" Target="file:///\\cbprint\..\..\..\..\..\..\..\..\Documents\Actas%20de%20liquidaci&#243;n%20aprobados\LIQUIDACIONES%202015\140317.pdf" TargetMode="External"/><Relationship Id="rId121" Type="http://schemas.openxmlformats.org/officeDocument/2006/relationships/hyperlink" Target="file:///\\cbprint\..\..\..\..\..\..\..\..\Documents\Actas%20de%20liquidaci&#243;n%20aprobados\130162-0-2013%20-%20Acta%20de%20liquidaci&#243;n.pdf" TargetMode="External"/><Relationship Id="rId142" Type="http://schemas.openxmlformats.org/officeDocument/2006/relationships/hyperlink" Target="file:///\\cbprint\..\..\..\..\..\..\..\..\Documents\Actas%20de%20liquidaci&#243;n%20aprobados\Acta%20de%20Liquidaci&#243;n%20del%20Contrato%20120000-396-0-2012%20-%20ok.pdf" TargetMode="External"/><Relationship Id="rId163" Type="http://schemas.openxmlformats.org/officeDocument/2006/relationships/hyperlink" Target="file:///\\cbprint\..\..\..\..\..\..\..\..\Documents\Actas%20de%20liquidaci&#243;n%20aprobados\LIQUIDACION%20CTO%20130190-0-2013%20CR%20TROFEOS%20LTDA%20-%20ok.pdf" TargetMode="External"/><Relationship Id="rId184" Type="http://schemas.openxmlformats.org/officeDocument/2006/relationships/hyperlink" Target="file:///\\cbprint\..\..\..\..\..\..\..\..\Documents\Actas%20de%20liquidaci&#243;n%20aprobados\LIQUIDACIONES%202015\140319-%20TEVEANDINA.pdf" TargetMode="External"/><Relationship Id="rId219" Type="http://schemas.openxmlformats.org/officeDocument/2006/relationships/hyperlink" Target="file:///\\cbprint\..\..\..\..\..\..\..\..\Documents\Actas%20de%20liquidaci&#243;n%20aprobados\LIQUIDACIONES%202015\150274-%20MANUEL%20MALDONADO.pdf" TargetMode="External"/><Relationship Id="rId370" Type="http://schemas.openxmlformats.org/officeDocument/2006/relationships/hyperlink" Target="file:///\\cbprint\Documents\BACKUP%20DOCUMENTOS%20MAR\Actas%20de%20liquidaci&#243;n%20aprobados\2017\170369-%20NUEVA%20ERA%20SOLUCIONES.pdf" TargetMode="External"/><Relationship Id="rId391" Type="http://schemas.openxmlformats.org/officeDocument/2006/relationships/hyperlink" Target="file:///\\cbprint\Documents\BACKUP%20DOCUMENTOS%20MAR\Actas%20de%20liquidaci&#243;n%20aprobados\2016\160317-%20INARDEX.pdf" TargetMode="External"/><Relationship Id="rId405" Type="http://schemas.openxmlformats.org/officeDocument/2006/relationships/hyperlink" Target="../../AppData/Roaming/Microsoft/Documents/BACKUP%20DOCUMENTOS%20MAR/Actas%20de%20liquidaci&#243;n%20aprobados/2018/180162-%20SOLUCIONES%20ICG%20SAS.pdf" TargetMode="External"/><Relationship Id="rId426" Type="http://schemas.openxmlformats.org/officeDocument/2006/relationships/hyperlink" Target="../../AppData/Roaming/Documents/BACKUP%20DOCUMENTOS%20MAR/Actas%20de%20liquidaci&#243;n%20aprobados/2008-2012/120000-361-0-2011%20PAPELERIA%20LOS%20LAGOS.pdf" TargetMode="External"/><Relationship Id="rId230" Type="http://schemas.openxmlformats.org/officeDocument/2006/relationships/hyperlink" Target="file:///\\cbprint\..\..\..\..\..\..\..\..\Documents\Actas%20de%20liquidaci&#243;n%20aprobados\LIQUIDACIONES%202015\160306-%20ARTEINOX.pdf" TargetMode="External"/><Relationship Id="rId251" Type="http://schemas.openxmlformats.org/officeDocument/2006/relationships/hyperlink" Target="file:///\\cbprint\..\..\..\..\..\..\..\..\Documents\Actas%20de%20liquidaci&#243;n%20aprobados\LIQUIDACIONES%202015\160198-%20INGENIERIA%20Y%20SOLUCIONES.pdf" TargetMode="External"/><Relationship Id="rId25" Type="http://schemas.openxmlformats.org/officeDocument/2006/relationships/hyperlink" Target="file:///\\cbprint\..\..\..\..\..\..\..\..\Documents\Actas%20de%20liquidaci&#243;n%20aprobados\LIQUIDACIONES%202015\150286-%20CLAUDIA%20RODRIGUEZ.pdf" TargetMode="External"/><Relationship Id="rId46" Type="http://schemas.openxmlformats.org/officeDocument/2006/relationships/hyperlink" Target="file:///\\cbprint\..\..\..\..\..\..\..\..\Documents\Actas%20de%20liquidaci&#243;n%20aprobados\LIQUIDACIONES%202015\160101-%20CLARA%20INES%20VARGAS%20MALAGON.pdf" TargetMode="External"/><Relationship Id="rId67" Type="http://schemas.openxmlformats.org/officeDocument/2006/relationships/hyperlink" Target="file:///\\cbprint\..\..\..\..\..\..\..\..\Documents\Actas%20de%20liquidaci&#243;n%20aprobados\LIQUIDACIONES%202015\160244-%20CLAUDIA%20VANEGAS.pdf" TargetMode="External"/><Relationship Id="rId272" Type="http://schemas.openxmlformats.org/officeDocument/2006/relationships/hyperlink" Target="file:///\\cbprint\Documents\Actas%20de%20liquidaci&#243;n%20aprobados\2016\160171-%20DIRECTV.pdf" TargetMode="External"/><Relationship Id="rId293" Type="http://schemas.openxmlformats.org/officeDocument/2006/relationships/hyperlink" Target="file:///\\cbprint\Documents\Actas%20de%20liquidaci&#243;n%20aprobados\2017\170272-%20MAP%20INGENIEROS.pdf" TargetMode="External"/><Relationship Id="rId307" Type="http://schemas.openxmlformats.org/officeDocument/2006/relationships/hyperlink" Target="file:///\\cbprint\Documents\Actas%20de%20liquidaci&#243;n%20aprobados\2013\130227-%20PUBLICACIONES%20SEMANA.pdf" TargetMode="External"/><Relationship Id="rId328" Type="http://schemas.openxmlformats.org/officeDocument/2006/relationships/hyperlink" Target="file:///\\cbprint\..\..\..\..\Documents\Actas%20de%20liquidaci&#243;n%20aprobados\2017\170056-%20SOLUCIONES%20H%20&amp;%20S.pdf" TargetMode="External"/><Relationship Id="rId349" Type="http://schemas.openxmlformats.org/officeDocument/2006/relationships/hyperlink" Target="file:///\\cbprint\Documents\Actas%20de%20liquidaci&#243;n%20aprobados\2017\170161-%20INGENIERIA%20DE%20BOMBAS.pdf" TargetMode="External"/><Relationship Id="rId88" Type="http://schemas.openxmlformats.org/officeDocument/2006/relationships/hyperlink" Target="file:///\\cbprint\..\..\..\..\..\..\..\..\Documents\Actas%20de%20liquidaci&#243;n%20aprobados\LIQUIDACIONES%202015\150358-%20MITSU%20MOTORS.pdf" TargetMode="External"/><Relationship Id="rId111" Type="http://schemas.openxmlformats.org/officeDocument/2006/relationships/hyperlink" Target="file:///\\cbprint\..\..\..\..\..\..\..\..\Documents\Actas%20de%20liquidaci&#243;n%20aprobados\LIQUIDACIONES%202015\130044-%20MITSUBISHI%20ELECTRIC.pdf" TargetMode="External"/><Relationship Id="rId132" Type="http://schemas.openxmlformats.org/officeDocument/2006/relationships/hyperlink" Target="file:///\\cbprint\..\..\..\..\..\..\..\..\Documents\Actas%20de%20liquidaci&#243;n%20aprobados\130384-0-2013%20-%20Acta%20de%20liquidaci&#243;n%20-%20ok.pdf" TargetMode="External"/><Relationship Id="rId153" Type="http://schemas.openxmlformats.org/officeDocument/2006/relationships/hyperlink" Target="file:///\\cbprint\..\..\..\..\..\..\..\..\Documents\Actas%20de%20liquidaci&#243;n%20aprobados\LIQUIDACION%20130270-0-2013%20ITELCO%20IT%20SAS%20-%20ok.pdf" TargetMode="External"/><Relationship Id="rId174" Type="http://schemas.openxmlformats.org/officeDocument/2006/relationships/hyperlink" Target="file:///\\cbprint\..\..\..\..\..\..\..\..\Documents\Actas%20de%20liquidaci&#243;n%20aprobados\LIQUIDACIONES%202015\140370.pdf" TargetMode="External"/><Relationship Id="rId195" Type="http://schemas.openxmlformats.org/officeDocument/2006/relationships/hyperlink" Target="file:///\\cbprint\Documents\Actas%20de%20liquidaci&#243;n%20aprobados\2014\140282-%20EL%20PERIODICO.pdf" TargetMode="External"/><Relationship Id="rId209" Type="http://schemas.openxmlformats.org/officeDocument/2006/relationships/hyperlink" Target="file:///\\cbprint\..\..\..\..\..\..\..\..\Documents\Actas%20de%20liquidaci&#243;n%20aprobados\LIQUIDACIONES%202015\150080-%20LIZETH%20GONZALEZ.pdf" TargetMode="External"/><Relationship Id="rId360" Type="http://schemas.openxmlformats.org/officeDocument/2006/relationships/hyperlink" Target="file:///\\cbprint\Documents\BACKUP%20DOCUMENTOS%20MAR\Actas%20de%20liquidaci&#243;n%20aprobados\2017\170196-%20ALKOSTO.pdf" TargetMode="External"/><Relationship Id="rId381" Type="http://schemas.openxmlformats.org/officeDocument/2006/relationships/hyperlink" Target="file:///\\cbprint\Documents\BACKUP%20DOCUMENTOS%20MAR\Actas%20de%20liquidaci&#243;n%20aprobados\2013\130220-%20WEISNER%20FABIAN%20ROBAYO.pdf" TargetMode="External"/><Relationship Id="rId416" Type="http://schemas.openxmlformats.org/officeDocument/2006/relationships/hyperlink" Target="../../AppData/Roaming/Microsoft/Documents/BACKUP%20DOCUMENTOS%20MAR/Actas%20de%20liquidaci&#243;n%20aprobados/2017/170249-%20COMUNICAN.pdf" TargetMode="External"/><Relationship Id="rId220" Type="http://schemas.openxmlformats.org/officeDocument/2006/relationships/hyperlink" Target="file:///\\cbprint\..\..\..\..\..\..\..\..\Documents\Actas%20de%20liquidaci&#243;n%20aprobados\LIQUIDACIONES%202015\150331-%20VIDEO%20BEAMS.pdf" TargetMode="External"/><Relationship Id="rId241" Type="http://schemas.openxmlformats.org/officeDocument/2006/relationships/hyperlink" Target="file:///\\cbprint\..\..\..\..\..\..\..\..\Documents\Actas%20de%20liquidaci&#243;n%20aprobados\LIQUIDACIONES%202015\150323%20-%20ALCALA.pdf" TargetMode="External"/><Relationship Id="rId15" Type="http://schemas.openxmlformats.org/officeDocument/2006/relationships/hyperlink" Target="file:///\\cbprint\..\..\..\..\..\..\..\..\Documents\Actas%20de%20liquidaci&#243;n%20aprobados\LIQUIDACIONES%202015\150228-%20REVISTA%20EL%20CONGRESO%20SIGLO%20XXI.pdf" TargetMode="External"/><Relationship Id="rId36" Type="http://schemas.openxmlformats.org/officeDocument/2006/relationships/hyperlink" Target="file:///\\cbprint\..\..\..\..\..\..\..\..\Documents\Actas%20de%20liquidaci&#243;n%20aprobados\LIQUIDACIONES%202015\150330-%20COMUNICAN.pdf" TargetMode="External"/><Relationship Id="rId57" Type="http://schemas.openxmlformats.org/officeDocument/2006/relationships/hyperlink" Target="file:///\\cbprint\..\..\..\..\..\..\..\..\Documents\Actas%20de%20liquidaci&#243;n%20aprobados\LIQUIDACIONES%202015\150255-%20MEDALLAS%20COLOMBIANAS.pdf" TargetMode="External"/><Relationship Id="rId262" Type="http://schemas.openxmlformats.org/officeDocument/2006/relationships/hyperlink" Target="file:///\\cbprint\Documents\Actas%20de%20liquidaci&#243;n%20aprobados\LIQUIDACIONES%202015\160276-%20ECA%20INTERVENTORIAS.pdf" TargetMode="External"/><Relationship Id="rId283" Type="http://schemas.openxmlformats.org/officeDocument/2006/relationships/hyperlink" Target="file:///\\cbprint\Documents\Actas%20de%20liquidaci&#243;n%20aprobados\2016\160124-%20COMPENSAR.pdf" TargetMode="External"/><Relationship Id="rId318" Type="http://schemas.openxmlformats.org/officeDocument/2006/relationships/hyperlink" Target="file:///\\cbprint\..\..\..\..\Documents\Actas%20de%20liquidaci&#243;n%20aprobados\2015\150400-%20CENTURY%20MEDIA.pdf" TargetMode="External"/><Relationship Id="rId339" Type="http://schemas.openxmlformats.org/officeDocument/2006/relationships/hyperlink" Target="file:///\\cbprint\..\..\..\..\Documents\Actas%20de%20liquidaci&#243;n%20aprobados\2008-2012\120000-420-0-2012%20-%20MEDIDORES%20TECNICA%20EQUIPOS.pdf" TargetMode="External"/><Relationship Id="rId78" Type="http://schemas.openxmlformats.org/officeDocument/2006/relationships/hyperlink" Target="file:///\\cbprint\..\..\..\..\..\..\..\..\Documents\Actas%20de%20liquidaci&#243;n%20aprobados\LIQUIDACIONES%202015\150408-%20SOLUCIONES%20%20ICG%20SAS.pdf" TargetMode="External"/><Relationship Id="rId99" Type="http://schemas.openxmlformats.org/officeDocument/2006/relationships/hyperlink" Target="file:///\\cbprint\..\..\..\..\..\..\..\..\Documents\Actas%20de%20liquidaci&#243;n%20aprobados\LIQUIDACIONES%202015\140252-%20LINALCA.pdf" TargetMode="External"/><Relationship Id="rId101" Type="http://schemas.openxmlformats.org/officeDocument/2006/relationships/hyperlink" Target="file:///\\cbprint\..\..\..\..\..\..\..\..\Documents\Actas%20de%20liquidaci&#243;n%20aprobados\LIQUIDACIONES%202015\140377-%20GAMMA%20INGENIEROS.pdf" TargetMode="External"/><Relationship Id="rId122" Type="http://schemas.openxmlformats.org/officeDocument/2006/relationships/hyperlink" Target="file:///\\cbprint\..\..\..\..\..\..\..\..\Documents\Actas%20de%20liquidaci&#243;n%20aprobados\130166-0-2013%20-%20Acta%20de%20Liquidaci&#243;n%20Contrato%20-%20ok.pdf" TargetMode="External"/><Relationship Id="rId143" Type="http://schemas.openxmlformats.org/officeDocument/2006/relationships/hyperlink" Target="file:///\\cbprint\..\..\..\..\..\..\..\..\Documents\Actas%20de%20liquidaci&#243;n%20aprobados\Acta%20de%20terminaci&#243;n%20mutuo%20acuerdo%20Cto%20375-2013-DIANA%20PATRICIA%20JAIME.pdf" TargetMode="External"/><Relationship Id="rId164" Type="http://schemas.openxmlformats.org/officeDocument/2006/relationships/hyperlink" Target="file:///\\cbprint\..\..\..\..\..\..\..\..\Documents\Actas%20de%20liquidaci&#243;n%20aprobados\LIQUIDACION%20CTO%20130249-02013%20INGEAL%20-%20ok.pdf" TargetMode="External"/><Relationship Id="rId185" Type="http://schemas.openxmlformats.org/officeDocument/2006/relationships/hyperlink" Target="file:///\\cbprint\..\..\..\..\..\..\..\..\Documents\Actas%20de%20liquidaci&#243;n%20aprobados\LIQUIDACIONES%202015\140322-%20SUMIMAS.pdf" TargetMode="External"/><Relationship Id="rId350" Type="http://schemas.openxmlformats.org/officeDocument/2006/relationships/hyperlink" Target="file:///\\cbprint\Documents\Actas%20de%20liquidaci&#243;n%20aprobados\2016\160231-%20BOBINADOS%20Y%20SUMINISTROS.pdf" TargetMode="External"/><Relationship Id="rId371" Type="http://schemas.openxmlformats.org/officeDocument/2006/relationships/hyperlink" Target="file:///\\cbprint\Documents\BACKUP%20DOCUMENTOS%20MAR\Actas%20de%20liquidaci&#243;n%20aprobados\2015\150226-%20STARCOOP.pdf" TargetMode="External"/><Relationship Id="rId406" Type="http://schemas.openxmlformats.org/officeDocument/2006/relationships/hyperlink" Target="../../AppData/Roaming/Microsoft/Documents/BACKUP%20DOCUMENTOS%20MAR/Actas%20de%20liquidaci&#243;n%20aprobados/2018/180086-%20DPC.pdf" TargetMode="External"/><Relationship Id="rId9" Type="http://schemas.openxmlformats.org/officeDocument/2006/relationships/hyperlink" Target="file:///\\cbprint\..\..\..\..\..\..\..\..\Documents\Actas%20de%20liquidaci&#243;n%20aprobados\LIQUIDACIONES%202015\150191-%20HERNANDO%20BULLA.pdf" TargetMode="External"/><Relationship Id="rId210" Type="http://schemas.openxmlformats.org/officeDocument/2006/relationships/hyperlink" Target="file:///\\cbprint\..\..\..\..\..\..\..\..\Documents\Actas%20de%20liquidaci&#243;n%20aprobados\LIQUIDACIONES%202015\150081-%20LUISA%20FERNANDA.pdf" TargetMode="External"/><Relationship Id="rId392" Type="http://schemas.openxmlformats.org/officeDocument/2006/relationships/hyperlink" Target="file:///\\cbprint\Documents\BACKUP%20DOCUMENTOS%20MAR\Actas%20de%20liquidaci&#243;n%20aprobados\2017\170345-GRUPO%20EMPRESARIAL.pdf" TargetMode="External"/><Relationship Id="rId427" Type="http://schemas.openxmlformats.org/officeDocument/2006/relationships/hyperlink" Target="../../AppData/Roaming/Documents/BACKUP%20DOCUMENTOS%20MAR/Actas%20de%20liquidaci&#243;n%20aprobados/2014/140153-%20WIESNER%20FABIAN%20ROBAYO.pdf" TargetMode="External"/><Relationship Id="rId26" Type="http://schemas.openxmlformats.org/officeDocument/2006/relationships/hyperlink" Target="file:///\\cbprint\..\..\..\..\..\..\..\..\Documents\Actas%20de%20liquidaci&#243;n%20aprobados\LIQUIDACIONES%202015\150300-%20GERIZIM.pdf" TargetMode="External"/><Relationship Id="rId231" Type="http://schemas.openxmlformats.org/officeDocument/2006/relationships/hyperlink" Target="file:///\\cbprint\..\..\..\..\..\..\..\..\Documents\Actas%20de%20liquidaci&#243;n%20aprobados\LIQUIDACIONES%202015\160310-%20PRACO.pdf" TargetMode="External"/><Relationship Id="rId252" Type="http://schemas.openxmlformats.org/officeDocument/2006/relationships/hyperlink" Target="file:///\\cbprint\..\..\..\..\..\..\..\..\Documents\Actas%20de%20liquidaci&#243;n%20aprobados\LIQUIDACIONES%202015\170093-%20RED%20COMPUTO.pdf" TargetMode="External"/><Relationship Id="rId273" Type="http://schemas.openxmlformats.org/officeDocument/2006/relationships/hyperlink" Target="file:///\\cbprint\Documents\Actas%20de%20liquidaci&#243;n%20aprobados\2016\160154-%20BRANCH%20OF%20MICROSOFT.pdf" TargetMode="External"/><Relationship Id="rId294" Type="http://schemas.openxmlformats.org/officeDocument/2006/relationships/hyperlink" Target="file:///\\cbprint\Documents\Actas%20de%20liquidaci&#243;n%20aprobados\2017\170247-%20COMERCIALIZADORA%20VIMEL.pdf" TargetMode="External"/><Relationship Id="rId308" Type="http://schemas.openxmlformats.org/officeDocument/2006/relationships/hyperlink" Target="file:///\\cbprint\Documents\Actas%20de%20liquidaci&#243;n%20aprobados\2008-2012\120000-425-0-2012%20INDUARCHIVOS%20LTDA.pdf" TargetMode="External"/><Relationship Id="rId329" Type="http://schemas.openxmlformats.org/officeDocument/2006/relationships/hyperlink" Target="file:///\\cbprint\..\..\..\..\Documents\Actas%20de%20liquidaci&#243;n%20aprobados\2016\160255-%20INTERAMERICANA%20DE%20SISTEMAS.pdf" TargetMode="External"/><Relationship Id="rId47" Type="http://schemas.openxmlformats.org/officeDocument/2006/relationships/hyperlink" Target="file:///\\cbprint\..\..\..\..\..\..\..\..\Documents\Actas%20de%20liquidaci&#243;n%20aprobados\LIQUIDACIONES%202015\150244-%20COTECNA.pdf" TargetMode="External"/><Relationship Id="rId68" Type="http://schemas.openxmlformats.org/officeDocument/2006/relationships/hyperlink" Target="file:///\\cbprint\..\..\..\..\..\..\..\..\Documents\Actas%20de%20liquidaci&#243;n%20aprobados\LIQUIDACIONES%202015\160241-%20GIOVANNI%20SUAREZ.pdf" TargetMode="External"/><Relationship Id="rId89" Type="http://schemas.openxmlformats.org/officeDocument/2006/relationships/hyperlink" Target="file:///\\cbprint\..\..\..\..\..\..\..\..\Documents\Actas%20de%20liquidaci&#243;n%20aprobados\LIQUIDACIONES%202015\160153-%20JOHANA%20POVEDA.pdf" TargetMode="External"/><Relationship Id="rId112" Type="http://schemas.openxmlformats.org/officeDocument/2006/relationships/hyperlink" Target="file:///\\cbprint\..\..\..\..\..\..\..\..\Documents\Actas%20de%20liquidaci&#243;n%20aprobados\LIQUIDACIONES%202015\130214-%20SEGUROS%20GENERALES.pdf" TargetMode="External"/><Relationship Id="rId133" Type="http://schemas.openxmlformats.org/officeDocument/2006/relationships/hyperlink" Target="file:///\\cbprint\..\..\..\..\..\..\..\..\Documents\Actas%20de%20liquidaci&#243;n%20aprobados\140140-0-2014%20-%20Acta%20de%20liquidaci&#243;n%20-%20ok.pdf" TargetMode="External"/><Relationship Id="rId154" Type="http://schemas.openxmlformats.org/officeDocument/2006/relationships/hyperlink" Target="file:///\\cbprint\..\..\..\..\..\..\..\..\Documents\Actas%20de%20liquidaci&#243;n%20aprobados\liquidacion%20cto%20106-2013%20-%20ok.pdf" TargetMode="External"/><Relationship Id="rId175" Type="http://schemas.openxmlformats.org/officeDocument/2006/relationships/hyperlink" Target="file:///\\cbprint\..\..\..\..\..\..\..\..\Documents\Actas%20de%20liquidaci&#243;n%20aprobados\LIQUIDACIONES%202015\140372.pdf" TargetMode="External"/><Relationship Id="rId340" Type="http://schemas.openxmlformats.org/officeDocument/2006/relationships/hyperlink" Target="file:///\\cbprint\..\..\..\..\Documents\Actas%20de%20liquidaci&#243;n%20aprobados\2008-2012\120000-177-0-2012%20CANAL%20CAPITAL.pdf" TargetMode="External"/><Relationship Id="rId361" Type="http://schemas.openxmlformats.org/officeDocument/2006/relationships/hyperlink" Target="file:///\\cbprint\Documents\BACKUP%20DOCUMENTOS%20MAR\Actas%20de%20liquidaci&#243;n%20aprobados\2017\170194-%20FACTOR%20VISUAL.pdf" TargetMode="External"/><Relationship Id="rId196" Type="http://schemas.openxmlformats.org/officeDocument/2006/relationships/hyperlink" Target="file:///\\cbprint\..\..\..\..\..\..\..\..\Documents\Actas%20de%20liquidaci&#243;n%20aprobados\LIQUIDACIONES%202015\140288-%20SGS.pdf" TargetMode="External"/><Relationship Id="rId200" Type="http://schemas.openxmlformats.org/officeDocument/2006/relationships/hyperlink" Target="file:///\\cbprint\..\..\..\..\..\..\..\..\Documents\Actas%20de%20liquidaci&#243;n%20aprobados\LIQUIDACIONES%202015\150314-%20INGEAL.pdf" TargetMode="External"/><Relationship Id="rId382" Type="http://schemas.openxmlformats.org/officeDocument/2006/relationships/hyperlink" Target="https://www.contratos.gov.co/consultas/detalleProceso.do?numConstancia=13-12-1640887" TargetMode="External"/><Relationship Id="rId417" Type="http://schemas.openxmlformats.org/officeDocument/2006/relationships/hyperlink" Target="../../AppData/Roaming/Microsoft/Documents/BACKUP%20DOCUMENTOS%20MAR/Actas%20de%20liquidaci&#243;n%20aprobados/2017/170182-%20UT%20GRANADINA%20SERACIS.pdf" TargetMode="External"/><Relationship Id="rId16" Type="http://schemas.openxmlformats.org/officeDocument/2006/relationships/hyperlink" Target="file:///\\cbprint\..\..\..\..\..\..\..\..\Documents\Actas%20de%20liquidaci&#243;n%20aprobados\LIQUIDACIONES%202015\150232-%20FORMARCHIVOS.pdf" TargetMode="External"/><Relationship Id="rId221" Type="http://schemas.openxmlformats.org/officeDocument/2006/relationships/hyperlink" Target="file:///\\cbprint\..\..\..\..\..\..\..\..\Documents\Actas%20de%20liquidaci&#243;n%20aprobados\LIQUIDACIONES%202015\150394-%20SOLUCIONES%20H&amp;S.pdf" TargetMode="External"/><Relationship Id="rId242" Type="http://schemas.openxmlformats.org/officeDocument/2006/relationships/hyperlink" Target="file:///\\cbprint\..\..\..\..\..\..\..\..\Documents\Actas%20de%20liquidaci&#243;n%20aprobados\LIQUIDACIONES%202015\170167-%20CURACAO.pdf" TargetMode="External"/><Relationship Id="rId263" Type="http://schemas.openxmlformats.org/officeDocument/2006/relationships/hyperlink" Target="file:///\\cbprint\Documents\Actas%20de%20liquidaci&#243;n%20aprobados\2016\160225%20-%20INSTITUCIONAL%20STAR%20SERVICES.pdf" TargetMode="External"/><Relationship Id="rId284" Type="http://schemas.openxmlformats.org/officeDocument/2006/relationships/hyperlink" Target="file:///\\cbprint\Documents\Actas%20de%20liquidaci&#243;n%20aprobados\2016\160131-%20SODINLEC.pdf" TargetMode="External"/><Relationship Id="rId319" Type="http://schemas.openxmlformats.org/officeDocument/2006/relationships/hyperlink" Target="file:///\\cbprint\..\..\..\..\Documents\Actas%20de%20liquidaci&#243;n%20aprobados\2016\160165-%20USA%20POSTAL.pdf" TargetMode="External"/><Relationship Id="rId37" Type="http://schemas.openxmlformats.org/officeDocument/2006/relationships/hyperlink" Target="file:///\\cbprint\..\..\..\..\..\..\..\..\Documents\Actas%20de%20liquidaci&#243;n%20aprobados\LIQUIDACIONES%202015\150342-%20SEMANA.pdf" TargetMode="External"/><Relationship Id="rId58" Type="http://schemas.openxmlformats.org/officeDocument/2006/relationships/hyperlink" Target="file:///\\cbprint\..\..\..\..\..\..\..\..\Documents\Actas%20de%20liquidaci&#243;n%20aprobados\LIQUIDACIONES%202015\150101-%20GLORIA%20CATALINA%20ROSERO.pdf" TargetMode="External"/><Relationship Id="rId79" Type="http://schemas.openxmlformats.org/officeDocument/2006/relationships/hyperlink" Target="file:///\\cbprint\..\..\..\..\..\..\..\..\Documents\Actas%20de%20liquidaci&#243;n%20aprobados\LIQUIDACIONES%202015\150377-%20COMPENSAR.pdf" TargetMode="External"/><Relationship Id="rId102" Type="http://schemas.openxmlformats.org/officeDocument/2006/relationships/hyperlink" Target="file:///\\cbprint\..\..\..\..\..\..\..\..\Documents\Actas%20de%20liquidaci&#243;n%20aprobados\LIQUIDACIONES%202015\140390-%20UT%20SICVEL.pdf" TargetMode="External"/><Relationship Id="rId123" Type="http://schemas.openxmlformats.org/officeDocument/2006/relationships/hyperlink" Target="file:///\\cbprint\..\..\..\..\..\..\..\..\Documents\Actas%20de%20liquidaci&#243;n%20aprobados\130186-0-2013%20-%20Acta%20de%20liquidaci&#243;n%20-ok.pdf" TargetMode="External"/><Relationship Id="rId144" Type="http://schemas.openxmlformats.org/officeDocument/2006/relationships/hyperlink" Target="file:///\\cbprint\..\..\..\..\..\..\..\..\Documents\Actas%20de%20liquidaci&#243;n%20aprobados\Acta%20de%20Terminaci&#243;n%20por%20Mutuo%20Acuerdo%20Cto%20140167-0-2014%20con%20soportes.pdf" TargetMode="External"/><Relationship Id="rId330" Type="http://schemas.openxmlformats.org/officeDocument/2006/relationships/hyperlink" Target="file:///\\cbprint\..\..\..\..\Documents\Actas%20de%20liquidaci&#243;n%20aprobados\2015\150141-%20MIGUEL%20ANDRES%20GUTIERREZ.pdf" TargetMode="External"/><Relationship Id="rId90" Type="http://schemas.openxmlformats.org/officeDocument/2006/relationships/hyperlink" Target="file:///\\cbprint\..\..\..\..\..\..\..\..\Documents\Actas%20de%20liquidaci&#243;n%20aprobados\LIQUIDACIONES%202015\160139-%20DIANA%20PILAR%20DELGADO.pdf" TargetMode="External"/><Relationship Id="rId165" Type="http://schemas.openxmlformats.org/officeDocument/2006/relationships/hyperlink" Target="file:///\\cbprint\..\..\..\..\..\..\..\..\Documents\Actas%20de%20liquidaci&#243;n%20aprobados\LIQUIDACION%20CTO%20130254-0-2013%20COMPENSAR%20%20-%20ok.pdf" TargetMode="External"/><Relationship Id="rId186" Type="http://schemas.openxmlformats.org/officeDocument/2006/relationships/hyperlink" Target="file:///\\cbprint\..\..\..\..\..\..\..\..\Documents\Actas%20de%20liquidaci&#243;n%20aprobados\LIQUIDACIONES%202015\140312-%20CRISTIAN%20DAVID.pdf" TargetMode="External"/><Relationship Id="rId351" Type="http://schemas.openxmlformats.org/officeDocument/2006/relationships/hyperlink" Target="file:///\\cbprint\Documents\BACKUP%20DOCUMENTOS%20MAR\Actas%20de%20liquidaci&#243;n%20aprobados\2017\170178-%20COLSOFT.pdf" TargetMode="External"/><Relationship Id="rId372" Type="http://schemas.openxmlformats.org/officeDocument/2006/relationships/hyperlink" Target="file:///\\cbprint\Documents\BACKUP%20DOCUMENTOS%20MAR\Actas%20de%20liquidaci&#243;n%20aprobados\2017\170353-%20AUTOMOTORES%20COMAGRO.pdf" TargetMode="External"/><Relationship Id="rId393" Type="http://schemas.openxmlformats.org/officeDocument/2006/relationships/hyperlink" Target="file:///\\cbprint\Documents\BACKUP%20DOCUMENTOS%20MAR\Actas%20de%20liquidaci&#243;n%20aprobados\2018\180007-%20AUTOGAS.pdf" TargetMode="External"/><Relationship Id="rId407" Type="http://schemas.openxmlformats.org/officeDocument/2006/relationships/hyperlink" Target="../../AppData/Roaming/Microsoft/Documents/BACKUP%20DOCUMENTOS%20MAR/Actas%20de%20liquidaci&#243;n%20aprobados/2017/170358-%20AXA%20COLPATRIA.pdf" TargetMode="External"/><Relationship Id="rId428" Type="http://schemas.openxmlformats.org/officeDocument/2006/relationships/hyperlink" Target="..\..\Documents\BACKUP%20DOCUMENTOS%20MAR\Actas%20de%20liquidaci&#243;n%20aprobados\2018\180290-%20AUTOMOTORES%20COMAGRO.pdf" TargetMode="External"/><Relationship Id="rId211" Type="http://schemas.openxmlformats.org/officeDocument/2006/relationships/hyperlink" Target="file:///\\cbprint\..\..\..\..\..\..\..\..\Documents\Actas%20de%20liquidaci&#243;n%20aprobados\LIQUIDACIONES%202015\150083-%20DIANA%20MARCELA%20REYES.pdf" TargetMode="External"/><Relationship Id="rId232" Type="http://schemas.openxmlformats.org/officeDocument/2006/relationships/hyperlink" Target="file:///\\cbprint\..\..\..\..\..\..\..\..\Documents\Actas%20de%20liquidaci&#243;n%20aprobados\LIQUIDACIONES%202015\130036-%20SYSTEM%20NET.pdf" TargetMode="External"/><Relationship Id="rId253" Type="http://schemas.openxmlformats.org/officeDocument/2006/relationships/hyperlink" Target="file:///\\cbprint\..\..\..\..\..\..\..\..\Documents\Actas%20de%20liquidaci&#243;n%20aprobados\LIQUIDACIONES%202015\160307-%20ALGOAP%20SAS.pdf" TargetMode="External"/><Relationship Id="rId274" Type="http://schemas.openxmlformats.org/officeDocument/2006/relationships/hyperlink" Target="file:///\\cbprint\Documents\Actas%20de%20liquidaci&#243;n%20aprobados\2016\160122-%20HERNANDO%20BULLA.pdf" TargetMode="External"/><Relationship Id="rId295" Type="http://schemas.openxmlformats.org/officeDocument/2006/relationships/hyperlink" Target="file:///\\cbprint\Documents\Actas%20de%20liquidaci&#243;n%20aprobados\2017\170210-%20SGS%20COLOMBIA.pdf" TargetMode="External"/><Relationship Id="rId309" Type="http://schemas.openxmlformats.org/officeDocument/2006/relationships/hyperlink" Target="file:///\\cbprint\Documents\Actas%20de%20liquidaci&#243;n%20aprobados\2013\130146-%20UNION%20TEMPORAL%20INTERPOSTAL%20URBANEX%201.pdf" TargetMode="External"/><Relationship Id="rId27" Type="http://schemas.openxmlformats.org/officeDocument/2006/relationships/hyperlink" Target="file:///\\cbprint\..\..\..\..\..\..\..\..\Documents\Actas%20de%20liquidaci&#243;n%20aprobados\LIQUIDACIONES%202015\150312-%20SIIGO%20SA.pdf" TargetMode="External"/><Relationship Id="rId48" Type="http://schemas.openxmlformats.org/officeDocument/2006/relationships/hyperlink" Target="file:///\\cbprint\..\..\..\..\..\..\..\..\Documents\Actas%20de%20liquidaci&#243;n%20aprobados\LIQUIDACIONES%202015\050000-272-0-2011%20AGR%20SOLUCIONES.pdf" TargetMode="External"/><Relationship Id="rId69" Type="http://schemas.openxmlformats.org/officeDocument/2006/relationships/hyperlink" Target="file:///\\cbprint\..\..\..\..\..\..\..\..\Documents\Actas%20de%20liquidaci&#243;n%20aprobados\LIQUIDACIONES%202015\170021-%20ANGELICA%20MARIA%20RUBIO%20POLANCO.pdf" TargetMode="External"/><Relationship Id="rId113" Type="http://schemas.openxmlformats.org/officeDocument/2006/relationships/hyperlink" Target="file:///\\cbprint\..\..\..\..\..\..\..\..\Documents\Actas%20de%20liquidaci&#243;n%20aprobados\130217-%20%20SOLUCIONES%20Y%20DIAGNOSTICOS.pdf" TargetMode="External"/><Relationship Id="rId134" Type="http://schemas.openxmlformats.org/officeDocument/2006/relationships/hyperlink" Target="file:///\\cbprint\..\..\..\..\..\..\..\..\Documents\Actas%20de%20liquidaci&#243;n%20aprobados\140166-0-2014%20-%20Acta%20de%20liquidaci&#243;n%20-ok.pdf" TargetMode="External"/><Relationship Id="rId320" Type="http://schemas.openxmlformats.org/officeDocument/2006/relationships/hyperlink" Target="file:///\\cbprint\..\..\..\..\Documents\Actas%20de%20liquidaci&#243;n%20aprobados\2016\160250%20-%20SEAN.pdf" TargetMode="External"/><Relationship Id="rId80" Type="http://schemas.openxmlformats.org/officeDocument/2006/relationships/hyperlink" Target="file:///\\cbprint\..\..\..\..\..\..\..\..\Documents\Actas%20de%20liquidaci&#243;n%20aprobados\LIQUIDACIONES%202015\160138-%20WILSON%20GUERRERO.pdf" TargetMode="External"/><Relationship Id="rId155" Type="http://schemas.openxmlformats.org/officeDocument/2006/relationships/hyperlink" Target="file:///\\cbprint\..\..\..\..\..\..\..\..\Documents\Actas%20de%20liquidaci&#243;n%20aprobados\liquidacion%20cto%20133-2013%20(2)%20-%20ok.pdf" TargetMode="External"/><Relationship Id="rId176" Type="http://schemas.openxmlformats.org/officeDocument/2006/relationships/hyperlink" Target="file:///\\cbprint\..\..\..\..\..\..\..\..\Documents\Actas%20de%20liquidaci&#243;n%20aprobados\LIQUIDACIONES%202015\150076-%20JUDITH%20HERNANDEZ.pdf" TargetMode="External"/><Relationship Id="rId197" Type="http://schemas.openxmlformats.org/officeDocument/2006/relationships/hyperlink" Target="file:///\\cbprint\..\..\..\..\..\..\..\..\Documents\Actas%20de%20liquidaci&#243;n%20aprobados\LIQUIDACIONES%202015\140290-%20CENDIATRA.pdf" TargetMode="External"/><Relationship Id="rId341" Type="http://schemas.openxmlformats.org/officeDocument/2006/relationships/hyperlink" Target="file:///\\cbprint\..\..\..\..\Documents\Actas%20de%20liquidaci&#243;n%20aprobados\2008-2012\050000-427-0-2012.pdf" TargetMode="External"/><Relationship Id="rId362" Type="http://schemas.openxmlformats.org/officeDocument/2006/relationships/hyperlink" Target="file:///\\cbprint\Documents\BACKUP%20DOCUMENTOS%20MAR\Actas%20de%20liquidaci&#243;n%20aprobados\2017\170242-%20GREEN%20FON%20GROUP.pdf" TargetMode="External"/><Relationship Id="rId383" Type="http://schemas.openxmlformats.org/officeDocument/2006/relationships/hyperlink" Target="file:///\\cbprint\Documents\BACKUP%20DOCUMENTOS%20MAR\Actas%20de%20liquidaci&#243;n%20aprobados\2013\130116-%20EDGARDO%20MALDONADO.pdf" TargetMode="External"/><Relationship Id="rId418" Type="http://schemas.openxmlformats.org/officeDocument/2006/relationships/hyperlink" Target="../../AppData/Roaming/Microsoft/Documents/BACKUP%20DOCUMENTOS%20MAR/Actas%20de%20liquidaci&#243;n%20aprobados/2017/170083-%20SODINLEC%20LTDA.pdf" TargetMode="External"/><Relationship Id="rId201" Type="http://schemas.openxmlformats.org/officeDocument/2006/relationships/hyperlink" Target="file:///\\cbprint\..\..\..\..\..\..\..\..\Documents\Actas%20de%20liquidaci&#243;n%20aprobados\LIQUIDACIONES%202015\140207-%20MUDANZAS%20DEL%20NOGAL.pdf" TargetMode="External"/><Relationship Id="rId222" Type="http://schemas.openxmlformats.org/officeDocument/2006/relationships/hyperlink" Target="file:///\\cbprint\..\..\..\..\..\..\..\..\Documents\Actas%20de%20liquidaci&#243;n%20aprobados\LIQUIDACIONES%202015\150398-%20MARLON%20MIRANDA.pdf" TargetMode="External"/><Relationship Id="rId243" Type="http://schemas.openxmlformats.org/officeDocument/2006/relationships/hyperlink" Target="file:///\\cbprint\..\..\..\..\..\..\..\..\Documents\Actas%20de%20liquidaci&#243;n%20aprobados\LIQUIDACIONES%202015\170305-%20JAVIER%20AVENDA&#209;O.pdf" TargetMode="External"/><Relationship Id="rId264" Type="http://schemas.openxmlformats.org/officeDocument/2006/relationships/hyperlink" Target="file:///\\cbprint\Documents\Actas%20de%20liquidaci&#243;n%20aprobados\2016\160237-%20YAMEL%20MARTINEZ.pdf" TargetMode="External"/><Relationship Id="rId285" Type="http://schemas.openxmlformats.org/officeDocument/2006/relationships/hyperlink" Target="file:///\\cbprint\Documents\Actas%20de%20liquidaci&#243;n%20aprobados\2015\150333-%20CEYCO.pdf" TargetMode="External"/><Relationship Id="rId17" Type="http://schemas.openxmlformats.org/officeDocument/2006/relationships/hyperlink" Target="file:///\\cbprint\..\..\..\..\..\..\..\..\Documents\Actas%20de%20liquidaci&#243;n%20aprobados\LIQUIDACIONES%202015\150241-%20SOLUTION%20COPY.pdf" TargetMode="External"/><Relationship Id="rId38" Type="http://schemas.openxmlformats.org/officeDocument/2006/relationships/hyperlink" Target="file:///\\cbprint\..\..\..\..\..\..\..\..\Documents\Actas%20de%20liquidaci&#243;n%20aprobados\LIQUIDACIONES%202015\150219-%20MITSUBISHI%20ELECTRIC.pdf" TargetMode="External"/><Relationship Id="rId59" Type="http://schemas.openxmlformats.org/officeDocument/2006/relationships/hyperlink" Target="file:///\\cbprint\..\..\..\..\..\..\..\..\Documents\Actas%20de%20liquidaci&#243;n%20aprobados\LIQUIDACIONES%202015\150316-%20PROCOLDEXT.pdf" TargetMode="External"/><Relationship Id="rId103" Type="http://schemas.openxmlformats.org/officeDocument/2006/relationships/hyperlink" Target="file:///\\cbprint\..\..\..\..\..\..\..\..\Documents\Actas%20de%20liquidaci&#243;n%20aprobados\LIQUIDACIONES%202015\140392-%20MAICROTEL.pdf" TargetMode="External"/><Relationship Id="rId124" Type="http://schemas.openxmlformats.org/officeDocument/2006/relationships/hyperlink" Target="file:///\\cbprint\..\..\..\..\..\..\..\..\Documents\Actas%20de%20liquidaci&#243;n%20aprobados\130204-0-2013%20Acta%20de%20liquidaci&#243;n%20-%20ok.pdf" TargetMode="External"/><Relationship Id="rId310" Type="http://schemas.openxmlformats.org/officeDocument/2006/relationships/hyperlink" Target="file:///\\cbprint\Documents\Actas%20de%20liquidaci&#243;n%20aprobados\2013\130301-%20COMPENSAR.pdf" TargetMode="External"/><Relationship Id="rId70" Type="http://schemas.openxmlformats.org/officeDocument/2006/relationships/hyperlink" Target="file:///\\cbprint\..\..\..\..\..\..\..\..\Documents\Actas%20de%20liquidaci&#243;n%20aprobados\LIQUIDACIONES%202015\160129-%20CRISTIAN%20CAMILO%20RAMOS.pdf" TargetMode="External"/><Relationship Id="rId91" Type="http://schemas.openxmlformats.org/officeDocument/2006/relationships/hyperlink" Target="file:///\\cbprint\..\..\..\..\..\..\..\..\Documents\Actas%20de%20liquidaci&#243;n%20aprobados\LIQUIDACIONES%202015\160047-%20ROSA%20ENRIQUELINA%20GOMEZ.pdf" TargetMode="External"/><Relationship Id="rId145" Type="http://schemas.openxmlformats.org/officeDocument/2006/relationships/hyperlink" Target="file:///\\cbprint\..\..\..\..\..\..\..\..\Documents\Actas%20de%20liquidaci&#243;n%20aprobados\acta%20liquidacion%20328-2013.pdf" TargetMode="External"/><Relationship Id="rId166" Type="http://schemas.openxmlformats.org/officeDocument/2006/relationships/hyperlink" Target="file:///\\cbprint\..\..\..\..\..\..\..\..\Documents\Actas%20de%20liquidaci&#243;n%20aprobados\LIQUIDACIONES%202015\140154.pdf" TargetMode="External"/><Relationship Id="rId187" Type="http://schemas.openxmlformats.org/officeDocument/2006/relationships/hyperlink" Target="file:///\\cbprint\..\..\..\..\..\..\..\..\Documents\Actas%20de%20liquidaci&#243;n%20aprobados\LIQUIDACIONES%202015\140292-%20JUAN%20SEBASTIAN%20RAMIREZ.pdf" TargetMode="External"/><Relationship Id="rId331" Type="http://schemas.openxmlformats.org/officeDocument/2006/relationships/hyperlink" Target="file:///\\cbprint\..\..\..\..\Documents\Actas%20de%20liquidaci&#243;n%20aprobados\2015\150271-%20IDPC.pdf" TargetMode="External"/><Relationship Id="rId352" Type="http://schemas.openxmlformats.org/officeDocument/2006/relationships/hyperlink" Target="file:///\\cbprint\Documents\BACKUP%20DOCUMENTOS%20MAR\Actas%20de%20liquidaci&#243;n%20aprobados\2017\170004-%20AUTOGAS.pdf" TargetMode="External"/><Relationship Id="rId373" Type="http://schemas.openxmlformats.org/officeDocument/2006/relationships/hyperlink" Target="file:///\\cbprint\Documents\BACKUP%20DOCUMENTOS%20MAR\Actas%20de%20liquidaci&#243;n%20aprobados\2014\140382-%20VIGILANCIA%20ACOSTA.pdf" TargetMode="External"/><Relationship Id="rId394" Type="http://schemas.openxmlformats.org/officeDocument/2006/relationships/hyperlink" Target="file:///\\cbprint\Documents\BACKUP%20DOCUMENTOS%20MAR\Actas%20de%20liquidaci&#243;n%20aprobados\2013\130386%20-%20CONTROLES%20EMPRESARIALES.pdf" TargetMode="External"/><Relationship Id="rId408" Type="http://schemas.openxmlformats.org/officeDocument/2006/relationships/hyperlink" Target="../../AppData/Roaming/Microsoft/Documents/BACKUP%20DOCUMENTOS%20MAR/Actas%20de%20liquidaci&#243;n%20aprobados/2017/170329-%20CARLOS%20ALBERTO%20CASTELLANOS.pdf" TargetMode="External"/><Relationship Id="rId429" Type="http://schemas.openxmlformats.org/officeDocument/2006/relationships/hyperlink" Target="..\..\Documents\BACKUP%20DOCUMENTOS%20MAR\Actas%20de%20liquidaci&#243;n%20aprobados\2017\170115-%20WIESNER%20FABIAN%20ROBAYO.pdf" TargetMode="External"/><Relationship Id="rId1" Type="http://schemas.openxmlformats.org/officeDocument/2006/relationships/hyperlink" Target="mailto:M@icrotel%20ltda" TargetMode="External"/><Relationship Id="rId212" Type="http://schemas.openxmlformats.org/officeDocument/2006/relationships/hyperlink" Target="file:///\\cbprint\..\..\..\..\..\..\..\..\Documents\Actas%20de%20liquidaci&#243;n%20aprobados\LIQUIDACIONES%202015\150100-%20KHAANKO%20RUIZ.pdf" TargetMode="External"/><Relationship Id="rId233" Type="http://schemas.openxmlformats.org/officeDocument/2006/relationships/hyperlink" Target="file:///\\cbprint\..\..\..\..\..\..\..\..\Documents\Actas%20de%20liquidaci&#243;n%20aprobados\LIQUIDACIONES%202015\150277-%20FAIBER%20CORREA.pdf" TargetMode="External"/><Relationship Id="rId254" Type="http://schemas.openxmlformats.org/officeDocument/2006/relationships/hyperlink" Target="file:///\\cbprint\..\..\..\..\..\..\..\..\Documents\Actas%20de%20liquidaci&#243;n%20aprobados\LIQUIDACIONES%202015\160316-%20RED%20COMPUTO.pdf" TargetMode="External"/><Relationship Id="rId28" Type="http://schemas.openxmlformats.org/officeDocument/2006/relationships/hyperlink" Target="file:///\\cbprint\..\..\..\..\..\..\..\..\Documents\Actas%20de%20liquidaci&#243;n%20aprobados\LIQUIDACIONES%202015\150329-%20INFORMATICA%20DOCUMENTAL.pdf" TargetMode="External"/><Relationship Id="rId49" Type="http://schemas.openxmlformats.org/officeDocument/2006/relationships/hyperlink" Target="file:///\\cbprint\..\..\..\..\..\..\..\..\Documents\Actas%20de%20liquidaci&#243;n%20aprobados\LIQUIDACIONES%202015\160072-%20RAFAELA%20ARIZA.pdf" TargetMode="External"/><Relationship Id="rId114" Type="http://schemas.openxmlformats.org/officeDocument/2006/relationships/hyperlink" Target="file:///\\cbprint\..\..\..\..\..\..\..\..\Documents\Actas%20de%20liquidaci&#243;n%20aprobados\LIQUIDACIONES%202015\130130-%20TERPEL.pdf" TargetMode="External"/><Relationship Id="rId275" Type="http://schemas.openxmlformats.org/officeDocument/2006/relationships/hyperlink" Target="file:///\\cbprint\Documents\Actas%20de%20liquidaci&#243;n%20aprobados\2016\160105-%20A&amp;V%20EXPRESS.pdf" TargetMode="External"/><Relationship Id="rId296" Type="http://schemas.openxmlformats.org/officeDocument/2006/relationships/hyperlink" Target="file:///\\cbprint\Documents\Actas%20de%20liquidaci&#243;n%20aprobados\2017\170175-%20PASSWORD%20CONSULTING.pdf" TargetMode="External"/><Relationship Id="rId300" Type="http://schemas.openxmlformats.org/officeDocument/2006/relationships/hyperlink" Target="file:///\\cbprint\Documents\Actas%20de%20liquidaci&#243;n%20aprobados\2016\160315-%20FABRICAMOS%20SU%20SUDADERA.pdf" TargetMode="External"/><Relationship Id="rId60" Type="http://schemas.openxmlformats.org/officeDocument/2006/relationships/hyperlink" Target="file:///\\cbprint\..\..\..\..\..\..\..\..\Documents\Actas%20de%20liquidaci&#243;n%20aprobados\LIQUIDACIONES%202015\150320-%20NUEVA%20LEGISLACION.pdf" TargetMode="External"/><Relationship Id="rId81" Type="http://schemas.openxmlformats.org/officeDocument/2006/relationships/hyperlink" Target="file:///\\cbprint\..\..\..\..\..\..\..\..\Documents\Actas%20de%20liquidaci&#243;n%20aprobados\LIQUIDACIONES%202015\160166-%20SGS%20COLOMBIA.pdf" TargetMode="External"/><Relationship Id="rId135" Type="http://schemas.openxmlformats.org/officeDocument/2006/relationships/hyperlink" Target="file:///\\cbprint\..\..\..\..\..\..\..\..\Documents\Actas%20de%20liquidaci&#243;n%20aprobados\140173-0-2014%20-%20Acta%20de%20liquidaci&#243;n%20-%20ok.pdf" TargetMode="External"/><Relationship Id="rId156" Type="http://schemas.openxmlformats.org/officeDocument/2006/relationships/hyperlink" Target="file:///\\cbprint\..\..\..\..\..\..\..\..\Documents\Actas%20de%20liquidaci&#243;n%20aprobados\liquidacion%20cto%20147-2013%20(2)%20-%20ok.pdf" TargetMode="External"/><Relationship Id="rId177" Type="http://schemas.openxmlformats.org/officeDocument/2006/relationships/hyperlink" Target="file:///\\cbprint\..\..\..\..\..\..\..\..\Documents\Actas%20de%20liquidaci&#243;n%20aprobados\LIQUIDACIONES%202015\150101-%20GLORIA%20CATALINA%20ROSERO.pdf" TargetMode="External"/><Relationship Id="rId198" Type="http://schemas.openxmlformats.org/officeDocument/2006/relationships/hyperlink" Target="file:///\\cbprint\..\..\..\..\..\..\..\..\Documents\Actas%20de%20liquidaci&#243;n%20aprobados\LIQUIDACIONES%202015\150278-%20YURI%20REYES.pdf" TargetMode="External"/><Relationship Id="rId321" Type="http://schemas.openxmlformats.org/officeDocument/2006/relationships/hyperlink" Target="file:///\\cbprint\..\..\..\..\Documents\Actas%20de%20liquidaci&#243;n%20aprobados\2016\160287-%20ALMACENES%20EXITO.pdf" TargetMode="External"/><Relationship Id="rId342" Type="http://schemas.openxmlformats.org/officeDocument/2006/relationships/hyperlink" Target="file:///\\cbprint\Documents\Actas%20de%20liquidaci&#243;n%20aprobados\2008-2012\120000-196-0-2012-%20SGS.pdf" TargetMode="External"/><Relationship Id="rId363" Type="http://schemas.openxmlformats.org/officeDocument/2006/relationships/hyperlink" Target="file:///\\cbprint\Documents\BACKUP%20DOCUMENTOS%20MAR\Actas%20de%20liquidaci&#243;n%20aprobados\2017\170244-%20SEAN%20ELECTRONICA.pdf" TargetMode="External"/><Relationship Id="rId384" Type="http://schemas.openxmlformats.org/officeDocument/2006/relationships/hyperlink" Target="file:///\\cbprint\Documents\BACKUP%20DOCUMENTOS%20MAR\Actas%20de%20liquidaci&#243;n%20aprobados\2013\130373%20-%20COLSOFT.pdf" TargetMode="External"/><Relationship Id="rId419" Type="http://schemas.openxmlformats.org/officeDocument/2006/relationships/hyperlink" Target="../../AppData/Roaming/Documents/BACKUP%20DOCUMENTOS%20MAR/Actas%20de%20liquidaci&#243;n%20aprobados/2017/170334-%20SGS%20COLOMBIA.pdf" TargetMode="External"/><Relationship Id="rId202" Type="http://schemas.openxmlformats.org/officeDocument/2006/relationships/hyperlink" Target="file:///\\cbprint\..\..\..\..\..\..\..\..\Documents\Actas%20de%20liquidaci&#243;n%20aprobados\LIQUIDACIONES%202015\120000-451-0-2012%20COMPENSAR.pdf" TargetMode="External"/><Relationship Id="rId223" Type="http://schemas.openxmlformats.org/officeDocument/2006/relationships/hyperlink" Target="file:///\\cbprint\..\..\..\..\..\..\..\..\Documents\Actas%20de%20liquidaci&#243;n%20aprobados\LIQUIDACIONES%202015\150404-%20PUBLIDRUGS.pdf" TargetMode="External"/><Relationship Id="rId244" Type="http://schemas.openxmlformats.org/officeDocument/2006/relationships/hyperlink" Target="file:///\\cbprint\..\..\..\..\..\..\..\..\Documents\Actas%20de%20liquidaci&#243;n%20aprobados\LIQUIDACIONES%202015\160228%20-%20UT%20HACIENDA%20BOGOTA.pdf" TargetMode="External"/><Relationship Id="rId430" Type="http://schemas.openxmlformats.org/officeDocument/2006/relationships/printerSettings" Target="../printerSettings/printerSettings16.bin"/><Relationship Id="rId18" Type="http://schemas.openxmlformats.org/officeDocument/2006/relationships/hyperlink" Target="file:///\\cbprint\..\..\..\..\..\..\..\..\Documents\Actas%20de%20liquidaci&#243;n%20aprobados\LIQUIDACIONES%202015\150245-%20SANDRA%20M%20ROJAS.pdf" TargetMode="External"/><Relationship Id="rId39" Type="http://schemas.openxmlformats.org/officeDocument/2006/relationships/hyperlink" Target="file:///\\cbprint\..\..\..\..\..\..\..\..\Documents\Actas%20de%20liquidaci&#243;n%20aprobados\LIQUIDACIONES%202015\150391-UNION%20TEMPORAL%20BMIND%20-%20KOGHI.pdf" TargetMode="External"/><Relationship Id="rId265" Type="http://schemas.openxmlformats.org/officeDocument/2006/relationships/hyperlink" Target="file:///\\cbprint\Documents\Actas%20de%20liquidaci&#243;n%20aprobados\2016\160282-%20SOLUCIONES%20H&amp;%20S.pdf" TargetMode="External"/><Relationship Id="rId286" Type="http://schemas.openxmlformats.org/officeDocument/2006/relationships/hyperlink" Target="file:///\\cbprint\Documents\Actas%20de%20liquidaci&#243;n%20aprobados\2008-2012\120000-177-0-2012%20CANAL%20CAPITAL.pdf" TargetMode="External"/><Relationship Id="rId50" Type="http://schemas.openxmlformats.org/officeDocument/2006/relationships/hyperlink" Target="file:///\\cbprint\..\..\..\..\..\..\..\..\Documents\Actas%20de%20liquidaci&#243;n%20aprobados\LIQUIDACIONES%202015\160092-%20JAVIER%20IGNACIO%20JATIVA.pdf" TargetMode="External"/><Relationship Id="rId104" Type="http://schemas.openxmlformats.org/officeDocument/2006/relationships/hyperlink" Target="file:///\\cbprint\..\..\..\..\..\..\..\..\Documents\Actas%20de%20liquidaci&#243;n%20aprobados\LIQUIDACIONES%202015\150211-%20SEAN%20ELECTRONICA.pdf" TargetMode="External"/><Relationship Id="rId125" Type="http://schemas.openxmlformats.org/officeDocument/2006/relationships/hyperlink" Target="file:///\\cbprint\..\..\..\..\..\..\..\..\Documents\Actas%20de%20liquidaci&#243;n%20aprobados\130211-0-2013%20-%20Acta%20de%20liquidaci&#243;n%20-%20ok.pdf" TargetMode="External"/><Relationship Id="rId146" Type="http://schemas.openxmlformats.org/officeDocument/2006/relationships/hyperlink" Target="file:///\\cbprint\..\..\..\..\..\..\..\..\Documents\Actas%20de%20liquidaci&#243;n%20aprobados\INFORME%20FINAL%20130385-0-2013%20NORMA%20MESA.pdf" TargetMode="External"/><Relationship Id="rId167" Type="http://schemas.openxmlformats.org/officeDocument/2006/relationships/hyperlink" Target="file:///\\cbprint\..\..\..\..\..\..\..\..\Documents\Actas%20de%20liquidaci&#243;n%20aprobados\LIQUIDACIONES%202015\140176.pdf" TargetMode="External"/><Relationship Id="rId188" Type="http://schemas.openxmlformats.org/officeDocument/2006/relationships/hyperlink" Target="file:///\\cbprint\..\..\..\..\..\..\..\..\Documents\Actas%20de%20liquidaci&#243;n%20aprobados\LIQUIDACIONES%202015\140299-%20LIZETH%20GONZALEZ.pdf" TargetMode="External"/><Relationship Id="rId311" Type="http://schemas.openxmlformats.org/officeDocument/2006/relationships/hyperlink" Target="file:///\\cbprint\Documents\Actas%20de%20liquidaci&#243;n%20aprobados\2008-2012\120000-466-0-2012%20-%20JARDIN%20BOTANICO.pdf" TargetMode="External"/><Relationship Id="rId332" Type="http://schemas.openxmlformats.org/officeDocument/2006/relationships/hyperlink" Target="file:///\\cbprint\..\..\..\..\Documents\Actas%20de%20liquidaci&#243;n%20aprobados\2015\150302-%20AXA%20COLPATRIA.pdf" TargetMode="External"/><Relationship Id="rId353" Type="http://schemas.openxmlformats.org/officeDocument/2006/relationships/hyperlink" Target="file:///\\cbprint\Documents\BACKUP%20DOCUMENTOS%20MAR\Actas%20de%20liquidaci&#243;n%20aprobados\2017\170001-%20PERIODICOS%20Y%20PUBLICACIONES.pdf" TargetMode="External"/><Relationship Id="rId374" Type="http://schemas.openxmlformats.org/officeDocument/2006/relationships/hyperlink" Target="file:///\\cbprint\Documents\BACKUP%20DOCUMENTOS%20MAR\Actas%20de%20liquidaci&#243;n%20aprobados\2014\140201-%20UNIPLES.pdf" TargetMode="External"/><Relationship Id="rId395" Type="http://schemas.openxmlformats.org/officeDocument/2006/relationships/hyperlink" Target="file:///\\cbprint\Documents\BACKUP%20DOCUMENTOS%20MAR\Actas%20de%20liquidaci&#243;n%20aprobados\2013\130299-%203D%20CONSULTING.pdf" TargetMode="External"/><Relationship Id="rId409" Type="http://schemas.openxmlformats.org/officeDocument/2006/relationships/hyperlink" Target="../../AppData/Roaming/Microsoft/Documents/BACKUP%20DOCUMENTOS%20MAR/Actas%20de%20liquidaci&#243;n%20aprobados/2017/170333-%20UT%20INGECOM.pdf" TargetMode="External"/><Relationship Id="rId71" Type="http://schemas.openxmlformats.org/officeDocument/2006/relationships/hyperlink" Target="file:///\\cbprint\..\..\..\..\..\..\..\..\Documents\Actas%20de%20liquidaci&#243;n%20aprobados\LIQUIDACIONES%202015\160242-%20JONATHAN%20ZAMUDIO.pdf" TargetMode="External"/><Relationship Id="rId92" Type="http://schemas.openxmlformats.org/officeDocument/2006/relationships/hyperlink" Target="file:///\\cbprint\..\..\..\..\..\..\..\..\Documents\Actas%20de%20liquidaci&#243;n%20aprobados\LIQUIDACIONES%202015\140396-%20KAWAK.pdf" TargetMode="External"/><Relationship Id="rId213" Type="http://schemas.openxmlformats.org/officeDocument/2006/relationships/hyperlink" Target="file:///\\cbprint\..\..\..\..\..\..\..\..\Documents\Actas%20de%20liquidaci&#243;n%20aprobados\LIQUIDACIONES%202015\150102-%20LINA%20GONZALEZ.pdf" TargetMode="External"/><Relationship Id="rId234" Type="http://schemas.openxmlformats.org/officeDocument/2006/relationships/hyperlink" Target="file:///\\cbprint\..\..\..\..\..\..\..\..\Documents\Actas%20de%20liquidaci&#243;n%20aprobados\LIQUIDACIONES%202015\150309-%20MARY%20LUZ%20MORA.pdf" TargetMode="External"/><Relationship Id="rId420" Type="http://schemas.openxmlformats.org/officeDocument/2006/relationships/hyperlink" Target="../../AppData/Roaming/Documents/BACKUP%20DOCUMENTOS%20MAR/Actas%20de%20liquidaci&#243;n%20aprobados/2018/180173-%20COLSOF%20SA.pdf" TargetMode="External"/><Relationship Id="rId2" Type="http://schemas.openxmlformats.org/officeDocument/2006/relationships/hyperlink" Target="mailto:M@icrotel%20ltda" TargetMode="External"/><Relationship Id="rId29" Type="http://schemas.openxmlformats.org/officeDocument/2006/relationships/hyperlink" Target="file:///\\cbprint\..\..\..\..\..\..\..\..\Documents\Actas%20de%20liquidaci&#243;n%20aprobados\LIQUIDACIONES%202015\150321-%20BUSINESSMID.pdf" TargetMode="External"/><Relationship Id="rId255" Type="http://schemas.openxmlformats.org/officeDocument/2006/relationships/hyperlink" Target="file:///\\cbprint\Documents\Actas%20de%20liquidaci&#243;n%20aprobados\LIQUIDACIONES%202015\160214-%20ARANDA%20SOFTWARE.pdf" TargetMode="External"/><Relationship Id="rId276" Type="http://schemas.openxmlformats.org/officeDocument/2006/relationships/hyperlink" Target="file:///\\cbprint\Documents\Actas%20de%20liquidaci&#243;n%20aprobados\2016\160069-%20UNP.pdf" TargetMode="External"/><Relationship Id="rId297" Type="http://schemas.openxmlformats.org/officeDocument/2006/relationships/hyperlink" Target="file:///\\cbprint\Documents\Actas%20de%20liquidaci&#243;n%20aprobados\2017\170232-%20MARTHA%20SALAZAR.pdf" TargetMode="External"/><Relationship Id="rId40" Type="http://schemas.openxmlformats.org/officeDocument/2006/relationships/hyperlink" Target="file:///\\cbprint\..\..\..\..\..\..\..\..\Documents\Actas%20de%20liquidaci&#243;n%20aprobados\LIQUIDACIONES%202015\140310-0-2014-TECOLSOF%20SAS..pdf" TargetMode="External"/><Relationship Id="rId115" Type="http://schemas.openxmlformats.org/officeDocument/2006/relationships/hyperlink" Target="file:///\\cbprint\..\..\..\..\..\..\..\..\Documents\Actas%20de%20liquidaci&#243;n%20aprobados\130023-0-2013%20-%20Acta%20de%20liquidaci&#243;n%20-%20ok.pdf" TargetMode="External"/><Relationship Id="rId136" Type="http://schemas.openxmlformats.org/officeDocument/2006/relationships/hyperlink" Target="file:///\\cbprint\..\..\..\..\..\..\..\..\Documents\Actas%20de%20liquidaci&#243;n%20aprobados\140212-0-2014%20-%20Informe%20final.pdf" TargetMode="External"/><Relationship Id="rId157" Type="http://schemas.openxmlformats.org/officeDocument/2006/relationships/hyperlink" Target="file:///\\cbprint\..\..\..\..\..\..\..\..\Documents\Actas%20de%20liquidaci&#243;n%20aprobados\liquidacion%20cto%20150-2013%20-%20ok.pdf" TargetMode="External"/><Relationship Id="rId178" Type="http://schemas.openxmlformats.org/officeDocument/2006/relationships/hyperlink" Target="file:///\\cbprint\..\..\..\..\..\..\..\..\Documents\Actas%20de%20liquidaci&#243;n%20aprobados\LIQUIDACIONES%202015\150260-%20COMPENSAR.pdf" TargetMode="External"/><Relationship Id="rId301" Type="http://schemas.openxmlformats.org/officeDocument/2006/relationships/hyperlink" Target="file:///\\cbprint\Documents\Actas%20de%20liquidaci&#243;n%20aprobados\2016\160132-%20MOTORYSA.pdf" TargetMode="External"/><Relationship Id="rId322" Type="http://schemas.openxmlformats.org/officeDocument/2006/relationships/hyperlink" Target="file:///\\cbprint\..\..\..\..\Documents\Actas%20de%20liquidaci&#243;n%20aprobados\2016\160304-%20COLSOF.pdf" TargetMode="External"/><Relationship Id="rId343" Type="http://schemas.openxmlformats.org/officeDocument/2006/relationships/hyperlink" Target="file:///\\cbprint\Documents\Actas%20de%20liquidaci&#243;n%20aprobados\2008-2012\050000-498-0-2012%20-%20CICCE.pdf" TargetMode="External"/><Relationship Id="rId364" Type="http://schemas.openxmlformats.org/officeDocument/2006/relationships/hyperlink" Target="file:///\\cbprint\Documents\BACKUP%20DOCUMENTOS%20MAR\Actas%20de%20liquidaci&#243;n%20aprobados\2017\170245-%20GRUPO%20TITANIUM%20SA.pdf" TargetMode="External"/><Relationship Id="rId61" Type="http://schemas.openxmlformats.org/officeDocument/2006/relationships/hyperlink" Target="file:///\\cbprint\..\..\..\..\..\..\..\..\Documents\Actas%20de%20liquidaci&#243;n%20aprobados\LIQUIDACIONES%202015\150229-%20MOTORES%20Y%20MAQUINAS%20MOTORYSA.pdf" TargetMode="External"/><Relationship Id="rId82" Type="http://schemas.openxmlformats.org/officeDocument/2006/relationships/hyperlink" Target="file:///\\cbprint\..\..\..\..\..\..\..\..\Documents\Actas%20de%20liquidaci&#243;n%20aprobados\LIQUIDACIONES%202015\160134-%20LEIDY%20YINETH%20RIVERA.pdf" TargetMode="External"/><Relationship Id="rId199" Type="http://schemas.openxmlformats.org/officeDocument/2006/relationships/hyperlink" Target="file:///\\cbprint\..\..\..\..\..\..\..\..\Documents\Actas%20de%20liquidaci&#243;n%20aprobados\LIQUIDACIONES%202015\150348-%20ORION%20CONIC.pdf" TargetMode="External"/><Relationship Id="rId203" Type="http://schemas.openxmlformats.org/officeDocument/2006/relationships/hyperlink" Target="file:///\\cbprint\..\..\..\..\..\..\..\..\Documents\Actas%20de%20liquidaci&#243;n%20aprobados\LIQUIDACIONES%202015\120000-390-0-2012%20URBANEX.pdf" TargetMode="External"/><Relationship Id="rId385" Type="http://schemas.openxmlformats.org/officeDocument/2006/relationships/hyperlink" Target="file:///\\cbprint\Documents\BACKUP%20DOCUMENTOS%20MAR\Actas%20de%20liquidaci&#243;n%20aprobados\2014\140171-%20INGEAL.pdf" TargetMode="External"/><Relationship Id="rId19" Type="http://schemas.openxmlformats.org/officeDocument/2006/relationships/hyperlink" Target="file:///\\cbprint\..\..\..\..\..\..\..\..\Documents\Actas%20de%20liquidaci&#243;n%20aprobados\LIQUIDACIONES%202015\150250-%20CRISTIAN%20CAMILO%20RAMOS.pdf" TargetMode="External"/><Relationship Id="rId224" Type="http://schemas.openxmlformats.org/officeDocument/2006/relationships/hyperlink" Target="file:///\\cbprint\..\..\..\..\..\..\..\..\Documents\Actas%20de%20liquidaci&#243;n%20aprobados\LIQUIDACIONES%202015\160022-%20CASA%20EL%20TIEMPO.pdf" TargetMode="External"/><Relationship Id="rId245" Type="http://schemas.openxmlformats.org/officeDocument/2006/relationships/hyperlink" Target="file:///\\cbprint\..\..\..\..\..\..\..\..\Documents\Actas%20de%20liquidaci&#243;n%20aprobados\LIQUIDACIONES%202015\160294-%20MARTIN%20LOPEZ.pdf" TargetMode="External"/><Relationship Id="rId266" Type="http://schemas.openxmlformats.org/officeDocument/2006/relationships/hyperlink" Target="file:///\\cbprint\Documents\Actas%20de%20liquidaci&#243;n%20aprobados\2017\170045-%20ETB.pdf" TargetMode="External"/><Relationship Id="rId287" Type="http://schemas.openxmlformats.org/officeDocument/2006/relationships/hyperlink" Target="file:///\\cbprint\Documents\Actas%20de%20liquidaci&#243;n%20aprobados\2008-2012\050000-155-0-2012%20EDITORIAL%20EL%20GLOBO.pdf" TargetMode="External"/><Relationship Id="rId410" Type="http://schemas.openxmlformats.org/officeDocument/2006/relationships/hyperlink" Target="../../AppData/Roaming/Microsoft/Documents/BACKUP%20DOCUMENTOS%20MAR/Actas%20de%20liquidaci&#243;n%20aprobados/2017/170331-%20POLITECNICO%20GRAN%20COLOMBIANO.pdf" TargetMode="External"/><Relationship Id="rId30" Type="http://schemas.openxmlformats.org/officeDocument/2006/relationships/hyperlink" Target="file:///\\cbprint\..\..\..\..\..\..\..\..\Documents\Actas%20de%20liquidaci&#243;n%20aprobados\LIQUIDACIONES%202015\150346-%20JOHN%20KENNEDY%20LEON.pdf" TargetMode="External"/><Relationship Id="rId105" Type="http://schemas.openxmlformats.org/officeDocument/2006/relationships/hyperlink" Target="file:///\\cbprint\..\..\..\..\..\..\..\..\Documents\Actas%20de%20liquidaci&#243;n%20aprobados\LIQUIDACIONES%202015\150249-%20BRANCH%20MICROSOFT.pdf" TargetMode="External"/><Relationship Id="rId126" Type="http://schemas.openxmlformats.org/officeDocument/2006/relationships/hyperlink" Target="file:///\\cbprint\..\..\..\..\..\..\..\..\Documents\Actas%20de%20liquidaci&#243;n%20aprobados\130241-0-2013%20-%20ok.pdf" TargetMode="External"/><Relationship Id="rId147" Type="http://schemas.openxmlformats.org/officeDocument/2006/relationships/hyperlink" Target="file:///\\cbprint\..\..\..\..\..\..\..\..\Documents\Actas%20de%20liquidaci&#243;n%20aprobados\INFORME%20FINAL%20140152-0-2014%20ROSA%20ENRIQUELINA%20GOMEZ%20CORREDOR.pdf" TargetMode="External"/><Relationship Id="rId168" Type="http://schemas.openxmlformats.org/officeDocument/2006/relationships/hyperlink" Target="file:///\\cbprint\..\..\..\..\..\..\..\..\Documents\Actas%20de%20liquidaci&#243;n%20aprobados\LIQUIDACIONES%202015\140179.pdf" TargetMode="External"/><Relationship Id="rId312" Type="http://schemas.openxmlformats.org/officeDocument/2006/relationships/hyperlink" Target="file:///\\cbprint\Documents\Actas%20de%20liquidaci&#243;n%20aprobados\2008-2012\050000-333-0-2012%20POSITIVA%20COMPA&#209;IA%20DE%20SEGUROS.pdf" TargetMode="External"/><Relationship Id="rId333" Type="http://schemas.openxmlformats.org/officeDocument/2006/relationships/hyperlink" Target="file:///\\cbprint\..\..\..\..\Documents\Actas%20de%20liquidaci&#243;n%20aprobados\2013\130209-%20LA%20UNIDAD.pdf" TargetMode="External"/><Relationship Id="rId354" Type="http://schemas.openxmlformats.org/officeDocument/2006/relationships/hyperlink" Target="file:///\\cbprint\Documents\BACKUP%20DOCUMENTOS%20MAR\Actas%20de%20liquidaci&#243;n%20aprobados\2017\170040-%20ORACLE.pdf" TargetMode="External"/><Relationship Id="rId51" Type="http://schemas.openxmlformats.org/officeDocument/2006/relationships/hyperlink" Target="file:///\\cbprint\..\..\..\..\..\..\..\..\Documents\Actas%20de%20liquidaci&#243;n%20aprobados\LIQUIDACIONES%202015\160119-%20ANGELICA%20MARIA%20RUBIO.pdf" TargetMode="External"/><Relationship Id="rId72" Type="http://schemas.openxmlformats.org/officeDocument/2006/relationships/hyperlink" Target="file:///\\cbprint\..\..\..\..\..\..\..\..\Documents\Actas%20de%20liquidaci&#243;n%20aprobados\LIQUIDACIONES%202015\120000-463-0-2010%20%20AUTOMARKET.pdf" TargetMode="External"/><Relationship Id="rId93" Type="http://schemas.openxmlformats.org/officeDocument/2006/relationships/hyperlink" Target="file:///\\cbprint\..\..\..\..\..\..\..\..\Documents\Actas%20de%20liquidaci&#243;n%20aprobados\LIQUIDACIONES%202015\140219-%20MARKET%20GROUP.pdf" TargetMode="External"/><Relationship Id="rId189" Type="http://schemas.openxmlformats.org/officeDocument/2006/relationships/hyperlink" Target="file:///\\cbprint\..\..\..\..\..\..\..\..\Documents\Actas%20de%20liquidaci&#243;n%20aprobados\LIQUIDACIONES%202015\140174-%20MOTORYSA.pdf" TargetMode="External"/><Relationship Id="rId375" Type="http://schemas.openxmlformats.org/officeDocument/2006/relationships/hyperlink" Target="file:///\\cbprint\Documents\BACKUP%20DOCUMENTOS%20MAR\Actas%20de%20liquidaci&#243;n%20aprobados\2017\170085-%20SERVIASEO.pdf" TargetMode="External"/><Relationship Id="rId396" Type="http://schemas.openxmlformats.org/officeDocument/2006/relationships/hyperlink" Target="file:///\\cbprint\Documents\BACKUP%20DOCUMENTOS%20MAR\Actas%20de%20liquidaci&#243;n%20aprobados\2013\130298-%20SOLUCIONES%20INTEGRALES.pdf" TargetMode="External"/><Relationship Id="rId3" Type="http://schemas.openxmlformats.org/officeDocument/2006/relationships/hyperlink" Target="file:///\\cbprint\..\..\..\..\..\..\..\..\Documents\Actas%20de%20liquidaci&#243;n%20aprobados\LIQUIDACIONES%202015\150049-ROSA%20E.%20GOMEZ.pdf" TargetMode="External"/><Relationship Id="rId214" Type="http://schemas.openxmlformats.org/officeDocument/2006/relationships/hyperlink" Target="file:///\\cbprint\..\..\..\..\..\..\..\..\Documents\Actas%20de%20liquidaci&#243;n%20aprobados\LIQUIDACIONES%202015\150123-%20EL%20TIEMPO.pdf" TargetMode="External"/><Relationship Id="rId235" Type="http://schemas.openxmlformats.org/officeDocument/2006/relationships/hyperlink" Target="file:///\\cbprint\..\..\..\..\..\..\..\..\Documents\Actas%20de%20liquidaci&#243;n%20aprobados\LIQUIDACIONES%202015\160113-%20KHAANKO%20RUIZ.pdf" TargetMode="External"/><Relationship Id="rId256" Type="http://schemas.openxmlformats.org/officeDocument/2006/relationships/hyperlink" Target="file:///\\cbprint\Documents\Actas%20de%20liquidaci&#243;n%20aprobados\LIQUIDACIONES%202015\160233-%20INFORMATICA%20DOCUMENTAL.pdf" TargetMode="External"/><Relationship Id="rId277" Type="http://schemas.openxmlformats.org/officeDocument/2006/relationships/hyperlink" Target="file:///\\cbprint\Documents\Actas%20de%20liquidaci&#243;n%20aprobados\2016\160082.pdf" TargetMode="External"/><Relationship Id="rId298" Type="http://schemas.openxmlformats.org/officeDocument/2006/relationships/hyperlink" Target="file:///\\cbprint\Documents\Actas%20de%20liquidaci&#243;n%20aprobados\2017\170095-%20DPC.pdf" TargetMode="External"/><Relationship Id="rId400" Type="http://schemas.openxmlformats.org/officeDocument/2006/relationships/hyperlink" Target="file:///\\cbprint\Documents\BACKUP%20DOCUMENTOS%20MAR\Actas%20de%20liquidaci&#243;n%20aprobados\2017\170185-%20CANAL%20CAPITAL.pdf" TargetMode="External"/><Relationship Id="rId421" Type="http://schemas.openxmlformats.org/officeDocument/2006/relationships/hyperlink" Target="../../AppData/Roaming/Documents/BACKUP%20DOCUMENTOS%20MAR/Actas%20de%20liquidaci&#243;n%20aprobados/2018/180169-%20KEY%20MARKET.pdf" TargetMode="External"/><Relationship Id="rId116" Type="http://schemas.openxmlformats.org/officeDocument/2006/relationships/hyperlink" Target="file:///\\cbprint\..\..\..\..\..\..\..\..\Documents\Actas%20de%20liquidaci&#243;n%20aprobados\040000-1118-0-2008%20COLOMBIANA%20DE%20SOFTWARE%20Y%20HARDWARE%20COLSOF%20SA%20-%20ok.pdf" TargetMode="External"/><Relationship Id="rId137" Type="http://schemas.openxmlformats.org/officeDocument/2006/relationships/hyperlink" Target="file:///\\cbprint\..\..\..\..\..\..\..\..\Documents\Actas%20de%20liquidaci&#243;n%20aprobados\140244-0-2014%20INDUSTRIAS%20QUIMICAS%20FIQ%20LTDA%20-%20ok.pdf" TargetMode="External"/><Relationship Id="rId158" Type="http://schemas.openxmlformats.org/officeDocument/2006/relationships/hyperlink" Target="file:///\\cbprint\..\..\..\..\..\..\..\..\Documents\Actas%20de%20liquidaci&#243;n%20aprobados\liquidacion%20cto%20151-2012%20-%20ok.pdf" TargetMode="External"/><Relationship Id="rId302" Type="http://schemas.openxmlformats.org/officeDocument/2006/relationships/hyperlink" Target="file:///\\cbprint\Documents\Actas%20de%20liquidaci&#243;n%20aprobados\2016\160284-%20EDITORES%20CONARTE.pdf" TargetMode="External"/><Relationship Id="rId323" Type="http://schemas.openxmlformats.org/officeDocument/2006/relationships/hyperlink" Target="file:///\\cbprint\..\..\..\..\Documents\Actas%20de%20liquidaci&#243;n%20aprobados\2017\170002-%20UNP.pdf" TargetMode="External"/><Relationship Id="rId344" Type="http://schemas.openxmlformats.org/officeDocument/2006/relationships/hyperlink" Target="file:///\\cbprint\Documents\Actas%20de%20liquidaci&#243;n%20aprobados\2016\160180-%20INVERSIONES%20MATAY.pdf" TargetMode="External"/><Relationship Id="rId20" Type="http://schemas.openxmlformats.org/officeDocument/2006/relationships/hyperlink" Target="file:///\\cbprint\..\..\..\..\..\..\..\..\Documents\Actas%20de%20liquidaci&#243;n%20aprobados\LIQUIDACIONES%202015\150254-%20OFICOMCO.pdf" TargetMode="External"/><Relationship Id="rId41" Type="http://schemas.openxmlformats.org/officeDocument/2006/relationships/hyperlink" Target="file:///\\cbprint\..\..\..\..\..\..\..\..\Documents\Actas%20de%20liquidaci&#243;n%20aprobados\LIQUIDACIONES%202015\140313-%20M@ICROTEL.pdf" TargetMode="External"/><Relationship Id="rId62" Type="http://schemas.openxmlformats.org/officeDocument/2006/relationships/hyperlink" Target="file:///\\cbprint\..\..\..\..\..\..\..\..\Documents\Actas%20de%20liquidaci&#243;n%20aprobados\LIQUIDACIONES%202015\140367-%20CRECE%20Ltda.pdf" TargetMode="External"/><Relationship Id="rId83" Type="http://schemas.openxmlformats.org/officeDocument/2006/relationships/hyperlink" Target="file:///\\cbprint\..\..\..\..\..\..\..\..\Documents\Actas%20de%20liquidaci&#243;n%20aprobados\LIQUIDACIONES%202015\160066-%20JOHN%20KENNEDY%20LEON.pdf" TargetMode="External"/><Relationship Id="rId179" Type="http://schemas.openxmlformats.org/officeDocument/2006/relationships/hyperlink" Target="file:///\\cbprint\..\..\..\..\..\..\..\..\Documents\Actas%20de%20liquidaci&#243;n%20aprobados\LIQUIDACIONES%202015\150275-%20ROSA%20YASMIN%20CASTRO.pdf" TargetMode="External"/><Relationship Id="rId365" Type="http://schemas.openxmlformats.org/officeDocument/2006/relationships/hyperlink" Target="file:///\\cbprint\Documents\BACKUP%20DOCUMENTOS%20MAR\Actas%20de%20liquidaci&#243;n%20aprobados\2017\170264-%20AXEDE%20SA.pdf" TargetMode="External"/><Relationship Id="rId386" Type="http://schemas.openxmlformats.org/officeDocument/2006/relationships/hyperlink" Target="file:///\\cbprint\Documents\BACKUP%20DOCUMENTOS%20MAR\Actas%20de%20liquidaci&#243;n%20aprobados\2016\160150-%20ALKOSTO.pdf" TargetMode="External"/><Relationship Id="rId190" Type="http://schemas.openxmlformats.org/officeDocument/2006/relationships/hyperlink" Target="file:///\\cbprint\..\..\..\..\..\..\..\..\Documents\Actas%20de%20liquidaci&#243;n%20aprobados\LIQUIDACIONES%202015\140186-%20SECURITY%20COM.pdf" TargetMode="External"/><Relationship Id="rId204" Type="http://schemas.openxmlformats.org/officeDocument/2006/relationships/hyperlink" Target="file:///\\cbprint\..\..\..\..\..\..\..\..\Documents\Actas%20de%20liquidaci&#243;n%20aprobados\LIQUIDACIONES%202015\130156-%20SOLUTION%20COPY.pdf" TargetMode="External"/><Relationship Id="rId225" Type="http://schemas.openxmlformats.org/officeDocument/2006/relationships/hyperlink" Target="file:///\\cbprint\..\..\..\..\..\..\..\..\Documents\Actas%20de%20liquidaci&#243;n%20aprobados\LIQUIDACIONES%202015\160045-%20VOMD.pdf" TargetMode="External"/><Relationship Id="rId246" Type="http://schemas.openxmlformats.org/officeDocument/2006/relationships/hyperlink" Target="file:///\\cbprint\..\..\..\..\..\..\..\..\Documents\Actas%20de%20liquidaci&#243;n%20aprobados\LIQUIDACIONES%202015\160314-%20SIIGO%20SA.pdf" TargetMode="External"/><Relationship Id="rId267" Type="http://schemas.openxmlformats.org/officeDocument/2006/relationships/hyperlink" Target="file:///\\cbprint\Documents\Actas%20de%20liquidaci&#243;n%20aprobados\2008-2012\120000-371-0-2012%20-%20ORGANIZACION%20TERPEL.pdf" TargetMode="External"/><Relationship Id="rId288" Type="http://schemas.openxmlformats.org/officeDocument/2006/relationships/hyperlink" Target="file:///\\cbprint\Documents\Actas%20de%20liquidaci&#243;n%20aprobados\2013\130364-%20FERNANDO%20SOTOMONTE.pdf" TargetMode="External"/><Relationship Id="rId411" Type="http://schemas.openxmlformats.org/officeDocument/2006/relationships/hyperlink" Target="../../AppData/Roaming/Microsoft/Documents/BACKUP%20DOCUMENTOS%20MAR/Actas%20de%20liquidaci&#243;n%20aprobados/2017/170311-%20INSTITUCIONAL%20STAR%20SERVICES.pdf" TargetMode="External"/><Relationship Id="rId106" Type="http://schemas.openxmlformats.org/officeDocument/2006/relationships/hyperlink" Target="file:///\\cbprint\..\..\..\..\..\..\..\..\Documents\Actas%20de%20liquidaci&#243;n%20aprobados\LIQUIDACIONES%202015\160277-%20controles%20empresariales.pdf" TargetMode="External"/><Relationship Id="rId127" Type="http://schemas.openxmlformats.org/officeDocument/2006/relationships/hyperlink" Target="file:///\\cbprint\..\..\..\..\..\..\..\..\Documents\Actas%20de%20liquidaci&#243;n%20aprobados\130261-0-2013%20-%20Acta%20de%20liquidaci&#243;n%20-%20ok.pdf" TargetMode="External"/><Relationship Id="rId313" Type="http://schemas.openxmlformats.org/officeDocument/2006/relationships/hyperlink" Target="file:///\\cbprint\Documents\Actas%20de%20liquidaci&#243;n%20aprobados\2013\130349-%20PUBBLICA%20SAS.pdf" TargetMode="External"/><Relationship Id="rId10" Type="http://schemas.openxmlformats.org/officeDocument/2006/relationships/hyperlink" Target="file:///\\cbprint\..\..\..\..\..\..\..\..\Documents\Actas%20de%20liquidaci&#243;n%20aprobados\LIQUIDACIONES%202015\150209-%20A&amp;V%20EXPRESS.pdf" TargetMode="External"/><Relationship Id="rId31" Type="http://schemas.openxmlformats.org/officeDocument/2006/relationships/hyperlink" Target="file:///\\cbprint\..\..\..\..\..\..\..\..\Documents\Actas%20de%20liquidaci&#243;n%20aprobados\LIQUIDACIONES%202015\150353-%20NEW%20STETIC%20SA.pdf" TargetMode="External"/><Relationship Id="rId52" Type="http://schemas.openxmlformats.org/officeDocument/2006/relationships/hyperlink" Target="file:///\\cbprint\..\..\..\..\..\..\..\..\Documents\Actas%20de%20liquidaci&#243;n%20aprobados\LIQUIDACIONES%202015\150373-0-2015%20CRECE.pdf" TargetMode="External"/><Relationship Id="rId73" Type="http://schemas.openxmlformats.org/officeDocument/2006/relationships/hyperlink" Target="file:///\\cbprint\..\..\..\..\..\..\..\..\Documents\Actas%20de%20liquidaci&#243;n%20aprobados\LIQUIDACIONES%202015\170014-%20JAVIER%20I.%20JATIVA.pdf" TargetMode="External"/><Relationship Id="rId94" Type="http://schemas.openxmlformats.org/officeDocument/2006/relationships/hyperlink" Target="file:///\\cbprint\..\..\..\..\..\..\..\..\Documents\Actas%20de%20liquidaci&#243;n%20aprobados\LIQUIDACIONES%202015\140222.pdf" TargetMode="External"/><Relationship Id="rId148" Type="http://schemas.openxmlformats.org/officeDocument/2006/relationships/hyperlink" Target="file:///\\cbprint\..\..\..\..\..\..\..\..\Documents\Actas%20de%20liquidaci&#243;n%20aprobados\INFORME%20FINAL%20140291-0-2014%20NAYIVE%20CARRASCO%20PATINO.pdf" TargetMode="External"/><Relationship Id="rId169" Type="http://schemas.openxmlformats.org/officeDocument/2006/relationships/hyperlink" Target="file:///\\cbprint\..\..\..\..\..\..\..\..\Documents\Actas%20de%20liquidaci&#243;n%20aprobados\LIQUIDACIONES%202015\140181.pdf" TargetMode="External"/><Relationship Id="rId334" Type="http://schemas.openxmlformats.org/officeDocument/2006/relationships/hyperlink" Target="file:///\\cbprint\..\..\..\..\Documents\Actas%20de%20liquidaci&#243;n%20aprobados\2008-2012\120000-416-0-2012-%20COD.pdf" TargetMode="External"/><Relationship Id="rId355" Type="http://schemas.openxmlformats.org/officeDocument/2006/relationships/hyperlink" Target="file:///\\cbprint\Documents\BACKUP%20DOCUMENTOS%20MAR\Actas%20de%20liquidaci&#243;n%20aprobados\2017\170081-%20CARRERA%2050.pdf" TargetMode="External"/><Relationship Id="rId376" Type="http://schemas.openxmlformats.org/officeDocument/2006/relationships/hyperlink" Target="file:///\\cbprint\Documents\BACKUP%20DOCUMENTOS%20MAR\Actas%20de%20liquidaci&#243;n%20aprobados\2018\180149-%20EL%20RINCON%20DEPORTIVO.pdf" TargetMode="External"/><Relationship Id="rId397" Type="http://schemas.openxmlformats.org/officeDocument/2006/relationships/hyperlink" Target="file:///\\cbprint\Documents\BACKUP%20DOCUMENTOS%20MAR\Actas%20de%20liquidaci&#243;n%20aprobados\2016\160060-%20AGR%20SOLUCIONES.pdf" TargetMode="External"/><Relationship Id="rId4" Type="http://schemas.openxmlformats.org/officeDocument/2006/relationships/hyperlink" Target="file:///\\cbprint\..\..\..\..\..\..\..\..\Documents\Actas%20de%20liquidaci&#243;n%20aprobados\LIQUIDACIONES%202015\150035-%20Edgar%20Eulices.pdf" TargetMode="External"/><Relationship Id="rId180" Type="http://schemas.openxmlformats.org/officeDocument/2006/relationships/hyperlink" Target="file:///\\cbprint\..\..\..\..\..\..\..\..\Documents\Actas%20de%20liquidaci&#243;n%20aprobados\LIQUIDACIONES%202015\150280-%20%20PATRICIA%20DEL%20ROCIO%20PE&#209;A.pdf" TargetMode="External"/><Relationship Id="rId215" Type="http://schemas.openxmlformats.org/officeDocument/2006/relationships/hyperlink" Target="file:///\\cbprint\..\..\..\..\..\..\..\..\Documents\Actas%20de%20liquidaci&#243;n%20aprobados\LIQUIDACIONES%202015\150192%20-%20MATAY.pdf" TargetMode="External"/><Relationship Id="rId236" Type="http://schemas.openxmlformats.org/officeDocument/2006/relationships/hyperlink" Target="file:///\\cbprint\..\..\..\..\..\..\..\..\Documents\Actas%20de%20liquidaci&#243;n%20aprobados\LIQUIDACIONES%202015\160199-%20BUSINESS%20TECHNOLOGIES.pdf" TargetMode="External"/><Relationship Id="rId257" Type="http://schemas.openxmlformats.org/officeDocument/2006/relationships/hyperlink" Target="file:///\\cbprint\Documents\Actas%20de%20liquidaci&#243;n%20aprobados\LIQUIDACIONES%202015\150104-%20ETB.pdf" TargetMode="External"/><Relationship Id="rId278" Type="http://schemas.openxmlformats.org/officeDocument/2006/relationships/hyperlink" Target="file:///\\cbprint\Documents\BACKUP%20DOCUMENTOS%20MAR\Actas%20de%20liquidaci&#243;n%20aprobados\2016\160049-%20UNIVERSIDAD%20NACIONAL.pdf" TargetMode="External"/><Relationship Id="rId401" Type="http://schemas.openxmlformats.org/officeDocument/2006/relationships/hyperlink" Target="file:///\\cbprint\Documents\BACKUP%20DOCUMENTOS%20MAR\Actas%20de%20liquidaci&#243;n%20aprobados\2017\170186-%20INFORMATICA%20DOCUMENTAL.pdf" TargetMode="External"/><Relationship Id="rId422" Type="http://schemas.openxmlformats.org/officeDocument/2006/relationships/hyperlink" Target="../../AppData/Roaming/Documents/BACKUP%20DOCUMENTOS%20MAR/Actas%20de%20liquidaci&#243;n%20aprobados/2013/130152-%20EDITORIAL%20EL%20GLOBO.pdf" TargetMode="External"/><Relationship Id="rId303" Type="http://schemas.openxmlformats.org/officeDocument/2006/relationships/hyperlink" Target="file:///\\cbprint\Documents\Actas%20de%20liquidaci&#243;n%20aprobados\2014\140215-%20UT%20EMINSER.pdf" TargetMode="External"/><Relationship Id="rId42" Type="http://schemas.openxmlformats.org/officeDocument/2006/relationships/hyperlink" Target="file:///\\cbprint\..\..\..\..\..\..\..\..\Documents\Actas%20de%20liquidaci&#243;n%20aprobados\LIQUIDACIONES%202015\140210.pdf" TargetMode="External"/><Relationship Id="rId84" Type="http://schemas.openxmlformats.org/officeDocument/2006/relationships/hyperlink" Target="file:///\\cbprint\..\..\..\..\..\..\..\..\Documents\Actas%20de%20liquidaci&#243;n%20aprobados\LIQUIDACIONES%202015\160142-%20CAMILO%20SARMIENTO.pdf" TargetMode="External"/><Relationship Id="rId138" Type="http://schemas.openxmlformats.org/officeDocument/2006/relationships/hyperlink" Target="file:///\\cbprint\..\..\..\..\..\..\..\..\Documents\Actas%20de%20liquidaci&#243;n%20aprobados\140330-0-2014%20-%20Informe%20final%20SOLUCIONES%20INTEGRALES%20DE%20OFICINA%20SAS%20(2).pdf" TargetMode="External"/><Relationship Id="rId345" Type="http://schemas.openxmlformats.org/officeDocument/2006/relationships/hyperlink" Target="file:///\\cbprint\Documents\Actas%20de%20liquidaci&#243;n%20aprobados\2015\150124-%20DPC.pdf" TargetMode="External"/><Relationship Id="rId387" Type="http://schemas.openxmlformats.org/officeDocument/2006/relationships/hyperlink" Target="file:///\\cbprint\Documents\BACKUP%20DOCUMENTOS%20MAR\Actas%20de%20liquidaci&#243;n%20aprobados\2015\150097-%20TERPEL.pdf" TargetMode="External"/><Relationship Id="rId191" Type="http://schemas.openxmlformats.org/officeDocument/2006/relationships/hyperlink" Target="file:///\\cbprint\..\..\..\..\..\..\..\..\Documents\Actas%20de%20liquidaci&#243;n%20aprobados\LIQUIDACIONES%202015\140188-%20HERNANDO%20BULLA.pdf" TargetMode="External"/><Relationship Id="rId205" Type="http://schemas.openxmlformats.org/officeDocument/2006/relationships/hyperlink" Target="file:///\\cbprint\..\..\..\..\..\..\..\..\Documents\Actas%20de%20liquidaci&#243;n%20aprobados\LIQUIDACIONES%202015\130194-%20EMINSER.pdf" TargetMode="External"/><Relationship Id="rId247" Type="http://schemas.openxmlformats.org/officeDocument/2006/relationships/hyperlink" Target="file:///\\cbprint\..\..\..\..\..\..\..\..\Documents\Actas%20de%20liquidaci&#243;n%20aprobados\LIQUIDACIONES%202015\160301-%20INPROSERVICES.pdf" TargetMode="External"/><Relationship Id="rId412" Type="http://schemas.openxmlformats.org/officeDocument/2006/relationships/hyperlink" Target="../../AppData/Roaming/Microsoft/Documents/BACKUP%20DOCUMENTOS%20MAR/Actas%20de%20liquidaci&#243;n%20aprobados/2017/170304-%20SOLUTION%20COPY.pdf" TargetMode="External"/><Relationship Id="rId107" Type="http://schemas.openxmlformats.org/officeDocument/2006/relationships/hyperlink" Target="file:///\\cbprint\..\..\..\..\..\..\..\..\Documents\Actas%20de%20liquidaci&#243;n%20aprobados\LIQUIDACIONES%202015\160296-%20COLOMBIANA%20DE%20COMERCIO.pdf" TargetMode="External"/><Relationship Id="rId289" Type="http://schemas.openxmlformats.org/officeDocument/2006/relationships/hyperlink" Target="file:///\\cbprint\Documents\Actas%20de%20liquidaci&#243;n%20aprobados\2013\130336-%20CESAR%20GUERRERO.pdf" TargetMode="External"/><Relationship Id="rId11" Type="http://schemas.openxmlformats.org/officeDocument/2006/relationships/hyperlink" Target="file:///\\cbprint\..\..\..\..\..\..\..\..\Documents\Actas%20de%20liquidaci&#243;n%20aprobados\LIQUIDACIONES%202015\150200-%20INGELECTRO.pdf" TargetMode="External"/><Relationship Id="rId53" Type="http://schemas.openxmlformats.org/officeDocument/2006/relationships/hyperlink" Target="file:///\\cbprint\..\..\..\..\..\..\..\..\Documents\Actas%20de%20liquidaci&#243;n%20aprobados\LIQUIDACIONES%202015\050000-302-0-2011%20PORTES%20DE%20COLOMBIA.pdf" TargetMode="External"/><Relationship Id="rId149" Type="http://schemas.openxmlformats.org/officeDocument/2006/relationships/hyperlink" Target="file:///\\cbprint\..\..\..\..\..\..\..\..\Documents\Actas%20de%20liquidaci&#243;n%20aprobados\INFORME%20FINAL%20DE%20SUPERVISION%20CTO%20130163-0-2013.pdf" TargetMode="External"/><Relationship Id="rId314" Type="http://schemas.openxmlformats.org/officeDocument/2006/relationships/hyperlink" Target="file:///\\cbprint\Documents\Actas%20de%20liquidaci&#243;n%20aprobados\2008-2012\120000-525-0-2012%20GAMMA%20INGENIEROS.pdf" TargetMode="External"/><Relationship Id="rId356" Type="http://schemas.openxmlformats.org/officeDocument/2006/relationships/hyperlink" Target="file:///\\cbprint\Documents\BACKUP%20DOCUMENTOS%20MAR\Actas%20de%20liquidaci&#243;n%20aprobados\2017\170136-%20FACTOR%20VISUAL.pdf" TargetMode="External"/><Relationship Id="rId398" Type="http://schemas.openxmlformats.org/officeDocument/2006/relationships/hyperlink" Target="file:///\\cbprint\Documents\BACKUP%20DOCUMENTOS%20MAR\Actas%20de%20liquidaci&#243;n%20aprobados\2017\170103-GRANADOS%20Y%20CONDECORACIONES.pdf" TargetMode="External"/><Relationship Id="rId95" Type="http://schemas.openxmlformats.org/officeDocument/2006/relationships/hyperlink" Target="file:///\\cbprint\..\..\..\..\..\..\..\..\Documents\Actas%20de%20liquidaci&#243;n%20aprobados\140172-0-2014%20SONA%20GREEEN%20-%20Acta%20de%20liquidaci&#243;n%20-%20ok.pdf" TargetMode="External"/><Relationship Id="rId160" Type="http://schemas.openxmlformats.org/officeDocument/2006/relationships/hyperlink" Target="file:///\\cbprint\..\..\..\..\..\..\..\..\Documents\Actas%20de%20liquidaci&#243;n%20aprobados\liquidacion%20cto%20381-2012%20(2)%20-%20ok.pdf" TargetMode="External"/><Relationship Id="rId216" Type="http://schemas.openxmlformats.org/officeDocument/2006/relationships/hyperlink" Target="file:///\\cbprint\..\..\..\..\..\..\..\..\Documents\Actas%20de%20liquidaci&#243;n%20aprobados\LIQUIDACIONES%202015\150152-%20AGUAFILTERS.pdf" TargetMode="External"/><Relationship Id="rId423" Type="http://schemas.openxmlformats.org/officeDocument/2006/relationships/hyperlink" Target="../../AppData/Roaming/Documents/BACKUP%20DOCUMENTOS%20MAR/Actas%20de%20liquidaci&#243;n%20aprobados/2008-2012/050000-356-0-2012%20AMANDA%20LILIANA%20RICO.pdf" TargetMode="External"/><Relationship Id="rId258" Type="http://schemas.openxmlformats.org/officeDocument/2006/relationships/hyperlink" Target="file:///\\cbprint\Documents\Actas%20de%20liquidaci&#243;n%20aprobados\LIQUIDACIONES%202015\160243-%20BUSINESSMIND%20COLOMBIA.pdf" TargetMode="External"/><Relationship Id="rId22" Type="http://schemas.openxmlformats.org/officeDocument/2006/relationships/hyperlink" Target="file:///\\cbprint\..\..\..\..\..\..\..\..\Documents\Actas%20de%20liquidaci&#243;n%20aprobados\LIQUIDACIONES%202015\150252-%20INSTITUCIONAL%20STAR%20SERVICES.pdf" TargetMode="External"/><Relationship Id="rId64" Type="http://schemas.openxmlformats.org/officeDocument/2006/relationships/hyperlink" Target="file:///\\cbprint\..\..\..\..\..\..\..\..\Documents\Actas%20de%20liquidaci&#243;n%20aprobados\LIQUIDACIONES%202015\160152-%20CLAUDIA%20ELVIRA%20RODRIGUEZ.pdf" TargetMode="External"/><Relationship Id="rId118" Type="http://schemas.openxmlformats.org/officeDocument/2006/relationships/hyperlink" Target="file:///\\cbprint\..\..\..\..\..\..\..\..\Documents\Actas%20de%20liquidaci&#243;n%20aprobados\130129-0-2013%20SOCIEDAD%20ENTORNO%20Y%20CIA%20LTDA%20-%20ok.pdf" TargetMode="External"/><Relationship Id="rId325" Type="http://schemas.openxmlformats.org/officeDocument/2006/relationships/hyperlink" Target="file:///\\cbprint\..\..\..\..\Documents\Actas%20de%20liquidaci&#243;n%20aprobados\2015\150386-%20ALMACENES%20EXITO.pdf" TargetMode="External"/><Relationship Id="rId367" Type="http://schemas.openxmlformats.org/officeDocument/2006/relationships/hyperlink" Target="file:///\\cbprint\Documents\BACKUP%20DOCUMENTOS%20MAR\Actas%20de%20liquidaci&#243;n%20aprobados\2017\170326-%20USA%20POSTAL.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6-12-5092008" TargetMode="External"/><Relationship Id="rId671" Type="http://schemas.openxmlformats.org/officeDocument/2006/relationships/hyperlink" Target="https://community.secop.gov.co/Public/Tendering/ContractNoticeManagement/Index?currentLanguage=es-CO&amp;Page=login&amp;Country=CO&amp;SkinName=CCE" TargetMode="External"/><Relationship Id="rId769" Type="http://schemas.openxmlformats.org/officeDocument/2006/relationships/hyperlink" Target="http://www.contratos.gov.co/consultas/detalleProceso.do?numConstancia=14-13-2687480" TargetMode="External"/><Relationship Id="rId976" Type="http://schemas.openxmlformats.org/officeDocument/2006/relationships/hyperlink" Target="https://community.secop.gov.co/Public/Tendering/ContractNoticeManagement/Index?currentLanguage=es-CO&amp;Page=login&amp;Country=CO&amp;SkinName=CCE" TargetMode="External"/><Relationship Id="rId21" Type="http://schemas.openxmlformats.org/officeDocument/2006/relationships/hyperlink" Target="https://www.contratos.gov.co/consultas/detalleProceso.do?numConstancia=15-13-3639794" TargetMode="External"/><Relationship Id="rId324" Type="http://schemas.openxmlformats.org/officeDocument/2006/relationships/hyperlink" Target="https://www.contratos.gov.co/consultas/detalleProceso.do?numConstancia=17-12-7269790" TargetMode="External"/><Relationship Id="rId531" Type="http://schemas.openxmlformats.org/officeDocument/2006/relationships/hyperlink" Target="https://www.contratos.gov.co/consultas/detalleProceso.do?numConstancia=15-12-3272948" TargetMode="External"/><Relationship Id="rId629" Type="http://schemas.openxmlformats.org/officeDocument/2006/relationships/hyperlink" Target="https://community.secop.gov.co/Public/Tendering/ContractNoticeManagement/Index?currentLanguage=es-CO&amp;Page=login&amp;Country=CO&amp;SkinName=CCE" TargetMode="External"/><Relationship Id="rId170" Type="http://schemas.openxmlformats.org/officeDocument/2006/relationships/hyperlink" Target="https://www.contratos.gov.co/consultas/detalleProceso.do?numConstancia=14-9-388863" TargetMode="External"/><Relationship Id="rId836" Type="http://schemas.openxmlformats.org/officeDocument/2006/relationships/hyperlink" Target="https://www.contratos.gov.co/consultas/detalleProceso.do?numConstancia=13-13-1608145" TargetMode="External"/><Relationship Id="rId268" Type="http://schemas.openxmlformats.org/officeDocument/2006/relationships/hyperlink" Target="https://www.contratos.gov.co/consultas/detalleProceso.do?numConstancia=17-11-6306065" TargetMode="External"/><Relationship Id="rId475" Type="http://schemas.openxmlformats.org/officeDocument/2006/relationships/hyperlink" Target="https://community.secop.gov.co/Public/Tendering/ContractNoticeManagement/Index?currentLanguage=es-CO&amp;Page=login&amp;Country=CO&amp;SkinName=CCE" TargetMode="External"/><Relationship Id="rId682" Type="http://schemas.openxmlformats.org/officeDocument/2006/relationships/hyperlink" Target="https://www.contratos.gov.co/consultas/detalleProceso.do?numConstancia=19-12-9931356" TargetMode="External"/><Relationship Id="rId903" Type="http://schemas.openxmlformats.org/officeDocument/2006/relationships/hyperlink" Target="https://community.secop.gov.co/Public/Tendering/ContractNoticeManagement/Index?currentLanguage=es-CO&amp;Page=login&amp;Country=CO&amp;SkinName=CCE" TargetMode="External"/><Relationship Id="rId32" Type="http://schemas.openxmlformats.org/officeDocument/2006/relationships/hyperlink" Target="https://www.contratos.gov.co/consultas/detalleProceso.do?numConstancia=15-12-3804640" TargetMode="External"/><Relationship Id="rId128" Type="http://schemas.openxmlformats.org/officeDocument/2006/relationships/hyperlink" Target="http://www.contratos.gov.co/consultas/detalleProceso.do?numConstancia=16-13-5091709" TargetMode="External"/><Relationship Id="rId335" Type="http://schemas.openxmlformats.org/officeDocument/2006/relationships/hyperlink" Target="https://www.contratos.gov.co/consultas/detalleProceso.do?numConstancia=17-13-7250578" TargetMode="External"/><Relationship Id="rId542" Type="http://schemas.openxmlformats.org/officeDocument/2006/relationships/hyperlink" Target="https://www.contratos.gov.co/consultas/detalleProceso.do?numConstancia=13-11-2002240" TargetMode="External"/><Relationship Id="rId987" Type="http://schemas.openxmlformats.org/officeDocument/2006/relationships/hyperlink" Target="https://community.secop.gov.co/Public/Tendering/ContractNoticeManagement/Index?currentLanguage=es-CO&amp;Page=login&amp;Country=CO&amp;SkinName=CCE" TargetMode="External"/><Relationship Id="rId181" Type="http://schemas.openxmlformats.org/officeDocument/2006/relationships/hyperlink" Target="https://www.contratos.gov.co/consultas/detalleProceso.do?numConstancia=16-12-5540580" TargetMode="External"/><Relationship Id="rId402" Type="http://schemas.openxmlformats.org/officeDocument/2006/relationships/hyperlink" Target="https://www.contratos.gov.co/consultas/detalleProceso.do?numConstancia=18-13-8156432" TargetMode="External"/><Relationship Id="rId847" Type="http://schemas.openxmlformats.org/officeDocument/2006/relationships/hyperlink" Target="https://www.contratos.gov.co/consultas/detalleProceso.do?numConstancia=13-13-1682145" TargetMode="External"/><Relationship Id="rId279" Type="http://schemas.openxmlformats.org/officeDocument/2006/relationships/hyperlink" Target="https://www.contratos.gov.co/consultas/detalleProceso.do?numConstancia=17-17-6397659" TargetMode="External"/><Relationship Id="rId486" Type="http://schemas.openxmlformats.org/officeDocument/2006/relationships/hyperlink" Target="https://www.colombiacompra.gov.co/tienda-virtual-del-estado-colombiano/ordenes-compra/32348" TargetMode="External"/><Relationship Id="rId693" Type="http://schemas.openxmlformats.org/officeDocument/2006/relationships/hyperlink" Target="https://www.contratos.gov.co/consultas/detalleProceso.do?numConstancia=11-13-632605" TargetMode="External"/><Relationship Id="rId707" Type="http://schemas.openxmlformats.org/officeDocument/2006/relationships/hyperlink" Target="https://www.contratos.gov.co/consultas/detalleProceso.do?numConstancia=14-12-2315179" TargetMode="External"/><Relationship Id="rId914" Type="http://schemas.openxmlformats.org/officeDocument/2006/relationships/hyperlink" Target="https://community.secop.gov.co/Public/Tendering/ContractNoticeManagement/Index?currentLanguage=es-CO&amp;Page=login&amp;Country=CO&amp;SkinName=CCE" TargetMode="External"/><Relationship Id="rId43" Type="http://schemas.openxmlformats.org/officeDocument/2006/relationships/hyperlink" Target="http://www.contratos.gov.co/consultas/detalleProceso.do?numConstancia=15-13-3838289" TargetMode="External"/><Relationship Id="rId139" Type="http://schemas.openxmlformats.org/officeDocument/2006/relationships/hyperlink" Target="http://www.contratos.gov.co/consultas/detalleProceso.do?numConstancia=16-12-5255779" TargetMode="External"/><Relationship Id="rId346" Type="http://schemas.openxmlformats.org/officeDocument/2006/relationships/hyperlink" Target="https://www.colombiacompra.gov.co/tienda-virtual-del-estado-colombiano/ordenes-compra/24613" TargetMode="External"/><Relationship Id="rId553" Type="http://schemas.openxmlformats.org/officeDocument/2006/relationships/hyperlink" Target="https://community.secop.gov.co/Public/Tendering/ContractNoticeManagement/Index?currentLanguage=es-CO&amp;Page=login&amp;Country=CO&amp;SkinName=CCE" TargetMode="External"/><Relationship Id="rId760" Type="http://schemas.openxmlformats.org/officeDocument/2006/relationships/hyperlink" Target="https://www.contratos.gov.co/consultas/detalleProceso.do?numConstancia=14-12-2798101" TargetMode="External"/><Relationship Id="rId192" Type="http://schemas.openxmlformats.org/officeDocument/2006/relationships/hyperlink" Target="https://www.contratos.gov.co/consultas/detalleProceso.do?numConstancia=16-12-5627747" TargetMode="External"/><Relationship Id="rId206" Type="http://schemas.openxmlformats.org/officeDocument/2006/relationships/hyperlink" Target="https://www.contratos.gov.co/consultas/detalleProceso.do?numConstancia=16-13-5559064" TargetMode="External"/><Relationship Id="rId413" Type="http://schemas.openxmlformats.org/officeDocument/2006/relationships/hyperlink" Target="https://community.secop.gov.co/Public/Tendering/ContractNoticeManagement/Index?currentLanguage=es-CO&amp;Page=login&amp;Country=CO&amp;SkinName=CCE" TargetMode="External"/><Relationship Id="rId858" Type="http://schemas.openxmlformats.org/officeDocument/2006/relationships/hyperlink" Target="https://www.contratos.gov.co/consultas/detalleProceso.do?numConstancia=14-13-2707236" TargetMode="External"/><Relationship Id="rId497" Type="http://schemas.openxmlformats.org/officeDocument/2006/relationships/hyperlink" Target="https://www.contratos.gov.co/consultas/detalleProceso.do?numConstancia=13-11-1520078" TargetMode="External"/><Relationship Id="rId620" Type="http://schemas.openxmlformats.org/officeDocument/2006/relationships/hyperlink" Target="https://www.contratos.gov.co/consultas/detalleProceso.do?numConstancia=13-13-1701017" TargetMode="External"/><Relationship Id="rId718" Type="http://schemas.openxmlformats.org/officeDocument/2006/relationships/hyperlink" Target="https://community.secop.gov.co/Public/Tendering/ContractNoticeManagement/Index?currentLanguage=es-CO&amp;Page=login&amp;Country=CO&amp;SkinName=CCE" TargetMode="External"/><Relationship Id="rId925" Type="http://schemas.openxmlformats.org/officeDocument/2006/relationships/hyperlink" Target="https://community.secop.gov.co/Public/Tendering/ContractNoticeManagement/Index?currentLanguage=es-CO&amp;Page=login&amp;Country=CO&amp;SkinName=CCE" TargetMode="External"/><Relationship Id="rId357" Type="http://schemas.openxmlformats.org/officeDocument/2006/relationships/hyperlink" Target="https://www.contratos.gov.co/consultas/detalleProceso.do?numConstancia=18-13-7865890" TargetMode="External"/><Relationship Id="rId54" Type="http://schemas.openxmlformats.org/officeDocument/2006/relationships/hyperlink" Target="http://www.contratos.gov.co/consultas/detalleProceso.do?numConstancia=15-12-4009157" TargetMode="External"/><Relationship Id="rId217" Type="http://schemas.openxmlformats.org/officeDocument/2006/relationships/hyperlink" Target="http://colombiacompra.gov.co/tienda-virtual-del-estado-colombiano/orden-de-compra/12668" TargetMode="External"/><Relationship Id="rId564" Type="http://schemas.openxmlformats.org/officeDocument/2006/relationships/hyperlink" Target="https://www.colombiacompra.gov.co/tienda-virtual-del-estado-colombiano/ordenes-compra/35606" TargetMode="External"/><Relationship Id="rId771" Type="http://schemas.openxmlformats.org/officeDocument/2006/relationships/hyperlink" Target="http://www.contratos.gov.co/consultas/detalleProceso.do?numConstancia=14-12-2709352" TargetMode="External"/><Relationship Id="rId869" Type="http://schemas.openxmlformats.org/officeDocument/2006/relationships/hyperlink" Target="https://www.contratos.gov.co/consultas/detalleProceso.do?numConstancia=14-12-2673053" TargetMode="External"/><Relationship Id="rId424" Type="http://schemas.openxmlformats.org/officeDocument/2006/relationships/hyperlink" Target="https://community.secop.gov.co/Public/Tendering/ContractNoticeManagement/Index?currentLanguage=es-CO&amp;Page=login&amp;Country=CO&amp;SkinName=CCE" TargetMode="External"/><Relationship Id="rId631" Type="http://schemas.openxmlformats.org/officeDocument/2006/relationships/hyperlink" Target="https://www.contratos.gov.co/consultas/detalleProceso.do?numConstancia=19-12-9559388" TargetMode="External"/><Relationship Id="rId729" Type="http://schemas.openxmlformats.org/officeDocument/2006/relationships/hyperlink" Target="https://www.contratos.gov.co/consultas/detalleProceso.do?numConstancia=14-12-2934206" TargetMode="External"/><Relationship Id="rId270" Type="http://schemas.openxmlformats.org/officeDocument/2006/relationships/hyperlink" Target="https://www.contratos.gov.co/consultas/detalleProceso.do?numConstancia=17-12-6605008" TargetMode="External"/><Relationship Id="rId936" Type="http://schemas.openxmlformats.org/officeDocument/2006/relationships/hyperlink" Target="https://community.secop.gov.co/Public/Tendering/ContractNoticeManagement/Index?currentLanguage=es-CO&amp;Page=login&amp;Country=CO&amp;SkinName=CCE" TargetMode="External"/><Relationship Id="rId65" Type="http://schemas.openxmlformats.org/officeDocument/2006/relationships/hyperlink" Target="https://www.contratos.gov.co/consultas/detalleProceso.do?numConstancia=15-12-4044913" TargetMode="External"/><Relationship Id="rId130" Type="http://schemas.openxmlformats.org/officeDocument/2006/relationships/hyperlink" Target="http://www.contratos.gov.co/consultas/detalleProceso.do?numConstancia=16-12-5223828" TargetMode="External"/><Relationship Id="rId368" Type="http://schemas.openxmlformats.org/officeDocument/2006/relationships/hyperlink" Target="https://www.colombiacompra.gov.co/tienda-virtual-del-estado-colombiano/ordenes-compra/28271" TargetMode="External"/><Relationship Id="rId575" Type="http://schemas.openxmlformats.org/officeDocument/2006/relationships/hyperlink" Target="https://community.secop.gov.co/Public/Tendering/ContractNoticeManagement/Index?currentLanguage=es-CO&amp;Page=login&amp;Country=CO&amp;SkinName=CCE" TargetMode="External"/><Relationship Id="rId782" Type="http://schemas.openxmlformats.org/officeDocument/2006/relationships/hyperlink" Target="https://www.contratos.gov.co/consultas/detalleProceso.do?numConstancia=15-12-3492957" TargetMode="External"/><Relationship Id="rId228" Type="http://schemas.openxmlformats.org/officeDocument/2006/relationships/hyperlink" Target="https://www.contratos.gov.co/consultas/detalleProceso.do?numConstancia=16-13-5933729" TargetMode="External"/><Relationship Id="rId435" Type="http://schemas.openxmlformats.org/officeDocument/2006/relationships/hyperlink" Target="https://community.secop.gov.co/Public/Tendering/ContractNoticeManagement/Index?currentLanguage=es-CO&amp;Page=login&amp;Country=CO&amp;SkinName=CCE" TargetMode="External"/><Relationship Id="rId642" Type="http://schemas.openxmlformats.org/officeDocument/2006/relationships/hyperlink" Target="https://community.secop.gov.co/Public/Tendering/ContractNoticeManagement/Index?currentLanguage=es-CO&amp;Page=login&amp;Country=CO&amp;SkinName=CCE" TargetMode="External"/><Relationship Id="rId281" Type="http://schemas.openxmlformats.org/officeDocument/2006/relationships/hyperlink" Target="https://www.contratos.gov.co/consultas/detalleProceso.do?numConstancia=17-13-6590232" TargetMode="External"/><Relationship Id="rId502" Type="http://schemas.openxmlformats.org/officeDocument/2006/relationships/hyperlink" Target="https://www.contratos.gov.co/consultas/detalleProceso.do?numConstancia=13-9-379977" TargetMode="External"/><Relationship Id="rId947" Type="http://schemas.openxmlformats.org/officeDocument/2006/relationships/hyperlink" Target="https://community.secop.gov.co/Public/Tendering/ContractNoticeManagement/Index?currentLanguage=es-CO&amp;Page=login&amp;Country=CO&amp;SkinName=CCE" TargetMode="External"/><Relationship Id="rId76" Type="http://schemas.openxmlformats.org/officeDocument/2006/relationships/hyperlink" Target="https://www.contratos.gov.co/consultas/detalleProceso.do?numConstancia=15-12-4188555" TargetMode="External"/><Relationship Id="rId141" Type="http://schemas.openxmlformats.org/officeDocument/2006/relationships/hyperlink" Target="https://www.contratos.gov.co/consultas/detalleProceso.do?numConstancia=16-12-5262602" TargetMode="External"/><Relationship Id="rId379" Type="http://schemas.openxmlformats.org/officeDocument/2006/relationships/hyperlink" Target="https://www.contratos.gov.co/consultas/detalleProceso.do?numConstancia=13-9-376892" TargetMode="External"/><Relationship Id="rId586" Type="http://schemas.openxmlformats.org/officeDocument/2006/relationships/hyperlink" Target="https://www.contratos.gov.co/consultas/detalleProceso.do?numConstancia=13-13-1916525" TargetMode="External"/><Relationship Id="rId793" Type="http://schemas.openxmlformats.org/officeDocument/2006/relationships/hyperlink" Target="https://www.contratos.gov.co/consultas/detalleProceso.do?numConstancia=14-13-2485599" TargetMode="External"/><Relationship Id="rId807" Type="http://schemas.openxmlformats.org/officeDocument/2006/relationships/hyperlink" Target="https://community.secop.gov.co/Public/Tendering/ContractNoticeManagement/Index?currentLanguage=es-CO&amp;Page=login&amp;Country=CO&amp;SkinName=CCE" TargetMode="External"/><Relationship Id="rId7" Type="http://schemas.openxmlformats.org/officeDocument/2006/relationships/hyperlink" Target="https://www.contratos.gov.co/consultas/detalleProceso.do?numConstancia=15-12-3498879" TargetMode="External"/><Relationship Id="rId239" Type="http://schemas.openxmlformats.org/officeDocument/2006/relationships/hyperlink" Target="https://www.contratos.gov.co/consultas/detalleProceso.do?numConstancia=17-12-6342174" TargetMode="External"/><Relationship Id="rId446" Type="http://schemas.openxmlformats.org/officeDocument/2006/relationships/hyperlink" Target="https://community.secop.gov.co/Public/Tendering/ContractNoticeManagement/Index?currentLanguage=es-CO&amp;Page=login&amp;Country=CO&amp;SkinName=CCE" TargetMode="External"/><Relationship Id="rId653" Type="http://schemas.openxmlformats.org/officeDocument/2006/relationships/hyperlink" Target="https://www.contratos.gov.co/consultas/detalleProceso.do?numConstancia=19-12-9687619" TargetMode="External"/><Relationship Id="rId292" Type="http://schemas.openxmlformats.org/officeDocument/2006/relationships/hyperlink" Target="https://www.contratos.gov.co/consultas/detalleProceso.do?numConstancia=17-12-6830596" TargetMode="External"/><Relationship Id="rId306" Type="http://schemas.openxmlformats.org/officeDocument/2006/relationships/hyperlink" Target="https://www.contratos.gov.co/consultas/detalleProceso.do?numConstancia=17-13-6963262" TargetMode="External"/><Relationship Id="rId860" Type="http://schemas.openxmlformats.org/officeDocument/2006/relationships/hyperlink" Target="https://www.colombiacompra.gov.co/tienda-virtual-del-estado-colombiano/ordenes-compra/45117" TargetMode="External"/><Relationship Id="rId958" Type="http://schemas.openxmlformats.org/officeDocument/2006/relationships/hyperlink" Target="https://community.secop.gov.co/Public/Tendering/ContractNoticeManagement/Index?currentLanguage=es-CO&amp;Page=login&amp;Country=CO&amp;SkinName=CCE" TargetMode="External"/><Relationship Id="rId87" Type="http://schemas.openxmlformats.org/officeDocument/2006/relationships/hyperlink" Target="https://www.contratos.gov.co/consultas/detalleProceso.do?numConstancia=15-9-406052" TargetMode="External"/><Relationship Id="rId513" Type="http://schemas.openxmlformats.org/officeDocument/2006/relationships/hyperlink" Target="https://community.secop.gov.co/Public/Tendering/ContractNoticeManagement/Index?currentLanguage=es-CO&amp;Page=login&amp;Country=CO&amp;SkinName=CCE" TargetMode="External"/><Relationship Id="rId597" Type="http://schemas.openxmlformats.org/officeDocument/2006/relationships/hyperlink" Target="https://www.contratos.gov.co/consultas/detalleProceso.do?numConstancia=19-12-9251838" TargetMode="External"/><Relationship Id="rId720" Type="http://schemas.openxmlformats.org/officeDocument/2006/relationships/hyperlink" Target="https://www.contratos.gov.co/consultas/detalleProceso.do?numConstancia=19-12-10088583" TargetMode="External"/><Relationship Id="rId818" Type="http://schemas.openxmlformats.org/officeDocument/2006/relationships/hyperlink" Target="https://www.contratos.gov.co/consultas/detalleProceso.do?numConstancia=19-12-10213451" TargetMode="External"/><Relationship Id="rId152" Type="http://schemas.openxmlformats.org/officeDocument/2006/relationships/hyperlink" Target="https://www.contratos.gov.co/consultas/detalleProceso.do?numConstancia=16-13-5265419" TargetMode="External"/><Relationship Id="rId457" Type="http://schemas.openxmlformats.org/officeDocument/2006/relationships/hyperlink" Target="https://www.contratos.gov.co/consultas/detalleProceso.do?numConstancia=12-12-1194315" TargetMode="External"/><Relationship Id="rId664" Type="http://schemas.openxmlformats.org/officeDocument/2006/relationships/hyperlink" Target="https://community.secop.gov.co/Public/Tendering/ContractNoticeManagement/Index?currentLanguage=es-CO&amp;Page=login&amp;Country=CO&amp;SkinName=CCE" TargetMode="External"/><Relationship Id="rId871" Type="http://schemas.openxmlformats.org/officeDocument/2006/relationships/hyperlink" Target="https://www.contratos.gov.co/consultas/detalleProceso.do?numConstancia=12-11-1119819" TargetMode="External"/><Relationship Id="rId969" Type="http://schemas.openxmlformats.org/officeDocument/2006/relationships/hyperlink" Target="https://community.secop.gov.co/Public/Tendering/ContractNoticeManagement/Index?currentLanguage=es-CO&amp;Page=login&amp;Country=CO&amp;SkinName=CCE" TargetMode="External"/><Relationship Id="rId14" Type="http://schemas.openxmlformats.org/officeDocument/2006/relationships/hyperlink" Target="https://www.contratos.gov.co/consultas/detalleProceso.do?numConstancia=15-12-3627252" TargetMode="External"/><Relationship Id="rId317" Type="http://schemas.openxmlformats.org/officeDocument/2006/relationships/hyperlink" Target="https://www.contratos.gov.co/consultas/detalleProceso.do?numConstancia=17-13-7075663" TargetMode="External"/><Relationship Id="rId524" Type="http://schemas.openxmlformats.org/officeDocument/2006/relationships/hyperlink" Target="https://www.colombiacompra.gov.co/tienda-virtual-del-estado-colombiano/ordenes-compra/34468" TargetMode="External"/><Relationship Id="rId731" Type="http://schemas.openxmlformats.org/officeDocument/2006/relationships/hyperlink" Target="https://www.contratos.gov.co/consultas/detalleProceso.do?numConstancia=14-9-388863" TargetMode="External"/><Relationship Id="rId98" Type="http://schemas.openxmlformats.org/officeDocument/2006/relationships/hyperlink" Target="https://www.contratos.gov.co/consultas/detalleProceso.do?numConstancia=15-12-3544892" TargetMode="External"/><Relationship Id="rId163" Type="http://schemas.openxmlformats.org/officeDocument/2006/relationships/hyperlink" Target="https://www.contratos.gov.co/consultas/detalleProceso.do?numConstancia=16-13-5318011" TargetMode="External"/><Relationship Id="rId370" Type="http://schemas.openxmlformats.org/officeDocument/2006/relationships/hyperlink" Target="https://www.contratos.gov.co/consultas/detalleProceso.do?numConstancia=18-13-8037321" TargetMode="External"/><Relationship Id="rId829" Type="http://schemas.openxmlformats.org/officeDocument/2006/relationships/hyperlink" Target="https://www.contratos.gov.co/consultas/detalleProceso.do?numConstancia=12-13-1021407" TargetMode="External"/><Relationship Id="rId230" Type="http://schemas.openxmlformats.org/officeDocument/2006/relationships/hyperlink" Target="https://www.contratos.gov.co/consultas/detalleProceso.do?numConstancia=16-11-5832676" TargetMode="External"/><Relationship Id="rId468" Type="http://schemas.openxmlformats.org/officeDocument/2006/relationships/hyperlink" Target="https://www.contratos.gov.co/consultas/detalleProceso.do?numConstancia=12-13-1274224" TargetMode="External"/><Relationship Id="rId675" Type="http://schemas.openxmlformats.org/officeDocument/2006/relationships/hyperlink" Target="https://community.secop.gov.co/Public/Tendering/ContractNoticeManagement/Index?currentLanguage=es-CO&amp;Page=login&amp;Country=CO&amp;SkinName=CCE" TargetMode="External"/><Relationship Id="rId882" Type="http://schemas.openxmlformats.org/officeDocument/2006/relationships/hyperlink" Target="https://community.secop.gov.co/Public/Tendering/ContractNoticeManagement/Index?currentLanguage=es-CO&amp;Page=login&amp;Country=CO&amp;SkinName=CCE" TargetMode="External"/><Relationship Id="rId25" Type="http://schemas.openxmlformats.org/officeDocument/2006/relationships/hyperlink" Target="https://www.contratos.gov.co/consultas/detalleProceso.do?numConstancia=15-13-3741806" TargetMode="External"/><Relationship Id="rId328" Type="http://schemas.openxmlformats.org/officeDocument/2006/relationships/hyperlink" Target="https://www.contratos.gov.co/consultas/detalleProceso.do?numConstancia=17-13-6874454" TargetMode="External"/><Relationship Id="rId535" Type="http://schemas.openxmlformats.org/officeDocument/2006/relationships/hyperlink" Target="https://www.contratos.gov.co/consultas/detalleProceso.do?numConstancia=14-13-2686379" TargetMode="External"/><Relationship Id="rId742" Type="http://schemas.openxmlformats.org/officeDocument/2006/relationships/hyperlink" Target="https://www.contratos.gov.co/consultas/detalleProceso.do?numConstancia=14-13-2910355" TargetMode="External"/><Relationship Id="rId174" Type="http://schemas.openxmlformats.org/officeDocument/2006/relationships/hyperlink" Target="https://www.contratos.gov.co/consultas/detalleProceso.do?numConstancia=14-13-2910355" TargetMode="External"/><Relationship Id="rId381" Type="http://schemas.openxmlformats.org/officeDocument/2006/relationships/hyperlink" Target="https://www.contratos.gov.co/consultas/detalleProceso.do?numConstancia=18-13-8091768" TargetMode="External"/><Relationship Id="rId602" Type="http://schemas.openxmlformats.org/officeDocument/2006/relationships/hyperlink" Target="https://www.contratos.gov.co/consultas/detalleProceso.do?numConstancia=19-12-9327451" TargetMode="External"/><Relationship Id="rId241" Type="http://schemas.openxmlformats.org/officeDocument/2006/relationships/hyperlink" Target="https://www.contratos.gov.co/consultas/detalleProceso.do?numConstancia=17-13-6272764" TargetMode="External"/><Relationship Id="rId479" Type="http://schemas.openxmlformats.org/officeDocument/2006/relationships/hyperlink" Target="https://community.secop.gov.co/Public/Tendering/ContractNoticeManagement/Index?currentLanguage=es-CO&amp;Page=login&amp;Country=CO&amp;SkinName=CCE" TargetMode="External"/><Relationship Id="rId686" Type="http://schemas.openxmlformats.org/officeDocument/2006/relationships/hyperlink" Target="https://www.contratos.gov.co/consultas/detalleProceso.do?numConstancia=13-13-1445344" TargetMode="External"/><Relationship Id="rId893" Type="http://schemas.openxmlformats.org/officeDocument/2006/relationships/hyperlink" Target="https://community.secop.gov.co/Public/Tendering/ContractNoticeManagement/Index?currentLanguage=es-CO&amp;Page=login&amp;Country=CO&amp;SkinName=CCE" TargetMode="External"/><Relationship Id="rId907" Type="http://schemas.openxmlformats.org/officeDocument/2006/relationships/hyperlink" Target="https://community.secop.gov.co/Public/Tendering/ContractNoticeManagement/Index?currentLanguage=es-CO&amp;Page=login&amp;Country=CO&amp;SkinName=CCE" TargetMode="External"/><Relationship Id="rId36" Type="http://schemas.openxmlformats.org/officeDocument/2006/relationships/hyperlink" Target="https://www.contratos.gov.co/consultas/detalleProceso.do?numConstancia=15-9-397600" TargetMode="External"/><Relationship Id="rId339" Type="http://schemas.openxmlformats.org/officeDocument/2006/relationships/hyperlink" Target="https://www.contratos.gov.co/consultas/detalleProceso.do?numConstancia=17-11-7300565" TargetMode="External"/><Relationship Id="rId546" Type="http://schemas.openxmlformats.org/officeDocument/2006/relationships/hyperlink" Target="https://www.contratos.gov.co/consultas/detalleProceso.do?numConstancia=13-12-1860134" TargetMode="External"/><Relationship Id="rId753" Type="http://schemas.openxmlformats.org/officeDocument/2006/relationships/hyperlink" Target="https://www.contratos.gov.co/consultas/detalleProceso.do?numConstancia=14-11-3129527" TargetMode="External"/><Relationship Id="rId101" Type="http://schemas.openxmlformats.org/officeDocument/2006/relationships/hyperlink" Target="https://www.contratos.gov.co/consultas/detalleProceso.do?numConstancia=15-12-4002121" TargetMode="External"/><Relationship Id="rId185" Type="http://schemas.openxmlformats.org/officeDocument/2006/relationships/hyperlink" Target="https://www.contratos.gov.co/consultas/detalleProceso.do?numConstancia=16-9-417672" TargetMode="External"/><Relationship Id="rId406" Type="http://schemas.openxmlformats.org/officeDocument/2006/relationships/hyperlink" Target="https://www.contratos.gov.co/consultas/detalleProceso.do?numConstancia=18-9-445048" TargetMode="External"/><Relationship Id="rId960" Type="http://schemas.openxmlformats.org/officeDocument/2006/relationships/hyperlink" Target="https://community.secop.gov.co/Public/Tendering/ContractNoticeManagement/Index?currentLanguage=es-CO&amp;Page=login&amp;Country=CO&amp;SkinName=CCE" TargetMode="External"/><Relationship Id="rId392" Type="http://schemas.openxmlformats.org/officeDocument/2006/relationships/hyperlink" Target="https://www.contratos.gov.co/consultas/detalleProceso.do?numConstancia=12-1-78985" TargetMode="External"/><Relationship Id="rId613" Type="http://schemas.openxmlformats.org/officeDocument/2006/relationships/hyperlink" Target="https://community.secop.gov.co/Public/Tendering/ContractNoticeManagement/Index?currentLanguage=es-CO&amp;Page=login&amp;Country=CO&amp;SkinName=CCE" TargetMode="External"/><Relationship Id="rId697" Type="http://schemas.openxmlformats.org/officeDocument/2006/relationships/hyperlink" Target="https://www.contratos.gov.co/consultas/detalleProceso.do?numConstancia=13-12-17072845" TargetMode="External"/><Relationship Id="rId820" Type="http://schemas.openxmlformats.org/officeDocument/2006/relationships/hyperlink" Target="https://community.secop.gov.co/Public/Tendering/ContractNoticeManagement/Index?currentLanguage=es-CO&amp;Page=login&amp;Country=CO&amp;SkinName=CCE" TargetMode="External"/><Relationship Id="rId918" Type="http://schemas.openxmlformats.org/officeDocument/2006/relationships/hyperlink" Target="https://community.secop.gov.co/Public/Tendering/ContractNoticeManagement/Index?currentLanguage=es-CO&amp;Page=login&amp;Country=CO&amp;SkinName=CCE" TargetMode="External"/><Relationship Id="rId252" Type="http://schemas.openxmlformats.org/officeDocument/2006/relationships/hyperlink" Target="https://www.contratos.gov.co/consultas/detalleProceso.do?numConstancia=17-12-6498868" TargetMode="External"/><Relationship Id="rId47" Type="http://schemas.openxmlformats.org/officeDocument/2006/relationships/hyperlink" Target="https://www.contratos.gov.co/consultas/detalleProceso.do?numConstancia=15-11-3691528" TargetMode="External"/><Relationship Id="rId112" Type="http://schemas.openxmlformats.org/officeDocument/2006/relationships/hyperlink" Target="https://www.contratos.gov.co/consultas/detalleProceso.do?numConstancia=16-12-5004744" TargetMode="External"/><Relationship Id="rId557" Type="http://schemas.openxmlformats.org/officeDocument/2006/relationships/hyperlink" Target="https://community.secop.gov.co/Public/Tendering/ContractNoticeManagement/Index?currentLanguage=es-CO&amp;Page=login&amp;Country=CO&amp;SkinName=CCE" TargetMode="External"/><Relationship Id="rId764" Type="http://schemas.openxmlformats.org/officeDocument/2006/relationships/hyperlink" Target="https://www.contratos.gov.co/consultas/detalleProceso.do?numConstancia=14-13-2686379" TargetMode="External"/><Relationship Id="rId971" Type="http://schemas.openxmlformats.org/officeDocument/2006/relationships/hyperlink" Target="https://community.secop.gov.co/Public/Tendering/ContractNoticeManagement/Index?currentLanguage=es-CO&amp;Page=login&amp;Country=CO&amp;SkinName=CCE" TargetMode="External"/><Relationship Id="rId196" Type="http://schemas.openxmlformats.org/officeDocument/2006/relationships/hyperlink" Target="https://www.contratos.gov.co/consultas/detalleProceso.do?numConstancia=14-13-2490165" TargetMode="External"/><Relationship Id="rId417" Type="http://schemas.openxmlformats.org/officeDocument/2006/relationships/hyperlink" Target="https://community.secop.gov.co/Public/Tendering/ContractNoticeManagement/Index?currentLanguage=es-CO&amp;Page=login&amp;Country=CO&amp;SkinName=CCE" TargetMode="External"/><Relationship Id="rId624" Type="http://schemas.openxmlformats.org/officeDocument/2006/relationships/hyperlink" Target="https://www.contratos.gov.co/consultas/detalleProceso.do?numConstancia=19-12-9475525" TargetMode="External"/><Relationship Id="rId831" Type="http://schemas.openxmlformats.org/officeDocument/2006/relationships/hyperlink" Target="https://www.contratos.gov.co/consultas/detalleProceso.do?numConstancia=12-13-994181" TargetMode="External"/><Relationship Id="rId263" Type="http://schemas.openxmlformats.org/officeDocument/2006/relationships/hyperlink" Target="https://www.contratos.gov.co/consultas/detalleProceso.do?numConstancia=17-12-6546267" TargetMode="External"/><Relationship Id="rId470" Type="http://schemas.openxmlformats.org/officeDocument/2006/relationships/hyperlink" Target="https://community.secop.gov.co/Public/Tendering/ContractNoticeManagement/Index?currentLanguage=es-CO&amp;Page=login&amp;Country=CO&amp;SkinName=CCE" TargetMode="External"/><Relationship Id="rId929" Type="http://schemas.openxmlformats.org/officeDocument/2006/relationships/hyperlink" Target="https://community.secop.gov.co/Public/Tendering/ContractNoticeManagement/Index?currentLanguage=es-CO&amp;Page=login&amp;Country=CO&amp;SkinName=CCE" TargetMode="External"/><Relationship Id="rId58" Type="http://schemas.openxmlformats.org/officeDocument/2006/relationships/hyperlink" Target="https://www.contratos.gov.co/consultas/detalleProceso.do?numConstancia=15-12-4051007" TargetMode="External"/><Relationship Id="rId123" Type="http://schemas.openxmlformats.org/officeDocument/2006/relationships/hyperlink" Target="http://www.contratos.gov.co/consultas/detalleProceso.do?numConstancia=16-12-5173959" TargetMode="External"/><Relationship Id="rId330" Type="http://schemas.openxmlformats.org/officeDocument/2006/relationships/hyperlink" Target="https://www.contratos.gov.co/consultas/detalleProceso.do?numConstancia=17-11-7098808" TargetMode="External"/><Relationship Id="rId568" Type="http://schemas.openxmlformats.org/officeDocument/2006/relationships/hyperlink" Target="https://www.contratos.gov.co/consultas/detalleProceso.do?numConstancia=14-11-3129527" TargetMode="External"/><Relationship Id="rId775" Type="http://schemas.openxmlformats.org/officeDocument/2006/relationships/hyperlink" Target="https://www.contratos.gov.co/consultas/detalleProceso.do?numConstancia=14-15-3227993" TargetMode="External"/><Relationship Id="rId982" Type="http://schemas.openxmlformats.org/officeDocument/2006/relationships/hyperlink" Target="https://community.secop.gov.co/Public/Tendering/ContractNoticeManagement/Index?currentLanguage=es-CO&amp;Page=login&amp;Country=CO&amp;SkinName=CCE" TargetMode="External"/><Relationship Id="rId428" Type="http://schemas.openxmlformats.org/officeDocument/2006/relationships/hyperlink" Target="https://community.secop.gov.co/Public/Tendering/ContractNoticeManagement/Index?currentLanguage=es-CO&amp;Page=login&amp;Country=CO&amp;SkinName=CCE" TargetMode="External"/><Relationship Id="rId635" Type="http://schemas.openxmlformats.org/officeDocument/2006/relationships/hyperlink" Target="https://community.secop.gov.co/Public/Tendering/ContractNoticeManagement/Index?currentLanguage=es-CO&amp;Page=login&amp;Country=CO&amp;SkinName=CCE" TargetMode="External"/><Relationship Id="rId842" Type="http://schemas.openxmlformats.org/officeDocument/2006/relationships/hyperlink" Target="https://www.contratos.gov.co/consultas/detalleProceso.do?numConstancia=13-13-1704025" TargetMode="External"/><Relationship Id="rId232" Type="http://schemas.openxmlformats.org/officeDocument/2006/relationships/hyperlink" Target="https://www.contratos.gov.co/consultas/detalleProceso.do?numConstancia=17-12-6047453" TargetMode="External"/><Relationship Id="rId274" Type="http://schemas.openxmlformats.org/officeDocument/2006/relationships/hyperlink" Target="https://www.contratos.gov.co/consultas/detalleProceso.do?numConstancia=17-12-6616563" TargetMode="External"/><Relationship Id="rId481" Type="http://schemas.openxmlformats.org/officeDocument/2006/relationships/hyperlink" Target="https://community.secop.gov.co/Public/Tendering/ContractNoticeManagement/Index?currentLanguage=es-CO&amp;Page=login&amp;Country=CO&amp;SkinName=CCE" TargetMode="External"/><Relationship Id="rId702" Type="http://schemas.openxmlformats.org/officeDocument/2006/relationships/hyperlink" Target="https://www.contratos.gov.co/consultas/detalleProceso.do?numConstancia=11-13-593085" TargetMode="External"/><Relationship Id="rId884" Type="http://schemas.openxmlformats.org/officeDocument/2006/relationships/hyperlink" Target="https://community.secop.gov.co/Public/Tendering/ContractNoticeManagement/Index?currentLanguage=es-CO&amp;Page=login&amp;Country=CO&amp;SkinName=CCE" TargetMode="External"/><Relationship Id="rId27" Type="http://schemas.openxmlformats.org/officeDocument/2006/relationships/hyperlink" Target="https://www.contratos.gov.co/consultas/detalleProceso.do?numConstancia=15-12-3842703" TargetMode="External"/><Relationship Id="rId69" Type="http://schemas.openxmlformats.org/officeDocument/2006/relationships/hyperlink" Target="https://www.contratos.gov.co/consultas/detalleProceso.do?numConstancia=15-13-4067426" TargetMode="External"/><Relationship Id="rId134" Type="http://schemas.openxmlformats.org/officeDocument/2006/relationships/hyperlink" Target="http://www.contratos.gov.co/consultas/detalleProceso.do?numConstancia=16-12-5250861" TargetMode="External"/><Relationship Id="rId537" Type="http://schemas.openxmlformats.org/officeDocument/2006/relationships/hyperlink" Target="https://community.secop.gov.co/Public/Tendering/ContractNoticeManagement/Index?currentLanguage=es-CO&amp;Page=login&amp;Country=CO&amp;SkinName=CCE" TargetMode="External"/><Relationship Id="rId579" Type="http://schemas.openxmlformats.org/officeDocument/2006/relationships/hyperlink" Target="https://www.contratos.gov.co/consultas/detalleProceso.do?numConstancia=19-12-9140257" TargetMode="External"/><Relationship Id="rId744" Type="http://schemas.openxmlformats.org/officeDocument/2006/relationships/hyperlink" Target="https://www.contratos.gov.co/consultas/detalleProceso.do?numConstancia=14-11-2724276" TargetMode="External"/><Relationship Id="rId786" Type="http://schemas.openxmlformats.org/officeDocument/2006/relationships/hyperlink" Target="https://www.contratos.gov.co/consultas/detalleProceso.do?numConstancia=15-12-3443448" TargetMode="External"/><Relationship Id="rId951" Type="http://schemas.openxmlformats.org/officeDocument/2006/relationships/hyperlink" Target="https://community.secop.gov.co/Public/Tendering/ContractNoticeManagement/Index?currentLanguage=es-CO&amp;Page=login&amp;Country=CO&amp;SkinName=CCE" TargetMode="External"/><Relationship Id="rId80" Type="http://schemas.openxmlformats.org/officeDocument/2006/relationships/hyperlink" Target="https://www.contratos.gov.co/consultas/detalleProceso.do?numConstancia=15-13-4193758" TargetMode="External"/><Relationship Id="rId176" Type="http://schemas.openxmlformats.org/officeDocument/2006/relationships/hyperlink" Target="https://www.contratos.gov.co/consultas/detalleProceso.do?numConstancia=14-12-2309430" TargetMode="External"/><Relationship Id="rId341" Type="http://schemas.openxmlformats.org/officeDocument/2006/relationships/hyperlink" Target="https://www.colombiacompra.gov.co/tienda-virtual-del-estado-colombiano/ordenes-compra/23844?sort=desc&amp;order=No" TargetMode="External"/><Relationship Id="rId383" Type="http://schemas.openxmlformats.org/officeDocument/2006/relationships/hyperlink" Target="https://www.contratos.gov.co/consultas/detalleProceso.do?numConstancia=13-12-1727328" TargetMode="External"/><Relationship Id="rId439" Type="http://schemas.openxmlformats.org/officeDocument/2006/relationships/hyperlink" Target="https://www.contratos.gov.co/consultas/detalleProceso.do?numConstancia=18-9-446292" TargetMode="External"/><Relationship Id="rId590" Type="http://schemas.openxmlformats.org/officeDocument/2006/relationships/hyperlink" Target="https://www.contratos.gov.co/consultas/detalleProceso.do?numConstancia=13-11-1767231" TargetMode="External"/><Relationship Id="rId604" Type="http://schemas.openxmlformats.org/officeDocument/2006/relationships/hyperlink" Target="https://www.contratos.gov.co/consultas/detalleProceso.do?numConstancia=19-12-9346416" TargetMode="External"/><Relationship Id="rId646" Type="http://schemas.openxmlformats.org/officeDocument/2006/relationships/hyperlink" Target="https://www.contratos.gov.co/consultas/detalleProceso.do?numConstancia=19-12-9687297" TargetMode="External"/><Relationship Id="rId811" Type="http://schemas.openxmlformats.org/officeDocument/2006/relationships/hyperlink" Target="https://community.secop.gov.co/Public/Tendering/ContractNoticeManagement/Index?currentLanguage=es-CO&amp;Page=login&amp;Country=CO&amp;SkinName=CCE" TargetMode="External"/><Relationship Id="rId201" Type="http://schemas.openxmlformats.org/officeDocument/2006/relationships/hyperlink" Target="https://www.contratos.gov.co/consultas/detalleProceso.do?numConstancia=16-12-5642512" TargetMode="External"/><Relationship Id="rId243" Type="http://schemas.openxmlformats.org/officeDocument/2006/relationships/hyperlink" Target="https://www.contratos.gov.co/consultas/detalleProceso.do?numConstancia=17-13-6306594" TargetMode="External"/><Relationship Id="rId285" Type="http://schemas.openxmlformats.org/officeDocument/2006/relationships/hyperlink" Target="https://www.contratos.gov.co/consultas/detalleProceso.do?numConstancia=17-13-6594679" TargetMode="External"/><Relationship Id="rId450" Type="http://schemas.openxmlformats.org/officeDocument/2006/relationships/hyperlink" Target="https://www.contratos.gov.co/consultas/detalleProceso.do?numConstancia=13-13-1890844" TargetMode="External"/><Relationship Id="rId506" Type="http://schemas.openxmlformats.org/officeDocument/2006/relationships/hyperlink" Target="https://www.contratos.gov.co/consultas/detalleProceso.do?numConstancia=14-12-3024579" TargetMode="External"/><Relationship Id="rId688" Type="http://schemas.openxmlformats.org/officeDocument/2006/relationships/hyperlink" Target="https://www.contratos.gov.co/consultas/detalleProceso.do?numConstancia=14-17-2800394" TargetMode="External"/><Relationship Id="rId853" Type="http://schemas.openxmlformats.org/officeDocument/2006/relationships/hyperlink" Target="https://www.contratos.gov.co/consultas/detalleProceso.do?numConstancia=14-9-392443" TargetMode="External"/><Relationship Id="rId895" Type="http://schemas.openxmlformats.org/officeDocument/2006/relationships/hyperlink" Target="https://community.secop.gov.co/Public/Tendering/ContractNoticeManagement/Index?currentLanguage=es-CO&amp;Page=login&amp;Country=CO&amp;SkinName=CCE" TargetMode="External"/><Relationship Id="rId909" Type="http://schemas.openxmlformats.org/officeDocument/2006/relationships/hyperlink" Target="https://community.secop.gov.co/Public/Tendering/ContractNoticeManagement/Index?currentLanguage=es-CO&amp;Page=login&amp;Country=CO&amp;SkinName=CCE" TargetMode="External"/><Relationship Id="rId38" Type="http://schemas.openxmlformats.org/officeDocument/2006/relationships/hyperlink" Target="https://www.contratos.gov.co/consultas/detalleProceso.do?numConstancia=15-13-3636838" TargetMode="External"/><Relationship Id="rId103" Type="http://schemas.openxmlformats.org/officeDocument/2006/relationships/hyperlink" Target="https://www.contratos.gov.co/consultas/detalleProceso.do?numConstancia=15-12-4001368" TargetMode="External"/><Relationship Id="rId310" Type="http://schemas.openxmlformats.org/officeDocument/2006/relationships/hyperlink" Target="https://www.contratos.gov.co/consultas/detalleProceso.do?numConstancia=17-12-7121844" TargetMode="External"/><Relationship Id="rId492" Type="http://schemas.openxmlformats.org/officeDocument/2006/relationships/hyperlink" Target="https://www.colombiacompra.gov.co/tienda-virtual-del-estado-colombiano/ordenes-compra/32596" TargetMode="External"/><Relationship Id="rId548" Type="http://schemas.openxmlformats.org/officeDocument/2006/relationships/hyperlink" Target="https://www.contratos.gov.co/consultas/detalleProceso.do?numConstancia=13-12-1640887" TargetMode="External"/><Relationship Id="rId713" Type="http://schemas.openxmlformats.org/officeDocument/2006/relationships/hyperlink" Target="https://www.contratos.gov.co/consultas/detalleProceso.do?numConstancia=19-12-10013070" TargetMode="External"/><Relationship Id="rId755" Type="http://schemas.openxmlformats.org/officeDocument/2006/relationships/hyperlink" Target="https://www.contratos.gov.co/consultas/detalleProceso.do?numConstancia=14-9-393334" TargetMode="External"/><Relationship Id="rId797" Type="http://schemas.openxmlformats.org/officeDocument/2006/relationships/hyperlink" Target="https://www.contratos.gov.co/consultas/detalleProceso.do?numConstancia=15-12-3803469" TargetMode="External"/><Relationship Id="rId920" Type="http://schemas.openxmlformats.org/officeDocument/2006/relationships/hyperlink" Target="https://community.secop.gov.co/Public/Tendering/ContractNoticeManagement/Index?currentLanguage=es-CO&amp;Page=login&amp;Country=CO&amp;SkinName=CCE" TargetMode="External"/><Relationship Id="rId962" Type="http://schemas.openxmlformats.org/officeDocument/2006/relationships/hyperlink" Target="https://community.secop.gov.co/Public/Tendering/ContractNoticeManagement/Index?currentLanguage=es-CO&amp;Page=login&amp;Country=CO&amp;SkinName=CCE" TargetMode="External"/><Relationship Id="rId91" Type="http://schemas.openxmlformats.org/officeDocument/2006/relationships/hyperlink" Target="https://www.contratos.gov.co/consultas/detalleProceso.do?numConstancia=15-11-4250348" TargetMode="External"/><Relationship Id="rId145" Type="http://schemas.openxmlformats.org/officeDocument/2006/relationships/hyperlink" Target="https://www.contratos.gov.co/consultas/detalleProceso.do?numConstancia=16-13-5138824" TargetMode="External"/><Relationship Id="rId187" Type="http://schemas.openxmlformats.org/officeDocument/2006/relationships/hyperlink" Target="https://www.contratos.gov.co/consultas/detalleProceso.do?numConstancia=16-9-412927" TargetMode="External"/><Relationship Id="rId352" Type="http://schemas.openxmlformats.org/officeDocument/2006/relationships/hyperlink" Target="https://www.contratos.gov.co/consultas/detalleProceso.do?numConstancia=18-12-7753977" TargetMode="External"/><Relationship Id="rId394" Type="http://schemas.openxmlformats.org/officeDocument/2006/relationships/hyperlink" Target="https://www.contratos.gov.co/consultas/detalleProceso.do?numConstancia=12-13-1333245" TargetMode="External"/><Relationship Id="rId408" Type="http://schemas.openxmlformats.org/officeDocument/2006/relationships/hyperlink" Target="https://community.secop.gov.co/Public/Tendering/ContractNoticeManagement/Index?currentLanguage=es-CO&amp;Page=login&amp;Country=CO&amp;SkinName=CCE" TargetMode="External"/><Relationship Id="rId615" Type="http://schemas.openxmlformats.org/officeDocument/2006/relationships/hyperlink" Target="https://www.contratos.gov.co/consultas/detalleProceso.do?numConstancia=12-1-81331" TargetMode="External"/><Relationship Id="rId822" Type="http://schemas.openxmlformats.org/officeDocument/2006/relationships/hyperlink" Target="https://www.contratos.gov.co/consultas/detalleProceso.do?numConstancia=14-13-2990033" TargetMode="External"/><Relationship Id="rId212" Type="http://schemas.openxmlformats.org/officeDocument/2006/relationships/hyperlink" Target="http://colombiacompra.gov.co/tienda-virtual-del-estado-colombiano/orden-de-compra/12051" TargetMode="External"/><Relationship Id="rId254" Type="http://schemas.openxmlformats.org/officeDocument/2006/relationships/hyperlink" Target="https://www.contratos.gov.co/consultas/detalleProceso.do?numConstancia=17-12-6546872" TargetMode="External"/><Relationship Id="rId657" Type="http://schemas.openxmlformats.org/officeDocument/2006/relationships/hyperlink" Target="https://www.colombiacompra.gov.co/tienda-virtual-del-estado-colombiano/ordenes-compra/39204" TargetMode="External"/><Relationship Id="rId699" Type="http://schemas.openxmlformats.org/officeDocument/2006/relationships/hyperlink" Target="https://www.contratos.gov.co/consultas/detalleProceso.do?numConstancia=12-13-1204872" TargetMode="External"/><Relationship Id="rId864" Type="http://schemas.openxmlformats.org/officeDocument/2006/relationships/hyperlink" Target="https://www.contratos.gov.co/consultas/detalleProceso.do?numConstancia=14-12-2326314" TargetMode="External"/><Relationship Id="rId49" Type="http://schemas.openxmlformats.org/officeDocument/2006/relationships/hyperlink" Target="https://www.contratos.gov.co/consultas/detalleProceso.do?numConstancia=15-9-398335" TargetMode="External"/><Relationship Id="rId114" Type="http://schemas.openxmlformats.org/officeDocument/2006/relationships/hyperlink" Target="https://www.contratos.gov.co/consultas/detalleProceso.do?numConstancia=16-12-4981844" TargetMode="External"/><Relationship Id="rId296" Type="http://schemas.openxmlformats.org/officeDocument/2006/relationships/hyperlink" Target="https://www.contratos.gov.co/consultas/detalleProceso.do?numConstancia=17-12-6947010" TargetMode="External"/><Relationship Id="rId461" Type="http://schemas.openxmlformats.org/officeDocument/2006/relationships/hyperlink" Target="https://www.contratos.gov.co/consultas/detalleProceso.do?numConstancia=12-13-1263279" TargetMode="External"/><Relationship Id="rId517" Type="http://schemas.openxmlformats.org/officeDocument/2006/relationships/hyperlink" Target="https://community.secop.gov.co/Public/Tendering/ContractNoticeManagement/Index?currentLanguage=es-CO&amp;Page=login&amp;Country=CO&amp;SkinName=CCE" TargetMode="External"/><Relationship Id="rId559" Type="http://schemas.openxmlformats.org/officeDocument/2006/relationships/hyperlink" Target="https://community.secop.gov.co/Public/Tendering/ContractNoticeManagement/Index?currentLanguage=es-CO&amp;Page=login&amp;Country=CO&amp;SkinName=CCE" TargetMode="External"/><Relationship Id="rId724" Type="http://schemas.openxmlformats.org/officeDocument/2006/relationships/hyperlink" Target="https://community.secop.gov.co/Public/Tendering/ContractNoticeManagement/Index?currentLanguage=es-CO&amp;Page=login&amp;Country=CO&amp;SkinName=CCE" TargetMode="External"/><Relationship Id="rId766" Type="http://schemas.openxmlformats.org/officeDocument/2006/relationships/hyperlink" Target="https://www.contratos.gov.co/consultas/detalleProceso.do?numConstancia=14-13-2514217" TargetMode="External"/><Relationship Id="rId931" Type="http://schemas.openxmlformats.org/officeDocument/2006/relationships/hyperlink" Target="https://community.secop.gov.co/Public/Tendering/ContractNoticeManagement/Index?currentLanguage=es-CO&amp;Page=login&amp;Country=CO&amp;SkinName=CCE" TargetMode="External"/><Relationship Id="rId60" Type="http://schemas.openxmlformats.org/officeDocument/2006/relationships/hyperlink" Target="https://www.contratos.gov.co/consultas/detalleProceso.do?numConstancia=15-9-399210" TargetMode="External"/><Relationship Id="rId156" Type="http://schemas.openxmlformats.org/officeDocument/2006/relationships/hyperlink" Target="https://www.contratos.gov.co/consultas/detalleProceso.do?numConstancia=16-13-5256754" TargetMode="External"/><Relationship Id="rId198" Type="http://schemas.openxmlformats.org/officeDocument/2006/relationships/hyperlink" Target="https://www.contratos.gov.co/consultas/detalleProceso.do?numConstancia=14-13-2528671" TargetMode="External"/><Relationship Id="rId321" Type="http://schemas.openxmlformats.org/officeDocument/2006/relationships/hyperlink" Target="https://www.contratos.gov.co/consultas/detalleProceso.do?numConstancia=17-12-7251288" TargetMode="External"/><Relationship Id="rId363" Type="http://schemas.openxmlformats.org/officeDocument/2006/relationships/hyperlink" Target="https://www.contratos.gov.co/consultas/detalleProceso.do?numConstancia=18-13-8002768" TargetMode="External"/><Relationship Id="rId419" Type="http://schemas.openxmlformats.org/officeDocument/2006/relationships/hyperlink" Target="https://community.secop.gov.co/Public/Tendering/ContractNoticeManagement/Index?currentLanguage=es-CO&amp;Page=login&amp;Country=CO&amp;SkinName=CCE" TargetMode="External"/><Relationship Id="rId570" Type="http://schemas.openxmlformats.org/officeDocument/2006/relationships/hyperlink" Target="https://www.contratos.gov.co/consultas/detalleProceso.do?numConstancia=13-12-2014567" TargetMode="External"/><Relationship Id="rId626" Type="http://schemas.openxmlformats.org/officeDocument/2006/relationships/hyperlink" Target="https://www.contratos.gov.co/consultas/detalleProceso.do?numConstancia=19-12-9462753" TargetMode="External"/><Relationship Id="rId973" Type="http://schemas.openxmlformats.org/officeDocument/2006/relationships/hyperlink" Target="https://community.secop.gov.co/Public/Tendering/ContractNoticeManagement/Index?currentLanguage=es-CO&amp;Page=login&amp;Country=CO&amp;SkinName=CCE" TargetMode="External"/><Relationship Id="rId223" Type="http://schemas.openxmlformats.org/officeDocument/2006/relationships/hyperlink" Target="https://www.contratos.gov.co/consultas/detalleProceso.do?numConstancia=16-12-5966146" TargetMode="External"/><Relationship Id="rId430" Type="http://schemas.openxmlformats.org/officeDocument/2006/relationships/hyperlink" Target="https://community.secop.gov.co/Public/Tendering/ContractNoticeManagement/Index?currentLanguage=es-CO&amp;Page=login&amp;Country=CO&amp;SkinName=CCE" TargetMode="External"/><Relationship Id="rId668" Type="http://schemas.openxmlformats.org/officeDocument/2006/relationships/hyperlink" Target="https://community.secop.gov.co/Public/Tendering/ContractNoticeManagement/Index?currentLanguage=es-CO&amp;Page=login&amp;Country=CO&amp;SkinName=CCE" TargetMode="External"/><Relationship Id="rId833" Type="http://schemas.openxmlformats.org/officeDocument/2006/relationships/hyperlink" Target="https://www.contratos.gov.co/consultas/detalleProceso.do?numConstancia=12-12-920895" TargetMode="External"/><Relationship Id="rId875" Type="http://schemas.openxmlformats.org/officeDocument/2006/relationships/hyperlink" Target="https://community.secop.gov.co/Public/Tendering/ContractNoticeManagement/Index?currentLanguage=es-CO&amp;Page=login&amp;Country=CO&amp;SkinName=CCE" TargetMode="External"/><Relationship Id="rId18" Type="http://schemas.openxmlformats.org/officeDocument/2006/relationships/hyperlink" Target="https://www.contratos.gov.co/consultas/detalleProceso.do?numConstancia=15-13-3639663" TargetMode="External"/><Relationship Id="rId265" Type="http://schemas.openxmlformats.org/officeDocument/2006/relationships/hyperlink" Target="https://www.contratos.gov.co/consultas/detalleProceso.do?numConstancia=17-12-6568206" TargetMode="External"/><Relationship Id="rId472" Type="http://schemas.openxmlformats.org/officeDocument/2006/relationships/hyperlink" Target="https://community.secop.gov.co/Public/Tendering/ContractNoticeManagement/Index?currentLanguage=es-CO&amp;Page=login&amp;Country=CO&amp;SkinName=CCE" TargetMode="External"/><Relationship Id="rId528" Type="http://schemas.openxmlformats.org/officeDocument/2006/relationships/hyperlink" Target="https://www.contratos.gov.co/consultas/detalleProceso.do?numConstancia=18-9-446351" TargetMode="External"/><Relationship Id="rId735" Type="http://schemas.openxmlformats.org/officeDocument/2006/relationships/hyperlink" Target="http://www.contratos.gov.co/consultas/detalleProceso.do?numConstancia=14-12-2989522" TargetMode="External"/><Relationship Id="rId900" Type="http://schemas.openxmlformats.org/officeDocument/2006/relationships/hyperlink" Target="https://community.secop.gov.co/Public/Tendering/ContractNoticeManagement/Index?currentLanguage=es-CO&amp;Page=login&amp;Country=CO&amp;SkinName=CCE" TargetMode="External"/><Relationship Id="rId942" Type="http://schemas.openxmlformats.org/officeDocument/2006/relationships/hyperlink" Target="https://community.secop.gov.co/Public/Tendering/ContractNoticeManagement/Index?currentLanguage=es-CO&amp;Page=login&amp;Country=CO&amp;SkinName=CCE" TargetMode="External"/><Relationship Id="rId125" Type="http://schemas.openxmlformats.org/officeDocument/2006/relationships/hyperlink" Target="http://www.contratos.gov.co/consultas/detalleProceso.do?numConstancia=16-12-5022657" TargetMode="External"/><Relationship Id="rId167" Type="http://schemas.openxmlformats.org/officeDocument/2006/relationships/hyperlink" Target="https://www.contratos.gov.co/consultas/detalleProceso.do?numConstancia=14-12-3089569" TargetMode="External"/><Relationship Id="rId332" Type="http://schemas.openxmlformats.org/officeDocument/2006/relationships/hyperlink" Target="https://www.contratos.gov.co/consultas/detalleProceso.do?numConstancia=17-9-436378" TargetMode="External"/><Relationship Id="rId374" Type="http://schemas.openxmlformats.org/officeDocument/2006/relationships/hyperlink" Target="https://www.contratos.gov.co/consultas/detalleProceso.do?numConstancia=12-12-986775" TargetMode="External"/><Relationship Id="rId581" Type="http://schemas.openxmlformats.org/officeDocument/2006/relationships/hyperlink" Target="https://www.contratos.gov.co/consultas/detalleProceso.do?numConstancia=13-9-377850" TargetMode="External"/><Relationship Id="rId777" Type="http://schemas.openxmlformats.org/officeDocument/2006/relationships/hyperlink" Target="https://www.contratos.gov.co/consultas/detalleProceso.do?numConstancia=15-12-3627252" TargetMode="External"/><Relationship Id="rId984" Type="http://schemas.openxmlformats.org/officeDocument/2006/relationships/hyperlink" Target="https://www.colombiacompra.gov.co/tienda-virtual-del-estado-colombiano/ordenes-compra/63021" TargetMode="External"/><Relationship Id="rId71" Type="http://schemas.openxmlformats.org/officeDocument/2006/relationships/hyperlink" Target="https://www.contratos.gov.co/consultas/detalleProceso.do?numConstancia=15-13-4036371" TargetMode="External"/><Relationship Id="rId234" Type="http://schemas.openxmlformats.org/officeDocument/2006/relationships/hyperlink" Target="https://www.contratos.gov.co/consultas/detalleProceso.do?numConstancia=15-13-4024448" TargetMode="External"/><Relationship Id="rId637" Type="http://schemas.openxmlformats.org/officeDocument/2006/relationships/hyperlink" Target="https://community.secop.gov.co/Public/Tendering/ContractNoticeManagement/Index?currentLanguage=es-CO&amp;Page=login&amp;Country=CO&amp;SkinName=CCE" TargetMode="External"/><Relationship Id="rId679" Type="http://schemas.openxmlformats.org/officeDocument/2006/relationships/hyperlink" Target="https://www.contratos.gov.co/consultas/detalleProceso.do?numConstancia=19-12-9923569" TargetMode="External"/><Relationship Id="rId802" Type="http://schemas.openxmlformats.org/officeDocument/2006/relationships/hyperlink" Target="https://www.contratos.gov.co/consultas/detalleProceso.do?numConstancia=13-9-374682" TargetMode="External"/><Relationship Id="rId844" Type="http://schemas.openxmlformats.org/officeDocument/2006/relationships/hyperlink" Target="https://www.contratos.gov.co/consultas/detalleProceso.do?numConstancia=13-9-379947" TargetMode="External"/><Relationship Id="rId886" Type="http://schemas.openxmlformats.org/officeDocument/2006/relationships/hyperlink" Target="https://community.secop.gov.co/Public/Tendering/ContractNoticeManagement/Index?currentLanguage=es-CO&amp;Page=login&amp;Country=CO&amp;SkinName=CCE" TargetMode="External"/><Relationship Id="rId2" Type="http://schemas.openxmlformats.org/officeDocument/2006/relationships/hyperlink" Target="https://www.contratos.gov.co/consultas/detalleProceso.do?numConstancia=15-12-3473510" TargetMode="External"/><Relationship Id="rId29" Type="http://schemas.openxmlformats.org/officeDocument/2006/relationships/hyperlink" Target="https://www.contratos.gov.co/consultas/detalleProceso.do?numConstancia=15-13-3785525" TargetMode="External"/><Relationship Id="rId276" Type="http://schemas.openxmlformats.org/officeDocument/2006/relationships/hyperlink" Target="https://www.contratos.gov.co/consultas/detalleProceso.do?numConstancia=17-12-6611409" TargetMode="External"/><Relationship Id="rId441" Type="http://schemas.openxmlformats.org/officeDocument/2006/relationships/hyperlink" Target="https://www.contratos.gov.co/consultas/detalleProceso.do?numConstancia=18-12-8176034" TargetMode="External"/><Relationship Id="rId483" Type="http://schemas.openxmlformats.org/officeDocument/2006/relationships/hyperlink" Target="https://community.secop.gov.co/Public/Tendering/ContractNoticeManagement/Index?currentLanguage=es-CO&amp;Page=login&amp;Country=CO&amp;SkinName=CCE" TargetMode="External"/><Relationship Id="rId539" Type="http://schemas.openxmlformats.org/officeDocument/2006/relationships/hyperlink" Target="https://www.contratos.gov.co/consultas/detalleProceso.do?numConstancia=13-13-2191153" TargetMode="External"/><Relationship Id="rId690" Type="http://schemas.openxmlformats.org/officeDocument/2006/relationships/hyperlink" Target="https://www.contratos.gov.co/consultas/detalleProceso.do?numConstancia=14-11-3072875" TargetMode="External"/><Relationship Id="rId704" Type="http://schemas.openxmlformats.org/officeDocument/2006/relationships/hyperlink" Target="https://www.contratos.gov.co/consultas/detalleProceso.do?numConstancia=14-13-2670761" TargetMode="External"/><Relationship Id="rId746" Type="http://schemas.openxmlformats.org/officeDocument/2006/relationships/hyperlink" Target="https://www.contratos.gov.co/consultas/detalleProceso.do?numConstancia=14-12-3091958" TargetMode="External"/><Relationship Id="rId911" Type="http://schemas.openxmlformats.org/officeDocument/2006/relationships/hyperlink" Target="https://community.secop.gov.co/Public/Tendering/ContractNoticeManagement/Index?currentLanguage=es-CO&amp;Page=login&amp;Country=CO&amp;SkinName=CCE" TargetMode="External"/><Relationship Id="rId40" Type="http://schemas.openxmlformats.org/officeDocument/2006/relationships/hyperlink" Target="https://www.contratos.gov.co/consultas/detalleProceso.do?numConstancia=15-13-3754414" TargetMode="External"/><Relationship Id="rId136" Type="http://schemas.openxmlformats.org/officeDocument/2006/relationships/hyperlink" Target="http://www.contratos.gov.co/consultas/detalleProceso.do?numConstancia=16-12-5255554" TargetMode="External"/><Relationship Id="rId178" Type="http://schemas.openxmlformats.org/officeDocument/2006/relationships/hyperlink" Target="https://www.contratos.gov.co/consultas/detalleProceso.do?numConstancia=14-9-393473" TargetMode="External"/><Relationship Id="rId301" Type="http://schemas.openxmlformats.org/officeDocument/2006/relationships/hyperlink" Target="https://www.contratos.gov.co/consultas/detalleProceso.do?numConstancia=17-1-175110" TargetMode="External"/><Relationship Id="rId343" Type="http://schemas.openxmlformats.org/officeDocument/2006/relationships/hyperlink" Target="https://www.contratos.gov.co/consultas/detalleProceso.do?numConstancia=17-11-7341580" TargetMode="External"/><Relationship Id="rId550" Type="http://schemas.openxmlformats.org/officeDocument/2006/relationships/hyperlink" Target="https://community.secop.gov.co/Public/Tendering/ContractNoticeManagement/Index?currentLanguage=es-CO&amp;Page=login&amp;Country=CO&amp;SkinName=CCE" TargetMode="External"/><Relationship Id="rId788" Type="http://schemas.openxmlformats.org/officeDocument/2006/relationships/hyperlink" Target="https://www.contratos.gov.co/consultas/detalleProceso.do?numConstancia=14-9-393473" TargetMode="External"/><Relationship Id="rId953" Type="http://schemas.openxmlformats.org/officeDocument/2006/relationships/hyperlink" Target="https://community.secop.gov.co/Public/Tendering/ContractNoticeManagement/Index?currentLanguage=es-CO&amp;Page=login&amp;Country=CO&amp;SkinName=CCE" TargetMode="External"/><Relationship Id="rId82" Type="http://schemas.openxmlformats.org/officeDocument/2006/relationships/hyperlink" Target="https://www.contratos.gov.co/consultas/detalleProceso.do?numConstancia=15-12-4258734" TargetMode="External"/><Relationship Id="rId203" Type="http://schemas.openxmlformats.org/officeDocument/2006/relationships/hyperlink" Target="https://www.contratos.gov.co/consultas/detalleProceso.do?numConstancia=16-12-5640300" TargetMode="External"/><Relationship Id="rId385" Type="http://schemas.openxmlformats.org/officeDocument/2006/relationships/hyperlink" Target="https://www.contratos.gov.co/consultas/detalleProceso.do?numConstancia=13-13-1608949" TargetMode="External"/><Relationship Id="rId592" Type="http://schemas.openxmlformats.org/officeDocument/2006/relationships/hyperlink" Target="https://community.secop.gov.co/Public/Tendering/ContractNoticeManagement/Index?currentLanguage=es-CO&amp;Page=login&amp;Country=CO&amp;SkinName=CCE" TargetMode="External"/><Relationship Id="rId606" Type="http://schemas.openxmlformats.org/officeDocument/2006/relationships/hyperlink" Target="https://www.contratos.gov.co/consultas/detalleProceso.do?numConstancia=19-12-9348696" TargetMode="External"/><Relationship Id="rId648" Type="http://schemas.openxmlformats.org/officeDocument/2006/relationships/hyperlink" Target="https://www.contratos.gov.co/consultas/detalleProceso.do?numConstancia=19-12-9681731" TargetMode="External"/><Relationship Id="rId813" Type="http://schemas.openxmlformats.org/officeDocument/2006/relationships/hyperlink" Target="https://community.secop.gov.co/Public/Tendering/ContractNoticeManagement/Index?currentLanguage=es-CO&amp;Page=login&amp;Country=CO&amp;SkinName=CCE" TargetMode="External"/><Relationship Id="rId855" Type="http://schemas.openxmlformats.org/officeDocument/2006/relationships/hyperlink" Target="https://www.contratos.gov.co/consultas/detalleProceso.do?numConstancia=14-9-393499" TargetMode="External"/><Relationship Id="rId245" Type="http://schemas.openxmlformats.org/officeDocument/2006/relationships/hyperlink" Target="https://www.contratos.gov.co/consultas/detalleProceso.do?numConstancia=17-1-169066" TargetMode="External"/><Relationship Id="rId287" Type="http://schemas.openxmlformats.org/officeDocument/2006/relationships/hyperlink" Target="https://www.contratos.gov.co/consultas/detalleProceso.do?numConstancia=17-13-6700559" TargetMode="External"/><Relationship Id="rId410" Type="http://schemas.openxmlformats.org/officeDocument/2006/relationships/hyperlink" Target="https://community.secop.gov.co/Public/Tendering/ContractNoticeManagement/Index?currentLanguage=es-CO&amp;Page=login&amp;Country=CO&amp;SkinName=CCE" TargetMode="External"/><Relationship Id="rId452" Type="http://schemas.openxmlformats.org/officeDocument/2006/relationships/hyperlink" Target="https://www.contratos.gov.co/consultas/detalleProceso.do?numConstancia=13-12-1779917" TargetMode="External"/><Relationship Id="rId494" Type="http://schemas.openxmlformats.org/officeDocument/2006/relationships/hyperlink" Target="https://community.secop.gov.co/Public/Tendering/ContractNoticeManagement/Index?currentLanguage=es-CO&amp;Page=login&amp;Country=CO&amp;SkinName=CCE" TargetMode="External"/><Relationship Id="rId508" Type="http://schemas.openxmlformats.org/officeDocument/2006/relationships/hyperlink" Target="https://community.secop.gov.co/Public/Tendering/ContractNoticeManagement/Index?currentLanguage=es-CO&amp;Page=login&amp;Country=CO&amp;SkinName=CCE" TargetMode="External"/><Relationship Id="rId715" Type="http://schemas.openxmlformats.org/officeDocument/2006/relationships/hyperlink" Target="https://community.secop.gov.co/Public/Tendering/ContractNoticeManagement/Index?currentLanguage=es-CO&amp;Page=login&amp;Country=CO&amp;SkinName=CCE" TargetMode="External"/><Relationship Id="rId897" Type="http://schemas.openxmlformats.org/officeDocument/2006/relationships/hyperlink" Target="https://community.secop.gov.co/Public/Tendering/ContractNoticeManagement/Index?currentLanguage=es-CO&amp;Page=login&amp;Country=CO&amp;SkinName=CCE" TargetMode="External"/><Relationship Id="rId922" Type="http://schemas.openxmlformats.org/officeDocument/2006/relationships/hyperlink" Target="https://community.secop.gov.co/Public/Tendering/ContractNoticeManagement/Index?currentLanguage=es-CO&amp;Page=login&amp;Country=CO&amp;SkinName=CCE" TargetMode="External"/><Relationship Id="rId105" Type="http://schemas.openxmlformats.org/officeDocument/2006/relationships/hyperlink" Target="https://www.contratos.gov.co/consultas/detalleProceso.do?numConstancia=14-13-2531321" TargetMode="External"/><Relationship Id="rId147" Type="http://schemas.openxmlformats.org/officeDocument/2006/relationships/hyperlink" Target="https://www.contratos.gov.co/consultas/detalleProceso.do?numConstancia=16-12-5284464" TargetMode="External"/><Relationship Id="rId312" Type="http://schemas.openxmlformats.org/officeDocument/2006/relationships/hyperlink" Target="https://www.contratos.gov.co/consultas/detalleProceso.do?numConstancia=17-12-7053696" TargetMode="External"/><Relationship Id="rId354" Type="http://schemas.openxmlformats.org/officeDocument/2006/relationships/hyperlink" Target="https://www.contratos.gov.co/consultas/detalleProceso.do?numConstancia=18-12-7761864" TargetMode="External"/><Relationship Id="rId757" Type="http://schemas.openxmlformats.org/officeDocument/2006/relationships/hyperlink" Target="https://www.contratos.gov.co/consultas/detalleProceso.do?numConstancia=14-12-2885332" TargetMode="External"/><Relationship Id="rId799" Type="http://schemas.openxmlformats.org/officeDocument/2006/relationships/hyperlink" Target="https://www.contratos.gov.co/consultas/detalleProceso.do?numConstancia=15-13-3630125" TargetMode="External"/><Relationship Id="rId964" Type="http://schemas.openxmlformats.org/officeDocument/2006/relationships/hyperlink" Target="https://community.secop.gov.co/Public/Tendering/ContractNoticeManagement/Index?currentLanguage=es-CO&amp;Page=login&amp;Country=CO&amp;SkinName=CCE" TargetMode="External"/><Relationship Id="rId51" Type="http://schemas.openxmlformats.org/officeDocument/2006/relationships/hyperlink" Target="http://www.contratos.gov.co/consultas/detalleProceso.do?numConstancia=15-12-4001997" TargetMode="External"/><Relationship Id="rId93" Type="http://schemas.openxmlformats.org/officeDocument/2006/relationships/hyperlink" Target="https://www.contratos.gov.co/consultas/detalleProceso.do?numConstancia=15-12-4477389" TargetMode="External"/><Relationship Id="rId189" Type="http://schemas.openxmlformats.org/officeDocument/2006/relationships/hyperlink" Target="https://www.contratos.gov.co/consultas/detalleProceso.do?numConstancia=16-12-5607626" TargetMode="External"/><Relationship Id="rId396" Type="http://schemas.openxmlformats.org/officeDocument/2006/relationships/hyperlink" Target="https://www.contratos.gov.co/consultas/detalleProceso.do?numConstancia=11-13-650884" TargetMode="External"/><Relationship Id="rId561" Type="http://schemas.openxmlformats.org/officeDocument/2006/relationships/hyperlink" Target="https://community.secop.gov.co/Public/Tendering/ContractNoticeManagement/Index?currentLanguage=es-CO&amp;Page=login&amp;Country=CO&amp;SkinName=CCE" TargetMode="External"/><Relationship Id="rId617" Type="http://schemas.openxmlformats.org/officeDocument/2006/relationships/hyperlink" Target="https://www.contratos.gov.co/consultas/detalleProceso.do?numConstancia=13-13-1729021" TargetMode="External"/><Relationship Id="rId659" Type="http://schemas.openxmlformats.org/officeDocument/2006/relationships/hyperlink" Target="https://www.colombiacompra.gov.co/tienda-virtual-del-estado-colombiano/ordenes-compra/39152" TargetMode="External"/><Relationship Id="rId824" Type="http://schemas.openxmlformats.org/officeDocument/2006/relationships/hyperlink" Target="https://www.contratos.gov.co/consultas/detalleProceso.do?numConstancia=12-12-1107710" TargetMode="External"/><Relationship Id="rId866" Type="http://schemas.openxmlformats.org/officeDocument/2006/relationships/hyperlink" Target="https://www.contratos.gov.co/consultas/detalleProceso.do?numConstancia=14-12-2326142" TargetMode="External"/><Relationship Id="rId214" Type="http://schemas.openxmlformats.org/officeDocument/2006/relationships/hyperlink" Target="https://www.contratos.gov.co/consultas/detalleProceso.do?numConstancia=16-12-5825766" TargetMode="External"/><Relationship Id="rId256" Type="http://schemas.openxmlformats.org/officeDocument/2006/relationships/hyperlink" Target="https://www.contratos.gov.co/consultas/detalleProceso.do?numConstancia=17-12-6547774" TargetMode="External"/><Relationship Id="rId298" Type="http://schemas.openxmlformats.org/officeDocument/2006/relationships/hyperlink" Target="https://www.contratos.gov.co/consultas/detalleProceso.do?numConstancia=17-12-6957796" TargetMode="External"/><Relationship Id="rId421" Type="http://schemas.openxmlformats.org/officeDocument/2006/relationships/hyperlink" Target="https://community.secop.gov.co/Public/Tendering/ContractNoticeManagement/Index?currentLanguage=es-CO&amp;Page=login&amp;Country=CO&amp;SkinName=CCE" TargetMode="External"/><Relationship Id="rId463" Type="http://schemas.openxmlformats.org/officeDocument/2006/relationships/hyperlink" Target="https://www.contratos.gov.co/consultas/detalleProceso.do?numConstancia=14-13-3135750" TargetMode="External"/><Relationship Id="rId519" Type="http://schemas.openxmlformats.org/officeDocument/2006/relationships/hyperlink" Target="https://community.secop.gov.co/Public/Tendering/ContractNoticeManagement/Index?currentLanguage=es-CO&amp;Page=login&amp;Country=CO&amp;SkinName=CCE" TargetMode="External"/><Relationship Id="rId670" Type="http://schemas.openxmlformats.org/officeDocument/2006/relationships/hyperlink" Target="https://www.contratos.gov.co/consultas/detalleProceso.do?numConstancia=19-12-9763449" TargetMode="External"/><Relationship Id="rId116" Type="http://schemas.openxmlformats.org/officeDocument/2006/relationships/hyperlink" Target="https://www.contratos.gov.co/consultas/detalleProceso.do?numConstancia=16-12-5068475" TargetMode="External"/><Relationship Id="rId158" Type="http://schemas.openxmlformats.org/officeDocument/2006/relationships/hyperlink" Target="https://www.contratos.gov.co/consultas/detalleProceso.do?numConstancia=16-13-5240940" TargetMode="External"/><Relationship Id="rId323" Type="http://schemas.openxmlformats.org/officeDocument/2006/relationships/hyperlink" Target="https://www.contratos.gov.co/consultas/detalleProceso.do?numConstancia=17-12-7278641" TargetMode="External"/><Relationship Id="rId530" Type="http://schemas.openxmlformats.org/officeDocument/2006/relationships/hyperlink" Target="https://community.secop.gov.co/Public/Tendering/ContractNoticeManagement/Index?currentLanguage=es-CO&amp;Page=login&amp;Country=CO&amp;SkinName=CCE" TargetMode="External"/><Relationship Id="rId726" Type="http://schemas.openxmlformats.org/officeDocument/2006/relationships/hyperlink" Target="http://www.contratos.gov.co/consultas/detalleProceso.do?numConstancia=14-12-2912471" TargetMode="External"/><Relationship Id="rId768" Type="http://schemas.openxmlformats.org/officeDocument/2006/relationships/hyperlink" Target="https://www.contratos.gov.co/consultas/detalleProceso.do?numConstancia=14-9-384381" TargetMode="External"/><Relationship Id="rId933" Type="http://schemas.openxmlformats.org/officeDocument/2006/relationships/hyperlink" Target="https://community.secop.gov.co/Public/Tendering/ContractNoticeManagement/Index?currentLanguage=es-CO&amp;Page=login&amp;Country=CO&amp;SkinName=CCE" TargetMode="External"/><Relationship Id="rId975" Type="http://schemas.openxmlformats.org/officeDocument/2006/relationships/hyperlink" Target="https://community.secop.gov.co/Public/Tendering/ContractNoticeManagement/Index?currentLanguage=es-CO&amp;Page=login&amp;Country=CO&amp;SkinName=CCE" TargetMode="External"/><Relationship Id="rId20" Type="http://schemas.openxmlformats.org/officeDocument/2006/relationships/hyperlink" Target="https://www.contratos.gov.co/consultas/detalleProceso.do?numConstancia=15-12-3763103" TargetMode="External"/><Relationship Id="rId62" Type="http://schemas.openxmlformats.org/officeDocument/2006/relationships/hyperlink" Target="https://www.contratos.gov.co/consultas/detalleProceso.do?numConstancia=14-1-125523" TargetMode="External"/><Relationship Id="rId365" Type="http://schemas.openxmlformats.org/officeDocument/2006/relationships/hyperlink" Target="https://www.contratos.gov.co/consultas/detalleProceso.do?numConstancia=18-13-8039247" TargetMode="External"/><Relationship Id="rId572" Type="http://schemas.openxmlformats.org/officeDocument/2006/relationships/hyperlink" Target="https://www.contratos.gov.co/consultas/detalleProceso.do?numConstancia=14-12-3007039" TargetMode="External"/><Relationship Id="rId628" Type="http://schemas.openxmlformats.org/officeDocument/2006/relationships/hyperlink" Target="https://community.secop.gov.co/Public/Tendering/ContractNoticeManagement/Index?currentLanguage=es-CO&amp;Page=login&amp;Country=CO&amp;SkinName=CCE" TargetMode="External"/><Relationship Id="rId835" Type="http://schemas.openxmlformats.org/officeDocument/2006/relationships/hyperlink" Target="https://www.contratos.gov.co/consultas/detalleProceso.do?numConstancia=11-13-660377" TargetMode="External"/><Relationship Id="rId225" Type="http://schemas.openxmlformats.org/officeDocument/2006/relationships/hyperlink" Target="https://www.contratos.gov.co/consultas/detalleProceso.do?numConstancia=16-13-5879457" TargetMode="External"/><Relationship Id="rId267" Type="http://schemas.openxmlformats.org/officeDocument/2006/relationships/hyperlink" Target="https://www.contratos.gov.co/consultas/detalleProceso.do?numConstancia=17-13-6433684" TargetMode="External"/><Relationship Id="rId432" Type="http://schemas.openxmlformats.org/officeDocument/2006/relationships/hyperlink" Target="https://community.secop.gov.co/Public/Tendering/ContractNoticeManagement/Index?currentLanguage=es-CO&amp;Page=login&amp;Country=CO&amp;SkinName=CCE" TargetMode="External"/><Relationship Id="rId474" Type="http://schemas.openxmlformats.org/officeDocument/2006/relationships/hyperlink" Target="https://community.secop.gov.co/Public/Tendering/ContractNoticeManagement/Index?currentLanguage=es-CO&amp;Page=login&amp;Country=CO&amp;SkinName=CCE" TargetMode="External"/><Relationship Id="rId877" Type="http://schemas.openxmlformats.org/officeDocument/2006/relationships/hyperlink" Target="https://community.secop.gov.co/Public/Tendering/ContractNoticeManagement/Index?currentLanguage=es-CO&amp;Page=login&amp;Country=CO&amp;SkinName=CCE" TargetMode="External"/><Relationship Id="rId127" Type="http://schemas.openxmlformats.org/officeDocument/2006/relationships/hyperlink" Target="http://www.contratos.gov.co/consultas/detalleProceso.do?numConstancia=16-13-5096314" TargetMode="External"/><Relationship Id="rId681" Type="http://schemas.openxmlformats.org/officeDocument/2006/relationships/hyperlink" Target="https://community.secop.gov.co/Public/Tendering/ContractNoticeManagement/Index?currentLanguage=es-CO&amp;Page=login&amp;Country=CO&amp;SkinName=CCE" TargetMode="External"/><Relationship Id="rId737" Type="http://schemas.openxmlformats.org/officeDocument/2006/relationships/hyperlink" Target="https://www.contratos.gov.co/consultas/detalleProceso.do?numConstancia=14-12-3007039" TargetMode="External"/><Relationship Id="rId779" Type="http://schemas.openxmlformats.org/officeDocument/2006/relationships/hyperlink" Target="https://www.contratos.gov.co/consultas/detalleProceso.do?numConstancia=15-12-3553112" TargetMode="External"/><Relationship Id="rId902" Type="http://schemas.openxmlformats.org/officeDocument/2006/relationships/hyperlink" Target="https://community.secop.gov.co/Public/Tendering/ContractNoticeManagement/Index?currentLanguage=es-CO&amp;Page=login&amp;Country=CO&amp;SkinName=CCE" TargetMode="External"/><Relationship Id="rId944" Type="http://schemas.openxmlformats.org/officeDocument/2006/relationships/hyperlink" Target="https://community.secop.gov.co/Public/Tendering/ContractNoticeManagement/Index?currentLanguage=es-CO&amp;Page=login&amp;Country=CO&amp;SkinName=CCE" TargetMode="External"/><Relationship Id="rId986" Type="http://schemas.openxmlformats.org/officeDocument/2006/relationships/hyperlink" Target="https://community.secop.gov.co/Public/Tendering/ContractNoticeManagement/Index?currentLanguage=es-CO&amp;Page=login&amp;Country=CO&amp;SkinName=CCE" TargetMode="External"/><Relationship Id="rId31" Type="http://schemas.openxmlformats.org/officeDocument/2006/relationships/hyperlink" Target="https://www.contratos.gov.co/consultas/detalleProceso.do?numConstancia=15-12-3892381" TargetMode="External"/><Relationship Id="rId73" Type="http://schemas.openxmlformats.org/officeDocument/2006/relationships/hyperlink" Target="https://www.contratos.gov.co/consultas/detalleProceso.do?numConstancia=15-13-4105874" TargetMode="External"/><Relationship Id="rId169" Type="http://schemas.openxmlformats.org/officeDocument/2006/relationships/hyperlink" Target="https://www.contratos.gov.co/consultas/detalleProceso.do?numConstancia=14-12-2326601" TargetMode="External"/><Relationship Id="rId334" Type="http://schemas.openxmlformats.org/officeDocument/2006/relationships/hyperlink" Target="https://www.contratos.gov.co/consultas/detalleProceso.do?numConstancia=17-13-7301804" TargetMode="External"/><Relationship Id="rId376" Type="http://schemas.openxmlformats.org/officeDocument/2006/relationships/hyperlink" Target="https://www.contratos.gov.co/consultas/detalleProceso.do?numConstancia=18-1-189395" TargetMode="External"/><Relationship Id="rId541" Type="http://schemas.openxmlformats.org/officeDocument/2006/relationships/hyperlink" Target="https://www.contratos.gov.co/consultas/detalleProceso.do?numConstancia=14-12-2220338" TargetMode="External"/><Relationship Id="rId583" Type="http://schemas.openxmlformats.org/officeDocument/2006/relationships/hyperlink" Target="https://www.contratos.gov.co/consultas/detalleProceso.do?numConstancia=13-11-2084592" TargetMode="External"/><Relationship Id="rId639" Type="http://schemas.openxmlformats.org/officeDocument/2006/relationships/hyperlink" Target="https://www.contratos.gov.co/consultas/detalleProceso.do?numConstancia=19-12-9580780" TargetMode="External"/><Relationship Id="rId790" Type="http://schemas.openxmlformats.org/officeDocument/2006/relationships/hyperlink" Target="https://www.contratos.gov.co/consultas/detalleProceso.do?numConstancia=15-12-3356280" TargetMode="External"/><Relationship Id="rId804" Type="http://schemas.openxmlformats.org/officeDocument/2006/relationships/hyperlink" Target="https://www.contratos.gov.co/consultas/detalleProceso.do?numConstancia=15-13-3528749" TargetMode="External"/><Relationship Id="rId4" Type="http://schemas.openxmlformats.org/officeDocument/2006/relationships/hyperlink" Target="https://www.contratos.gov.co/consultas/detalleProceso.do?numConstancia=15-12-3449941" TargetMode="External"/><Relationship Id="rId180" Type="http://schemas.openxmlformats.org/officeDocument/2006/relationships/hyperlink" Target="https://www.contratos.gov.co/consultas/detalleProceso.do?numConstancia=16-13-5411661" TargetMode="External"/><Relationship Id="rId236" Type="http://schemas.openxmlformats.org/officeDocument/2006/relationships/hyperlink" Target="https://www.contratos.gov.co/consultas/detalleProceso.do?numConstancia=17-12-6210150" TargetMode="External"/><Relationship Id="rId278" Type="http://schemas.openxmlformats.org/officeDocument/2006/relationships/hyperlink" Target="https://www.contratos.gov.co/consultas/detalleProceso.do?numConstancia=17-12-6665723" TargetMode="External"/><Relationship Id="rId401" Type="http://schemas.openxmlformats.org/officeDocument/2006/relationships/hyperlink" Target="https://www.contratos.gov.co/consultas/detalleProceso.do?numConstancia=18-13-8160979" TargetMode="External"/><Relationship Id="rId443" Type="http://schemas.openxmlformats.org/officeDocument/2006/relationships/hyperlink" Target="https://community.secop.gov.co/Public/Tendering/ContractNoticeManagement/Index?currentLanguage=es-CO&amp;Page=login&amp;Country=CO&amp;SkinName=CCE" TargetMode="External"/><Relationship Id="rId650" Type="http://schemas.openxmlformats.org/officeDocument/2006/relationships/hyperlink" Target="https://www.contratos.gov.co/consultas/detalleProceso.do?numConstancia=19-12-9608064" TargetMode="External"/><Relationship Id="rId846" Type="http://schemas.openxmlformats.org/officeDocument/2006/relationships/hyperlink" Target="https://www.contratos.gov.co/consultas/detalleProceso.do?numConstancia=13-13-1692910" TargetMode="External"/><Relationship Id="rId888" Type="http://schemas.openxmlformats.org/officeDocument/2006/relationships/hyperlink" Target="https://community.secop.gov.co/Public/Tendering/ContractNoticeManagement/Index?currentLanguage=es-CO&amp;Page=login&amp;Country=CO&amp;SkinName=CCE" TargetMode="External"/><Relationship Id="rId303" Type="http://schemas.openxmlformats.org/officeDocument/2006/relationships/hyperlink" Target="https://www.contratos.gov.co/consultas/detalleProceso.do?numConstancia=17-13-6989178" TargetMode="External"/><Relationship Id="rId485" Type="http://schemas.openxmlformats.org/officeDocument/2006/relationships/hyperlink" Target="https://community.secop.gov.co/Public/Tendering/ContractNoticeManagement/Index?currentLanguage=es-CO&amp;Page=login&amp;Country=CO&amp;SkinName=CCE" TargetMode="External"/><Relationship Id="rId692" Type="http://schemas.openxmlformats.org/officeDocument/2006/relationships/hyperlink" Target="https://www.contratos.gov.co/consultas/detalleProceso.do?numConstancia=13-13-2082146" TargetMode="External"/><Relationship Id="rId706" Type="http://schemas.openxmlformats.org/officeDocument/2006/relationships/hyperlink" Target="https://www.contratos.gov.co/consultas/detalleProceso.do?numConstancia=13-13-1702515" TargetMode="External"/><Relationship Id="rId748" Type="http://schemas.openxmlformats.org/officeDocument/2006/relationships/hyperlink" Target="https://www.contratos.gov.co/consultas/detalleProceso.do?numConstancia=14-1-124021" TargetMode="External"/><Relationship Id="rId913" Type="http://schemas.openxmlformats.org/officeDocument/2006/relationships/hyperlink" Target="https://community.secop.gov.co/Public/Tendering/ContractNoticeManagement/Index?currentLanguage=es-CO&amp;Page=login&amp;Country=CO&amp;SkinName=CCE" TargetMode="External"/><Relationship Id="rId955" Type="http://schemas.openxmlformats.org/officeDocument/2006/relationships/hyperlink" Target="https://community.secop.gov.co/Public/Tendering/ContractNoticeManagement/Index?currentLanguage=es-CO&amp;Page=login&amp;Country=CO&amp;SkinName=CCE" TargetMode="External"/><Relationship Id="rId42" Type="http://schemas.openxmlformats.org/officeDocument/2006/relationships/hyperlink" Target="http://www.contratos.gov.co/consultas/detalleProceso.do?numConstancia=15-12-3926559" TargetMode="External"/><Relationship Id="rId84" Type="http://schemas.openxmlformats.org/officeDocument/2006/relationships/hyperlink" Target="https://www.contratos.gov.co/consultas/detalleProceso.do?numConstancia=15-1-143353" TargetMode="External"/><Relationship Id="rId138" Type="http://schemas.openxmlformats.org/officeDocument/2006/relationships/hyperlink" Target="http://www.contratos.gov.co/consultas/detalleProceso.do?numConstancia=16-12-5244335" TargetMode="External"/><Relationship Id="rId345" Type="http://schemas.openxmlformats.org/officeDocument/2006/relationships/hyperlink" Target="https://www.contratos.gov.co/consultas/detalleProceso.do?numConstancia=17-9-438024" TargetMode="External"/><Relationship Id="rId387" Type="http://schemas.openxmlformats.org/officeDocument/2006/relationships/hyperlink" Target="https://www.contratos.gov.co/consultas/detalleProceso.do?numConstancia=13-12-1911131" TargetMode="External"/><Relationship Id="rId510" Type="http://schemas.openxmlformats.org/officeDocument/2006/relationships/hyperlink" Target="https://community.secop.gov.co/Public/Tendering/ContractNoticeManagement/Index?currentLanguage=es-CO&amp;Page=login&amp;Country=CO&amp;SkinName=CCE" TargetMode="External"/><Relationship Id="rId552" Type="http://schemas.openxmlformats.org/officeDocument/2006/relationships/hyperlink" Target="https://community.secop.gov.co/Public/Tendering/ContractNoticeManagement/Index?currentLanguage=es-CO&amp;Page=login&amp;Country=CO&amp;SkinName=CCE" TargetMode="External"/><Relationship Id="rId594" Type="http://schemas.openxmlformats.org/officeDocument/2006/relationships/hyperlink" Target="https://www.contratos.gov.co/consultas/detalleProceso.do?numConstancia=19-12-9230250" TargetMode="External"/><Relationship Id="rId608" Type="http://schemas.openxmlformats.org/officeDocument/2006/relationships/hyperlink" Target="https://community.secop.gov.co/Public/Tendering/ContractNoticeManagement/Index?currentLanguage=es-CO&amp;Page=login&amp;Country=CO&amp;SkinName=CCE" TargetMode="External"/><Relationship Id="rId815" Type="http://schemas.openxmlformats.org/officeDocument/2006/relationships/hyperlink" Target="https://community.secop.gov.co/Public/Tendering/ContractNoticeManagement/Index?currentLanguage=es-CO&amp;Page=login&amp;Country=CO&amp;SkinName=CCE" TargetMode="External"/><Relationship Id="rId191" Type="http://schemas.openxmlformats.org/officeDocument/2006/relationships/hyperlink" Target="https://www.contratos.gov.co/consultas/detalleProceso.do?numConstancia=16-12-5618028" TargetMode="External"/><Relationship Id="rId205" Type="http://schemas.openxmlformats.org/officeDocument/2006/relationships/hyperlink" Target="https://www.contratos.gov.co/consultas/detalleProceso.do?numConstancia=16-12-5632846" TargetMode="External"/><Relationship Id="rId247" Type="http://schemas.openxmlformats.org/officeDocument/2006/relationships/hyperlink" Target="https://www.contratos.gov.co/consultas/detalleProceso.do?numConstancia=17-13-6345360" TargetMode="External"/><Relationship Id="rId412" Type="http://schemas.openxmlformats.org/officeDocument/2006/relationships/hyperlink" Target="https://community.secop.gov.co/Public/Tendering/ContractNoticeManagement/Index?currentLanguage=es-CO&amp;Page=login&amp;Country=CO&amp;SkinName=CCE" TargetMode="External"/><Relationship Id="rId857" Type="http://schemas.openxmlformats.org/officeDocument/2006/relationships/hyperlink" Target="https://www.contratos.gov.co/consultas/detalleProceso.do?numConstancia=14-12-2934206" TargetMode="External"/><Relationship Id="rId899" Type="http://schemas.openxmlformats.org/officeDocument/2006/relationships/hyperlink" Target="https://community.secop.gov.co/Public/Tendering/ContractNoticeManagement/Index?currentLanguage=es-CO&amp;Page=login&amp;Country=CO&amp;SkinName=CCE" TargetMode="External"/><Relationship Id="rId107" Type="http://schemas.openxmlformats.org/officeDocument/2006/relationships/hyperlink" Target="https://www.contratos.gov.co/consultas/detalleProceso.do?numConstancia=16-12-4895937" TargetMode="External"/><Relationship Id="rId289" Type="http://schemas.openxmlformats.org/officeDocument/2006/relationships/hyperlink" Target="https://www.contratos.gov.co/consultas/detalleProceso.do?numConstancia=17-9-429708" TargetMode="External"/><Relationship Id="rId454" Type="http://schemas.openxmlformats.org/officeDocument/2006/relationships/hyperlink" Target="https://www.contratos.gov.co/consultas/detalleProceso.do?numConstancia=14-12-3024698" TargetMode="External"/><Relationship Id="rId496" Type="http://schemas.openxmlformats.org/officeDocument/2006/relationships/hyperlink" Target="https://www.contratos.gov.co/consultas/detalleProceso.do?numConstancia=13-9-363314" TargetMode="External"/><Relationship Id="rId661" Type="http://schemas.openxmlformats.org/officeDocument/2006/relationships/hyperlink" Target="https://www.contratos.gov.co/consultas/detalleProceso.do?numConstancia=19-12-9699153" TargetMode="External"/><Relationship Id="rId717" Type="http://schemas.openxmlformats.org/officeDocument/2006/relationships/hyperlink" Target="https://www.contratos.gov.co/consultas/detalleProceso.do?numConstancia=19-12-10054160" TargetMode="External"/><Relationship Id="rId759" Type="http://schemas.openxmlformats.org/officeDocument/2006/relationships/hyperlink" Target="https://www.contratos.gov.co/consultas/detalleProceso.do?numConstancia=14-13-2759728" TargetMode="External"/><Relationship Id="rId924" Type="http://schemas.openxmlformats.org/officeDocument/2006/relationships/hyperlink" Target="https://community.secop.gov.co/Public/Tendering/ContractNoticeManagement/Index?currentLanguage=es-CO&amp;Page=login&amp;Country=CO&amp;SkinName=CCE" TargetMode="External"/><Relationship Id="rId966" Type="http://schemas.openxmlformats.org/officeDocument/2006/relationships/hyperlink" Target="https://community.secop.gov.co/Public/Tendering/ContractNoticeManagement/Index?currentLanguage=es-CO&amp;Page=login&amp;Country=CO&amp;SkinName=CCE" TargetMode="External"/><Relationship Id="rId11" Type="http://schemas.openxmlformats.org/officeDocument/2006/relationships/hyperlink" Target="https://www.contratos.gov.co/consultas/detalleProceso.do?numConstancia=15-12-3566213" TargetMode="External"/><Relationship Id="rId53" Type="http://schemas.openxmlformats.org/officeDocument/2006/relationships/hyperlink" Target="http://www.contratos.gov.co/consultas/detalleProceso.do?numConstancia=15-12-4002181" TargetMode="External"/><Relationship Id="rId149" Type="http://schemas.openxmlformats.org/officeDocument/2006/relationships/hyperlink" Target="https://www.contratos.gov.co/consultas/detalleProceso.do?numConstancia=16-12-5318198" TargetMode="External"/><Relationship Id="rId314" Type="http://schemas.openxmlformats.org/officeDocument/2006/relationships/hyperlink" Target="https://www.contratos.gov.co/consultas/detalleProceso.do?numConstancia=17-13-7084506" TargetMode="External"/><Relationship Id="rId356" Type="http://schemas.openxmlformats.org/officeDocument/2006/relationships/hyperlink" Target="https://www.contratos.gov.co/consultas/detalleProceso.do?numConstancia=18-12-7758646" TargetMode="External"/><Relationship Id="rId398" Type="http://schemas.openxmlformats.org/officeDocument/2006/relationships/hyperlink" Target="https://www.contratos.gov.co/consultas/detalleProceso.do?numConstancia=18-13-8146836" TargetMode="External"/><Relationship Id="rId521" Type="http://schemas.openxmlformats.org/officeDocument/2006/relationships/hyperlink" Target="https://www.colombiacompra.gov.co/tienda-virtual-del-estado-colombiano/ordenes-compra/34344" TargetMode="External"/><Relationship Id="rId563" Type="http://schemas.openxmlformats.org/officeDocument/2006/relationships/hyperlink" Target="https://community.secop.gov.co/Public/Tendering/ContractNoticeManagement/Index?currentLanguage=es-CO&amp;Page=login&amp;Country=CO&amp;SkinName=CCE" TargetMode="External"/><Relationship Id="rId619" Type="http://schemas.openxmlformats.org/officeDocument/2006/relationships/hyperlink" Target="https://www.contratos.gov.co/consultas/detalleProceso.do?numConstancia=13-12-1646909" TargetMode="External"/><Relationship Id="rId770" Type="http://schemas.openxmlformats.org/officeDocument/2006/relationships/hyperlink" Target="http://www.contratos.gov.co/consultas/detalleProceso.do?numConstancia=14-13-2678644" TargetMode="External"/><Relationship Id="rId95" Type="http://schemas.openxmlformats.org/officeDocument/2006/relationships/hyperlink" Target="https://www.contratos.gov.co/consultas/detalleProceso.do?numConstancia=15-12-3544892" TargetMode="External"/><Relationship Id="rId160" Type="http://schemas.openxmlformats.org/officeDocument/2006/relationships/hyperlink" Target="https://www.contratos.gov.co/consultas/detalleProceso.do?numConstancia=16-9-416614" TargetMode="External"/><Relationship Id="rId216" Type="http://schemas.openxmlformats.org/officeDocument/2006/relationships/hyperlink" Target="https://www.contratos.gov.co/consultas/detalleProceso.do?numConstancia=16-12-5892978" TargetMode="External"/><Relationship Id="rId423" Type="http://schemas.openxmlformats.org/officeDocument/2006/relationships/hyperlink" Target="https://www.contratos.gov.co/consultas/detalleProceso.do?numConstancia=18-13-8170596" TargetMode="External"/><Relationship Id="rId826" Type="http://schemas.openxmlformats.org/officeDocument/2006/relationships/hyperlink" Target="https://www.contratos.gov.co/consultas/detalleProceso.do?numConstancia=12-13-1072651" TargetMode="External"/><Relationship Id="rId868" Type="http://schemas.openxmlformats.org/officeDocument/2006/relationships/hyperlink" Target="https://www.contratos.gov.co/consultas/detalleProceso.do?numConstancia=14-12-2952122" TargetMode="External"/><Relationship Id="rId258" Type="http://schemas.openxmlformats.org/officeDocument/2006/relationships/hyperlink" Target="https://www.contratos.gov.co/consultas/detalleProceso.do?numConstancia=17-12-6536544" TargetMode="External"/><Relationship Id="rId465" Type="http://schemas.openxmlformats.org/officeDocument/2006/relationships/hyperlink" Target="https://www.contratos.gov.co/consultas/detalleProceso.do?numConstancia=15-12-3628052" TargetMode="External"/><Relationship Id="rId630" Type="http://schemas.openxmlformats.org/officeDocument/2006/relationships/hyperlink" Target="https://community.secop.gov.co/Public/Tendering/ContractNoticeManagement/Index?currentLanguage=es-CO&amp;Page=login&amp;Country=CO&amp;SkinName=CCE" TargetMode="External"/><Relationship Id="rId672" Type="http://schemas.openxmlformats.org/officeDocument/2006/relationships/hyperlink" Target="https://www.contratos.gov.co/consultas/detalleProceso.do?numConstancia=19-12-9767800" TargetMode="External"/><Relationship Id="rId728" Type="http://schemas.openxmlformats.org/officeDocument/2006/relationships/hyperlink" Target="https://www.contratos.gov.co/consultas/detalleProceso.do?numConstancia=14-17-2800394" TargetMode="External"/><Relationship Id="rId935" Type="http://schemas.openxmlformats.org/officeDocument/2006/relationships/hyperlink" Target="https://community.secop.gov.co/Public/Tendering/ContractNoticeManagement/Index?currentLanguage=es-CO&amp;Page=login&amp;Country=CO&amp;SkinName=CCE" TargetMode="External"/><Relationship Id="rId22" Type="http://schemas.openxmlformats.org/officeDocument/2006/relationships/hyperlink" Target="https://www.contratos.gov.co/consultas/detalleProceso.do?numConstancia=15-13-3630125" TargetMode="External"/><Relationship Id="rId64" Type="http://schemas.openxmlformats.org/officeDocument/2006/relationships/hyperlink" Target="https://www.contratos.gov.co/consultas/detalleProceso.do?numConstancia=15-13-4020539" TargetMode="External"/><Relationship Id="rId118" Type="http://schemas.openxmlformats.org/officeDocument/2006/relationships/hyperlink" Target="https://www.contratos.gov.co/consultas/detalleProceso.do?numConstancia=16-12-5121622" TargetMode="External"/><Relationship Id="rId325" Type="http://schemas.openxmlformats.org/officeDocument/2006/relationships/hyperlink" Target="https://www.contratos.gov.co/consultas/detalleProceso.do?numConstancia=17-9-434838" TargetMode="External"/><Relationship Id="rId367" Type="http://schemas.openxmlformats.org/officeDocument/2006/relationships/hyperlink" Target="https://www.contratos.gov.co/consultas/detalleProceso.do?numConstancia=18-13-8034786" TargetMode="External"/><Relationship Id="rId532" Type="http://schemas.openxmlformats.org/officeDocument/2006/relationships/hyperlink" Target="https://community.secop.gov.co/Public/Tendering/ContractNoticeManagement/Index?currentLanguage=es-CO&amp;Page=login&amp;Country=CO&amp;SkinName=CCE" TargetMode="External"/><Relationship Id="rId574" Type="http://schemas.openxmlformats.org/officeDocument/2006/relationships/hyperlink" Target="https://community.secop.gov.co/Public/Tendering/ContractNoticeManagement/Index?currentLanguage=es-CO&amp;Page=login&amp;Country=CO&amp;SkinName=CCE" TargetMode="External"/><Relationship Id="rId977" Type="http://schemas.openxmlformats.org/officeDocument/2006/relationships/hyperlink" Target="https://community.secop.gov.co/Public/Tendering/ContractNoticeManagement/Index?currentLanguage=es-CO&amp;Page=login&amp;Country=CO&amp;SkinName=CCE" TargetMode="External"/><Relationship Id="rId171" Type="http://schemas.openxmlformats.org/officeDocument/2006/relationships/hyperlink" Target="https://www.contratos.gov.co/consultas/detalleProceso.do?numConstancia=14-13-2412764" TargetMode="External"/><Relationship Id="rId227" Type="http://schemas.openxmlformats.org/officeDocument/2006/relationships/hyperlink" Target="https://www.contratos.gov.co/consultas/detalleProceso.do?numConstancia=16-9-423286" TargetMode="External"/><Relationship Id="rId781" Type="http://schemas.openxmlformats.org/officeDocument/2006/relationships/hyperlink" Target="https://www.contratos.gov.co/consultas/detalleProceso.do?numConstancia=15-12-3496763" TargetMode="External"/><Relationship Id="rId837" Type="http://schemas.openxmlformats.org/officeDocument/2006/relationships/hyperlink" Target="https://www.contratos.gov.co/consultas/detalleProceso.do?numConstancia=13-13-1504602" TargetMode="External"/><Relationship Id="rId879" Type="http://schemas.openxmlformats.org/officeDocument/2006/relationships/hyperlink" Target="https://community.secop.gov.co/Public/Tendering/ContractNoticeManagement/Index?currentLanguage=es-CO&amp;Page=login&amp;Country=CO&amp;SkinName=CCE" TargetMode="External"/><Relationship Id="rId269" Type="http://schemas.openxmlformats.org/officeDocument/2006/relationships/hyperlink" Target="https://www.colombiacompra.gov.co/tienda-virtual-del-estado-colombiano/orden-de-compra/13628" TargetMode="External"/><Relationship Id="rId434" Type="http://schemas.openxmlformats.org/officeDocument/2006/relationships/hyperlink" Target="https://community.secop.gov.co/Public/Tendering/ContractNoticeManagement/Index?currentLanguage=es-CO&amp;Page=login&amp;Country=CO&amp;SkinName=CCE" TargetMode="External"/><Relationship Id="rId476" Type="http://schemas.openxmlformats.org/officeDocument/2006/relationships/hyperlink" Target="https://community.secop.gov.co/Public/Tendering/ContractNoticeManagement/Index?currentLanguage=es-CO&amp;Page=login&amp;Country=CO&amp;SkinName=CCE" TargetMode="External"/><Relationship Id="rId641" Type="http://schemas.openxmlformats.org/officeDocument/2006/relationships/hyperlink" Target="https://www.contratos.gov.co/consultas/detalleProceso.do?numConstancia=19-12-9581046" TargetMode="External"/><Relationship Id="rId683" Type="http://schemas.openxmlformats.org/officeDocument/2006/relationships/hyperlink" Target="https://www.colombiacompra.gov.co/tienda-virtual-del-estado-colombiano/ordenes-compra/24917" TargetMode="External"/><Relationship Id="rId739" Type="http://schemas.openxmlformats.org/officeDocument/2006/relationships/hyperlink" Target="https://www.contratos.gov.co/consultas/detalleProceso.do?numConstancia=14-13-2990033" TargetMode="External"/><Relationship Id="rId890" Type="http://schemas.openxmlformats.org/officeDocument/2006/relationships/hyperlink" Target="https://community.secop.gov.co/Public/Tendering/ContractNoticeManagement/Index?currentLanguage=es-CO&amp;Page=login&amp;Country=CO&amp;SkinName=CCE" TargetMode="External"/><Relationship Id="rId904" Type="http://schemas.openxmlformats.org/officeDocument/2006/relationships/hyperlink" Target="https://community.secop.gov.co/Public/Tendering/ContractNoticeManagement/Index?currentLanguage=es-CO&amp;Page=login&amp;Country=CO&amp;SkinName=CCE" TargetMode="External"/><Relationship Id="rId33" Type="http://schemas.openxmlformats.org/officeDocument/2006/relationships/hyperlink" Target="https://www.contratos.gov.co/consultas/detalleProceso.do?numConstancia=15-12-3810079" TargetMode="External"/><Relationship Id="rId129" Type="http://schemas.openxmlformats.org/officeDocument/2006/relationships/hyperlink" Target="http://www.contratos.gov.co/consultas/detalleProceso.do?numConstancia=16-11-4974267" TargetMode="External"/><Relationship Id="rId280" Type="http://schemas.openxmlformats.org/officeDocument/2006/relationships/hyperlink" Target="https://www.contratos.gov.co/consultas/detalleProceso.do?numConstancia=17-12-6692587" TargetMode="External"/><Relationship Id="rId336" Type="http://schemas.openxmlformats.org/officeDocument/2006/relationships/hyperlink" Target="https://www.contratos.gov.co/consultas/detalleProceso.do?numConstancia=17-13-7341299" TargetMode="External"/><Relationship Id="rId501" Type="http://schemas.openxmlformats.org/officeDocument/2006/relationships/hyperlink" Target="https://www.contratos.gov.co/consultas/detalleProceso.do?numConstancia=13-12-1727402" TargetMode="External"/><Relationship Id="rId543" Type="http://schemas.openxmlformats.org/officeDocument/2006/relationships/hyperlink" Target="https://www.contratos.gov.co/consultas/detalleProceso.do?numConstancia=13-9-372956" TargetMode="External"/><Relationship Id="rId946" Type="http://schemas.openxmlformats.org/officeDocument/2006/relationships/hyperlink" Target="https://community.secop.gov.co/Public/Tendering/ContractNoticeManagement/Index?currentLanguage=es-CO&amp;Page=login&amp;Country=CO&amp;SkinName=CCE" TargetMode="External"/><Relationship Id="rId988" Type="http://schemas.openxmlformats.org/officeDocument/2006/relationships/printerSettings" Target="../printerSettings/printerSettings4.bin"/><Relationship Id="rId75" Type="http://schemas.openxmlformats.org/officeDocument/2006/relationships/hyperlink" Target="https://www.contratos.gov.co/consultas/detalleProceso.do?numConstancia=15-1-138745" TargetMode="External"/><Relationship Id="rId140" Type="http://schemas.openxmlformats.org/officeDocument/2006/relationships/hyperlink" Target="https://www.contratos.gov.co/consultas/detalleProceso.do?numConstancia=16-13-5104605" TargetMode="External"/><Relationship Id="rId182" Type="http://schemas.openxmlformats.org/officeDocument/2006/relationships/hyperlink" Target="https://www.contratos.gov.co/consultas/detalleProceso.do?numConstancia=16-12-5553553" TargetMode="External"/><Relationship Id="rId378" Type="http://schemas.openxmlformats.org/officeDocument/2006/relationships/hyperlink" Target="https://www.contratos.gov.co/consultas/detalleProceso.do?numConstancia=14-13-2687480" TargetMode="External"/><Relationship Id="rId403" Type="http://schemas.openxmlformats.org/officeDocument/2006/relationships/hyperlink" Target="https://www.contratos.gov.co/consultas/detalleProceso.do?numConstancia=18-13-8174485" TargetMode="External"/><Relationship Id="rId585" Type="http://schemas.openxmlformats.org/officeDocument/2006/relationships/hyperlink" Target="https://www.contratos.gov.co/consultas/detalleProceso.do?numConstancia=13-13-1916525" TargetMode="External"/><Relationship Id="rId750" Type="http://schemas.openxmlformats.org/officeDocument/2006/relationships/hyperlink" Target="https://www.contratos.gov.co/consultas/detalleProceso.do?numConstancia=14-13-3135750" TargetMode="External"/><Relationship Id="rId792" Type="http://schemas.openxmlformats.org/officeDocument/2006/relationships/hyperlink" Target="https://www.contratos.gov.co/consultas/detalleProceso.do?numConstancia=15-13-3639663" TargetMode="External"/><Relationship Id="rId806" Type="http://schemas.openxmlformats.org/officeDocument/2006/relationships/hyperlink" Target="https://www.contratos.gov.co/consultas/detalleProceso.do?numConstancia=15-9-397496" TargetMode="External"/><Relationship Id="rId848" Type="http://schemas.openxmlformats.org/officeDocument/2006/relationships/hyperlink" Target="https://www.contratos.gov.co/consultas/detalleProceso.do?numConstancia=13-1-97495" TargetMode="External"/><Relationship Id="rId6" Type="http://schemas.openxmlformats.org/officeDocument/2006/relationships/hyperlink" Target="https://www.contratos.gov.co/consultas/detalleProceso.do?numConstancia=15-12-3492957" TargetMode="External"/><Relationship Id="rId238" Type="http://schemas.openxmlformats.org/officeDocument/2006/relationships/hyperlink" Target="https://www.contratos.gov.co/consultas/detalleProceso.do?numConstancia=17-13-6215826" TargetMode="External"/><Relationship Id="rId445" Type="http://schemas.openxmlformats.org/officeDocument/2006/relationships/hyperlink" Target="https://www.contratos.gov.co/consultas/detalleProceso.do?numConstancia=18-12-8176020" TargetMode="External"/><Relationship Id="rId487" Type="http://schemas.openxmlformats.org/officeDocument/2006/relationships/hyperlink" Target="https://www.colombiacompra.gov.co/tienda-virtual-del-estado-colombiano/ordenes-compra/32379" TargetMode="External"/><Relationship Id="rId610" Type="http://schemas.openxmlformats.org/officeDocument/2006/relationships/hyperlink" Target="https://www.contratos.gov.co/consultas/detalleProceso.do?numConstancia=19-12-9366927" TargetMode="External"/><Relationship Id="rId652" Type="http://schemas.openxmlformats.org/officeDocument/2006/relationships/hyperlink" Target="https://www.contratos.gov.co/consultas/detalleProceso.do?numConstancia=19-12-9689822" TargetMode="External"/><Relationship Id="rId694" Type="http://schemas.openxmlformats.org/officeDocument/2006/relationships/hyperlink" Target="https://www.contratos.gov.co/consultas/detalleProceso.do?numConstancia=12-12-1119531" TargetMode="External"/><Relationship Id="rId708" Type="http://schemas.openxmlformats.org/officeDocument/2006/relationships/hyperlink" Target="https://community.secop.gov.co/Public/Tendering/ContractNoticeManagement/Index?currentLanguage=es-CO&amp;Page=login&amp;Country=CO&amp;SkinName=CCE" TargetMode="External"/><Relationship Id="rId915" Type="http://schemas.openxmlformats.org/officeDocument/2006/relationships/hyperlink" Target="https://community.secop.gov.co/Public/Tendering/ContractNoticeManagement/Index?currentLanguage=es-CO&amp;Page=login&amp;Country=CO&amp;SkinName=CCE" TargetMode="External"/><Relationship Id="rId291" Type="http://schemas.openxmlformats.org/officeDocument/2006/relationships/hyperlink" Target="https://www.contratos.gov.co/consultas/detalleProceso.do?numConstancia=17-12-6888037" TargetMode="External"/><Relationship Id="rId305" Type="http://schemas.openxmlformats.org/officeDocument/2006/relationships/hyperlink" Target="https://www.contratos.gov.co/consultas/detalleProceso.do?numConstancia=17-13-7000429" TargetMode="External"/><Relationship Id="rId347" Type="http://schemas.openxmlformats.org/officeDocument/2006/relationships/hyperlink" Target="https://www.contratos.gov.co/consultas/detalleProceso.do?numConstancia=18-12-7703265" TargetMode="External"/><Relationship Id="rId512" Type="http://schemas.openxmlformats.org/officeDocument/2006/relationships/hyperlink" Target="https://www.colombiacompra.gov.co/tienda-virtual-del-estado-colombiano/ordenes-compra/33008" TargetMode="External"/><Relationship Id="rId957" Type="http://schemas.openxmlformats.org/officeDocument/2006/relationships/hyperlink" Target="https://community.secop.gov.co/Public/Tendering/ContractNoticeManagement/Index?currentLanguage=es-CO&amp;Page=login&amp;Country=CO&amp;SkinName=CCE" TargetMode="External"/><Relationship Id="rId44" Type="http://schemas.openxmlformats.org/officeDocument/2006/relationships/hyperlink" Target="http://www.contratos.gov.co/consultas/detalleProceso.do?numConstancia=15-13-3848572" TargetMode="External"/><Relationship Id="rId86" Type="http://schemas.openxmlformats.org/officeDocument/2006/relationships/hyperlink" Target="https://www.contratos.gov.co/consultas/detalleProceso.do?numConstancia=15-13-4294577" TargetMode="External"/><Relationship Id="rId151" Type="http://schemas.openxmlformats.org/officeDocument/2006/relationships/hyperlink" Target="https://www.contratos.gov.co/consultas/detalleProceso.do?numConstancia=16-12-5292827" TargetMode="External"/><Relationship Id="rId389" Type="http://schemas.openxmlformats.org/officeDocument/2006/relationships/hyperlink" Target="https://www.contratos.gov.co/consultas/detalleProceso.do?numConstancia=13-11-1494840" TargetMode="External"/><Relationship Id="rId554" Type="http://schemas.openxmlformats.org/officeDocument/2006/relationships/hyperlink" Target="https://community.secop.gov.co/Public/Tendering/ContractNoticeManagement/Index?currentLanguage=es-CO&amp;Page=login&amp;Country=CO&amp;SkinName=CCE" TargetMode="External"/><Relationship Id="rId596" Type="http://schemas.openxmlformats.org/officeDocument/2006/relationships/hyperlink" Target="https://www.contratos.gov.co/consultas/detalleProceso.do?numConstancia=19-12-9256850" TargetMode="External"/><Relationship Id="rId761" Type="http://schemas.openxmlformats.org/officeDocument/2006/relationships/hyperlink" Target="https://www.contratos.gov.co/consultas/detalleProceso.do?numConstancia=14-13-2712193" TargetMode="External"/><Relationship Id="rId817" Type="http://schemas.openxmlformats.org/officeDocument/2006/relationships/hyperlink" Target="https://community.secop.gov.co/Public/Tendering/ContractNoticeManagement/Index?currentLanguage=es-CO&amp;Page=login&amp;Country=CO&amp;SkinName=CCE" TargetMode="External"/><Relationship Id="rId859" Type="http://schemas.openxmlformats.org/officeDocument/2006/relationships/hyperlink" Target="https://www.contratos.gov.co/consultas/detalleProceso.do?numConstancia=19-12-10071249" TargetMode="External"/><Relationship Id="rId193" Type="http://schemas.openxmlformats.org/officeDocument/2006/relationships/hyperlink" Target="https://www.contratos.gov.co/consultas/detalleProceso.do?numConstancia=14-13-2361063" TargetMode="External"/><Relationship Id="rId207" Type="http://schemas.openxmlformats.org/officeDocument/2006/relationships/hyperlink" Target="https://www.contratos.gov.co/consultas/detalleProceso.do?numConstancia=16-13-5580682" TargetMode="External"/><Relationship Id="rId249" Type="http://schemas.openxmlformats.org/officeDocument/2006/relationships/hyperlink" Target="https://www.contratos.gov.co/consultas/detalleProceso.do?numConstancia=17-13-6403072" TargetMode="External"/><Relationship Id="rId414" Type="http://schemas.openxmlformats.org/officeDocument/2006/relationships/hyperlink" Target="https://community.secop.gov.co/Public/Tendering/ContractNoticeManagement/Index?currentLanguage=es-CO&amp;Page=login&amp;Country=CO&amp;SkinName=CCE" TargetMode="External"/><Relationship Id="rId456" Type="http://schemas.openxmlformats.org/officeDocument/2006/relationships/hyperlink" Target="https://www.contratos.gov.co/consultas/detalleProceso.do?numConstancia=12-12-958931" TargetMode="External"/><Relationship Id="rId498" Type="http://schemas.openxmlformats.org/officeDocument/2006/relationships/hyperlink" Target="https://www.contratos.gov.co/consultas/detalleProceso.do?numConstancia=14-12-2989058" TargetMode="External"/><Relationship Id="rId621" Type="http://schemas.openxmlformats.org/officeDocument/2006/relationships/hyperlink" Target="https://community.secop.gov.co/Public/Tendering/ContractNoticeManagement/Index?currentLanguage=es-CO&amp;Page=login&amp;Country=CO&amp;SkinName=CCE" TargetMode="External"/><Relationship Id="rId663" Type="http://schemas.openxmlformats.org/officeDocument/2006/relationships/hyperlink" Target="https://www.contratos.gov.co/consultas/detalleProceso.do?numConstancia=19-12-9687297" TargetMode="External"/><Relationship Id="rId870" Type="http://schemas.openxmlformats.org/officeDocument/2006/relationships/hyperlink" Target="https://www.contratos.gov.co/consultas/detalleProceso.do?numConstancia=13-12-1717916" TargetMode="External"/><Relationship Id="rId13" Type="http://schemas.openxmlformats.org/officeDocument/2006/relationships/hyperlink" Target="https://www.contratos.gov.co/consultas/detalleProceso.do?numConstancia=15-12-3553112" TargetMode="External"/><Relationship Id="rId109" Type="http://schemas.openxmlformats.org/officeDocument/2006/relationships/hyperlink" Target="https://www.contratos.gov.co/consultas/detalleProceso.do?numConstancia=16-12-4898036" TargetMode="External"/><Relationship Id="rId260" Type="http://schemas.openxmlformats.org/officeDocument/2006/relationships/hyperlink" Target="https://www.contratos.gov.co/consultas/detalleProceso.do?numConstancia=17-12-6548395" TargetMode="External"/><Relationship Id="rId316" Type="http://schemas.openxmlformats.org/officeDocument/2006/relationships/hyperlink" Target="https://www.contratos.gov.co/consultas/detalleProceso.do?numConstancia=17-13-7048402" TargetMode="External"/><Relationship Id="rId523" Type="http://schemas.openxmlformats.org/officeDocument/2006/relationships/hyperlink" Target="https://www.colombiacompra.gov.co/tienda-virtual-del-estado-colombiano/ordenes-compra/34351" TargetMode="External"/><Relationship Id="rId719" Type="http://schemas.openxmlformats.org/officeDocument/2006/relationships/hyperlink" Target="https://www.contratos.gov.co/consultas/detalleProceso.do?numConstancia=19-12-10077129" TargetMode="External"/><Relationship Id="rId926" Type="http://schemas.openxmlformats.org/officeDocument/2006/relationships/hyperlink" Target="https://community.secop.gov.co/Public/Tendering/ContractNoticeManagement/Index?currentLanguage=es-CO&amp;Page=login&amp;Country=CO&amp;SkinName=CCE" TargetMode="External"/><Relationship Id="rId968" Type="http://schemas.openxmlformats.org/officeDocument/2006/relationships/hyperlink" Target="https://community.secop.gov.co/Public/Tendering/ContractNoticeManagement/Index?currentLanguage=es-CO&amp;Page=login&amp;Country=CO&amp;SkinName=CCE" TargetMode="External"/><Relationship Id="rId55" Type="http://schemas.openxmlformats.org/officeDocument/2006/relationships/hyperlink" Target="http://www.contratos.gov.co/consultas/detalleProceso.do?numConstancia=15-12-4002005" TargetMode="External"/><Relationship Id="rId97" Type="http://schemas.openxmlformats.org/officeDocument/2006/relationships/hyperlink" Target="https://www.contratos.gov.co/consultas/detalleProceso.do?numConstancia=15-12-3544892" TargetMode="External"/><Relationship Id="rId120" Type="http://schemas.openxmlformats.org/officeDocument/2006/relationships/hyperlink" Target="https://www.contratos.gov.co/consultas/detalleProceso.do?numConstancia=14-1-124021" TargetMode="External"/><Relationship Id="rId358" Type="http://schemas.openxmlformats.org/officeDocument/2006/relationships/hyperlink" Target="https://www.contratos.gov.co/consultas/detalleProceso.do?numConstancia=18-13-7884222" TargetMode="External"/><Relationship Id="rId565" Type="http://schemas.openxmlformats.org/officeDocument/2006/relationships/hyperlink" Target="https://community.secop.gov.co/Public/Tendering/ContractNoticeManagement/Index?currentLanguage=es-CO&amp;Page=login&amp;Country=CO&amp;SkinName=CCE" TargetMode="External"/><Relationship Id="rId730" Type="http://schemas.openxmlformats.org/officeDocument/2006/relationships/hyperlink" Target="https://www.contratos.gov.co/consultas/detalleProceso.do?numConstancia=14-12-2929558" TargetMode="External"/><Relationship Id="rId772" Type="http://schemas.openxmlformats.org/officeDocument/2006/relationships/hyperlink" Target="https://www.contratos.gov.co/consultas/detalleProceso.do?numConstancia=14-9-383497" TargetMode="External"/><Relationship Id="rId828" Type="http://schemas.openxmlformats.org/officeDocument/2006/relationships/hyperlink" Target="https://www.contratos.gov.co/consultas/detalleProceso.do?numConstancia=12-12-1138784" TargetMode="External"/><Relationship Id="rId162" Type="http://schemas.openxmlformats.org/officeDocument/2006/relationships/hyperlink" Target="https://www.contratos.gov.co/consultas/detalleProceso.do?numConstancia=16-11-5108844" TargetMode="External"/><Relationship Id="rId218" Type="http://schemas.openxmlformats.org/officeDocument/2006/relationships/hyperlink" Target="https://www.contratos.gov.co/consultas/detalleProceso.do?numConstancia=16-12-5882161" TargetMode="External"/><Relationship Id="rId425" Type="http://schemas.openxmlformats.org/officeDocument/2006/relationships/hyperlink" Target="https://community.secop.gov.co/Public/Tendering/ContractNoticeManagement/Index?currentLanguage=es-CO&amp;Page=login&amp;Country=CO&amp;SkinName=CCE" TargetMode="External"/><Relationship Id="rId467" Type="http://schemas.openxmlformats.org/officeDocument/2006/relationships/hyperlink" Target="https://www.contratos.gov.co/consultas/detalleProceso.do?numConstancia=14-12-2772933" TargetMode="External"/><Relationship Id="rId632" Type="http://schemas.openxmlformats.org/officeDocument/2006/relationships/hyperlink" Target="https://www.contratos.gov.co/consultas/detalleProceso.do?numConstancia=19-12-9546689" TargetMode="External"/><Relationship Id="rId271" Type="http://schemas.openxmlformats.org/officeDocument/2006/relationships/hyperlink" Target="https://www.contratos.gov.co/consultas/detalleProceso.do?numConstancia=17-12-6603480" TargetMode="External"/><Relationship Id="rId674" Type="http://schemas.openxmlformats.org/officeDocument/2006/relationships/hyperlink" Target="https://community.secop.gov.co/Public/Tendering/ContractNoticeManagement/Index?currentLanguage=es-CO&amp;Page=login&amp;Country=CO&amp;SkinName=CCE" TargetMode="External"/><Relationship Id="rId881" Type="http://schemas.openxmlformats.org/officeDocument/2006/relationships/hyperlink" Target="https://community.secop.gov.co/Public/Tendering/ContractNoticeManagement/Index?currentLanguage=es-CO&amp;Page=login&amp;Country=CO&amp;SkinName=CCE" TargetMode="External"/><Relationship Id="rId937" Type="http://schemas.openxmlformats.org/officeDocument/2006/relationships/hyperlink" Target="https://community.secop.gov.co/Public/Tendering/ContractNoticeManagement/Index?currentLanguage=es-CO&amp;Page=login&amp;Country=CO&amp;SkinName=CCE" TargetMode="External"/><Relationship Id="rId979" Type="http://schemas.openxmlformats.org/officeDocument/2006/relationships/hyperlink" Target="https://community.secop.gov.co/Public/Tendering/ContractNoticeManagement/Index?currentLanguage=es-CO&amp;Page=login&amp;Country=CO&amp;SkinName=CCE" TargetMode="External"/><Relationship Id="rId24" Type="http://schemas.openxmlformats.org/officeDocument/2006/relationships/hyperlink" Target="https://www.contratos.gov.co/consultas/detalleProceso.do?numConstancia=15-9-397602" TargetMode="External"/><Relationship Id="rId66" Type="http://schemas.openxmlformats.org/officeDocument/2006/relationships/hyperlink" Target="https://www.contratos.gov.co/consultas/detalleProceso.do?numConstancia=15-13-4026302" TargetMode="External"/><Relationship Id="rId131" Type="http://schemas.openxmlformats.org/officeDocument/2006/relationships/hyperlink" Target="http://www.contratos.gov.co/consultas/detalleProceso.do?numConstancia=16-12-5220606" TargetMode="External"/><Relationship Id="rId327" Type="http://schemas.openxmlformats.org/officeDocument/2006/relationships/hyperlink" Target="https://www.contratos.gov.co/consultas/detalleProceso.do?numConstancia=17-13-7195223" TargetMode="External"/><Relationship Id="rId369" Type="http://schemas.openxmlformats.org/officeDocument/2006/relationships/hyperlink" Target="https://www.contratos.gov.co/consultas/detalleProceso.do?numConstancia=18-13-8043339" TargetMode="External"/><Relationship Id="rId534" Type="http://schemas.openxmlformats.org/officeDocument/2006/relationships/hyperlink" Target="https://www.contratos.gov.co/consultas/detalleProceso.do?numConstancia=12-13-1322262" TargetMode="External"/><Relationship Id="rId576" Type="http://schemas.openxmlformats.org/officeDocument/2006/relationships/hyperlink" Target="https://community.secop.gov.co/Public/Tendering/ContractNoticeManagement/Index?currentLanguage=es-CO&amp;Page=login&amp;Country=CO&amp;SkinName=CCE" TargetMode="External"/><Relationship Id="rId741" Type="http://schemas.openxmlformats.org/officeDocument/2006/relationships/hyperlink" Target="https://www.contratos.gov.co/consultas/detalleProceso.do?numConstancia=14-12-3089569" TargetMode="External"/><Relationship Id="rId783" Type="http://schemas.openxmlformats.org/officeDocument/2006/relationships/hyperlink" Target="https://www.contratos.gov.co/consultas/detalleProceso.do?numConstancia=15-12-3498879" TargetMode="External"/><Relationship Id="rId839" Type="http://schemas.openxmlformats.org/officeDocument/2006/relationships/hyperlink" Target="https://www.contratos.gov.co/consultas/detalleProceso.do?numConstancia=13-9-364101" TargetMode="External"/><Relationship Id="rId990" Type="http://schemas.openxmlformats.org/officeDocument/2006/relationships/vmlDrawing" Target="../drawings/vmlDrawing1.vml"/><Relationship Id="rId173" Type="http://schemas.openxmlformats.org/officeDocument/2006/relationships/hyperlink" Target="https://www.contratos.gov.co/consultas/detalleProceso.do?numConstancia=14-13-2621776" TargetMode="External"/><Relationship Id="rId229" Type="http://schemas.openxmlformats.org/officeDocument/2006/relationships/hyperlink" Target="https://www.contratos.gov.co/consultas/detalleProceso.do?numConstancia=16-9-422963" TargetMode="External"/><Relationship Id="rId380" Type="http://schemas.openxmlformats.org/officeDocument/2006/relationships/hyperlink" Target="https://www.contratos.gov.co/consultas/detalleProceso.do?numConstancia=12-13-1072820" TargetMode="External"/><Relationship Id="rId436" Type="http://schemas.openxmlformats.org/officeDocument/2006/relationships/hyperlink" Target="https://community.secop.gov.co/Public/Tendering/ContractNoticeManagement/Index?currentLanguage=es-CO&amp;Page=login&amp;Country=CO&amp;SkinName=CCE" TargetMode="External"/><Relationship Id="rId601" Type="http://schemas.openxmlformats.org/officeDocument/2006/relationships/hyperlink" Target="https://www.contratos.gov.co/consultas/detalleProceso.do?numConstancia=19-12-9307738" TargetMode="External"/><Relationship Id="rId643" Type="http://schemas.openxmlformats.org/officeDocument/2006/relationships/hyperlink" Target="https://www.contratos.gov.co/consultas/detalleProceso.do?numConstancia=19-12-9582144" TargetMode="External"/><Relationship Id="rId240" Type="http://schemas.openxmlformats.org/officeDocument/2006/relationships/hyperlink" Target="https://www.contratos.gov.co/consultas/detalleProceso.do?numConstancia=13-12-1397244" TargetMode="External"/><Relationship Id="rId478" Type="http://schemas.openxmlformats.org/officeDocument/2006/relationships/hyperlink" Target="https://community.secop.gov.co/Public/Tendering/ContractNoticeManagement/Index?currentLanguage=es-CO&amp;Page=login&amp;Country=CO&amp;SkinName=CCE" TargetMode="External"/><Relationship Id="rId685" Type="http://schemas.openxmlformats.org/officeDocument/2006/relationships/hyperlink" Target="https://www.contratos.gov.co/consultas/detalleProceso.do?numConstancia=14-11-2651606" TargetMode="External"/><Relationship Id="rId850" Type="http://schemas.openxmlformats.org/officeDocument/2006/relationships/hyperlink" Target="https://www.contratos.gov.co/consultas/detalleProceso.do?numConstancia=13-13-1608655" TargetMode="External"/><Relationship Id="rId892" Type="http://schemas.openxmlformats.org/officeDocument/2006/relationships/hyperlink" Target="https://community.secop.gov.co/Public/Tendering/ContractNoticeManagement/Index?currentLanguage=es-CO&amp;Page=login&amp;Country=CO&amp;SkinName=CCE" TargetMode="External"/><Relationship Id="rId906" Type="http://schemas.openxmlformats.org/officeDocument/2006/relationships/hyperlink" Target="https://community.secop.gov.co/Public/Tendering/ContractNoticeManagement/Index?currentLanguage=es-CO&amp;Page=login&amp;Country=CO&amp;SkinName=CCE" TargetMode="External"/><Relationship Id="rId948" Type="http://schemas.openxmlformats.org/officeDocument/2006/relationships/hyperlink" Target="https://community.secop.gov.co/Public/Tendering/ContractNoticeManagement/Index?currentLanguage=es-CO&amp;Page=login&amp;Country=CO&amp;SkinName=CCE" TargetMode="External"/><Relationship Id="rId35" Type="http://schemas.openxmlformats.org/officeDocument/2006/relationships/hyperlink" Target="https://www.contratos.gov.co/consultas/detalleProceso.do?numConstancia=15-12-3894623" TargetMode="External"/><Relationship Id="rId77" Type="http://schemas.openxmlformats.org/officeDocument/2006/relationships/hyperlink" Target="https://www.contratos.gov.co/consultas/detalleProceso.do?numConstancia=15-13-4122092" TargetMode="External"/><Relationship Id="rId100" Type="http://schemas.openxmlformats.org/officeDocument/2006/relationships/hyperlink" Target="https://www.contratos.gov.co/consultas/detalleProceso.do?numConstancia=15-13-4491242" TargetMode="External"/><Relationship Id="rId282" Type="http://schemas.openxmlformats.org/officeDocument/2006/relationships/hyperlink" Target="https://www.contratos.gov.co/consultas/detalleProceso.do?numConstancia=17-11-6488930" TargetMode="External"/><Relationship Id="rId338" Type="http://schemas.openxmlformats.org/officeDocument/2006/relationships/hyperlink" Target="https://www.contratos.gov.co/consultas/detalleProceso.do?numConstancia=17-11-7098808" TargetMode="External"/><Relationship Id="rId503" Type="http://schemas.openxmlformats.org/officeDocument/2006/relationships/hyperlink" Target="https://www.contratos.gov.co/consultas/detalleProceso.do?numConstancia=13-13-1397260" TargetMode="External"/><Relationship Id="rId545" Type="http://schemas.openxmlformats.org/officeDocument/2006/relationships/hyperlink" Target="https://www.contratos.gov.co/consultas/detalleProceso.do?numConstancia=13-13-2044908" TargetMode="External"/><Relationship Id="rId587" Type="http://schemas.openxmlformats.org/officeDocument/2006/relationships/hyperlink" Target="https://www.contratos.gov.co/consultas/detalleProceso.do?numConstancia=13-13-1905478" TargetMode="External"/><Relationship Id="rId710" Type="http://schemas.openxmlformats.org/officeDocument/2006/relationships/hyperlink" Target="https://community.secop.gov.co/Public/Tendering/ContractNoticeManagement/Index?currentLanguage=es-CO&amp;Page=login&amp;Country=CO&amp;SkinName=CCE" TargetMode="External"/><Relationship Id="rId752" Type="http://schemas.openxmlformats.org/officeDocument/2006/relationships/hyperlink" Target="https://www.contratos.gov.co/consultas/detalleProceso.do?numConstancia=14-9-392443" TargetMode="External"/><Relationship Id="rId808" Type="http://schemas.openxmlformats.org/officeDocument/2006/relationships/hyperlink" Target="https://community.secop.gov.co/Public/Tendering/ContractNoticeManagement/Index?currentLanguage=es-CO&amp;Page=login&amp;Country=CO&amp;SkinName=CCE" TargetMode="External"/><Relationship Id="rId8" Type="http://schemas.openxmlformats.org/officeDocument/2006/relationships/hyperlink" Target="https://www.contratos.gov.co/consultas/detalleProceso.do?numConstancia=15-12-3487209" TargetMode="External"/><Relationship Id="rId142" Type="http://schemas.openxmlformats.org/officeDocument/2006/relationships/hyperlink" Target="https://www.contratos.gov.co/consultas/detalleProceso.do?numConstancia=16-13-5214408" TargetMode="External"/><Relationship Id="rId184" Type="http://schemas.openxmlformats.org/officeDocument/2006/relationships/hyperlink" Target="https://www.contratos.gov.co/consultas/detalleProceso.do?numConstancia=16-12-5584832" TargetMode="External"/><Relationship Id="rId391" Type="http://schemas.openxmlformats.org/officeDocument/2006/relationships/hyperlink" Target="https://www.contratos.gov.co/consultas/detalleProceso.do?numConstancia=12-12-1311625" TargetMode="External"/><Relationship Id="rId405" Type="http://schemas.openxmlformats.org/officeDocument/2006/relationships/hyperlink" Target="https://www.contratos.gov.co/consultas/detalleProceso.do?numConstancia=18-12-8176151" TargetMode="External"/><Relationship Id="rId447" Type="http://schemas.openxmlformats.org/officeDocument/2006/relationships/hyperlink" Target="https://community.secop.gov.co/Public/Tendering/ContractNoticeManagement/Index?currentLanguage=es-CO&amp;Page=login&amp;Country=CO&amp;SkinName=CCE" TargetMode="External"/><Relationship Id="rId612" Type="http://schemas.openxmlformats.org/officeDocument/2006/relationships/hyperlink" Target="https://www.contratos.gov.co/consultas/detalleProceso.do?numConstancia=19-12-9414183" TargetMode="External"/><Relationship Id="rId794" Type="http://schemas.openxmlformats.org/officeDocument/2006/relationships/hyperlink" Target="https://www.contratos.gov.co/consultas/detalleProceso.do?numConstancia=15-12-3730679" TargetMode="External"/><Relationship Id="rId251" Type="http://schemas.openxmlformats.org/officeDocument/2006/relationships/hyperlink" Target="https://www.contratos.gov.co/consultas/detalleProceso.do?numConstancia=17-12-6529405" TargetMode="External"/><Relationship Id="rId489" Type="http://schemas.openxmlformats.org/officeDocument/2006/relationships/hyperlink" Target="https://community.secop.gov.co/Public/Tendering/ContractNoticeManagement/Index?currentLanguage=es-CO&amp;Page=login&amp;Country=CO&amp;SkinName=CCE" TargetMode="External"/><Relationship Id="rId654" Type="http://schemas.openxmlformats.org/officeDocument/2006/relationships/hyperlink" Target="https://www.contratos.gov.co/consultas/detalleProceso.do?numConstancia=19-12-9692883" TargetMode="External"/><Relationship Id="rId696" Type="http://schemas.openxmlformats.org/officeDocument/2006/relationships/hyperlink" Target="https://www.contratos.gov.co/consultas/detalleProceso.do?numConstancia=13-9-363188" TargetMode="External"/><Relationship Id="rId861" Type="http://schemas.openxmlformats.org/officeDocument/2006/relationships/hyperlink" Target="https://www.contratos.gov.co/consultas/detalleProceso.do?numConstancia=19-12-10116997" TargetMode="External"/><Relationship Id="rId917" Type="http://schemas.openxmlformats.org/officeDocument/2006/relationships/hyperlink" Target="https://community.secop.gov.co/Public/Tendering/ContractNoticeManagement/Index?currentLanguage=es-CO&amp;Page=login&amp;Country=CO&amp;SkinName=CCE" TargetMode="External"/><Relationship Id="rId959" Type="http://schemas.openxmlformats.org/officeDocument/2006/relationships/hyperlink" Target="https://community.secop.gov.co/Public/Tendering/ContractNoticeManagement/Index?currentLanguage=es-CO&amp;Page=login&amp;Country=CO&amp;SkinName=CCE" TargetMode="External"/><Relationship Id="rId46" Type="http://schemas.openxmlformats.org/officeDocument/2006/relationships/hyperlink" Target="https://www.contratos.gov.co/consultas/detalleProceso.do?numConstancia=15-9-398690" TargetMode="External"/><Relationship Id="rId293" Type="http://schemas.openxmlformats.org/officeDocument/2006/relationships/hyperlink" Target="https://www.contratos.gov.co/consultas/detalleProceso.do?numConstancia=17-12-6864786" TargetMode="External"/><Relationship Id="rId307" Type="http://schemas.openxmlformats.org/officeDocument/2006/relationships/hyperlink" Target="https://www.contratos.gov.co/consultas/detalleProceso.do?numConstancia=17-12-7086326" TargetMode="External"/><Relationship Id="rId349" Type="http://schemas.openxmlformats.org/officeDocument/2006/relationships/hyperlink" Target="https://www.contratos.gov.co/consultas/detalleProceso.do?numConstancia=18-12-7713910" TargetMode="External"/><Relationship Id="rId514" Type="http://schemas.openxmlformats.org/officeDocument/2006/relationships/hyperlink" Target="https://community.secop.gov.co/Public/Tendering/ContractNoticeManagement/Index?currentLanguage=es-CO&amp;Page=login&amp;Country=CO&amp;SkinName=CCE" TargetMode="External"/><Relationship Id="rId556" Type="http://schemas.openxmlformats.org/officeDocument/2006/relationships/hyperlink" Target="https://community.secop.gov.co/Public/Tendering/ContractNoticeManagement/Index?currentLanguage=es-CO&amp;Page=login&amp;Country=CO&amp;SkinName=CCE" TargetMode="External"/><Relationship Id="rId721" Type="http://schemas.openxmlformats.org/officeDocument/2006/relationships/hyperlink" Target="https://www.contratos.gov.co/consultas/detalleProceso.do?numConstancia=19-12-10112853" TargetMode="External"/><Relationship Id="rId763" Type="http://schemas.openxmlformats.org/officeDocument/2006/relationships/hyperlink" Target="https://www.contratos.gov.co/consultas/detalleProceso.do?numConstancia=14-11-2651606" TargetMode="External"/><Relationship Id="rId88" Type="http://schemas.openxmlformats.org/officeDocument/2006/relationships/hyperlink" Target="https://www.contratos.gov.co/consultas/detalleProceso.do?numConstancia=15-11-4204672" TargetMode="External"/><Relationship Id="rId111" Type="http://schemas.openxmlformats.org/officeDocument/2006/relationships/hyperlink" Target="https://www.contratos.gov.co/consultas/detalleProceso.do?numConstancia=16-12-4819340" TargetMode="External"/><Relationship Id="rId153" Type="http://schemas.openxmlformats.org/officeDocument/2006/relationships/hyperlink" Target="https://www.contratos.gov.co/consultas/detalleProceso.do?numConstancia=16-13-5219179" TargetMode="External"/><Relationship Id="rId195" Type="http://schemas.openxmlformats.org/officeDocument/2006/relationships/hyperlink" Target="https://www.contratos.gov.co/consultas/detalleProceso.do?numConstancia=14-13-2454008" TargetMode="External"/><Relationship Id="rId209" Type="http://schemas.openxmlformats.org/officeDocument/2006/relationships/hyperlink" Target="https://www.contratos.gov.co/consultas/detalleProceso.do?numConstancia=16-9-420708" TargetMode="External"/><Relationship Id="rId360" Type="http://schemas.openxmlformats.org/officeDocument/2006/relationships/hyperlink" Target="https://www.colombiacompra.gov.co/tienda-virtual-del-estado-colombiano/ordenes-compra/26881" TargetMode="External"/><Relationship Id="rId416" Type="http://schemas.openxmlformats.org/officeDocument/2006/relationships/hyperlink" Target="https://community.secop.gov.co/Public/Tendering/ContractNoticeManagement/Index?currentLanguage=es-CO&amp;Page=login&amp;Country=CO&amp;SkinName=CCE" TargetMode="External"/><Relationship Id="rId598" Type="http://schemas.openxmlformats.org/officeDocument/2006/relationships/hyperlink" Target="https://www.contratos.gov.co/consultas/detalleProceso.do?numConstancia=19-12-9291351" TargetMode="External"/><Relationship Id="rId819" Type="http://schemas.openxmlformats.org/officeDocument/2006/relationships/hyperlink" Target="https://community.secop.gov.co/Public/Tendering/ContractNoticeManagement/Index?currentLanguage=es-CO&amp;Page=login&amp;Country=CO&amp;SkinName=CCE" TargetMode="External"/><Relationship Id="rId970" Type="http://schemas.openxmlformats.org/officeDocument/2006/relationships/hyperlink" Target="https://community.secop.gov.co/Public/Tendering/ContractNoticeManagement/Index?currentLanguage=es-CO&amp;Page=login&amp;Country=CO&amp;SkinName=CCE" TargetMode="External"/><Relationship Id="rId220" Type="http://schemas.openxmlformats.org/officeDocument/2006/relationships/hyperlink" Target="https://www.contratos.gov.co/consultas/detalleProceso.do?numConstancia=16-13-5872112" TargetMode="External"/><Relationship Id="rId458" Type="http://schemas.openxmlformats.org/officeDocument/2006/relationships/hyperlink" Target="https://www.contratos.gov.co/consultas/detalleProceso.do?numConstancia=12-13-1208154" TargetMode="External"/><Relationship Id="rId623" Type="http://schemas.openxmlformats.org/officeDocument/2006/relationships/hyperlink" Target="https://www.contratos.gov.co/consultas/detalleProceso.do?numConstancia=19-12-9457069" TargetMode="External"/><Relationship Id="rId665" Type="http://schemas.openxmlformats.org/officeDocument/2006/relationships/hyperlink" Target="https://community.secop.gov.co/Public/Tendering/ContractNoticeManagement/Index?currentLanguage=es-CO&amp;Page=login&amp;Country=CO&amp;SkinName=CCE" TargetMode="External"/><Relationship Id="rId830" Type="http://schemas.openxmlformats.org/officeDocument/2006/relationships/hyperlink" Target="https://www.contratos.gov.co/consultas/detalleProceso.do?numConstancia=12-13-1021092" TargetMode="External"/><Relationship Id="rId872" Type="http://schemas.openxmlformats.org/officeDocument/2006/relationships/hyperlink" Target="https://www.contratos.gov.co/consultas/detalleProceso.do?numConstancia=14-12-2315020" TargetMode="External"/><Relationship Id="rId928" Type="http://schemas.openxmlformats.org/officeDocument/2006/relationships/hyperlink" Target="https://community.secop.gov.co/Public/Tendering/ContractNoticeManagement/Index?currentLanguage=es-CO&amp;Page=login&amp;Country=CO&amp;SkinName=CCE" TargetMode="External"/><Relationship Id="rId15" Type="http://schemas.openxmlformats.org/officeDocument/2006/relationships/hyperlink" Target="https://www.contratos.gov.co/consultas/detalleProceso.do?numConstancia=15-13-3528749" TargetMode="External"/><Relationship Id="rId57" Type="http://schemas.openxmlformats.org/officeDocument/2006/relationships/hyperlink" Target="https://www.contratos.gov.co/consultas/detalleProceso.do?numConstancia=15-12-4042665" TargetMode="External"/><Relationship Id="rId262" Type="http://schemas.openxmlformats.org/officeDocument/2006/relationships/hyperlink" Target="https://www.contratos.gov.co/consultas/detalleProceso.do?numConstancia=17-12-6521272" TargetMode="External"/><Relationship Id="rId318" Type="http://schemas.openxmlformats.org/officeDocument/2006/relationships/hyperlink" Target="https://www.contratos.gov.co/consultas/detalleProceso.do?numConstancia=17-12-7211817" TargetMode="External"/><Relationship Id="rId525" Type="http://schemas.openxmlformats.org/officeDocument/2006/relationships/hyperlink" Target="https://community.secop.gov.co/Public/Tendering/ContractNoticeManagement/Index?currentLanguage=es-CO&amp;Page=login&amp;Country=CO&amp;SkinName=CCE" TargetMode="External"/><Relationship Id="rId567" Type="http://schemas.openxmlformats.org/officeDocument/2006/relationships/hyperlink" Target="https://www.contratos.gov.co/consultas/detalleProceso.do?numConstancia=14-13-2759728" TargetMode="External"/><Relationship Id="rId732" Type="http://schemas.openxmlformats.org/officeDocument/2006/relationships/hyperlink" Target="https://www.contratos.gov.co/consultas/detalleProceso.do?numConstancia=14-12-2952122" TargetMode="External"/><Relationship Id="rId99" Type="http://schemas.openxmlformats.org/officeDocument/2006/relationships/hyperlink" Target="https://www.contratos.gov.co/consultas/detalleProceso.do?numConstancia=15-13-4481791" TargetMode="External"/><Relationship Id="rId122" Type="http://schemas.openxmlformats.org/officeDocument/2006/relationships/hyperlink" Target="http://www.contratos.gov.co/consultas/detalleProceso.do?numConstancia=16-12-5156478" TargetMode="External"/><Relationship Id="rId164" Type="http://schemas.openxmlformats.org/officeDocument/2006/relationships/hyperlink" Target="https://www.contratos.gov.co/consultas/detalleProceso.do?numConstancia=16-13-5343512" TargetMode="External"/><Relationship Id="rId371" Type="http://schemas.openxmlformats.org/officeDocument/2006/relationships/hyperlink" Target="https://www.contratos.gov.co/consultas/detalleProceso.do?numConstancia=18-13-8038904" TargetMode="External"/><Relationship Id="rId774" Type="http://schemas.openxmlformats.org/officeDocument/2006/relationships/hyperlink" Target="https://www.contratos.gov.co/consultas/detalleProceso.do?numConstancia=15-12-3553182" TargetMode="External"/><Relationship Id="rId981" Type="http://schemas.openxmlformats.org/officeDocument/2006/relationships/hyperlink" Target="https://community.secop.gov.co/Public/Tendering/ContractNoticeManagement/Index?currentLanguage=es-CO&amp;Page=login&amp;Country=CO&amp;SkinName=CCE" TargetMode="External"/><Relationship Id="rId427" Type="http://schemas.openxmlformats.org/officeDocument/2006/relationships/hyperlink" Target="https://community.secop.gov.co/Public/Tendering/ContractNoticeManagement/Index?currentLanguage=es-CO&amp;Page=login&amp;Country=CO&amp;SkinName=CCE" TargetMode="External"/><Relationship Id="rId469" Type="http://schemas.openxmlformats.org/officeDocument/2006/relationships/hyperlink" Target="https://community.secop.gov.co/Public/Tendering/ContractNoticeManagement/Index?currentLanguage=es-CO&amp;Page=login&amp;Country=CO&amp;SkinName=CCE" TargetMode="External"/><Relationship Id="rId634" Type="http://schemas.openxmlformats.org/officeDocument/2006/relationships/hyperlink" Target="https://www.contratos.gov.co/consultas/detalleProceso.do?numConstancia=19-12-9549341" TargetMode="External"/><Relationship Id="rId676" Type="http://schemas.openxmlformats.org/officeDocument/2006/relationships/hyperlink" Target="https://community.secop.gov.co/Public/Tendering/ContractNoticeManagement/Index?currentLanguage=es-CO&amp;Page=login&amp;Country=CO&amp;SkinName=CCE" TargetMode="External"/><Relationship Id="rId841" Type="http://schemas.openxmlformats.org/officeDocument/2006/relationships/hyperlink" Target="https://www.contratos.gov.co/consultas/detalleProceso.do?numConstancia=13-13-1824605" TargetMode="External"/><Relationship Id="rId883" Type="http://schemas.openxmlformats.org/officeDocument/2006/relationships/hyperlink" Target="https://community.secop.gov.co/Public/Tendering/ContractNoticeManagement/Index?currentLanguage=es-CO&amp;Page=login&amp;Country=CO&amp;SkinName=CCE" TargetMode="External"/><Relationship Id="rId26" Type="http://schemas.openxmlformats.org/officeDocument/2006/relationships/hyperlink" Target="https://www.contratos.gov.co/consultas/detalleProceso.do?numConstancia=15-9-397496" TargetMode="External"/><Relationship Id="rId231" Type="http://schemas.openxmlformats.org/officeDocument/2006/relationships/hyperlink" Target="https://www.contratos.gov.co/consultas/detalleProceso.do?numConstancia=16-13-5762249" TargetMode="External"/><Relationship Id="rId273" Type="http://schemas.openxmlformats.org/officeDocument/2006/relationships/hyperlink" Target="https://www.contratos.gov.co/consultas/detalleProceso.do?numConstancia=17-12-6610442" TargetMode="External"/><Relationship Id="rId329" Type="http://schemas.openxmlformats.org/officeDocument/2006/relationships/hyperlink" Target="https://www.contratos.gov.co/consultas/detalleProceso.do?numConstancia=17-13-7211125" TargetMode="External"/><Relationship Id="rId480" Type="http://schemas.openxmlformats.org/officeDocument/2006/relationships/hyperlink" Target="https://community.secop.gov.co/Public/Tendering/ContractNoticeManagement/Index?currentLanguage=es-CO&amp;Page=login&amp;Country=CO&amp;SkinName=CCE" TargetMode="External"/><Relationship Id="rId536" Type="http://schemas.openxmlformats.org/officeDocument/2006/relationships/hyperlink" Target="https://community.secop.gov.co/Public/Tendering/ContractNoticeManagement/Index?currentLanguage=es-CO&amp;Page=login&amp;Country=CO&amp;SkinName=CCE" TargetMode="External"/><Relationship Id="rId701" Type="http://schemas.openxmlformats.org/officeDocument/2006/relationships/hyperlink" Target="https://www.contratos.gov.co/consultas/detalleProceso.do?numConstancia=13-12-1936098" TargetMode="External"/><Relationship Id="rId939" Type="http://schemas.openxmlformats.org/officeDocument/2006/relationships/hyperlink" Target="https://community.secop.gov.co/Public/Tendering/ContractNoticeManagement/Index?currentLanguage=es-CO&amp;Page=login&amp;Country=CO&amp;SkinName=CCE" TargetMode="External"/><Relationship Id="rId68" Type="http://schemas.openxmlformats.org/officeDocument/2006/relationships/hyperlink" Target="https://www.contratos.gov.co/consultas/detalleProceso.do?numConstancia=15-12-4116668" TargetMode="External"/><Relationship Id="rId133" Type="http://schemas.openxmlformats.org/officeDocument/2006/relationships/hyperlink" Target="http://www.contratos.gov.co/consultas/detalleProceso.do?numConstancia=16-12-5234611" TargetMode="External"/><Relationship Id="rId175" Type="http://schemas.openxmlformats.org/officeDocument/2006/relationships/hyperlink" Target="https://www.contratos.gov.co/consultas/detalleProceso.do?numConstancia=14-9-384381" TargetMode="External"/><Relationship Id="rId340" Type="http://schemas.openxmlformats.org/officeDocument/2006/relationships/hyperlink" Target="https://www.contratos.gov.co/consultas/detalleProceso.do?numConstancia=17-11-7300565" TargetMode="External"/><Relationship Id="rId578" Type="http://schemas.openxmlformats.org/officeDocument/2006/relationships/hyperlink" Target="https://www.contratos.gov.co/consultas/detalleProceso.do?numConstancia=13-1-99154" TargetMode="External"/><Relationship Id="rId743" Type="http://schemas.openxmlformats.org/officeDocument/2006/relationships/hyperlink" Target="https://www.contratos.gov.co/consultas/detalleProceso.do?numConstancia=14-12-3057752" TargetMode="External"/><Relationship Id="rId785" Type="http://schemas.openxmlformats.org/officeDocument/2006/relationships/hyperlink" Target="https://www.contratos.gov.co/consultas/detalleProceso.do?numConstancia=15-12-3473510" TargetMode="External"/><Relationship Id="rId950" Type="http://schemas.openxmlformats.org/officeDocument/2006/relationships/hyperlink" Target="https://community.secop.gov.co/Public/Tendering/ContractNoticeManagement/Index?currentLanguage=es-CO&amp;Page=login&amp;Country=CO&amp;SkinName=CCE" TargetMode="External"/><Relationship Id="rId200" Type="http://schemas.openxmlformats.org/officeDocument/2006/relationships/hyperlink" Target="https://www.contratos.gov.co/consultas/detalleProceso.do?numConstancia=16-13-5508742" TargetMode="External"/><Relationship Id="rId382" Type="http://schemas.openxmlformats.org/officeDocument/2006/relationships/hyperlink" Target="https://www.contratos.gov.co/consultas/detalleProceso.do?numConstancia=12-9-360824" TargetMode="External"/><Relationship Id="rId438" Type="http://schemas.openxmlformats.org/officeDocument/2006/relationships/hyperlink" Target="https://www.colombiacompra.gov.co/tienda-virtual-del-estado-colombiano/ordenes-compra/30874" TargetMode="External"/><Relationship Id="rId603" Type="http://schemas.openxmlformats.org/officeDocument/2006/relationships/hyperlink" Target="https://community.secop.gov.co/Public/Tendering/ContractNoticeManagement/Index?currentLanguage=es-CO&amp;Page=login&amp;Country=CO&amp;SkinName=CCE" TargetMode="External"/><Relationship Id="rId645" Type="http://schemas.openxmlformats.org/officeDocument/2006/relationships/hyperlink" Target="https://www.contratos.gov.co/consultas/detalleProceso.do?numConstancia=19-12-9667144" TargetMode="External"/><Relationship Id="rId687" Type="http://schemas.openxmlformats.org/officeDocument/2006/relationships/hyperlink" Target="https://www.contratos.gov.co/consultas/detalleProceso.do?numConstancia=14-13-2678644" TargetMode="External"/><Relationship Id="rId810" Type="http://schemas.openxmlformats.org/officeDocument/2006/relationships/hyperlink" Target="https://community.secop.gov.co/Public/Tendering/ContractNoticeManagement/Index?currentLanguage=es-CO&amp;Page=login&amp;Country=CO&amp;SkinName=CCE" TargetMode="External"/><Relationship Id="rId852" Type="http://schemas.openxmlformats.org/officeDocument/2006/relationships/hyperlink" Target="https://www.contratos.gov.co/consultas/detalleProceso.do?numConstancia=14-11-2724276" TargetMode="External"/><Relationship Id="rId908" Type="http://schemas.openxmlformats.org/officeDocument/2006/relationships/hyperlink" Target="https://community.secop.gov.co/Public/Tendering/ContractNoticeManagement/Index?currentLanguage=es-CO&amp;Page=login&amp;Country=CO&amp;SkinName=CCE" TargetMode="External"/><Relationship Id="rId242" Type="http://schemas.openxmlformats.org/officeDocument/2006/relationships/hyperlink" Target="https://www.contratos.gov.co/consultas/detalleProceso.do?numConstancia=17-12-6407265" TargetMode="External"/><Relationship Id="rId284" Type="http://schemas.openxmlformats.org/officeDocument/2006/relationships/hyperlink" Target="https://www.contratos.gov.co/consultas/detalleProceso.do?numConstancia=17-11-6344735" TargetMode="External"/><Relationship Id="rId491" Type="http://schemas.openxmlformats.org/officeDocument/2006/relationships/hyperlink" Target="https://www.colombiacompra.gov.co/tienda-virtual-del-estado-colombiano/ordenes-compra/32595" TargetMode="External"/><Relationship Id="rId505" Type="http://schemas.openxmlformats.org/officeDocument/2006/relationships/hyperlink" Target="https://www.contratos.gov.co/consultas/detalleProceso.do?numConstancia=12-13-1109345" TargetMode="External"/><Relationship Id="rId712" Type="http://schemas.openxmlformats.org/officeDocument/2006/relationships/hyperlink" Target="https://www.contratos.gov.co/consultas/detalleProceso.do?numConstancia=19-12-9955823" TargetMode="External"/><Relationship Id="rId894" Type="http://schemas.openxmlformats.org/officeDocument/2006/relationships/hyperlink" Target="https://community.secop.gov.co/Public/Tendering/ContractNoticeManagement/Index?currentLanguage=es-CO&amp;Page=login&amp;Country=CO&amp;SkinName=CCE" TargetMode="External"/><Relationship Id="rId37" Type="http://schemas.openxmlformats.org/officeDocument/2006/relationships/hyperlink" Target="https://www.contratos.gov.co/consultas/detalleProceso.do?numConstancia=15-13-3657684" TargetMode="External"/><Relationship Id="rId79" Type="http://schemas.openxmlformats.org/officeDocument/2006/relationships/hyperlink" Target="https://www.contratos.gov.co/consultas/detalleProceso.do?numConstancia=15-9-403752" TargetMode="External"/><Relationship Id="rId102" Type="http://schemas.openxmlformats.org/officeDocument/2006/relationships/hyperlink" Target="https://www.contratos.gov.co/consultas/detalleProceso.do?numConstancia=15-12-4000812" TargetMode="External"/><Relationship Id="rId144" Type="http://schemas.openxmlformats.org/officeDocument/2006/relationships/hyperlink" Target="https://www.contratos.gov.co/consultas/detalleProceso.do?numConstancia=16-13-5109632" TargetMode="External"/><Relationship Id="rId547" Type="http://schemas.openxmlformats.org/officeDocument/2006/relationships/hyperlink" Target="https://www.contratos.gov.co/consultas/detalleProceso.do?numConstancia=13-12-1798616" TargetMode="External"/><Relationship Id="rId589" Type="http://schemas.openxmlformats.org/officeDocument/2006/relationships/hyperlink" Target="https://www.contratos.gov.co/consultas/detalleProceso.do?numConstancia=13-13-1869750" TargetMode="External"/><Relationship Id="rId754" Type="http://schemas.openxmlformats.org/officeDocument/2006/relationships/hyperlink" Target="https://www.contratos.gov.co/consultas/detalleProceso.do?numConstancia=14-9-393632" TargetMode="External"/><Relationship Id="rId796" Type="http://schemas.openxmlformats.org/officeDocument/2006/relationships/hyperlink" Target="https://www.contratos.gov.co/consultas/detalleProceso.do?numConstancia=13-12-1936098" TargetMode="External"/><Relationship Id="rId961" Type="http://schemas.openxmlformats.org/officeDocument/2006/relationships/hyperlink" Target="https://community.secop.gov.co/Public/Tendering/ContractNoticeManagement/Index?currentLanguage=es-CO&amp;Page=login&amp;Country=CO&amp;SkinName=CCE" TargetMode="External"/><Relationship Id="rId90" Type="http://schemas.openxmlformats.org/officeDocument/2006/relationships/hyperlink" Target="https://www.contratos.gov.co/consultas/detalleProceso.do?numConstancia=14-13-2704697" TargetMode="External"/><Relationship Id="rId186" Type="http://schemas.openxmlformats.org/officeDocument/2006/relationships/hyperlink" Target="https://www.contratos.gov.co/consultas/detalleProceso.do?numConstancia=16-12-5621641" TargetMode="External"/><Relationship Id="rId351" Type="http://schemas.openxmlformats.org/officeDocument/2006/relationships/hyperlink" Target="https://www.contratos.gov.co/consultas/detalleProceso.do?numConstancia=18-12-7763111" TargetMode="External"/><Relationship Id="rId393" Type="http://schemas.openxmlformats.org/officeDocument/2006/relationships/hyperlink" Target="https://www.contratos.gov.co/consultas/detalleProceso.do?numConstancia=13-9-374682" TargetMode="External"/><Relationship Id="rId407" Type="http://schemas.openxmlformats.org/officeDocument/2006/relationships/hyperlink" Target="https://community.secop.gov.co/Public/Tendering/ContractNoticeManagement/Index?currentLanguage=es-CO&amp;Page=login&amp;Country=CO&amp;SkinName=CCE" TargetMode="External"/><Relationship Id="rId449" Type="http://schemas.openxmlformats.org/officeDocument/2006/relationships/hyperlink" Target="https://www.contratos.gov.co/consultas/detalleProceso.do?numConstancia=12-13-1134800" TargetMode="External"/><Relationship Id="rId614" Type="http://schemas.openxmlformats.org/officeDocument/2006/relationships/hyperlink" Target="https://www.contratos.gov.co/consultas/detalleProceso.do?numConstancia=12-11-1036705" TargetMode="External"/><Relationship Id="rId656" Type="http://schemas.openxmlformats.org/officeDocument/2006/relationships/hyperlink" Target="https://www.contratos.gov.co/consultas/detalleProceso.do?numConstancia=19-12-9695055" TargetMode="External"/><Relationship Id="rId821" Type="http://schemas.openxmlformats.org/officeDocument/2006/relationships/hyperlink" Target="https://www.contratos.gov.co/consultas/detalleProceso.do?numConstancia=13-13-1627225" TargetMode="External"/><Relationship Id="rId863" Type="http://schemas.openxmlformats.org/officeDocument/2006/relationships/hyperlink" Target="https://www.contratos.gov.co/consultas/detalleProceso.do?numConstancia=14-12-2321865" TargetMode="External"/><Relationship Id="rId211" Type="http://schemas.openxmlformats.org/officeDocument/2006/relationships/hyperlink" Target="https://www.contratos.gov.co/consultas/detalleProceso.do?numConstancia=16-12-5803549" TargetMode="External"/><Relationship Id="rId253" Type="http://schemas.openxmlformats.org/officeDocument/2006/relationships/hyperlink" Target="https://www.contratos.gov.co/consultas/detalleProceso.do?numConstancia=17-13-6352561" TargetMode="External"/><Relationship Id="rId295" Type="http://schemas.openxmlformats.org/officeDocument/2006/relationships/hyperlink" Target="https://www.contratos.gov.co/consultas/detalleProceso.do?numConstancia=17-12-6954171" TargetMode="External"/><Relationship Id="rId309" Type="http://schemas.openxmlformats.org/officeDocument/2006/relationships/hyperlink" Target="https://www.contratos.gov.co/consultas/detalleProceso.do?numConstancia=17-12-7131753" TargetMode="External"/><Relationship Id="rId460" Type="http://schemas.openxmlformats.org/officeDocument/2006/relationships/hyperlink" Target="https://www.contratos.gov.co/consultas/detalleProceso.do?numConstancia=12-11-990303" TargetMode="External"/><Relationship Id="rId516" Type="http://schemas.openxmlformats.org/officeDocument/2006/relationships/hyperlink" Target="https://community.secop.gov.co/Public/Tendering/ContractNoticeManagement/Index?currentLanguage=es-CO&amp;Page=login&amp;Country=CO&amp;SkinName=CCE" TargetMode="External"/><Relationship Id="rId698" Type="http://schemas.openxmlformats.org/officeDocument/2006/relationships/hyperlink" Target="https://www.contratos.gov.co/consultas/detalleProceso.do?numConstancia=14-13-2778241" TargetMode="External"/><Relationship Id="rId919" Type="http://schemas.openxmlformats.org/officeDocument/2006/relationships/hyperlink" Target="https://community.secop.gov.co/Public/Tendering/ContractNoticeManagement/Index?currentLanguage=es-CO&amp;Page=login&amp;Country=CO&amp;SkinName=CCE" TargetMode="External"/><Relationship Id="rId48" Type="http://schemas.openxmlformats.org/officeDocument/2006/relationships/hyperlink" Target="https://www.contratos.gov.co/consultas/detalleProceso.do?numConstancia=15-13-3869119" TargetMode="External"/><Relationship Id="rId113" Type="http://schemas.openxmlformats.org/officeDocument/2006/relationships/hyperlink" Target="https://www.contratos.gov.co/consultas/detalleProceso.do?numConstancia=16-12-5028164" TargetMode="External"/><Relationship Id="rId320" Type="http://schemas.openxmlformats.org/officeDocument/2006/relationships/hyperlink" Target="https://www.contratos.gov.co/consultas/detalleProceso.do?numConstancia=17-9-435254" TargetMode="External"/><Relationship Id="rId558" Type="http://schemas.openxmlformats.org/officeDocument/2006/relationships/hyperlink" Target="https://community.secop.gov.co/Public/Tendering/ContractNoticeManagement/Index?currentLanguage=es-CO&amp;Page=login&amp;Country=CO&amp;SkinName=CCE" TargetMode="External"/><Relationship Id="rId723" Type="http://schemas.openxmlformats.org/officeDocument/2006/relationships/hyperlink" Target="https://www.contratos.gov.co/consultas/detalleProceso.do?numConstancia=19-12-10052907" TargetMode="External"/><Relationship Id="rId765" Type="http://schemas.openxmlformats.org/officeDocument/2006/relationships/hyperlink" Target="https://www.contratos.gov.co/consultas/detalleProceso.do?numConstancia=14-11-2559733" TargetMode="External"/><Relationship Id="rId930" Type="http://schemas.openxmlformats.org/officeDocument/2006/relationships/hyperlink" Target="https://community.secop.gov.co/Public/Tendering/ContractNoticeManagement/Index?currentLanguage=es-CO&amp;Page=login&amp;Country=CO&amp;SkinName=CCE" TargetMode="External"/><Relationship Id="rId972" Type="http://schemas.openxmlformats.org/officeDocument/2006/relationships/hyperlink" Target="https://community.secop.gov.co/Public/Tendering/ContractNoticeManagement/Index?currentLanguage=es-CO&amp;Page=login&amp;Country=CO&amp;SkinName=CCE" TargetMode="External"/><Relationship Id="rId155" Type="http://schemas.openxmlformats.org/officeDocument/2006/relationships/hyperlink" Target="https://www.contratos.gov.co/consultas/detalleProceso.do?numConstancia=16-12-5374749" TargetMode="External"/><Relationship Id="rId197" Type="http://schemas.openxmlformats.org/officeDocument/2006/relationships/hyperlink" Target="https://www.contratos.gov.co/consultas/detalleProceso.do?numConstancia=14-13-2547085" TargetMode="External"/><Relationship Id="rId362" Type="http://schemas.openxmlformats.org/officeDocument/2006/relationships/hyperlink" Target="https://www.contratos.gov.co/consultas/detalleProceso.do?numConstancia=18-13-7968668" TargetMode="External"/><Relationship Id="rId418" Type="http://schemas.openxmlformats.org/officeDocument/2006/relationships/hyperlink" Target="https://community.secop.gov.co/Public/Tendering/ContractNoticeManagement/Index?currentLanguage=es-CO&amp;Page=login&amp;Country=CO&amp;SkinName=CCE" TargetMode="External"/><Relationship Id="rId625" Type="http://schemas.openxmlformats.org/officeDocument/2006/relationships/hyperlink" Target="https://www.contratos.gov.co/consultas/detalleProceso.do?numConstancia=19-12-9488160" TargetMode="External"/><Relationship Id="rId832" Type="http://schemas.openxmlformats.org/officeDocument/2006/relationships/hyperlink" Target="https://www.contratos.gov.co/consultas/detalleProceso.do?numConstancia=12-12-969866" TargetMode="External"/><Relationship Id="rId222" Type="http://schemas.openxmlformats.org/officeDocument/2006/relationships/hyperlink" Target="https://www.contratos.gov.co/consultas/detalleProceso.do?numConstancia=16-13-5878552" TargetMode="External"/><Relationship Id="rId264" Type="http://schemas.openxmlformats.org/officeDocument/2006/relationships/hyperlink" Target="https://www.contratos.gov.co/consultas/detalleProceso.do?numConstancia=17-12-6548675" TargetMode="External"/><Relationship Id="rId471" Type="http://schemas.openxmlformats.org/officeDocument/2006/relationships/hyperlink" Target="https://community.secop.gov.co/Public/Tendering/ContractNoticeManagement/Index?currentLanguage=es-CO&amp;Page=login&amp;Country=CO&amp;SkinName=CCE" TargetMode="External"/><Relationship Id="rId667" Type="http://schemas.openxmlformats.org/officeDocument/2006/relationships/hyperlink" Target="https://community.secop.gov.co/Public/Tendering/ContractNoticeManagement/Index?currentLanguage=es-CO&amp;Page=login&amp;Country=CO&amp;SkinName=CCE" TargetMode="External"/><Relationship Id="rId874" Type="http://schemas.openxmlformats.org/officeDocument/2006/relationships/hyperlink" Target="https://www.contratos.gov.co/consultas/detalleProceso.do?numConstancia=13-12-2195237" TargetMode="External"/><Relationship Id="rId17" Type="http://schemas.openxmlformats.org/officeDocument/2006/relationships/hyperlink" Target="https://www.contratos.gov.co/consultas/detalleProceso.do?numConstancia=15-13-3559466" TargetMode="External"/><Relationship Id="rId59" Type="http://schemas.openxmlformats.org/officeDocument/2006/relationships/hyperlink" Target="https://www.contratos.gov.co/consultas/detalleProceso.do?numConstancia=15-11-3865967" TargetMode="External"/><Relationship Id="rId124" Type="http://schemas.openxmlformats.org/officeDocument/2006/relationships/hyperlink" Target="http://www.contratos.gov.co/consultas/detalleProceso.do?numConstancia=16-12-5146809" TargetMode="External"/><Relationship Id="rId527" Type="http://schemas.openxmlformats.org/officeDocument/2006/relationships/hyperlink" Target="https://community.secop.gov.co/Public/Tendering/ContractNoticeManagement/Index?currentLanguage=es-CO&amp;Page=login&amp;Country=CO&amp;SkinName=CCE" TargetMode="External"/><Relationship Id="rId569" Type="http://schemas.openxmlformats.org/officeDocument/2006/relationships/hyperlink" Target="https://www.contratos.gov.co/consultas/detalleProceso.do?numConstancia=14-12-2319925" TargetMode="External"/><Relationship Id="rId734" Type="http://schemas.openxmlformats.org/officeDocument/2006/relationships/hyperlink" Target="https://www.contratos.gov.co/consultas/detalleProceso.do?numConstancia=14-12-2984163" TargetMode="External"/><Relationship Id="rId776" Type="http://schemas.openxmlformats.org/officeDocument/2006/relationships/hyperlink" Target="https://www.contratos.gov.co/consultas/detalleProceso.do?numConstancia=15-12-3566213" TargetMode="External"/><Relationship Id="rId941" Type="http://schemas.openxmlformats.org/officeDocument/2006/relationships/hyperlink" Target="https://community.secop.gov.co/Public/Tendering/ContractNoticeManagement/Index?currentLanguage=es-CO&amp;Page=login&amp;Country=CO&amp;SkinName=CCE" TargetMode="External"/><Relationship Id="rId983" Type="http://schemas.openxmlformats.org/officeDocument/2006/relationships/hyperlink" Target="https://community.secop.gov.co/Public/Tendering/ContractNoticeManagement/Index?currentLanguage=es-CO&amp;Page=login&amp;Country=CO&amp;SkinName=CCE" TargetMode="External"/><Relationship Id="rId70" Type="http://schemas.openxmlformats.org/officeDocument/2006/relationships/hyperlink" Target="https://www.contratos.gov.co/consultas/detalleProceso.do?numConstancia=15-12-4120873" TargetMode="External"/><Relationship Id="rId166" Type="http://schemas.openxmlformats.org/officeDocument/2006/relationships/hyperlink" Target="https://www.contratos.gov.co/consultas/detalleProceso.do?numConstancia=16-13-5298004" TargetMode="External"/><Relationship Id="rId331" Type="http://schemas.openxmlformats.org/officeDocument/2006/relationships/hyperlink" Target="https://www.colombiacompra.gov.co/tienda-virtual-del-estado-colombiano/ordenes-compra/22825" TargetMode="External"/><Relationship Id="rId373" Type="http://schemas.openxmlformats.org/officeDocument/2006/relationships/hyperlink" Target="https://www.contratos.gov.co/consultas/detalleProceso.do?numConstancia=13-13-1591051" TargetMode="External"/><Relationship Id="rId429" Type="http://schemas.openxmlformats.org/officeDocument/2006/relationships/hyperlink" Target="https://www.contratos.gov.co/consultas/detalleProceso.do?numConstancia=18-9-444969" TargetMode="External"/><Relationship Id="rId580" Type="http://schemas.openxmlformats.org/officeDocument/2006/relationships/hyperlink" Target="https://www.contratos.gov.co/consultas/detalleProceso.do?numConstancia=13-9-379947" TargetMode="External"/><Relationship Id="rId636" Type="http://schemas.openxmlformats.org/officeDocument/2006/relationships/hyperlink" Target="https://www.contratos.gov.co/consultas/detalleProceso.do?numConstancia=19-12-9559731" TargetMode="External"/><Relationship Id="rId801" Type="http://schemas.openxmlformats.org/officeDocument/2006/relationships/hyperlink" Target="https://www.contratos.gov.co/consultas/detalleProceso.do?numConstancia=15-13-3741806" TargetMode="External"/><Relationship Id="rId1" Type="http://schemas.openxmlformats.org/officeDocument/2006/relationships/hyperlink" Target="https://www.contratos.gov.co/consultas/detalleProceso.do?numConstancia=15-12-3356280" TargetMode="External"/><Relationship Id="rId233" Type="http://schemas.openxmlformats.org/officeDocument/2006/relationships/hyperlink" Target="https://www.contratos.gov.co/consultas/detalleProceso.do?numConstancia=15-12-3924666" TargetMode="External"/><Relationship Id="rId440" Type="http://schemas.openxmlformats.org/officeDocument/2006/relationships/hyperlink" Target="https://community.secop.gov.co/Public/Tendering/ContractNoticeManagement/Index?currentLanguage=es-CO&amp;Page=login&amp;Country=CO&amp;SkinName=CCE" TargetMode="External"/><Relationship Id="rId678" Type="http://schemas.openxmlformats.org/officeDocument/2006/relationships/hyperlink" Target="https://community.secop.gov.co/Public/Tendering/ContractNoticeManagement/Index?currentLanguage=es-CO&amp;Page=login&amp;Country=CO&amp;SkinName=CCE" TargetMode="External"/><Relationship Id="rId843" Type="http://schemas.openxmlformats.org/officeDocument/2006/relationships/hyperlink" Target="https://www.contratos.gov.co/consultas/detalleProceso.do?numConstancia=13-9-367004" TargetMode="External"/><Relationship Id="rId885" Type="http://schemas.openxmlformats.org/officeDocument/2006/relationships/hyperlink" Target="https://community.secop.gov.co/Public/Tendering/ContractNoticeManagement/Index?currentLanguage=es-CO&amp;Page=login&amp;Country=CO&amp;SkinName=CCE" TargetMode="External"/><Relationship Id="rId28" Type="http://schemas.openxmlformats.org/officeDocument/2006/relationships/hyperlink" Target="https://www.contratos.gov.co/consultas/detalleProceso.do?numConstancia=15-13-3808819" TargetMode="External"/><Relationship Id="rId275" Type="http://schemas.openxmlformats.org/officeDocument/2006/relationships/hyperlink" Target="https://www.contratos.gov.co/consultas/detalleProceso.do?numConstancia=17-12-6526795" TargetMode="External"/><Relationship Id="rId300" Type="http://schemas.openxmlformats.org/officeDocument/2006/relationships/hyperlink" Target="https://www.contratos.gov.co/consultas/detalleProceso.do?numConstancia=17-11-6775715" TargetMode="External"/><Relationship Id="rId482" Type="http://schemas.openxmlformats.org/officeDocument/2006/relationships/hyperlink" Target="https://community.secop.gov.co/Public/Tendering/ContractNoticeManagement/Index?currentLanguage=es-CO&amp;Page=login&amp;Country=CO&amp;SkinName=CCE" TargetMode="External"/><Relationship Id="rId538" Type="http://schemas.openxmlformats.org/officeDocument/2006/relationships/hyperlink" Target="https://www.colombiacompra.gov.co/tienda-virtual-del-estado-colombiano/ordenes-compra/35327" TargetMode="External"/><Relationship Id="rId703" Type="http://schemas.openxmlformats.org/officeDocument/2006/relationships/hyperlink" Target="https://www.contratos.gov.co/consultas/detalleProceso.do?numConstancia=14-12-3091958" TargetMode="External"/><Relationship Id="rId745" Type="http://schemas.openxmlformats.org/officeDocument/2006/relationships/hyperlink" Target="https://www.contratos.gov.co/consultas/detalleProceso.do?numConstancia=14-13-2912893" TargetMode="External"/><Relationship Id="rId910" Type="http://schemas.openxmlformats.org/officeDocument/2006/relationships/hyperlink" Target="https://community.secop.gov.co/Public/Tendering/ContractNoticeManagement/Index?currentLanguage=es-CO&amp;Page=login&amp;Country=CO&amp;SkinName=CCE" TargetMode="External"/><Relationship Id="rId952" Type="http://schemas.openxmlformats.org/officeDocument/2006/relationships/hyperlink" Target="https://community.secop.gov.co/Public/Tendering/ContractNoticeManagement/Index?currentLanguage=es-CO&amp;Page=login&amp;Country=CO&amp;SkinName=CCE" TargetMode="External"/><Relationship Id="rId81" Type="http://schemas.openxmlformats.org/officeDocument/2006/relationships/hyperlink" Target="https://www.contratos.gov.co/consultas/detalleProceso.do?numConstancia=15-13-4153145" TargetMode="External"/><Relationship Id="rId135" Type="http://schemas.openxmlformats.org/officeDocument/2006/relationships/hyperlink" Target="http://www.contratos.gov.co/consultas/detalleProceso.do?numConstancia=16-12-5247423" TargetMode="External"/><Relationship Id="rId177" Type="http://schemas.openxmlformats.org/officeDocument/2006/relationships/hyperlink" Target="http://www.contratos.gov.co/consultas/detalleProceso.do?numConstancia=14-12-2912471" TargetMode="External"/><Relationship Id="rId342" Type="http://schemas.openxmlformats.org/officeDocument/2006/relationships/hyperlink" Target="https://www.colombiacompra.gov.co/tienda-virtual-del-estado-colombiano/ordenes-compra/24099" TargetMode="External"/><Relationship Id="rId384" Type="http://schemas.openxmlformats.org/officeDocument/2006/relationships/hyperlink" Target="https://www.contratos.gov.co/consultas/detalleProceso.do?numConstancia=18-13-8034276" TargetMode="External"/><Relationship Id="rId591" Type="http://schemas.openxmlformats.org/officeDocument/2006/relationships/hyperlink" Target="https://www.contratos.gov.co/consultas/detalleProceso.do?numConstancia=19-12-9193535" TargetMode="External"/><Relationship Id="rId605" Type="http://schemas.openxmlformats.org/officeDocument/2006/relationships/hyperlink" Target="https://www.contratos.gov.co/consultas/detalleProceso.do?numConstancia=19-12-9361320" TargetMode="External"/><Relationship Id="rId787" Type="http://schemas.openxmlformats.org/officeDocument/2006/relationships/hyperlink" Target="https://www.contratos.gov.co/consultas/detalleProceso.do?numConstancia=15-12-3449941" TargetMode="External"/><Relationship Id="rId812" Type="http://schemas.openxmlformats.org/officeDocument/2006/relationships/hyperlink" Target="https://www.contratos.gov.co/consultas/detalleProceso.do?numConstancia=19-12-10224469" TargetMode="External"/><Relationship Id="rId202" Type="http://schemas.openxmlformats.org/officeDocument/2006/relationships/hyperlink" Target="https://www.contratos.gov.co/consultas/detalleProceso.do?numConstancia=16-12-5633716" TargetMode="External"/><Relationship Id="rId244" Type="http://schemas.openxmlformats.org/officeDocument/2006/relationships/hyperlink" Target="https://www.contratos.gov.co/consultas/detalleProceso.do?numConstancia=17-12-6425671" TargetMode="External"/><Relationship Id="rId647" Type="http://schemas.openxmlformats.org/officeDocument/2006/relationships/hyperlink" Target="https://community.secop.gov.co/Public/Tendering/ContractNoticeManagement/Index?currentLanguage=es-CO&amp;Page=login&amp;Country=CO&amp;SkinName=CCE" TargetMode="External"/><Relationship Id="rId689" Type="http://schemas.openxmlformats.org/officeDocument/2006/relationships/hyperlink" Target="https://www.contratos.gov.co/consultas/detalleProceso.do?numConstancia=13-12-1754755" TargetMode="External"/><Relationship Id="rId854" Type="http://schemas.openxmlformats.org/officeDocument/2006/relationships/hyperlink" Target="https://www.contratos.gov.co/consultas/detalleProceso.do?numConstancia=14-1-125523" TargetMode="External"/><Relationship Id="rId896" Type="http://schemas.openxmlformats.org/officeDocument/2006/relationships/hyperlink" Target="https://community.secop.gov.co/Public/Tendering/ContractNoticeManagement/Index?currentLanguage=es-CO&amp;Page=login&amp;Country=CO&amp;SkinName=CCE" TargetMode="External"/><Relationship Id="rId39" Type="http://schemas.openxmlformats.org/officeDocument/2006/relationships/hyperlink" Target="https://www.contratos.gov.co/consultas/detalleProceso.do?numConstancia=15-13-3703933" TargetMode="External"/><Relationship Id="rId286" Type="http://schemas.openxmlformats.org/officeDocument/2006/relationships/hyperlink" Target="https://www.contratos.gov.co/consultas/detalleProceso.do?numConstancia=17-1-173038" TargetMode="External"/><Relationship Id="rId451" Type="http://schemas.openxmlformats.org/officeDocument/2006/relationships/hyperlink" Target="https://www.contratos.gov.co/consultas/detalleProceso.do?numConstancia=12-11-1062437" TargetMode="External"/><Relationship Id="rId493" Type="http://schemas.openxmlformats.org/officeDocument/2006/relationships/hyperlink" Target="https://community.secop.gov.co/Public/Tendering/ContractNoticeManagement/Index?currentLanguage=es-CO&amp;Page=login&amp;Country=CO&amp;SkinName=CCE" TargetMode="External"/><Relationship Id="rId507" Type="http://schemas.openxmlformats.org/officeDocument/2006/relationships/hyperlink" Target="https://community.secop.gov.co/Public/Tendering/ContractNoticeManagement/Index?currentLanguage=es-CO&amp;Page=login&amp;Country=CO&amp;SkinName=CCE" TargetMode="External"/><Relationship Id="rId549" Type="http://schemas.openxmlformats.org/officeDocument/2006/relationships/hyperlink" Target="https://community.secop.gov.co/Public/Tendering/ContractNoticeManagement/Index?currentLanguage=es-CO&amp;Page=login&amp;Country=CO&amp;SkinName=CCE" TargetMode="External"/><Relationship Id="rId714" Type="http://schemas.openxmlformats.org/officeDocument/2006/relationships/hyperlink" Target="https://community.secop.gov.co/Public/Tendering/ContractNoticeManagement/Index?currentLanguage=es-CO&amp;Page=login&amp;Country=CO&amp;SkinName=CCE" TargetMode="External"/><Relationship Id="rId756" Type="http://schemas.openxmlformats.org/officeDocument/2006/relationships/hyperlink" Target="https://www.contratos.gov.co/consultas/detalleProceso.do?numConstancia=14-12-2892891" TargetMode="External"/><Relationship Id="rId921" Type="http://schemas.openxmlformats.org/officeDocument/2006/relationships/hyperlink" Target="https://community.secop.gov.co/Public/Tendering/ContractNoticeManagement/Index?currentLanguage=es-CO&amp;Page=login&amp;Country=CO&amp;SkinName=CCE" TargetMode="External"/><Relationship Id="rId50" Type="http://schemas.openxmlformats.org/officeDocument/2006/relationships/hyperlink" Target="http://www.contratos.gov.co/consultas/detalleProceso.do?numConstancia=15-12-3986516" TargetMode="External"/><Relationship Id="rId104" Type="http://schemas.openxmlformats.org/officeDocument/2006/relationships/hyperlink" Target="https://www.contratos.gov.co/consultas/detalleProceso.do?numConstancia=15-12-4001609" TargetMode="External"/><Relationship Id="rId146" Type="http://schemas.openxmlformats.org/officeDocument/2006/relationships/hyperlink" Target="https://www.contratos.gov.co/consultas/detalleProceso.do?numConstancia=16-12-5286234" TargetMode="External"/><Relationship Id="rId188" Type="http://schemas.openxmlformats.org/officeDocument/2006/relationships/hyperlink" Target="https://www.contratos.gov.co/consultas/detalleProceso.do?numConstancia=16-12-4914537" TargetMode="External"/><Relationship Id="rId311" Type="http://schemas.openxmlformats.org/officeDocument/2006/relationships/hyperlink" Target="https://www.contratos.gov.co/consultas/detalleProceso.do?numConstancia=17-12-7124423" TargetMode="External"/><Relationship Id="rId353" Type="http://schemas.openxmlformats.org/officeDocument/2006/relationships/hyperlink" Target="https://www.contratos.gov.co/consultas/detalleProceso.do?numConstancia=18-12-7726389" TargetMode="External"/><Relationship Id="rId395" Type="http://schemas.openxmlformats.org/officeDocument/2006/relationships/hyperlink" Target="https://www.contratos.gov.co/consultas/detalleProceso.do?numConstancia=11-13-726827" TargetMode="External"/><Relationship Id="rId409" Type="http://schemas.openxmlformats.org/officeDocument/2006/relationships/hyperlink" Target="https://community.secop.gov.co/Public/Tendering/ContractNoticeManagement/Index?currentLanguage=es-CO&amp;Page=login&amp;Country=CO&amp;SkinName=CCE" TargetMode="External"/><Relationship Id="rId560" Type="http://schemas.openxmlformats.org/officeDocument/2006/relationships/hyperlink" Target="https://community.secop.gov.co/Public/Tendering/ContractNoticeManagement/Index?currentLanguage=es-CO&amp;Page=login&amp;Country=CO&amp;SkinName=CCE" TargetMode="External"/><Relationship Id="rId798" Type="http://schemas.openxmlformats.org/officeDocument/2006/relationships/hyperlink" Target="https://www.contratos.gov.co/consultas/detalleProceso.do?numConstancia=15-9-397602" TargetMode="External"/><Relationship Id="rId963" Type="http://schemas.openxmlformats.org/officeDocument/2006/relationships/hyperlink" Target="https://community.secop.gov.co/Public/Tendering/ContractNoticeManagement/Index?currentLanguage=es-CO&amp;Page=login&amp;Country=CO&amp;SkinName=CCE" TargetMode="External"/><Relationship Id="rId92" Type="http://schemas.openxmlformats.org/officeDocument/2006/relationships/hyperlink" Target="https://www.contratos.gov.co/consultas/detalleProceso.do?numConstancia=15-13-4389061" TargetMode="External"/><Relationship Id="rId213" Type="http://schemas.openxmlformats.org/officeDocument/2006/relationships/hyperlink" Target="https://www.contratos.gov.co/consultas/detalleProceso.do?numConstancia=16-13-5804930" TargetMode="External"/><Relationship Id="rId420" Type="http://schemas.openxmlformats.org/officeDocument/2006/relationships/hyperlink" Target="https://community.secop.gov.co/Public/Tendering/ContractNoticeManagement/Index?currentLanguage=es-CO&amp;Page=login&amp;Country=CO&amp;SkinName=CCE" TargetMode="External"/><Relationship Id="rId616" Type="http://schemas.openxmlformats.org/officeDocument/2006/relationships/hyperlink" Target="https://www.contratos.gov.co/consultas/detalleProceso.do?numConstancia=13-12-2113026" TargetMode="External"/><Relationship Id="rId658" Type="http://schemas.openxmlformats.org/officeDocument/2006/relationships/hyperlink" Target="https://community.secop.gov.co/Public/Tendering/ContractNoticeManagement/Index?currentLanguage=es-CO&amp;Page=login&amp;Country=CO&amp;SkinName=CCE" TargetMode="External"/><Relationship Id="rId823" Type="http://schemas.openxmlformats.org/officeDocument/2006/relationships/hyperlink" Target="https://www.contratos.gov.co/consultas/detalleProceso.do?numConstancia=14-12-2989522" TargetMode="External"/><Relationship Id="rId865" Type="http://schemas.openxmlformats.org/officeDocument/2006/relationships/hyperlink" Target="https://www.contratos.gov.co/consultas/detalleProceso.do?numConstancia=14-12-2326484" TargetMode="External"/><Relationship Id="rId255" Type="http://schemas.openxmlformats.org/officeDocument/2006/relationships/hyperlink" Target="https://www.contratos.gov.co/consultas/detalleProceso.do?numConstancia=17-12-6547167" TargetMode="External"/><Relationship Id="rId297" Type="http://schemas.openxmlformats.org/officeDocument/2006/relationships/hyperlink" Target="https://www.contratos.gov.co/consultas/detalleProceso.do?numConstancia=17-13-6888194" TargetMode="External"/><Relationship Id="rId462" Type="http://schemas.openxmlformats.org/officeDocument/2006/relationships/hyperlink" Target="https://www.contratos.gov.co/consultas/detalleProceso.do?numConstancia=14-12-2798101" TargetMode="External"/><Relationship Id="rId518" Type="http://schemas.openxmlformats.org/officeDocument/2006/relationships/hyperlink" Target="https://community.secop.gov.co/Public/Tendering/ContractNoticeManagement/Index?currentLanguage=es-CO&amp;Page=login&amp;Country=CO&amp;SkinName=CCE" TargetMode="External"/><Relationship Id="rId725" Type="http://schemas.openxmlformats.org/officeDocument/2006/relationships/hyperlink" Target="https://www.contratos.gov.co/consultas/detalleProceso.do?numConstancia=14-13-2826038" TargetMode="External"/><Relationship Id="rId932" Type="http://schemas.openxmlformats.org/officeDocument/2006/relationships/hyperlink" Target="https://community.secop.gov.co/Public/Tendering/ContractNoticeManagement/Index?currentLanguage=es-CO&amp;Page=login&amp;Country=CO&amp;SkinName=CCE" TargetMode="External"/><Relationship Id="rId115" Type="http://schemas.openxmlformats.org/officeDocument/2006/relationships/hyperlink" Target="https://www.contratos.gov.co/consultas/detalleProceso.do?numConstancia=16-12-4928083" TargetMode="External"/><Relationship Id="rId157" Type="http://schemas.openxmlformats.org/officeDocument/2006/relationships/hyperlink" Target="https://www.contratos.gov.co/consultas/detalleProceso.do?numConstancia=16-13-5279502" TargetMode="External"/><Relationship Id="rId322" Type="http://schemas.openxmlformats.org/officeDocument/2006/relationships/hyperlink" Target="https://www.contratos.gov.co/consultas/detalleProceso.do?numConstancia=17-12-7259245" TargetMode="External"/><Relationship Id="rId364" Type="http://schemas.openxmlformats.org/officeDocument/2006/relationships/hyperlink" Target="https://www.contratos.gov.co/consultas/detalleProceso.do?numConstancia=18-13-7966473" TargetMode="External"/><Relationship Id="rId767" Type="http://schemas.openxmlformats.org/officeDocument/2006/relationships/hyperlink" Target="https://www.contratos.gov.co/consultas/detalleProceso.do?numConstancia=14-13-2693086" TargetMode="External"/><Relationship Id="rId974" Type="http://schemas.openxmlformats.org/officeDocument/2006/relationships/hyperlink" Target="https://community.secop.gov.co/Public/Tendering/ContractNoticeManagement/Index?currentLanguage=es-CO&amp;Page=login&amp;Country=CO&amp;SkinName=CCE" TargetMode="External"/><Relationship Id="rId61" Type="http://schemas.openxmlformats.org/officeDocument/2006/relationships/hyperlink" Target="https://www.contratos.gov.co/consultas/detalleProceso.do?numConstancia=15-13-3944207" TargetMode="External"/><Relationship Id="rId199" Type="http://schemas.openxmlformats.org/officeDocument/2006/relationships/hyperlink" Target="https://www.contratos.gov.co/consultas/detalleProceso.do?numConstancia=16-12-5626583" TargetMode="External"/><Relationship Id="rId571" Type="http://schemas.openxmlformats.org/officeDocument/2006/relationships/hyperlink" Target="https://www.contratos.gov.co/consultas/detalleProceso.do?numConstancia=13-13-2156159" TargetMode="External"/><Relationship Id="rId627" Type="http://schemas.openxmlformats.org/officeDocument/2006/relationships/hyperlink" Target="https://www.contratos.gov.co/consultas/detalleProceso.do?numConstancia=19-12-9483618" TargetMode="External"/><Relationship Id="rId669" Type="http://schemas.openxmlformats.org/officeDocument/2006/relationships/hyperlink" Target="https://www.contratos.gov.co/consultas/detalleProceso.do?numConstancia=19-12-9745810" TargetMode="External"/><Relationship Id="rId834" Type="http://schemas.openxmlformats.org/officeDocument/2006/relationships/hyperlink" Target="https://www.contratos.gov.co/consultas/detalleProceso.do?numConstancia=12-13-880413" TargetMode="External"/><Relationship Id="rId876" Type="http://schemas.openxmlformats.org/officeDocument/2006/relationships/hyperlink" Target="https://community.secop.gov.co/Public/Tendering/ContractNoticeManagement/Index?currentLanguage=es-CO&amp;Page=login&amp;Country=CO&amp;SkinName=CCE" TargetMode="External"/><Relationship Id="rId19" Type="http://schemas.openxmlformats.org/officeDocument/2006/relationships/hyperlink" Target="https://www.contratos.gov.co/consultas/detalleProceso.do?numConstancia=15-13-3589117" TargetMode="External"/><Relationship Id="rId224" Type="http://schemas.openxmlformats.org/officeDocument/2006/relationships/hyperlink" Target="https://www.contratos.gov.co/consultas/detalleProceso.do?numConstancia=16-9-423314" TargetMode="External"/><Relationship Id="rId266" Type="http://schemas.openxmlformats.org/officeDocument/2006/relationships/hyperlink" Target="https://www.contratos.gov.co/consultas/detalleProceso.do?numConstancia=17-12-6560743" TargetMode="External"/><Relationship Id="rId431" Type="http://schemas.openxmlformats.org/officeDocument/2006/relationships/hyperlink" Target="https://www.colombiacompra.gov.co/tienda-virtual-del-estado-colombiano/ordenes-compra/30559" TargetMode="External"/><Relationship Id="rId473" Type="http://schemas.openxmlformats.org/officeDocument/2006/relationships/hyperlink" Target="https://community.secop.gov.co/Public/Tendering/ContractNoticeManagement/Index?currentLanguage=es-CO&amp;Page=login&amp;Country=CO&amp;SkinName=CCE" TargetMode="External"/><Relationship Id="rId529" Type="http://schemas.openxmlformats.org/officeDocument/2006/relationships/hyperlink" Target="https://community.secop.gov.co/Public/Tendering/ContractNoticeManagement/Index?currentLanguage=es-CO&amp;Page=login&amp;Country=CO&amp;SkinName=CCE" TargetMode="External"/><Relationship Id="rId680" Type="http://schemas.openxmlformats.org/officeDocument/2006/relationships/hyperlink" Target="https://community.secop.gov.co/Public/Tendering/ContractNoticeManagement/Index?currentLanguage=es-CO&amp;Page=login&amp;Country=CO&amp;SkinName=CCE" TargetMode="External"/><Relationship Id="rId736" Type="http://schemas.openxmlformats.org/officeDocument/2006/relationships/hyperlink" Target="https://www.contratos.gov.co/consultas/detalleProceso.do?numConstancia=14-12-2989058" TargetMode="External"/><Relationship Id="rId901" Type="http://schemas.openxmlformats.org/officeDocument/2006/relationships/hyperlink" Target="https://community.secop.gov.co/Public/Tendering/ContractNoticeManagement/Index?currentLanguage=es-CO&amp;Page=login&amp;Country=CO&amp;SkinName=CCE" TargetMode="External"/><Relationship Id="rId30" Type="http://schemas.openxmlformats.org/officeDocument/2006/relationships/hyperlink" Target="https://www.contratos.gov.co/consultas/detalleProceso.do?numConstancia=15-9-398902" TargetMode="External"/><Relationship Id="rId126" Type="http://schemas.openxmlformats.org/officeDocument/2006/relationships/hyperlink" Target="http://www.contratos.gov.co/consultas/detalleProceso.do?numConstancia=16-13-4981335" TargetMode="External"/><Relationship Id="rId168" Type="http://schemas.openxmlformats.org/officeDocument/2006/relationships/hyperlink" Target="https://www.contratos.gov.co/consultas/detalleProceso.do?numConstancia=14-12-2321252" TargetMode="External"/><Relationship Id="rId333" Type="http://schemas.openxmlformats.org/officeDocument/2006/relationships/hyperlink" Target="https://www.contratos.gov.co/consultas/detalleProceso.do?numConstancia=17-13-7294289" TargetMode="External"/><Relationship Id="rId540" Type="http://schemas.openxmlformats.org/officeDocument/2006/relationships/hyperlink" Target="https://www.contratos.gov.co/consultas/detalleProceso.do?numConstancia=14-12-2220383" TargetMode="External"/><Relationship Id="rId778" Type="http://schemas.openxmlformats.org/officeDocument/2006/relationships/hyperlink" Target="https://www.contratos.gov.co/consultas/detalleProceso.do?numConstancia=15-12-3553134" TargetMode="External"/><Relationship Id="rId943" Type="http://schemas.openxmlformats.org/officeDocument/2006/relationships/hyperlink" Target="https://community.secop.gov.co/Public/Tendering/ContractNoticeManagement/Index?currentLanguage=es-CO&amp;Page=login&amp;Country=CO&amp;SkinName=CCE" TargetMode="External"/><Relationship Id="rId985" Type="http://schemas.openxmlformats.org/officeDocument/2006/relationships/hyperlink" Target="https://community.secop.gov.co/Public/Tendering/ContractNoticeManagement/Index?currentLanguage=es-CO&amp;Page=login&amp;Country=CO&amp;SkinName=CCE" TargetMode="External"/><Relationship Id="rId72" Type="http://schemas.openxmlformats.org/officeDocument/2006/relationships/hyperlink" Target="https://www.contratos.gov.co/consultas/detalleProceso.do?numConstancia=15-12-4151693" TargetMode="External"/><Relationship Id="rId375" Type="http://schemas.openxmlformats.org/officeDocument/2006/relationships/hyperlink" Target="https://www.colombiacompra.gov.co/tienda-virtual-del-estado-colombiano/ordenes-compra/19093" TargetMode="External"/><Relationship Id="rId582" Type="http://schemas.openxmlformats.org/officeDocument/2006/relationships/hyperlink" Target="https://www.contratos.gov.co/consultas/detalleProceso.do?numConstancia=13-13-2189669" TargetMode="External"/><Relationship Id="rId638" Type="http://schemas.openxmlformats.org/officeDocument/2006/relationships/hyperlink" Target="https://www.contratos.gov.co/consultas/detalleProceso.do?numConstancia=19-12-9550757" TargetMode="External"/><Relationship Id="rId803" Type="http://schemas.openxmlformats.org/officeDocument/2006/relationships/hyperlink" Target="https://www.contratos.gov.co/consultas/detalleProceso.do?numConstancia=15-12-3842703" TargetMode="External"/><Relationship Id="rId845" Type="http://schemas.openxmlformats.org/officeDocument/2006/relationships/hyperlink" Target="https://www.contratos.gov.co/consultas/detalleProceso.do?numConstancia=14-9-383497" TargetMode="External"/><Relationship Id="rId3" Type="http://schemas.openxmlformats.org/officeDocument/2006/relationships/hyperlink" Target="https://www.contratos.gov.co/consultas/detalleProceso.do?numConstancia=15-12-3443448" TargetMode="External"/><Relationship Id="rId235" Type="http://schemas.openxmlformats.org/officeDocument/2006/relationships/hyperlink" Target="https://www.contratos.gov.co/consultas/detalleProceso.do?numConstancia=16-9-423852" TargetMode="External"/><Relationship Id="rId277" Type="http://schemas.openxmlformats.org/officeDocument/2006/relationships/hyperlink" Target="https://www.contratos.gov.co/consultas/detalleProceso.do?numConstancia=17-13-6560436" TargetMode="External"/><Relationship Id="rId400" Type="http://schemas.openxmlformats.org/officeDocument/2006/relationships/hyperlink" Target="https://www.contratos.gov.co/consultas/detalleProceso.do?numConstancia=18-12-8176085" TargetMode="External"/><Relationship Id="rId442" Type="http://schemas.openxmlformats.org/officeDocument/2006/relationships/hyperlink" Target="https://community.secop.gov.co/Public/Tendering/ContractNoticeManagement/Index?currentLanguage=es-CO&amp;Page=login&amp;Country=CO&amp;SkinName=CCE" TargetMode="External"/><Relationship Id="rId484" Type="http://schemas.openxmlformats.org/officeDocument/2006/relationships/hyperlink" Target="https://community.secop.gov.co/Public/Tendering/ContractNoticeManagement/Index?currentLanguage=es-CO&amp;Page=login&amp;Country=CO&amp;SkinName=CCE" TargetMode="External"/><Relationship Id="rId705" Type="http://schemas.openxmlformats.org/officeDocument/2006/relationships/hyperlink" Target="https://www.contratos.gov.co/consultas/detalleProceso.do?numConstancia=14-12-2984163" TargetMode="External"/><Relationship Id="rId887" Type="http://schemas.openxmlformats.org/officeDocument/2006/relationships/hyperlink" Target="https://community.secop.gov.co/Public/Tendering/ContractNoticeManagement/Index?currentLanguage=es-CO&amp;Page=login&amp;Country=CO&amp;SkinName=CCE" TargetMode="External"/><Relationship Id="rId137" Type="http://schemas.openxmlformats.org/officeDocument/2006/relationships/hyperlink" Target="http://www.contratos.gov.co/consultas/detalleProceso.do?numConstancia=16-12-5251040" TargetMode="External"/><Relationship Id="rId302" Type="http://schemas.openxmlformats.org/officeDocument/2006/relationships/hyperlink" Target="https://www.contratos.gov.co/consultas/detalleProceso.do?numConstancia=17-12-7047667" TargetMode="External"/><Relationship Id="rId344" Type="http://schemas.openxmlformats.org/officeDocument/2006/relationships/hyperlink" Target="https://www.contratos.gov.co/consultas/detalleProceso.do?numConstancia=17-9-437686" TargetMode="External"/><Relationship Id="rId691" Type="http://schemas.openxmlformats.org/officeDocument/2006/relationships/hyperlink" Target="https://www.contratos.gov.co/consultas/detalleProceso.do?numConstancia=14-12-2326761" TargetMode="External"/><Relationship Id="rId747" Type="http://schemas.openxmlformats.org/officeDocument/2006/relationships/hyperlink" Target="https://www.contratos.gov.co/consultas/detalleProceso.do?numConstancia=14-13-3068665" TargetMode="External"/><Relationship Id="rId789" Type="http://schemas.openxmlformats.org/officeDocument/2006/relationships/hyperlink" Target="https://www.contratos.gov.co/consultas/detalleProceso.do?numConstancia=14-1-125523" TargetMode="External"/><Relationship Id="rId912" Type="http://schemas.openxmlformats.org/officeDocument/2006/relationships/hyperlink" Target="https://community.secop.gov.co/Public/Tendering/ContractNoticeManagement/Index?currentLanguage=es-CO&amp;Page=login&amp;Country=CO&amp;SkinName=CCE" TargetMode="External"/><Relationship Id="rId954" Type="http://schemas.openxmlformats.org/officeDocument/2006/relationships/hyperlink" Target="https://community.secop.gov.co/Public/Tendering/ContractNoticeManagement/Index?currentLanguage=es-CO&amp;Page=login&amp;Country=CO&amp;SkinName=CCE" TargetMode="External"/><Relationship Id="rId41" Type="http://schemas.openxmlformats.org/officeDocument/2006/relationships/hyperlink" Target="https://www.contratos.gov.co/consultas/detalleProceso.do?numConstancia=14-15-3227993" TargetMode="External"/><Relationship Id="rId83" Type="http://schemas.openxmlformats.org/officeDocument/2006/relationships/hyperlink" Target="https://www.contratos.gov.co/consultas/detalleProceso.do?numConstancia=15-12-4292776" TargetMode="External"/><Relationship Id="rId179" Type="http://schemas.openxmlformats.org/officeDocument/2006/relationships/hyperlink" Target="https://www.contratos.gov.co/consultas/detalleProceso.do?numConstancia=14-13-3029035" TargetMode="External"/><Relationship Id="rId386" Type="http://schemas.openxmlformats.org/officeDocument/2006/relationships/hyperlink" Target="https://www.contratos.gov.co/consultas/detalleProceso.do?numConstancia=13-12-1727613" TargetMode="External"/><Relationship Id="rId551" Type="http://schemas.openxmlformats.org/officeDocument/2006/relationships/hyperlink" Target="https://community.secop.gov.co/Public/Tendering/ContractNoticeManagement/Index?currentLanguage=es-CO&amp;Page=login&amp;Country=CO&amp;SkinName=CCE" TargetMode="External"/><Relationship Id="rId593" Type="http://schemas.openxmlformats.org/officeDocument/2006/relationships/hyperlink" Target="https://www.contratos.gov.co/consultas/detalleProceso.do?numConstancia=19-12-9215591" TargetMode="External"/><Relationship Id="rId607" Type="http://schemas.openxmlformats.org/officeDocument/2006/relationships/hyperlink" Target="https://www.contratos.gov.co/consultas/detalleProceso.do?numConstancia=19-12-9348138" TargetMode="External"/><Relationship Id="rId649" Type="http://schemas.openxmlformats.org/officeDocument/2006/relationships/hyperlink" Target="https://www.contratos.gov.co/consultas/detalleProceso.do?numConstancia=19-12-9680709" TargetMode="External"/><Relationship Id="rId814" Type="http://schemas.openxmlformats.org/officeDocument/2006/relationships/hyperlink" Target="https://www.contratos.gov.co/consultas/detalleProceso.do?numConstancia=19-12-10207262" TargetMode="External"/><Relationship Id="rId856" Type="http://schemas.openxmlformats.org/officeDocument/2006/relationships/hyperlink" Target="https://www.contratos.gov.co/consultas/detalleProceso.do?numConstancia=14-12-2929558" TargetMode="External"/><Relationship Id="rId190" Type="http://schemas.openxmlformats.org/officeDocument/2006/relationships/hyperlink" Target="https://www.contratos.gov.co/consultas/detalleProceso.do?numConstancia=16-1-160915" TargetMode="External"/><Relationship Id="rId204" Type="http://schemas.openxmlformats.org/officeDocument/2006/relationships/hyperlink" Target="https://www.contratos.gov.co/consultas/detalleProceso.do?numConstancia=16-12-5640228" TargetMode="External"/><Relationship Id="rId246" Type="http://schemas.openxmlformats.org/officeDocument/2006/relationships/hyperlink" Target="https://www.contratos.gov.co/consultas/detalleProceso.do?numConstancia=17-13-6345589" TargetMode="External"/><Relationship Id="rId288" Type="http://schemas.openxmlformats.org/officeDocument/2006/relationships/hyperlink" Target="https://www.contratos.gov.co/consultas/detalleProceso.do?numConstancia=17-12-6735136" TargetMode="External"/><Relationship Id="rId411" Type="http://schemas.openxmlformats.org/officeDocument/2006/relationships/hyperlink" Target="https://community.secop.gov.co/Public/Tendering/ContractNoticeManagement/Index?currentLanguage=es-CO&amp;Page=login&amp;Country=CO&amp;SkinName=CCE" TargetMode="External"/><Relationship Id="rId453" Type="http://schemas.openxmlformats.org/officeDocument/2006/relationships/hyperlink" Target="https://www.contratos.gov.co/consultas/detalleProceso.do?numConstancia=12-12-913588" TargetMode="External"/><Relationship Id="rId509" Type="http://schemas.openxmlformats.org/officeDocument/2006/relationships/hyperlink" Target="https://www.contratos.gov.co/consultas/detalleProceso.do?numConstancia=11-13-734515" TargetMode="External"/><Relationship Id="rId660" Type="http://schemas.openxmlformats.org/officeDocument/2006/relationships/hyperlink" Target="https://community.secop.gov.co/Public/Tendering/ContractNoticeManagement/Index?currentLanguage=es-CO&amp;Page=login&amp;Country=CO&amp;SkinName=CCE" TargetMode="External"/><Relationship Id="rId898" Type="http://schemas.openxmlformats.org/officeDocument/2006/relationships/hyperlink" Target="https://community.secop.gov.co/Public/Tendering/ContractNoticeManagement/Index?currentLanguage=es-CO&amp;Page=login&amp;Country=CO&amp;SkinName=CCE" TargetMode="External"/><Relationship Id="rId106" Type="http://schemas.openxmlformats.org/officeDocument/2006/relationships/hyperlink" Target="https://www.contratos.gov.co/consultas/detalleProceso.do?numConstancia=16-13-4862556" TargetMode="External"/><Relationship Id="rId313" Type="http://schemas.openxmlformats.org/officeDocument/2006/relationships/hyperlink" Target="https://www.contratos.gov.co/consultas/detalleProceso.do?numConstancia=17-13-7062467" TargetMode="External"/><Relationship Id="rId495" Type="http://schemas.openxmlformats.org/officeDocument/2006/relationships/hyperlink" Target="https://www.contratos.gov.co/consultas/detalleProceso.do?numConstancia=13-13-1732672" TargetMode="External"/><Relationship Id="rId716" Type="http://schemas.openxmlformats.org/officeDocument/2006/relationships/hyperlink" Target="https://community.secop.gov.co/Public/Tendering/ContractNoticeManagement/Index?currentLanguage=es-CO&amp;Page=login&amp;Country=CO&amp;SkinName=CCE" TargetMode="External"/><Relationship Id="rId758" Type="http://schemas.openxmlformats.org/officeDocument/2006/relationships/hyperlink" Target="https://www.contratos.gov.co/consultas/detalleProceso.do?numConstancia=14-12-2874374" TargetMode="External"/><Relationship Id="rId923" Type="http://schemas.openxmlformats.org/officeDocument/2006/relationships/hyperlink" Target="https://community.secop.gov.co/Public/Tendering/ContractNoticeManagement/Index?currentLanguage=es-CO&amp;Page=login&amp;Country=CO&amp;SkinName=CCE" TargetMode="External"/><Relationship Id="rId965" Type="http://schemas.openxmlformats.org/officeDocument/2006/relationships/hyperlink" Target="https://community.secop.gov.co/Public/Tendering/ContractNoticeManagement/Index?currentLanguage=es-CO&amp;Page=login&amp;Country=CO&amp;SkinName=CCE" TargetMode="External"/><Relationship Id="rId10" Type="http://schemas.openxmlformats.org/officeDocument/2006/relationships/hyperlink" Target="https://www.contratos.gov.co/consultas/detalleProceso.do?numConstancia=15-12-3553182" TargetMode="External"/><Relationship Id="rId52" Type="http://schemas.openxmlformats.org/officeDocument/2006/relationships/hyperlink" Target="http://www.contratos.gov.co/consultas/detalleProceso.do?numConstancia=15-12-4001333" TargetMode="External"/><Relationship Id="rId94" Type="http://schemas.openxmlformats.org/officeDocument/2006/relationships/hyperlink" Target="https://www.contratos.gov.co/consultas/detalleProceso.do?numConstancia=15-13-4430437" TargetMode="External"/><Relationship Id="rId148" Type="http://schemas.openxmlformats.org/officeDocument/2006/relationships/hyperlink" Target="https://www.contratos.gov.co/consultas/detalleProceso.do?numConstancia=16-1-157757" TargetMode="External"/><Relationship Id="rId355" Type="http://schemas.openxmlformats.org/officeDocument/2006/relationships/hyperlink" Target="https://www.contratos.gov.co/consultas/detalleProceso.do?numConstancia=18-12-7748089" TargetMode="External"/><Relationship Id="rId397" Type="http://schemas.openxmlformats.org/officeDocument/2006/relationships/hyperlink" Target="https://www.contratos.gov.co/consultas/detalleProceso.do?numConstancia=18-13-8118614" TargetMode="External"/><Relationship Id="rId520" Type="http://schemas.openxmlformats.org/officeDocument/2006/relationships/hyperlink" Target="https://community.secop.gov.co/Public/Tendering/ContractNoticeManagement/Index?currentLanguage=es-CO&amp;Page=login&amp;Country=CO&amp;SkinName=CCE" TargetMode="External"/><Relationship Id="rId562" Type="http://schemas.openxmlformats.org/officeDocument/2006/relationships/hyperlink" Target="https://community.secop.gov.co/Public/Tendering/ContractNoticeManagement/Index?currentLanguage=es-CO&amp;Page=login&amp;Country=CO&amp;SkinName=CCE" TargetMode="External"/><Relationship Id="rId618" Type="http://schemas.openxmlformats.org/officeDocument/2006/relationships/hyperlink" Target="https://www.contratos.gov.co/consultas/detalleProceso.do?numConstancia=12-11-855027" TargetMode="External"/><Relationship Id="rId825" Type="http://schemas.openxmlformats.org/officeDocument/2006/relationships/hyperlink" Target="https://www.contratos.gov.co/consultas/detalleProceso.do?numConstancia=12-13-1063224" TargetMode="External"/><Relationship Id="rId215" Type="http://schemas.openxmlformats.org/officeDocument/2006/relationships/hyperlink" Target="https://www.contratos.gov.co/consultas/detalleProceso.do?numConstancia=16-11-5683308" TargetMode="External"/><Relationship Id="rId257" Type="http://schemas.openxmlformats.org/officeDocument/2006/relationships/hyperlink" Target="https://www.contratos.gov.co/consultas/detalleProceso.do?numConstancia=17-12-6536381" TargetMode="External"/><Relationship Id="rId422" Type="http://schemas.openxmlformats.org/officeDocument/2006/relationships/hyperlink" Target="https://community.secop.gov.co/Public/Tendering/ContractNoticeManagement/Index?currentLanguage=es-CO&amp;Page=login&amp;Country=CO&amp;SkinName=CCE" TargetMode="External"/><Relationship Id="rId464" Type="http://schemas.openxmlformats.org/officeDocument/2006/relationships/hyperlink" Target="https://www.contratos.gov.co/consultas/detalleProceso.do?numConstancia=14-9-387988" TargetMode="External"/><Relationship Id="rId867" Type="http://schemas.openxmlformats.org/officeDocument/2006/relationships/hyperlink" Target="https://www.contratos.gov.co/consultas/detalleProceso.do?numConstancia=14-13-2968667" TargetMode="External"/><Relationship Id="rId299" Type="http://schemas.openxmlformats.org/officeDocument/2006/relationships/hyperlink" Target="https://www.contratos.gov.co/consultas/detalleProceso.do?numConstancia=17-12-6979264" TargetMode="External"/><Relationship Id="rId727" Type="http://schemas.openxmlformats.org/officeDocument/2006/relationships/hyperlink" Target="https://www.contratos.gov.co/consultas/detalleProceso.do?numConstancia=14-12-2922590" TargetMode="External"/><Relationship Id="rId934" Type="http://schemas.openxmlformats.org/officeDocument/2006/relationships/hyperlink" Target="https://community.secop.gov.co/Public/Tendering/ContractNoticeManagement/Index?currentLanguage=es-CO&amp;Page=login&amp;Country=CO&amp;SkinName=CCE" TargetMode="External"/><Relationship Id="rId63" Type="http://schemas.openxmlformats.org/officeDocument/2006/relationships/hyperlink" Target="https://www.contratos.gov.co/consultas/detalleProceso.do?numConstancia=14-1-131499" TargetMode="External"/><Relationship Id="rId159" Type="http://schemas.openxmlformats.org/officeDocument/2006/relationships/hyperlink" Target="https://www.contratos.gov.co/consultas/detalleProceso.do?numConstancia=16-13-5270781" TargetMode="External"/><Relationship Id="rId366" Type="http://schemas.openxmlformats.org/officeDocument/2006/relationships/hyperlink" Target="https://www.contratos.gov.co/consultas/detalleProceso.do?numConstancia=18-1-189158" TargetMode="External"/><Relationship Id="rId573" Type="http://schemas.openxmlformats.org/officeDocument/2006/relationships/hyperlink" Target="https://www.contratos.gov.co/consultas/detalleProceso.do?numConstancia=14-13-2650764" TargetMode="External"/><Relationship Id="rId780" Type="http://schemas.openxmlformats.org/officeDocument/2006/relationships/hyperlink" Target="https://www.contratos.gov.co/consultas/detalleProceso.do?numConstancia=15-12-3496928" TargetMode="External"/><Relationship Id="rId226" Type="http://schemas.openxmlformats.org/officeDocument/2006/relationships/hyperlink" Target="https://www.contratos.gov.co/consultas/detalleProceso.do?numConstancia=16-9-423133" TargetMode="External"/><Relationship Id="rId433" Type="http://schemas.openxmlformats.org/officeDocument/2006/relationships/hyperlink" Target="https://community.secop.gov.co/Public/Tendering/ContractNoticeManagement/Index?currentLanguage=es-CO&amp;Page=login&amp;Country=CO&amp;SkinName=CCE" TargetMode="External"/><Relationship Id="rId878" Type="http://schemas.openxmlformats.org/officeDocument/2006/relationships/hyperlink" Target="https://community.secop.gov.co/Public/Tendering/ContractNoticeManagement/Index?currentLanguage=es-CO&amp;Page=login&amp;Country=CO&amp;SkinName=CCE" TargetMode="External"/><Relationship Id="rId640" Type="http://schemas.openxmlformats.org/officeDocument/2006/relationships/hyperlink" Target="https://www.contratos.gov.co/consultas/detalleProceso.do?numConstancia=19-12-9589743" TargetMode="External"/><Relationship Id="rId738" Type="http://schemas.openxmlformats.org/officeDocument/2006/relationships/hyperlink" Target="https://www.contratos.gov.co/consultas/detalleProceso.do?numConstancia=14-9-390176" TargetMode="External"/><Relationship Id="rId945" Type="http://schemas.openxmlformats.org/officeDocument/2006/relationships/hyperlink" Target="https://community.secop.gov.co/Public/Tendering/ContractNoticeManagement/Index?currentLanguage=es-CO&amp;Page=login&amp;Country=CO&amp;SkinName=CCE" TargetMode="External"/><Relationship Id="rId74" Type="http://schemas.openxmlformats.org/officeDocument/2006/relationships/hyperlink" Target="https://www.contratos.gov.co/consultas/detalleProceso.do?numConstancia=15-12-4167747" TargetMode="External"/><Relationship Id="rId377" Type="http://schemas.openxmlformats.org/officeDocument/2006/relationships/hyperlink" Target="https://www.contratos.gov.co/consultas/detalleProceso.do?numConstancia=18-13-8070583" TargetMode="External"/><Relationship Id="rId500" Type="http://schemas.openxmlformats.org/officeDocument/2006/relationships/hyperlink" Target="https://www.contratos.gov.co/consultas/detalleProceso.do?numConstancia=14-12-2216784" TargetMode="External"/><Relationship Id="rId584" Type="http://schemas.openxmlformats.org/officeDocument/2006/relationships/hyperlink" Target="https://www.contratos.gov.co/consultas/detalleProceso.do?numConstancia=13-9-372547" TargetMode="External"/><Relationship Id="rId805" Type="http://schemas.openxmlformats.org/officeDocument/2006/relationships/hyperlink" Target="https://www.contratos.gov.co/consultas/detalleProceso.do?numConstancia=15-13-3589117" TargetMode="External"/><Relationship Id="rId5" Type="http://schemas.openxmlformats.org/officeDocument/2006/relationships/hyperlink" Target="https://www.contratos.gov.co/consultas/detalleProceso.do?numConstancia=15-12-3496763" TargetMode="External"/><Relationship Id="rId237" Type="http://schemas.openxmlformats.org/officeDocument/2006/relationships/hyperlink" Target="https://www.contratos.gov.co/consultas/detalleProceso.do?numConstancia=17-12-6194195" TargetMode="External"/><Relationship Id="rId791" Type="http://schemas.openxmlformats.org/officeDocument/2006/relationships/hyperlink" Target="https://www.contratos.gov.co/consultas/detalleProceso.do?numConstancia=15-13-3559466" TargetMode="External"/><Relationship Id="rId889" Type="http://schemas.openxmlformats.org/officeDocument/2006/relationships/hyperlink" Target="https://community.secop.gov.co/Public/Tendering/ContractNoticeManagement/Index?currentLanguage=es-CO&amp;Page=login&amp;Country=CO&amp;SkinName=CCE" TargetMode="External"/><Relationship Id="rId444" Type="http://schemas.openxmlformats.org/officeDocument/2006/relationships/hyperlink" Target="https://community.secop.gov.co/Public/Tendering/ContractNoticeManagement/Index?currentLanguage=es-CO&amp;Page=login&amp;Country=CO&amp;SkinName=CCE" TargetMode="External"/><Relationship Id="rId651" Type="http://schemas.openxmlformats.org/officeDocument/2006/relationships/hyperlink" Target="https://www.contratos.gov.co/consultas/detalleProceso.do?numConstancia=19-12-9683162" TargetMode="External"/><Relationship Id="rId749" Type="http://schemas.openxmlformats.org/officeDocument/2006/relationships/hyperlink" Target="https://www.contratos.gov.co/consultas/detalleProceso.do?numConstancia=14-1-125523" TargetMode="External"/><Relationship Id="rId290" Type="http://schemas.openxmlformats.org/officeDocument/2006/relationships/hyperlink" Target="https://www.contratos.gov.co/consultas/detalleProceso.do?numConstancia=17-12-6824719" TargetMode="External"/><Relationship Id="rId304" Type="http://schemas.openxmlformats.org/officeDocument/2006/relationships/hyperlink" Target="https://www.contratos.gov.co/consultas/detalleProceso.do?numConstancia=17-12-7082503" TargetMode="External"/><Relationship Id="rId388" Type="http://schemas.openxmlformats.org/officeDocument/2006/relationships/hyperlink" Target="https://www.contratos.gov.co/consultas/detalleProceso.do?numConstancia=12-13-1130169" TargetMode="External"/><Relationship Id="rId511" Type="http://schemas.openxmlformats.org/officeDocument/2006/relationships/hyperlink" Target="https://community.secop.gov.co/Public/Tendering/ContractNoticeManagement/Index?currentLanguage=es-CO&amp;Page=login&amp;Country=CO&amp;SkinName=CCE" TargetMode="External"/><Relationship Id="rId609" Type="http://schemas.openxmlformats.org/officeDocument/2006/relationships/hyperlink" Target="https://www.contratos.gov.co/consultas/detalleProceso.do?numConstancia=19-12-9392727" TargetMode="External"/><Relationship Id="rId956" Type="http://schemas.openxmlformats.org/officeDocument/2006/relationships/hyperlink" Target="https://community.secop.gov.co/Public/Tendering/ContractNoticeManagement/Index?currentLanguage=es-CO&amp;Page=login&amp;Country=CO&amp;SkinName=CCE" TargetMode="External"/><Relationship Id="rId85" Type="http://schemas.openxmlformats.org/officeDocument/2006/relationships/hyperlink" Target="https://www.contratos.gov.co/consultas/detalleProceso.do?numConstancia=15-1-143357" TargetMode="External"/><Relationship Id="rId150" Type="http://schemas.openxmlformats.org/officeDocument/2006/relationships/hyperlink" Target="https://www.contratos.gov.co/consultas/detalleProceso.do?numConstancia=16-17-5093557" TargetMode="External"/><Relationship Id="rId595" Type="http://schemas.openxmlformats.org/officeDocument/2006/relationships/hyperlink" Target="https://www.contratos.gov.co/consultas/detalleProceso.do?numConstancia=19-12-9250827" TargetMode="External"/><Relationship Id="rId816" Type="http://schemas.openxmlformats.org/officeDocument/2006/relationships/hyperlink" Target="https://community.secop.gov.co/Public/Tendering/ContractNoticeManagement/Index?currentLanguage=es-CO&amp;Page=login&amp;Country=CO&amp;SkinName=CCE" TargetMode="External"/><Relationship Id="rId248" Type="http://schemas.openxmlformats.org/officeDocument/2006/relationships/hyperlink" Target="https://www.contratos.gov.co/consultas/detalleProceso.do?numConstancia=17-12-6483045" TargetMode="External"/><Relationship Id="rId455" Type="http://schemas.openxmlformats.org/officeDocument/2006/relationships/hyperlink" Target="https://www.contratos.gov.co/consultas/detalleProceso.do?numConstancia=12-12-1168091" TargetMode="External"/><Relationship Id="rId662" Type="http://schemas.openxmlformats.org/officeDocument/2006/relationships/hyperlink" Target="https://community.secop.gov.co/Public/Tendering/ContractNoticeManagement/Index?currentLanguage=es-CO&amp;Page=login&amp;Country=CO&amp;SkinName=CCE" TargetMode="External"/><Relationship Id="rId12" Type="http://schemas.openxmlformats.org/officeDocument/2006/relationships/hyperlink" Target="https://www.contratos.gov.co/consultas/detalleProceso.do?numConstancia=15-12-3553134" TargetMode="External"/><Relationship Id="rId108" Type="http://schemas.openxmlformats.org/officeDocument/2006/relationships/hyperlink" Target="https://www.contratos.gov.co/consultas/detalleProceso.do?numConstancia=16-12-4901222" TargetMode="External"/><Relationship Id="rId315" Type="http://schemas.openxmlformats.org/officeDocument/2006/relationships/hyperlink" Target="https://www.contratos.gov.co/consultas/detalleProceso.do?numConstancia=17-13-7099002" TargetMode="External"/><Relationship Id="rId522" Type="http://schemas.openxmlformats.org/officeDocument/2006/relationships/hyperlink" Target="https://www.colombiacompra.gov.co/tienda-virtual-del-estado-colombiano/ordenes-compra/34346" TargetMode="External"/><Relationship Id="rId967" Type="http://schemas.openxmlformats.org/officeDocument/2006/relationships/hyperlink" Target="https://community.secop.gov.co/Public/Tendering/ContractNoticeManagement/Index?currentLanguage=es-CO&amp;Page=login&amp;Country=CO&amp;SkinName=CCE" TargetMode="External"/><Relationship Id="rId96" Type="http://schemas.openxmlformats.org/officeDocument/2006/relationships/hyperlink" Target="https://www.contratos.gov.co/consultas/detalleProceso.do?numConstancia=15-9-407682" TargetMode="External"/><Relationship Id="rId161" Type="http://schemas.openxmlformats.org/officeDocument/2006/relationships/hyperlink" Target="https://www.contratos.gov.co/consultas/detalleProceso.do?numConstancia=16-13-5318755" TargetMode="External"/><Relationship Id="rId399" Type="http://schemas.openxmlformats.org/officeDocument/2006/relationships/hyperlink" Target="https://www.contratos.gov.co/consultas/detalleProceso.do?numConstancia=18-13-8093396" TargetMode="External"/><Relationship Id="rId827" Type="http://schemas.openxmlformats.org/officeDocument/2006/relationships/hyperlink" Target="https://www.contratos.gov.co/consultas/detalleProceso.do?numConstancia=12-12-1148150" TargetMode="External"/><Relationship Id="rId259" Type="http://schemas.openxmlformats.org/officeDocument/2006/relationships/hyperlink" Target="https://www.contratos.gov.co/consultas/detalleProceso.do?numConstancia=17-12-6547356" TargetMode="External"/><Relationship Id="rId466" Type="http://schemas.openxmlformats.org/officeDocument/2006/relationships/hyperlink" Target="https://www.contratos.gov.co/consultas/detalleProceso.do?numConstancia=12-12-998350" TargetMode="External"/><Relationship Id="rId673" Type="http://schemas.openxmlformats.org/officeDocument/2006/relationships/hyperlink" Target="https://www.contratos.gov.co/consultas/detalleProceso.do?numConstancia=19-12-9768390" TargetMode="External"/><Relationship Id="rId880" Type="http://schemas.openxmlformats.org/officeDocument/2006/relationships/hyperlink" Target="https://community.secop.gov.co/Public/Tendering/ContractNoticeManagement/Index?currentLanguage=es-CO&amp;Page=login&amp;Country=CO&amp;SkinName=CCE" TargetMode="External"/><Relationship Id="rId23" Type="http://schemas.openxmlformats.org/officeDocument/2006/relationships/hyperlink" Target="https://www.contratos.gov.co/consultas/detalleProceso.do?numConstancia=15-12-3803469" TargetMode="External"/><Relationship Id="rId119" Type="http://schemas.openxmlformats.org/officeDocument/2006/relationships/hyperlink" Target="https://www.contratos.gov.co/consultas/detalleProceso.do?numConstancia=15-12-3384887" TargetMode="External"/><Relationship Id="rId326" Type="http://schemas.openxmlformats.org/officeDocument/2006/relationships/hyperlink" Target="https://www.contratos.gov.co/consultas/detalleProceso.do?numConstancia=17-12-7281404" TargetMode="External"/><Relationship Id="rId533" Type="http://schemas.openxmlformats.org/officeDocument/2006/relationships/hyperlink" Target="https://community.secop.gov.co/Public/Tendering/ContractNoticeManagement/Index?currentLanguage=es-CO&amp;Page=login&amp;Country=CO&amp;SkinName=CCE" TargetMode="External"/><Relationship Id="rId978" Type="http://schemas.openxmlformats.org/officeDocument/2006/relationships/hyperlink" Target="https://community.secop.gov.co/Public/Tendering/ContractNoticeManagement/Index?currentLanguage=es-CO&amp;Page=login&amp;Country=CO&amp;SkinName=CCEhttp://cbap1:7778/reports/rwservlet/getjobid353711?server=rep_cbap1_oracleas2" TargetMode="External"/><Relationship Id="rId740" Type="http://schemas.openxmlformats.org/officeDocument/2006/relationships/hyperlink" Target="https://www.contratos.gov.co/consultas/detalleProceso.do?numConstancia=14-13-3029035" TargetMode="External"/><Relationship Id="rId838" Type="http://schemas.openxmlformats.org/officeDocument/2006/relationships/hyperlink" Target="https://www.contratos.gov.co/consultas/detalleProceso.do?numConstancia=13-9-375755" TargetMode="External"/><Relationship Id="rId172" Type="http://schemas.openxmlformats.org/officeDocument/2006/relationships/hyperlink" Target="https://www.contratos.gov.co/consultas/detalleProceso.do?numConstancia=14-9-381045" TargetMode="External"/><Relationship Id="rId477" Type="http://schemas.openxmlformats.org/officeDocument/2006/relationships/hyperlink" Target="https://community.secop.gov.co/Public/Tendering/ContractNoticeManagement/Index?currentLanguage=es-CO&amp;Page=login&amp;Country=CO&amp;SkinName=CCE" TargetMode="External"/><Relationship Id="rId600" Type="http://schemas.openxmlformats.org/officeDocument/2006/relationships/hyperlink" Target="https://community.secop.gov.co/Public/Tendering/ContractNoticeManagement/Index?currentLanguage=es-CO&amp;Page=login&amp;Country=CO&amp;SkinName=CCE" TargetMode="External"/><Relationship Id="rId684" Type="http://schemas.openxmlformats.org/officeDocument/2006/relationships/hyperlink" Target="https://www.contratos.gov.co/consultas/detalleProceso.do?numConstancia=12-9-353226" TargetMode="External"/><Relationship Id="rId337" Type="http://schemas.openxmlformats.org/officeDocument/2006/relationships/hyperlink" Target="https://www.contratos.gov.co/consultas/detalleProceso.do?numConstancia=17-11-7188445" TargetMode="External"/><Relationship Id="rId891" Type="http://schemas.openxmlformats.org/officeDocument/2006/relationships/hyperlink" Target="https://community.secop.gov.co/Public/Tendering/ContractNoticeManagement/Index?currentLanguage=es-CO&amp;Page=login&amp;Country=CO&amp;SkinName=CCE" TargetMode="External"/><Relationship Id="rId905" Type="http://schemas.openxmlformats.org/officeDocument/2006/relationships/hyperlink" Target="https://community.secop.gov.co/Public/Tendering/ContractNoticeManagement/Index?currentLanguage=es-CO&amp;Page=login&amp;Country=CO&amp;SkinName=CCE" TargetMode="External"/><Relationship Id="rId989" Type="http://schemas.openxmlformats.org/officeDocument/2006/relationships/drawing" Target="../drawings/drawing5.xml"/><Relationship Id="rId34" Type="http://schemas.openxmlformats.org/officeDocument/2006/relationships/hyperlink" Target="https://www.contratos.gov.co/consultas/detalleProceso.do?numConstancia=15-12-3832380" TargetMode="External"/><Relationship Id="rId544" Type="http://schemas.openxmlformats.org/officeDocument/2006/relationships/hyperlink" Target="https://www.contratos.gov.co/consultas/detalleProceso.do?numConstancia=13-13-2073487" TargetMode="External"/><Relationship Id="rId751" Type="http://schemas.openxmlformats.org/officeDocument/2006/relationships/hyperlink" Target="https://www.contratos.gov.co/consultas/detalleProceso.do?numConstancia=14-11-3072875" TargetMode="External"/><Relationship Id="rId849" Type="http://schemas.openxmlformats.org/officeDocument/2006/relationships/hyperlink" Target="https://www.contratos.gov.co/consultas/detalleProceso.do?numConstancia=13-9-366954" TargetMode="External"/><Relationship Id="rId183" Type="http://schemas.openxmlformats.org/officeDocument/2006/relationships/hyperlink" Target="https://www.contratos.gov.co/consultas/detalleProceso.do?numConstancia=16-12-5551350" TargetMode="External"/><Relationship Id="rId390" Type="http://schemas.openxmlformats.org/officeDocument/2006/relationships/hyperlink" Target="https://www.contratos.gov.co/consultas/detalleProceso.do?numConstancia=13-4-2020585" TargetMode="External"/><Relationship Id="rId404" Type="http://schemas.openxmlformats.org/officeDocument/2006/relationships/hyperlink" Target="https://www.contratos.gov.co/consultas/detalleProceso.do?numConstancia=18-12-8175359" TargetMode="External"/><Relationship Id="rId611" Type="http://schemas.openxmlformats.org/officeDocument/2006/relationships/hyperlink" Target="https://www.contratos.gov.co/consultas/detalleProceso.do?numConstancia=19-12-9388618" TargetMode="External"/><Relationship Id="rId250" Type="http://schemas.openxmlformats.org/officeDocument/2006/relationships/hyperlink" Target="https://www.contratos.gov.co/consultas/detalleProceso.do?numConstancia=17-12-6510800" TargetMode="External"/><Relationship Id="rId488" Type="http://schemas.openxmlformats.org/officeDocument/2006/relationships/hyperlink" Target="https://community.secop.gov.co/Public/Tendering/ContractNoticeManagement/Index?currentLanguage=es-CO&amp;Page=login&amp;Country=CO&amp;SkinName=CCE" TargetMode="External"/><Relationship Id="rId695" Type="http://schemas.openxmlformats.org/officeDocument/2006/relationships/hyperlink" Target="https://www.contratos.gov.co/consultas/detalleProceso.do?numConstancia=11-9-315750" TargetMode="External"/><Relationship Id="rId709" Type="http://schemas.openxmlformats.org/officeDocument/2006/relationships/hyperlink" Target="https://community.secop.gov.co/Public/Tendering/ContractNoticeManagement/Index?currentLanguage=es-CO&amp;Page=login&amp;Country=CO&amp;SkinName=CCE" TargetMode="External"/><Relationship Id="rId916" Type="http://schemas.openxmlformats.org/officeDocument/2006/relationships/hyperlink" Target="https://www.colombiacompra.gov.co/tienda-virtual-del-estado-colombiano/ordenes-compra/49432" TargetMode="External"/><Relationship Id="rId45" Type="http://schemas.openxmlformats.org/officeDocument/2006/relationships/hyperlink" Target="http://www.contratos.gov.co/consultas/detalleProceso.do?numConstancia=15-12-3930966" TargetMode="External"/><Relationship Id="rId110" Type="http://schemas.openxmlformats.org/officeDocument/2006/relationships/hyperlink" Target="https://www.contratos.gov.co/consultas/detalleProceso.do?numConstancia=16-12-4955977" TargetMode="External"/><Relationship Id="rId348" Type="http://schemas.openxmlformats.org/officeDocument/2006/relationships/hyperlink" Target="https://www.contratos.gov.co/consultas/detalleProceso.do?numConstancia=18-12-7724174" TargetMode="External"/><Relationship Id="rId555" Type="http://schemas.openxmlformats.org/officeDocument/2006/relationships/hyperlink" Target="https://community.secop.gov.co/Public/Tendering/ContractNoticeManagement/Index?currentLanguage=es-CO&amp;Page=login&amp;Country=CO&amp;SkinName=CCE" TargetMode="External"/><Relationship Id="rId762" Type="http://schemas.openxmlformats.org/officeDocument/2006/relationships/hyperlink" Target="http://www.contratos.gov.co/consultas/detalleProceso.do?numConstancia=14-12-2772933" TargetMode="External"/><Relationship Id="rId194" Type="http://schemas.openxmlformats.org/officeDocument/2006/relationships/hyperlink" Target="https://www.contratos.gov.co/consultas/detalleProceso.do?numConstancia=14-13-2414130" TargetMode="External"/><Relationship Id="rId208" Type="http://schemas.openxmlformats.org/officeDocument/2006/relationships/hyperlink" Target="https://www.contratos.gov.co/consultas/detalleProceso.do?numConstancia=16-9-418888" TargetMode="External"/><Relationship Id="rId415" Type="http://schemas.openxmlformats.org/officeDocument/2006/relationships/hyperlink" Target="https://community.secop.gov.co/Public/Tendering/ContractNoticeManagement/Index?currentLanguage=es-CO&amp;Page=login&amp;Country=CO&amp;SkinName=CCE" TargetMode="External"/><Relationship Id="rId622" Type="http://schemas.openxmlformats.org/officeDocument/2006/relationships/hyperlink" Target="https://www.contratos.gov.co/consultas/detalleProceso.do?numConstancia=19-12-9457447" TargetMode="External"/><Relationship Id="rId261" Type="http://schemas.openxmlformats.org/officeDocument/2006/relationships/hyperlink" Target="https://www.colombiacompra.gov.co/tienda-virtual-del-estado-colombiano/orden-de-compra/14670" TargetMode="External"/><Relationship Id="rId499" Type="http://schemas.openxmlformats.org/officeDocument/2006/relationships/hyperlink" Target="https://www.colombiacompra.gov.co/tienda-virtual-del-estado-colombiano/ordenes-compra/32741" TargetMode="External"/><Relationship Id="rId927" Type="http://schemas.openxmlformats.org/officeDocument/2006/relationships/hyperlink" Target="https://community.secop.gov.co/Public/Tendering/ContractNoticeManagement/Index?currentLanguage=es-CO&amp;Page=login&amp;Country=CO&amp;SkinName=CCE" TargetMode="External"/><Relationship Id="rId56" Type="http://schemas.openxmlformats.org/officeDocument/2006/relationships/hyperlink" Target="https://www.contratos.gov.co/consultas/detalleProceso.do?numConstancia=15-11-3803468" TargetMode="External"/><Relationship Id="rId359" Type="http://schemas.openxmlformats.org/officeDocument/2006/relationships/hyperlink" Target="https://www.contratos.gov.co/consultas/detalleProceso.do?numConstancia=18-12-7765130" TargetMode="External"/><Relationship Id="rId566" Type="http://schemas.openxmlformats.org/officeDocument/2006/relationships/hyperlink" Target="https://www.contratos.gov.co/consultas/detalleProceso.do?numConstancia=14-9-393334" TargetMode="External"/><Relationship Id="rId773" Type="http://schemas.openxmlformats.org/officeDocument/2006/relationships/hyperlink" Target="https://www.contratos.gov.co/consultas/detalleProceso.do?numConstancia=14-13-2531321" TargetMode="External"/><Relationship Id="rId121" Type="http://schemas.openxmlformats.org/officeDocument/2006/relationships/hyperlink" Target="http://www.contratos.gov.co/consultas/detalleProceso.do?numConstancia=16-12-4907869" TargetMode="External"/><Relationship Id="rId219" Type="http://schemas.openxmlformats.org/officeDocument/2006/relationships/hyperlink" Target="https://www.contratos.gov.co/consultas/detalleProceso.do?numConstancia=16-13-5770732" TargetMode="External"/><Relationship Id="rId426" Type="http://schemas.openxmlformats.org/officeDocument/2006/relationships/hyperlink" Target="https://community.secop.gov.co/Public/Tendering/ContractNoticeManagement/Index?currentLanguage=es-CO&amp;Page=login&amp;Country=CO&amp;SkinName=CCE" TargetMode="External"/><Relationship Id="rId633" Type="http://schemas.openxmlformats.org/officeDocument/2006/relationships/hyperlink" Target="https://www.contratos.gov.co/consultas/detalleProceso.do?numConstancia=19-12-9544923" TargetMode="External"/><Relationship Id="rId980" Type="http://schemas.openxmlformats.org/officeDocument/2006/relationships/hyperlink" Target="https://community.secop.gov.co/Public/Tendering/ContractNoticeManagement/Index?currentLanguage=es-CO&amp;Page=login&amp;Country=CO&amp;SkinName=CCE" TargetMode="External"/><Relationship Id="rId840" Type="http://schemas.openxmlformats.org/officeDocument/2006/relationships/hyperlink" Target="https://www.contratos.gov.co/consultas/detalleProceso.do?numConstancia=13-13-2126729" TargetMode="External"/><Relationship Id="rId938" Type="http://schemas.openxmlformats.org/officeDocument/2006/relationships/hyperlink" Target="https://community.secop.gov.co/Public/Tendering/ContractNoticeManagement/Index?currentLanguage=es-CO&amp;Page=login&amp;Country=CO&amp;SkinName=CCE" TargetMode="External"/><Relationship Id="rId67" Type="http://schemas.openxmlformats.org/officeDocument/2006/relationships/hyperlink" Target="https://www.contratos.gov.co/consultas/detalleProceso.do?numConstancia=15-11-3876776" TargetMode="External"/><Relationship Id="rId272" Type="http://schemas.openxmlformats.org/officeDocument/2006/relationships/hyperlink" Target="https://www.contratos.gov.co/consultas/detalleProceso.do?numConstancia=17-12-6618075" TargetMode="External"/><Relationship Id="rId577" Type="http://schemas.openxmlformats.org/officeDocument/2006/relationships/hyperlink" Target="https://community.secop.gov.co/Public/Tendering/ContractNoticeManagement/Index?currentLanguage=es-CO&amp;Page=login&amp;Country=CO&amp;SkinName=CCE" TargetMode="External"/><Relationship Id="rId700" Type="http://schemas.openxmlformats.org/officeDocument/2006/relationships/hyperlink" Target="https://www.contratos.gov.co/consultas/detalleProceso.do?numConstancia=14-12-2314896" TargetMode="External"/><Relationship Id="rId132" Type="http://schemas.openxmlformats.org/officeDocument/2006/relationships/hyperlink" Target="http://www.contratos.gov.co/consultas/detalleProceso.do?numConstancia=16-12-5062610" TargetMode="External"/><Relationship Id="rId784" Type="http://schemas.openxmlformats.org/officeDocument/2006/relationships/hyperlink" Target="https://www.contratos.gov.co/consultas/detalleProceso.do?numConstancia=15-12-3487209" TargetMode="External"/><Relationship Id="rId991" Type="http://schemas.openxmlformats.org/officeDocument/2006/relationships/comments" Target="../comments1.xml"/><Relationship Id="rId437" Type="http://schemas.openxmlformats.org/officeDocument/2006/relationships/hyperlink" Target="https://community.secop.gov.co/Public/Tendering/ContractNoticeManagement/Index?currentLanguage=es-CO&amp;Page=login&amp;Country=CO&amp;SkinName=CCE" TargetMode="External"/><Relationship Id="rId644" Type="http://schemas.openxmlformats.org/officeDocument/2006/relationships/hyperlink" Target="https://community.secop.gov.co/Public/Tendering/ContractNoticeManagement/Index?currentLanguage=es-CO&amp;Page=login&amp;Country=CO&amp;SkinName=CCE" TargetMode="External"/><Relationship Id="rId851" Type="http://schemas.openxmlformats.org/officeDocument/2006/relationships/hyperlink" Target="https://www.contratos.gov.co/consultas/detalleProceso.do?numConstancia=13-17-1553276" TargetMode="External"/><Relationship Id="rId283" Type="http://schemas.openxmlformats.org/officeDocument/2006/relationships/hyperlink" Target="https://www.contratos.gov.co/consultas/detalleProceso.do?numConstancia=17-13-6673223" TargetMode="External"/><Relationship Id="rId490" Type="http://schemas.openxmlformats.org/officeDocument/2006/relationships/hyperlink" Target="https://www.colombiacompra.gov.co/tienda-virtual-del-estado-colombiano/ordenes-compra/6210" TargetMode="External"/><Relationship Id="rId504" Type="http://schemas.openxmlformats.org/officeDocument/2006/relationships/hyperlink" Target="https://www.contratos.gov.co/consultas/detalleProceso.do?numConstancia=12-13-1008055" TargetMode="External"/><Relationship Id="rId711" Type="http://schemas.openxmlformats.org/officeDocument/2006/relationships/hyperlink" Target="https://www.contratos.gov.co/consultas/detalleProceso.do?numConstancia=19-12-9997393" TargetMode="External"/><Relationship Id="rId949" Type="http://schemas.openxmlformats.org/officeDocument/2006/relationships/hyperlink" Target="https://community.secop.gov.co/Public/Tendering/ContractNoticeManagement/Index?currentLanguage=es-CO&amp;Page=login&amp;Country=CO&amp;SkinName=CCE" TargetMode="External"/><Relationship Id="rId78" Type="http://schemas.openxmlformats.org/officeDocument/2006/relationships/hyperlink" Target="https://www.contratos.gov.co/consultas/detalleProceso.do?numConstancia=15-12-4164130" TargetMode="External"/><Relationship Id="rId143" Type="http://schemas.openxmlformats.org/officeDocument/2006/relationships/hyperlink" Target="https://www.contratos.gov.co/consultas/detalleProceso.do?numConstancia=16-12-5232769" TargetMode="External"/><Relationship Id="rId350" Type="http://schemas.openxmlformats.org/officeDocument/2006/relationships/hyperlink" Target="https://www.contratos.gov.co/consultas/detalleProceso.do?numConstancia=18-12-7728244" TargetMode="External"/><Relationship Id="rId588" Type="http://schemas.openxmlformats.org/officeDocument/2006/relationships/hyperlink" Target="https://www.contratos.gov.co/consultas/detalleProceso.do?numConstancia=13-13-1884833" TargetMode="External"/><Relationship Id="rId795" Type="http://schemas.openxmlformats.org/officeDocument/2006/relationships/hyperlink" Target="https://www.contratos.gov.co/consultas/detalleProceso.do?numConstancia=15-12-3763103" TargetMode="External"/><Relationship Id="rId809" Type="http://schemas.openxmlformats.org/officeDocument/2006/relationships/hyperlink" Target="https://community.secop.gov.co/Public/Tendering/ContractNoticeManagement/Index?currentLanguage=es-CO&amp;Page=login&amp;Country=CO&amp;SkinName=CCE" TargetMode="External"/><Relationship Id="rId9" Type="http://schemas.openxmlformats.org/officeDocument/2006/relationships/hyperlink" Target="https://www.contratos.gov.co/consultas/detalleProceso.do?numConstancia=15-12-3496928" TargetMode="External"/><Relationship Id="rId210" Type="http://schemas.openxmlformats.org/officeDocument/2006/relationships/hyperlink" Target="https://www.contratos.gov.co/consultas/detalleProceso.do?numConstancia=16-13-5689362" TargetMode="External"/><Relationship Id="rId448" Type="http://schemas.openxmlformats.org/officeDocument/2006/relationships/hyperlink" Target="https://community.secop.gov.co/Public/Tendering/ContractNoticeManagement/Index?currentLanguage=es-CO&amp;Page=login&amp;Country=CO&amp;SkinName=CCE" TargetMode="External"/><Relationship Id="rId655" Type="http://schemas.openxmlformats.org/officeDocument/2006/relationships/hyperlink" Target="https://www.contratos.gov.co/consultas/detalleProceso.do?numConstancia=19-12-9695209" TargetMode="External"/><Relationship Id="rId862" Type="http://schemas.openxmlformats.org/officeDocument/2006/relationships/hyperlink" Target="https://www.contratos.gov.co/consultas/detalleProceso.do?numConstancia=14-12-2326243" TargetMode="External"/><Relationship Id="rId294" Type="http://schemas.openxmlformats.org/officeDocument/2006/relationships/hyperlink" Target="https://www.contratos.gov.co/consultas/detalleProceso.do?numConstancia=17-12-6943027" TargetMode="External"/><Relationship Id="rId308" Type="http://schemas.openxmlformats.org/officeDocument/2006/relationships/hyperlink" Target="https://www.contratos.gov.co/consultas/detalleProceso.do?numConstancia=17-11-6848708" TargetMode="External"/><Relationship Id="rId515" Type="http://schemas.openxmlformats.org/officeDocument/2006/relationships/hyperlink" Target="https://community.secop.gov.co/Public/Tendering/ContractNoticeManagement/Index?currentLanguage=es-CO&amp;Page=login&amp;Country=CO&amp;SkinName=CCE" TargetMode="External"/><Relationship Id="rId722" Type="http://schemas.openxmlformats.org/officeDocument/2006/relationships/hyperlink" Target="https://community.secop.gov.co/Public/Tendering/ContractNoticeManagement/Index?currentLanguage=es-CO&amp;Page=login&amp;Country=CO&amp;SkinName=CCE" TargetMode="External"/><Relationship Id="rId89" Type="http://schemas.openxmlformats.org/officeDocument/2006/relationships/hyperlink" Target="https://www.contratos.gov.co/consultas/detalleProceso.do?numConstancia=14-12-2892891" TargetMode="External"/><Relationship Id="rId154" Type="http://schemas.openxmlformats.org/officeDocument/2006/relationships/hyperlink" Target="https://www.contratos.gov.co/consultas/detalleProceso.do?numConstancia=16-13-5246991" TargetMode="External"/><Relationship Id="rId361" Type="http://schemas.openxmlformats.org/officeDocument/2006/relationships/hyperlink" Target="https://www.contratos.gov.co/consultas/detalleProceso.do?numConstancia=18-9-441338" TargetMode="External"/><Relationship Id="rId599" Type="http://schemas.openxmlformats.org/officeDocument/2006/relationships/hyperlink" Target="https://www.contratos.gov.co/consultas/detalleProceso.do?numConstancia=19-12-9301757" TargetMode="External"/><Relationship Id="rId459" Type="http://schemas.openxmlformats.org/officeDocument/2006/relationships/hyperlink" Target="https://www.colombiacompra.gov.co/tienda-virtual-del-estado-colombiano/ordenes-compra/31794" TargetMode="External"/><Relationship Id="rId666" Type="http://schemas.openxmlformats.org/officeDocument/2006/relationships/hyperlink" Target="https://community.secop.gov.co/Public/Tendering/ContractNoticeManagement/Index?currentLanguage=es-CO&amp;Page=login&amp;Country=CO&amp;SkinName=CCE" TargetMode="External"/><Relationship Id="rId873" Type="http://schemas.openxmlformats.org/officeDocument/2006/relationships/hyperlink" Target="https://www.contratos.gov.co/consultas/detalleProceso.do?numConstancia=14-12-2330572" TargetMode="External"/><Relationship Id="rId16" Type="http://schemas.openxmlformats.org/officeDocument/2006/relationships/hyperlink" Target="https://www.contratos.gov.co/consultas/detalleProceso.do?numConstancia=15-12-3730679" TargetMode="External"/><Relationship Id="rId221" Type="http://schemas.openxmlformats.org/officeDocument/2006/relationships/hyperlink" Target="https://www.contratos.gov.co/consultas/detalleProceso.do?numConstancia=16-9-421152" TargetMode="External"/><Relationship Id="rId319" Type="http://schemas.openxmlformats.org/officeDocument/2006/relationships/hyperlink" Target="https://www.contratos.gov.co/consultas/detalleProceso.do?numConstancia=17-13-7027260" TargetMode="External"/><Relationship Id="rId526" Type="http://schemas.openxmlformats.org/officeDocument/2006/relationships/hyperlink" Target="https://community.secop.gov.co/Public/Tendering/ContractNoticeManagement/Index?currentLanguage=es-CO&amp;Page=login&amp;Country=CO&amp;SkinName=CCE" TargetMode="External"/><Relationship Id="rId733" Type="http://schemas.openxmlformats.org/officeDocument/2006/relationships/hyperlink" Target="https://www.contratos.gov.co/consultas/detalleProceso.do?numConstancia=14-9-387988" TargetMode="External"/><Relationship Id="rId940" Type="http://schemas.openxmlformats.org/officeDocument/2006/relationships/hyperlink" Target="https://community.secop.gov.co/Public/Tendering/ContractNoticeManagement/Index?currentLanguage=es-CO&amp;Page=login&amp;Country=CO&amp;SkinName=CCE" TargetMode="External"/><Relationship Id="rId165" Type="http://schemas.openxmlformats.org/officeDocument/2006/relationships/hyperlink" Target="https://www.contratos.gov.co/consultas/detalleProceso.do?numConstancia=16-13-5373086" TargetMode="External"/><Relationship Id="rId372" Type="http://schemas.openxmlformats.org/officeDocument/2006/relationships/hyperlink" Target="https://www.contratos.gov.co/consultas/detalleProceso.do?numConstancia=13-13-1926674" TargetMode="External"/><Relationship Id="rId677" Type="http://schemas.openxmlformats.org/officeDocument/2006/relationships/hyperlink" Target="https://community.secop.gov.co/Public/Tendering/ContractNoticeManagement/Index?currentLanguage=es-CO&amp;Page=login&amp;Country=CO&amp;SkinName=CCE" TargetMode="External"/><Relationship Id="rId800" Type="http://schemas.openxmlformats.org/officeDocument/2006/relationships/hyperlink" Target="https://www.contratos.gov.co/consultas/detalleProceso.do?numConstancia=15-13-3639794"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W48"/>
  <sheetViews>
    <sheetView topLeftCell="F1" zoomScale="80" zoomScaleNormal="80" workbookViewId="0">
      <selection activeCell="S8" sqref="S8"/>
    </sheetView>
  </sheetViews>
  <sheetFormatPr baseColWidth="10" defaultColWidth="0" defaultRowHeight="14.4" zeroHeight="1" x14ac:dyDescent="0.3"/>
  <cols>
    <col min="1" max="1" width="3" customWidth="1"/>
    <col min="2" max="2" width="1.33203125" customWidth="1"/>
    <col min="3" max="3" width="13.5546875" customWidth="1"/>
    <col min="4" max="4" width="13" customWidth="1"/>
    <col min="5" max="5" width="1.5546875" customWidth="1"/>
    <col min="6" max="6" width="1.6640625" customWidth="1"/>
    <col min="7" max="7" width="10" customWidth="1"/>
    <col min="8" max="8" width="9.88671875" customWidth="1"/>
    <col min="9" max="10" width="10.109375" customWidth="1"/>
    <col min="11" max="11" width="10.33203125" customWidth="1"/>
    <col min="12" max="12" width="10.5546875" customWidth="1"/>
    <col min="13" max="13" width="10.33203125" customWidth="1"/>
    <col min="14" max="14" width="10" customWidth="1"/>
    <col min="15" max="16" width="1.44140625" customWidth="1"/>
    <col min="17" max="17" width="1.6640625" customWidth="1"/>
    <col min="18" max="18" width="17.33203125" customWidth="1"/>
    <col min="19" max="19" width="11.44140625" customWidth="1"/>
    <col min="20" max="20" width="1.44140625" customWidth="1"/>
    <col min="21" max="21" width="1.5546875" customWidth="1"/>
    <col min="22" max="22" width="3" customWidth="1"/>
    <col min="23" max="23" width="0" style="19" hidden="1" customWidth="1"/>
    <col min="24" max="16384" width="11.44140625" hidden="1"/>
  </cols>
  <sheetData>
    <row r="1" spans="1:22" customFormat="1" x14ac:dyDescent="0.3">
      <c r="A1" s="174"/>
      <c r="B1" s="174"/>
      <c r="C1" s="174"/>
      <c r="D1" s="174"/>
      <c r="E1" s="174"/>
      <c r="F1" s="174"/>
      <c r="G1" s="174"/>
      <c r="H1" s="174"/>
      <c r="I1" s="174"/>
      <c r="J1" s="174"/>
      <c r="K1" s="174"/>
      <c r="L1" s="174"/>
      <c r="M1" s="174"/>
      <c r="N1" s="174"/>
      <c r="O1" s="174"/>
      <c r="P1" s="174"/>
      <c r="Q1" s="174"/>
      <c r="R1" s="174"/>
      <c r="S1" s="174"/>
      <c r="T1" s="174"/>
      <c r="U1" s="174"/>
      <c r="V1" s="174"/>
    </row>
    <row r="2" spans="1:22" customFormat="1" ht="6.75" customHeight="1" x14ac:dyDescent="0.3">
      <c r="A2" s="174"/>
      <c r="B2" s="175"/>
      <c r="C2" s="175"/>
      <c r="D2" s="175"/>
      <c r="E2" s="175"/>
      <c r="F2" s="175"/>
      <c r="G2" s="175"/>
      <c r="H2" s="175"/>
      <c r="I2" s="175"/>
      <c r="J2" s="175"/>
      <c r="K2" s="175"/>
      <c r="L2" s="175"/>
      <c r="M2" s="175"/>
      <c r="N2" s="175"/>
      <c r="O2" s="175"/>
      <c r="P2" s="175"/>
      <c r="Q2" s="175"/>
      <c r="R2" s="175"/>
      <c r="S2" s="175"/>
      <c r="T2" s="175"/>
      <c r="U2" s="175"/>
      <c r="V2" s="174"/>
    </row>
    <row r="3" spans="1:22" customFormat="1" ht="15" thickBot="1" x14ac:dyDescent="0.35">
      <c r="A3" s="174"/>
      <c r="B3" s="175"/>
      <c r="C3" s="174"/>
      <c r="D3" s="174"/>
      <c r="E3" s="175"/>
      <c r="F3" s="174"/>
      <c r="G3" s="174"/>
      <c r="H3" s="174"/>
      <c r="I3" s="174"/>
      <c r="J3" s="174"/>
      <c r="K3" s="174"/>
      <c r="L3" s="174"/>
      <c r="M3" s="174"/>
      <c r="N3" s="174"/>
      <c r="O3" s="174"/>
      <c r="P3" s="175"/>
      <c r="Q3" s="174"/>
      <c r="R3" s="174"/>
      <c r="S3" s="174"/>
      <c r="T3" s="174"/>
      <c r="U3" s="175"/>
      <c r="V3" s="174"/>
    </row>
    <row r="4" spans="1:22" customFormat="1" ht="9" customHeight="1" thickTop="1" thickBot="1" x14ac:dyDescent="0.35">
      <c r="A4" s="174"/>
      <c r="B4" s="175"/>
      <c r="C4" s="174"/>
      <c r="D4" s="174"/>
      <c r="E4" s="175"/>
      <c r="F4" s="176"/>
      <c r="G4" s="1147" t="s">
        <v>411</v>
      </c>
      <c r="H4" s="1148"/>
      <c r="I4" s="1148"/>
      <c r="J4" s="1148"/>
      <c r="K4" s="1148"/>
      <c r="L4" s="1148"/>
      <c r="M4" s="1148"/>
      <c r="N4" s="1149"/>
      <c r="O4" s="174"/>
      <c r="P4" s="175"/>
      <c r="Q4" s="174"/>
      <c r="R4" s="177"/>
      <c r="S4" s="177"/>
      <c r="T4" s="174"/>
      <c r="U4" s="175"/>
      <c r="V4" s="174"/>
    </row>
    <row r="5" spans="1:22" customFormat="1" ht="15.6" thickTop="1" thickBot="1" x14ac:dyDescent="0.35">
      <c r="A5" s="174"/>
      <c r="B5" s="175"/>
      <c r="C5" s="174"/>
      <c r="D5" s="174"/>
      <c r="E5" s="175"/>
      <c r="F5" s="176"/>
      <c r="G5" s="1150"/>
      <c r="H5" s="1151"/>
      <c r="I5" s="1151"/>
      <c r="J5" s="1151"/>
      <c r="K5" s="1151"/>
      <c r="L5" s="1151"/>
      <c r="M5" s="1151"/>
      <c r="N5" s="1152"/>
      <c r="O5" s="174"/>
      <c r="P5" s="175"/>
      <c r="Q5" s="176"/>
      <c r="R5" s="178" t="s">
        <v>407</v>
      </c>
      <c r="S5" s="179">
        <f ca="1">TODAY()</f>
        <v>44228</v>
      </c>
      <c r="T5" s="174"/>
      <c r="U5" s="175"/>
      <c r="V5" s="174"/>
    </row>
    <row r="6" spans="1:22" customFormat="1" ht="15" thickTop="1" x14ac:dyDescent="0.3">
      <c r="A6" s="174"/>
      <c r="B6" s="175"/>
      <c r="C6" s="174"/>
      <c r="D6" s="174"/>
      <c r="E6" s="175"/>
      <c r="F6" s="176"/>
      <c r="G6" s="1150"/>
      <c r="H6" s="1151"/>
      <c r="I6" s="1151"/>
      <c r="J6" s="1151"/>
      <c r="K6" s="1151"/>
      <c r="L6" s="1151"/>
      <c r="M6" s="1151"/>
      <c r="N6" s="1152"/>
      <c r="O6" s="174"/>
      <c r="P6" s="175"/>
      <c r="Q6" s="176"/>
      <c r="R6" s="1142" t="s">
        <v>408</v>
      </c>
      <c r="S6" s="1144">
        <v>44221</v>
      </c>
      <c r="T6" s="174"/>
      <c r="U6" s="175"/>
      <c r="V6" s="174"/>
    </row>
    <row r="7" spans="1:22" customFormat="1" ht="15" thickBot="1" x14ac:dyDescent="0.35">
      <c r="A7" s="174"/>
      <c r="B7" s="175"/>
      <c r="C7" s="174"/>
      <c r="D7" s="174"/>
      <c r="E7" s="175"/>
      <c r="F7" s="176"/>
      <c r="G7" s="1150" t="s">
        <v>412</v>
      </c>
      <c r="H7" s="1151"/>
      <c r="I7" s="1151"/>
      <c r="J7" s="1151"/>
      <c r="K7" s="1151"/>
      <c r="L7" s="1151"/>
      <c r="M7" s="1151"/>
      <c r="N7" s="1152"/>
      <c r="O7" s="174"/>
      <c r="P7" s="175"/>
      <c r="Q7" s="176"/>
      <c r="R7" s="1143"/>
      <c r="S7" s="1145"/>
      <c r="T7" s="174"/>
      <c r="U7" s="175"/>
      <c r="V7" s="174"/>
    </row>
    <row r="8" spans="1:22" customFormat="1" ht="15.6" thickTop="1" thickBot="1" x14ac:dyDescent="0.35">
      <c r="A8" s="174"/>
      <c r="B8" s="175"/>
      <c r="C8" s="174"/>
      <c r="D8" s="174"/>
      <c r="E8" s="175"/>
      <c r="F8" s="176"/>
      <c r="G8" s="1150"/>
      <c r="H8" s="1151"/>
      <c r="I8" s="1151"/>
      <c r="J8" s="1151"/>
      <c r="K8" s="1151"/>
      <c r="L8" s="1151"/>
      <c r="M8" s="1151"/>
      <c r="N8" s="1152"/>
      <c r="O8" s="174"/>
      <c r="P8" s="175"/>
      <c r="Q8" s="176"/>
      <c r="R8" s="178" t="s">
        <v>409</v>
      </c>
      <c r="S8" s="180">
        <f ca="1">S5-S6</f>
        <v>7</v>
      </c>
      <c r="T8" s="174"/>
      <c r="U8" s="175"/>
      <c r="V8" s="174"/>
    </row>
    <row r="9" spans="1:22" customFormat="1" ht="8.25" customHeight="1" thickTop="1" x14ac:dyDescent="0.3">
      <c r="A9" s="174"/>
      <c r="B9" s="175"/>
      <c r="C9" s="174"/>
      <c r="D9" s="174"/>
      <c r="E9" s="175"/>
      <c r="F9" s="176"/>
      <c r="G9" s="1150"/>
      <c r="H9" s="1151"/>
      <c r="I9" s="1151"/>
      <c r="J9" s="1151"/>
      <c r="K9" s="1151"/>
      <c r="L9" s="1151"/>
      <c r="M9" s="1151"/>
      <c r="N9" s="1152"/>
      <c r="O9" s="174"/>
      <c r="P9" s="175"/>
      <c r="Q9" s="174"/>
      <c r="R9" s="174"/>
      <c r="S9" s="174"/>
      <c r="T9" s="174"/>
      <c r="U9" s="175"/>
      <c r="V9" s="174"/>
    </row>
    <row r="10" spans="1:22" customFormat="1" ht="6.75" customHeight="1" thickBot="1" x14ac:dyDescent="0.35">
      <c r="A10" s="174"/>
      <c r="B10" s="175"/>
      <c r="C10" s="175"/>
      <c r="D10" s="175"/>
      <c r="E10" s="175"/>
      <c r="F10" s="176"/>
      <c r="G10" s="1153"/>
      <c r="H10" s="1154"/>
      <c r="I10" s="1154"/>
      <c r="J10" s="1154"/>
      <c r="K10" s="1154"/>
      <c r="L10" s="1154"/>
      <c r="M10" s="1154"/>
      <c r="N10" s="1155"/>
      <c r="O10" s="174"/>
      <c r="P10" s="175"/>
      <c r="Q10" s="174"/>
      <c r="R10" s="174"/>
      <c r="S10" s="174"/>
      <c r="T10" s="174"/>
      <c r="U10" s="175"/>
      <c r="V10" s="174"/>
    </row>
    <row r="11" spans="1:22" customFormat="1" ht="16.2" thickTop="1" x14ac:dyDescent="0.3">
      <c r="A11" s="174"/>
      <c r="B11" s="175"/>
      <c r="C11" s="1141" t="s">
        <v>406</v>
      </c>
      <c r="D11" s="1141"/>
      <c r="E11" s="175"/>
      <c r="F11" s="174"/>
      <c r="G11" s="174"/>
      <c r="H11" s="174"/>
      <c r="I11" s="174"/>
      <c r="J11" s="174"/>
      <c r="K11" s="174"/>
      <c r="L11" s="174"/>
      <c r="M11" s="174"/>
      <c r="N11" s="174"/>
      <c r="O11" s="174"/>
      <c r="P11" s="175"/>
      <c r="Q11" s="174"/>
      <c r="R11" s="174"/>
      <c r="S11" s="174"/>
      <c r="T11" s="174"/>
      <c r="U11" s="175"/>
      <c r="V11" s="174"/>
    </row>
    <row r="12" spans="1:22" customFormat="1" ht="6.75" customHeight="1" x14ac:dyDescent="0.3">
      <c r="A12" s="174"/>
      <c r="B12" s="175"/>
      <c r="C12" s="175"/>
      <c r="D12" s="175"/>
      <c r="E12" s="175"/>
      <c r="F12" s="175"/>
      <c r="G12" s="175"/>
      <c r="H12" s="175"/>
      <c r="I12" s="175"/>
      <c r="J12" s="175"/>
      <c r="K12" s="175"/>
      <c r="L12" s="175"/>
      <c r="M12" s="175"/>
      <c r="N12" s="175"/>
      <c r="O12" s="175"/>
      <c r="P12" s="175"/>
      <c r="Q12" s="175"/>
      <c r="R12" s="175"/>
      <c r="S12" s="175"/>
      <c r="T12" s="175"/>
      <c r="U12" s="175"/>
      <c r="V12" s="174"/>
    </row>
    <row r="13" spans="1:22" customFormat="1" x14ac:dyDescent="0.3">
      <c r="A13" s="174"/>
      <c r="B13" s="174"/>
      <c r="C13" s="174"/>
      <c r="D13" s="174"/>
      <c r="E13" s="174"/>
      <c r="F13" s="174"/>
      <c r="G13" s="174"/>
      <c r="H13" s="174"/>
      <c r="I13" s="174"/>
      <c r="J13" s="174"/>
      <c r="K13" s="174"/>
      <c r="L13" s="174"/>
      <c r="M13" s="174"/>
      <c r="N13" s="174"/>
      <c r="O13" s="174"/>
      <c r="P13" s="174"/>
      <c r="Q13" s="174"/>
      <c r="R13" s="174"/>
      <c r="S13" s="174"/>
      <c r="T13" s="174"/>
      <c r="U13" s="174"/>
      <c r="V13" s="174"/>
    </row>
    <row r="14" spans="1:22" customFormat="1" ht="6.75" customHeight="1" x14ac:dyDescent="0.3">
      <c r="A14" s="174"/>
      <c r="B14" s="175"/>
      <c r="C14" s="175"/>
      <c r="D14" s="175"/>
      <c r="E14" s="175"/>
      <c r="F14" s="175"/>
      <c r="G14" s="175"/>
      <c r="H14" s="175"/>
      <c r="I14" s="175"/>
      <c r="J14" s="175"/>
      <c r="K14" s="175"/>
      <c r="L14" s="175"/>
      <c r="M14" s="175"/>
      <c r="N14" s="175"/>
      <c r="O14" s="175"/>
      <c r="P14" s="175"/>
      <c r="Q14" s="175"/>
      <c r="R14" s="175"/>
      <c r="S14" s="175"/>
      <c r="T14" s="175"/>
      <c r="U14" s="175"/>
      <c r="V14" s="174"/>
    </row>
    <row r="15" spans="1:22" customFormat="1" ht="21" x14ac:dyDescent="0.3">
      <c r="A15" s="174"/>
      <c r="B15" s="175"/>
      <c r="C15" s="1146" t="s">
        <v>410</v>
      </c>
      <c r="D15" s="1146"/>
      <c r="E15" s="1146"/>
      <c r="F15" s="1146"/>
      <c r="G15" s="1146"/>
      <c r="H15" s="1146"/>
      <c r="I15" s="1146"/>
      <c r="J15" s="1146"/>
      <c r="K15" s="1146"/>
      <c r="L15" s="1146"/>
      <c r="M15" s="1146"/>
      <c r="N15" s="1146"/>
      <c r="O15" s="1146"/>
      <c r="P15" s="1146"/>
      <c r="Q15" s="1146"/>
      <c r="R15" s="1146"/>
      <c r="S15" s="1146"/>
      <c r="T15" s="1146"/>
      <c r="U15" s="175"/>
      <c r="V15" s="174"/>
    </row>
    <row r="16" spans="1:22" customFormat="1" ht="6.75" customHeight="1" x14ac:dyDescent="0.3">
      <c r="A16" s="174"/>
      <c r="B16" s="175"/>
      <c r="C16" s="175"/>
      <c r="D16" s="175"/>
      <c r="E16" s="175"/>
      <c r="F16" s="175"/>
      <c r="G16" s="175"/>
      <c r="H16" s="175"/>
      <c r="I16" s="175"/>
      <c r="J16" s="175"/>
      <c r="K16" s="175"/>
      <c r="L16" s="175"/>
      <c r="M16" s="175"/>
      <c r="N16" s="175"/>
      <c r="O16" s="175"/>
      <c r="P16" s="175"/>
      <c r="Q16" s="175"/>
      <c r="R16" s="175"/>
      <c r="S16" s="175"/>
      <c r="T16" s="175"/>
      <c r="U16" s="175"/>
      <c r="V16" s="174"/>
    </row>
    <row r="17" spans="1:22" customFormat="1" x14ac:dyDescent="0.3">
      <c r="A17" s="174"/>
      <c r="B17" s="175"/>
      <c r="C17" s="174"/>
      <c r="D17" s="174"/>
      <c r="E17" s="174"/>
      <c r="F17" s="174"/>
      <c r="G17" s="174"/>
      <c r="H17" s="174"/>
      <c r="I17" s="174"/>
      <c r="J17" s="174"/>
      <c r="K17" s="174"/>
      <c r="L17" s="174"/>
      <c r="M17" s="174"/>
      <c r="N17" s="174"/>
      <c r="O17" s="174"/>
      <c r="P17" s="174"/>
      <c r="Q17" s="174"/>
      <c r="R17" s="174"/>
      <c r="S17" s="174"/>
      <c r="T17" s="174"/>
      <c r="U17" s="175"/>
      <c r="V17" s="174"/>
    </row>
    <row r="18" spans="1:22" customFormat="1" x14ac:dyDescent="0.3">
      <c r="A18" s="174"/>
      <c r="B18" s="175"/>
      <c r="C18" s="174"/>
      <c r="D18" s="174"/>
      <c r="E18" s="174"/>
      <c r="F18" s="174"/>
      <c r="G18" s="174"/>
      <c r="H18" s="174"/>
      <c r="I18" s="174"/>
      <c r="J18" s="174"/>
      <c r="K18" s="174"/>
      <c r="L18" s="174"/>
      <c r="M18" s="174"/>
      <c r="N18" s="174"/>
      <c r="O18" s="174"/>
      <c r="P18" s="174"/>
      <c r="Q18" s="174"/>
      <c r="R18" s="174"/>
      <c r="S18" s="174"/>
      <c r="T18" s="174"/>
      <c r="U18" s="175"/>
      <c r="V18" s="174"/>
    </row>
    <row r="19" spans="1:22" customFormat="1" x14ac:dyDescent="0.3">
      <c r="A19" s="174"/>
      <c r="B19" s="175"/>
      <c r="C19" s="174"/>
      <c r="D19" s="174"/>
      <c r="E19" s="174"/>
      <c r="F19" s="174"/>
      <c r="G19" s="174"/>
      <c r="H19" s="174"/>
      <c r="I19" s="174"/>
      <c r="J19" s="174"/>
      <c r="K19" s="174"/>
      <c r="L19" s="174"/>
      <c r="M19" s="174"/>
      <c r="N19" s="174"/>
      <c r="O19" s="174"/>
      <c r="P19" s="174"/>
      <c r="Q19" s="174"/>
      <c r="R19" s="174"/>
      <c r="S19" s="174"/>
      <c r="T19" s="174"/>
      <c r="U19" s="175"/>
      <c r="V19" s="174"/>
    </row>
    <row r="20" spans="1:22" customFormat="1" x14ac:dyDescent="0.3">
      <c r="A20" s="174"/>
      <c r="B20" s="175"/>
      <c r="C20" s="174"/>
      <c r="D20" s="174"/>
      <c r="E20" s="174"/>
      <c r="F20" s="174"/>
      <c r="G20" s="174"/>
      <c r="H20" s="174"/>
      <c r="I20" s="174"/>
      <c r="J20" s="174"/>
      <c r="K20" s="174"/>
      <c r="L20" s="174"/>
      <c r="M20" s="174"/>
      <c r="N20" s="174"/>
      <c r="O20" s="174"/>
      <c r="P20" s="174"/>
      <c r="Q20" s="174"/>
      <c r="R20" s="174"/>
      <c r="S20" s="174"/>
      <c r="T20" s="174"/>
      <c r="U20" s="175"/>
      <c r="V20" s="174"/>
    </row>
    <row r="21" spans="1:22" customFormat="1" x14ac:dyDescent="0.3">
      <c r="A21" s="174"/>
      <c r="B21" s="175"/>
      <c r="C21" s="174"/>
      <c r="D21" s="174"/>
      <c r="E21" s="174"/>
      <c r="F21" s="174"/>
      <c r="G21" s="174"/>
      <c r="H21" s="174"/>
      <c r="I21" s="174"/>
      <c r="J21" s="174"/>
      <c r="K21" s="174"/>
      <c r="L21" s="174"/>
      <c r="M21" s="174"/>
      <c r="N21" s="174"/>
      <c r="O21" s="174"/>
      <c r="P21" s="174"/>
      <c r="Q21" s="174"/>
      <c r="R21" s="174"/>
      <c r="S21" s="174"/>
      <c r="T21" s="174"/>
      <c r="U21" s="175"/>
      <c r="V21" s="174"/>
    </row>
    <row r="22" spans="1:22" customFormat="1" x14ac:dyDescent="0.3">
      <c r="A22" s="174"/>
      <c r="B22" s="175"/>
      <c r="C22" s="174"/>
      <c r="D22" s="174"/>
      <c r="E22" s="174"/>
      <c r="F22" s="174"/>
      <c r="G22" s="174"/>
      <c r="H22" s="174"/>
      <c r="I22" s="174"/>
      <c r="J22" s="174"/>
      <c r="K22" s="174"/>
      <c r="L22" s="174"/>
      <c r="M22" s="174"/>
      <c r="N22" s="174"/>
      <c r="O22" s="174"/>
      <c r="P22" s="174"/>
      <c r="Q22" s="174"/>
      <c r="R22" s="174"/>
      <c r="S22" s="174"/>
      <c r="T22" s="174"/>
      <c r="U22" s="175"/>
      <c r="V22" s="174"/>
    </row>
    <row r="23" spans="1:22" customFormat="1" x14ac:dyDescent="0.3">
      <c r="A23" s="174"/>
      <c r="B23" s="175"/>
      <c r="C23" s="174"/>
      <c r="D23" s="174"/>
      <c r="E23" s="174"/>
      <c r="F23" s="174"/>
      <c r="G23" s="174"/>
      <c r="H23" s="174"/>
      <c r="I23" s="174"/>
      <c r="J23" s="174"/>
      <c r="K23" s="174"/>
      <c r="L23" s="174"/>
      <c r="M23" s="174"/>
      <c r="N23" s="174"/>
      <c r="O23" s="174"/>
      <c r="P23" s="174"/>
      <c r="Q23" s="174"/>
      <c r="R23" s="174"/>
      <c r="S23" s="174"/>
      <c r="T23" s="174"/>
      <c r="U23" s="175"/>
      <c r="V23" s="174"/>
    </row>
    <row r="24" spans="1:22" customFormat="1" x14ac:dyDescent="0.3">
      <c r="A24" s="174"/>
      <c r="B24" s="175"/>
      <c r="C24" s="174"/>
      <c r="D24" s="174"/>
      <c r="E24" s="174"/>
      <c r="F24" s="174"/>
      <c r="G24" s="174"/>
      <c r="H24" s="174"/>
      <c r="I24" s="174"/>
      <c r="J24" s="174"/>
      <c r="K24" s="174"/>
      <c r="L24" s="174"/>
      <c r="M24" s="174"/>
      <c r="N24" s="174"/>
      <c r="O24" s="174"/>
      <c r="P24" s="174"/>
      <c r="Q24" s="174"/>
      <c r="R24" s="174"/>
      <c r="S24" s="174"/>
      <c r="T24" s="174"/>
      <c r="U24" s="175"/>
      <c r="V24" s="174"/>
    </row>
    <row r="25" spans="1:22" customFormat="1" x14ac:dyDescent="0.3">
      <c r="A25" s="174"/>
      <c r="B25" s="175"/>
      <c r="C25" s="174"/>
      <c r="D25" s="174"/>
      <c r="E25" s="174"/>
      <c r="F25" s="174"/>
      <c r="G25" s="174"/>
      <c r="H25" s="174"/>
      <c r="I25" s="174"/>
      <c r="J25" s="174"/>
      <c r="K25" s="174"/>
      <c r="L25" s="174"/>
      <c r="M25" s="174"/>
      <c r="N25" s="174"/>
      <c r="O25" s="174"/>
      <c r="P25" s="174"/>
      <c r="Q25" s="174"/>
      <c r="R25" s="174"/>
      <c r="S25" s="174"/>
      <c r="T25" s="174"/>
      <c r="U25" s="175"/>
      <c r="V25" s="174"/>
    </row>
    <row r="26" spans="1:22" customFormat="1" x14ac:dyDescent="0.3">
      <c r="A26" s="174"/>
      <c r="B26" s="175"/>
      <c r="C26" s="174"/>
      <c r="D26" s="174"/>
      <c r="E26" s="174"/>
      <c r="F26" s="174"/>
      <c r="G26" s="174"/>
      <c r="H26" s="174"/>
      <c r="I26" s="174"/>
      <c r="J26" s="174"/>
      <c r="K26" s="174"/>
      <c r="L26" s="174"/>
      <c r="M26" s="174"/>
      <c r="N26" s="174"/>
      <c r="O26" s="174"/>
      <c r="P26" s="174"/>
      <c r="Q26" s="174"/>
      <c r="R26" s="174"/>
      <c r="S26" s="174"/>
      <c r="T26" s="174"/>
      <c r="U26" s="175"/>
      <c r="V26" s="174"/>
    </row>
    <row r="27" spans="1:22" customFormat="1" x14ac:dyDescent="0.3">
      <c r="A27" s="174"/>
      <c r="B27" s="175"/>
      <c r="C27" s="174"/>
      <c r="D27" s="174"/>
      <c r="E27" s="174"/>
      <c r="F27" s="174"/>
      <c r="G27" s="174"/>
      <c r="H27" s="174"/>
      <c r="I27" s="174"/>
      <c r="J27" s="174"/>
      <c r="K27" s="174"/>
      <c r="L27" s="174"/>
      <c r="M27" s="174"/>
      <c r="N27" s="174"/>
      <c r="O27" s="174"/>
      <c r="P27" s="174"/>
      <c r="Q27" s="174"/>
      <c r="R27" s="174"/>
      <c r="S27" s="174"/>
      <c r="T27" s="174"/>
      <c r="U27" s="175"/>
      <c r="V27" s="174"/>
    </row>
    <row r="28" spans="1:22" customFormat="1" x14ac:dyDescent="0.3">
      <c r="A28" s="174"/>
      <c r="B28" s="175"/>
      <c r="C28" s="174"/>
      <c r="D28" s="174"/>
      <c r="E28" s="174"/>
      <c r="F28" s="174"/>
      <c r="G28" s="174"/>
      <c r="H28" s="174"/>
      <c r="I28" s="174"/>
      <c r="J28" s="174"/>
      <c r="K28" s="174"/>
      <c r="L28" s="174"/>
      <c r="M28" s="174"/>
      <c r="N28" s="174"/>
      <c r="O28" s="174"/>
      <c r="P28" s="174"/>
      <c r="Q28" s="174"/>
      <c r="R28" s="174"/>
      <c r="S28" s="174"/>
      <c r="T28" s="174"/>
      <c r="U28" s="175"/>
      <c r="V28" s="174"/>
    </row>
    <row r="29" spans="1:22" customFormat="1" x14ac:dyDescent="0.3">
      <c r="A29" s="174"/>
      <c r="B29" s="175"/>
      <c r="C29" s="174"/>
      <c r="D29" s="174"/>
      <c r="E29" s="174"/>
      <c r="F29" s="174"/>
      <c r="G29" s="174"/>
      <c r="H29" s="174"/>
      <c r="I29" s="174"/>
      <c r="J29" s="174"/>
      <c r="K29" s="174"/>
      <c r="L29" s="174"/>
      <c r="M29" s="174"/>
      <c r="N29" s="174"/>
      <c r="O29" s="174"/>
      <c r="P29" s="174"/>
      <c r="Q29" s="174"/>
      <c r="R29" s="174"/>
      <c r="S29" s="174"/>
      <c r="T29" s="174"/>
      <c r="U29" s="175"/>
      <c r="V29" s="174"/>
    </row>
    <row r="30" spans="1:22" customFormat="1" x14ac:dyDescent="0.3">
      <c r="A30" s="174"/>
      <c r="B30" s="175"/>
      <c r="C30" s="174"/>
      <c r="D30" s="174"/>
      <c r="E30" s="174"/>
      <c r="F30" s="174"/>
      <c r="G30" s="174"/>
      <c r="H30" s="174"/>
      <c r="I30" s="174"/>
      <c r="J30" s="174"/>
      <c r="K30" s="174"/>
      <c r="L30" s="174"/>
      <c r="M30" s="174"/>
      <c r="N30" s="174"/>
      <c r="O30" s="174"/>
      <c r="P30" s="174"/>
      <c r="Q30" s="174"/>
      <c r="R30" s="174"/>
      <c r="S30" s="174"/>
      <c r="T30" s="174"/>
      <c r="U30" s="175"/>
      <c r="V30" s="174"/>
    </row>
    <row r="31" spans="1:22" customFormat="1" x14ac:dyDescent="0.3">
      <c r="A31" s="174"/>
      <c r="B31" s="175"/>
      <c r="C31" s="174"/>
      <c r="D31" s="174"/>
      <c r="E31" s="174"/>
      <c r="F31" s="174"/>
      <c r="G31" s="174"/>
      <c r="H31" s="174"/>
      <c r="I31" s="174"/>
      <c r="J31" s="174"/>
      <c r="K31" s="174"/>
      <c r="L31" s="174"/>
      <c r="M31" s="174"/>
      <c r="N31" s="174"/>
      <c r="O31" s="174"/>
      <c r="P31" s="174"/>
      <c r="Q31" s="174"/>
      <c r="R31" s="174"/>
      <c r="S31" s="174"/>
      <c r="T31" s="174"/>
      <c r="U31" s="175"/>
      <c r="V31" s="174"/>
    </row>
    <row r="32" spans="1:22" customFormat="1" x14ac:dyDescent="0.3">
      <c r="A32" s="174"/>
      <c r="B32" s="175"/>
      <c r="C32" s="174"/>
      <c r="D32" s="174"/>
      <c r="E32" s="174"/>
      <c r="F32" s="174"/>
      <c r="G32" s="174"/>
      <c r="H32" s="174"/>
      <c r="I32" s="174"/>
      <c r="J32" s="174"/>
      <c r="K32" s="174"/>
      <c r="L32" s="174"/>
      <c r="M32" s="174"/>
      <c r="N32" s="174"/>
      <c r="O32" s="174"/>
      <c r="P32" s="174"/>
      <c r="Q32" s="174"/>
      <c r="R32" s="174"/>
      <c r="S32" s="174"/>
      <c r="T32" s="174"/>
      <c r="U32" s="175"/>
      <c r="V32" s="174"/>
    </row>
    <row r="33" spans="1:22" customFormat="1" x14ac:dyDescent="0.3">
      <c r="A33" s="174"/>
      <c r="B33" s="175"/>
      <c r="C33" s="174"/>
      <c r="D33" s="174"/>
      <c r="E33" s="174"/>
      <c r="F33" s="174"/>
      <c r="G33" s="174"/>
      <c r="H33" s="174"/>
      <c r="I33" s="174"/>
      <c r="J33" s="174"/>
      <c r="K33" s="174"/>
      <c r="L33" s="174"/>
      <c r="M33" s="174"/>
      <c r="N33" s="174"/>
      <c r="O33" s="174"/>
      <c r="P33" s="174"/>
      <c r="Q33" s="174"/>
      <c r="R33" s="174"/>
      <c r="S33" s="174"/>
      <c r="T33" s="174"/>
      <c r="U33" s="175"/>
      <c r="V33" s="174"/>
    </row>
    <row r="34" spans="1:22" customFormat="1" x14ac:dyDescent="0.3">
      <c r="A34" s="174"/>
      <c r="B34" s="175"/>
      <c r="C34" s="174"/>
      <c r="D34" s="174"/>
      <c r="E34" s="174"/>
      <c r="F34" s="174"/>
      <c r="G34" s="174"/>
      <c r="H34" s="174"/>
      <c r="I34" s="174"/>
      <c r="J34" s="174"/>
      <c r="K34" s="174"/>
      <c r="L34" s="174"/>
      <c r="M34" s="174"/>
      <c r="N34" s="174"/>
      <c r="O34" s="174"/>
      <c r="P34" s="174"/>
      <c r="Q34" s="174"/>
      <c r="R34" s="174"/>
      <c r="S34" s="174"/>
      <c r="T34" s="174"/>
      <c r="U34" s="175"/>
      <c r="V34" s="174"/>
    </row>
    <row r="35" spans="1:22" customFormat="1" x14ac:dyDescent="0.3">
      <c r="A35" s="174"/>
      <c r="B35" s="175"/>
      <c r="C35" s="174"/>
      <c r="D35" s="174"/>
      <c r="E35" s="174"/>
      <c r="F35" s="174"/>
      <c r="G35" s="174"/>
      <c r="H35" s="174"/>
      <c r="I35" s="174"/>
      <c r="J35" s="174"/>
      <c r="K35" s="174"/>
      <c r="L35" s="174"/>
      <c r="M35" s="174"/>
      <c r="N35" s="174"/>
      <c r="O35" s="174"/>
      <c r="P35" s="174"/>
      <c r="Q35" s="174"/>
      <c r="R35" s="174"/>
      <c r="S35" s="174"/>
      <c r="T35" s="174"/>
      <c r="U35" s="175"/>
      <c r="V35" s="174"/>
    </row>
    <row r="36" spans="1:22" customFormat="1" x14ac:dyDescent="0.3">
      <c r="A36" s="174"/>
      <c r="B36" s="175"/>
      <c r="C36" s="174"/>
      <c r="D36" s="174"/>
      <c r="E36" s="174"/>
      <c r="F36" s="174"/>
      <c r="G36" s="174"/>
      <c r="H36" s="174"/>
      <c r="I36" s="174"/>
      <c r="J36" s="174"/>
      <c r="K36" s="174"/>
      <c r="L36" s="174"/>
      <c r="M36" s="174"/>
      <c r="N36" s="174"/>
      <c r="O36" s="174"/>
      <c r="P36" s="174"/>
      <c r="Q36" s="174"/>
      <c r="R36" s="174"/>
      <c r="S36" s="174"/>
      <c r="T36" s="174"/>
      <c r="U36" s="175"/>
      <c r="V36" s="174"/>
    </row>
    <row r="37" spans="1:22" customFormat="1" x14ac:dyDescent="0.3">
      <c r="A37" s="174"/>
      <c r="B37" s="175"/>
      <c r="C37" s="174"/>
      <c r="D37" s="174"/>
      <c r="E37" s="174"/>
      <c r="F37" s="174"/>
      <c r="G37" s="174"/>
      <c r="H37" s="174"/>
      <c r="I37" s="174"/>
      <c r="J37" s="174"/>
      <c r="K37" s="174"/>
      <c r="L37" s="174"/>
      <c r="M37" s="174"/>
      <c r="N37" s="174"/>
      <c r="O37" s="174"/>
      <c r="P37" s="174"/>
      <c r="Q37" s="174"/>
      <c r="R37" s="174"/>
      <c r="S37" s="174"/>
      <c r="T37" s="174"/>
      <c r="U37" s="175"/>
      <c r="V37" s="174"/>
    </row>
    <row r="38" spans="1:22" customFormat="1" x14ac:dyDescent="0.3">
      <c r="A38" s="174"/>
      <c r="B38" s="175"/>
      <c r="C38" s="174"/>
      <c r="D38" s="174"/>
      <c r="E38" s="174"/>
      <c r="F38" s="174"/>
      <c r="G38" s="174"/>
      <c r="H38" s="174"/>
      <c r="I38" s="174"/>
      <c r="J38" s="174"/>
      <c r="K38" s="174"/>
      <c r="L38" s="174"/>
      <c r="M38" s="174"/>
      <c r="N38" s="174"/>
      <c r="O38" s="174"/>
      <c r="P38" s="174"/>
      <c r="Q38" s="174"/>
      <c r="R38" s="174"/>
      <c r="S38" s="174"/>
      <c r="T38" s="174"/>
      <c r="U38" s="175"/>
      <c r="V38" s="174"/>
    </row>
    <row r="39" spans="1:22" customFormat="1" x14ac:dyDescent="0.3">
      <c r="A39" s="174"/>
      <c r="B39" s="175"/>
      <c r="C39" s="174"/>
      <c r="D39" s="174"/>
      <c r="E39" s="174"/>
      <c r="F39" s="174"/>
      <c r="G39" s="174"/>
      <c r="H39" s="174"/>
      <c r="I39" s="174"/>
      <c r="J39" s="174"/>
      <c r="K39" s="174"/>
      <c r="L39" s="174"/>
      <c r="M39" s="174"/>
      <c r="N39" s="174"/>
      <c r="O39" s="174"/>
      <c r="P39" s="174"/>
      <c r="Q39" s="174"/>
      <c r="R39" s="174"/>
      <c r="S39" s="174"/>
      <c r="T39" s="174"/>
      <c r="U39" s="175"/>
      <c r="V39" s="174"/>
    </row>
    <row r="40" spans="1:22" customFormat="1" x14ac:dyDescent="0.3">
      <c r="A40" s="174"/>
      <c r="B40" s="175"/>
      <c r="C40" s="174"/>
      <c r="D40" s="174"/>
      <c r="E40" s="174"/>
      <c r="F40" s="174"/>
      <c r="G40" s="174"/>
      <c r="H40" s="174"/>
      <c r="I40" s="174"/>
      <c r="J40" s="174"/>
      <c r="K40" s="174"/>
      <c r="L40" s="174"/>
      <c r="M40" s="174"/>
      <c r="N40" s="174"/>
      <c r="O40" s="174"/>
      <c r="P40" s="174"/>
      <c r="Q40" s="174"/>
      <c r="R40" s="174"/>
      <c r="S40" s="174"/>
      <c r="T40" s="174"/>
      <c r="U40" s="175"/>
      <c r="V40" s="174"/>
    </row>
    <row r="41" spans="1:22" customFormat="1" ht="7.5" customHeight="1" x14ac:dyDescent="0.3">
      <c r="A41" s="174"/>
      <c r="B41" s="175"/>
      <c r="C41" s="175"/>
      <c r="D41" s="175"/>
      <c r="E41" s="175"/>
      <c r="F41" s="175"/>
      <c r="G41" s="175"/>
      <c r="H41" s="175"/>
      <c r="I41" s="175"/>
      <c r="J41" s="175"/>
      <c r="K41" s="175"/>
      <c r="L41" s="175"/>
      <c r="M41" s="175"/>
      <c r="N41" s="175"/>
      <c r="O41" s="175"/>
      <c r="P41" s="175"/>
      <c r="Q41" s="175"/>
      <c r="R41" s="175"/>
      <c r="S41" s="175"/>
      <c r="T41" s="175"/>
      <c r="U41" s="175"/>
      <c r="V41" s="174"/>
    </row>
    <row r="42" spans="1:22" customFormat="1" x14ac:dyDescent="0.3">
      <c r="A42" s="174"/>
      <c r="B42" s="174"/>
      <c r="C42" s="174"/>
      <c r="D42" s="174"/>
      <c r="E42" s="174"/>
      <c r="F42" s="174"/>
      <c r="G42" s="174"/>
      <c r="H42" s="174"/>
      <c r="I42" s="174"/>
      <c r="J42" s="174"/>
      <c r="K42" s="174"/>
      <c r="L42" s="174"/>
      <c r="M42" s="174"/>
      <c r="N42" s="174"/>
      <c r="O42" s="174"/>
      <c r="P42" s="174"/>
      <c r="Q42" s="174"/>
      <c r="R42" s="174"/>
      <c r="S42" s="174"/>
      <c r="T42" s="174"/>
      <c r="U42" s="174"/>
      <c r="V42" s="174"/>
    </row>
    <row r="43" spans="1:22" s="56" customFormat="1" x14ac:dyDescent="0.3">
      <c r="A43" s="174"/>
      <c r="B43" s="174"/>
      <c r="C43" s="174"/>
      <c r="D43" s="174"/>
      <c r="E43" s="174"/>
      <c r="F43" s="174"/>
      <c r="G43" s="174"/>
      <c r="H43" s="174"/>
      <c r="I43" s="174"/>
      <c r="J43" s="174"/>
      <c r="K43" s="174"/>
      <c r="L43" s="174"/>
      <c r="M43" s="174"/>
      <c r="N43" s="174"/>
      <c r="O43" s="174"/>
      <c r="P43" s="174"/>
      <c r="Q43" s="174"/>
      <c r="R43" s="174"/>
      <c r="S43" s="174"/>
      <c r="T43" s="174"/>
      <c r="U43" s="174"/>
      <c r="V43" s="174"/>
    </row>
    <row r="44" spans="1:22" customFormat="1" hidden="1" x14ac:dyDescent="0.3">
      <c r="B44" s="15"/>
      <c r="C44" s="15"/>
      <c r="D44" s="15"/>
      <c r="E44" s="15"/>
      <c r="F44" s="15"/>
      <c r="G44" s="15"/>
      <c r="H44" s="15"/>
      <c r="I44" s="15"/>
      <c r="J44" s="15"/>
      <c r="K44" s="15"/>
      <c r="L44" s="15"/>
      <c r="M44" s="15"/>
      <c r="N44" s="15"/>
      <c r="O44" s="15"/>
      <c r="P44" s="15"/>
      <c r="Q44" s="15"/>
      <c r="R44" s="15"/>
      <c r="S44" s="15"/>
      <c r="T44" s="15"/>
      <c r="U44" s="15"/>
      <c r="V44" s="15"/>
    </row>
    <row r="45" spans="1:22" customFormat="1" hidden="1" x14ac:dyDescent="0.3">
      <c r="B45" s="15"/>
      <c r="C45" s="15"/>
      <c r="D45" s="15"/>
      <c r="E45" s="15"/>
      <c r="F45" s="15"/>
      <c r="G45" s="15"/>
      <c r="H45" s="15"/>
      <c r="I45" s="15"/>
      <c r="J45" s="15"/>
      <c r="K45" s="15"/>
      <c r="L45" s="15"/>
      <c r="M45" s="15"/>
      <c r="N45" s="15"/>
      <c r="O45" s="15"/>
      <c r="P45" s="15"/>
      <c r="Q45" s="15"/>
      <c r="R45" s="15"/>
      <c r="S45" s="15"/>
      <c r="T45" s="15"/>
      <c r="U45" s="15"/>
      <c r="V45" s="15"/>
    </row>
    <row r="46" spans="1:22" customFormat="1" hidden="1" x14ac:dyDescent="0.3">
      <c r="B46" s="15"/>
      <c r="C46" s="15"/>
      <c r="D46" s="15"/>
      <c r="E46" s="15"/>
      <c r="F46" s="15"/>
      <c r="G46" s="15"/>
      <c r="H46" s="15"/>
      <c r="I46" s="15"/>
      <c r="J46" s="15"/>
      <c r="K46" s="15"/>
      <c r="L46" s="15"/>
      <c r="M46" s="15"/>
      <c r="N46" s="15"/>
      <c r="O46" s="15"/>
      <c r="P46" s="15"/>
      <c r="Q46" s="15"/>
      <c r="R46" s="15"/>
      <c r="S46" s="15"/>
      <c r="T46" s="15"/>
      <c r="U46" s="15"/>
      <c r="V46" s="15"/>
    </row>
    <row r="47" spans="1:22" customFormat="1" hidden="1" x14ac:dyDescent="0.3">
      <c r="B47" s="15"/>
      <c r="C47" s="15"/>
      <c r="D47" s="15"/>
      <c r="E47" s="15"/>
      <c r="F47" s="15"/>
      <c r="G47" s="15"/>
      <c r="H47" s="15"/>
      <c r="I47" s="15"/>
      <c r="J47" s="15"/>
      <c r="K47" s="15"/>
      <c r="L47" s="15"/>
      <c r="M47" s="15"/>
      <c r="N47" s="15"/>
      <c r="O47" s="15"/>
      <c r="P47" s="15"/>
      <c r="Q47" s="15"/>
      <c r="R47" s="15"/>
      <c r="S47" s="15"/>
      <c r="T47" s="15"/>
      <c r="U47" s="15"/>
      <c r="V47" s="15"/>
    </row>
    <row r="48" spans="1:22" customFormat="1" ht="6.75" hidden="1" customHeight="1" x14ac:dyDescent="0.3">
      <c r="B48" s="15"/>
      <c r="C48" s="15"/>
      <c r="D48" s="15"/>
      <c r="E48" s="15"/>
      <c r="F48" s="15"/>
      <c r="G48" s="15"/>
      <c r="H48" s="15"/>
      <c r="I48" s="15"/>
      <c r="J48" s="15"/>
      <c r="K48" s="15"/>
      <c r="L48" s="15"/>
      <c r="M48" s="15"/>
      <c r="N48" s="15"/>
      <c r="O48" s="15"/>
      <c r="P48" s="15"/>
      <c r="Q48" s="15"/>
      <c r="R48" s="15"/>
      <c r="S48" s="15"/>
      <c r="T48" s="15"/>
      <c r="U48" s="15"/>
      <c r="V48" s="15"/>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xr:uid="{00000000-0002-0000-0000-000000000000}"/>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Z289"/>
  <sheetViews>
    <sheetView workbookViewId="0">
      <pane xSplit="3" ySplit="2" topLeftCell="BA260"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4.4" x14ac:dyDescent="0.3"/>
  <cols>
    <col min="1" max="1" width="4.5546875" style="54" customWidth="1"/>
    <col min="3" max="3" width="23.33203125" customWidth="1"/>
    <col min="5" max="5" width="11.44140625" style="214"/>
    <col min="6" max="8" width="11.44140625" style="54"/>
    <col min="10" max="10" width="11.44140625" style="54"/>
    <col min="16" max="27" width="11.44140625" style="54"/>
    <col min="28" max="28" width="12.6640625" style="54" bestFit="1" customWidth="1"/>
    <col min="29" max="39" width="11.44140625" style="54"/>
    <col min="40" max="51" width="11.44140625" style="219"/>
  </cols>
  <sheetData>
    <row r="1" spans="1:51" s="54" customFormat="1" ht="15" thickBot="1" x14ac:dyDescent="0.35">
      <c r="B1" s="1218" t="s">
        <v>0</v>
      </c>
      <c r="C1" s="1220" t="s">
        <v>1</v>
      </c>
      <c r="D1" s="1222" t="s">
        <v>1236</v>
      </c>
      <c r="E1" s="1222"/>
      <c r="F1" s="1222"/>
      <c r="G1" s="1222"/>
      <c r="H1" s="1222"/>
      <c r="I1" s="1222" t="s">
        <v>1238</v>
      </c>
      <c r="J1" s="1222"/>
      <c r="K1" s="1222"/>
      <c r="L1" s="1222"/>
      <c r="M1" s="1222"/>
      <c r="N1" s="1222"/>
      <c r="O1" s="192">
        <f ca="1">TODAY()</f>
        <v>44228</v>
      </c>
      <c r="P1" s="1217" t="s">
        <v>1456</v>
      </c>
      <c r="Q1" s="1217"/>
      <c r="R1" s="1217"/>
      <c r="S1" s="1217"/>
      <c r="T1" s="1217"/>
      <c r="U1" s="1217"/>
      <c r="V1" s="1217"/>
      <c r="W1" s="1217"/>
      <c r="X1" s="1217"/>
      <c r="Y1" s="1217"/>
      <c r="Z1" s="1217"/>
      <c r="AA1" s="1217"/>
      <c r="AB1" s="1216" t="s">
        <v>1455</v>
      </c>
      <c r="AC1" s="1216"/>
      <c r="AD1" s="1216"/>
      <c r="AE1" s="1216"/>
      <c r="AF1" s="1216"/>
      <c r="AG1" s="1216"/>
      <c r="AH1" s="1216"/>
      <c r="AI1" s="1216"/>
      <c r="AJ1" s="1216"/>
      <c r="AK1" s="1216"/>
      <c r="AL1" s="1216"/>
      <c r="AM1" s="1216"/>
      <c r="AN1" s="1223" t="s">
        <v>1269</v>
      </c>
      <c r="AO1" s="1223"/>
      <c r="AP1" s="1223"/>
      <c r="AQ1" s="1223"/>
      <c r="AR1" s="1223"/>
      <c r="AS1" s="1223"/>
      <c r="AT1" s="1223"/>
      <c r="AU1" s="1223"/>
      <c r="AV1" s="1223"/>
      <c r="AW1" s="1223"/>
      <c r="AX1" s="1223"/>
      <c r="AY1" s="1223"/>
    </row>
    <row r="2" spans="1:51" ht="20.399999999999999" x14ac:dyDescent="0.3">
      <c r="B2" s="1219"/>
      <c r="C2" s="1221"/>
      <c r="D2" s="221" t="s">
        <v>422</v>
      </c>
      <c r="E2" s="222" t="s">
        <v>374</v>
      </c>
      <c r="F2" s="222" t="s">
        <v>1233</v>
      </c>
      <c r="G2" s="222" t="s">
        <v>1234</v>
      </c>
      <c r="H2" s="222" t="s">
        <v>1235</v>
      </c>
      <c r="I2" s="222" t="s">
        <v>979</v>
      </c>
      <c r="J2" s="222" t="s">
        <v>1237</v>
      </c>
      <c r="K2" s="222" t="s">
        <v>1233</v>
      </c>
      <c r="L2" s="222" t="s">
        <v>1234</v>
      </c>
      <c r="M2" s="222" t="s">
        <v>1235</v>
      </c>
      <c r="N2" s="223" t="s">
        <v>1240</v>
      </c>
      <c r="O2" s="223" t="s">
        <v>1239</v>
      </c>
      <c r="P2" s="306">
        <v>40939</v>
      </c>
      <c r="Q2" s="306">
        <v>40967</v>
      </c>
      <c r="R2" s="306">
        <v>40999</v>
      </c>
      <c r="S2" s="306">
        <v>41029</v>
      </c>
      <c r="T2" s="306">
        <v>41060</v>
      </c>
      <c r="U2" s="306">
        <v>41090</v>
      </c>
      <c r="V2" s="306">
        <v>41121</v>
      </c>
      <c r="W2" s="306">
        <v>41152</v>
      </c>
      <c r="X2" s="306">
        <v>41182</v>
      </c>
      <c r="Y2" s="306">
        <v>41213</v>
      </c>
      <c r="Z2" s="306">
        <v>41243</v>
      </c>
      <c r="AA2" s="306">
        <v>41274</v>
      </c>
      <c r="AB2" s="307">
        <v>41305</v>
      </c>
      <c r="AC2" s="307">
        <v>41333</v>
      </c>
      <c r="AD2" s="307">
        <v>41364</v>
      </c>
      <c r="AE2" s="307">
        <v>41394</v>
      </c>
      <c r="AF2" s="307">
        <v>41425</v>
      </c>
      <c r="AG2" s="307">
        <v>41455</v>
      </c>
      <c r="AH2" s="307">
        <v>41486</v>
      </c>
      <c r="AI2" s="307">
        <v>41517</v>
      </c>
      <c r="AJ2" s="307">
        <v>41547</v>
      </c>
      <c r="AK2" s="307">
        <v>41578</v>
      </c>
      <c r="AL2" s="307">
        <v>41608</v>
      </c>
      <c r="AM2" s="307">
        <v>41639</v>
      </c>
      <c r="AN2" s="241">
        <v>41670</v>
      </c>
      <c r="AO2" s="241">
        <v>41698</v>
      </c>
      <c r="AP2" s="241">
        <v>41729</v>
      </c>
      <c r="AQ2" s="241">
        <v>41759</v>
      </c>
      <c r="AR2" s="241">
        <v>41790</v>
      </c>
      <c r="AS2" s="241">
        <v>41820</v>
      </c>
      <c r="AT2" s="241">
        <v>41851</v>
      </c>
      <c r="AU2" s="241">
        <v>41882</v>
      </c>
      <c r="AV2" s="241">
        <v>41912</v>
      </c>
      <c r="AW2" s="241">
        <v>41943</v>
      </c>
      <c r="AX2" s="241">
        <v>41973</v>
      </c>
      <c r="AY2" s="241">
        <v>42004</v>
      </c>
    </row>
    <row r="3" spans="1:51" ht="20.399999999999999" x14ac:dyDescent="0.3">
      <c r="A3" s="191">
        <v>1</v>
      </c>
      <c r="B3" s="226" t="s">
        <v>161</v>
      </c>
      <c r="C3" s="120" t="s">
        <v>162</v>
      </c>
      <c r="D3" s="122">
        <v>2011</v>
      </c>
      <c r="E3" s="124">
        <v>40891</v>
      </c>
      <c r="F3" s="198">
        <f t="shared" ref="F3:F66" si="0">MONTH(E3)</f>
        <v>12</v>
      </c>
      <c r="G3" s="198" t="str">
        <f t="shared" ref="G3:G66" si="1">CONCATENATE(F3,D3)</f>
        <v>122011</v>
      </c>
      <c r="H3" s="198" t="str">
        <f t="shared" ref="H3:H66" si="2">TEXT(E3,"MMMM")</f>
        <v>diciembre</v>
      </c>
      <c r="I3" s="114">
        <f>VLOOKUP(B3,'Base de Datos'!$E$7:$W$271,14,0)</f>
        <v>0</v>
      </c>
      <c r="J3" s="200">
        <f t="shared" ref="J3:J66" si="3">YEAR(I3)</f>
        <v>1900</v>
      </c>
      <c r="K3" s="199">
        <f t="shared" ref="K3:K66" si="4">MONTH(I3)</f>
        <v>1</v>
      </c>
      <c r="L3" s="199" t="str">
        <f t="shared" ref="L3:L66" si="5">CONCATENATE(K3,J3)</f>
        <v>11900</v>
      </c>
      <c r="M3" s="199" t="str">
        <f t="shared" ref="M3:M66" si="6">TEXT(I3,"mmmm")</f>
        <v>enero</v>
      </c>
      <c r="N3" s="199">
        <f t="shared" ref="N3:N66" ca="1" si="7">$O$1-I3</f>
        <v>44228</v>
      </c>
      <c r="O3" s="242" t="str">
        <f t="shared" ref="O3:O66" ca="1" si="8">IF(N3&gt;0,"SI","NO")</f>
        <v>SI</v>
      </c>
      <c r="P3" s="242">
        <v>1</v>
      </c>
      <c r="Q3" s="242" t="str">
        <f t="shared" ref="Q3:Q66" si="9">IF(AND(E3&lt;$Q$2,I3&gt;$Q$2),"1","")</f>
        <v/>
      </c>
      <c r="R3" s="242" t="str">
        <f t="shared" ref="R3:R66" si="10">IF(AND(E3&lt;$R$2,I3&gt;$R$2),"1","")</f>
        <v/>
      </c>
      <c r="S3" s="242" t="str">
        <f t="shared" ref="S3:S66" si="11">IF(AND(E3&lt;$S$2,I3&gt;$S$2),"1","")</f>
        <v/>
      </c>
      <c r="T3" s="242" t="str">
        <f t="shared" ref="T3:T66" si="12">IF(AND(E3&lt;$T$2,I3&gt;$T$2),"1","")</f>
        <v/>
      </c>
      <c r="U3" s="242" t="str">
        <f t="shared" ref="U3:U66" si="13">IF(AND(E3&lt;$U$2,I3&gt;$U$2),"1","")</f>
        <v/>
      </c>
      <c r="V3" s="242" t="str">
        <f>IF(AND(E3&lt;$V$2,I3&gt;$V$2),"1","")</f>
        <v/>
      </c>
      <c r="W3" s="242" t="str">
        <f t="shared" ref="W3:W66" si="14">IF(AND(E3&lt;$W$2,I3&gt;$W$2),"1","")</f>
        <v/>
      </c>
      <c r="X3" s="242" t="str">
        <f t="shared" ref="X3:X66" si="15">IF(AND(E3&lt;$X$2,I3&gt;$X$2),"1","")</f>
        <v/>
      </c>
      <c r="Y3" s="242" t="str">
        <f>IF(AND(E3&lt;$Y$2,I3&gt;$Y$2),"1","")</f>
        <v/>
      </c>
      <c r="Z3" s="242" t="str">
        <f t="shared" ref="Z3:Z66" si="16">IF(AND(E3&lt;$Z$2,I3&gt;$Z$2),"1","")</f>
        <v/>
      </c>
      <c r="AA3" s="242" t="str">
        <f>IF(AND(E3&lt;$AA$2,I3&gt;$AA$2),"1","")</f>
        <v/>
      </c>
      <c r="AB3" s="242" t="str">
        <f t="shared" ref="AB3:AB8" si="17">IF(AND(E3&lt;$AB$2,I3&gt;$AB$2),"1","")</f>
        <v/>
      </c>
      <c r="AC3" s="242" t="str">
        <f t="shared" ref="AC3:AC9" si="18">IF(AND(E3&lt;$AC$2,I3&gt;$AC$2),"1","")</f>
        <v/>
      </c>
      <c r="AD3" s="242" t="str">
        <f t="shared" ref="AD3:AD19" si="19">IF(AND(E3&lt;$AD$2,I3&gt;$AD$2),"1","")</f>
        <v/>
      </c>
      <c r="AE3" s="242" t="str">
        <f t="shared" ref="AE3:AE29" si="20">IF(AND(E3&lt;$AE$2,I3&gt;$AE$2),"1","")</f>
        <v/>
      </c>
      <c r="AF3" s="242" t="str">
        <f t="shared" ref="AF3:AF34" si="21">IF(AND(E3&lt;$AF$2,I3&gt;$AF$2),"1","")</f>
        <v/>
      </c>
      <c r="AG3" s="242" t="str">
        <f t="shared" ref="AG3:AG42" si="22">IF(AND(E3&lt;$AG$2,I3&gt;$AG$2),"1","")</f>
        <v/>
      </c>
      <c r="AH3" s="242" t="str">
        <f t="shared" ref="AH3:AH34" si="23">IF(AND(E3&lt;$AH$2,I3&gt;$AH$2),"1","")</f>
        <v/>
      </c>
      <c r="AI3" s="242" t="str">
        <f t="shared" ref="AI3:AI34" si="24">IF(AND(E3&lt;$AI$2,I3&gt;$AI$2),"1","")</f>
        <v/>
      </c>
      <c r="AJ3" s="242" t="str">
        <f t="shared" ref="AJ3:AJ34" si="25">IF(AND(E3&lt;$AJ$2,I3&gt;$AJ$2),"1","")</f>
        <v/>
      </c>
      <c r="AK3" s="242" t="str">
        <f t="shared" ref="AK3:AK34" si="26">IF(AND(E3&lt;$AK$2,I3&gt;$AK$2),"1","")</f>
        <v/>
      </c>
      <c r="AL3" s="242" t="str">
        <f t="shared" ref="AL3:AL34" si="27">IF(AND(E3&lt;$AL$2,I3&gt;$AL$2),"1","")</f>
        <v/>
      </c>
      <c r="AM3" s="242" t="str">
        <f t="shared" ref="AM3:AM34" si="28">IF(AND(E3&lt;$AM$2,I3&gt;$AM$2),"1","")</f>
        <v/>
      </c>
      <c r="AN3" s="199" t="str">
        <f t="shared" ref="AN3:AN34" si="29">IF(AND(E3&lt;$AN$2,I3&gt;$AN$2),"1","")</f>
        <v/>
      </c>
      <c r="AO3" s="199" t="str">
        <f t="shared" ref="AO3:AO34" si="30">IF(AND(E3&lt;$AO$2,I3&gt;$AO$2),"1","")</f>
        <v/>
      </c>
      <c r="AP3" s="199" t="str">
        <f t="shared" ref="AP3:AP34" si="31">IF(AND(E3&lt;$AP$2,I3&gt;$AP$2),"1","")</f>
        <v/>
      </c>
      <c r="AQ3" s="199" t="str">
        <f t="shared" ref="AQ3:AQ34" si="32">IF(AND(E3&lt;$AQ$2,I3&gt;$AQ$2),"1","")</f>
        <v/>
      </c>
      <c r="AR3" s="199" t="str">
        <f t="shared" ref="AR3:AR34" si="33">IF(AND(E3&lt;$AR$2,I3&gt;$AR$2),"1","")</f>
        <v/>
      </c>
      <c r="AS3" s="199" t="str">
        <f t="shared" ref="AS3:AS34" si="34">IF(AND(E3&lt;$AS$2,I3&gt;$AS$2),"1","")</f>
        <v/>
      </c>
      <c r="AT3" s="199" t="str">
        <f t="shared" ref="AT3:AT34" si="35">IF(AND(E3&lt;$AT$2,I3&gt;$AT$2),"1","")</f>
        <v/>
      </c>
      <c r="AU3" s="199" t="str">
        <f t="shared" ref="AU3:AU34" si="36">IF(AND(E3&lt;$AU$2,I3&gt;$AU$2),"1","")</f>
        <v/>
      </c>
      <c r="AV3" s="199" t="str">
        <f t="shared" ref="AV3:AV34" si="37">IF(AND(E3&lt;$AV$2,I3&gt;$AV$2),"1","")</f>
        <v/>
      </c>
      <c r="AW3" s="199" t="str">
        <f t="shared" ref="AW3:AW34" si="38">IF(AND(E3&lt;$AW$2,I3&gt;$AW$2),"1","")</f>
        <v/>
      </c>
      <c r="AX3" s="199" t="str">
        <f t="shared" ref="AX3:AX34" si="39">IF(AND(E3&lt;$AX$2,I3&gt;$AX$2),"1","")</f>
        <v/>
      </c>
      <c r="AY3" s="199" t="str">
        <f t="shared" ref="AY3:AY34" si="40">IF(AND(E3&lt;$AY$2,I3&gt;$AY$2),"1","")</f>
        <v/>
      </c>
    </row>
    <row r="4" spans="1:51" ht="20.399999999999999" x14ac:dyDescent="0.3">
      <c r="A4" s="191">
        <v>2</v>
      </c>
      <c r="B4" s="225" t="s">
        <v>170</v>
      </c>
      <c r="C4" s="120" t="s">
        <v>428</v>
      </c>
      <c r="D4" s="122">
        <v>2011</v>
      </c>
      <c r="E4" s="124">
        <v>40746</v>
      </c>
      <c r="F4" s="198">
        <f t="shared" si="0"/>
        <v>7</v>
      </c>
      <c r="G4" s="198" t="str">
        <f t="shared" si="1"/>
        <v>72011</v>
      </c>
      <c r="H4" s="198" t="str">
        <f t="shared" si="2"/>
        <v>julio</v>
      </c>
      <c r="I4" s="114">
        <f>VLOOKUP(B4,'Base de Datos'!$E$7:$W$271,14,0)</f>
        <v>0</v>
      </c>
      <c r="J4" s="200">
        <f t="shared" si="3"/>
        <v>1900</v>
      </c>
      <c r="K4" s="199">
        <f t="shared" si="4"/>
        <v>1</v>
      </c>
      <c r="L4" s="199" t="str">
        <f t="shared" si="5"/>
        <v>11900</v>
      </c>
      <c r="M4" s="199" t="str">
        <f t="shared" si="6"/>
        <v>enero</v>
      </c>
      <c r="N4" s="199">
        <f t="shared" ca="1" si="7"/>
        <v>44228</v>
      </c>
      <c r="O4" s="242" t="str">
        <f t="shared" ca="1" si="8"/>
        <v>SI</v>
      </c>
      <c r="P4" s="242" t="str">
        <f t="shared" ref="P4:P67" si="41">IF(AND(E4&lt;$P$2,I4&gt;$P$2),"1","")</f>
        <v/>
      </c>
      <c r="Q4" s="242" t="str">
        <f t="shared" si="9"/>
        <v/>
      </c>
      <c r="R4" s="242" t="str">
        <f t="shared" si="10"/>
        <v/>
      </c>
      <c r="S4" s="242" t="str">
        <f t="shared" si="11"/>
        <v/>
      </c>
      <c r="T4" s="242" t="str">
        <f t="shared" si="12"/>
        <v/>
      </c>
      <c r="U4" s="242" t="str">
        <f t="shared" si="13"/>
        <v/>
      </c>
      <c r="V4" s="242">
        <v>1</v>
      </c>
      <c r="W4" s="242" t="str">
        <f t="shared" si="14"/>
        <v/>
      </c>
      <c r="X4" s="242" t="str">
        <f t="shared" si="15"/>
        <v/>
      </c>
      <c r="Y4" s="242" t="str">
        <f>IF(AND(E4&lt;$Y$2,I4&gt;$Y$2),"1","")</f>
        <v/>
      </c>
      <c r="Z4" s="242" t="str">
        <f t="shared" si="16"/>
        <v/>
      </c>
      <c r="AA4" s="242" t="str">
        <f>IF(AND(E4&lt;$AA$2,I4&gt;$AA$2),"1","")</f>
        <v/>
      </c>
      <c r="AB4" s="242" t="str">
        <f t="shared" si="17"/>
        <v/>
      </c>
      <c r="AC4" s="242" t="str">
        <f t="shared" si="18"/>
        <v/>
      </c>
      <c r="AD4" s="242" t="str">
        <f t="shared" si="19"/>
        <v/>
      </c>
      <c r="AE4" s="242" t="str">
        <f t="shared" si="20"/>
        <v/>
      </c>
      <c r="AF4" s="242" t="str">
        <f t="shared" si="21"/>
        <v/>
      </c>
      <c r="AG4" s="242" t="str">
        <f t="shared" si="22"/>
        <v/>
      </c>
      <c r="AH4" s="242" t="str">
        <f t="shared" si="23"/>
        <v/>
      </c>
      <c r="AI4" s="242" t="str">
        <f t="shared" si="24"/>
        <v/>
      </c>
      <c r="AJ4" s="242" t="str">
        <f t="shared" si="25"/>
        <v/>
      </c>
      <c r="AK4" s="242" t="str">
        <f t="shared" si="26"/>
        <v/>
      </c>
      <c r="AL4" s="242" t="str">
        <f t="shared" si="27"/>
        <v/>
      </c>
      <c r="AM4" s="242" t="str">
        <f t="shared" si="28"/>
        <v/>
      </c>
      <c r="AN4" s="199" t="str">
        <f t="shared" si="29"/>
        <v/>
      </c>
      <c r="AO4" s="199" t="str">
        <f t="shared" si="30"/>
        <v/>
      </c>
      <c r="AP4" s="199" t="str">
        <f t="shared" si="31"/>
        <v/>
      </c>
      <c r="AQ4" s="199" t="str">
        <f t="shared" si="32"/>
        <v/>
      </c>
      <c r="AR4" s="199" t="str">
        <f t="shared" si="33"/>
        <v/>
      </c>
      <c r="AS4" s="199" t="str">
        <f t="shared" si="34"/>
        <v/>
      </c>
      <c r="AT4" s="199" t="str">
        <f t="shared" si="35"/>
        <v/>
      </c>
      <c r="AU4" s="199" t="str">
        <f t="shared" si="36"/>
        <v/>
      </c>
      <c r="AV4" s="199" t="str">
        <f t="shared" si="37"/>
        <v/>
      </c>
      <c r="AW4" s="199" t="str">
        <f t="shared" si="38"/>
        <v/>
      </c>
      <c r="AX4" s="199" t="str">
        <f t="shared" si="39"/>
        <v/>
      </c>
      <c r="AY4" s="199" t="str">
        <f t="shared" si="40"/>
        <v/>
      </c>
    </row>
    <row r="5" spans="1:51" ht="20.399999999999999" x14ac:dyDescent="0.3">
      <c r="A5" s="191">
        <v>3</v>
      </c>
      <c r="B5" s="226" t="s">
        <v>153</v>
      </c>
      <c r="C5" s="120" t="s">
        <v>154</v>
      </c>
      <c r="D5" s="135">
        <v>2012</v>
      </c>
      <c r="E5" s="124">
        <v>41081</v>
      </c>
      <c r="F5" s="198">
        <f t="shared" si="0"/>
        <v>6</v>
      </c>
      <c r="G5" s="198" t="str">
        <f t="shared" si="1"/>
        <v>62012</v>
      </c>
      <c r="H5" s="198" t="str">
        <f t="shared" si="2"/>
        <v>junio</v>
      </c>
      <c r="I5" s="114">
        <f>VLOOKUP(B5,'Base de Datos'!$E$7:$W$271,14,0)</f>
        <v>2</v>
      </c>
      <c r="J5" s="200">
        <f t="shared" si="3"/>
        <v>1900</v>
      </c>
      <c r="K5" s="199">
        <f t="shared" si="4"/>
        <v>1</v>
      </c>
      <c r="L5" s="199" t="str">
        <f t="shared" si="5"/>
        <v>11900</v>
      </c>
      <c r="M5" s="199" t="str">
        <f t="shared" si="6"/>
        <v>enero</v>
      </c>
      <c r="N5" s="199">
        <f t="shared" ca="1" si="7"/>
        <v>44226</v>
      </c>
      <c r="O5" s="242" t="str">
        <f t="shared" ca="1" si="8"/>
        <v>SI</v>
      </c>
      <c r="P5" s="242" t="str">
        <f t="shared" si="41"/>
        <v/>
      </c>
      <c r="Q5" s="242" t="str">
        <f t="shared" si="9"/>
        <v/>
      </c>
      <c r="R5" s="242" t="str">
        <f t="shared" si="10"/>
        <v/>
      </c>
      <c r="S5" s="242" t="str">
        <f t="shared" si="11"/>
        <v/>
      </c>
      <c r="T5" s="242" t="str">
        <f t="shared" si="12"/>
        <v/>
      </c>
      <c r="U5" s="242" t="str">
        <f t="shared" si="13"/>
        <v/>
      </c>
      <c r="V5" s="242" t="str">
        <f>IF(AND(E5&lt;$V$2,I5&gt;$V$2),"1","")</f>
        <v/>
      </c>
      <c r="W5" s="242" t="str">
        <f t="shared" si="14"/>
        <v/>
      </c>
      <c r="X5" s="242" t="str">
        <f t="shared" si="15"/>
        <v/>
      </c>
      <c r="Y5" s="242">
        <v>1</v>
      </c>
      <c r="Z5" s="242" t="str">
        <f t="shared" si="16"/>
        <v/>
      </c>
      <c r="AA5" s="242" t="str">
        <f>IF(AND(E5&lt;$AA$2,I5&gt;$AA$2),"1","")</f>
        <v/>
      </c>
      <c r="AB5" s="242" t="str">
        <f t="shared" si="17"/>
        <v/>
      </c>
      <c r="AC5" s="242" t="str">
        <f t="shared" si="18"/>
        <v/>
      </c>
      <c r="AD5" s="242" t="str">
        <f t="shared" si="19"/>
        <v/>
      </c>
      <c r="AE5" s="242" t="str">
        <f t="shared" si="20"/>
        <v/>
      </c>
      <c r="AF5" s="242" t="str">
        <f t="shared" si="21"/>
        <v/>
      </c>
      <c r="AG5" s="242" t="str">
        <f t="shared" si="22"/>
        <v/>
      </c>
      <c r="AH5" s="242" t="str">
        <f t="shared" si="23"/>
        <v/>
      </c>
      <c r="AI5" s="242" t="str">
        <f t="shared" si="24"/>
        <v/>
      </c>
      <c r="AJ5" s="242" t="str">
        <f t="shared" si="25"/>
        <v/>
      </c>
      <c r="AK5" s="242" t="str">
        <f t="shared" si="26"/>
        <v/>
      </c>
      <c r="AL5" s="242" t="str">
        <f t="shared" si="27"/>
        <v/>
      </c>
      <c r="AM5" s="242" t="str">
        <f t="shared" si="28"/>
        <v/>
      </c>
      <c r="AN5" s="199" t="str">
        <f t="shared" si="29"/>
        <v/>
      </c>
      <c r="AO5" s="199" t="str">
        <f t="shared" si="30"/>
        <v/>
      </c>
      <c r="AP5" s="199" t="str">
        <f t="shared" si="31"/>
        <v/>
      </c>
      <c r="AQ5" s="199" t="str">
        <f t="shared" si="32"/>
        <v/>
      </c>
      <c r="AR5" s="199" t="str">
        <f t="shared" si="33"/>
        <v/>
      </c>
      <c r="AS5" s="199" t="str">
        <f t="shared" si="34"/>
        <v/>
      </c>
      <c r="AT5" s="199" t="str">
        <f t="shared" si="35"/>
        <v/>
      </c>
      <c r="AU5" s="199" t="str">
        <f t="shared" si="36"/>
        <v/>
      </c>
      <c r="AV5" s="199" t="str">
        <f t="shared" si="37"/>
        <v/>
      </c>
      <c r="AW5" s="199" t="str">
        <f t="shared" si="38"/>
        <v/>
      </c>
      <c r="AX5" s="199" t="str">
        <f t="shared" si="39"/>
        <v/>
      </c>
      <c r="AY5" s="199" t="str">
        <f t="shared" si="40"/>
        <v/>
      </c>
    </row>
    <row r="6" spans="1:51" ht="20.399999999999999" x14ac:dyDescent="0.3">
      <c r="A6" s="191">
        <v>4</v>
      </c>
      <c r="B6" s="228" t="s">
        <v>5</v>
      </c>
      <c r="C6" s="129" t="s">
        <v>431</v>
      </c>
      <c r="D6" s="122">
        <v>2011</v>
      </c>
      <c r="E6" s="131">
        <v>40897</v>
      </c>
      <c r="F6" s="198">
        <f t="shared" si="0"/>
        <v>12</v>
      </c>
      <c r="G6" s="198" t="str">
        <f t="shared" si="1"/>
        <v>122011</v>
      </c>
      <c r="H6" s="198" t="str">
        <f t="shared" si="2"/>
        <v>diciembre</v>
      </c>
      <c r="I6" s="114">
        <f>VLOOKUP(B6,'Base de Datos'!$E$7:$W$271,14,0)</f>
        <v>1</v>
      </c>
      <c r="J6" s="200">
        <f t="shared" si="3"/>
        <v>1900</v>
      </c>
      <c r="K6" s="199">
        <f t="shared" si="4"/>
        <v>1</v>
      </c>
      <c r="L6" s="199" t="str">
        <f t="shared" si="5"/>
        <v>11900</v>
      </c>
      <c r="M6" s="199" t="str">
        <f t="shared" si="6"/>
        <v>enero</v>
      </c>
      <c r="N6" s="199">
        <f t="shared" ca="1" si="7"/>
        <v>44227</v>
      </c>
      <c r="O6" s="242" t="str">
        <f t="shared" ca="1" si="8"/>
        <v>SI</v>
      </c>
      <c r="P6" s="242" t="str">
        <f t="shared" si="41"/>
        <v/>
      </c>
      <c r="Q6" s="242" t="str">
        <f t="shared" si="9"/>
        <v/>
      </c>
      <c r="R6" s="242" t="str">
        <f t="shared" si="10"/>
        <v/>
      </c>
      <c r="S6" s="242" t="str">
        <f t="shared" si="11"/>
        <v/>
      </c>
      <c r="T6" s="242" t="str">
        <f t="shared" si="12"/>
        <v/>
      </c>
      <c r="U6" s="242" t="str">
        <f t="shared" si="13"/>
        <v/>
      </c>
      <c r="V6" s="242">
        <v>1</v>
      </c>
      <c r="W6" s="242" t="str">
        <f t="shared" si="14"/>
        <v/>
      </c>
      <c r="X6" s="242" t="str">
        <f t="shared" si="15"/>
        <v/>
      </c>
      <c r="Y6" s="242" t="str">
        <f t="shared" ref="Y6:Y69" si="42">IF(AND(E6&lt;$Y$2,I6&gt;$Y$2),"1","")</f>
        <v/>
      </c>
      <c r="Z6" s="242" t="str">
        <f t="shared" si="16"/>
        <v/>
      </c>
      <c r="AA6" s="242" t="str">
        <f>IF(AND(E6&lt;$AA$2,I6&gt;$AA$2),"1","")</f>
        <v/>
      </c>
      <c r="AB6" s="242" t="str">
        <f t="shared" si="17"/>
        <v/>
      </c>
      <c r="AC6" s="242" t="str">
        <f t="shared" si="18"/>
        <v/>
      </c>
      <c r="AD6" s="242" t="str">
        <f t="shared" si="19"/>
        <v/>
      </c>
      <c r="AE6" s="242" t="str">
        <f t="shared" si="20"/>
        <v/>
      </c>
      <c r="AF6" s="242" t="str">
        <f t="shared" si="21"/>
        <v/>
      </c>
      <c r="AG6" s="242" t="str">
        <f t="shared" si="22"/>
        <v/>
      </c>
      <c r="AH6" s="242" t="str">
        <f t="shared" si="23"/>
        <v/>
      </c>
      <c r="AI6" s="242" t="str">
        <f t="shared" si="24"/>
        <v/>
      </c>
      <c r="AJ6" s="242" t="str">
        <f t="shared" si="25"/>
        <v/>
      </c>
      <c r="AK6" s="242" t="str">
        <f t="shared" si="26"/>
        <v/>
      </c>
      <c r="AL6" s="242" t="str">
        <f t="shared" si="27"/>
        <v/>
      </c>
      <c r="AM6" s="242" t="str">
        <f t="shared" si="28"/>
        <v/>
      </c>
      <c r="AN6" s="199" t="str">
        <f t="shared" si="29"/>
        <v/>
      </c>
      <c r="AO6" s="199" t="str">
        <f t="shared" si="30"/>
        <v/>
      </c>
      <c r="AP6" s="199" t="str">
        <f t="shared" si="31"/>
        <v/>
      </c>
      <c r="AQ6" s="199" t="str">
        <f t="shared" si="32"/>
        <v/>
      </c>
      <c r="AR6" s="199" t="str">
        <f t="shared" si="33"/>
        <v/>
      </c>
      <c r="AS6" s="199" t="str">
        <f t="shared" si="34"/>
        <v/>
      </c>
      <c r="AT6" s="199" t="str">
        <f t="shared" si="35"/>
        <v/>
      </c>
      <c r="AU6" s="199" t="str">
        <f t="shared" si="36"/>
        <v/>
      </c>
      <c r="AV6" s="199" t="str">
        <f t="shared" si="37"/>
        <v/>
      </c>
      <c r="AW6" s="199" t="str">
        <f t="shared" si="38"/>
        <v/>
      </c>
      <c r="AX6" s="199" t="str">
        <f t="shared" si="39"/>
        <v/>
      </c>
      <c r="AY6" s="199" t="str">
        <f t="shared" si="40"/>
        <v/>
      </c>
    </row>
    <row r="7" spans="1:51" ht="20.399999999999999" x14ac:dyDescent="0.3">
      <c r="A7" s="191">
        <v>5</v>
      </c>
      <c r="B7" s="226" t="s">
        <v>105</v>
      </c>
      <c r="C7" s="120" t="s">
        <v>1011</v>
      </c>
      <c r="D7" s="135">
        <v>2012</v>
      </c>
      <c r="E7" s="123">
        <v>41193</v>
      </c>
      <c r="F7" s="198">
        <f t="shared" si="0"/>
        <v>10</v>
      </c>
      <c r="G7" s="198" t="str">
        <f t="shared" si="1"/>
        <v>102012</v>
      </c>
      <c r="H7" s="198" t="str">
        <f t="shared" si="2"/>
        <v>octubre</v>
      </c>
      <c r="I7" s="114">
        <f>VLOOKUP(B7,'Base de Datos'!$E$7:$W$271,14,0)</f>
        <v>1</v>
      </c>
      <c r="J7" s="200">
        <f t="shared" si="3"/>
        <v>1900</v>
      </c>
      <c r="K7" s="199">
        <f t="shared" si="4"/>
        <v>1</v>
      </c>
      <c r="L7" s="199" t="str">
        <f t="shared" si="5"/>
        <v>11900</v>
      </c>
      <c r="M7" s="199" t="str">
        <f t="shared" si="6"/>
        <v>enero</v>
      </c>
      <c r="N7" s="199">
        <f t="shared" ca="1" si="7"/>
        <v>44227</v>
      </c>
      <c r="O7" s="242" t="str">
        <f t="shared" ca="1" si="8"/>
        <v>SI</v>
      </c>
      <c r="P7" s="242" t="str">
        <f t="shared" si="41"/>
        <v/>
      </c>
      <c r="Q7" s="242" t="str">
        <f t="shared" si="9"/>
        <v/>
      </c>
      <c r="R7" s="242" t="str">
        <f t="shared" si="10"/>
        <v/>
      </c>
      <c r="S7" s="242" t="str">
        <f t="shared" si="11"/>
        <v/>
      </c>
      <c r="T7" s="242" t="str">
        <f t="shared" si="12"/>
        <v/>
      </c>
      <c r="U7" s="242" t="str">
        <f t="shared" si="13"/>
        <v/>
      </c>
      <c r="V7" s="242" t="str">
        <f t="shared" ref="V7:V70" si="43">IF(AND(E7&lt;$V$2,I7&gt;$V$2),"1","")</f>
        <v/>
      </c>
      <c r="W7" s="242" t="str">
        <f t="shared" si="14"/>
        <v/>
      </c>
      <c r="X7" s="242" t="str">
        <f t="shared" si="15"/>
        <v/>
      </c>
      <c r="Y7" s="242" t="str">
        <f t="shared" si="42"/>
        <v/>
      </c>
      <c r="Z7" s="242" t="str">
        <f t="shared" si="16"/>
        <v/>
      </c>
      <c r="AA7" s="242">
        <v>1</v>
      </c>
      <c r="AB7" s="242" t="str">
        <f t="shared" si="17"/>
        <v/>
      </c>
      <c r="AC7" s="242" t="str">
        <f t="shared" si="18"/>
        <v/>
      </c>
      <c r="AD7" s="242" t="str">
        <f t="shared" si="19"/>
        <v/>
      </c>
      <c r="AE7" s="242" t="str">
        <f t="shared" si="20"/>
        <v/>
      </c>
      <c r="AF7" s="242" t="str">
        <f t="shared" si="21"/>
        <v/>
      </c>
      <c r="AG7" s="242" t="str">
        <f t="shared" si="22"/>
        <v/>
      </c>
      <c r="AH7" s="242" t="str">
        <f t="shared" si="23"/>
        <v/>
      </c>
      <c r="AI7" s="242" t="str">
        <f t="shared" si="24"/>
        <v/>
      </c>
      <c r="AJ7" s="242" t="str">
        <f t="shared" si="25"/>
        <v/>
      </c>
      <c r="AK7" s="242" t="str">
        <f t="shared" si="26"/>
        <v/>
      </c>
      <c r="AL7" s="242" t="str">
        <f t="shared" si="27"/>
        <v/>
      </c>
      <c r="AM7" s="242" t="str">
        <f t="shared" si="28"/>
        <v/>
      </c>
      <c r="AN7" s="199" t="str">
        <f t="shared" si="29"/>
        <v/>
      </c>
      <c r="AO7" s="199" t="str">
        <f t="shared" si="30"/>
        <v/>
      </c>
      <c r="AP7" s="199" t="str">
        <f t="shared" si="31"/>
        <v/>
      </c>
      <c r="AQ7" s="199" t="str">
        <f t="shared" si="32"/>
        <v/>
      </c>
      <c r="AR7" s="199" t="str">
        <f t="shared" si="33"/>
        <v/>
      </c>
      <c r="AS7" s="199" t="str">
        <f t="shared" si="34"/>
        <v/>
      </c>
      <c r="AT7" s="199" t="str">
        <f t="shared" si="35"/>
        <v/>
      </c>
      <c r="AU7" s="199" t="str">
        <f t="shared" si="36"/>
        <v/>
      </c>
      <c r="AV7" s="199" t="str">
        <f t="shared" si="37"/>
        <v/>
      </c>
      <c r="AW7" s="199" t="str">
        <f t="shared" si="38"/>
        <v/>
      </c>
      <c r="AX7" s="199" t="str">
        <f t="shared" si="39"/>
        <v/>
      </c>
      <c r="AY7" s="199" t="str">
        <f t="shared" si="40"/>
        <v/>
      </c>
    </row>
    <row r="8" spans="1:51" ht="20.399999999999999" x14ac:dyDescent="0.3">
      <c r="A8" s="191">
        <v>6</v>
      </c>
      <c r="B8" s="226" t="s">
        <v>103</v>
      </c>
      <c r="C8" s="120" t="s">
        <v>104</v>
      </c>
      <c r="D8" s="135">
        <v>2012</v>
      </c>
      <c r="E8" s="123">
        <v>41213</v>
      </c>
      <c r="F8" s="198">
        <f t="shared" si="0"/>
        <v>10</v>
      </c>
      <c r="G8" s="198" t="str">
        <f t="shared" si="1"/>
        <v>102012</v>
      </c>
      <c r="H8" s="198" t="str">
        <f t="shared" si="2"/>
        <v>octubre</v>
      </c>
      <c r="I8" s="114">
        <f>VLOOKUP(B8,'Base de Datos'!$E$7:$W$271,14,0)</f>
        <v>0</v>
      </c>
      <c r="J8" s="200">
        <f t="shared" si="3"/>
        <v>1900</v>
      </c>
      <c r="K8" s="199">
        <f t="shared" si="4"/>
        <v>1</v>
      </c>
      <c r="L8" s="199" t="str">
        <f t="shared" si="5"/>
        <v>11900</v>
      </c>
      <c r="M8" s="199" t="str">
        <f t="shared" si="6"/>
        <v>enero</v>
      </c>
      <c r="N8" s="199">
        <f t="shared" ca="1" si="7"/>
        <v>44228</v>
      </c>
      <c r="O8" s="242" t="str">
        <f t="shared" ca="1" si="8"/>
        <v>SI</v>
      </c>
      <c r="P8" s="242" t="str">
        <f t="shared" si="41"/>
        <v/>
      </c>
      <c r="Q8" s="242" t="str">
        <f t="shared" si="9"/>
        <v/>
      </c>
      <c r="R8" s="242" t="str">
        <f t="shared" si="10"/>
        <v/>
      </c>
      <c r="S8" s="242" t="str">
        <f t="shared" si="11"/>
        <v/>
      </c>
      <c r="T8" s="242" t="str">
        <f t="shared" si="12"/>
        <v/>
      </c>
      <c r="U8" s="242" t="str">
        <f t="shared" si="13"/>
        <v/>
      </c>
      <c r="V8" s="242" t="str">
        <f t="shared" si="43"/>
        <v/>
      </c>
      <c r="W8" s="242" t="str">
        <f t="shared" si="14"/>
        <v/>
      </c>
      <c r="X8" s="242" t="str">
        <f t="shared" si="15"/>
        <v/>
      </c>
      <c r="Y8" s="242" t="str">
        <f t="shared" si="42"/>
        <v/>
      </c>
      <c r="Z8" s="242" t="str">
        <f t="shared" si="16"/>
        <v/>
      </c>
      <c r="AA8" s="242">
        <v>1</v>
      </c>
      <c r="AB8" s="242" t="str">
        <f t="shared" si="17"/>
        <v/>
      </c>
      <c r="AC8" s="242" t="str">
        <f t="shared" si="18"/>
        <v/>
      </c>
      <c r="AD8" s="242" t="str">
        <f t="shared" si="19"/>
        <v/>
      </c>
      <c r="AE8" s="242" t="str">
        <f t="shared" si="20"/>
        <v/>
      </c>
      <c r="AF8" s="242" t="str">
        <f t="shared" si="21"/>
        <v/>
      </c>
      <c r="AG8" s="242" t="str">
        <f t="shared" si="22"/>
        <v/>
      </c>
      <c r="AH8" s="242" t="str">
        <f t="shared" si="23"/>
        <v/>
      </c>
      <c r="AI8" s="242" t="str">
        <f t="shared" si="24"/>
        <v/>
      </c>
      <c r="AJ8" s="242" t="str">
        <f t="shared" si="25"/>
        <v/>
      </c>
      <c r="AK8" s="242" t="str">
        <f t="shared" si="26"/>
        <v/>
      </c>
      <c r="AL8" s="242" t="str">
        <f t="shared" si="27"/>
        <v/>
      </c>
      <c r="AM8" s="242" t="str">
        <f t="shared" si="28"/>
        <v/>
      </c>
      <c r="AN8" s="199" t="str">
        <f t="shared" si="29"/>
        <v/>
      </c>
      <c r="AO8" s="199" t="str">
        <f t="shared" si="30"/>
        <v/>
      </c>
      <c r="AP8" s="199" t="str">
        <f t="shared" si="31"/>
        <v/>
      </c>
      <c r="AQ8" s="199" t="str">
        <f t="shared" si="32"/>
        <v/>
      </c>
      <c r="AR8" s="199" t="str">
        <f t="shared" si="33"/>
        <v/>
      </c>
      <c r="AS8" s="199" t="str">
        <f t="shared" si="34"/>
        <v/>
      </c>
      <c r="AT8" s="199" t="str">
        <f t="shared" si="35"/>
        <v/>
      </c>
      <c r="AU8" s="199" t="str">
        <f t="shared" si="36"/>
        <v/>
      </c>
      <c r="AV8" s="199" t="str">
        <f t="shared" si="37"/>
        <v/>
      </c>
      <c r="AW8" s="199" t="str">
        <f t="shared" si="38"/>
        <v/>
      </c>
      <c r="AX8" s="199" t="str">
        <f t="shared" si="39"/>
        <v/>
      </c>
      <c r="AY8" s="199" t="str">
        <f t="shared" si="40"/>
        <v/>
      </c>
    </row>
    <row r="9" spans="1:51" ht="20.399999999999999" x14ac:dyDescent="0.3">
      <c r="A9" s="191">
        <v>7</v>
      </c>
      <c r="B9" s="224" t="s">
        <v>399</v>
      </c>
      <c r="C9" s="120" t="s">
        <v>424</v>
      </c>
      <c r="D9" s="135">
        <v>2012</v>
      </c>
      <c r="E9" s="124">
        <v>41235</v>
      </c>
      <c r="F9" s="198">
        <f t="shared" si="0"/>
        <v>11</v>
      </c>
      <c r="G9" s="198" t="str">
        <f t="shared" si="1"/>
        <v>112012</v>
      </c>
      <c r="H9" s="198" t="str">
        <f t="shared" si="2"/>
        <v>noviembre</v>
      </c>
      <c r="I9" s="114">
        <f>VLOOKUP(B9,'Base de Datos'!$E$7:$W$271,14,0)</f>
        <v>0</v>
      </c>
      <c r="J9" s="200">
        <f t="shared" si="3"/>
        <v>1900</v>
      </c>
      <c r="K9" s="199">
        <f t="shared" si="4"/>
        <v>1</v>
      </c>
      <c r="L9" s="199" t="str">
        <f t="shared" si="5"/>
        <v>11900</v>
      </c>
      <c r="M9" s="199" t="str">
        <f t="shared" si="6"/>
        <v>enero</v>
      </c>
      <c r="N9" s="199">
        <f t="shared" ca="1" si="7"/>
        <v>44228</v>
      </c>
      <c r="O9" s="242" t="str">
        <f t="shared" ca="1" si="8"/>
        <v>SI</v>
      </c>
      <c r="P9" s="242" t="str">
        <f t="shared" si="41"/>
        <v/>
      </c>
      <c r="Q9" s="242" t="str">
        <f t="shared" si="9"/>
        <v/>
      </c>
      <c r="R9" s="242" t="str">
        <f t="shared" si="10"/>
        <v/>
      </c>
      <c r="S9" s="242" t="str">
        <f t="shared" si="11"/>
        <v/>
      </c>
      <c r="T9" s="242" t="str">
        <f t="shared" si="12"/>
        <v/>
      </c>
      <c r="U9" s="242" t="str">
        <f t="shared" si="13"/>
        <v/>
      </c>
      <c r="V9" s="242" t="str">
        <f t="shared" si="43"/>
        <v/>
      </c>
      <c r="W9" s="242" t="str">
        <f t="shared" si="14"/>
        <v/>
      </c>
      <c r="X9" s="242" t="str">
        <f t="shared" si="15"/>
        <v/>
      </c>
      <c r="Y9" s="242" t="str">
        <f t="shared" si="42"/>
        <v/>
      </c>
      <c r="Z9" s="242" t="str">
        <f t="shared" si="16"/>
        <v/>
      </c>
      <c r="AA9" s="242" t="str">
        <f t="shared" ref="AA9:AA20" si="44">IF(AND(E9&lt;$AA$2,I9&gt;$AA$2),"1","")</f>
        <v/>
      </c>
      <c r="AB9" s="242">
        <v>1</v>
      </c>
      <c r="AC9" s="242" t="str">
        <f t="shared" si="18"/>
        <v/>
      </c>
      <c r="AD9" s="242" t="str">
        <f t="shared" si="19"/>
        <v/>
      </c>
      <c r="AE9" s="242" t="str">
        <f t="shared" si="20"/>
        <v/>
      </c>
      <c r="AF9" s="242" t="str">
        <f t="shared" si="21"/>
        <v/>
      </c>
      <c r="AG9" s="242" t="str">
        <f t="shared" si="22"/>
        <v/>
      </c>
      <c r="AH9" s="242" t="str">
        <f t="shared" si="23"/>
        <v/>
      </c>
      <c r="AI9" s="242" t="str">
        <f t="shared" si="24"/>
        <v/>
      </c>
      <c r="AJ9" s="242" t="str">
        <f t="shared" si="25"/>
        <v/>
      </c>
      <c r="AK9" s="242" t="str">
        <f t="shared" si="26"/>
        <v/>
      </c>
      <c r="AL9" s="242" t="str">
        <f t="shared" si="27"/>
        <v/>
      </c>
      <c r="AM9" s="242" t="str">
        <f t="shared" si="28"/>
        <v/>
      </c>
      <c r="AN9" s="199" t="str">
        <f t="shared" si="29"/>
        <v/>
      </c>
      <c r="AO9" s="199" t="str">
        <f t="shared" si="30"/>
        <v/>
      </c>
      <c r="AP9" s="199" t="str">
        <f t="shared" si="31"/>
        <v/>
      </c>
      <c r="AQ9" s="199" t="str">
        <f t="shared" si="32"/>
        <v/>
      </c>
      <c r="AR9" s="199" t="str">
        <f t="shared" si="33"/>
        <v/>
      </c>
      <c r="AS9" s="199" t="str">
        <f t="shared" si="34"/>
        <v/>
      </c>
      <c r="AT9" s="199" t="str">
        <f t="shared" si="35"/>
        <v/>
      </c>
      <c r="AU9" s="199" t="str">
        <f t="shared" si="36"/>
        <v/>
      </c>
      <c r="AV9" s="199" t="str">
        <f t="shared" si="37"/>
        <v/>
      </c>
      <c r="AW9" s="199" t="str">
        <f t="shared" si="38"/>
        <v/>
      </c>
      <c r="AX9" s="199" t="str">
        <f t="shared" si="39"/>
        <v/>
      </c>
      <c r="AY9" s="199" t="str">
        <f t="shared" si="40"/>
        <v/>
      </c>
    </row>
    <row r="10" spans="1:51" ht="20.399999999999999" x14ac:dyDescent="0.3">
      <c r="A10" s="191">
        <v>8</v>
      </c>
      <c r="B10" s="227" t="s">
        <v>118</v>
      </c>
      <c r="C10" s="129" t="s">
        <v>1013</v>
      </c>
      <c r="D10" s="135">
        <v>2012</v>
      </c>
      <c r="E10" s="131">
        <v>41246</v>
      </c>
      <c r="F10" s="198">
        <f t="shared" si="0"/>
        <v>12</v>
      </c>
      <c r="G10" s="198" t="str">
        <f t="shared" si="1"/>
        <v>122012</v>
      </c>
      <c r="H10" s="198" t="str">
        <f t="shared" si="2"/>
        <v>diciembre</v>
      </c>
      <c r="I10" s="114">
        <f>VLOOKUP(B10,'Base de Datos'!$E$7:$W$271,14,0)</f>
        <v>0</v>
      </c>
      <c r="J10" s="200">
        <f t="shared" si="3"/>
        <v>1900</v>
      </c>
      <c r="K10" s="199">
        <f t="shared" si="4"/>
        <v>1</v>
      </c>
      <c r="L10" s="199" t="str">
        <f t="shared" si="5"/>
        <v>11900</v>
      </c>
      <c r="M10" s="199" t="str">
        <f t="shared" si="6"/>
        <v>enero</v>
      </c>
      <c r="N10" s="199">
        <f t="shared" ca="1" si="7"/>
        <v>44228</v>
      </c>
      <c r="O10" s="242" t="str">
        <f t="shared" ca="1" si="8"/>
        <v>SI</v>
      </c>
      <c r="P10" s="242" t="str">
        <f t="shared" si="41"/>
        <v/>
      </c>
      <c r="Q10" s="242" t="str">
        <f t="shared" si="9"/>
        <v/>
      </c>
      <c r="R10" s="242" t="str">
        <f t="shared" si="10"/>
        <v/>
      </c>
      <c r="S10" s="242" t="str">
        <f t="shared" si="11"/>
        <v/>
      </c>
      <c r="T10" s="242" t="str">
        <f t="shared" si="12"/>
        <v/>
      </c>
      <c r="U10" s="242" t="str">
        <f t="shared" si="13"/>
        <v/>
      </c>
      <c r="V10" s="242" t="str">
        <f t="shared" si="43"/>
        <v/>
      </c>
      <c r="W10" s="242" t="str">
        <f t="shared" si="14"/>
        <v/>
      </c>
      <c r="X10" s="242" t="str">
        <f t="shared" si="15"/>
        <v/>
      </c>
      <c r="Y10" s="242" t="str">
        <f t="shared" si="42"/>
        <v/>
      </c>
      <c r="Z10" s="242" t="str">
        <f t="shared" si="16"/>
        <v/>
      </c>
      <c r="AA10" s="242" t="str">
        <f t="shared" si="44"/>
        <v/>
      </c>
      <c r="AB10" s="242" t="str">
        <f t="shared" ref="AB10:AB73" si="45">IF(AND(E10&lt;$AB$2,I10&gt;$AB$2),"1","")</f>
        <v/>
      </c>
      <c r="AC10" s="242">
        <v>1</v>
      </c>
      <c r="AD10" s="242" t="str">
        <f t="shared" si="19"/>
        <v/>
      </c>
      <c r="AE10" s="242" t="str">
        <f t="shared" si="20"/>
        <v/>
      </c>
      <c r="AF10" s="242" t="str">
        <f t="shared" si="21"/>
        <v/>
      </c>
      <c r="AG10" s="242" t="str">
        <f t="shared" si="22"/>
        <v/>
      </c>
      <c r="AH10" s="242" t="str">
        <f t="shared" si="23"/>
        <v/>
      </c>
      <c r="AI10" s="242" t="str">
        <f t="shared" si="24"/>
        <v/>
      </c>
      <c r="AJ10" s="242" t="str">
        <f t="shared" si="25"/>
        <v/>
      </c>
      <c r="AK10" s="242" t="str">
        <f t="shared" si="26"/>
        <v/>
      </c>
      <c r="AL10" s="242" t="str">
        <f t="shared" si="27"/>
        <v/>
      </c>
      <c r="AM10" s="242" t="str">
        <f t="shared" si="28"/>
        <v/>
      </c>
      <c r="AN10" s="199" t="str">
        <f t="shared" si="29"/>
        <v/>
      </c>
      <c r="AO10" s="199" t="str">
        <f t="shared" si="30"/>
        <v/>
      </c>
      <c r="AP10" s="199" t="str">
        <f t="shared" si="31"/>
        <v/>
      </c>
      <c r="AQ10" s="199" t="str">
        <f t="shared" si="32"/>
        <v/>
      </c>
      <c r="AR10" s="199" t="str">
        <f t="shared" si="33"/>
        <v/>
      </c>
      <c r="AS10" s="199" t="str">
        <f t="shared" si="34"/>
        <v/>
      </c>
      <c r="AT10" s="199" t="str">
        <f t="shared" si="35"/>
        <v/>
      </c>
      <c r="AU10" s="199" t="str">
        <f t="shared" si="36"/>
        <v/>
      </c>
      <c r="AV10" s="199" t="str">
        <f t="shared" si="37"/>
        <v/>
      </c>
      <c r="AW10" s="199" t="str">
        <f t="shared" si="38"/>
        <v/>
      </c>
      <c r="AX10" s="199" t="str">
        <f t="shared" si="39"/>
        <v/>
      </c>
      <c r="AY10" s="199" t="str">
        <f t="shared" si="40"/>
        <v/>
      </c>
    </row>
    <row r="11" spans="1:51" ht="20.399999999999999" x14ac:dyDescent="0.3">
      <c r="A11" s="191">
        <v>9</v>
      </c>
      <c r="B11" s="226" t="s">
        <v>163</v>
      </c>
      <c r="C11" s="120" t="s">
        <v>432</v>
      </c>
      <c r="D11" s="122">
        <v>2011</v>
      </c>
      <c r="E11" s="124">
        <v>40946</v>
      </c>
      <c r="F11" s="198">
        <f t="shared" si="0"/>
        <v>2</v>
      </c>
      <c r="G11" s="198" t="str">
        <f t="shared" si="1"/>
        <v>22011</v>
      </c>
      <c r="H11" s="198" t="str">
        <f t="shared" si="2"/>
        <v>febrero</v>
      </c>
      <c r="I11" s="114">
        <f>VLOOKUP(B11,'Base de Datos'!$E$7:$W$271,14,0)</f>
        <v>0</v>
      </c>
      <c r="J11" s="200">
        <f t="shared" si="3"/>
        <v>1900</v>
      </c>
      <c r="K11" s="199">
        <f t="shared" si="4"/>
        <v>1</v>
      </c>
      <c r="L11" s="199" t="str">
        <f t="shared" si="5"/>
        <v>11900</v>
      </c>
      <c r="M11" s="199" t="str">
        <f t="shared" si="6"/>
        <v>enero</v>
      </c>
      <c r="N11" s="199">
        <f t="shared" ca="1" si="7"/>
        <v>44228</v>
      </c>
      <c r="O11" s="242" t="str">
        <f t="shared" ca="1" si="8"/>
        <v>SI</v>
      </c>
      <c r="P11" s="242" t="str">
        <f t="shared" si="41"/>
        <v/>
      </c>
      <c r="Q11" s="242" t="str">
        <f t="shared" si="9"/>
        <v/>
      </c>
      <c r="R11" s="242" t="str">
        <f t="shared" si="10"/>
        <v/>
      </c>
      <c r="S11" s="242" t="str">
        <f t="shared" si="11"/>
        <v/>
      </c>
      <c r="T11" s="242" t="str">
        <f t="shared" si="12"/>
        <v/>
      </c>
      <c r="U11" s="242" t="str">
        <f t="shared" si="13"/>
        <v/>
      </c>
      <c r="V11" s="242" t="str">
        <f t="shared" si="43"/>
        <v/>
      </c>
      <c r="W11" s="242" t="str">
        <f t="shared" si="14"/>
        <v/>
      </c>
      <c r="X11" s="242" t="str">
        <f t="shared" si="15"/>
        <v/>
      </c>
      <c r="Y11" s="242" t="str">
        <f t="shared" si="42"/>
        <v/>
      </c>
      <c r="Z11" s="242" t="str">
        <f t="shared" si="16"/>
        <v/>
      </c>
      <c r="AA11" s="242" t="str">
        <f t="shared" si="44"/>
        <v/>
      </c>
      <c r="AB11" s="242" t="str">
        <f t="shared" si="45"/>
        <v/>
      </c>
      <c r="AC11" s="242">
        <v>1</v>
      </c>
      <c r="AD11" s="242" t="str">
        <f t="shared" si="19"/>
        <v/>
      </c>
      <c r="AE11" s="242" t="str">
        <f t="shared" si="20"/>
        <v/>
      </c>
      <c r="AF11" s="242" t="str">
        <f t="shared" si="21"/>
        <v/>
      </c>
      <c r="AG11" s="242" t="str">
        <f t="shared" si="22"/>
        <v/>
      </c>
      <c r="AH11" s="242" t="str">
        <f t="shared" si="23"/>
        <v/>
      </c>
      <c r="AI11" s="242" t="str">
        <f t="shared" si="24"/>
        <v/>
      </c>
      <c r="AJ11" s="242" t="str">
        <f t="shared" si="25"/>
        <v/>
      </c>
      <c r="AK11" s="242" t="str">
        <f t="shared" si="26"/>
        <v/>
      </c>
      <c r="AL11" s="242" t="str">
        <f t="shared" si="27"/>
        <v/>
      </c>
      <c r="AM11" s="242" t="str">
        <f t="shared" si="28"/>
        <v/>
      </c>
      <c r="AN11" s="199" t="str">
        <f t="shared" si="29"/>
        <v/>
      </c>
      <c r="AO11" s="199" t="str">
        <f t="shared" si="30"/>
        <v/>
      </c>
      <c r="AP11" s="199" t="str">
        <f t="shared" si="31"/>
        <v/>
      </c>
      <c r="AQ11" s="199" t="str">
        <f t="shared" si="32"/>
        <v/>
      </c>
      <c r="AR11" s="199" t="str">
        <f t="shared" si="33"/>
        <v/>
      </c>
      <c r="AS11" s="199" t="str">
        <f t="shared" si="34"/>
        <v/>
      </c>
      <c r="AT11" s="199" t="str">
        <f t="shared" si="35"/>
        <v/>
      </c>
      <c r="AU11" s="199" t="str">
        <f t="shared" si="36"/>
        <v/>
      </c>
      <c r="AV11" s="199" t="str">
        <f t="shared" si="37"/>
        <v/>
      </c>
      <c r="AW11" s="199" t="str">
        <f t="shared" si="38"/>
        <v/>
      </c>
      <c r="AX11" s="199" t="str">
        <f t="shared" si="39"/>
        <v/>
      </c>
      <c r="AY11" s="199" t="str">
        <f t="shared" si="40"/>
        <v/>
      </c>
    </row>
    <row r="12" spans="1:51" ht="20.399999999999999" x14ac:dyDescent="0.3">
      <c r="A12" s="191">
        <v>10</v>
      </c>
      <c r="B12" s="226" t="s">
        <v>396</v>
      </c>
      <c r="C12" s="120" t="s">
        <v>102</v>
      </c>
      <c r="D12" s="135">
        <v>2012</v>
      </c>
      <c r="E12" s="131">
        <v>41067</v>
      </c>
      <c r="F12" s="198">
        <f t="shared" si="0"/>
        <v>6</v>
      </c>
      <c r="G12" s="198" t="str">
        <f t="shared" si="1"/>
        <v>62012</v>
      </c>
      <c r="H12" s="198" t="str">
        <f t="shared" si="2"/>
        <v>junio</v>
      </c>
      <c r="I12" s="114">
        <f>VLOOKUP(B12,'Base de Datos'!$E$7:$W$271,14,0)</f>
        <v>0</v>
      </c>
      <c r="J12" s="200">
        <f t="shared" si="3"/>
        <v>1900</v>
      </c>
      <c r="K12" s="199">
        <f t="shared" si="4"/>
        <v>1</v>
      </c>
      <c r="L12" s="199" t="str">
        <f t="shared" si="5"/>
        <v>11900</v>
      </c>
      <c r="M12" s="199" t="str">
        <f t="shared" si="6"/>
        <v>enero</v>
      </c>
      <c r="N12" s="199">
        <f t="shared" ca="1" si="7"/>
        <v>44228</v>
      </c>
      <c r="O12" s="242" t="str">
        <f t="shared" ca="1" si="8"/>
        <v>SI</v>
      </c>
      <c r="P12" s="242" t="str">
        <f t="shared" si="41"/>
        <v/>
      </c>
      <c r="Q12" s="242" t="str">
        <f t="shared" si="9"/>
        <v/>
      </c>
      <c r="R12" s="242" t="str">
        <f t="shared" si="10"/>
        <v/>
      </c>
      <c r="S12" s="242" t="str">
        <f t="shared" si="11"/>
        <v/>
      </c>
      <c r="T12" s="242" t="str">
        <f t="shared" si="12"/>
        <v/>
      </c>
      <c r="U12" s="242" t="str">
        <f t="shared" si="13"/>
        <v/>
      </c>
      <c r="V12" s="242" t="str">
        <f t="shared" si="43"/>
        <v/>
      </c>
      <c r="W12" s="242" t="str">
        <f t="shared" si="14"/>
        <v/>
      </c>
      <c r="X12" s="242" t="str">
        <f t="shared" si="15"/>
        <v/>
      </c>
      <c r="Y12" s="242" t="str">
        <f t="shared" si="42"/>
        <v/>
      </c>
      <c r="Z12" s="242" t="str">
        <f t="shared" si="16"/>
        <v/>
      </c>
      <c r="AA12" s="242" t="str">
        <f t="shared" si="44"/>
        <v/>
      </c>
      <c r="AB12" s="242" t="str">
        <f t="shared" si="45"/>
        <v/>
      </c>
      <c r="AC12" s="242">
        <v>1</v>
      </c>
      <c r="AD12" s="242" t="str">
        <f t="shared" si="19"/>
        <v/>
      </c>
      <c r="AE12" s="242" t="str">
        <f t="shared" si="20"/>
        <v/>
      </c>
      <c r="AF12" s="242" t="str">
        <f t="shared" si="21"/>
        <v/>
      </c>
      <c r="AG12" s="242" t="str">
        <f t="shared" si="22"/>
        <v/>
      </c>
      <c r="AH12" s="242" t="str">
        <f t="shared" si="23"/>
        <v/>
      </c>
      <c r="AI12" s="242" t="str">
        <f t="shared" si="24"/>
        <v/>
      </c>
      <c r="AJ12" s="242" t="str">
        <f t="shared" si="25"/>
        <v/>
      </c>
      <c r="AK12" s="242" t="str">
        <f t="shared" si="26"/>
        <v/>
      </c>
      <c r="AL12" s="242" t="str">
        <f t="shared" si="27"/>
        <v/>
      </c>
      <c r="AM12" s="242" t="str">
        <f t="shared" si="28"/>
        <v/>
      </c>
      <c r="AN12" s="199" t="str">
        <f t="shared" si="29"/>
        <v/>
      </c>
      <c r="AO12" s="199" t="str">
        <f t="shared" si="30"/>
        <v/>
      </c>
      <c r="AP12" s="199" t="str">
        <f t="shared" si="31"/>
        <v/>
      </c>
      <c r="AQ12" s="199" t="str">
        <f t="shared" si="32"/>
        <v/>
      </c>
      <c r="AR12" s="199" t="str">
        <f t="shared" si="33"/>
        <v/>
      </c>
      <c r="AS12" s="199" t="str">
        <f t="shared" si="34"/>
        <v/>
      </c>
      <c r="AT12" s="199" t="str">
        <f t="shared" si="35"/>
        <v/>
      </c>
      <c r="AU12" s="199" t="str">
        <f t="shared" si="36"/>
        <v/>
      </c>
      <c r="AV12" s="199" t="str">
        <f t="shared" si="37"/>
        <v/>
      </c>
      <c r="AW12" s="199" t="str">
        <f t="shared" si="38"/>
        <v/>
      </c>
      <c r="AX12" s="199" t="str">
        <f t="shared" si="39"/>
        <v/>
      </c>
      <c r="AY12" s="199" t="str">
        <f t="shared" si="40"/>
        <v/>
      </c>
    </row>
    <row r="13" spans="1:51" ht="30.6" x14ac:dyDescent="0.3">
      <c r="A13" s="191">
        <v>11</v>
      </c>
      <c r="B13" s="224" t="s">
        <v>67</v>
      </c>
      <c r="C13" s="120" t="s">
        <v>68</v>
      </c>
      <c r="D13" s="135">
        <v>2012</v>
      </c>
      <c r="E13" s="124">
        <v>41260</v>
      </c>
      <c r="F13" s="198">
        <f t="shared" si="0"/>
        <v>12</v>
      </c>
      <c r="G13" s="198" t="str">
        <f t="shared" si="1"/>
        <v>122012</v>
      </c>
      <c r="H13" s="198" t="str">
        <f t="shared" si="2"/>
        <v>diciembre</v>
      </c>
      <c r="I13" s="114">
        <f>VLOOKUP(B13,'Base de Datos'!$E$7:$W$271,14,0)</f>
        <v>0</v>
      </c>
      <c r="J13" s="200">
        <f t="shared" si="3"/>
        <v>1900</v>
      </c>
      <c r="K13" s="199">
        <f t="shared" si="4"/>
        <v>1</v>
      </c>
      <c r="L13" s="199" t="str">
        <f t="shared" si="5"/>
        <v>11900</v>
      </c>
      <c r="M13" s="199" t="str">
        <f t="shared" si="6"/>
        <v>enero</v>
      </c>
      <c r="N13" s="199">
        <f t="shared" ca="1" si="7"/>
        <v>44228</v>
      </c>
      <c r="O13" s="242" t="str">
        <f t="shared" ca="1" si="8"/>
        <v>SI</v>
      </c>
      <c r="P13" s="242" t="str">
        <f t="shared" si="41"/>
        <v/>
      </c>
      <c r="Q13" s="242" t="str">
        <f t="shared" si="9"/>
        <v/>
      </c>
      <c r="R13" s="242" t="str">
        <f t="shared" si="10"/>
        <v/>
      </c>
      <c r="S13" s="242" t="str">
        <f t="shared" si="11"/>
        <v/>
      </c>
      <c r="T13" s="242" t="str">
        <f t="shared" si="12"/>
        <v/>
      </c>
      <c r="U13" s="242" t="str">
        <f t="shared" si="13"/>
        <v/>
      </c>
      <c r="V13" s="242" t="str">
        <f t="shared" si="43"/>
        <v/>
      </c>
      <c r="W13" s="242" t="str">
        <f t="shared" si="14"/>
        <v/>
      </c>
      <c r="X13" s="242" t="str">
        <f t="shared" si="15"/>
        <v/>
      </c>
      <c r="Y13" s="242" t="str">
        <f t="shared" si="42"/>
        <v/>
      </c>
      <c r="Z13" s="242" t="str">
        <f t="shared" si="16"/>
        <v/>
      </c>
      <c r="AA13" s="242" t="str">
        <f t="shared" si="44"/>
        <v/>
      </c>
      <c r="AB13" s="242" t="str">
        <f t="shared" si="45"/>
        <v/>
      </c>
      <c r="AC13" s="242">
        <v>1</v>
      </c>
      <c r="AD13" s="242" t="str">
        <f t="shared" si="19"/>
        <v/>
      </c>
      <c r="AE13" s="242" t="str">
        <f t="shared" si="20"/>
        <v/>
      </c>
      <c r="AF13" s="242" t="str">
        <f t="shared" si="21"/>
        <v/>
      </c>
      <c r="AG13" s="242" t="str">
        <f t="shared" si="22"/>
        <v/>
      </c>
      <c r="AH13" s="242" t="str">
        <f t="shared" si="23"/>
        <v/>
      </c>
      <c r="AI13" s="242" t="str">
        <f t="shared" si="24"/>
        <v/>
      </c>
      <c r="AJ13" s="242" t="str">
        <f t="shared" si="25"/>
        <v/>
      </c>
      <c r="AK13" s="242" t="str">
        <f t="shared" si="26"/>
        <v/>
      </c>
      <c r="AL13" s="242" t="str">
        <f t="shared" si="27"/>
        <v/>
      </c>
      <c r="AM13" s="242" t="str">
        <f t="shared" si="28"/>
        <v/>
      </c>
      <c r="AN13" s="199" t="str">
        <f t="shared" si="29"/>
        <v/>
      </c>
      <c r="AO13" s="199" t="str">
        <f t="shared" si="30"/>
        <v/>
      </c>
      <c r="AP13" s="199" t="str">
        <f t="shared" si="31"/>
        <v/>
      </c>
      <c r="AQ13" s="199" t="str">
        <f t="shared" si="32"/>
        <v/>
      </c>
      <c r="AR13" s="199" t="str">
        <f t="shared" si="33"/>
        <v/>
      </c>
      <c r="AS13" s="199" t="str">
        <f t="shared" si="34"/>
        <v/>
      </c>
      <c r="AT13" s="199" t="str">
        <f t="shared" si="35"/>
        <v/>
      </c>
      <c r="AU13" s="199" t="str">
        <f t="shared" si="36"/>
        <v/>
      </c>
      <c r="AV13" s="199" t="str">
        <f t="shared" si="37"/>
        <v/>
      </c>
      <c r="AW13" s="199" t="str">
        <f t="shared" si="38"/>
        <v/>
      </c>
      <c r="AX13" s="199" t="str">
        <f t="shared" si="39"/>
        <v/>
      </c>
      <c r="AY13" s="199" t="str">
        <f t="shared" si="40"/>
        <v/>
      </c>
    </row>
    <row r="14" spans="1:51" ht="20.399999999999999" x14ac:dyDescent="0.3">
      <c r="A14" s="191">
        <v>12</v>
      </c>
      <c r="B14" s="225" t="s">
        <v>180</v>
      </c>
      <c r="C14" s="120" t="s">
        <v>181</v>
      </c>
      <c r="D14" s="127">
        <v>2009</v>
      </c>
      <c r="E14" s="124">
        <v>40197</v>
      </c>
      <c r="F14" s="198">
        <f t="shared" si="0"/>
        <v>1</v>
      </c>
      <c r="G14" s="198" t="str">
        <f t="shared" si="1"/>
        <v>12009</v>
      </c>
      <c r="H14" s="198" t="str">
        <f t="shared" si="2"/>
        <v>enero</v>
      </c>
      <c r="I14" s="114">
        <f>VLOOKUP(B14,'Base de Datos'!$E$7:$W$271,14,0)</f>
        <v>0</v>
      </c>
      <c r="J14" s="200">
        <f t="shared" si="3"/>
        <v>1900</v>
      </c>
      <c r="K14" s="199">
        <f t="shared" si="4"/>
        <v>1</v>
      </c>
      <c r="L14" s="199" t="str">
        <f t="shared" si="5"/>
        <v>11900</v>
      </c>
      <c r="M14" s="199" t="str">
        <f t="shared" si="6"/>
        <v>enero</v>
      </c>
      <c r="N14" s="199">
        <f t="shared" ca="1" si="7"/>
        <v>44228</v>
      </c>
      <c r="O14" s="242" t="str">
        <f t="shared" ca="1" si="8"/>
        <v>SI</v>
      </c>
      <c r="P14" s="242" t="str">
        <f t="shared" si="41"/>
        <v/>
      </c>
      <c r="Q14" s="242" t="str">
        <f t="shared" si="9"/>
        <v/>
      </c>
      <c r="R14" s="242" t="str">
        <f t="shared" si="10"/>
        <v/>
      </c>
      <c r="S14" s="242" t="str">
        <f t="shared" si="11"/>
        <v/>
      </c>
      <c r="T14" s="242" t="str">
        <f t="shared" si="12"/>
        <v/>
      </c>
      <c r="U14" s="242" t="str">
        <f t="shared" si="13"/>
        <v/>
      </c>
      <c r="V14" s="242" t="str">
        <f t="shared" si="43"/>
        <v/>
      </c>
      <c r="W14" s="242" t="str">
        <f t="shared" si="14"/>
        <v/>
      </c>
      <c r="X14" s="242" t="str">
        <f t="shared" si="15"/>
        <v/>
      </c>
      <c r="Y14" s="242" t="str">
        <f t="shared" si="42"/>
        <v/>
      </c>
      <c r="Z14" s="242" t="str">
        <f t="shared" si="16"/>
        <v/>
      </c>
      <c r="AA14" s="242" t="str">
        <f t="shared" si="44"/>
        <v/>
      </c>
      <c r="AB14" s="242" t="str">
        <f t="shared" si="45"/>
        <v/>
      </c>
      <c r="AC14" s="242">
        <v>1</v>
      </c>
      <c r="AD14" s="242" t="str">
        <f t="shared" si="19"/>
        <v/>
      </c>
      <c r="AE14" s="242" t="str">
        <f t="shared" si="20"/>
        <v/>
      </c>
      <c r="AF14" s="242" t="str">
        <f t="shared" si="21"/>
        <v/>
      </c>
      <c r="AG14" s="242" t="str">
        <f t="shared" si="22"/>
        <v/>
      </c>
      <c r="AH14" s="242" t="str">
        <f t="shared" si="23"/>
        <v/>
      </c>
      <c r="AI14" s="242" t="str">
        <f t="shared" si="24"/>
        <v/>
      </c>
      <c r="AJ14" s="242" t="str">
        <f t="shared" si="25"/>
        <v/>
      </c>
      <c r="AK14" s="242" t="str">
        <f t="shared" si="26"/>
        <v/>
      </c>
      <c r="AL14" s="242" t="str">
        <f t="shared" si="27"/>
        <v/>
      </c>
      <c r="AM14" s="242" t="str">
        <f t="shared" si="28"/>
        <v/>
      </c>
      <c r="AN14" s="199" t="str">
        <f t="shared" si="29"/>
        <v/>
      </c>
      <c r="AO14" s="199" t="str">
        <f t="shared" si="30"/>
        <v/>
      </c>
      <c r="AP14" s="199" t="str">
        <f t="shared" si="31"/>
        <v/>
      </c>
      <c r="AQ14" s="199" t="str">
        <f t="shared" si="32"/>
        <v/>
      </c>
      <c r="AR14" s="199" t="str">
        <f t="shared" si="33"/>
        <v/>
      </c>
      <c r="AS14" s="199" t="str">
        <f t="shared" si="34"/>
        <v/>
      </c>
      <c r="AT14" s="199" t="str">
        <f t="shared" si="35"/>
        <v/>
      </c>
      <c r="AU14" s="199" t="str">
        <f t="shared" si="36"/>
        <v/>
      </c>
      <c r="AV14" s="199" t="str">
        <f t="shared" si="37"/>
        <v/>
      </c>
      <c r="AW14" s="199" t="str">
        <f t="shared" si="38"/>
        <v/>
      </c>
      <c r="AX14" s="199" t="str">
        <f t="shared" si="39"/>
        <v/>
      </c>
      <c r="AY14" s="199" t="str">
        <f t="shared" si="40"/>
        <v/>
      </c>
    </row>
    <row r="15" spans="1:51" ht="20.399999999999999" x14ac:dyDescent="0.3">
      <c r="A15" s="191">
        <v>13</v>
      </c>
      <c r="B15" s="227" t="s">
        <v>112</v>
      </c>
      <c r="C15" s="129" t="s">
        <v>430</v>
      </c>
      <c r="D15" s="122">
        <v>2011</v>
      </c>
      <c r="E15" s="131">
        <v>40865</v>
      </c>
      <c r="F15" s="198">
        <f t="shared" si="0"/>
        <v>11</v>
      </c>
      <c r="G15" s="198" t="str">
        <f t="shared" si="1"/>
        <v>112011</v>
      </c>
      <c r="H15" s="198" t="str">
        <f t="shared" si="2"/>
        <v>noviembre</v>
      </c>
      <c r="I15" s="114">
        <f>VLOOKUP(B15,'Base de Datos'!$E$7:$W$271,14,0)</f>
        <v>1</v>
      </c>
      <c r="J15" s="200">
        <f t="shared" si="3"/>
        <v>1900</v>
      </c>
      <c r="K15" s="199">
        <f t="shared" si="4"/>
        <v>1</v>
      </c>
      <c r="L15" s="199" t="str">
        <f t="shared" si="5"/>
        <v>11900</v>
      </c>
      <c r="M15" s="199" t="str">
        <f t="shared" si="6"/>
        <v>enero</v>
      </c>
      <c r="N15" s="199">
        <f t="shared" ca="1" si="7"/>
        <v>44227</v>
      </c>
      <c r="O15" s="242" t="str">
        <f t="shared" ca="1" si="8"/>
        <v>SI</v>
      </c>
      <c r="P15" s="242" t="str">
        <f t="shared" si="41"/>
        <v/>
      </c>
      <c r="Q15" s="242" t="str">
        <f t="shared" si="9"/>
        <v/>
      </c>
      <c r="R15" s="242" t="str">
        <f t="shared" si="10"/>
        <v/>
      </c>
      <c r="S15" s="242" t="str">
        <f t="shared" si="11"/>
        <v/>
      </c>
      <c r="T15" s="242" t="str">
        <f t="shared" si="12"/>
        <v/>
      </c>
      <c r="U15" s="242" t="str">
        <f t="shared" si="13"/>
        <v/>
      </c>
      <c r="V15" s="242" t="str">
        <f t="shared" si="43"/>
        <v/>
      </c>
      <c r="W15" s="242" t="str">
        <f t="shared" si="14"/>
        <v/>
      </c>
      <c r="X15" s="242" t="str">
        <f t="shared" si="15"/>
        <v/>
      </c>
      <c r="Y15" s="242" t="str">
        <f t="shared" si="42"/>
        <v/>
      </c>
      <c r="Z15" s="242" t="str">
        <f t="shared" si="16"/>
        <v/>
      </c>
      <c r="AA15" s="242" t="str">
        <f t="shared" si="44"/>
        <v/>
      </c>
      <c r="AB15" s="242" t="str">
        <f t="shared" si="45"/>
        <v/>
      </c>
      <c r="AC15" s="242">
        <v>1</v>
      </c>
      <c r="AD15" s="242" t="str">
        <f t="shared" si="19"/>
        <v/>
      </c>
      <c r="AE15" s="242" t="str">
        <f t="shared" si="20"/>
        <v/>
      </c>
      <c r="AF15" s="242" t="str">
        <f t="shared" si="21"/>
        <v/>
      </c>
      <c r="AG15" s="242" t="str">
        <f t="shared" si="22"/>
        <v/>
      </c>
      <c r="AH15" s="242" t="str">
        <f t="shared" si="23"/>
        <v/>
      </c>
      <c r="AI15" s="242" t="str">
        <f t="shared" si="24"/>
        <v/>
      </c>
      <c r="AJ15" s="242" t="str">
        <f t="shared" si="25"/>
        <v/>
      </c>
      <c r="AK15" s="242" t="str">
        <f t="shared" si="26"/>
        <v/>
      </c>
      <c r="AL15" s="242" t="str">
        <f t="shared" si="27"/>
        <v/>
      </c>
      <c r="AM15" s="242" t="str">
        <f t="shared" si="28"/>
        <v/>
      </c>
      <c r="AN15" s="199" t="str">
        <f t="shared" si="29"/>
        <v/>
      </c>
      <c r="AO15" s="199" t="str">
        <f t="shared" si="30"/>
        <v/>
      </c>
      <c r="AP15" s="199" t="str">
        <f t="shared" si="31"/>
        <v/>
      </c>
      <c r="AQ15" s="199" t="str">
        <f t="shared" si="32"/>
        <v/>
      </c>
      <c r="AR15" s="199" t="str">
        <f t="shared" si="33"/>
        <v/>
      </c>
      <c r="AS15" s="199" t="str">
        <f t="shared" si="34"/>
        <v/>
      </c>
      <c r="AT15" s="199" t="str">
        <f t="shared" si="35"/>
        <v/>
      </c>
      <c r="AU15" s="199" t="str">
        <f t="shared" si="36"/>
        <v/>
      </c>
      <c r="AV15" s="199" t="str">
        <f t="shared" si="37"/>
        <v/>
      </c>
      <c r="AW15" s="199" t="str">
        <f t="shared" si="38"/>
        <v/>
      </c>
      <c r="AX15" s="199" t="str">
        <f t="shared" si="39"/>
        <v/>
      </c>
      <c r="AY15" s="199" t="str">
        <f t="shared" si="40"/>
        <v/>
      </c>
    </row>
    <row r="16" spans="1:51" ht="20.399999999999999" x14ac:dyDescent="0.3">
      <c r="A16" s="191">
        <v>14</v>
      </c>
      <c r="B16" s="224" t="s">
        <v>16</v>
      </c>
      <c r="C16" s="120" t="s">
        <v>435</v>
      </c>
      <c r="D16" s="135">
        <v>2012</v>
      </c>
      <c r="E16" s="123">
        <v>41144</v>
      </c>
      <c r="F16" s="198">
        <f t="shared" si="0"/>
        <v>8</v>
      </c>
      <c r="G16" s="198" t="str">
        <f t="shared" si="1"/>
        <v>82012</v>
      </c>
      <c r="H16" s="198" t="str">
        <f t="shared" si="2"/>
        <v>agosto</v>
      </c>
      <c r="I16" s="114">
        <f>VLOOKUP(B16,'Base de Datos'!$E$7:$W$271,14,0)</f>
        <v>0</v>
      </c>
      <c r="J16" s="200">
        <f t="shared" si="3"/>
        <v>1900</v>
      </c>
      <c r="K16" s="199">
        <f t="shared" si="4"/>
        <v>1</v>
      </c>
      <c r="L16" s="199" t="str">
        <f t="shared" si="5"/>
        <v>11900</v>
      </c>
      <c r="M16" s="199" t="str">
        <f t="shared" si="6"/>
        <v>enero</v>
      </c>
      <c r="N16" s="199">
        <f t="shared" ca="1" si="7"/>
        <v>44228</v>
      </c>
      <c r="O16" s="242" t="str">
        <f t="shared" ca="1" si="8"/>
        <v>SI</v>
      </c>
      <c r="P16" s="242" t="str">
        <f t="shared" si="41"/>
        <v/>
      </c>
      <c r="Q16" s="242" t="str">
        <f t="shared" si="9"/>
        <v/>
      </c>
      <c r="R16" s="242" t="str">
        <f t="shared" si="10"/>
        <v/>
      </c>
      <c r="S16" s="242" t="str">
        <f t="shared" si="11"/>
        <v/>
      </c>
      <c r="T16" s="242" t="str">
        <f t="shared" si="12"/>
        <v/>
      </c>
      <c r="U16" s="242" t="str">
        <f t="shared" si="13"/>
        <v/>
      </c>
      <c r="V16" s="242" t="str">
        <f t="shared" si="43"/>
        <v/>
      </c>
      <c r="W16" s="242" t="str">
        <f t="shared" si="14"/>
        <v/>
      </c>
      <c r="X16" s="242" t="str">
        <f t="shared" si="15"/>
        <v/>
      </c>
      <c r="Y16" s="242" t="str">
        <f t="shared" si="42"/>
        <v/>
      </c>
      <c r="Z16" s="242" t="str">
        <f t="shared" si="16"/>
        <v/>
      </c>
      <c r="AA16" s="242" t="str">
        <f t="shared" si="44"/>
        <v/>
      </c>
      <c r="AB16" s="242" t="str">
        <f t="shared" si="45"/>
        <v/>
      </c>
      <c r="AC16" s="242">
        <v>1</v>
      </c>
      <c r="AD16" s="242" t="str">
        <f t="shared" si="19"/>
        <v/>
      </c>
      <c r="AE16" s="242" t="str">
        <f t="shared" si="20"/>
        <v/>
      </c>
      <c r="AF16" s="242" t="str">
        <f t="shared" si="21"/>
        <v/>
      </c>
      <c r="AG16" s="242" t="str">
        <f t="shared" si="22"/>
        <v/>
      </c>
      <c r="AH16" s="242" t="str">
        <f t="shared" si="23"/>
        <v/>
      </c>
      <c r="AI16" s="242" t="str">
        <f t="shared" si="24"/>
        <v/>
      </c>
      <c r="AJ16" s="242" t="str">
        <f t="shared" si="25"/>
        <v/>
      </c>
      <c r="AK16" s="242" t="str">
        <f t="shared" si="26"/>
        <v/>
      </c>
      <c r="AL16" s="242" t="str">
        <f t="shared" si="27"/>
        <v/>
      </c>
      <c r="AM16" s="242" t="str">
        <f t="shared" si="28"/>
        <v/>
      </c>
      <c r="AN16" s="199" t="str">
        <f t="shared" si="29"/>
        <v/>
      </c>
      <c r="AO16" s="199" t="str">
        <f t="shared" si="30"/>
        <v/>
      </c>
      <c r="AP16" s="199" t="str">
        <f t="shared" si="31"/>
        <v/>
      </c>
      <c r="AQ16" s="199" t="str">
        <f t="shared" si="32"/>
        <v/>
      </c>
      <c r="AR16" s="199" t="str">
        <f t="shared" si="33"/>
        <v/>
      </c>
      <c r="AS16" s="199" t="str">
        <f t="shared" si="34"/>
        <v/>
      </c>
      <c r="AT16" s="199" t="str">
        <f t="shared" si="35"/>
        <v/>
      </c>
      <c r="AU16" s="199" t="str">
        <f t="shared" si="36"/>
        <v/>
      </c>
      <c r="AV16" s="199" t="str">
        <f t="shared" si="37"/>
        <v/>
      </c>
      <c r="AW16" s="199" t="str">
        <f t="shared" si="38"/>
        <v/>
      </c>
      <c r="AX16" s="199" t="str">
        <f t="shared" si="39"/>
        <v/>
      </c>
      <c r="AY16" s="199" t="str">
        <f t="shared" si="40"/>
        <v/>
      </c>
    </row>
    <row r="17" spans="1:51" ht="20.399999999999999" x14ac:dyDescent="0.3">
      <c r="A17" s="191">
        <v>15</v>
      </c>
      <c r="B17" s="226" t="s">
        <v>589</v>
      </c>
      <c r="C17" s="120" t="s">
        <v>426</v>
      </c>
      <c r="D17" s="122">
        <v>2011</v>
      </c>
      <c r="E17" s="124">
        <v>40966</v>
      </c>
      <c r="F17" s="198">
        <f t="shared" si="0"/>
        <v>2</v>
      </c>
      <c r="G17" s="198" t="str">
        <f t="shared" si="1"/>
        <v>22011</v>
      </c>
      <c r="H17" s="198" t="str">
        <f t="shared" si="2"/>
        <v>febrero</v>
      </c>
      <c r="I17" s="114">
        <f>VLOOKUP(B17,'Base de Datos'!$E$7:$W$271,14,0)</f>
        <v>0</v>
      </c>
      <c r="J17" s="200">
        <f t="shared" si="3"/>
        <v>1900</v>
      </c>
      <c r="K17" s="199">
        <f t="shared" si="4"/>
        <v>1</v>
      </c>
      <c r="L17" s="199" t="str">
        <f t="shared" si="5"/>
        <v>11900</v>
      </c>
      <c r="M17" s="199" t="str">
        <f t="shared" si="6"/>
        <v>enero</v>
      </c>
      <c r="N17" s="199">
        <f t="shared" ca="1" si="7"/>
        <v>44228</v>
      </c>
      <c r="O17" s="242" t="str">
        <f t="shared" ca="1" si="8"/>
        <v>SI</v>
      </c>
      <c r="P17" s="242" t="str">
        <f t="shared" si="41"/>
        <v/>
      </c>
      <c r="Q17" s="242" t="str">
        <f t="shared" si="9"/>
        <v/>
      </c>
      <c r="R17" s="242" t="str">
        <f t="shared" si="10"/>
        <v/>
      </c>
      <c r="S17" s="242" t="str">
        <f t="shared" si="11"/>
        <v/>
      </c>
      <c r="T17" s="242" t="str">
        <f t="shared" si="12"/>
        <v/>
      </c>
      <c r="U17" s="242" t="str">
        <f t="shared" si="13"/>
        <v/>
      </c>
      <c r="V17" s="242" t="str">
        <f t="shared" si="43"/>
        <v/>
      </c>
      <c r="W17" s="242" t="str">
        <f t="shared" si="14"/>
        <v/>
      </c>
      <c r="X17" s="242" t="str">
        <f t="shared" si="15"/>
        <v/>
      </c>
      <c r="Y17" s="242" t="str">
        <f t="shared" si="42"/>
        <v/>
      </c>
      <c r="Z17" s="242" t="str">
        <f t="shared" si="16"/>
        <v/>
      </c>
      <c r="AA17" s="242" t="str">
        <f t="shared" si="44"/>
        <v/>
      </c>
      <c r="AB17" s="242" t="str">
        <f t="shared" si="45"/>
        <v/>
      </c>
      <c r="AC17" s="242">
        <v>1</v>
      </c>
      <c r="AD17" s="242" t="str">
        <f t="shared" si="19"/>
        <v/>
      </c>
      <c r="AE17" s="242" t="str">
        <f t="shared" si="20"/>
        <v/>
      </c>
      <c r="AF17" s="242" t="str">
        <f t="shared" si="21"/>
        <v/>
      </c>
      <c r="AG17" s="242" t="str">
        <f t="shared" si="22"/>
        <v/>
      </c>
      <c r="AH17" s="242" t="str">
        <f t="shared" si="23"/>
        <v/>
      </c>
      <c r="AI17" s="242" t="str">
        <f t="shared" si="24"/>
        <v/>
      </c>
      <c r="AJ17" s="242" t="str">
        <f t="shared" si="25"/>
        <v/>
      </c>
      <c r="AK17" s="242" t="str">
        <f t="shared" si="26"/>
        <v/>
      </c>
      <c r="AL17" s="242" t="str">
        <f t="shared" si="27"/>
        <v/>
      </c>
      <c r="AM17" s="242" t="str">
        <f t="shared" si="28"/>
        <v/>
      </c>
      <c r="AN17" s="199" t="str">
        <f t="shared" si="29"/>
        <v/>
      </c>
      <c r="AO17" s="199" t="str">
        <f t="shared" si="30"/>
        <v/>
      </c>
      <c r="AP17" s="199" t="str">
        <f t="shared" si="31"/>
        <v/>
      </c>
      <c r="AQ17" s="199" t="str">
        <f t="shared" si="32"/>
        <v/>
      </c>
      <c r="AR17" s="199" t="str">
        <f t="shared" si="33"/>
        <v/>
      </c>
      <c r="AS17" s="199" t="str">
        <f t="shared" si="34"/>
        <v/>
      </c>
      <c r="AT17" s="199" t="str">
        <f t="shared" si="35"/>
        <v/>
      </c>
      <c r="AU17" s="199" t="str">
        <f t="shared" si="36"/>
        <v/>
      </c>
      <c r="AV17" s="199" t="str">
        <f t="shared" si="37"/>
        <v/>
      </c>
      <c r="AW17" s="199" t="str">
        <f t="shared" si="38"/>
        <v/>
      </c>
      <c r="AX17" s="199" t="str">
        <f t="shared" si="39"/>
        <v/>
      </c>
      <c r="AY17" s="199" t="str">
        <f t="shared" si="40"/>
        <v/>
      </c>
    </row>
    <row r="18" spans="1:51" ht="20.399999999999999" x14ac:dyDescent="0.3">
      <c r="A18" s="191">
        <v>16</v>
      </c>
      <c r="B18" s="226" t="s">
        <v>113</v>
      </c>
      <c r="C18" s="120" t="s">
        <v>434</v>
      </c>
      <c r="D18" s="135">
        <v>2012</v>
      </c>
      <c r="E18" s="123">
        <v>41088</v>
      </c>
      <c r="F18" s="198">
        <f t="shared" si="0"/>
        <v>6</v>
      </c>
      <c r="G18" s="198" t="str">
        <f t="shared" si="1"/>
        <v>62012</v>
      </c>
      <c r="H18" s="198" t="str">
        <f t="shared" si="2"/>
        <v>junio</v>
      </c>
      <c r="I18" s="114">
        <f>VLOOKUP(B18,'Base de Datos'!$E$7:$W$271,14,0)</f>
        <v>0</v>
      </c>
      <c r="J18" s="200">
        <f t="shared" si="3"/>
        <v>1900</v>
      </c>
      <c r="K18" s="199">
        <f t="shared" si="4"/>
        <v>1</v>
      </c>
      <c r="L18" s="199" t="str">
        <f t="shared" si="5"/>
        <v>11900</v>
      </c>
      <c r="M18" s="199" t="str">
        <f t="shared" si="6"/>
        <v>enero</v>
      </c>
      <c r="N18" s="199">
        <f t="shared" ca="1" si="7"/>
        <v>44228</v>
      </c>
      <c r="O18" s="242" t="str">
        <f t="shared" ca="1" si="8"/>
        <v>SI</v>
      </c>
      <c r="P18" s="242" t="str">
        <f t="shared" si="41"/>
        <v/>
      </c>
      <c r="Q18" s="242" t="str">
        <f t="shared" si="9"/>
        <v/>
      </c>
      <c r="R18" s="242" t="str">
        <f t="shared" si="10"/>
        <v/>
      </c>
      <c r="S18" s="242" t="str">
        <f t="shared" si="11"/>
        <v/>
      </c>
      <c r="T18" s="242" t="str">
        <f t="shared" si="12"/>
        <v/>
      </c>
      <c r="U18" s="242" t="str">
        <f t="shared" si="13"/>
        <v/>
      </c>
      <c r="V18" s="242" t="str">
        <f t="shared" si="43"/>
        <v/>
      </c>
      <c r="W18" s="242" t="str">
        <f t="shared" si="14"/>
        <v/>
      </c>
      <c r="X18" s="242" t="str">
        <f t="shared" si="15"/>
        <v/>
      </c>
      <c r="Y18" s="242" t="str">
        <f t="shared" si="42"/>
        <v/>
      </c>
      <c r="Z18" s="242" t="str">
        <f t="shared" si="16"/>
        <v/>
      </c>
      <c r="AA18" s="242" t="str">
        <f t="shared" si="44"/>
        <v/>
      </c>
      <c r="AB18" s="242" t="str">
        <f t="shared" si="45"/>
        <v/>
      </c>
      <c r="AC18" s="242">
        <v>1</v>
      </c>
      <c r="AD18" s="242" t="str">
        <f t="shared" si="19"/>
        <v/>
      </c>
      <c r="AE18" s="242" t="str">
        <f t="shared" si="20"/>
        <v/>
      </c>
      <c r="AF18" s="242" t="str">
        <f t="shared" si="21"/>
        <v/>
      </c>
      <c r="AG18" s="242" t="str">
        <f t="shared" si="22"/>
        <v/>
      </c>
      <c r="AH18" s="242" t="str">
        <f t="shared" si="23"/>
        <v/>
      </c>
      <c r="AI18" s="242" t="str">
        <f t="shared" si="24"/>
        <v/>
      </c>
      <c r="AJ18" s="242" t="str">
        <f t="shared" si="25"/>
        <v/>
      </c>
      <c r="AK18" s="242" t="str">
        <f t="shared" si="26"/>
        <v/>
      </c>
      <c r="AL18" s="242" t="str">
        <f t="shared" si="27"/>
        <v/>
      </c>
      <c r="AM18" s="242" t="str">
        <f t="shared" si="28"/>
        <v/>
      </c>
      <c r="AN18" s="199" t="str">
        <f t="shared" si="29"/>
        <v/>
      </c>
      <c r="AO18" s="199" t="str">
        <f t="shared" si="30"/>
        <v/>
      </c>
      <c r="AP18" s="199" t="str">
        <f t="shared" si="31"/>
        <v/>
      </c>
      <c r="AQ18" s="199" t="str">
        <f t="shared" si="32"/>
        <v/>
      </c>
      <c r="AR18" s="199" t="str">
        <f t="shared" si="33"/>
        <v/>
      </c>
      <c r="AS18" s="199" t="str">
        <f t="shared" si="34"/>
        <v/>
      </c>
      <c r="AT18" s="199" t="str">
        <f t="shared" si="35"/>
        <v/>
      </c>
      <c r="AU18" s="199" t="str">
        <f t="shared" si="36"/>
        <v/>
      </c>
      <c r="AV18" s="199" t="str">
        <f t="shared" si="37"/>
        <v/>
      </c>
      <c r="AW18" s="199" t="str">
        <f t="shared" si="38"/>
        <v/>
      </c>
      <c r="AX18" s="199" t="str">
        <f t="shared" si="39"/>
        <v/>
      </c>
      <c r="AY18" s="199" t="str">
        <f t="shared" si="40"/>
        <v/>
      </c>
    </row>
    <row r="19" spans="1:51" ht="20.399999999999999" x14ac:dyDescent="0.3">
      <c r="A19" s="191">
        <v>17</v>
      </c>
      <c r="B19" s="224" t="s">
        <v>34</v>
      </c>
      <c r="C19" s="120" t="s">
        <v>1008</v>
      </c>
      <c r="D19" s="135">
        <v>2012</v>
      </c>
      <c r="E19" s="136">
        <v>41151</v>
      </c>
      <c r="F19" s="198">
        <f t="shared" si="0"/>
        <v>8</v>
      </c>
      <c r="G19" s="198" t="str">
        <f t="shared" si="1"/>
        <v>82012</v>
      </c>
      <c r="H19" s="198" t="str">
        <f t="shared" si="2"/>
        <v>agosto</v>
      </c>
      <c r="I19" s="114">
        <f>VLOOKUP(B19,'Base de Datos'!$E$7:$W$271,14,0)</f>
        <v>0</v>
      </c>
      <c r="J19" s="200">
        <f t="shared" si="3"/>
        <v>1900</v>
      </c>
      <c r="K19" s="199">
        <f t="shared" si="4"/>
        <v>1</v>
      </c>
      <c r="L19" s="199" t="str">
        <f t="shared" si="5"/>
        <v>11900</v>
      </c>
      <c r="M19" s="199" t="str">
        <f t="shared" si="6"/>
        <v>enero</v>
      </c>
      <c r="N19" s="199">
        <f t="shared" ca="1" si="7"/>
        <v>44228</v>
      </c>
      <c r="O19" s="242" t="str">
        <f t="shared" ca="1" si="8"/>
        <v>SI</v>
      </c>
      <c r="P19" s="242" t="str">
        <f t="shared" si="41"/>
        <v/>
      </c>
      <c r="Q19" s="242" t="str">
        <f t="shared" si="9"/>
        <v/>
      </c>
      <c r="R19" s="242" t="str">
        <f t="shared" si="10"/>
        <v/>
      </c>
      <c r="S19" s="242" t="str">
        <f t="shared" si="11"/>
        <v/>
      </c>
      <c r="T19" s="242" t="str">
        <f t="shared" si="12"/>
        <v/>
      </c>
      <c r="U19" s="242" t="str">
        <f t="shared" si="13"/>
        <v/>
      </c>
      <c r="V19" s="242" t="str">
        <f t="shared" si="43"/>
        <v/>
      </c>
      <c r="W19" s="242" t="str">
        <f t="shared" si="14"/>
        <v/>
      </c>
      <c r="X19" s="242" t="str">
        <f t="shared" si="15"/>
        <v/>
      </c>
      <c r="Y19" s="242" t="str">
        <f t="shared" si="42"/>
        <v/>
      </c>
      <c r="Z19" s="242" t="str">
        <f t="shared" si="16"/>
        <v/>
      </c>
      <c r="AA19" s="242" t="str">
        <f t="shared" si="44"/>
        <v/>
      </c>
      <c r="AB19" s="242" t="str">
        <f t="shared" si="45"/>
        <v/>
      </c>
      <c r="AC19" s="242">
        <v>1</v>
      </c>
      <c r="AD19" s="242" t="str">
        <f t="shared" si="19"/>
        <v/>
      </c>
      <c r="AE19" s="242" t="str">
        <f t="shared" si="20"/>
        <v/>
      </c>
      <c r="AF19" s="242" t="str">
        <f t="shared" si="21"/>
        <v/>
      </c>
      <c r="AG19" s="242" t="str">
        <f t="shared" si="22"/>
        <v/>
      </c>
      <c r="AH19" s="242" t="str">
        <f t="shared" si="23"/>
        <v/>
      </c>
      <c r="AI19" s="242" t="str">
        <f t="shared" si="24"/>
        <v/>
      </c>
      <c r="AJ19" s="242" t="str">
        <f t="shared" si="25"/>
        <v/>
      </c>
      <c r="AK19" s="242" t="str">
        <f t="shared" si="26"/>
        <v/>
      </c>
      <c r="AL19" s="242" t="str">
        <f t="shared" si="27"/>
        <v/>
      </c>
      <c r="AM19" s="242" t="str">
        <f t="shared" si="28"/>
        <v/>
      </c>
      <c r="AN19" s="199" t="str">
        <f t="shared" si="29"/>
        <v/>
      </c>
      <c r="AO19" s="199" t="str">
        <f t="shared" si="30"/>
        <v/>
      </c>
      <c r="AP19" s="199" t="str">
        <f t="shared" si="31"/>
        <v/>
      </c>
      <c r="AQ19" s="199" t="str">
        <f t="shared" si="32"/>
        <v/>
      </c>
      <c r="AR19" s="199" t="str">
        <f t="shared" si="33"/>
        <v/>
      </c>
      <c r="AS19" s="199" t="str">
        <f t="shared" si="34"/>
        <v/>
      </c>
      <c r="AT19" s="199" t="str">
        <f t="shared" si="35"/>
        <v/>
      </c>
      <c r="AU19" s="199" t="str">
        <f t="shared" si="36"/>
        <v/>
      </c>
      <c r="AV19" s="199" t="str">
        <f t="shared" si="37"/>
        <v/>
      </c>
      <c r="AW19" s="199" t="str">
        <f t="shared" si="38"/>
        <v/>
      </c>
      <c r="AX19" s="199" t="str">
        <f t="shared" si="39"/>
        <v/>
      </c>
      <c r="AY19" s="199" t="str">
        <f t="shared" si="40"/>
        <v/>
      </c>
    </row>
    <row r="20" spans="1:51" ht="20.399999999999999" x14ac:dyDescent="0.3">
      <c r="A20" s="191">
        <v>18</v>
      </c>
      <c r="B20" s="225" t="s">
        <v>182</v>
      </c>
      <c r="C20" s="120" t="s">
        <v>152</v>
      </c>
      <c r="D20" s="122">
        <v>2009</v>
      </c>
      <c r="E20" s="124">
        <v>40150</v>
      </c>
      <c r="F20" s="198">
        <f t="shared" si="0"/>
        <v>12</v>
      </c>
      <c r="G20" s="198" t="str">
        <f t="shared" si="1"/>
        <v>122009</v>
      </c>
      <c r="H20" s="198" t="str">
        <f t="shared" si="2"/>
        <v>diciembre</v>
      </c>
      <c r="I20" s="114">
        <f>VLOOKUP(B20,'Base de Datos'!$E$7:$W$271,14,0)</f>
        <v>0</v>
      </c>
      <c r="J20" s="200">
        <f t="shared" si="3"/>
        <v>1900</v>
      </c>
      <c r="K20" s="199">
        <f t="shared" si="4"/>
        <v>1</v>
      </c>
      <c r="L20" s="199" t="str">
        <f t="shared" si="5"/>
        <v>11900</v>
      </c>
      <c r="M20" s="199" t="str">
        <f t="shared" si="6"/>
        <v>enero</v>
      </c>
      <c r="N20" s="199">
        <f t="shared" ca="1" si="7"/>
        <v>44228</v>
      </c>
      <c r="O20" s="242" t="str">
        <f t="shared" ca="1" si="8"/>
        <v>SI</v>
      </c>
      <c r="P20" s="242" t="str">
        <f t="shared" si="41"/>
        <v/>
      </c>
      <c r="Q20" s="242" t="str">
        <f t="shared" si="9"/>
        <v/>
      </c>
      <c r="R20" s="242" t="str">
        <f t="shared" si="10"/>
        <v/>
      </c>
      <c r="S20" s="242" t="str">
        <f t="shared" si="11"/>
        <v/>
      </c>
      <c r="T20" s="242" t="str">
        <f t="shared" si="12"/>
        <v/>
      </c>
      <c r="U20" s="242" t="str">
        <f t="shared" si="13"/>
        <v/>
      </c>
      <c r="V20" s="242" t="str">
        <f t="shared" si="43"/>
        <v/>
      </c>
      <c r="W20" s="242" t="str">
        <f t="shared" si="14"/>
        <v/>
      </c>
      <c r="X20" s="242" t="str">
        <f t="shared" si="15"/>
        <v/>
      </c>
      <c r="Y20" s="242" t="str">
        <f t="shared" si="42"/>
        <v/>
      </c>
      <c r="Z20" s="242" t="str">
        <f t="shared" si="16"/>
        <v/>
      </c>
      <c r="AA20" s="242" t="str">
        <f t="shared" si="44"/>
        <v/>
      </c>
      <c r="AB20" s="242" t="str">
        <f t="shared" si="45"/>
        <v/>
      </c>
      <c r="AC20" s="242" t="str">
        <f t="shared" ref="AC20:AC83" si="46">IF(AND(E20&lt;$AC$2,I20&gt;$AC$2),"1","")</f>
        <v/>
      </c>
      <c r="AD20" s="242">
        <v>1</v>
      </c>
      <c r="AE20" s="242" t="str">
        <f t="shared" si="20"/>
        <v/>
      </c>
      <c r="AF20" s="242" t="str">
        <f t="shared" si="21"/>
        <v/>
      </c>
      <c r="AG20" s="242" t="str">
        <f t="shared" si="22"/>
        <v/>
      </c>
      <c r="AH20" s="242" t="str">
        <f t="shared" si="23"/>
        <v/>
      </c>
      <c r="AI20" s="242" t="str">
        <f t="shared" si="24"/>
        <v/>
      </c>
      <c r="AJ20" s="242" t="str">
        <f t="shared" si="25"/>
        <v/>
      </c>
      <c r="AK20" s="242" t="str">
        <f t="shared" si="26"/>
        <v/>
      </c>
      <c r="AL20" s="242" t="str">
        <f t="shared" si="27"/>
        <v/>
      </c>
      <c r="AM20" s="242" t="str">
        <f t="shared" si="28"/>
        <v/>
      </c>
      <c r="AN20" s="199" t="str">
        <f t="shared" si="29"/>
        <v/>
      </c>
      <c r="AO20" s="199" t="str">
        <f t="shared" si="30"/>
        <v/>
      </c>
      <c r="AP20" s="199" t="str">
        <f t="shared" si="31"/>
        <v/>
      </c>
      <c r="AQ20" s="199" t="str">
        <f t="shared" si="32"/>
        <v/>
      </c>
      <c r="AR20" s="199" t="str">
        <f t="shared" si="33"/>
        <v/>
      </c>
      <c r="AS20" s="199" t="str">
        <f t="shared" si="34"/>
        <v/>
      </c>
      <c r="AT20" s="199" t="str">
        <f t="shared" si="35"/>
        <v/>
      </c>
      <c r="AU20" s="199" t="str">
        <f t="shared" si="36"/>
        <v/>
      </c>
      <c r="AV20" s="199" t="str">
        <f t="shared" si="37"/>
        <v/>
      </c>
      <c r="AW20" s="199" t="str">
        <f t="shared" si="38"/>
        <v/>
      </c>
      <c r="AX20" s="199" t="str">
        <f t="shared" si="39"/>
        <v/>
      </c>
      <c r="AY20" s="199" t="str">
        <f t="shared" si="40"/>
        <v/>
      </c>
    </row>
    <row r="21" spans="1:51" ht="20.399999999999999" x14ac:dyDescent="0.3">
      <c r="A21" s="191">
        <v>19</v>
      </c>
      <c r="B21" s="226" t="s">
        <v>106</v>
      </c>
      <c r="C21" s="120" t="s">
        <v>1010</v>
      </c>
      <c r="D21" s="135">
        <v>2012</v>
      </c>
      <c r="E21" s="123">
        <v>41193</v>
      </c>
      <c r="F21" s="198">
        <f t="shared" si="0"/>
        <v>10</v>
      </c>
      <c r="G21" s="198" t="str">
        <f t="shared" si="1"/>
        <v>102012</v>
      </c>
      <c r="H21" s="198" t="str">
        <f t="shared" si="2"/>
        <v>octubre</v>
      </c>
      <c r="I21" s="114">
        <f>VLOOKUP(B21,'Base de Datos'!$E$7:$W$271,14,0)</f>
        <v>0</v>
      </c>
      <c r="J21" s="200">
        <f t="shared" si="3"/>
        <v>1900</v>
      </c>
      <c r="K21" s="199">
        <f t="shared" si="4"/>
        <v>1</v>
      </c>
      <c r="L21" s="199" t="str">
        <f t="shared" si="5"/>
        <v>11900</v>
      </c>
      <c r="M21" s="199" t="str">
        <f t="shared" si="6"/>
        <v>enero</v>
      </c>
      <c r="N21" s="199">
        <f t="shared" ca="1" si="7"/>
        <v>44228</v>
      </c>
      <c r="O21" s="242" t="str">
        <f t="shared" ca="1" si="8"/>
        <v>SI</v>
      </c>
      <c r="P21" s="242" t="str">
        <f t="shared" si="41"/>
        <v/>
      </c>
      <c r="Q21" s="242" t="str">
        <f t="shared" si="9"/>
        <v/>
      </c>
      <c r="R21" s="242" t="str">
        <f t="shared" si="10"/>
        <v/>
      </c>
      <c r="S21" s="242" t="str">
        <f t="shared" si="11"/>
        <v/>
      </c>
      <c r="T21" s="242" t="str">
        <f t="shared" si="12"/>
        <v/>
      </c>
      <c r="U21" s="242" t="str">
        <f t="shared" si="13"/>
        <v/>
      </c>
      <c r="V21" s="242" t="str">
        <f t="shared" si="43"/>
        <v/>
      </c>
      <c r="W21" s="242" t="str">
        <f t="shared" si="14"/>
        <v/>
      </c>
      <c r="X21" s="242" t="str">
        <f t="shared" si="15"/>
        <v/>
      </c>
      <c r="Y21" s="242" t="str">
        <f t="shared" si="42"/>
        <v/>
      </c>
      <c r="Z21" s="242" t="str">
        <f t="shared" si="16"/>
        <v/>
      </c>
      <c r="AA21" s="242">
        <v>1</v>
      </c>
      <c r="AB21" s="242" t="str">
        <f t="shared" si="45"/>
        <v/>
      </c>
      <c r="AC21" s="242" t="str">
        <f t="shared" si="46"/>
        <v/>
      </c>
      <c r="AD21" s="242" t="str">
        <f>IF(AND(E21&lt;$AD$2,I21&gt;$AD$2),"1","")</f>
        <v/>
      </c>
      <c r="AE21" s="242" t="str">
        <f t="shared" si="20"/>
        <v/>
      </c>
      <c r="AF21" s="242" t="str">
        <f t="shared" si="21"/>
        <v/>
      </c>
      <c r="AG21" s="242" t="str">
        <f t="shared" si="22"/>
        <v/>
      </c>
      <c r="AH21" s="242" t="str">
        <f t="shared" si="23"/>
        <v/>
      </c>
      <c r="AI21" s="242" t="str">
        <f t="shared" si="24"/>
        <v/>
      </c>
      <c r="AJ21" s="242" t="str">
        <f t="shared" si="25"/>
        <v/>
      </c>
      <c r="AK21" s="242" t="str">
        <f t="shared" si="26"/>
        <v/>
      </c>
      <c r="AL21" s="242" t="str">
        <f t="shared" si="27"/>
        <v/>
      </c>
      <c r="AM21" s="242" t="str">
        <f t="shared" si="28"/>
        <v/>
      </c>
      <c r="AN21" s="199" t="str">
        <f t="shared" si="29"/>
        <v/>
      </c>
      <c r="AO21" s="199" t="str">
        <f t="shared" si="30"/>
        <v/>
      </c>
      <c r="AP21" s="199" t="str">
        <f t="shared" si="31"/>
        <v/>
      </c>
      <c r="AQ21" s="199" t="str">
        <f t="shared" si="32"/>
        <v/>
      </c>
      <c r="AR21" s="199" t="str">
        <f t="shared" si="33"/>
        <v/>
      </c>
      <c r="AS21" s="199" t="str">
        <f t="shared" si="34"/>
        <v/>
      </c>
      <c r="AT21" s="199" t="str">
        <f t="shared" si="35"/>
        <v/>
      </c>
      <c r="AU21" s="199" t="str">
        <f t="shared" si="36"/>
        <v/>
      </c>
      <c r="AV21" s="199" t="str">
        <f t="shared" si="37"/>
        <v/>
      </c>
      <c r="AW21" s="199" t="str">
        <f t="shared" si="38"/>
        <v/>
      </c>
      <c r="AX21" s="199" t="str">
        <f t="shared" si="39"/>
        <v/>
      </c>
      <c r="AY21" s="199" t="str">
        <f t="shared" si="40"/>
        <v/>
      </c>
    </row>
    <row r="22" spans="1:51" ht="20.399999999999999" x14ac:dyDescent="0.3">
      <c r="A22" s="191">
        <v>20</v>
      </c>
      <c r="B22" s="227" t="s">
        <v>109</v>
      </c>
      <c r="C22" s="129" t="s">
        <v>420</v>
      </c>
      <c r="D22" s="135">
        <v>2012</v>
      </c>
      <c r="E22" s="131">
        <v>41165</v>
      </c>
      <c r="F22" s="198">
        <f t="shared" si="0"/>
        <v>9</v>
      </c>
      <c r="G22" s="198" t="str">
        <f t="shared" si="1"/>
        <v>92012</v>
      </c>
      <c r="H22" s="198" t="str">
        <f t="shared" si="2"/>
        <v>septiembre</v>
      </c>
      <c r="I22" s="114">
        <f>VLOOKUP(B22,'Base de Datos'!$E$7:$W$271,14,0)</f>
        <v>0</v>
      </c>
      <c r="J22" s="200">
        <f t="shared" si="3"/>
        <v>1900</v>
      </c>
      <c r="K22" s="199">
        <f t="shared" si="4"/>
        <v>1</v>
      </c>
      <c r="L22" s="199" t="str">
        <f t="shared" si="5"/>
        <v>11900</v>
      </c>
      <c r="M22" s="199" t="str">
        <f t="shared" si="6"/>
        <v>enero</v>
      </c>
      <c r="N22" s="199">
        <f t="shared" ca="1" si="7"/>
        <v>44228</v>
      </c>
      <c r="O22" s="242" t="str">
        <f t="shared" ca="1" si="8"/>
        <v>SI</v>
      </c>
      <c r="P22" s="242" t="str">
        <f t="shared" si="41"/>
        <v/>
      </c>
      <c r="Q22" s="242" t="str">
        <f t="shared" si="9"/>
        <v/>
      </c>
      <c r="R22" s="242" t="str">
        <f t="shared" si="10"/>
        <v/>
      </c>
      <c r="S22" s="242" t="str">
        <f t="shared" si="11"/>
        <v/>
      </c>
      <c r="T22" s="242" t="str">
        <f t="shared" si="12"/>
        <v/>
      </c>
      <c r="U22" s="242" t="str">
        <f t="shared" si="13"/>
        <v/>
      </c>
      <c r="V22" s="242" t="str">
        <f t="shared" si="43"/>
        <v/>
      </c>
      <c r="W22" s="242" t="str">
        <f t="shared" si="14"/>
        <v/>
      </c>
      <c r="X22" s="242" t="str">
        <f t="shared" si="15"/>
        <v/>
      </c>
      <c r="Y22" s="242" t="str">
        <f t="shared" si="42"/>
        <v/>
      </c>
      <c r="Z22" s="242" t="str">
        <f t="shared" si="16"/>
        <v/>
      </c>
      <c r="AA22" s="242" t="str">
        <f t="shared" ref="AA22:AA85" si="47">IF(AND(E22&lt;$AA$2,I22&gt;$AA$2),"1","")</f>
        <v/>
      </c>
      <c r="AB22" s="242" t="str">
        <f t="shared" si="45"/>
        <v/>
      </c>
      <c r="AC22" s="242" t="str">
        <f t="shared" si="46"/>
        <v/>
      </c>
      <c r="AD22" s="242">
        <v>1</v>
      </c>
      <c r="AE22" s="242" t="str">
        <f t="shared" si="20"/>
        <v/>
      </c>
      <c r="AF22" s="242" t="str">
        <f t="shared" si="21"/>
        <v/>
      </c>
      <c r="AG22" s="242" t="str">
        <f t="shared" si="22"/>
        <v/>
      </c>
      <c r="AH22" s="242" t="str">
        <f t="shared" si="23"/>
        <v/>
      </c>
      <c r="AI22" s="242" t="str">
        <f t="shared" si="24"/>
        <v/>
      </c>
      <c r="AJ22" s="242" t="str">
        <f t="shared" si="25"/>
        <v/>
      </c>
      <c r="AK22" s="242" t="str">
        <f t="shared" si="26"/>
        <v/>
      </c>
      <c r="AL22" s="242" t="str">
        <f t="shared" si="27"/>
        <v/>
      </c>
      <c r="AM22" s="242" t="str">
        <f t="shared" si="28"/>
        <v/>
      </c>
      <c r="AN22" s="199" t="str">
        <f t="shared" si="29"/>
        <v/>
      </c>
      <c r="AO22" s="199" t="str">
        <f t="shared" si="30"/>
        <v/>
      </c>
      <c r="AP22" s="199" t="str">
        <f t="shared" si="31"/>
        <v/>
      </c>
      <c r="AQ22" s="199" t="str">
        <f t="shared" si="32"/>
        <v/>
      </c>
      <c r="AR22" s="199" t="str">
        <f t="shared" si="33"/>
        <v/>
      </c>
      <c r="AS22" s="199" t="str">
        <f t="shared" si="34"/>
        <v/>
      </c>
      <c r="AT22" s="199" t="str">
        <f t="shared" si="35"/>
        <v/>
      </c>
      <c r="AU22" s="199" t="str">
        <f t="shared" si="36"/>
        <v/>
      </c>
      <c r="AV22" s="199" t="str">
        <f t="shared" si="37"/>
        <v/>
      </c>
      <c r="AW22" s="199" t="str">
        <f t="shared" si="38"/>
        <v/>
      </c>
      <c r="AX22" s="199" t="str">
        <f t="shared" si="39"/>
        <v/>
      </c>
      <c r="AY22" s="199" t="str">
        <f t="shared" si="40"/>
        <v/>
      </c>
    </row>
    <row r="23" spans="1:51" ht="20.399999999999999" x14ac:dyDescent="0.3">
      <c r="A23" s="191">
        <v>21</v>
      </c>
      <c r="B23" s="228" t="s">
        <v>19</v>
      </c>
      <c r="C23" s="129" t="s">
        <v>20</v>
      </c>
      <c r="D23" s="135">
        <v>2012</v>
      </c>
      <c r="E23" s="133">
        <v>41074</v>
      </c>
      <c r="F23" s="198">
        <f t="shared" si="0"/>
        <v>6</v>
      </c>
      <c r="G23" s="198" t="str">
        <f t="shared" si="1"/>
        <v>62012</v>
      </c>
      <c r="H23" s="198" t="str">
        <f t="shared" si="2"/>
        <v>junio</v>
      </c>
      <c r="I23" s="114">
        <f>VLOOKUP(B23,'Base de Datos'!$E$7:$W$271,14,0)</f>
        <v>0</v>
      </c>
      <c r="J23" s="200">
        <f t="shared" si="3"/>
        <v>1900</v>
      </c>
      <c r="K23" s="199">
        <f t="shared" si="4"/>
        <v>1</v>
      </c>
      <c r="L23" s="199" t="str">
        <f t="shared" si="5"/>
        <v>11900</v>
      </c>
      <c r="M23" s="199" t="str">
        <f t="shared" si="6"/>
        <v>enero</v>
      </c>
      <c r="N23" s="199">
        <f t="shared" ca="1" si="7"/>
        <v>44228</v>
      </c>
      <c r="O23" s="242" t="str">
        <f t="shared" ca="1" si="8"/>
        <v>SI</v>
      </c>
      <c r="P23" s="242" t="str">
        <f t="shared" si="41"/>
        <v/>
      </c>
      <c r="Q23" s="242" t="str">
        <f t="shared" si="9"/>
        <v/>
      </c>
      <c r="R23" s="242" t="str">
        <f t="shared" si="10"/>
        <v/>
      </c>
      <c r="S23" s="242" t="str">
        <f t="shared" si="11"/>
        <v/>
      </c>
      <c r="T23" s="242" t="str">
        <f t="shared" si="12"/>
        <v/>
      </c>
      <c r="U23" s="242" t="str">
        <f t="shared" si="13"/>
        <v/>
      </c>
      <c r="V23" s="242" t="str">
        <f t="shared" si="43"/>
        <v/>
      </c>
      <c r="W23" s="242" t="str">
        <f t="shared" si="14"/>
        <v/>
      </c>
      <c r="X23" s="242" t="str">
        <f t="shared" si="15"/>
        <v/>
      </c>
      <c r="Y23" s="242" t="str">
        <f t="shared" si="42"/>
        <v/>
      </c>
      <c r="Z23" s="242" t="str">
        <f t="shared" si="16"/>
        <v/>
      </c>
      <c r="AA23" s="242" t="str">
        <f t="shared" si="47"/>
        <v/>
      </c>
      <c r="AB23" s="242" t="str">
        <f t="shared" si="45"/>
        <v/>
      </c>
      <c r="AC23" s="242" t="str">
        <f t="shared" si="46"/>
        <v/>
      </c>
      <c r="AD23" s="242">
        <v>1</v>
      </c>
      <c r="AE23" s="242" t="str">
        <f t="shared" si="20"/>
        <v/>
      </c>
      <c r="AF23" s="242" t="str">
        <f t="shared" si="21"/>
        <v/>
      </c>
      <c r="AG23" s="242" t="str">
        <f t="shared" si="22"/>
        <v/>
      </c>
      <c r="AH23" s="242" t="str">
        <f t="shared" si="23"/>
        <v/>
      </c>
      <c r="AI23" s="242" t="str">
        <f t="shared" si="24"/>
        <v/>
      </c>
      <c r="AJ23" s="242" t="str">
        <f t="shared" si="25"/>
        <v/>
      </c>
      <c r="AK23" s="242" t="str">
        <f t="shared" si="26"/>
        <v/>
      </c>
      <c r="AL23" s="242" t="str">
        <f t="shared" si="27"/>
        <v/>
      </c>
      <c r="AM23" s="242" t="str">
        <f t="shared" si="28"/>
        <v/>
      </c>
      <c r="AN23" s="199" t="str">
        <f t="shared" si="29"/>
        <v/>
      </c>
      <c r="AO23" s="199" t="str">
        <f t="shared" si="30"/>
        <v/>
      </c>
      <c r="AP23" s="199" t="str">
        <f t="shared" si="31"/>
        <v/>
      </c>
      <c r="AQ23" s="199" t="str">
        <f t="shared" si="32"/>
        <v/>
      </c>
      <c r="AR23" s="199" t="str">
        <f t="shared" si="33"/>
        <v/>
      </c>
      <c r="AS23" s="199" t="str">
        <f t="shared" si="34"/>
        <v/>
      </c>
      <c r="AT23" s="199" t="str">
        <f t="shared" si="35"/>
        <v/>
      </c>
      <c r="AU23" s="199" t="str">
        <f t="shared" si="36"/>
        <v/>
      </c>
      <c r="AV23" s="199" t="str">
        <f t="shared" si="37"/>
        <v/>
      </c>
      <c r="AW23" s="199" t="str">
        <f t="shared" si="38"/>
        <v/>
      </c>
      <c r="AX23" s="199" t="str">
        <f t="shared" si="39"/>
        <v/>
      </c>
      <c r="AY23" s="199" t="str">
        <f t="shared" si="40"/>
        <v/>
      </c>
    </row>
    <row r="24" spans="1:51" ht="20.399999999999999" x14ac:dyDescent="0.3">
      <c r="A24" s="191">
        <v>22</v>
      </c>
      <c r="B24" s="227" t="s">
        <v>107</v>
      </c>
      <c r="C24" s="129" t="s">
        <v>108</v>
      </c>
      <c r="D24" s="135">
        <v>2012</v>
      </c>
      <c r="E24" s="131">
        <v>41137</v>
      </c>
      <c r="F24" s="198">
        <f t="shared" si="0"/>
        <v>8</v>
      </c>
      <c r="G24" s="198" t="str">
        <f t="shared" si="1"/>
        <v>82012</v>
      </c>
      <c r="H24" s="198" t="str">
        <f t="shared" si="2"/>
        <v>agosto</v>
      </c>
      <c r="I24" s="114">
        <f>VLOOKUP(B24,'Base de Datos'!$E$7:$W$271,14,0)</f>
        <v>0</v>
      </c>
      <c r="J24" s="200">
        <f t="shared" si="3"/>
        <v>1900</v>
      </c>
      <c r="K24" s="199">
        <f t="shared" si="4"/>
        <v>1</v>
      </c>
      <c r="L24" s="199" t="str">
        <f t="shared" si="5"/>
        <v>11900</v>
      </c>
      <c r="M24" s="199" t="str">
        <f t="shared" si="6"/>
        <v>enero</v>
      </c>
      <c r="N24" s="199">
        <f t="shared" ca="1" si="7"/>
        <v>44228</v>
      </c>
      <c r="O24" s="242" t="str">
        <f t="shared" ca="1" si="8"/>
        <v>SI</v>
      </c>
      <c r="P24" s="242" t="str">
        <f t="shared" si="41"/>
        <v/>
      </c>
      <c r="Q24" s="242" t="str">
        <f t="shared" si="9"/>
        <v/>
      </c>
      <c r="R24" s="242" t="str">
        <f t="shared" si="10"/>
        <v/>
      </c>
      <c r="S24" s="242" t="str">
        <f t="shared" si="11"/>
        <v/>
      </c>
      <c r="T24" s="242" t="str">
        <f t="shared" si="12"/>
        <v/>
      </c>
      <c r="U24" s="242" t="str">
        <f t="shared" si="13"/>
        <v/>
      </c>
      <c r="V24" s="242" t="str">
        <f t="shared" si="43"/>
        <v/>
      </c>
      <c r="W24" s="242" t="str">
        <f t="shared" si="14"/>
        <v/>
      </c>
      <c r="X24" s="242" t="str">
        <f t="shared" si="15"/>
        <v/>
      </c>
      <c r="Y24" s="242" t="str">
        <f t="shared" si="42"/>
        <v/>
      </c>
      <c r="Z24" s="242" t="str">
        <f t="shared" si="16"/>
        <v/>
      </c>
      <c r="AA24" s="242" t="str">
        <f t="shared" si="47"/>
        <v/>
      </c>
      <c r="AB24" s="242" t="str">
        <f t="shared" si="45"/>
        <v/>
      </c>
      <c r="AC24" s="242" t="str">
        <f t="shared" si="46"/>
        <v/>
      </c>
      <c r="AD24" s="242">
        <v>1</v>
      </c>
      <c r="AE24" s="242" t="str">
        <f t="shared" si="20"/>
        <v/>
      </c>
      <c r="AF24" s="242" t="str">
        <f t="shared" si="21"/>
        <v/>
      </c>
      <c r="AG24" s="242" t="str">
        <f t="shared" si="22"/>
        <v/>
      </c>
      <c r="AH24" s="242" t="str">
        <f t="shared" si="23"/>
        <v/>
      </c>
      <c r="AI24" s="242" t="str">
        <f t="shared" si="24"/>
        <v/>
      </c>
      <c r="AJ24" s="242" t="str">
        <f t="shared" si="25"/>
        <v/>
      </c>
      <c r="AK24" s="242" t="str">
        <f t="shared" si="26"/>
        <v/>
      </c>
      <c r="AL24" s="242" t="str">
        <f t="shared" si="27"/>
        <v/>
      </c>
      <c r="AM24" s="242" t="str">
        <f t="shared" si="28"/>
        <v/>
      </c>
      <c r="AN24" s="199" t="str">
        <f t="shared" si="29"/>
        <v/>
      </c>
      <c r="AO24" s="199" t="str">
        <f t="shared" si="30"/>
        <v/>
      </c>
      <c r="AP24" s="199" t="str">
        <f t="shared" si="31"/>
        <v/>
      </c>
      <c r="AQ24" s="199" t="str">
        <f t="shared" si="32"/>
        <v/>
      </c>
      <c r="AR24" s="199" t="str">
        <f t="shared" si="33"/>
        <v/>
      </c>
      <c r="AS24" s="199" t="str">
        <f t="shared" si="34"/>
        <v/>
      </c>
      <c r="AT24" s="199" t="str">
        <f t="shared" si="35"/>
        <v/>
      </c>
      <c r="AU24" s="199" t="str">
        <f t="shared" si="36"/>
        <v/>
      </c>
      <c r="AV24" s="199" t="str">
        <f t="shared" si="37"/>
        <v/>
      </c>
      <c r="AW24" s="199" t="str">
        <f t="shared" si="38"/>
        <v/>
      </c>
      <c r="AX24" s="199" t="str">
        <f t="shared" si="39"/>
        <v/>
      </c>
      <c r="AY24" s="199" t="str">
        <f t="shared" si="40"/>
        <v/>
      </c>
    </row>
    <row r="25" spans="1:51" ht="20.399999999999999" x14ac:dyDescent="0.3">
      <c r="A25" s="191">
        <v>23</v>
      </c>
      <c r="B25" s="224" t="s">
        <v>30</v>
      </c>
      <c r="C25" s="120" t="s">
        <v>31</v>
      </c>
      <c r="D25" s="138">
        <v>2012</v>
      </c>
      <c r="E25" s="123">
        <v>41292</v>
      </c>
      <c r="F25" s="198">
        <f t="shared" si="0"/>
        <v>1</v>
      </c>
      <c r="G25" s="198" t="str">
        <f t="shared" si="1"/>
        <v>12012</v>
      </c>
      <c r="H25" s="198" t="str">
        <f t="shared" si="2"/>
        <v>enero</v>
      </c>
      <c r="I25" s="114">
        <f>VLOOKUP(B25,'Base de Datos'!$E$7:$W$271,14,0)</f>
        <v>0</v>
      </c>
      <c r="J25" s="200">
        <f t="shared" si="3"/>
        <v>1900</v>
      </c>
      <c r="K25" s="199">
        <f t="shared" si="4"/>
        <v>1</v>
      </c>
      <c r="L25" s="199" t="str">
        <f t="shared" si="5"/>
        <v>11900</v>
      </c>
      <c r="M25" s="199" t="str">
        <f t="shared" si="6"/>
        <v>enero</v>
      </c>
      <c r="N25" s="199">
        <f t="shared" ca="1" si="7"/>
        <v>44228</v>
      </c>
      <c r="O25" s="242" t="str">
        <f t="shared" ca="1" si="8"/>
        <v>SI</v>
      </c>
      <c r="P25" s="242" t="str">
        <f t="shared" si="41"/>
        <v/>
      </c>
      <c r="Q25" s="242" t="str">
        <f t="shared" si="9"/>
        <v/>
      </c>
      <c r="R25" s="242" t="str">
        <f t="shared" si="10"/>
        <v/>
      </c>
      <c r="S25" s="242" t="str">
        <f t="shared" si="11"/>
        <v/>
      </c>
      <c r="T25" s="242" t="str">
        <f t="shared" si="12"/>
        <v/>
      </c>
      <c r="U25" s="242" t="str">
        <f t="shared" si="13"/>
        <v/>
      </c>
      <c r="V25" s="242" t="str">
        <f t="shared" si="43"/>
        <v/>
      </c>
      <c r="W25" s="242" t="str">
        <f t="shared" si="14"/>
        <v/>
      </c>
      <c r="X25" s="242" t="str">
        <f t="shared" si="15"/>
        <v/>
      </c>
      <c r="Y25" s="242" t="str">
        <f t="shared" si="42"/>
        <v/>
      </c>
      <c r="Z25" s="242" t="str">
        <f t="shared" si="16"/>
        <v/>
      </c>
      <c r="AA25" s="242" t="str">
        <f t="shared" si="47"/>
        <v/>
      </c>
      <c r="AB25" s="242" t="str">
        <f t="shared" si="45"/>
        <v/>
      </c>
      <c r="AC25" s="242" t="str">
        <f t="shared" si="46"/>
        <v/>
      </c>
      <c r="AD25" s="242">
        <v>1</v>
      </c>
      <c r="AE25" s="242" t="str">
        <f t="shared" si="20"/>
        <v/>
      </c>
      <c r="AF25" s="242" t="str">
        <f t="shared" si="21"/>
        <v/>
      </c>
      <c r="AG25" s="242" t="str">
        <f t="shared" si="22"/>
        <v/>
      </c>
      <c r="AH25" s="242" t="str">
        <f t="shared" si="23"/>
        <v/>
      </c>
      <c r="AI25" s="242" t="str">
        <f t="shared" si="24"/>
        <v/>
      </c>
      <c r="AJ25" s="242" t="str">
        <f t="shared" si="25"/>
        <v/>
      </c>
      <c r="AK25" s="242" t="str">
        <f t="shared" si="26"/>
        <v/>
      </c>
      <c r="AL25" s="242" t="str">
        <f t="shared" si="27"/>
        <v/>
      </c>
      <c r="AM25" s="242" t="str">
        <f t="shared" si="28"/>
        <v/>
      </c>
      <c r="AN25" s="199" t="str">
        <f t="shared" si="29"/>
        <v/>
      </c>
      <c r="AO25" s="199" t="str">
        <f t="shared" si="30"/>
        <v/>
      </c>
      <c r="AP25" s="199" t="str">
        <f t="shared" si="31"/>
        <v/>
      </c>
      <c r="AQ25" s="199" t="str">
        <f t="shared" si="32"/>
        <v/>
      </c>
      <c r="AR25" s="199" t="str">
        <f t="shared" si="33"/>
        <v/>
      </c>
      <c r="AS25" s="199" t="str">
        <f t="shared" si="34"/>
        <v/>
      </c>
      <c r="AT25" s="199" t="str">
        <f t="shared" si="35"/>
        <v/>
      </c>
      <c r="AU25" s="199" t="str">
        <f t="shared" si="36"/>
        <v/>
      </c>
      <c r="AV25" s="199" t="str">
        <f t="shared" si="37"/>
        <v/>
      </c>
      <c r="AW25" s="199" t="str">
        <f t="shared" si="38"/>
        <v/>
      </c>
      <c r="AX25" s="199" t="str">
        <f t="shared" si="39"/>
        <v/>
      </c>
      <c r="AY25" s="199" t="str">
        <f t="shared" si="40"/>
        <v/>
      </c>
    </row>
    <row r="26" spans="1:51" ht="20.399999999999999" x14ac:dyDescent="0.3">
      <c r="A26" s="191">
        <v>24</v>
      </c>
      <c r="B26" s="224" t="s">
        <v>45</v>
      </c>
      <c r="C26" s="120" t="s">
        <v>46</v>
      </c>
      <c r="D26" s="138">
        <v>2012</v>
      </c>
      <c r="E26" s="123">
        <v>41292</v>
      </c>
      <c r="F26" s="198">
        <f t="shared" si="0"/>
        <v>1</v>
      </c>
      <c r="G26" s="198" t="str">
        <f t="shared" si="1"/>
        <v>12012</v>
      </c>
      <c r="H26" s="198" t="str">
        <f t="shared" si="2"/>
        <v>enero</v>
      </c>
      <c r="I26" s="114">
        <f>VLOOKUP(B26,'Base de Datos'!$E$7:$W$271,14,0)</f>
        <v>0</v>
      </c>
      <c r="J26" s="200">
        <f t="shared" si="3"/>
        <v>1900</v>
      </c>
      <c r="K26" s="199">
        <f t="shared" si="4"/>
        <v>1</v>
      </c>
      <c r="L26" s="199" t="str">
        <f t="shared" si="5"/>
        <v>11900</v>
      </c>
      <c r="M26" s="199" t="str">
        <f t="shared" si="6"/>
        <v>enero</v>
      </c>
      <c r="N26" s="199">
        <f t="shared" ca="1" si="7"/>
        <v>44228</v>
      </c>
      <c r="O26" s="242" t="str">
        <f t="shared" ca="1" si="8"/>
        <v>SI</v>
      </c>
      <c r="P26" s="242" t="str">
        <f t="shared" si="41"/>
        <v/>
      </c>
      <c r="Q26" s="242" t="str">
        <f t="shared" si="9"/>
        <v/>
      </c>
      <c r="R26" s="242" t="str">
        <f t="shared" si="10"/>
        <v/>
      </c>
      <c r="S26" s="242" t="str">
        <f t="shared" si="11"/>
        <v/>
      </c>
      <c r="T26" s="242" t="str">
        <f t="shared" si="12"/>
        <v/>
      </c>
      <c r="U26" s="242" t="str">
        <f t="shared" si="13"/>
        <v/>
      </c>
      <c r="V26" s="242" t="str">
        <f t="shared" si="43"/>
        <v/>
      </c>
      <c r="W26" s="242" t="str">
        <f t="shared" si="14"/>
        <v/>
      </c>
      <c r="X26" s="242" t="str">
        <f t="shared" si="15"/>
        <v/>
      </c>
      <c r="Y26" s="242" t="str">
        <f t="shared" si="42"/>
        <v/>
      </c>
      <c r="Z26" s="242" t="str">
        <f t="shared" si="16"/>
        <v/>
      </c>
      <c r="AA26" s="242" t="str">
        <f t="shared" si="47"/>
        <v/>
      </c>
      <c r="AB26" s="242" t="str">
        <f t="shared" si="45"/>
        <v/>
      </c>
      <c r="AC26" s="242" t="str">
        <f t="shared" si="46"/>
        <v/>
      </c>
      <c r="AD26" s="242">
        <v>1</v>
      </c>
      <c r="AE26" s="242" t="str">
        <f t="shared" si="20"/>
        <v/>
      </c>
      <c r="AF26" s="242" t="str">
        <f t="shared" si="21"/>
        <v/>
      </c>
      <c r="AG26" s="242" t="str">
        <f t="shared" si="22"/>
        <v/>
      </c>
      <c r="AH26" s="242" t="str">
        <f t="shared" si="23"/>
        <v/>
      </c>
      <c r="AI26" s="242" t="str">
        <f t="shared" si="24"/>
        <v/>
      </c>
      <c r="AJ26" s="242" t="str">
        <f t="shared" si="25"/>
        <v/>
      </c>
      <c r="AK26" s="242" t="str">
        <f t="shared" si="26"/>
        <v/>
      </c>
      <c r="AL26" s="242" t="str">
        <f t="shared" si="27"/>
        <v/>
      </c>
      <c r="AM26" s="242" t="str">
        <f t="shared" si="28"/>
        <v/>
      </c>
      <c r="AN26" s="199" t="str">
        <f t="shared" si="29"/>
        <v/>
      </c>
      <c r="AO26" s="199" t="str">
        <f t="shared" si="30"/>
        <v/>
      </c>
      <c r="AP26" s="199" t="str">
        <f t="shared" si="31"/>
        <v/>
      </c>
      <c r="AQ26" s="199" t="str">
        <f t="shared" si="32"/>
        <v/>
      </c>
      <c r="AR26" s="199" t="str">
        <f t="shared" si="33"/>
        <v/>
      </c>
      <c r="AS26" s="199" t="str">
        <f t="shared" si="34"/>
        <v/>
      </c>
      <c r="AT26" s="199" t="str">
        <f t="shared" si="35"/>
        <v/>
      </c>
      <c r="AU26" s="199" t="str">
        <f t="shared" si="36"/>
        <v/>
      </c>
      <c r="AV26" s="199" t="str">
        <f t="shared" si="37"/>
        <v/>
      </c>
      <c r="AW26" s="199" t="str">
        <f t="shared" si="38"/>
        <v/>
      </c>
      <c r="AX26" s="199" t="str">
        <f t="shared" si="39"/>
        <v/>
      </c>
      <c r="AY26" s="199" t="str">
        <f t="shared" si="40"/>
        <v/>
      </c>
    </row>
    <row r="27" spans="1:51" ht="20.399999999999999" x14ac:dyDescent="0.3">
      <c r="A27" s="191">
        <v>25</v>
      </c>
      <c r="B27" s="225" t="s">
        <v>594</v>
      </c>
      <c r="C27" s="120" t="s">
        <v>1005</v>
      </c>
      <c r="D27" s="122">
        <v>2011</v>
      </c>
      <c r="E27" s="124">
        <v>40870</v>
      </c>
      <c r="F27" s="198">
        <f t="shared" si="0"/>
        <v>11</v>
      </c>
      <c r="G27" s="198" t="str">
        <f t="shared" si="1"/>
        <v>112011</v>
      </c>
      <c r="H27" s="198" t="str">
        <f t="shared" si="2"/>
        <v>noviembre</v>
      </c>
      <c r="I27" s="114">
        <f>VLOOKUP(B27,'Base de Datos'!$E$7:$W$271,14,0)</f>
        <v>1</v>
      </c>
      <c r="J27" s="200">
        <f t="shared" si="3"/>
        <v>1900</v>
      </c>
      <c r="K27" s="199">
        <f t="shared" si="4"/>
        <v>1</v>
      </c>
      <c r="L27" s="199" t="str">
        <f t="shared" si="5"/>
        <v>11900</v>
      </c>
      <c r="M27" s="199" t="str">
        <f t="shared" si="6"/>
        <v>enero</v>
      </c>
      <c r="N27" s="199">
        <f t="shared" ca="1" si="7"/>
        <v>44227</v>
      </c>
      <c r="O27" s="242" t="str">
        <f t="shared" ca="1" si="8"/>
        <v>SI</v>
      </c>
      <c r="P27" s="242" t="str">
        <f t="shared" si="41"/>
        <v/>
      </c>
      <c r="Q27" s="242" t="str">
        <f t="shared" si="9"/>
        <v/>
      </c>
      <c r="R27" s="242" t="str">
        <f t="shared" si="10"/>
        <v/>
      </c>
      <c r="S27" s="242" t="str">
        <f t="shared" si="11"/>
        <v/>
      </c>
      <c r="T27" s="242" t="str">
        <f t="shared" si="12"/>
        <v/>
      </c>
      <c r="U27" s="242" t="str">
        <f t="shared" si="13"/>
        <v/>
      </c>
      <c r="V27" s="242" t="str">
        <f t="shared" si="43"/>
        <v/>
      </c>
      <c r="W27" s="242" t="str">
        <f t="shared" si="14"/>
        <v/>
      </c>
      <c r="X27" s="242" t="str">
        <f t="shared" si="15"/>
        <v/>
      </c>
      <c r="Y27" s="242" t="str">
        <f t="shared" si="42"/>
        <v/>
      </c>
      <c r="Z27" s="242" t="str">
        <f t="shared" si="16"/>
        <v/>
      </c>
      <c r="AA27" s="242" t="str">
        <f t="shared" si="47"/>
        <v/>
      </c>
      <c r="AB27" s="242" t="str">
        <f t="shared" si="45"/>
        <v/>
      </c>
      <c r="AC27" s="242" t="str">
        <f t="shared" si="46"/>
        <v/>
      </c>
      <c r="AD27" s="242">
        <v>1</v>
      </c>
      <c r="AE27" s="242" t="str">
        <f t="shared" si="20"/>
        <v/>
      </c>
      <c r="AF27" s="242" t="str">
        <f t="shared" si="21"/>
        <v/>
      </c>
      <c r="AG27" s="242" t="str">
        <f t="shared" si="22"/>
        <v/>
      </c>
      <c r="AH27" s="242" t="str">
        <f t="shared" si="23"/>
        <v/>
      </c>
      <c r="AI27" s="242" t="str">
        <f t="shared" si="24"/>
        <v/>
      </c>
      <c r="AJ27" s="242" t="str">
        <f t="shared" si="25"/>
        <v/>
      </c>
      <c r="AK27" s="242" t="str">
        <f t="shared" si="26"/>
        <v/>
      </c>
      <c r="AL27" s="242" t="str">
        <f t="shared" si="27"/>
        <v/>
      </c>
      <c r="AM27" s="242" t="str">
        <f t="shared" si="28"/>
        <v/>
      </c>
      <c r="AN27" s="199" t="str">
        <f t="shared" si="29"/>
        <v/>
      </c>
      <c r="AO27" s="199" t="str">
        <f t="shared" si="30"/>
        <v/>
      </c>
      <c r="AP27" s="199" t="str">
        <f t="shared" si="31"/>
        <v/>
      </c>
      <c r="AQ27" s="199" t="str">
        <f t="shared" si="32"/>
        <v/>
      </c>
      <c r="AR27" s="199" t="str">
        <f t="shared" si="33"/>
        <v/>
      </c>
      <c r="AS27" s="199" t="str">
        <f t="shared" si="34"/>
        <v/>
      </c>
      <c r="AT27" s="199" t="str">
        <f t="shared" si="35"/>
        <v/>
      </c>
      <c r="AU27" s="199" t="str">
        <f t="shared" si="36"/>
        <v/>
      </c>
      <c r="AV27" s="199" t="str">
        <f t="shared" si="37"/>
        <v/>
      </c>
      <c r="AW27" s="199" t="str">
        <f t="shared" si="38"/>
        <v/>
      </c>
      <c r="AX27" s="199" t="str">
        <f t="shared" si="39"/>
        <v/>
      </c>
      <c r="AY27" s="199" t="str">
        <f t="shared" si="40"/>
        <v/>
      </c>
    </row>
    <row r="28" spans="1:51" ht="20.399999999999999" x14ac:dyDescent="0.3">
      <c r="A28" s="191">
        <v>26</v>
      </c>
      <c r="B28" s="226" t="s">
        <v>120</v>
      </c>
      <c r="C28" s="120" t="s">
        <v>429</v>
      </c>
      <c r="D28" s="122">
        <v>2011</v>
      </c>
      <c r="E28" s="123">
        <v>40862</v>
      </c>
      <c r="F28" s="198">
        <f t="shared" si="0"/>
        <v>11</v>
      </c>
      <c r="G28" s="198" t="str">
        <f t="shared" si="1"/>
        <v>112011</v>
      </c>
      <c r="H28" s="198" t="str">
        <f t="shared" si="2"/>
        <v>noviembre</v>
      </c>
      <c r="I28" s="114">
        <f>VLOOKUP(B28,'Base de Datos'!$E$7:$W$271,14,0)</f>
        <v>1</v>
      </c>
      <c r="J28" s="200">
        <f t="shared" si="3"/>
        <v>1900</v>
      </c>
      <c r="K28" s="199">
        <f t="shared" si="4"/>
        <v>1</v>
      </c>
      <c r="L28" s="199" t="str">
        <f t="shared" si="5"/>
        <v>11900</v>
      </c>
      <c r="M28" s="199" t="str">
        <f t="shared" si="6"/>
        <v>enero</v>
      </c>
      <c r="N28" s="199">
        <f t="shared" ca="1" si="7"/>
        <v>44227</v>
      </c>
      <c r="O28" s="242" t="str">
        <f t="shared" ca="1" si="8"/>
        <v>SI</v>
      </c>
      <c r="P28" s="242" t="str">
        <f t="shared" si="41"/>
        <v/>
      </c>
      <c r="Q28" s="242" t="str">
        <f t="shared" si="9"/>
        <v/>
      </c>
      <c r="R28" s="242" t="str">
        <f t="shared" si="10"/>
        <v/>
      </c>
      <c r="S28" s="242" t="str">
        <f t="shared" si="11"/>
        <v/>
      </c>
      <c r="T28" s="242" t="str">
        <f t="shared" si="12"/>
        <v/>
      </c>
      <c r="U28" s="242" t="str">
        <f t="shared" si="13"/>
        <v/>
      </c>
      <c r="V28" s="242" t="str">
        <f t="shared" si="43"/>
        <v/>
      </c>
      <c r="W28" s="242" t="str">
        <f t="shared" si="14"/>
        <v/>
      </c>
      <c r="X28" s="242" t="str">
        <f t="shared" si="15"/>
        <v/>
      </c>
      <c r="Y28" s="242" t="str">
        <f t="shared" si="42"/>
        <v/>
      </c>
      <c r="Z28" s="242" t="str">
        <f t="shared" si="16"/>
        <v/>
      </c>
      <c r="AA28" s="242" t="str">
        <f t="shared" si="47"/>
        <v/>
      </c>
      <c r="AB28" s="242" t="str">
        <f t="shared" si="45"/>
        <v/>
      </c>
      <c r="AC28" s="242" t="str">
        <f t="shared" si="46"/>
        <v/>
      </c>
      <c r="AD28" s="242">
        <v>1</v>
      </c>
      <c r="AE28" s="242" t="str">
        <f t="shared" si="20"/>
        <v/>
      </c>
      <c r="AF28" s="242" t="str">
        <f t="shared" si="21"/>
        <v/>
      </c>
      <c r="AG28" s="242" t="str">
        <f t="shared" si="22"/>
        <v/>
      </c>
      <c r="AH28" s="242" t="str">
        <f t="shared" si="23"/>
        <v/>
      </c>
      <c r="AI28" s="242" t="str">
        <f t="shared" si="24"/>
        <v/>
      </c>
      <c r="AJ28" s="242" t="str">
        <f t="shared" si="25"/>
        <v/>
      </c>
      <c r="AK28" s="242" t="str">
        <f t="shared" si="26"/>
        <v/>
      </c>
      <c r="AL28" s="242" t="str">
        <f t="shared" si="27"/>
        <v/>
      </c>
      <c r="AM28" s="242" t="str">
        <f t="shared" si="28"/>
        <v/>
      </c>
      <c r="AN28" s="199" t="str">
        <f t="shared" si="29"/>
        <v/>
      </c>
      <c r="AO28" s="199" t="str">
        <f t="shared" si="30"/>
        <v/>
      </c>
      <c r="AP28" s="199" t="str">
        <f t="shared" si="31"/>
        <v/>
      </c>
      <c r="AQ28" s="199" t="str">
        <f t="shared" si="32"/>
        <v/>
      </c>
      <c r="AR28" s="199" t="str">
        <f t="shared" si="33"/>
        <v/>
      </c>
      <c r="AS28" s="199" t="str">
        <f t="shared" si="34"/>
        <v/>
      </c>
      <c r="AT28" s="199" t="str">
        <f t="shared" si="35"/>
        <v/>
      </c>
      <c r="AU28" s="199" t="str">
        <f t="shared" si="36"/>
        <v/>
      </c>
      <c r="AV28" s="199" t="str">
        <f t="shared" si="37"/>
        <v/>
      </c>
      <c r="AW28" s="199" t="str">
        <f t="shared" si="38"/>
        <v/>
      </c>
      <c r="AX28" s="199" t="str">
        <f t="shared" si="39"/>
        <v/>
      </c>
      <c r="AY28" s="199" t="str">
        <f t="shared" si="40"/>
        <v/>
      </c>
    </row>
    <row r="29" spans="1:51" ht="20.399999999999999" x14ac:dyDescent="0.3">
      <c r="A29" s="191">
        <v>27</v>
      </c>
      <c r="B29" s="228" t="s">
        <v>127</v>
      </c>
      <c r="C29" s="129" t="s">
        <v>128</v>
      </c>
      <c r="D29" s="122">
        <v>2011</v>
      </c>
      <c r="E29" s="133">
        <v>40863</v>
      </c>
      <c r="F29" s="198">
        <f t="shared" si="0"/>
        <v>11</v>
      </c>
      <c r="G29" s="198" t="str">
        <f t="shared" si="1"/>
        <v>112011</v>
      </c>
      <c r="H29" s="198" t="str">
        <f t="shared" si="2"/>
        <v>noviembre</v>
      </c>
      <c r="I29" s="114">
        <f>VLOOKUP(B29,'Base de Datos'!$E$7:$W$271,14,0)</f>
        <v>0</v>
      </c>
      <c r="J29" s="200">
        <f t="shared" si="3"/>
        <v>1900</v>
      </c>
      <c r="K29" s="199">
        <f t="shared" si="4"/>
        <v>1</v>
      </c>
      <c r="L29" s="199" t="str">
        <f t="shared" si="5"/>
        <v>11900</v>
      </c>
      <c r="M29" s="199" t="str">
        <f t="shared" si="6"/>
        <v>enero</v>
      </c>
      <c r="N29" s="199">
        <f t="shared" ca="1" si="7"/>
        <v>44228</v>
      </c>
      <c r="O29" s="242" t="str">
        <f t="shared" ca="1" si="8"/>
        <v>SI</v>
      </c>
      <c r="P29" s="242" t="str">
        <f t="shared" si="41"/>
        <v/>
      </c>
      <c r="Q29" s="242" t="str">
        <f t="shared" si="9"/>
        <v/>
      </c>
      <c r="R29" s="242" t="str">
        <f t="shared" si="10"/>
        <v/>
      </c>
      <c r="S29" s="242" t="str">
        <f t="shared" si="11"/>
        <v/>
      </c>
      <c r="T29" s="242" t="str">
        <f t="shared" si="12"/>
        <v/>
      </c>
      <c r="U29" s="242" t="str">
        <f t="shared" si="13"/>
        <v/>
      </c>
      <c r="V29" s="242" t="str">
        <f t="shared" si="43"/>
        <v/>
      </c>
      <c r="W29" s="242" t="str">
        <f t="shared" si="14"/>
        <v/>
      </c>
      <c r="X29" s="242" t="str">
        <f t="shared" si="15"/>
        <v/>
      </c>
      <c r="Y29" s="242" t="str">
        <f t="shared" si="42"/>
        <v/>
      </c>
      <c r="Z29" s="242" t="str">
        <f t="shared" si="16"/>
        <v/>
      </c>
      <c r="AA29" s="242" t="str">
        <f t="shared" si="47"/>
        <v/>
      </c>
      <c r="AB29" s="242" t="str">
        <f t="shared" si="45"/>
        <v/>
      </c>
      <c r="AC29" s="242" t="str">
        <f t="shared" si="46"/>
        <v/>
      </c>
      <c r="AD29" s="242">
        <v>1</v>
      </c>
      <c r="AE29" s="242" t="str">
        <f t="shared" si="20"/>
        <v/>
      </c>
      <c r="AF29" s="242" t="str">
        <f t="shared" si="21"/>
        <v/>
      </c>
      <c r="AG29" s="242" t="str">
        <f t="shared" si="22"/>
        <v/>
      </c>
      <c r="AH29" s="242" t="str">
        <f t="shared" si="23"/>
        <v/>
      </c>
      <c r="AI29" s="242" t="str">
        <f t="shared" si="24"/>
        <v/>
      </c>
      <c r="AJ29" s="242" t="str">
        <f t="shared" si="25"/>
        <v/>
      </c>
      <c r="AK29" s="242" t="str">
        <f t="shared" si="26"/>
        <v/>
      </c>
      <c r="AL29" s="242" t="str">
        <f t="shared" si="27"/>
        <v/>
      </c>
      <c r="AM29" s="242" t="str">
        <f t="shared" si="28"/>
        <v/>
      </c>
      <c r="AN29" s="199" t="str">
        <f t="shared" si="29"/>
        <v/>
      </c>
      <c r="AO29" s="199" t="str">
        <f t="shared" si="30"/>
        <v/>
      </c>
      <c r="AP29" s="199" t="str">
        <f t="shared" si="31"/>
        <v/>
      </c>
      <c r="AQ29" s="199" t="str">
        <f t="shared" si="32"/>
        <v/>
      </c>
      <c r="AR29" s="199" t="str">
        <f t="shared" si="33"/>
        <v/>
      </c>
      <c r="AS29" s="199" t="str">
        <f t="shared" si="34"/>
        <v/>
      </c>
      <c r="AT29" s="199" t="str">
        <f t="shared" si="35"/>
        <v/>
      </c>
      <c r="AU29" s="199" t="str">
        <f t="shared" si="36"/>
        <v/>
      </c>
      <c r="AV29" s="199" t="str">
        <f t="shared" si="37"/>
        <v/>
      </c>
      <c r="AW29" s="199" t="str">
        <f t="shared" si="38"/>
        <v/>
      </c>
      <c r="AX29" s="199" t="str">
        <f t="shared" si="39"/>
        <v/>
      </c>
      <c r="AY29" s="199" t="str">
        <f t="shared" si="40"/>
        <v/>
      </c>
    </row>
    <row r="30" spans="1:51" ht="20.399999999999999" x14ac:dyDescent="0.3">
      <c r="A30" s="191">
        <v>28</v>
      </c>
      <c r="B30" s="228" t="s">
        <v>10</v>
      </c>
      <c r="C30" s="129" t="s">
        <v>1009</v>
      </c>
      <c r="D30" s="135">
        <v>2012</v>
      </c>
      <c r="E30" s="133">
        <v>41155</v>
      </c>
      <c r="F30" s="198">
        <f t="shared" si="0"/>
        <v>9</v>
      </c>
      <c r="G30" s="198" t="str">
        <f t="shared" si="1"/>
        <v>92012</v>
      </c>
      <c r="H30" s="198" t="str">
        <f t="shared" si="2"/>
        <v>septiembre</v>
      </c>
      <c r="I30" s="114">
        <f>VLOOKUP(B30,'Base de Datos'!$E$7:$W$271,14,0)</f>
        <v>0</v>
      </c>
      <c r="J30" s="200">
        <f t="shared" si="3"/>
        <v>1900</v>
      </c>
      <c r="K30" s="199">
        <f t="shared" si="4"/>
        <v>1</v>
      </c>
      <c r="L30" s="199" t="str">
        <f t="shared" si="5"/>
        <v>11900</v>
      </c>
      <c r="M30" s="199" t="str">
        <f t="shared" si="6"/>
        <v>enero</v>
      </c>
      <c r="N30" s="199">
        <f t="shared" ca="1" si="7"/>
        <v>44228</v>
      </c>
      <c r="O30" s="242" t="str">
        <f t="shared" ca="1" si="8"/>
        <v>SI</v>
      </c>
      <c r="P30" s="242" t="str">
        <f t="shared" si="41"/>
        <v/>
      </c>
      <c r="Q30" s="242" t="str">
        <f t="shared" si="9"/>
        <v/>
      </c>
      <c r="R30" s="242" t="str">
        <f t="shared" si="10"/>
        <v/>
      </c>
      <c r="S30" s="242" t="str">
        <f t="shared" si="11"/>
        <v/>
      </c>
      <c r="T30" s="242" t="str">
        <f t="shared" si="12"/>
        <v/>
      </c>
      <c r="U30" s="242" t="str">
        <f t="shared" si="13"/>
        <v/>
      </c>
      <c r="V30" s="242" t="str">
        <f t="shared" si="43"/>
        <v/>
      </c>
      <c r="W30" s="242" t="str">
        <f t="shared" si="14"/>
        <v/>
      </c>
      <c r="X30" s="242" t="str">
        <f t="shared" si="15"/>
        <v/>
      </c>
      <c r="Y30" s="242" t="str">
        <f t="shared" si="42"/>
        <v/>
      </c>
      <c r="Z30" s="242" t="str">
        <f t="shared" si="16"/>
        <v/>
      </c>
      <c r="AA30" s="242" t="str">
        <f t="shared" si="47"/>
        <v/>
      </c>
      <c r="AB30" s="242" t="str">
        <f t="shared" si="45"/>
        <v/>
      </c>
      <c r="AC30" s="242" t="str">
        <f t="shared" si="46"/>
        <v/>
      </c>
      <c r="AD30" s="242" t="str">
        <f t="shared" ref="AD30:AD93" si="48">IF(AND(E30&lt;$AD$2,I30&gt;$AD$2),"1","")</f>
        <v/>
      </c>
      <c r="AE30" s="242">
        <v>1</v>
      </c>
      <c r="AF30" s="242" t="str">
        <f t="shared" si="21"/>
        <v/>
      </c>
      <c r="AG30" s="242" t="str">
        <f t="shared" si="22"/>
        <v/>
      </c>
      <c r="AH30" s="242" t="str">
        <f t="shared" si="23"/>
        <v/>
      </c>
      <c r="AI30" s="242" t="str">
        <f t="shared" si="24"/>
        <v/>
      </c>
      <c r="AJ30" s="242" t="str">
        <f t="shared" si="25"/>
        <v/>
      </c>
      <c r="AK30" s="242" t="str">
        <f t="shared" si="26"/>
        <v/>
      </c>
      <c r="AL30" s="242" t="str">
        <f t="shared" si="27"/>
        <v/>
      </c>
      <c r="AM30" s="242" t="str">
        <f t="shared" si="28"/>
        <v/>
      </c>
      <c r="AN30" s="199" t="str">
        <f t="shared" si="29"/>
        <v/>
      </c>
      <c r="AO30" s="199" t="str">
        <f t="shared" si="30"/>
        <v/>
      </c>
      <c r="AP30" s="199" t="str">
        <f t="shared" si="31"/>
        <v/>
      </c>
      <c r="AQ30" s="199" t="str">
        <f t="shared" si="32"/>
        <v/>
      </c>
      <c r="AR30" s="199" t="str">
        <f t="shared" si="33"/>
        <v/>
      </c>
      <c r="AS30" s="199" t="str">
        <f t="shared" si="34"/>
        <v/>
      </c>
      <c r="AT30" s="199" t="str">
        <f t="shared" si="35"/>
        <v/>
      </c>
      <c r="AU30" s="199" t="str">
        <f t="shared" si="36"/>
        <v/>
      </c>
      <c r="AV30" s="199" t="str">
        <f t="shared" si="37"/>
        <v/>
      </c>
      <c r="AW30" s="199" t="str">
        <f t="shared" si="38"/>
        <v/>
      </c>
      <c r="AX30" s="199" t="str">
        <f t="shared" si="39"/>
        <v/>
      </c>
      <c r="AY30" s="199" t="str">
        <f t="shared" si="40"/>
        <v/>
      </c>
    </row>
    <row r="31" spans="1:51" ht="20.399999999999999" x14ac:dyDescent="0.3">
      <c r="A31" s="191">
        <v>29</v>
      </c>
      <c r="B31" s="224" t="s">
        <v>24</v>
      </c>
      <c r="C31" s="120" t="s">
        <v>1012</v>
      </c>
      <c r="D31" s="135">
        <v>2012</v>
      </c>
      <c r="E31" s="123">
        <v>41187</v>
      </c>
      <c r="F31" s="198">
        <f t="shared" si="0"/>
        <v>10</v>
      </c>
      <c r="G31" s="198" t="str">
        <f t="shared" si="1"/>
        <v>102012</v>
      </c>
      <c r="H31" s="198" t="str">
        <f t="shared" si="2"/>
        <v>octubre</v>
      </c>
      <c r="I31" s="114">
        <f>VLOOKUP(B31,'Base de Datos'!$E$7:$W$271,14,0)</f>
        <v>0</v>
      </c>
      <c r="J31" s="200">
        <f t="shared" si="3"/>
        <v>1900</v>
      </c>
      <c r="K31" s="199">
        <f t="shared" si="4"/>
        <v>1</v>
      </c>
      <c r="L31" s="199" t="str">
        <f t="shared" si="5"/>
        <v>11900</v>
      </c>
      <c r="M31" s="199" t="str">
        <f t="shared" si="6"/>
        <v>enero</v>
      </c>
      <c r="N31" s="199">
        <f t="shared" ca="1" si="7"/>
        <v>44228</v>
      </c>
      <c r="O31" s="242" t="str">
        <f t="shared" ca="1" si="8"/>
        <v>SI</v>
      </c>
      <c r="P31" s="242" t="str">
        <f t="shared" si="41"/>
        <v/>
      </c>
      <c r="Q31" s="242" t="str">
        <f t="shared" si="9"/>
        <v/>
      </c>
      <c r="R31" s="242" t="str">
        <f t="shared" si="10"/>
        <v/>
      </c>
      <c r="S31" s="242" t="str">
        <f t="shared" si="11"/>
        <v/>
      </c>
      <c r="T31" s="242" t="str">
        <f t="shared" si="12"/>
        <v/>
      </c>
      <c r="U31" s="242" t="str">
        <f t="shared" si="13"/>
        <v/>
      </c>
      <c r="V31" s="242" t="str">
        <f t="shared" si="43"/>
        <v/>
      </c>
      <c r="W31" s="242" t="str">
        <f t="shared" si="14"/>
        <v/>
      </c>
      <c r="X31" s="242" t="str">
        <f t="shared" si="15"/>
        <v/>
      </c>
      <c r="Y31" s="242" t="str">
        <f t="shared" si="42"/>
        <v/>
      </c>
      <c r="Z31" s="242" t="str">
        <f t="shared" si="16"/>
        <v/>
      </c>
      <c r="AA31" s="242" t="str">
        <f t="shared" si="47"/>
        <v/>
      </c>
      <c r="AB31" s="242" t="str">
        <f t="shared" si="45"/>
        <v/>
      </c>
      <c r="AC31" s="242" t="str">
        <f t="shared" si="46"/>
        <v/>
      </c>
      <c r="AD31" s="242" t="str">
        <f t="shared" si="48"/>
        <v/>
      </c>
      <c r="AE31" s="242">
        <v>1</v>
      </c>
      <c r="AF31" s="242" t="str">
        <f t="shared" si="21"/>
        <v/>
      </c>
      <c r="AG31" s="242" t="str">
        <f t="shared" si="22"/>
        <v/>
      </c>
      <c r="AH31" s="242" t="str">
        <f t="shared" si="23"/>
        <v/>
      </c>
      <c r="AI31" s="242" t="str">
        <f t="shared" si="24"/>
        <v/>
      </c>
      <c r="AJ31" s="242" t="str">
        <f t="shared" si="25"/>
        <v/>
      </c>
      <c r="AK31" s="242" t="str">
        <f t="shared" si="26"/>
        <v/>
      </c>
      <c r="AL31" s="242" t="str">
        <f t="shared" si="27"/>
        <v/>
      </c>
      <c r="AM31" s="242" t="str">
        <f t="shared" si="28"/>
        <v/>
      </c>
      <c r="AN31" s="199" t="str">
        <f t="shared" si="29"/>
        <v/>
      </c>
      <c r="AO31" s="199" t="str">
        <f t="shared" si="30"/>
        <v/>
      </c>
      <c r="AP31" s="199" t="str">
        <f t="shared" si="31"/>
        <v/>
      </c>
      <c r="AQ31" s="199" t="str">
        <f t="shared" si="32"/>
        <v/>
      </c>
      <c r="AR31" s="199" t="str">
        <f t="shared" si="33"/>
        <v/>
      </c>
      <c r="AS31" s="199" t="str">
        <f t="shared" si="34"/>
        <v/>
      </c>
      <c r="AT31" s="199" t="str">
        <f t="shared" si="35"/>
        <v/>
      </c>
      <c r="AU31" s="199" t="str">
        <f t="shared" si="36"/>
        <v/>
      </c>
      <c r="AV31" s="199" t="str">
        <f t="shared" si="37"/>
        <v/>
      </c>
      <c r="AW31" s="199" t="str">
        <f t="shared" si="38"/>
        <v/>
      </c>
      <c r="AX31" s="199" t="str">
        <f t="shared" si="39"/>
        <v/>
      </c>
      <c r="AY31" s="199" t="str">
        <f t="shared" si="40"/>
        <v/>
      </c>
    </row>
    <row r="32" spans="1:51" ht="20.399999999999999" x14ac:dyDescent="0.3">
      <c r="A32" s="191">
        <v>30</v>
      </c>
      <c r="B32" s="227" t="s">
        <v>101</v>
      </c>
      <c r="C32" s="129" t="s">
        <v>427</v>
      </c>
      <c r="D32" s="122">
        <v>2011</v>
      </c>
      <c r="E32" s="131">
        <v>40822</v>
      </c>
      <c r="F32" s="198">
        <f t="shared" si="0"/>
        <v>10</v>
      </c>
      <c r="G32" s="198" t="str">
        <f t="shared" si="1"/>
        <v>102011</v>
      </c>
      <c r="H32" s="198" t="str">
        <f t="shared" si="2"/>
        <v>octubre</v>
      </c>
      <c r="I32" s="114">
        <f>VLOOKUP(B32,'Base de Datos'!$E$7:$W$271,14,0)</f>
        <v>1</v>
      </c>
      <c r="J32" s="200">
        <f t="shared" si="3"/>
        <v>1900</v>
      </c>
      <c r="K32" s="199">
        <f t="shared" si="4"/>
        <v>1</v>
      </c>
      <c r="L32" s="199" t="str">
        <f t="shared" si="5"/>
        <v>11900</v>
      </c>
      <c r="M32" s="199" t="str">
        <f t="shared" si="6"/>
        <v>enero</v>
      </c>
      <c r="N32" s="199">
        <f t="shared" ca="1" si="7"/>
        <v>44227</v>
      </c>
      <c r="O32" s="242" t="str">
        <f t="shared" ca="1" si="8"/>
        <v>SI</v>
      </c>
      <c r="P32" s="242" t="str">
        <f t="shared" si="41"/>
        <v/>
      </c>
      <c r="Q32" s="242" t="str">
        <f t="shared" si="9"/>
        <v/>
      </c>
      <c r="R32" s="242" t="str">
        <f t="shared" si="10"/>
        <v/>
      </c>
      <c r="S32" s="242" t="str">
        <f t="shared" si="11"/>
        <v/>
      </c>
      <c r="T32" s="242" t="str">
        <f t="shared" si="12"/>
        <v/>
      </c>
      <c r="U32" s="242" t="str">
        <f t="shared" si="13"/>
        <v/>
      </c>
      <c r="V32" s="242" t="str">
        <f t="shared" si="43"/>
        <v/>
      </c>
      <c r="W32" s="242" t="str">
        <f t="shared" si="14"/>
        <v/>
      </c>
      <c r="X32" s="242" t="str">
        <f t="shared" si="15"/>
        <v/>
      </c>
      <c r="Y32" s="242" t="str">
        <f t="shared" si="42"/>
        <v/>
      </c>
      <c r="Z32" s="242" t="str">
        <f t="shared" si="16"/>
        <v/>
      </c>
      <c r="AA32" s="242" t="str">
        <f t="shared" si="47"/>
        <v/>
      </c>
      <c r="AB32" s="242" t="str">
        <f t="shared" si="45"/>
        <v/>
      </c>
      <c r="AC32" s="242" t="str">
        <f t="shared" si="46"/>
        <v/>
      </c>
      <c r="AD32" s="242" t="str">
        <f t="shared" si="48"/>
        <v/>
      </c>
      <c r="AE32" s="242">
        <v>1</v>
      </c>
      <c r="AF32" s="242" t="str">
        <f t="shared" si="21"/>
        <v/>
      </c>
      <c r="AG32" s="242" t="str">
        <f t="shared" si="22"/>
        <v/>
      </c>
      <c r="AH32" s="242" t="str">
        <f t="shared" si="23"/>
        <v/>
      </c>
      <c r="AI32" s="242" t="str">
        <f t="shared" si="24"/>
        <v/>
      </c>
      <c r="AJ32" s="242" t="str">
        <f t="shared" si="25"/>
        <v/>
      </c>
      <c r="AK32" s="242" t="str">
        <f t="shared" si="26"/>
        <v/>
      </c>
      <c r="AL32" s="242" t="str">
        <f t="shared" si="27"/>
        <v/>
      </c>
      <c r="AM32" s="242" t="str">
        <f t="shared" si="28"/>
        <v/>
      </c>
      <c r="AN32" s="199" t="str">
        <f t="shared" si="29"/>
        <v/>
      </c>
      <c r="AO32" s="199" t="str">
        <f t="shared" si="30"/>
        <v/>
      </c>
      <c r="AP32" s="199" t="str">
        <f t="shared" si="31"/>
        <v/>
      </c>
      <c r="AQ32" s="199" t="str">
        <f t="shared" si="32"/>
        <v/>
      </c>
      <c r="AR32" s="199" t="str">
        <f t="shared" si="33"/>
        <v/>
      </c>
      <c r="AS32" s="199" t="str">
        <f t="shared" si="34"/>
        <v/>
      </c>
      <c r="AT32" s="199" t="str">
        <f t="shared" si="35"/>
        <v/>
      </c>
      <c r="AU32" s="199" t="str">
        <f t="shared" si="36"/>
        <v/>
      </c>
      <c r="AV32" s="199" t="str">
        <f t="shared" si="37"/>
        <v/>
      </c>
      <c r="AW32" s="199" t="str">
        <f t="shared" si="38"/>
        <v/>
      </c>
      <c r="AX32" s="199" t="str">
        <f t="shared" si="39"/>
        <v/>
      </c>
      <c r="AY32" s="199" t="str">
        <f t="shared" si="40"/>
        <v/>
      </c>
    </row>
    <row r="33" spans="1:51" ht="20.399999999999999" x14ac:dyDescent="0.3">
      <c r="A33" s="191">
        <v>31</v>
      </c>
      <c r="B33" s="228" t="s">
        <v>17</v>
      </c>
      <c r="C33" s="129" t="s">
        <v>18</v>
      </c>
      <c r="D33" s="135">
        <v>2012</v>
      </c>
      <c r="E33" s="133">
        <v>41205</v>
      </c>
      <c r="F33" s="198">
        <f t="shared" si="0"/>
        <v>10</v>
      </c>
      <c r="G33" s="198" t="str">
        <f t="shared" si="1"/>
        <v>102012</v>
      </c>
      <c r="H33" s="198" t="str">
        <f t="shared" si="2"/>
        <v>octubre</v>
      </c>
      <c r="I33" s="114">
        <f>VLOOKUP(B33,'Base de Datos'!$E$7:$W$271,14,0)</f>
        <v>0</v>
      </c>
      <c r="J33" s="200">
        <f t="shared" si="3"/>
        <v>1900</v>
      </c>
      <c r="K33" s="199">
        <f t="shared" si="4"/>
        <v>1</v>
      </c>
      <c r="L33" s="199" t="str">
        <f t="shared" si="5"/>
        <v>11900</v>
      </c>
      <c r="M33" s="199" t="str">
        <f t="shared" si="6"/>
        <v>enero</v>
      </c>
      <c r="N33" s="199">
        <f t="shared" ca="1" si="7"/>
        <v>44228</v>
      </c>
      <c r="O33" s="242" t="str">
        <f t="shared" ca="1" si="8"/>
        <v>SI</v>
      </c>
      <c r="P33" s="242" t="str">
        <f t="shared" si="41"/>
        <v/>
      </c>
      <c r="Q33" s="242" t="str">
        <f t="shared" si="9"/>
        <v/>
      </c>
      <c r="R33" s="242" t="str">
        <f t="shared" si="10"/>
        <v/>
      </c>
      <c r="S33" s="242" t="str">
        <f t="shared" si="11"/>
        <v/>
      </c>
      <c r="T33" s="242" t="str">
        <f t="shared" si="12"/>
        <v/>
      </c>
      <c r="U33" s="242" t="str">
        <f t="shared" si="13"/>
        <v/>
      </c>
      <c r="V33" s="242" t="str">
        <f t="shared" si="43"/>
        <v/>
      </c>
      <c r="W33" s="242" t="str">
        <f t="shared" si="14"/>
        <v/>
      </c>
      <c r="X33" s="242" t="str">
        <f t="shared" si="15"/>
        <v/>
      </c>
      <c r="Y33" s="242" t="str">
        <f t="shared" si="42"/>
        <v/>
      </c>
      <c r="Z33" s="242" t="str">
        <f t="shared" si="16"/>
        <v/>
      </c>
      <c r="AA33" s="242" t="str">
        <f t="shared" si="47"/>
        <v/>
      </c>
      <c r="AB33" s="242" t="str">
        <f t="shared" si="45"/>
        <v/>
      </c>
      <c r="AC33" s="242" t="str">
        <f t="shared" si="46"/>
        <v/>
      </c>
      <c r="AD33" s="242" t="str">
        <f t="shared" si="48"/>
        <v/>
      </c>
      <c r="AE33" s="242">
        <v>1</v>
      </c>
      <c r="AF33" s="242" t="str">
        <f t="shared" si="21"/>
        <v/>
      </c>
      <c r="AG33" s="242" t="str">
        <f t="shared" si="22"/>
        <v/>
      </c>
      <c r="AH33" s="242" t="str">
        <f t="shared" si="23"/>
        <v/>
      </c>
      <c r="AI33" s="242" t="str">
        <f t="shared" si="24"/>
        <v/>
      </c>
      <c r="AJ33" s="242" t="str">
        <f t="shared" si="25"/>
        <v/>
      </c>
      <c r="AK33" s="242" t="str">
        <f t="shared" si="26"/>
        <v/>
      </c>
      <c r="AL33" s="242" t="str">
        <f t="shared" si="27"/>
        <v/>
      </c>
      <c r="AM33" s="242" t="str">
        <f t="shared" si="28"/>
        <v/>
      </c>
      <c r="AN33" s="199" t="str">
        <f t="shared" si="29"/>
        <v/>
      </c>
      <c r="AO33" s="199" t="str">
        <f t="shared" si="30"/>
        <v/>
      </c>
      <c r="AP33" s="199" t="str">
        <f t="shared" si="31"/>
        <v/>
      </c>
      <c r="AQ33" s="199" t="str">
        <f t="shared" si="32"/>
        <v/>
      </c>
      <c r="AR33" s="199" t="str">
        <f t="shared" si="33"/>
        <v/>
      </c>
      <c r="AS33" s="199" t="str">
        <f t="shared" si="34"/>
        <v/>
      </c>
      <c r="AT33" s="199" t="str">
        <f t="shared" si="35"/>
        <v/>
      </c>
      <c r="AU33" s="199" t="str">
        <f t="shared" si="36"/>
        <v/>
      </c>
      <c r="AV33" s="199" t="str">
        <f t="shared" si="37"/>
        <v/>
      </c>
      <c r="AW33" s="199" t="str">
        <f t="shared" si="38"/>
        <v/>
      </c>
      <c r="AX33" s="199" t="str">
        <f t="shared" si="39"/>
        <v/>
      </c>
      <c r="AY33" s="199" t="str">
        <f t="shared" si="40"/>
        <v/>
      </c>
    </row>
    <row r="34" spans="1:51" ht="20.399999999999999" x14ac:dyDescent="0.3">
      <c r="A34" s="191">
        <v>32</v>
      </c>
      <c r="B34" s="226" t="s">
        <v>119</v>
      </c>
      <c r="C34" s="120" t="s">
        <v>398</v>
      </c>
      <c r="D34" s="135">
        <v>2012</v>
      </c>
      <c r="E34" s="123">
        <v>41208</v>
      </c>
      <c r="F34" s="198">
        <f t="shared" si="0"/>
        <v>10</v>
      </c>
      <c r="G34" s="198" t="str">
        <f t="shared" si="1"/>
        <v>102012</v>
      </c>
      <c r="H34" s="198" t="str">
        <f t="shared" si="2"/>
        <v>octubre</v>
      </c>
      <c r="I34" s="114">
        <f>VLOOKUP(B34,'Base de Datos'!$E$7:$W$271,14,0)</f>
        <v>0</v>
      </c>
      <c r="J34" s="200">
        <f t="shared" si="3"/>
        <v>1900</v>
      </c>
      <c r="K34" s="199">
        <f t="shared" si="4"/>
        <v>1</v>
      </c>
      <c r="L34" s="199" t="str">
        <f t="shared" si="5"/>
        <v>11900</v>
      </c>
      <c r="M34" s="199" t="str">
        <f t="shared" si="6"/>
        <v>enero</v>
      </c>
      <c r="N34" s="199">
        <f t="shared" ca="1" si="7"/>
        <v>44228</v>
      </c>
      <c r="O34" s="242" t="str">
        <f t="shared" ca="1" si="8"/>
        <v>SI</v>
      </c>
      <c r="P34" s="242" t="str">
        <f t="shared" si="41"/>
        <v/>
      </c>
      <c r="Q34" s="242" t="str">
        <f t="shared" si="9"/>
        <v/>
      </c>
      <c r="R34" s="242" t="str">
        <f t="shared" si="10"/>
        <v/>
      </c>
      <c r="S34" s="242" t="str">
        <f t="shared" si="11"/>
        <v/>
      </c>
      <c r="T34" s="242" t="str">
        <f t="shared" si="12"/>
        <v/>
      </c>
      <c r="U34" s="242" t="str">
        <f t="shared" si="13"/>
        <v/>
      </c>
      <c r="V34" s="242" t="str">
        <f t="shared" si="43"/>
        <v/>
      </c>
      <c r="W34" s="242" t="str">
        <f t="shared" si="14"/>
        <v/>
      </c>
      <c r="X34" s="242" t="str">
        <f t="shared" si="15"/>
        <v/>
      </c>
      <c r="Y34" s="242" t="str">
        <f t="shared" si="42"/>
        <v/>
      </c>
      <c r="Z34" s="242" t="str">
        <f t="shared" si="16"/>
        <v/>
      </c>
      <c r="AA34" s="242" t="str">
        <f t="shared" si="47"/>
        <v/>
      </c>
      <c r="AB34" s="242" t="str">
        <f t="shared" si="45"/>
        <v/>
      </c>
      <c r="AC34" s="242" t="str">
        <f t="shared" si="46"/>
        <v/>
      </c>
      <c r="AD34" s="242" t="str">
        <f t="shared" si="48"/>
        <v/>
      </c>
      <c r="AE34" s="242">
        <v>1</v>
      </c>
      <c r="AF34" s="242" t="str">
        <f t="shared" si="21"/>
        <v/>
      </c>
      <c r="AG34" s="242" t="str">
        <f t="shared" si="22"/>
        <v/>
      </c>
      <c r="AH34" s="242" t="str">
        <f t="shared" si="23"/>
        <v/>
      </c>
      <c r="AI34" s="242" t="str">
        <f t="shared" si="24"/>
        <v/>
      </c>
      <c r="AJ34" s="242" t="str">
        <f t="shared" si="25"/>
        <v/>
      </c>
      <c r="AK34" s="242" t="str">
        <f t="shared" si="26"/>
        <v/>
      </c>
      <c r="AL34" s="242" t="str">
        <f t="shared" si="27"/>
        <v/>
      </c>
      <c r="AM34" s="242" t="str">
        <f t="shared" si="28"/>
        <v/>
      </c>
      <c r="AN34" s="199" t="str">
        <f t="shared" si="29"/>
        <v/>
      </c>
      <c r="AO34" s="199" t="str">
        <f t="shared" si="30"/>
        <v/>
      </c>
      <c r="AP34" s="199" t="str">
        <f t="shared" si="31"/>
        <v/>
      </c>
      <c r="AQ34" s="199" t="str">
        <f t="shared" si="32"/>
        <v/>
      </c>
      <c r="AR34" s="199" t="str">
        <f t="shared" si="33"/>
        <v/>
      </c>
      <c r="AS34" s="199" t="str">
        <f t="shared" si="34"/>
        <v/>
      </c>
      <c r="AT34" s="199" t="str">
        <f t="shared" si="35"/>
        <v/>
      </c>
      <c r="AU34" s="199" t="str">
        <f t="shared" si="36"/>
        <v/>
      </c>
      <c r="AV34" s="199" t="str">
        <f t="shared" si="37"/>
        <v/>
      </c>
      <c r="AW34" s="199" t="str">
        <f t="shared" si="38"/>
        <v/>
      </c>
      <c r="AX34" s="199" t="str">
        <f t="shared" si="39"/>
        <v/>
      </c>
      <c r="AY34" s="199" t="str">
        <f t="shared" si="40"/>
        <v/>
      </c>
    </row>
    <row r="35" spans="1:51" ht="20.399999999999999" x14ac:dyDescent="0.3">
      <c r="A35" s="191">
        <v>33</v>
      </c>
      <c r="B35" s="228" t="s">
        <v>40</v>
      </c>
      <c r="C35" s="129" t="s">
        <v>41</v>
      </c>
      <c r="D35" s="135">
        <v>2012</v>
      </c>
      <c r="E35" s="133">
        <v>41064</v>
      </c>
      <c r="F35" s="198">
        <f t="shared" si="0"/>
        <v>6</v>
      </c>
      <c r="G35" s="198" t="str">
        <f t="shared" si="1"/>
        <v>62012</v>
      </c>
      <c r="H35" s="198" t="str">
        <f t="shared" si="2"/>
        <v>junio</v>
      </c>
      <c r="I35" s="114">
        <f>VLOOKUP(B35,'Base de Datos'!$E$7:$W$271,14,0)</f>
        <v>1</v>
      </c>
      <c r="J35" s="200">
        <f t="shared" si="3"/>
        <v>1900</v>
      </c>
      <c r="K35" s="199">
        <f t="shared" si="4"/>
        <v>1</v>
      </c>
      <c r="L35" s="199" t="str">
        <f t="shared" si="5"/>
        <v>11900</v>
      </c>
      <c r="M35" s="199" t="str">
        <f t="shared" si="6"/>
        <v>enero</v>
      </c>
      <c r="N35" s="199">
        <f t="shared" ca="1" si="7"/>
        <v>44227</v>
      </c>
      <c r="O35" s="242" t="str">
        <f t="shared" ca="1" si="8"/>
        <v>SI</v>
      </c>
      <c r="P35" s="242" t="str">
        <f t="shared" si="41"/>
        <v/>
      </c>
      <c r="Q35" s="242" t="str">
        <f t="shared" si="9"/>
        <v/>
      </c>
      <c r="R35" s="242" t="str">
        <f t="shared" si="10"/>
        <v/>
      </c>
      <c r="S35" s="242" t="str">
        <f t="shared" si="11"/>
        <v/>
      </c>
      <c r="T35" s="242" t="str">
        <f t="shared" si="12"/>
        <v/>
      </c>
      <c r="U35" s="242" t="str">
        <f t="shared" si="13"/>
        <v/>
      </c>
      <c r="V35" s="242" t="str">
        <f t="shared" si="43"/>
        <v/>
      </c>
      <c r="W35" s="242" t="str">
        <f t="shared" si="14"/>
        <v/>
      </c>
      <c r="X35" s="242" t="str">
        <f t="shared" si="15"/>
        <v/>
      </c>
      <c r="Y35" s="242" t="str">
        <f t="shared" si="42"/>
        <v/>
      </c>
      <c r="Z35" s="242" t="str">
        <f t="shared" si="16"/>
        <v/>
      </c>
      <c r="AA35" s="242" t="str">
        <f t="shared" si="47"/>
        <v/>
      </c>
      <c r="AB35" s="242" t="str">
        <f t="shared" si="45"/>
        <v/>
      </c>
      <c r="AC35" s="242" t="str">
        <f t="shared" si="46"/>
        <v/>
      </c>
      <c r="AD35" s="242" t="str">
        <f t="shared" si="48"/>
        <v/>
      </c>
      <c r="AE35" s="242" t="str">
        <f t="shared" ref="AE35:AE98" si="49">IF(AND(E35&lt;$AE$2,I35&gt;$AE$2),"1","")</f>
        <v/>
      </c>
      <c r="AF35" s="242">
        <v>1</v>
      </c>
      <c r="AG35" s="242" t="str">
        <f t="shared" si="22"/>
        <v/>
      </c>
      <c r="AH35" s="242" t="str">
        <f t="shared" ref="AH35:AH51" si="50">IF(AND(E35&lt;$AH$2,I35&gt;$AH$2),"1","")</f>
        <v/>
      </c>
      <c r="AI35" s="242" t="str">
        <f t="shared" ref="AI35:AI58" si="51">IF(AND(E35&lt;$AI$2,I35&gt;$AI$2),"1","")</f>
        <v/>
      </c>
      <c r="AJ35" s="242" t="str">
        <f t="shared" ref="AJ35:AJ62" si="52">IF(AND(E35&lt;$AJ$2,I35&gt;$AJ$2),"1","")</f>
        <v/>
      </c>
      <c r="AK35" s="242" t="str">
        <f t="shared" ref="AK35:AK70" si="53">IF(AND(E35&lt;$AK$2,I35&gt;$AK$2),"1","")</f>
        <v/>
      </c>
      <c r="AL35" s="242" t="str">
        <f t="shared" ref="AL35:AL66" si="54">IF(AND(E35&lt;$AL$2,I35&gt;$AL$2),"1","")</f>
        <v/>
      </c>
      <c r="AM35" s="242" t="str">
        <f t="shared" ref="AM35:AM66" si="55">IF(AND(E35&lt;$AM$2,I35&gt;$AM$2),"1","")</f>
        <v/>
      </c>
      <c r="AN35" s="199" t="str">
        <f t="shared" ref="AN35:AN66" si="56">IF(AND(E35&lt;$AN$2,I35&gt;$AN$2),"1","")</f>
        <v/>
      </c>
      <c r="AO35" s="199" t="str">
        <f t="shared" ref="AO35:AO66" si="57">IF(AND(E35&lt;$AO$2,I35&gt;$AO$2),"1","")</f>
        <v/>
      </c>
      <c r="AP35" s="199" t="str">
        <f t="shared" ref="AP35:AP66" si="58">IF(AND(E35&lt;$AP$2,I35&gt;$AP$2),"1","")</f>
        <v/>
      </c>
      <c r="AQ35" s="199" t="str">
        <f t="shared" ref="AQ35:AQ66" si="59">IF(AND(E35&lt;$AQ$2,I35&gt;$AQ$2),"1","")</f>
        <v/>
      </c>
      <c r="AR35" s="199" t="str">
        <f t="shared" ref="AR35:AR66" si="60">IF(AND(E35&lt;$AR$2,I35&gt;$AR$2),"1","")</f>
        <v/>
      </c>
      <c r="AS35" s="199" t="str">
        <f t="shared" ref="AS35:AS66" si="61">IF(AND(E35&lt;$AS$2,I35&gt;$AS$2),"1","")</f>
        <v/>
      </c>
      <c r="AT35" s="199" t="str">
        <f t="shared" ref="AT35:AT66" si="62">IF(AND(E35&lt;$AT$2,I35&gt;$AT$2),"1","")</f>
        <v/>
      </c>
      <c r="AU35" s="199" t="str">
        <f t="shared" ref="AU35:AU66" si="63">IF(AND(E35&lt;$AU$2,I35&gt;$AU$2),"1","")</f>
        <v/>
      </c>
      <c r="AV35" s="199" t="str">
        <f t="shared" ref="AV35:AV66" si="64">IF(AND(E35&lt;$AV$2,I35&gt;$AV$2),"1","")</f>
        <v/>
      </c>
      <c r="AW35" s="199" t="str">
        <f t="shared" ref="AW35:AW66" si="65">IF(AND(E35&lt;$AW$2,I35&gt;$AW$2),"1","")</f>
        <v/>
      </c>
      <c r="AX35" s="199" t="str">
        <f t="shared" ref="AX35:AX66" si="66">IF(AND(E35&lt;$AX$2,I35&gt;$AX$2),"1","")</f>
        <v/>
      </c>
      <c r="AY35" s="199" t="str">
        <f t="shared" ref="AY35:AY66" si="67">IF(AND(E35&lt;$AY$2,I35&gt;$AY$2),"1","")</f>
        <v/>
      </c>
    </row>
    <row r="36" spans="1:51" ht="20.399999999999999" x14ac:dyDescent="0.3">
      <c r="A36" s="191">
        <v>34</v>
      </c>
      <c r="B36" s="224" t="s">
        <v>72</v>
      </c>
      <c r="C36" s="120" t="s">
        <v>73</v>
      </c>
      <c r="D36" s="135">
        <v>2012</v>
      </c>
      <c r="E36" s="124">
        <v>41053</v>
      </c>
      <c r="F36" s="198">
        <f t="shared" si="0"/>
        <v>5</v>
      </c>
      <c r="G36" s="198" t="str">
        <f t="shared" si="1"/>
        <v>52012</v>
      </c>
      <c r="H36" s="198" t="str">
        <f t="shared" si="2"/>
        <v>mayo</v>
      </c>
      <c r="I36" s="114">
        <f>VLOOKUP(B36,'Base de Datos'!$E$7:$W$271,14,0)</f>
        <v>1</v>
      </c>
      <c r="J36" s="200">
        <f t="shared" si="3"/>
        <v>1900</v>
      </c>
      <c r="K36" s="199">
        <f t="shared" si="4"/>
        <v>1</v>
      </c>
      <c r="L36" s="199" t="str">
        <f t="shared" si="5"/>
        <v>11900</v>
      </c>
      <c r="M36" s="199" t="str">
        <f t="shared" si="6"/>
        <v>enero</v>
      </c>
      <c r="N36" s="199">
        <f t="shared" ca="1" si="7"/>
        <v>44227</v>
      </c>
      <c r="O36" s="242" t="str">
        <f t="shared" ca="1" si="8"/>
        <v>SI</v>
      </c>
      <c r="P36" s="242" t="str">
        <f t="shared" si="41"/>
        <v/>
      </c>
      <c r="Q36" s="242" t="str">
        <f t="shared" si="9"/>
        <v/>
      </c>
      <c r="R36" s="242" t="str">
        <f t="shared" si="10"/>
        <v/>
      </c>
      <c r="S36" s="242" t="str">
        <f t="shared" si="11"/>
        <v/>
      </c>
      <c r="T36" s="242" t="str">
        <f t="shared" si="12"/>
        <v/>
      </c>
      <c r="U36" s="242" t="str">
        <f t="shared" si="13"/>
        <v/>
      </c>
      <c r="V36" s="242" t="str">
        <f t="shared" si="43"/>
        <v/>
      </c>
      <c r="W36" s="242" t="str">
        <f t="shared" si="14"/>
        <v/>
      </c>
      <c r="X36" s="242" t="str">
        <f t="shared" si="15"/>
        <v/>
      </c>
      <c r="Y36" s="242" t="str">
        <f t="shared" si="42"/>
        <v/>
      </c>
      <c r="Z36" s="242" t="str">
        <f t="shared" si="16"/>
        <v/>
      </c>
      <c r="AA36" s="242" t="str">
        <f t="shared" si="47"/>
        <v/>
      </c>
      <c r="AB36" s="242" t="str">
        <f t="shared" si="45"/>
        <v/>
      </c>
      <c r="AC36" s="242" t="str">
        <f t="shared" si="46"/>
        <v/>
      </c>
      <c r="AD36" s="242" t="str">
        <f t="shared" si="48"/>
        <v/>
      </c>
      <c r="AE36" s="242" t="str">
        <f t="shared" si="49"/>
        <v/>
      </c>
      <c r="AF36" s="242">
        <v>1</v>
      </c>
      <c r="AG36" s="242" t="str">
        <f t="shared" si="22"/>
        <v/>
      </c>
      <c r="AH36" s="242" t="str">
        <f t="shared" si="50"/>
        <v/>
      </c>
      <c r="AI36" s="242" t="str">
        <f t="shared" si="51"/>
        <v/>
      </c>
      <c r="AJ36" s="242" t="str">
        <f t="shared" si="52"/>
        <v/>
      </c>
      <c r="AK36" s="242" t="str">
        <f t="shared" si="53"/>
        <v/>
      </c>
      <c r="AL36" s="242" t="str">
        <f t="shared" si="54"/>
        <v/>
      </c>
      <c r="AM36" s="242" t="str">
        <f t="shared" si="55"/>
        <v/>
      </c>
      <c r="AN36" s="199" t="str">
        <f t="shared" si="56"/>
        <v/>
      </c>
      <c r="AO36" s="199" t="str">
        <f t="shared" si="57"/>
        <v/>
      </c>
      <c r="AP36" s="199" t="str">
        <f t="shared" si="58"/>
        <v/>
      </c>
      <c r="AQ36" s="199" t="str">
        <f t="shared" si="59"/>
        <v/>
      </c>
      <c r="AR36" s="199" t="str">
        <f t="shared" si="60"/>
        <v/>
      </c>
      <c r="AS36" s="199" t="str">
        <f t="shared" si="61"/>
        <v/>
      </c>
      <c r="AT36" s="199" t="str">
        <f t="shared" si="62"/>
        <v/>
      </c>
      <c r="AU36" s="199" t="str">
        <f t="shared" si="63"/>
        <v/>
      </c>
      <c r="AV36" s="199" t="str">
        <f t="shared" si="64"/>
        <v/>
      </c>
      <c r="AW36" s="199" t="str">
        <f t="shared" si="65"/>
        <v/>
      </c>
      <c r="AX36" s="199" t="str">
        <f t="shared" si="66"/>
        <v/>
      </c>
      <c r="AY36" s="199" t="str">
        <f t="shared" si="67"/>
        <v/>
      </c>
    </row>
    <row r="37" spans="1:51" ht="20.399999999999999" x14ac:dyDescent="0.3">
      <c r="A37" s="191">
        <v>35</v>
      </c>
      <c r="B37" s="224" t="s">
        <v>151</v>
      </c>
      <c r="C37" s="120" t="s">
        <v>152</v>
      </c>
      <c r="D37" s="122">
        <v>2008</v>
      </c>
      <c r="E37" s="124">
        <v>39904</v>
      </c>
      <c r="F37" s="198">
        <f t="shared" si="0"/>
        <v>4</v>
      </c>
      <c r="G37" s="198" t="str">
        <f t="shared" si="1"/>
        <v>42008</v>
      </c>
      <c r="H37" s="198" t="str">
        <f t="shared" si="2"/>
        <v>abril</v>
      </c>
      <c r="I37" s="114">
        <f>VLOOKUP(B37,'Base de Datos'!$E$7:$W$271,14,0)</f>
        <v>0</v>
      </c>
      <c r="J37" s="200">
        <f t="shared" si="3"/>
        <v>1900</v>
      </c>
      <c r="K37" s="199">
        <f t="shared" si="4"/>
        <v>1</v>
      </c>
      <c r="L37" s="199" t="str">
        <f t="shared" si="5"/>
        <v>11900</v>
      </c>
      <c r="M37" s="199" t="str">
        <f t="shared" si="6"/>
        <v>enero</v>
      </c>
      <c r="N37" s="199">
        <f t="shared" ca="1" si="7"/>
        <v>44228</v>
      </c>
      <c r="O37" s="242" t="str">
        <f t="shared" ca="1" si="8"/>
        <v>SI</v>
      </c>
      <c r="P37" s="242" t="str">
        <f t="shared" si="41"/>
        <v/>
      </c>
      <c r="Q37" s="242" t="str">
        <f t="shared" si="9"/>
        <v/>
      </c>
      <c r="R37" s="242" t="str">
        <f t="shared" si="10"/>
        <v/>
      </c>
      <c r="S37" s="242" t="str">
        <f t="shared" si="11"/>
        <v/>
      </c>
      <c r="T37" s="242" t="str">
        <f t="shared" si="12"/>
        <v/>
      </c>
      <c r="U37" s="242" t="str">
        <f t="shared" si="13"/>
        <v/>
      </c>
      <c r="V37" s="242" t="str">
        <f t="shared" si="43"/>
        <v/>
      </c>
      <c r="W37" s="242" t="str">
        <f t="shared" si="14"/>
        <v/>
      </c>
      <c r="X37" s="242" t="str">
        <f t="shared" si="15"/>
        <v/>
      </c>
      <c r="Y37" s="242" t="str">
        <f t="shared" si="42"/>
        <v/>
      </c>
      <c r="Z37" s="242" t="str">
        <f t="shared" si="16"/>
        <v/>
      </c>
      <c r="AA37" s="242" t="str">
        <f t="shared" si="47"/>
        <v/>
      </c>
      <c r="AB37" s="242" t="str">
        <f t="shared" si="45"/>
        <v/>
      </c>
      <c r="AC37" s="242" t="str">
        <f t="shared" si="46"/>
        <v/>
      </c>
      <c r="AD37" s="242" t="str">
        <f t="shared" si="48"/>
        <v/>
      </c>
      <c r="AE37" s="242" t="str">
        <f t="shared" si="49"/>
        <v/>
      </c>
      <c r="AF37" s="242">
        <v>1</v>
      </c>
      <c r="AG37" s="242" t="str">
        <f t="shared" si="22"/>
        <v/>
      </c>
      <c r="AH37" s="242" t="str">
        <f t="shared" si="50"/>
        <v/>
      </c>
      <c r="AI37" s="242" t="str">
        <f t="shared" si="51"/>
        <v/>
      </c>
      <c r="AJ37" s="242" t="str">
        <f t="shared" si="52"/>
        <v/>
      </c>
      <c r="AK37" s="242" t="str">
        <f t="shared" si="53"/>
        <v/>
      </c>
      <c r="AL37" s="242" t="str">
        <f t="shared" si="54"/>
        <v/>
      </c>
      <c r="AM37" s="242" t="str">
        <f t="shared" si="55"/>
        <v/>
      </c>
      <c r="AN37" s="199" t="str">
        <f t="shared" si="56"/>
        <v/>
      </c>
      <c r="AO37" s="199" t="str">
        <f t="shared" si="57"/>
        <v/>
      </c>
      <c r="AP37" s="199" t="str">
        <f t="shared" si="58"/>
        <v/>
      </c>
      <c r="AQ37" s="199" t="str">
        <f t="shared" si="59"/>
        <v/>
      </c>
      <c r="AR37" s="199" t="str">
        <f t="shared" si="60"/>
        <v/>
      </c>
      <c r="AS37" s="199" t="str">
        <f t="shared" si="61"/>
        <v/>
      </c>
      <c r="AT37" s="199" t="str">
        <f t="shared" si="62"/>
        <v/>
      </c>
      <c r="AU37" s="199" t="str">
        <f t="shared" si="63"/>
        <v/>
      </c>
      <c r="AV37" s="199" t="str">
        <f t="shared" si="64"/>
        <v/>
      </c>
      <c r="AW37" s="199" t="str">
        <f t="shared" si="65"/>
        <v/>
      </c>
      <c r="AX37" s="199" t="str">
        <f t="shared" si="66"/>
        <v/>
      </c>
      <c r="AY37" s="199" t="str">
        <f t="shared" si="67"/>
        <v/>
      </c>
    </row>
    <row r="38" spans="1:51" ht="20.399999999999999" x14ac:dyDescent="0.3">
      <c r="A38" s="191">
        <v>36</v>
      </c>
      <c r="B38" s="224" t="s">
        <v>23</v>
      </c>
      <c r="C38" s="120" t="s">
        <v>27</v>
      </c>
      <c r="D38" s="135">
        <v>2012</v>
      </c>
      <c r="E38" s="123">
        <v>41044</v>
      </c>
      <c r="F38" s="198">
        <f t="shared" si="0"/>
        <v>5</v>
      </c>
      <c r="G38" s="198" t="str">
        <f t="shared" si="1"/>
        <v>52012</v>
      </c>
      <c r="H38" s="198" t="str">
        <f t="shared" si="2"/>
        <v>mayo</v>
      </c>
      <c r="I38" s="114">
        <f>VLOOKUP(B38,'Base de Datos'!$E$7:$W$271,14,0)</f>
        <v>0</v>
      </c>
      <c r="J38" s="200">
        <f t="shared" si="3"/>
        <v>1900</v>
      </c>
      <c r="K38" s="199">
        <f t="shared" si="4"/>
        <v>1</v>
      </c>
      <c r="L38" s="199" t="str">
        <f t="shared" si="5"/>
        <v>11900</v>
      </c>
      <c r="M38" s="199" t="str">
        <f t="shared" si="6"/>
        <v>enero</v>
      </c>
      <c r="N38" s="199">
        <f t="shared" ca="1" si="7"/>
        <v>44228</v>
      </c>
      <c r="O38" s="242" t="str">
        <f t="shared" ca="1" si="8"/>
        <v>SI</v>
      </c>
      <c r="P38" s="242" t="str">
        <f t="shared" si="41"/>
        <v/>
      </c>
      <c r="Q38" s="242" t="str">
        <f t="shared" si="9"/>
        <v/>
      </c>
      <c r="R38" s="242" t="str">
        <f t="shared" si="10"/>
        <v/>
      </c>
      <c r="S38" s="242" t="str">
        <f t="shared" si="11"/>
        <v/>
      </c>
      <c r="T38" s="242" t="str">
        <f t="shared" si="12"/>
        <v/>
      </c>
      <c r="U38" s="242" t="str">
        <f t="shared" si="13"/>
        <v/>
      </c>
      <c r="V38" s="242" t="str">
        <f t="shared" si="43"/>
        <v/>
      </c>
      <c r="W38" s="242" t="str">
        <f t="shared" si="14"/>
        <v/>
      </c>
      <c r="X38" s="242" t="str">
        <f t="shared" si="15"/>
        <v/>
      </c>
      <c r="Y38" s="242" t="str">
        <f t="shared" si="42"/>
        <v/>
      </c>
      <c r="Z38" s="242" t="str">
        <f t="shared" si="16"/>
        <v/>
      </c>
      <c r="AA38" s="242" t="str">
        <f t="shared" si="47"/>
        <v/>
      </c>
      <c r="AB38" s="242" t="str">
        <f t="shared" si="45"/>
        <v/>
      </c>
      <c r="AC38" s="242" t="str">
        <f t="shared" si="46"/>
        <v/>
      </c>
      <c r="AD38" s="242" t="str">
        <f t="shared" si="48"/>
        <v/>
      </c>
      <c r="AE38" s="242" t="str">
        <f t="shared" si="49"/>
        <v/>
      </c>
      <c r="AF38" s="242">
        <v>1</v>
      </c>
      <c r="AG38" s="242" t="str">
        <f t="shared" si="22"/>
        <v/>
      </c>
      <c r="AH38" s="242" t="str">
        <f t="shared" si="50"/>
        <v/>
      </c>
      <c r="AI38" s="242" t="str">
        <f t="shared" si="51"/>
        <v/>
      </c>
      <c r="AJ38" s="242" t="str">
        <f t="shared" si="52"/>
        <v/>
      </c>
      <c r="AK38" s="242" t="str">
        <f t="shared" si="53"/>
        <v/>
      </c>
      <c r="AL38" s="242" t="str">
        <f t="shared" si="54"/>
        <v/>
      </c>
      <c r="AM38" s="242" t="str">
        <f t="shared" si="55"/>
        <v/>
      </c>
      <c r="AN38" s="199" t="str">
        <f t="shared" si="56"/>
        <v/>
      </c>
      <c r="AO38" s="199" t="str">
        <f t="shared" si="57"/>
        <v/>
      </c>
      <c r="AP38" s="199" t="str">
        <f t="shared" si="58"/>
        <v/>
      </c>
      <c r="AQ38" s="199" t="str">
        <f t="shared" si="59"/>
        <v/>
      </c>
      <c r="AR38" s="199" t="str">
        <f t="shared" si="60"/>
        <v/>
      </c>
      <c r="AS38" s="199" t="str">
        <f t="shared" si="61"/>
        <v/>
      </c>
      <c r="AT38" s="199" t="str">
        <f t="shared" si="62"/>
        <v/>
      </c>
      <c r="AU38" s="199" t="str">
        <f t="shared" si="63"/>
        <v/>
      </c>
      <c r="AV38" s="199" t="str">
        <f t="shared" si="64"/>
        <v/>
      </c>
      <c r="AW38" s="199" t="str">
        <f t="shared" si="65"/>
        <v/>
      </c>
      <c r="AX38" s="199" t="str">
        <f t="shared" si="66"/>
        <v/>
      </c>
      <c r="AY38" s="199" t="str">
        <f t="shared" si="67"/>
        <v/>
      </c>
    </row>
    <row r="39" spans="1:51" ht="20.399999999999999" x14ac:dyDescent="0.3">
      <c r="A39" s="191">
        <v>37</v>
      </c>
      <c r="B39" s="228" t="s">
        <v>9</v>
      </c>
      <c r="C39" s="129" t="s">
        <v>1018</v>
      </c>
      <c r="D39" s="135">
        <v>2012</v>
      </c>
      <c r="E39" s="133">
        <v>41176</v>
      </c>
      <c r="F39" s="198">
        <f t="shared" si="0"/>
        <v>9</v>
      </c>
      <c r="G39" s="198" t="str">
        <f t="shared" si="1"/>
        <v>92012</v>
      </c>
      <c r="H39" s="198" t="str">
        <f t="shared" si="2"/>
        <v>septiembre</v>
      </c>
      <c r="I39" s="114">
        <f>VLOOKUP(B39,'Base de Datos'!$E$7:$W$271,14,0)</f>
        <v>1</v>
      </c>
      <c r="J39" s="200">
        <f t="shared" si="3"/>
        <v>1900</v>
      </c>
      <c r="K39" s="199">
        <f t="shared" si="4"/>
        <v>1</v>
      </c>
      <c r="L39" s="199" t="str">
        <f t="shared" si="5"/>
        <v>11900</v>
      </c>
      <c r="M39" s="199" t="str">
        <f t="shared" si="6"/>
        <v>enero</v>
      </c>
      <c r="N39" s="199">
        <f t="shared" ca="1" si="7"/>
        <v>44227</v>
      </c>
      <c r="O39" s="242" t="str">
        <f t="shared" ca="1" si="8"/>
        <v>SI</v>
      </c>
      <c r="P39" s="242" t="str">
        <f t="shared" si="41"/>
        <v/>
      </c>
      <c r="Q39" s="242" t="str">
        <f t="shared" si="9"/>
        <v/>
      </c>
      <c r="R39" s="242" t="str">
        <f t="shared" si="10"/>
        <v/>
      </c>
      <c r="S39" s="242" t="str">
        <f t="shared" si="11"/>
        <v/>
      </c>
      <c r="T39" s="242" t="str">
        <f t="shared" si="12"/>
        <v/>
      </c>
      <c r="U39" s="242" t="str">
        <f t="shared" si="13"/>
        <v/>
      </c>
      <c r="V39" s="242" t="str">
        <f t="shared" si="43"/>
        <v/>
      </c>
      <c r="W39" s="242" t="str">
        <f t="shared" si="14"/>
        <v/>
      </c>
      <c r="X39" s="242" t="str">
        <f t="shared" si="15"/>
        <v/>
      </c>
      <c r="Y39" s="242" t="str">
        <f t="shared" si="42"/>
        <v/>
      </c>
      <c r="Z39" s="242" t="str">
        <f t="shared" si="16"/>
        <v/>
      </c>
      <c r="AA39" s="242" t="str">
        <f t="shared" si="47"/>
        <v/>
      </c>
      <c r="AB39" s="242" t="str">
        <f t="shared" si="45"/>
        <v/>
      </c>
      <c r="AC39" s="242" t="str">
        <f t="shared" si="46"/>
        <v/>
      </c>
      <c r="AD39" s="242" t="str">
        <f t="shared" si="48"/>
        <v/>
      </c>
      <c r="AE39" s="242" t="str">
        <f t="shared" si="49"/>
        <v/>
      </c>
      <c r="AF39" s="242">
        <v>1</v>
      </c>
      <c r="AG39" s="242" t="str">
        <f t="shared" si="22"/>
        <v/>
      </c>
      <c r="AH39" s="242" t="str">
        <f t="shared" si="50"/>
        <v/>
      </c>
      <c r="AI39" s="242" t="str">
        <f t="shared" si="51"/>
        <v/>
      </c>
      <c r="AJ39" s="242" t="str">
        <f t="shared" si="52"/>
        <v/>
      </c>
      <c r="AK39" s="242" t="str">
        <f t="shared" si="53"/>
        <v/>
      </c>
      <c r="AL39" s="242" t="str">
        <f t="shared" si="54"/>
        <v/>
      </c>
      <c r="AM39" s="242" t="str">
        <f t="shared" si="55"/>
        <v/>
      </c>
      <c r="AN39" s="199" t="str">
        <f t="shared" si="56"/>
        <v/>
      </c>
      <c r="AO39" s="199" t="str">
        <f t="shared" si="57"/>
        <v/>
      </c>
      <c r="AP39" s="199" t="str">
        <f t="shared" si="58"/>
        <v/>
      </c>
      <c r="AQ39" s="199" t="str">
        <f t="shared" si="59"/>
        <v/>
      </c>
      <c r="AR39" s="199" t="str">
        <f t="shared" si="60"/>
        <v/>
      </c>
      <c r="AS39" s="199" t="str">
        <f t="shared" si="61"/>
        <v/>
      </c>
      <c r="AT39" s="199" t="str">
        <f t="shared" si="62"/>
        <v/>
      </c>
      <c r="AU39" s="199" t="str">
        <f t="shared" si="63"/>
        <v/>
      </c>
      <c r="AV39" s="199" t="str">
        <f t="shared" si="64"/>
        <v/>
      </c>
      <c r="AW39" s="199" t="str">
        <f t="shared" si="65"/>
        <v/>
      </c>
      <c r="AX39" s="199" t="str">
        <f t="shared" si="66"/>
        <v/>
      </c>
      <c r="AY39" s="199" t="str">
        <f t="shared" si="67"/>
        <v/>
      </c>
    </row>
    <row r="40" spans="1:51" ht="20.399999999999999" x14ac:dyDescent="0.3">
      <c r="A40" s="191">
        <v>38</v>
      </c>
      <c r="B40" s="226" t="s">
        <v>69</v>
      </c>
      <c r="C40" s="128" t="s">
        <v>70</v>
      </c>
      <c r="D40" s="135">
        <v>2012</v>
      </c>
      <c r="E40" s="123">
        <v>41170</v>
      </c>
      <c r="F40" s="198">
        <f t="shared" si="0"/>
        <v>9</v>
      </c>
      <c r="G40" s="198" t="str">
        <f t="shared" si="1"/>
        <v>92012</v>
      </c>
      <c r="H40" s="198" t="str">
        <f t="shared" si="2"/>
        <v>septiembre</v>
      </c>
      <c r="I40" s="114">
        <f>VLOOKUP(B40,'Base de Datos'!$E$7:$W$271,14,0)</f>
        <v>0</v>
      </c>
      <c r="J40" s="200">
        <f t="shared" si="3"/>
        <v>1900</v>
      </c>
      <c r="K40" s="199">
        <f t="shared" si="4"/>
        <v>1</v>
      </c>
      <c r="L40" s="199" t="str">
        <f t="shared" si="5"/>
        <v>11900</v>
      </c>
      <c r="M40" s="199" t="str">
        <f t="shared" si="6"/>
        <v>enero</v>
      </c>
      <c r="N40" s="199">
        <f t="shared" ca="1" si="7"/>
        <v>44228</v>
      </c>
      <c r="O40" s="242" t="str">
        <f t="shared" ca="1" si="8"/>
        <v>SI</v>
      </c>
      <c r="P40" s="242" t="str">
        <f t="shared" si="41"/>
        <v/>
      </c>
      <c r="Q40" s="242" t="str">
        <f t="shared" si="9"/>
        <v/>
      </c>
      <c r="R40" s="242" t="str">
        <f t="shared" si="10"/>
        <v/>
      </c>
      <c r="S40" s="242" t="str">
        <f t="shared" si="11"/>
        <v/>
      </c>
      <c r="T40" s="242" t="str">
        <f t="shared" si="12"/>
        <v/>
      </c>
      <c r="U40" s="242" t="str">
        <f t="shared" si="13"/>
        <v/>
      </c>
      <c r="V40" s="242" t="str">
        <f t="shared" si="43"/>
        <v/>
      </c>
      <c r="W40" s="242" t="str">
        <f t="shared" si="14"/>
        <v/>
      </c>
      <c r="X40" s="242" t="str">
        <f t="shared" si="15"/>
        <v/>
      </c>
      <c r="Y40" s="242" t="str">
        <f t="shared" si="42"/>
        <v/>
      </c>
      <c r="Z40" s="242" t="str">
        <f t="shared" si="16"/>
        <v/>
      </c>
      <c r="AA40" s="242" t="str">
        <f t="shared" si="47"/>
        <v/>
      </c>
      <c r="AB40" s="242" t="str">
        <f t="shared" si="45"/>
        <v/>
      </c>
      <c r="AC40" s="242" t="str">
        <f t="shared" si="46"/>
        <v/>
      </c>
      <c r="AD40" s="242" t="str">
        <f t="shared" si="48"/>
        <v/>
      </c>
      <c r="AE40" s="242" t="str">
        <f t="shared" si="49"/>
        <v/>
      </c>
      <c r="AF40" s="242">
        <v>1</v>
      </c>
      <c r="AG40" s="242" t="str">
        <f t="shared" si="22"/>
        <v/>
      </c>
      <c r="AH40" s="242" t="str">
        <f t="shared" si="50"/>
        <v/>
      </c>
      <c r="AI40" s="242" t="str">
        <f t="shared" si="51"/>
        <v/>
      </c>
      <c r="AJ40" s="242" t="str">
        <f t="shared" si="52"/>
        <v/>
      </c>
      <c r="AK40" s="242" t="str">
        <f t="shared" si="53"/>
        <v/>
      </c>
      <c r="AL40" s="242" t="str">
        <f t="shared" si="54"/>
        <v/>
      </c>
      <c r="AM40" s="242" t="str">
        <f t="shared" si="55"/>
        <v/>
      </c>
      <c r="AN40" s="199" t="str">
        <f t="shared" si="56"/>
        <v/>
      </c>
      <c r="AO40" s="199" t="str">
        <f t="shared" si="57"/>
        <v/>
      </c>
      <c r="AP40" s="199" t="str">
        <f t="shared" si="58"/>
        <v/>
      </c>
      <c r="AQ40" s="199" t="str">
        <f t="shared" si="59"/>
        <v/>
      </c>
      <c r="AR40" s="199" t="str">
        <f t="shared" si="60"/>
        <v/>
      </c>
      <c r="AS40" s="199" t="str">
        <f t="shared" si="61"/>
        <v/>
      </c>
      <c r="AT40" s="199" t="str">
        <f t="shared" si="62"/>
        <v/>
      </c>
      <c r="AU40" s="199" t="str">
        <f t="shared" si="63"/>
        <v/>
      </c>
      <c r="AV40" s="199" t="str">
        <f t="shared" si="64"/>
        <v/>
      </c>
      <c r="AW40" s="199" t="str">
        <f t="shared" si="65"/>
        <v/>
      </c>
      <c r="AX40" s="199" t="str">
        <f t="shared" si="66"/>
        <v/>
      </c>
      <c r="AY40" s="199" t="str">
        <f t="shared" si="67"/>
        <v/>
      </c>
    </row>
    <row r="41" spans="1:51" ht="20.399999999999999" x14ac:dyDescent="0.3">
      <c r="A41" s="191">
        <v>39</v>
      </c>
      <c r="B41" s="228" t="s">
        <v>35</v>
      </c>
      <c r="C41" s="129" t="s">
        <v>36</v>
      </c>
      <c r="D41" s="135">
        <v>2012</v>
      </c>
      <c r="E41" s="131">
        <v>41172</v>
      </c>
      <c r="F41" s="198">
        <f t="shared" si="0"/>
        <v>9</v>
      </c>
      <c r="G41" s="198" t="str">
        <f t="shared" si="1"/>
        <v>92012</v>
      </c>
      <c r="H41" s="198" t="str">
        <f t="shared" si="2"/>
        <v>septiembre</v>
      </c>
      <c r="I41" s="114">
        <f>VLOOKUP(B41,'Base de Datos'!$E$7:$W$271,14,0)</f>
        <v>1</v>
      </c>
      <c r="J41" s="200">
        <f t="shared" si="3"/>
        <v>1900</v>
      </c>
      <c r="K41" s="199">
        <f t="shared" si="4"/>
        <v>1</v>
      </c>
      <c r="L41" s="199" t="str">
        <f t="shared" si="5"/>
        <v>11900</v>
      </c>
      <c r="M41" s="199" t="str">
        <f t="shared" si="6"/>
        <v>enero</v>
      </c>
      <c r="N41" s="199">
        <f t="shared" ca="1" si="7"/>
        <v>44227</v>
      </c>
      <c r="O41" s="242" t="str">
        <f t="shared" ca="1" si="8"/>
        <v>SI</v>
      </c>
      <c r="P41" s="242" t="str">
        <f t="shared" si="41"/>
        <v/>
      </c>
      <c r="Q41" s="242" t="str">
        <f t="shared" si="9"/>
        <v/>
      </c>
      <c r="R41" s="242" t="str">
        <f t="shared" si="10"/>
        <v/>
      </c>
      <c r="S41" s="242" t="str">
        <f t="shared" si="11"/>
        <v/>
      </c>
      <c r="T41" s="242" t="str">
        <f t="shared" si="12"/>
        <v/>
      </c>
      <c r="U41" s="242" t="str">
        <f t="shared" si="13"/>
        <v/>
      </c>
      <c r="V41" s="242" t="str">
        <f t="shared" si="43"/>
        <v/>
      </c>
      <c r="W41" s="242" t="str">
        <f t="shared" si="14"/>
        <v/>
      </c>
      <c r="X41" s="242" t="str">
        <f t="shared" si="15"/>
        <v/>
      </c>
      <c r="Y41" s="242" t="str">
        <f t="shared" si="42"/>
        <v/>
      </c>
      <c r="Z41" s="242" t="str">
        <f t="shared" si="16"/>
        <v/>
      </c>
      <c r="AA41" s="242" t="str">
        <f t="shared" si="47"/>
        <v/>
      </c>
      <c r="AB41" s="242" t="str">
        <f t="shared" si="45"/>
        <v/>
      </c>
      <c r="AC41" s="242" t="str">
        <f t="shared" si="46"/>
        <v/>
      </c>
      <c r="AD41" s="242" t="str">
        <f t="shared" si="48"/>
        <v/>
      </c>
      <c r="AE41" s="242" t="str">
        <f t="shared" si="49"/>
        <v/>
      </c>
      <c r="AF41" s="242">
        <v>1</v>
      </c>
      <c r="AG41" s="242" t="str">
        <f t="shared" si="22"/>
        <v/>
      </c>
      <c r="AH41" s="242" t="str">
        <f t="shared" si="50"/>
        <v/>
      </c>
      <c r="AI41" s="242" t="str">
        <f t="shared" si="51"/>
        <v/>
      </c>
      <c r="AJ41" s="242" t="str">
        <f t="shared" si="52"/>
        <v/>
      </c>
      <c r="AK41" s="242" t="str">
        <f t="shared" si="53"/>
        <v/>
      </c>
      <c r="AL41" s="242" t="str">
        <f t="shared" si="54"/>
        <v/>
      </c>
      <c r="AM41" s="242" t="str">
        <f t="shared" si="55"/>
        <v/>
      </c>
      <c r="AN41" s="199" t="str">
        <f t="shared" si="56"/>
        <v/>
      </c>
      <c r="AO41" s="199" t="str">
        <f t="shared" si="57"/>
        <v/>
      </c>
      <c r="AP41" s="199" t="str">
        <f t="shared" si="58"/>
        <v/>
      </c>
      <c r="AQ41" s="199" t="str">
        <f t="shared" si="59"/>
        <v/>
      </c>
      <c r="AR41" s="199" t="str">
        <f t="shared" si="60"/>
        <v/>
      </c>
      <c r="AS41" s="199" t="str">
        <f t="shared" si="61"/>
        <v/>
      </c>
      <c r="AT41" s="199" t="str">
        <f t="shared" si="62"/>
        <v/>
      </c>
      <c r="AU41" s="199" t="str">
        <f t="shared" si="63"/>
        <v/>
      </c>
      <c r="AV41" s="199" t="str">
        <f t="shared" si="64"/>
        <v/>
      </c>
      <c r="AW41" s="199" t="str">
        <f t="shared" si="65"/>
        <v/>
      </c>
      <c r="AX41" s="199" t="str">
        <f t="shared" si="66"/>
        <v/>
      </c>
      <c r="AY41" s="199" t="str">
        <f t="shared" si="67"/>
        <v/>
      </c>
    </row>
    <row r="42" spans="1:51" ht="20.399999999999999" x14ac:dyDescent="0.3">
      <c r="A42" s="191">
        <v>40</v>
      </c>
      <c r="B42" s="228" t="s">
        <v>37</v>
      </c>
      <c r="C42" s="129" t="s">
        <v>38</v>
      </c>
      <c r="D42" s="135">
        <v>2012</v>
      </c>
      <c r="E42" s="131">
        <v>41163</v>
      </c>
      <c r="F42" s="198">
        <f t="shared" si="0"/>
        <v>9</v>
      </c>
      <c r="G42" s="198" t="str">
        <f t="shared" si="1"/>
        <v>92012</v>
      </c>
      <c r="H42" s="198" t="str">
        <f t="shared" si="2"/>
        <v>septiembre</v>
      </c>
      <c r="I42" s="114">
        <f>VLOOKUP(B42,'Base de Datos'!$E$7:$W$271,14,0)</f>
        <v>1</v>
      </c>
      <c r="J42" s="200">
        <f t="shared" si="3"/>
        <v>1900</v>
      </c>
      <c r="K42" s="199">
        <f t="shared" si="4"/>
        <v>1</v>
      </c>
      <c r="L42" s="199" t="str">
        <f t="shared" si="5"/>
        <v>11900</v>
      </c>
      <c r="M42" s="199" t="str">
        <f t="shared" si="6"/>
        <v>enero</v>
      </c>
      <c r="N42" s="199">
        <f t="shared" ca="1" si="7"/>
        <v>44227</v>
      </c>
      <c r="O42" s="242" t="str">
        <f t="shared" ca="1" si="8"/>
        <v>SI</v>
      </c>
      <c r="P42" s="242" t="str">
        <f t="shared" si="41"/>
        <v/>
      </c>
      <c r="Q42" s="242" t="str">
        <f t="shared" si="9"/>
        <v/>
      </c>
      <c r="R42" s="242" t="str">
        <f t="shared" si="10"/>
        <v/>
      </c>
      <c r="S42" s="242" t="str">
        <f t="shared" si="11"/>
        <v/>
      </c>
      <c r="T42" s="242" t="str">
        <f t="shared" si="12"/>
        <v/>
      </c>
      <c r="U42" s="242" t="str">
        <f t="shared" si="13"/>
        <v/>
      </c>
      <c r="V42" s="242" t="str">
        <f t="shared" si="43"/>
        <v/>
      </c>
      <c r="W42" s="242" t="str">
        <f t="shared" si="14"/>
        <v/>
      </c>
      <c r="X42" s="242" t="str">
        <f t="shared" si="15"/>
        <v/>
      </c>
      <c r="Y42" s="242" t="str">
        <f t="shared" si="42"/>
        <v/>
      </c>
      <c r="Z42" s="242" t="str">
        <f t="shared" si="16"/>
        <v/>
      </c>
      <c r="AA42" s="242" t="str">
        <f t="shared" si="47"/>
        <v/>
      </c>
      <c r="AB42" s="242" t="str">
        <f t="shared" si="45"/>
        <v/>
      </c>
      <c r="AC42" s="242" t="str">
        <f t="shared" si="46"/>
        <v/>
      </c>
      <c r="AD42" s="242" t="str">
        <f t="shared" si="48"/>
        <v/>
      </c>
      <c r="AE42" s="242" t="str">
        <f t="shared" si="49"/>
        <v/>
      </c>
      <c r="AF42" s="242">
        <v>1</v>
      </c>
      <c r="AG42" s="242" t="str">
        <f t="shared" si="22"/>
        <v/>
      </c>
      <c r="AH42" s="242" t="str">
        <f t="shared" si="50"/>
        <v/>
      </c>
      <c r="AI42" s="242" t="str">
        <f t="shared" si="51"/>
        <v/>
      </c>
      <c r="AJ42" s="242" t="str">
        <f t="shared" si="52"/>
        <v/>
      </c>
      <c r="AK42" s="242" t="str">
        <f t="shared" si="53"/>
        <v/>
      </c>
      <c r="AL42" s="242" t="str">
        <f t="shared" si="54"/>
        <v/>
      </c>
      <c r="AM42" s="242" t="str">
        <f t="shared" si="55"/>
        <v/>
      </c>
      <c r="AN42" s="199" t="str">
        <f t="shared" si="56"/>
        <v/>
      </c>
      <c r="AO42" s="199" t="str">
        <f t="shared" si="57"/>
        <v/>
      </c>
      <c r="AP42" s="199" t="str">
        <f t="shared" si="58"/>
        <v/>
      </c>
      <c r="AQ42" s="199" t="str">
        <f t="shared" si="59"/>
        <v/>
      </c>
      <c r="AR42" s="199" t="str">
        <f t="shared" si="60"/>
        <v/>
      </c>
      <c r="AS42" s="199" t="str">
        <f t="shared" si="61"/>
        <v/>
      </c>
      <c r="AT42" s="199" t="str">
        <f t="shared" si="62"/>
        <v/>
      </c>
      <c r="AU42" s="199" t="str">
        <f t="shared" si="63"/>
        <v/>
      </c>
      <c r="AV42" s="199" t="str">
        <f t="shared" si="64"/>
        <v/>
      </c>
      <c r="AW42" s="199" t="str">
        <f t="shared" si="65"/>
        <v/>
      </c>
      <c r="AX42" s="199" t="str">
        <f t="shared" si="66"/>
        <v/>
      </c>
      <c r="AY42" s="199" t="str">
        <f t="shared" si="67"/>
        <v/>
      </c>
    </row>
    <row r="43" spans="1:51" ht="40.799999999999997" x14ac:dyDescent="0.3">
      <c r="A43" s="191">
        <v>41</v>
      </c>
      <c r="B43" s="224" t="s">
        <v>63</v>
      </c>
      <c r="C43" s="120" t="s">
        <v>64</v>
      </c>
      <c r="D43" s="135">
        <v>2012</v>
      </c>
      <c r="E43" s="123">
        <v>41198</v>
      </c>
      <c r="F43" s="198">
        <f t="shared" si="0"/>
        <v>10</v>
      </c>
      <c r="G43" s="198" t="str">
        <f t="shared" si="1"/>
        <v>102012</v>
      </c>
      <c r="H43" s="198" t="str">
        <f t="shared" si="2"/>
        <v>octubre</v>
      </c>
      <c r="I43" s="114">
        <f>VLOOKUP(B43,'Base de Datos'!$E$7:$W$271,14,0)</f>
        <v>0</v>
      </c>
      <c r="J43" s="200">
        <f t="shared" si="3"/>
        <v>1900</v>
      </c>
      <c r="K43" s="199">
        <f t="shared" si="4"/>
        <v>1</v>
      </c>
      <c r="L43" s="199" t="str">
        <f t="shared" si="5"/>
        <v>11900</v>
      </c>
      <c r="M43" s="199" t="str">
        <f t="shared" si="6"/>
        <v>enero</v>
      </c>
      <c r="N43" s="199">
        <f t="shared" ca="1" si="7"/>
        <v>44228</v>
      </c>
      <c r="O43" s="242" t="str">
        <f t="shared" ca="1" si="8"/>
        <v>SI</v>
      </c>
      <c r="P43" s="242" t="str">
        <f t="shared" si="41"/>
        <v/>
      </c>
      <c r="Q43" s="242" t="str">
        <f t="shared" si="9"/>
        <v/>
      </c>
      <c r="R43" s="242" t="str">
        <f t="shared" si="10"/>
        <v/>
      </c>
      <c r="S43" s="242" t="str">
        <f t="shared" si="11"/>
        <v/>
      </c>
      <c r="T43" s="242" t="str">
        <f t="shared" si="12"/>
        <v/>
      </c>
      <c r="U43" s="242" t="str">
        <f t="shared" si="13"/>
        <v/>
      </c>
      <c r="V43" s="242" t="str">
        <f t="shared" si="43"/>
        <v/>
      </c>
      <c r="W43" s="242" t="str">
        <f t="shared" si="14"/>
        <v/>
      </c>
      <c r="X43" s="242" t="str">
        <f t="shared" si="15"/>
        <v/>
      </c>
      <c r="Y43" s="242" t="str">
        <f t="shared" si="42"/>
        <v/>
      </c>
      <c r="Z43" s="242" t="str">
        <f t="shared" si="16"/>
        <v/>
      </c>
      <c r="AA43" s="242" t="str">
        <f t="shared" si="47"/>
        <v/>
      </c>
      <c r="AB43" s="242" t="str">
        <f t="shared" si="45"/>
        <v/>
      </c>
      <c r="AC43" s="242" t="str">
        <f t="shared" si="46"/>
        <v/>
      </c>
      <c r="AD43" s="242" t="str">
        <f t="shared" si="48"/>
        <v/>
      </c>
      <c r="AE43" s="242" t="str">
        <f t="shared" si="49"/>
        <v/>
      </c>
      <c r="AF43" s="242" t="str">
        <f t="shared" ref="AF43:AF106" si="68">IF(AND(E43&lt;$AF$2,I43&gt;$AF$2),"1","")</f>
        <v/>
      </c>
      <c r="AG43" s="242">
        <v>1</v>
      </c>
      <c r="AH43" s="242" t="str">
        <f t="shared" si="50"/>
        <v/>
      </c>
      <c r="AI43" s="242" t="str">
        <f t="shared" si="51"/>
        <v/>
      </c>
      <c r="AJ43" s="242" t="str">
        <f t="shared" si="52"/>
        <v/>
      </c>
      <c r="AK43" s="242" t="str">
        <f t="shared" si="53"/>
        <v/>
      </c>
      <c r="AL43" s="242" t="str">
        <f t="shared" si="54"/>
        <v/>
      </c>
      <c r="AM43" s="242" t="str">
        <f t="shared" si="55"/>
        <v/>
      </c>
      <c r="AN43" s="199" t="str">
        <f t="shared" si="56"/>
        <v/>
      </c>
      <c r="AO43" s="199" t="str">
        <f t="shared" si="57"/>
        <v/>
      </c>
      <c r="AP43" s="199" t="str">
        <f t="shared" si="58"/>
        <v/>
      </c>
      <c r="AQ43" s="199" t="str">
        <f t="shared" si="59"/>
        <v/>
      </c>
      <c r="AR43" s="199" t="str">
        <f t="shared" si="60"/>
        <v/>
      </c>
      <c r="AS43" s="199" t="str">
        <f t="shared" si="61"/>
        <v/>
      </c>
      <c r="AT43" s="199" t="str">
        <f t="shared" si="62"/>
        <v/>
      </c>
      <c r="AU43" s="199" t="str">
        <f t="shared" si="63"/>
        <v/>
      </c>
      <c r="AV43" s="199" t="str">
        <f t="shared" si="64"/>
        <v/>
      </c>
      <c r="AW43" s="199" t="str">
        <f t="shared" si="65"/>
        <v/>
      </c>
      <c r="AX43" s="199" t="str">
        <f t="shared" si="66"/>
        <v/>
      </c>
      <c r="AY43" s="199" t="str">
        <f t="shared" si="67"/>
        <v/>
      </c>
    </row>
    <row r="44" spans="1:51" ht="20.399999999999999" x14ac:dyDescent="0.3">
      <c r="A44" s="191">
        <v>42</v>
      </c>
      <c r="B44" s="226" t="s">
        <v>110</v>
      </c>
      <c r="C44" s="120" t="s">
        <v>111</v>
      </c>
      <c r="D44" s="135">
        <v>2012</v>
      </c>
      <c r="E44" s="123">
        <v>41076</v>
      </c>
      <c r="F44" s="198">
        <f t="shared" si="0"/>
        <v>6</v>
      </c>
      <c r="G44" s="198" t="str">
        <f t="shared" si="1"/>
        <v>62012</v>
      </c>
      <c r="H44" s="198" t="str">
        <f t="shared" si="2"/>
        <v>junio</v>
      </c>
      <c r="I44" s="114">
        <f>VLOOKUP(B44,'Base de Datos'!$E$7:$W$271,14,0)</f>
        <v>0</v>
      </c>
      <c r="J44" s="200">
        <f t="shared" si="3"/>
        <v>1900</v>
      </c>
      <c r="K44" s="199">
        <f t="shared" si="4"/>
        <v>1</v>
      </c>
      <c r="L44" s="199" t="str">
        <f t="shared" si="5"/>
        <v>11900</v>
      </c>
      <c r="M44" s="199" t="str">
        <f t="shared" si="6"/>
        <v>enero</v>
      </c>
      <c r="N44" s="199">
        <f t="shared" ca="1" si="7"/>
        <v>44228</v>
      </c>
      <c r="O44" s="242" t="str">
        <f t="shared" ca="1" si="8"/>
        <v>SI</v>
      </c>
      <c r="P44" s="242" t="str">
        <f t="shared" si="41"/>
        <v/>
      </c>
      <c r="Q44" s="242" t="str">
        <f t="shared" si="9"/>
        <v/>
      </c>
      <c r="R44" s="242" t="str">
        <f t="shared" si="10"/>
        <v/>
      </c>
      <c r="S44" s="242" t="str">
        <f t="shared" si="11"/>
        <v/>
      </c>
      <c r="T44" s="242" t="str">
        <f t="shared" si="12"/>
        <v/>
      </c>
      <c r="U44" s="242" t="str">
        <f t="shared" si="13"/>
        <v/>
      </c>
      <c r="V44" s="242" t="str">
        <f t="shared" si="43"/>
        <v/>
      </c>
      <c r="W44" s="242" t="str">
        <f t="shared" si="14"/>
        <v/>
      </c>
      <c r="X44" s="242" t="str">
        <f t="shared" si="15"/>
        <v/>
      </c>
      <c r="Y44" s="242" t="str">
        <f t="shared" si="42"/>
        <v/>
      </c>
      <c r="Z44" s="242" t="str">
        <f t="shared" si="16"/>
        <v/>
      </c>
      <c r="AA44" s="242" t="str">
        <f t="shared" si="47"/>
        <v/>
      </c>
      <c r="AB44" s="242" t="str">
        <f t="shared" si="45"/>
        <v/>
      </c>
      <c r="AC44" s="242" t="str">
        <f t="shared" si="46"/>
        <v/>
      </c>
      <c r="AD44" s="242" t="str">
        <f t="shared" si="48"/>
        <v/>
      </c>
      <c r="AE44" s="242" t="str">
        <f t="shared" si="49"/>
        <v/>
      </c>
      <c r="AF44" s="242" t="str">
        <f t="shared" si="68"/>
        <v/>
      </c>
      <c r="AG44" s="242">
        <v>1</v>
      </c>
      <c r="AH44" s="242" t="str">
        <f t="shared" si="50"/>
        <v/>
      </c>
      <c r="AI44" s="242" t="str">
        <f t="shared" si="51"/>
        <v/>
      </c>
      <c r="AJ44" s="242" t="str">
        <f t="shared" si="52"/>
        <v/>
      </c>
      <c r="AK44" s="242" t="str">
        <f t="shared" si="53"/>
        <v/>
      </c>
      <c r="AL44" s="242" t="str">
        <f t="shared" si="54"/>
        <v/>
      </c>
      <c r="AM44" s="242" t="str">
        <f t="shared" si="55"/>
        <v/>
      </c>
      <c r="AN44" s="199" t="str">
        <f t="shared" si="56"/>
        <v/>
      </c>
      <c r="AO44" s="199" t="str">
        <f t="shared" si="57"/>
        <v/>
      </c>
      <c r="AP44" s="199" t="str">
        <f t="shared" si="58"/>
        <v/>
      </c>
      <c r="AQ44" s="199" t="str">
        <f t="shared" si="59"/>
        <v/>
      </c>
      <c r="AR44" s="199" t="str">
        <f t="shared" si="60"/>
        <v/>
      </c>
      <c r="AS44" s="199" t="str">
        <f t="shared" si="61"/>
        <v/>
      </c>
      <c r="AT44" s="199" t="str">
        <f t="shared" si="62"/>
        <v/>
      </c>
      <c r="AU44" s="199" t="str">
        <f t="shared" si="63"/>
        <v/>
      </c>
      <c r="AV44" s="199" t="str">
        <f t="shared" si="64"/>
        <v/>
      </c>
      <c r="AW44" s="199" t="str">
        <f t="shared" si="65"/>
        <v/>
      </c>
      <c r="AX44" s="199" t="str">
        <f t="shared" si="66"/>
        <v/>
      </c>
      <c r="AY44" s="199" t="str">
        <f t="shared" si="67"/>
        <v/>
      </c>
    </row>
    <row r="45" spans="1:51" ht="20.399999999999999" x14ac:dyDescent="0.3">
      <c r="A45" s="191">
        <v>43</v>
      </c>
      <c r="B45" s="226" t="s">
        <v>116</v>
      </c>
      <c r="C45" s="120" t="s">
        <v>418</v>
      </c>
      <c r="D45" s="138">
        <v>2012</v>
      </c>
      <c r="E45" s="123">
        <v>41323</v>
      </c>
      <c r="F45" s="198">
        <f t="shared" si="0"/>
        <v>2</v>
      </c>
      <c r="G45" s="198" t="str">
        <f t="shared" si="1"/>
        <v>22012</v>
      </c>
      <c r="H45" s="198" t="str">
        <f t="shared" si="2"/>
        <v>febrero</v>
      </c>
      <c r="I45" s="114">
        <f>VLOOKUP(B45,'Base de Datos'!$E$7:$W$271,14,0)</f>
        <v>0</v>
      </c>
      <c r="J45" s="200">
        <f t="shared" si="3"/>
        <v>1900</v>
      </c>
      <c r="K45" s="199">
        <f t="shared" si="4"/>
        <v>1</v>
      </c>
      <c r="L45" s="199" t="str">
        <f t="shared" si="5"/>
        <v>11900</v>
      </c>
      <c r="M45" s="199" t="str">
        <f t="shared" si="6"/>
        <v>enero</v>
      </c>
      <c r="N45" s="199">
        <f t="shared" ca="1" si="7"/>
        <v>44228</v>
      </c>
      <c r="O45" s="242" t="str">
        <f t="shared" ca="1" si="8"/>
        <v>SI</v>
      </c>
      <c r="P45" s="242" t="str">
        <f t="shared" si="41"/>
        <v/>
      </c>
      <c r="Q45" s="242" t="str">
        <f t="shared" si="9"/>
        <v/>
      </c>
      <c r="R45" s="242" t="str">
        <f t="shared" si="10"/>
        <v/>
      </c>
      <c r="S45" s="242" t="str">
        <f t="shared" si="11"/>
        <v/>
      </c>
      <c r="T45" s="242" t="str">
        <f t="shared" si="12"/>
        <v/>
      </c>
      <c r="U45" s="242" t="str">
        <f t="shared" si="13"/>
        <v/>
      </c>
      <c r="V45" s="242" t="str">
        <f t="shared" si="43"/>
        <v/>
      </c>
      <c r="W45" s="242" t="str">
        <f t="shared" si="14"/>
        <v/>
      </c>
      <c r="X45" s="242" t="str">
        <f t="shared" si="15"/>
        <v/>
      </c>
      <c r="Y45" s="242" t="str">
        <f t="shared" si="42"/>
        <v/>
      </c>
      <c r="Z45" s="242" t="str">
        <f t="shared" si="16"/>
        <v/>
      </c>
      <c r="AA45" s="242" t="str">
        <f t="shared" si="47"/>
        <v/>
      </c>
      <c r="AB45" s="242" t="str">
        <f t="shared" si="45"/>
        <v/>
      </c>
      <c r="AC45" s="242" t="str">
        <f t="shared" si="46"/>
        <v/>
      </c>
      <c r="AD45" s="242" t="str">
        <f t="shared" si="48"/>
        <v/>
      </c>
      <c r="AE45" s="242" t="str">
        <f t="shared" si="49"/>
        <v/>
      </c>
      <c r="AF45" s="242" t="str">
        <f t="shared" si="68"/>
        <v/>
      </c>
      <c r="AG45" s="242">
        <v>1</v>
      </c>
      <c r="AH45" s="242" t="str">
        <f t="shared" si="50"/>
        <v/>
      </c>
      <c r="AI45" s="242" t="str">
        <f t="shared" si="51"/>
        <v/>
      </c>
      <c r="AJ45" s="242" t="str">
        <f t="shared" si="52"/>
        <v/>
      </c>
      <c r="AK45" s="242" t="str">
        <f t="shared" si="53"/>
        <v/>
      </c>
      <c r="AL45" s="242" t="str">
        <f t="shared" si="54"/>
        <v/>
      </c>
      <c r="AM45" s="242" t="str">
        <f t="shared" si="55"/>
        <v/>
      </c>
      <c r="AN45" s="199" t="str">
        <f t="shared" si="56"/>
        <v/>
      </c>
      <c r="AO45" s="199" t="str">
        <f t="shared" si="57"/>
        <v/>
      </c>
      <c r="AP45" s="199" t="str">
        <f t="shared" si="58"/>
        <v/>
      </c>
      <c r="AQ45" s="199" t="str">
        <f t="shared" si="59"/>
        <v/>
      </c>
      <c r="AR45" s="199" t="str">
        <f t="shared" si="60"/>
        <v/>
      </c>
      <c r="AS45" s="199" t="str">
        <f t="shared" si="61"/>
        <v/>
      </c>
      <c r="AT45" s="199" t="str">
        <f t="shared" si="62"/>
        <v/>
      </c>
      <c r="AU45" s="199" t="str">
        <f t="shared" si="63"/>
        <v/>
      </c>
      <c r="AV45" s="199" t="str">
        <f t="shared" si="64"/>
        <v/>
      </c>
      <c r="AW45" s="199" t="str">
        <f t="shared" si="65"/>
        <v/>
      </c>
      <c r="AX45" s="199" t="str">
        <f t="shared" si="66"/>
        <v/>
      </c>
      <c r="AY45" s="199" t="str">
        <f t="shared" si="67"/>
        <v/>
      </c>
    </row>
    <row r="46" spans="1:51" ht="20.399999999999999" x14ac:dyDescent="0.3">
      <c r="A46" s="191">
        <v>44</v>
      </c>
      <c r="B46" s="228" t="s">
        <v>6</v>
      </c>
      <c r="C46" s="129" t="s">
        <v>1017</v>
      </c>
      <c r="D46" s="122">
        <v>2012</v>
      </c>
      <c r="E46" s="123">
        <v>41172</v>
      </c>
      <c r="F46" s="198">
        <f t="shared" si="0"/>
        <v>9</v>
      </c>
      <c r="G46" s="198" t="str">
        <f t="shared" si="1"/>
        <v>92012</v>
      </c>
      <c r="H46" s="198" t="str">
        <f t="shared" si="2"/>
        <v>septiembre</v>
      </c>
      <c r="I46" s="114">
        <f>VLOOKUP(B46,'Base de Datos'!$E$7:$W$271,14,0)</f>
        <v>1</v>
      </c>
      <c r="J46" s="200">
        <f t="shared" si="3"/>
        <v>1900</v>
      </c>
      <c r="K46" s="199">
        <f t="shared" si="4"/>
        <v>1</v>
      </c>
      <c r="L46" s="199" t="str">
        <f t="shared" si="5"/>
        <v>11900</v>
      </c>
      <c r="M46" s="199" t="str">
        <f t="shared" si="6"/>
        <v>enero</v>
      </c>
      <c r="N46" s="199">
        <f t="shared" ca="1" si="7"/>
        <v>44227</v>
      </c>
      <c r="O46" s="242" t="str">
        <f t="shared" ca="1" si="8"/>
        <v>SI</v>
      </c>
      <c r="P46" s="242" t="str">
        <f t="shared" si="41"/>
        <v/>
      </c>
      <c r="Q46" s="242" t="str">
        <f t="shared" si="9"/>
        <v/>
      </c>
      <c r="R46" s="242" t="str">
        <f t="shared" si="10"/>
        <v/>
      </c>
      <c r="S46" s="242" t="str">
        <f t="shared" si="11"/>
        <v/>
      </c>
      <c r="T46" s="242" t="str">
        <f t="shared" si="12"/>
        <v/>
      </c>
      <c r="U46" s="242" t="str">
        <f t="shared" si="13"/>
        <v/>
      </c>
      <c r="V46" s="242" t="str">
        <f t="shared" si="43"/>
        <v/>
      </c>
      <c r="W46" s="242" t="str">
        <f t="shared" si="14"/>
        <v/>
      </c>
      <c r="X46" s="242" t="str">
        <f t="shared" si="15"/>
        <v/>
      </c>
      <c r="Y46" s="242" t="str">
        <f t="shared" si="42"/>
        <v/>
      </c>
      <c r="Z46" s="242" t="str">
        <f t="shared" si="16"/>
        <v/>
      </c>
      <c r="AA46" s="242" t="str">
        <f t="shared" si="47"/>
        <v/>
      </c>
      <c r="AB46" s="242" t="str">
        <f t="shared" si="45"/>
        <v/>
      </c>
      <c r="AC46" s="242" t="str">
        <f t="shared" si="46"/>
        <v/>
      </c>
      <c r="AD46" s="242" t="str">
        <f t="shared" si="48"/>
        <v/>
      </c>
      <c r="AE46" s="242" t="str">
        <f t="shared" si="49"/>
        <v/>
      </c>
      <c r="AF46" s="242" t="str">
        <f t="shared" si="68"/>
        <v/>
      </c>
      <c r="AG46" s="242">
        <v>1</v>
      </c>
      <c r="AH46" s="242" t="str">
        <f t="shared" si="50"/>
        <v/>
      </c>
      <c r="AI46" s="242" t="str">
        <f t="shared" si="51"/>
        <v/>
      </c>
      <c r="AJ46" s="242" t="str">
        <f t="shared" si="52"/>
        <v/>
      </c>
      <c r="AK46" s="242" t="str">
        <f t="shared" si="53"/>
        <v/>
      </c>
      <c r="AL46" s="242" t="str">
        <f t="shared" si="54"/>
        <v/>
      </c>
      <c r="AM46" s="242" t="str">
        <f t="shared" si="55"/>
        <v/>
      </c>
      <c r="AN46" s="199" t="str">
        <f t="shared" si="56"/>
        <v/>
      </c>
      <c r="AO46" s="199" t="str">
        <f t="shared" si="57"/>
        <v/>
      </c>
      <c r="AP46" s="199" t="str">
        <f t="shared" si="58"/>
        <v/>
      </c>
      <c r="AQ46" s="199" t="str">
        <f t="shared" si="59"/>
        <v/>
      </c>
      <c r="AR46" s="199" t="str">
        <f t="shared" si="60"/>
        <v/>
      </c>
      <c r="AS46" s="199" t="str">
        <f t="shared" si="61"/>
        <v/>
      </c>
      <c r="AT46" s="199" t="str">
        <f t="shared" si="62"/>
        <v/>
      </c>
      <c r="AU46" s="199" t="str">
        <f t="shared" si="63"/>
        <v/>
      </c>
      <c r="AV46" s="199" t="str">
        <f t="shared" si="64"/>
        <v/>
      </c>
      <c r="AW46" s="199" t="str">
        <f t="shared" si="65"/>
        <v/>
      </c>
      <c r="AX46" s="199" t="str">
        <f t="shared" si="66"/>
        <v/>
      </c>
      <c r="AY46" s="199" t="str">
        <f t="shared" si="67"/>
        <v/>
      </c>
    </row>
    <row r="47" spans="1:51" ht="20.399999999999999" x14ac:dyDescent="0.3">
      <c r="A47" s="191">
        <v>45</v>
      </c>
      <c r="B47" s="224" t="s">
        <v>598</v>
      </c>
      <c r="C47" s="120" t="s">
        <v>1024</v>
      </c>
      <c r="D47" s="135">
        <v>2012</v>
      </c>
      <c r="E47" s="123">
        <v>41234</v>
      </c>
      <c r="F47" s="198">
        <f t="shared" si="0"/>
        <v>11</v>
      </c>
      <c r="G47" s="198" t="str">
        <f t="shared" si="1"/>
        <v>112012</v>
      </c>
      <c r="H47" s="198" t="str">
        <f t="shared" si="2"/>
        <v>noviembre</v>
      </c>
      <c r="I47" s="114">
        <f>VLOOKUP(B47,'Base de Datos'!$E$7:$W$271,14,0)</f>
        <v>0</v>
      </c>
      <c r="J47" s="200">
        <f t="shared" si="3"/>
        <v>1900</v>
      </c>
      <c r="K47" s="199">
        <f t="shared" si="4"/>
        <v>1</v>
      </c>
      <c r="L47" s="199" t="str">
        <f t="shared" si="5"/>
        <v>11900</v>
      </c>
      <c r="M47" s="199" t="str">
        <f t="shared" si="6"/>
        <v>enero</v>
      </c>
      <c r="N47" s="199">
        <f t="shared" ca="1" si="7"/>
        <v>44228</v>
      </c>
      <c r="O47" s="242" t="str">
        <f t="shared" ca="1" si="8"/>
        <v>SI</v>
      </c>
      <c r="P47" s="242" t="str">
        <f t="shared" si="41"/>
        <v/>
      </c>
      <c r="Q47" s="242" t="str">
        <f t="shared" si="9"/>
        <v/>
      </c>
      <c r="R47" s="242" t="str">
        <f t="shared" si="10"/>
        <v/>
      </c>
      <c r="S47" s="242" t="str">
        <f t="shared" si="11"/>
        <v/>
      </c>
      <c r="T47" s="242" t="str">
        <f t="shared" si="12"/>
        <v/>
      </c>
      <c r="U47" s="242" t="str">
        <f t="shared" si="13"/>
        <v/>
      </c>
      <c r="V47" s="242" t="str">
        <f t="shared" si="43"/>
        <v/>
      </c>
      <c r="W47" s="242" t="str">
        <f t="shared" si="14"/>
        <v/>
      </c>
      <c r="X47" s="242" t="str">
        <f t="shared" si="15"/>
        <v/>
      </c>
      <c r="Y47" s="242" t="str">
        <f t="shared" si="42"/>
        <v/>
      </c>
      <c r="Z47" s="242" t="str">
        <f t="shared" si="16"/>
        <v/>
      </c>
      <c r="AA47" s="242" t="str">
        <f t="shared" si="47"/>
        <v/>
      </c>
      <c r="AB47" s="242" t="str">
        <f t="shared" si="45"/>
        <v/>
      </c>
      <c r="AC47" s="242" t="str">
        <f t="shared" si="46"/>
        <v/>
      </c>
      <c r="AD47" s="242" t="str">
        <f t="shared" si="48"/>
        <v/>
      </c>
      <c r="AE47" s="242" t="str">
        <f t="shared" si="49"/>
        <v/>
      </c>
      <c r="AF47" s="242" t="str">
        <f t="shared" si="68"/>
        <v/>
      </c>
      <c r="AG47" s="242">
        <v>1</v>
      </c>
      <c r="AH47" s="242" t="str">
        <f t="shared" si="50"/>
        <v/>
      </c>
      <c r="AI47" s="242" t="str">
        <f t="shared" si="51"/>
        <v/>
      </c>
      <c r="AJ47" s="242" t="str">
        <f t="shared" si="52"/>
        <v/>
      </c>
      <c r="AK47" s="242" t="str">
        <f t="shared" si="53"/>
        <v/>
      </c>
      <c r="AL47" s="242" t="str">
        <f t="shared" si="54"/>
        <v/>
      </c>
      <c r="AM47" s="242" t="str">
        <f t="shared" si="55"/>
        <v/>
      </c>
      <c r="AN47" s="199" t="str">
        <f t="shared" si="56"/>
        <v/>
      </c>
      <c r="AO47" s="199" t="str">
        <f t="shared" si="57"/>
        <v/>
      </c>
      <c r="AP47" s="199" t="str">
        <f t="shared" si="58"/>
        <v/>
      </c>
      <c r="AQ47" s="199" t="str">
        <f t="shared" si="59"/>
        <v/>
      </c>
      <c r="AR47" s="199" t="str">
        <f t="shared" si="60"/>
        <v/>
      </c>
      <c r="AS47" s="199" t="str">
        <f t="shared" si="61"/>
        <v/>
      </c>
      <c r="AT47" s="199" t="str">
        <f t="shared" si="62"/>
        <v/>
      </c>
      <c r="AU47" s="199" t="str">
        <f t="shared" si="63"/>
        <v/>
      </c>
      <c r="AV47" s="199" t="str">
        <f t="shared" si="64"/>
        <v/>
      </c>
      <c r="AW47" s="199" t="str">
        <f t="shared" si="65"/>
        <v/>
      </c>
      <c r="AX47" s="199" t="str">
        <f t="shared" si="66"/>
        <v/>
      </c>
      <c r="AY47" s="199" t="str">
        <f t="shared" si="67"/>
        <v/>
      </c>
    </row>
    <row r="48" spans="1:51" ht="20.399999999999999" x14ac:dyDescent="0.3">
      <c r="A48" s="191">
        <v>46</v>
      </c>
      <c r="B48" s="227" t="s">
        <v>49</v>
      </c>
      <c r="C48" s="129" t="s">
        <v>1020</v>
      </c>
      <c r="D48" s="135">
        <v>2012</v>
      </c>
      <c r="E48" s="131">
        <v>41208</v>
      </c>
      <c r="F48" s="198">
        <f t="shared" si="0"/>
        <v>10</v>
      </c>
      <c r="G48" s="198" t="str">
        <f t="shared" si="1"/>
        <v>102012</v>
      </c>
      <c r="H48" s="198" t="str">
        <f t="shared" si="2"/>
        <v>octubre</v>
      </c>
      <c r="I48" s="114">
        <f>VLOOKUP(B48,'Base de Datos'!$E$7:$W$271,14,0)</f>
        <v>0</v>
      </c>
      <c r="J48" s="200">
        <f t="shared" si="3"/>
        <v>1900</v>
      </c>
      <c r="K48" s="199">
        <f t="shared" si="4"/>
        <v>1</v>
      </c>
      <c r="L48" s="199" t="str">
        <f t="shared" si="5"/>
        <v>11900</v>
      </c>
      <c r="M48" s="199" t="str">
        <f t="shared" si="6"/>
        <v>enero</v>
      </c>
      <c r="N48" s="199">
        <f t="shared" ca="1" si="7"/>
        <v>44228</v>
      </c>
      <c r="O48" s="242" t="str">
        <f t="shared" ca="1" si="8"/>
        <v>SI</v>
      </c>
      <c r="P48" s="242" t="str">
        <f t="shared" si="41"/>
        <v/>
      </c>
      <c r="Q48" s="242" t="str">
        <f t="shared" si="9"/>
        <v/>
      </c>
      <c r="R48" s="242" t="str">
        <f t="shared" si="10"/>
        <v/>
      </c>
      <c r="S48" s="242" t="str">
        <f t="shared" si="11"/>
        <v/>
      </c>
      <c r="T48" s="242" t="str">
        <f t="shared" si="12"/>
        <v/>
      </c>
      <c r="U48" s="242" t="str">
        <f t="shared" si="13"/>
        <v/>
      </c>
      <c r="V48" s="242" t="str">
        <f t="shared" si="43"/>
        <v/>
      </c>
      <c r="W48" s="242" t="str">
        <f t="shared" si="14"/>
        <v/>
      </c>
      <c r="X48" s="242" t="str">
        <f t="shared" si="15"/>
        <v/>
      </c>
      <c r="Y48" s="242" t="str">
        <f t="shared" si="42"/>
        <v/>
      </c>
      <c r="Z48" s="242" t="str">
        <f t="shared" si="16"/>
        <v/>
      </c>
      <c r="AA48" s="242" t="str">
        <f t="shared" si="47"/>
        <v/>
      </c>
      <c r="AB48" s="242" t="str">
        <f t="shared" si="45"/>
        <v/>
      </c>
      <c r="AC48" s="242" t="str">
        <f t="shared" si="46"/>
        <v/>
      </c>
      <c r="AD48" s="242" t="str">
        <f t="shared" si="48"/>
        <v/>
      </c>
      <c r="AE48" s="242" t="str">
        <f t="shared" si="49"/>
        <v/>
      </c>
      <c r="AF48" s="242" t="str">
        <f t="shared" si="68"/>
        <v/>
      </c>
      <c r="AG48" s="242">
        <v>1</v>
      </c>
      <c r="AH48" s="242" t="str">
        <f t="shared" si="50"/>
        <v/>
      </c>
      <c r="AI48" s="242" t="str">
        <f t="shared" si="51"/>
        <v/>
      </c>
      <c r="AJ48" s="242" t="str">
        <f t="shared" si="52"/>
        <v/>
      </c>
      <c r="AK48" s="242" t="str">
        <f t="shared" si="53"/>
        <v/>
      </c>
      <c r="AL48" s="242" t="str">
        <f t="shared" si="54"/>
        <v/>
      </c>
      <c r="AM48" s="242" t="str">
        <f t="shared" si="55"/>
        <v/>
      </c>
      <c r="AN48" s="199" t="str">
        <f t="shared" si="56"/>
        <v/>
      </c>
      <c r="AO48" s="199" t="str">
        <f t="shared" si="57"/>
        <v/>
      </c>
      <c r="AP48" s="199" t="str">
        <f t="shared" si="58"/>
        <v/>
      </c>
      <c r="AQ48" s="199" t="str">
        <f t="shared" si="59"/>
        <v/>
      </c>
      <c r="AR48" s="199" t="str">
        <f t="shared" si="60"/>
        <v/>
      </c>
      <c r="AS48" s="199" t="str">
        <f t="shared" si="61"/>
        <v/>
      </c>
      <c r="AT48" s="199" t="str">
        <f t="shared" si="62"/>
        <v/>
      </c>
      <c r="AU48" s="199" t="str">
        <f t="shared" si="63"/>
        <v/>
      </c>
      <c r="AV48" s="199" t="str">
        <f t="shared" si="64"/>
        <v/>
      </c>
      <c r="AW48" s="199" t="str">
        <f t="shared" si="65"/>
        <v/>
      </c>
      <c r="AX48" s="199" t="str">
        <f t="shared" si="66"/>
        <v/>
      </c>
      <c r="AY48" s="199" t="str">
        <f t="shared" si="67"/>
        <v/>
      </c>
    </row>
    <row r="49" spans="1:51" ht="20.399999999999999" x14ac:dyDescent="0.3">
      <c r="A49" s="191">
        <v>47</v>
      </c>
      <c r="B49" s="228" t="s">
        <v>2</v>
      </c>
      <c r="C49" s="129" t="s">
        <v>3</v>
      </c>
      <c r="D49" s="135">
        <v>2012</v>
      </c>
      <c r="E49" s="131">
        <v>41163</v>
      </c>
      <c r="F49" s="198">
        <f t="shared" si="0"/>
        <v>9</v>
      </c>
      <c r="G49" s="198" t="str">
        <f t="shared" si="1"/>
        <v>92012</v>
      </c>
      <c r="H49" s="198" t="str">
        <f t="shared" si="2"/>
        <v>septiembre</v>
      </c>
      <c r="I49" s="114" t="e">
        <f>VLOOKUP(B49,'Base de Datos'!$E$7:$W$271,14,0)</f>
        <v>#N/A</v>
      </c>
      <c r="J49" s="200" t="e">
        <f t="shared" si="3"/>
        <v>#N/A</v>
      </c>
      <c r="K49" s="199" t="e">
        <f t="shared" si="4"/>
        <v>#N/A</v>
      </c>
      <c r="L49" s="199" t="e">
        <f t="shared" si="5"/>
        <v>#N/A</v>
      </c>
      <c r="M49" s="199" t="e">
        <f t="shared" si="6"/>
        <v>#N/A</v>
      </c>
      <c r="N49" s="199" t="e">
        <f t="shared" ca="1" si="7"/>
        <v>#N/A</v>
      </c>
      <c r="O49" s="242" t="e">
        <f t="shared" ca="1" si="8"/>
        <v>#N/A</v>
      </c>
      <c r="P49" s="242" t="e">
        <f t="shared" si="41"/>
        <v>#N/A</v>
      </c>
      <c r="Q49" s="242" t="e">
        <f t="shared" si="9"/>
        <v>#N/A</v>
      </c>
      <c r="R49" s="242" t="e">
        <f t="shared" si="10"/>
        <v>#N/A</v>
      </c>
      <c r="S49" s="242" t="e">
        <f t="shared" si="11"/>
        <v>#N/A</v>
      </c>
      <c r="T49" s="242" t="e">
        <f t="shared" si="12"/>
        <v>#N/A</v>
      </c>
      <c r="U49" s="242" t="e">
        <f t="shared" si="13"/>
        <v>#N/A</v>
      </c>
      <c r="V49" s="242" t="e">
        <f t="shared" si="43"/>
        <v>#N/A</v>
      </c>
      <c r="W49" s="242" t="e">
        <f t="shared" si="14"/>
        <v>#N/A</v>
      </c>
      <c r="X49" s="242" t="e">
        <f t="shared" si="15"/>
        <v>#N/A</v>
      </c>
      <c r="Y49" s="242" t="e">
        <f t="shared" si="42"/>
        <v>#N/A</v>
      </c>
      <c r="Z49" s="242" t="e">
        <f t="shared" si="16"/>
        <v>#N/A</v>
      </c>
      <c r="AA49" s="242" t="e">
        <f t="shared" si="47"/>
        <v>#N/A</v>
      </c>
      <c r="AB49" s="242" t="e">
        <f t="shared" si="45"/>
        <v>#N/A</v>
      </c>
      <c r="AC49" s="242" t="e">
        <f t="shared" si="46"/>
        <v>#N/A</v>
      </c>
      <c r="AD49" s="242" t="e">
        <f t="shared" si="48"/>
        <v>#N/A</v>
      </c>
      <c r="AE49" s="242" t="e">
        <f t="shared" si="49"/>
        <v>#N/A</v>
      </c>
      <c r="AF49" s="242" t="e">
        <f t="shared" si="68"/>
        <v>#N/A</v>
      </c>
      <c r="AG49" s="242">
        <v>1</v>
      </c>
      <c r="AH49" s="242" t="e">
        <f t="shared" si="50"/>
        <v>#N/A</v>
      </c>
      <c r="AI49" s="242" t="e">
        <f t="shared" si="51"/>
        <v>#N/A</v>
      </c>
      <c r="AJ49" s="242" t="e">
        <f t="shared" si="52"/>
        <v>#N/A</v>
      </c>
      <c r="AK49" s="242" t="e">
        <f t="shared" si="53"/>
        <v>#N/A</v>
      </c>
      <c r="AL49" s="242" t="e">
        <f t="shared" si="54"/>
        <v>#N/A</v>
      </c>
      <c r="AM49" s="242" t="e">
        <f t="shared" si="55"/>
        <v>#N/A</v>
      </c>
      <c r="AN49" s="199" t="e">
        <f t="shared" si="56"/>
        <v>#N/A</v>
      </c>
      <c r="AO49" s="199" t="e">
        <f t="shared" si="57"/>
        <v>#N/A</v>
      </c>
      <c r="AP49" s="199" t="e">
        <f t="shared" si="58"/>
        <v>#N/A</v>
      </c>
      <c r="AQ49" s="199" t="e">
        <f t="shared" si="59"/>
        <v>#N/A</v>
      </c>
      <c r="AR49" s="199" t="e">
        <f t="shared" si="60"/>
        <v>#N/A</v>
      </c>
      <c r="AS49" s="199" t="e">
        <f t="shared" si="61"/>
        <v>#N/A</v>
      </c>
      <c r="AT49" s="199" t="e">
        <f t="shared" si="62"/>
        <v>#N/A</v>
      </c>
      <c r="AU49" s="199" t="e">
        <f t="shared" si="63"/>
        <v>#N/A</v>
      </c>
      <c r="AV49" s="199" t="e">
        <f t="shared" si="64"/>
        <v>#N/A</v>
      </c>
      <c r="AW49" s="199" t="e">
        <f t="shared" si="65"/>
        <v>#N/A</v>
      </c>
      <c r="AX49" s="199" t="e">
        <f t="shared" si="66"/>
        <v>#N/A</v>
      </c>
      <c r="AY49" s="199" t="e">
        <f t="shared" si="67"/>
        <v>#N/A</v>
      </c>
    </row>
    <row r="50" spans="1:51" ht="40.799999999999997" x14ac:dyDescent="0.3">
      <c r="A50" s="191">
        <v>48</v>
      </c>
      <c r="B50" s="226" t="s">
        <v>62</v>
      </c>
      <c r="C50" s="128" t="s">
        <v>1014</v>
      </c>
      <c r="D50" s="135">
        <v>2012</v>
      </c>
      <c r="E50" s="123">
        <v>41270</v>
      </c>
      <c r="F50" s="198">
        <f t="shared" si="0"/>
        <v>12</v>
      </c>
      <c r="G50" s="198" t="str">
        <f t="shared" si="1"/>
        <v>122012</v>
      </c>
      <c r="H50" s="198" t="str">
        <f t="shared" si="2"/>
        <v>diciembre</v>
      </c>
      <c r="I50" s="114">
        <f>VLOOKUP(B50,'Base de Datos'!$E$7:$W$271,14,0)</f>
        <v>0</v>
      </c>
      <c r="J50" s="200">
        <f t="shared" si="3"/>
        <v>1900</v>
      </c>
      <c r="K50" s="199">
        <f t="shared" si="4"/>
        <v>1</v>
      </c>
      <c r="L50" s="199" t="str">
        <f t="shared" si="5"/>
        <v>11900</v>
      </c>
      <c r="M50" s="199" t="str">
        <f t="shared" si="6"/>
        <v>enero</v>
      </c>
      <c r="N50" s="199">
        <f t="shared" ca="1" si="7"/>
        <v>44228</v>
      </c>
      <c r="O50" s="242" t="str">
        <f t="shared" ca="1" si="8"/>
        <v>SI</v>
      </c>
      <c r="P50" s="242" t="str">
        <f t="shared" si="41"/>
        <v/>
      </c>
      <c r="Q50" s="242" t="str">
        <f t="shared" si="9"/>
        <v/>
      </c>
      <c r="R50" s="242" t="str">
        <f t="shared" si="10"/>
        <v/>
      </c>
      <c r="S50" s="242" t="str">
        <f t="shared" si="11"/>
        <v/>
      </c>
      <c r="T50" s="242" t="str">
        <f t="shared" si="12"/>
        <v/>
      </c>
      <c r="U50" s="242" t="str">
        <f t="shared" si="13"/>
        <v/>
      </c>
      <c r="V50" s="242" t="str">
        <f t="shared" si="43"/>
        <v/>
      </c>
      <c r="W50" s="242" t="str">
        <f t="shared" si="14"/>
        <v/>
      </c>
      <c r="X50" s="242" t="str">
        <f t="shared" si="15"/>
        <v/>
      </c>
      <c r="Y50" s="242" t="str">
        <f t="shared" si="42"/>
        <v/>
      </c>
      <c r="Z50" s="242" t="str">
        <f t="shared" si="16"/>
        <v/>
      </c>
      <c r="AA50" s="242" t="str">
        <f t="shared" si="47"/>
        <v/>
      </c>
      <c r="AB50" s="242" t="str">
        <f t="shared" si="45"/>
        <v/>
      </c>
      <c r="AC50" s="242" t="str">
        <f t="shared" si="46"/>
        <v/>
      </c>
      <c r="AD50" s="242" t="str">
        <f t="shared" si="48"/>
        <v/>
      </c>
      <c r="AE50" s="242" t="str">
        <f t="shared" si="49"/>
        <v/>
      </c>
      <c r="AF50" s="242" t="str">
        <f t="shared" si="68"/>
        <v/>
      </c>
      <c r="AG50" s="242">
        <v>1</v>
      </c>
      <c r="AH50" s="242" t="str">
        <f t="shared" si="50"/>
        <v/>
      </c>
      <c r="AI50" s="242" t="str">
        <f t="shared" si="51"/>
        <v/>
      </c>
      <c r="AJ50" s="242" t="str">
        <f t="shared" si="52"/>
        <v/>
      </c>
      <c r="AK50" s="242" t="str">
        <f t="shared" si="53"/>
        <v/>
      </c>
      <c r="AL50" s="242" t="str">
        <f t="shared" si="54"/>
        <v/>
      </c>
      <c r="AM50" s="242" t="str">
        <f t="shared" si="55"/>
        <v/>
      </c>
      <c r="AN50" s="199" t="str">
        <f t="shared" si="56"/>
        <v/>
      </c>
      <c r="AO50" s="199" t="str">
        <f t="shared" si="57"/>
        <v/>
      </c>
      <c r="AP50" s="199" t="str">
        <f t="shared" si="58"/>
        <v/>
      </c>
      <c r="AQ50" s="199" t="str">
        <f t="shared" si="59"/>
        <v/>
      </c>
      <c r="AR50" s="199" t="str">
        <f t="shared" si="60"/>
        <v/>
      </c>
      <c r="AS50" s="199" t="str">
        <f t="shared" si="61"/>
        <v/>
      </c>
      <c r="AT50" s="199" t="str">
        <f t="shared" si="62"/>
        <v/>
      </c>
      <c r="AU50" s="199" t="str">
        <f t="shared" si="63"/>
        <v/>
      </c>
      <c r="AV50" s="199" t="str">
        <f t="shared" si="64"/>
        <v/>
      </c>
      <c r="AW50" s="199" t="str">
        <f t="shared" si="65"/>
        <v/>
      </c>
      <c r="AX50" s="199" t="str">
        <f t="shared" si="66"/>
        <v/>
      </c>
      <c r="AY50" s="199" t="str">
        <f t="shared" si="67"/>
        <v/>
      </c>
    </row>
    <row r="51" spans="1:51" ht="20.399999999999999" x14ac:dyDescent="0.3">
      <c r="A51" s="191">
        <v>49</v>
      </c>
      <c r="B51" s="228" t="s">
        <v>42</v>
      </c>
      <c r="C51" s="129" t="s">
        <v>43</v>
      </c>
      <c r="D51" s="135">
        <v>2012</v>
      </c>
      <c r="E51" s="133">
        <v>41240</v>
      </c>
      <c r="F51" s="198">
        <f t="shared" si="0"/>
        <v>11</v>
      </c>
      <c r="G51" s="198" t="str">
        <f t="shared" si="1"/>
        <v>112012</v>
      </c>
      <c r="H51" s="198" t="str">
        <f t="shared" si="2"/>
        <v>noviembre</v>
      </c>
      <c r="I51" s="114">
        <f>VLOOKUP(B51,'Base de Datos'!$E$7:$W$271,14,0)</f>
        <v>1</v>
      </c>
      <c r="J51" s="200">
        <f t="shared" si="3"/>
        <v>1900</v>
      </c>
      <c r="K51" s="199">
        <f t="shared" si="4"/>
        <v>1</v>
      </c>
      <c r="L51" s="199" t="str">
        <f t="shared" si="5"/>
        <v>11900</v>
      </c>
      <c r="M51" s="199" t="str">
        <f t="shared" si="6"/>
        <v>enero</v>
      </c>
      <c r="N51" s="199">
        <f t="shared" ca="1" si="7"/>
        <v>44227</v>
      </c>
      <c r="O51" s="242" t="str">
        <f t="shared" ca="1" si="8"/>
        <v>SI</v>
      </c>
      <c r="P51" s="242" t="str">
        <f t="shared" si="41"/>
        <v/>
      </c>
      <c r="Q51" s="242" t="str">
        <f t="shared" si="9"/>
        <v/>
      </c>
      <c r="R51" s="242" t="str">
        <f t="shared" si="10"/>
        <v/>
      </c>
      <c r="S51" s="242" t="str">
        <f t="shared" si="11"/>
        <v/>
      </c>
      <c r="T51" s="242" t="str">
        <f t="shared" si="12"/>
        <v/>
      </c>
      <c r="U51" s="242" t="str">
        <f t="shared" si="13"/>
        <v/>
      </c>
      <c r="V51" s="242" t="str">
        <f t="shared" si="43"/>
        <v/>
      </c>
      <c r="W51" s="242" t="str">
        <f t="shared" si="14"/>
        <v/>
      </c>
      <c r="X51" s="242" t="str">
        <f t="shared" si="15"/>
        <v/>
      </c>
      <c r="Y51" s="242" t="str">
        <f t="shared" si="42"/>
        <v/>
      </c>
      <c r="Z51" s="242" t="str">
        <f t="shared" si="16"/>
        <v/>
      </c>
      <c r="AA51" s="242" t="str">
        <f t="shared" si="47"/>
        <v/>
      </c>
      <c r="AB51" s="242" t="str">
        <f t="shared" si="45"/>
        <v/>
      </c>
      <c r="AC51" s="242" t="str">
        <f t="shared" si="46"/>
        <v/>
      </c>
      <c r="AD51" s="242" t="str">
        <f t="shared" si="48"/>
        <v/>
      </c>
      <c r="AE51" s="242" t="str">
        <f t="shared" si="49"/>
        <v/>
      </c>
      <c r="AF51" s="242" t="str">
        <f t="shared" si="68"/>
        <v/>
      </c>
      <c r="AG51" s="242">
        <v>1</v>
      </c>
      <c r="AH51" s="242" t="str">
        <f t="shared" si="50"/>
        <v/>
      </c>
      <c r="AI51" s="242" t="str">
        <f t="shared" si="51"/>
        <v/>
      </c>
      <c r="AJ51" s="242" t="str">
        <f t="shared" si="52"/>
        <v/>
      </c>
      <c r="AK51" s="242" t="str">
        <f t="shared" si="53"/>
        <v/>
      </c>
      <c r="AL51" s="242" t="str">
        <f t="shared" si="54"/>
        <v/>
      </c>
      <c r="AM51" s="242" t="str">
        <f t="shared" si="55"/>
        <v/>
      </c>
      <c r="AN51" s="199" t="str">
        <f t="shared" si="56"/>
        <v/>
      </c>
      <c r="AO51" s="199" t="str">
        <f t="shared" si="57"/>
        <v/>
      </c>
      <c r="AP51" s="199" t="str">
        <f t="shared" si="58"/>
        <v/>
      </c>
      <c r="AQ51" s="199" t="str">
        <f t="shared" si="59"/>
        <v/>
      </c>
      <c r="AR51" s="199" t="str">
        <f t="shared" si="60"/>
        <v/>
      </c>
      <c r="AS51" s="199" t="str">
        <f t="shared" si="61"/>
        <v/>
      </c>
      <c r="AT51" s="199" t="str">
        <f t="shared" si="62"/>
        <v/>
      </c>
      <c r="AU51" s="199" t="str">
        <f t="shared" si="63"/>
        <v/>
      </c>
      <c r="AV51" s="199" t="str">
        <f t="shared" si="64"/>
        <v/>
      </c>
      <c r="AW51" s="199" t="str">
        <f t="shared" si="65"/>
        <v/>
      </c>
      <c r="AX51" s="199" t="str">
        <f t="shared" si="66"/>
        <v/>
      </c>
      <c r="AY51" s="199" t="str">
        <f t="shared" si="67"/>
        <v/>
      </c>
    </row>
    <row r="52" spans="1:51" ht="20.399999999999999" x14ac:dyDescent="0.3">
      <c r="A52" s="191">
        <v>50</v>
      </c>
      <c r="B52" s="228" t="s">
        <v>7</v>
      </c>
      <c r="C52" s="129" t="s">
        <v>8</v>
      </c>
      <c r="D52" s="135">
        <v>2012</v>
      </c>
      <c r="E52" s="131">
        <v>41155</v>
      </c>
      <c r="F52" s="198">
        <f t="shared" si="0"/>
        <v>9</v>
      </c>
      <c r="G52" s="198" t="str">
        <f t="shared" si="1"/>
        <v>92012</v>
      </c>
      <c r="H52" s="198" t="str">
        <f t="shared" si="2"/>
        <v>septiembre</v>
      </c>
      <c r="I52" s="114">
        <f>VLOOKUP(B52,'Base de Datos'!$E$7:$W$271,14,0)</f>
        <v>1</v>
      </c>
      <c r="J52" s="200">
        <f t="shared" si="3"/>
        <v>1900</v>
      </c>
      <c r="K52" s="199">
        <f t="shared" si="4"/>
        <v>1</v>
      </c>
      <c r="L52" s="199" t="str">
        <f t="shared" si="5"/>
        <v>11900</v>
      </c>
      <c r="M52" s="199" t="str">
        <f t="shared" si="6"/>
        <v>enero</v>
      </c>
      <c r="N52" s="199">
        <f t="shared" ca="1" si="7"/>
        <v>44227</v>
      </c>
      <c r="O52" s="242" t="str">
        <f t="shared" ca="1" si="8"/>
        <v>SI</v>
      </c>
      <c r="P52" s="242" t="str">
        <f t="shared" si="41"/>
        <v/>
      </c>
      <c r="Q52" s="242" t="str">
        <f t="shared" si="9"/>
        <v/>
      </c>
      <c r="R52" s="242" t="str">
        <f t="shared" si="10"/>
        <v/>
      </c>
      <c r="S52" s="242" t="str">
        <f t="shared" si="11"/>
        <v/>
      </c>
      <c r="T52" s="242" t="str">
        <f t="shared" si="12"/>
        <v/>
      </c>
      <c r="U52" s="242" t="str">
        <f t="shared" si="13"/>
        <v/>
      </c>
      <c r="V52" s="242" t="str">
        <f t="shared" si="43"/>
        <v/>
      </c>
      <c r="W52" s="242" t="str">
        <f t="shared" si="14"/>
        <v/>
      </c>
      <c r="X52" s="242" t="str">
        <f t="shared" si="15"/>
        <v/>
      </c>
      <c r="Y52" s="242" t="str">
        <f t="shared" si="42"/>
        <v/>
      </c>
      <c r="Z52" s="242" t="str">
        <f t="shared" si="16"/>
        <v/>
      </c>
      <c r="AA52" s="242" t="str">
        <f t="shared" si="47"/>
        <v/>
      </c>
      <c r="AB52" s="242" t="str">
        <f t="shared" si="45"/>
        <v/>
      </c>
      <c r="AC52" s="242" t="str">
        <f t="shared" si="46"/>
        <v/>
      </c>
      <c r="AD52" s="242" t="str">
        <f t="shared" si="48"/>
        <v/>
      </c>
      <c r="AE52" s="242" t="str">
        <f t="shared" si="49"/>
        <v/>
      </c>
      <c r="AF52" s="242" t="str">
        <f t="shared" si="68"/>
        <v/>
      </c>
      <c r="AG52" s="242">
        <v>1</v>
      </c>
      <c r="AH52" s="242">
        <v>1</v>
      </c>
      <c r="AI52" s="242" t="str">
        <f t="shared" si="51"/>
        <v/>
      </c>
      <c r="AJ52" s="242" t="str">
        <f t="shared" si="52"/>
        <v/>
      </c>
      <c r="AK52" s="242" t="str">
        <f t="shared" si="53"/>
        <v/>
      </c>
      <c r="AL52" s="242" t="str">
        <f t="shared" si="54"/>
        <v/>
      </c>
      <c r="AM52" s="242" t="str">
        <f t="shared" si="55"/>
        <v/>
      </c>
      <c r="AN52" s="199" t="str">
        <f t="shared" si="56"/>
        <v/>
      </c>
      <c r="AO52" s="199" t="str">
        <f t="shared" si="57"/>
        <v/>
      </c>
      <c r="AP52" s="199" t="str">
        <f t="shared" si="58"/>
        <v/>
      </c>
      <c r="AQ52" s="199" t="str">
        <f t="shared" si="59"/>
        <v/>
      </c>
      <c r="AR52" s="199" t="str">
        <f t="shared" si="60"/>
        <v/>
      </c>
      <c r="AS52" s="199" t="str">
        <f t="shared" si="61"/>
        <v/>
      </c>
      <c r="AT52" s="199" t="str">
        <f t="shared" si="62"/>
        <v/>
      </c>
      <c r="AU52" s="199" t="str">
        <f t="shared" si="63"/>
        <v/>
      </c>
      <c r="AV52" s="199" t="str">
        <f t="shared" si="64"/>
        <v/>
      </c>
      <c r="AW52" s="199" t="str">
        <f t="shared" si="65"/>
        <v/>
      </c>
      <c r="AX52" s="199" t="str">
        <f t="shared" si="66"/>
        <v/>
      </c>
      <c r="AY52" s="199" t="str">
        <f t="shared" si="67"/>
        <v/>
      </c>
    </row>
    <row r="53" spans="1:51" ht="20.399999999999999" x14ac:dyDescent="0.3">
      <c r="A53" s="191">
        <v>51</v>
      </c>
      <c r="B53" s="228" t="s">
        <v>52</v>
      </c>
      <c r="C53" s="129" t="s">
        <v>53</v>
      </c>
      <c r="D53" s="138">
        <v>2012</v>
      </c>
      <c r="E53" s="133">
        <v>41278</v>
      </c>
      <c r="F53" s="198">
        <f t="shared" si="0"/>
        <v>1</v>
      </c>
      <c r="G53" s="198" t="str">
        <f t="shared" si="1"/>
        <v>12012</v>
      </c>
      <c r="H53" s="198" t="str">
        <f t="shared" si="2"/>
        <v>enero</v>
      </c>
      <c r="I53" s="114">
        <f>VLOOKUP(B53,'Base de Datos'!$E$7:$W$271,14,0)</f>
        <v>1</v>
      </c>
      <c r="J53" s="200">
        <f t="shared" si="3"/>
        <v>1900</v>
      </c>
      <c r="K53" s="199">
        <f t="shared" si="4"/>
        <v>1</v>
      </c>
      <c r="L53" s="199" t="str">
        <f t="shared" si="5"/>
        <v>11900</v>
      </c>
      <c r="M53" s="199" t="str">
        <f t="shared" si="6"/>
        <v>enero</v>
      </c>
      <c r="N53" s="199">
        <f t="shared" ca="1" si="7"/>
        <v>44227</v>
      </c>
      <c r="O53" s="242" t="str">
        <f t="shared" ca="1" si="8"/>
        <v>SI</v>
      </c>
      <c r="P53" s="242" t="str">
        <f t="shared" si="41"/>
        <v/>
      </c>
      <c r="Q53" s="242" t="str">
        <f t="shared" si="9"/>
        <v/>
      </c>
      <c r="R53" s="242" t="str">
        <f t="shared" si="10"/>
        <v/>
      </c>
      <c r="S53" s="242" t="str">
        <f t="shared" si="11"/>
        <v/>
      </c>
      <c r="T53" s="242" t="str">
        <f t="shared" si="12"/>
        <v/>
      </c>
      <c r="U53" s="242" t="str">
        <f t="shared" si="13"/>
        <v/>
      </c>
      <c r="V53" s="242" t="str">
        <f t="shared" si="43"/>
        <v/>
      </c>
      <c r="W53" s="242" t="str">
        <f t="shared" si="14"/>
        <v/>
      </c>
      <c r="X53" s="242" t="str">
        <f t="shared" si="15"/>
        <v/>
      </c>
      <c r="Y53" s="242" t="str">
        <f t="shared" si="42"/>
        <v/>
      </c>
      <c r="Z53" s="242" t="str">
        <f t="shared" si="16"/>
        <v/>
      </c>
      <c r="AA53" s="242" t="str">
        <f t="shared" si="47"/>
        <v/>
      </c>
      <c r="AB53" s="242" t="str">
        <f t="shared" si="45"/>
        <v/>
      </c>
      <c r="AC53" s="242" t="str">
        <f t="shared" si="46"/>
        <v/>
      </c>
      <c r="AD53" s="242" t="str">
        <f t="shared" si="48"/>
        <v/>
      </c>
      <c r="AE53" s="242" t="str">
        <f t="shared" si="49"/>
        <v/>
      </c>
      <c r="AF53" s="242" t="str">
        <f t="shared" si="68"/>
        <v/>
      </c>
      <c r="AG53" s="242" t="str">
        <f t="shared" ref="AG53:AG116" si="69">IF(AND(E53&lt;$AG$2,I53&gt;$AG$2),"1","")</f>
        <v/>
      </c>
      <c r="AH53" s="242">
        <v>1</v>
      </c>
      <c r="AI53" s="242" t="str">
        <f t="shared" si="51"/>
        <v/>
      </c>
      <c r="AJ53" s="242" t="str">
        <f t="shared" si="52"/>
        <v/>
      </c>
      <c r="AK53" s="242" t="str">
        <f t="shared" si="53"/>
        <v/>
      </c>
      <c r="AL53" s="242" t="str">
        <f t="shared" si="54"/>
        <v/>
      </c>
      <c r="AM53" s="242" t="str">
        <f t="shared" si="55"/>
        <v/>
      </c>
      <c r="AN53" s="199" t="str">
        <f t="shared" si="56"/>
        <v/>
      </c>
      <c r="AO53" s="199" t="str">
        <f t="shared" si="57"/>
        <v/>
      </c>
      <c r="AP53" s="199" t="str">
        <f t="shared" si="58"/>
        <v/>
      </c>
      <c r="AQ53" s="199" t="str">
        <f t="shared" si="59"/>
        <v/>
      </c>
      <c r="AR53" s="199" t="str">
        <f t="shared" si="60"/>
        <v/>
      </c>
      <c r="AS53" s="199" t="str">
        <f t="shared" si="61"/>
        <v/>
      </c>
      <c r="AT53" s="199" t="str">
        <f t="shared" si="62"/>
        <v/>
      </c>
      <c r="AU53" s="199" t="str">
        <f t="shared" si="63"/>
        <v/>
      </c>
      <c r="AV53" s="199" t="str">
        <f t="shared" si="64"/>
        <v/>
      </c>
      <c r="AW53" s="199" t="str">
        <f t="shared" si="65"/>
        <v/>
      </c>
      <c r="AX53" s="199" t="str">
        <f t="shared" si="66"/>
        <v/>
      </c>
      <c r="AY53" s="199" t="str">
        <f t="shared" si="67"/>
        <v/>
      </c>
    </row>
    <row r="54" spans="1:51" ht="20.399999999999999" x14ac:dyDescent="0.3">
      <c r="A54" s="191">
        <v>52</v>
      </c>
      <c r="B54" s="228" t="s">
        <v>59</v>
      </c>
      <c r="C54" s="129" t="s">
        <v>60</v>
      </c>
      <c r="D54" s="135">
        <v>2012</v>
      </c>
      <c r="E54" s="131">
        <v>41103</v>
      </c>
      <c r="F54" s="198">
        <f t="shared" si="0"/>
        <v>7</v>
      </c>
      <c r="G54" s="198" t="str">
        <f t="shared" si="1"/>
        <v>72012</v>
      </c>
      <c r="H54" s="198" t="str">
        <f t="shared" si="2"/>
        <v>julio</v>
      </c>
      <c r="I54" s="114">
        <f>VLOOKUP(B54,'Base de Datos'!$E$7:$W$271,14,0)</f>
        <v>0</v>
      </c>
      <c r="J54" s="200">
        <f t="shared" si="3"/>
        <v>1900</v>
      </c>
      <c r="K54" s="199">
        <f t="shared" si="4"/>
        <v>1</v>
      </c>
      <c r="L54" s="199" t="str">
        <f t="shared" si="5"/>
        <v>11900</v>
      </c>
      <c r="M54" s="199" t="str">
        <f t="shared" si="6"/>
        <v>enero</v>
      </c>
      <c r="N54" s="199">
        <f t="shared" ca="1" si="7"/>
        <v>44228</v>
      </c>
      <c r="O54" s="242" t="str">
        <f t="shared" ca="1" si="8"/>
        <v>SI</v>
      </c>
      <c r="P54" s="242" t="str">
        <f t="shared" si="41"/>
        <v/>
      </c>
      <c r="Q54" s="242" t="str">
        <f t="shared" si="9"/>
        <v/>
      </c>
      <c r="R54" s="242" t="str">
        <f t="shared" si="10"/>
        <v/>
      </c>
      <c r="S54" s="242" t="str">
        <f t="shared" si="11"/>
        <v/>
      </c>
      <c r="T54" s="242" t="str">
        <f t="shared" si="12"/>
        <v/>
      </c>
      <c r="U54" s="242" t="str">
        <f t="shared" si="13"/>
        <v/>
      </c>
      <c r="V54" s="242" t="str">
        <f t="shared" si="43"/>
        <v/>
      </c>
      <c r="W54" s="242" t="str">
        <f t="shared" si="14"/>
        <v/>
      </c>
      <c r="X54" s="242" t="str">
        <f t="shared" si="15"/>
        <v/>
      </c>
      <c r="Y54" s="242" t="str">
        <f t="shared" si="42"/>
        <v/>
      </c>
      <c r="Z54" s="242" t="str">
        <f t="shared" si="16"/>
        <v/>
      </c>
      <c r="AA54" s="242" t="str">
        <f t="shared" si="47"/>
        <v/>
      </c>
      <c r="AB54" s="242" t="str">
        <f t="shared" si="45"/>
        <v/>
      </c>
      <c r="AC54" s="242" t="str">
        <f t="shared" si="46"/>
        <v/>
      </c>
      <c r="AD54" s="242" t="str">
        <f t="shared" si="48"/>
        <v/>
      </c>
      <c r="AE54" s="242" t="str">
        <f t="shared" si="49"/>
        <v/>
      </c>
      <c r="AF54" s="242" t="str">
        <f t="shared" si="68"/>
        <v/>
      </c>
      <c r="AG54" s="242" t="str">
        <f t="shared" si="69"/>
        <v/>
      </c>
      <c r="AH54" s="242">
        <v>1</v>
      </c>
      <c r="AI54" s="242" t="str">
        <f t="shared" si="51"/>
        <v/>
      </c>
      <c r="AJ54" s="242" t="str">
        <f t="shared" si="52"/>
        <v/>
      </c>
      <c r="AK54" s="242" t="str">
        <f t="shared" si="53"/>
        <v/>
      </c>
      <c r="AL54" s="242" t="str">
        <f t="shared" si="54"/>
        <v/>
      </c>
      <c r="AM54" s="242" t="str">
        <f t="shared" si="55"/>
        <v/>
      </c>
      <c r="AN54" s="199" t="str">
        <f t="shared" si="56"/>
        <v/>
      </c>
      <c r="AO54" s="199" t="str">
        <f t="shared" si="57"/>
        <v/>
      </c>
      <c r="AP54" s="199" t="str">
        <f t="shared" si="58"/>
        <v/>
      </c>
      <c r="AQ54" s="199" t="str">
        <f t="shared" si="59"/>
        <v/>
      </c>
      <c r="AR54" s="199" t="str">
        <f t="shared" si="60"/>
        <v/>
      </c>
      <c r="AS54" s="199" t="str">
        <f t="shared" si="61"/>
        <v/>
      </c>
      <c r="AT54" s="199" t="str">
        <f t="shared" si="62"/>
        <v/>
      </c>
      <c r="AU54" s="199" t="str">
        <f t="shared" si="63"/>
        <v/>
      </c>
      <c r="AV54" s="199" t="str">
        <f t="shared" si="64"/>
        <v/>
      </c>
      <c r="AW54" s="199" t="str">
        <f t="shared" si="65"/>
        <v/>
      </c>
      <c r="AX54" s="199" t="str">
        <f t="shared" si="66"/>
        <v/>
      </c>
      <c r="AY54" s="199" t="str">
        <f t="shared" si="67"/>
        <v/>
      </c>
    </row>
    <row r="55" spans="1:51" ht="20.399999999999999" x14ac:dyDescent="0.3">
      <c r="A55" s="191">
        <v>53</v>
      </c>
      <c r="B55" s="224" t="s">
        <v>14</v>
      </c>
      <c r="C55" s="120" t="s">
        <v>15</v>
      </c>
      <c r="D55" s="135">
        <v>2012</v>
      </c>
      <c r="E55" s="123">
        <v>41107</v>
      </c>
      <c r="F55" s="198">
        <f t="shared" si="0"/>
        <v>7</v>
      </c>
      <c r="G55" s="198" t="str">
        <f t="shared" si="1"/>
        <v>72012</v>
      </c>
      <c r="H55" s="198" t="str">
        <f t="shared" si="2"/>
        <v>julio</v>
      </c>
      <c r="I55" s="114">
        <f>VLOOKUP(B55,'Base de Datos'!$E$7:$W$271,14,0)</f>
        <v>0</v>
      </c>
      <c r="J55" s="200">
        <f t="shared" si="3"/>
        <v>1900</v>
      </c>
      <c r="K55" s="199">
        <f t="shared" si="4"/>
        <v>1</v>
      </c>
      <c r="L55" s="199" t="str">
        <f t="shared" si="5"/>
        <v>11900</v>
      </c>
      <c r="M55" s="199" t="str">
        <f t="shared" si="6"/>
        <v>enero</v>
      </c>
      <c r="N55" s="199">
        <f t="shared" ca="1" si="7"/>
        <v>44228</v>
      </c>
      <c r="O55" s="242" t="str">
        <f t="shared" ca="1" si="8"/>
        <v>SI</v>
      </c>
      <c r="P55" s="242" t="str">
        <f t="shared" si="41"/>
        <v/>
      </c>
      <c r="Q55" s="242" t="str">
        <f t="shared" si="9"/>
        <v/>
      </c>
      <c r="R55" s="242" t="str">
        <f t="shared" si="10"/>
        <v/>
      </c>
      <c r="S55" s="242" t="str">
        <f t="shared" si="11"/>
        <v/>
      </c>
      <c r="T55" s="242" t="str">
        <f t="shared" si="12"/>
        <v/>
      </c>
      <c r="U55" s="242" t="str">
        <f t="shared" si="13"/>
        <v/>
      </c>
      <c r="V55" s="242" t="str">
        <f t="shared" si="43"/>
        <v/>
      </c>
      <c r="W55" s="242" t="str">
        <f t="shared" si="14"/>
        <v/>
      </c>
      <c r="X55" s="242" t="str">
        <f t="shared" si="15"/>
        <v/>
      </c>
      <c r="Y55" s="242" t="str">
        <f t="shared" si="42"/>
        <v/>
      </c>
      <c r="Z55" s="242" t="str">
        <f t="shared" si="16"/>
        <v/>
      </c>
      <c r="AA55" s="242" t="str">
        <f t="shared" si="47"/>
        <v/>
      </c>
      <c r="AB55" s="242" t="str">
        <f t="shared" si="45"/>
        <v/>
      </c>
      <c r="AC55" s="242" t="str">
        <f t="shared" si="46"/>
        <v/>
      </c>
      <c r="AD55" s="242" t="str">
        <f t="shared" si="48"/>
        <v/>
      </c>
      <c r="AE55" s="242" t="str">
        <f t="shared" si="49"/>
        <v/>
      </c>
      <c r="AF55" s="242" t="str">
        <f t="shared" si="68"/>
        <v/>
      </c>
      <c r="AG55" s="242" t="str">
        <f t="shared" si="69"/>
        <v/>
      </c>
      <c r="AH55" s="242">
        <v>1</v>
      </c>
      <c r="AI55" s="242" t="str">
        <f t="shared" si="51"/>
        <v/>
      </c>
      <c r="AJ55" s="242" t="str">
        <f t="shared" si="52"/>
        <v/>
      </c>
      <c r="AK55" s="242" t="str">
        <f t="shared" si="53"/>
        <v/>
      </c>
      <c r="AL55" s="242" t="str">
        <f t="shared" si="54"/>
        <v/>
      </c>
      <c r="AM55" s="242" t="str">
        <f t="shared" si="55"/>
        <v/>
      </c>
      <c r="AN55" s="199" t="str">
        <f t="shared" si="56"/>
        <v/>
      </c>
      <c r="AO55" s="199" t="str">
        <f t="shared" si="57"/>
        <v/>
      </c>
      <c r="AP55" s="199" t="str">
        <f t="shared" si="58"/>
        <v/>
      </c>
      <c r="AQ55" s="199" t="str">
        <f t="shared" si="59"/>
        <v/>
      </c>
      <c r="AR55" s="199" t="str">
        <f t="shared" si="60"/>
        <v/>
      </c>
      <c r="AS55" s="199" t="str">
        <f t="shared" si="61"/>
        <v/>
      </c>
      <c r="AT55" s="199" t="str">
        <f t="shared" si="62"/>
        <v/>
      </c>
      <c r="AU55" s="199" t="str">
        <f t="shared" si="63"/>
        <v/>
      </c>
      <c r="AV55" s="199" t="str">
        <f t="shared" si="64"/>
        <v/>
      </c>
      <c r="AW55" s="199" t="str">
        <f t="shared" si="65"/>
        <v/>
      </c>
      <c r="AX55" s="199" t="str">
        <f t="shared" si="66"/>
        <v/>
      </c>
      <c r="AY55" s="199" t="str">
        <f t="shared" si="67"/>
        <v/>
      </c>
    </row>
    <row r="56" spans="1:51" ht="20.399999999999999" x14ac:dyDescent="0.3">
      <c r="A56" s="191">
        <v>54</v>
      </c>
      <c r="B56" s="224" t="s">
        <v>149</v>
      </c>
      <c r="C56" s="120" t="s">
        <v>150</v>
      </c>
      <c r="D56" s="122">
        <v>2008</v>
      </c>
      <c r="E56" s="124">
        <v>39864</v>
      </c>
      <c r="F56" s="198">
        <f t="shared" si="0"/>
        <v>2</v>
      </c>
      <c r="G56" s="198" t="str">
        <f t="shared" si="1"/>
        <v>22008</v>
      </c>
      <c r="H56" s="198" t="str">
        <f t="shared" si="2"/>
        <v>febrero</v>
      </c>
      <c r="I56" s="114">
        <f>VLOOKUP(B56,'Base de Datos'!$E$7:$W$271,14,0)</f>
        <v>0</v>
      </c>
      <c r="J56" s="200">
        <f t="shared" si="3"/>
        <v>1900</v>
      </c>
      <c r="K56" s="199">
        <f t="shared" si="4"/>
        <v>1</v>
      </c>
      <c r="L56" s="199" t="str">
        <f t="shared" si="5"/>
        <v>11900</v>
      </c>
      <c r="M56" s="199" t="str">
        <f t="shared" si="6"/>
        <v>enero</v>
      </c>
      <c r="N56" s="199">
        <f t="shared" ca="1" si="7"/>
        <v>44228</v>
      </c>
      <c r="O56" s="242" t="str">
        <f t="shared" ca="1" si="8"/>
        <v>SI</v>
      </c>
      <c r="P56" s="242" t="str">
        <f t="shared" si="41"/>
        <v/>
      </c>
      <c r="Q56" s="242" t="str">
        <f t="shared" si="9"/>
        <v/>
      </c>
      <c r="R56" s="242" t="str">
        <f t="shared" si="10"/>
        <v/>
      </c>
      <c r="S56" s="242" t="str">
        <f t="shared" si="11"/>
        <v/>
      </c>
      <c r="T56" s="242" t="str">
        <f t="shared" si="12"/>
        <v/>
      </c>
      <c r="U56" s="242" t="str">
        <f t="shared" si="13"/>
        <v/>
      </c>
      <c r="V56" s="242" t="str">
        <f t="shared" si="43"/>
        <v/>
      </c>
      <c r="W56" s="242" t="str">
        <f t="shared" si="14"/>
        <v/>
      </c>
      <c r="X56" s="242" t="str">
        <f t="shared" si="15"/>
        <v/>
      </c>
      <c r="Y56" s="242" t="str">
        <f t="shared" si="42"/>
        <v/>
      </c>
      <c r="Z56" s="242" t="str">
        <f t="shared" si="16"/>
        <v/>
      </c>
      <c r="AA56" s="242" t="str">
        <f t="shared" si="47"/>
        <v/>
      </c>
      <c r="AB56" s="242" t="str">
        <f t="shared" si="45"/>
        <v/>
      </c>
      <c r="AC56" s="242" t="str">
        <f t="shared" si="46"/>
        <v/>
      </c>
      <c r="AD56" s="242" t="str">
        <f t="shared" si="48"/>
        <v/>
      </c>
      <c r="AE56" s="242" t="str">
        <f t="shared" si="49"/>
        <v/>
      </c>
      <c r="AF56" s="242" t="str">
        <f t="shared" si="68"/>
        <v/>
      </c>
      <c r="AG56" s="242" t="str">
        <f t="shared" si="69"/>
        <v/>
      </c>
      <c r="AH56" s="242">
        <v>1</v>
      </c>
      <c r="AI56" s="242" t="str">
        <f t="shared" si="51"/>
        <v/>
      </c>
      <c r="AJ56" s="242" t="str">
        <f t="shared" si="52"/>
        <v/>
      </c>
      <c r="AK56" s="242" t="str">
        <f t="shared" si="53"/>
        <v/>
      </c>
      <c r="AL56" s="242" t="str">
        <f t="shared" si="54"/>
        <v/>
      </c>
      <c r="AM56" s="242" t="str">
        <f t="shared" si="55"/>
        <v/>
      </c>
      <c r="AN56" s="199" t="str">
        <f t="shared" si="56"/>
        <v/>
      </c>
      <c r="AO56" s="199" t="str">
        <f t="shared" si="57"/>
        <v/>
      </c>
      <c r="AP56" s="199" t="str">
        <f t="shared" si="58"/>
        <v/>
      </c>
      <c r="AQ56" s="199" t="str">
        <f t="shared" si="59"/>
        <v/>
      </c>
      <c r="AR56" s="199" t="str">
        <f t="shared" si="60"/>
        <v/>
      </c>
      <c r="AS56" s="199" t="str">
        <f t="shared" si="61"/>
        <v/>
      </c>
      <c r="AT56" s="199" t="str">
        <f t="shared" si="62"/>
        <v/>
      </c>
      <c r="AU56" s="199" t="str">
        <f t="shared" si="63"/>
        <v/>
      </c>
      <c r="AV56" s="199" t="str">
        <f t="shared" si="64"/>
        <v/>
      </c>
      <c r="AW56" s="199" t="str">
        <f t="shared" si="65"/>
        <v/>
      </c>
      <c r="AX56" s="199" t="str">
        <f t="shared" si="66"/>
        <v/>
      </c>
      <c r="AY56" s="199" t="str">
        <f t="shared" si="67"/>
        <v/>
      </c>
    </row>
    <row r="57" spans="1:51" ht="20.399999999999999" x14ac:dyDescent="0.3">
      <c r="A57" s="191">
        <v>55</v>
      </c>
      <c r="B57" s="228" t="s">
        <v>47</v>
      </c>
      <c r="C57" s="129" t="s">
        <v>48</v>
      </c>
      <c r="D57" s="135">
        <v>2012</v>
      </c>
      <c r="E57" s="131">
        <v>41208</v>
      </c>
      <c r="F57" s="198">
        <f t="shared" si="0"/>
        <v>10</v>
      </c>
      <c r="G57" s="198" t="str">
        <f t="shared" si="1"/>
        <v>102012</v>
      </c>
      <c r="H57" s="198" t="str">
        <f t="shared" si="2"/>
        <v>octubre</v>
      </c>
      <c r="I57" s="114">
        <f>VLOOKUP(B57,'Base de Datos'!$E$7:$W$271,14,0)</f>
        <v>0</v>
      </c>
      <c r="J57" s="200">
        <f t="shared" si="3"/>
        <v>1900</v>
      </c>
      <c r="K57" s="199">
        <f t="shared" si="4"/>
        <v>1</v>
      </c>
      <c r="L57" s="199" t="str">
        <f t="shared" si="5"/>
        <v>11900</v>
      </c>
      <c r="M57" s="199" t="str">
        <f t="shared" si="6"/>
        <v>enero</v>
      </c>
      <c r="N57" s="199">
        <f t="shared" ca="1" si="7"/>
        <v>44228</v>
      </c>
      <c r="O57" s="242" t="str">
        <f t="shared" ca="1" si="8"/>
        <v>SI</v>
      </c>
      <c r="P57" s="242" t="str">
        <f t="shared" si="41"/>
        <v/>
      </c>
      <c r="Q57" s="242" t="str">
        <f t="shared" si="9"/>
        <v/>
      </c>
      <c r="R57" s="242" t="str">
        <f t="shared" si="10"/>
        <v/>
      </c>
      <c r="S57" s="242" t="str">
        <f t="shared" si="11"/>
        <v/>
      </c>
      <c r="T57" s="242" t="str">
        <f t="shared" si="12"/>
        <v/>
      </c>
      <c r="U57" s="242" t="str">
        <f t="shared" si="13"/>
        <v/>
      </c>
      <c r="V57" s="242" t="str">
        <f t="shared" si="43"/>
        <v/>
      </c>
      <c r="W57" s="242" t="str">
        <f t="shared" si="14"/>
        <v/>
      </c>
      <c r="X57" s="242" t="str">
        <f t="shared" si="15"/>
        <v/>
      </c>
      <c r="Y57" s="242" t="str">
        <f t="shared" si="42"/>
        <v/>
      </c>
      <c r="Z57" s="242" t="str">
        <f t="shared" si="16"/>
        <v/>
      </c>
      <c r="AA57" s="242" t="str">
        <f t="shared" si="47"/>
        <v/>
      </c>
      <c r="AB57" s="242" t="str">
        <f t="shared" si="45"/>
        <v/>
      </c>
      <c r="AC57" s="242" t="str">
        <f t="shared" si="46"/>
        <v/>
      </c>
      <c r="AD57" s="242" t="str">
        <f t="shared" si="48"/>
        <v/>
      </c>
      <c r="AE57" s="242" t="str">
        <f t="shared" si="49"/>
        <v/>
      </c>
      <c r="AF57" s="242" t="str">
        <f t="shared" si="68"/>
        <v/>
      </c>
      <c r="AG57" s="242" t="str">
        <f t="shared" si="69"/>
        <v/>
      </c>
      <c r="AH57" s="242">
        <v>1</v>
      </c>
      <c r="AI57" s="242" t="str">
        <f t="shared" si="51"/>
        <v/>
      </c>
      <c r="AJ57" s="242" t="str">
        <f t="shared" si="52"/>
        <v/>
      </c>
      <c r="AK57" s="242" t="str">
        <f t="shared" si="53"/>
        <v/>
      </c>
      <c r="AL57" s="242" t="str">
        <f t="shared" si="54"/>
        <v/>
      </c>
      <c r="AM57" s="242" t="str">
        <f t="shared" si="55"/>
        <v/>
      </c>
      <c r="AN57" s="199" t="str">
        <f t="shared" si="56"/>
        <v/>
      </c>
      <c r="AO57" s="199" t="str">
        <f t="shared" si="57"/>
        <v/>
      </c>
      <c r="AP57" s="199" t="str">
        <f t="shared" si="58"/>
        <v/>
      </c>
      <c r="AQ57" s="199" t="str">
        <f t="shared" si="59"/>
        <v/>
      </c>
      <c r="AR57" s="199" t="str">
        <f t="shared" si="60"/>
        <v/>
      </c>
      <c r="AS57" s="199" t="str">
        <f t="shared" si="61"/>
        <v/>
      </c>
      <c r="AT57" s="199" t="str">
        <f t="shared" si="62"/>
        <v/>
      </c>
      <c r="AU57" s="199" t="str">
        <f t="shared" si="63"/>
        <v/>
      </c>
      <c r="AV57" s="199" t="str">
        <f t="shared" si="64"/>
        <v/>
      </c>
      <c r="AW57" s="199" t="str">
        <f t="shared" si="65"/>
        <v/>
      </c>
      <c r="AX57" s="199" t="str">
        <f t="shared" si="66"/>
        <v/>
      </c>
      <c r="AY57" s="199" t="str">
        <f t="shared" si="67"/>
        <v/>
      </c>
    </row>
    <row r="58" spans="1:51" ht="20.399999999999999" x14ac:dyDescent="0.3">
      <c r="A58" s="191">
        <v>56</v>
      </c>
      <c r="B58" s="224" t="s">
        <v>65</v>
      </c>
      <c r="C58" s="120" t="s">
        <v>66</v>
      </c>
      <c r="D58" s="135">
        <v>2012</v>
      </c>
      <c r="E58" s="124">
        <v>41202</v>
      </c>
      <c r="F58" s="198">
        <f t="shared" si="0"/>
        <v>10</v>
      </c>
      <c r="G58" s="198" t="str">
        <f t="shared" si="1"/>
        <v>102012</v>
      </c>
      <c r="H58" s="198" t="str">
        <f t="shared" si="2"/>
        <v>octubre</v>
      </c>
      <c r="I58" s="114">
        <f>VLOOKUP(B58,'Base de Datos'!$E$7:$W$271,14,0)</f>
        <v>0</v>
      </c>
      <c r="J58" s="200">
        <f t="shared" si="3"/>
        <v>1900</v>
      </c>
      <c r="K58" s="199">
        <f t="shared" si="4"/>
        <v>1</v>
      </c>
      <c r="L58" s="199" t="str">
        <f t="shared" si="5"/>
        <v>11900</v>
      </c>
      <c r="M58" s="199" t="str">
        <f t="shared" si="6"/>
        <v>enero</v>
      </c>
      <c r="N58" s="199">
        <f t="shared" ca="1" si="7"/>
        <v>44228</v>
      </c>
      <c r="O58" s="242" t="str">
        <f t="shared" ca="1" si="8"/>
        <v>SI</v>
      </c>
      <c r="P58" s="242" t="str">
        <f t="shared" si="41"/>
        <v/>
      </c>
      <c r="Q58" s="242" t="str">
        <f t="shared" si="9"/>
        <v/>
      </c>
      <c r="R58" s="242" t="str">
        <f t="shared" si="10"/>
        <v/>
      </c>
      <c r="S58" s="242" t="str">
        <f t="shared" si="11"/>
        <v/>
      </c>
      <c r="T58" s="242" t="str">
        <f t="shared" si="12"/>
        <v/>
      </c>
      <c r="U58" s="242" t="str">
        <f t="shared" si="13"/>
        <v/>
      </c>
      <c r="V58" s="242" t="str">
        <f t="shared" si="43"/>
        <v/>
      </c>
      <c r="W58" s="242" t="str">
        <f t="shared" si="14"/>
        <v/>
      </c>
      <c r="X58" s="242" t="str">
        <f t="shared" si="15"/>
        <v/>
      </c>
      <c r="Y58" s="242" t="str">
        <f t="shared" si="42"/>
        <v/>
      </c>
      <c r="Z58" s="242" t="str">
        <f t="shared" si="16"/>
        <v/>
      </c>
      <c r="AA58" s="242" t="str">
        <f t="shared" si="47"/>
        <v/>
      </c>
      <c r="AB58" s="242" t="str">
        <f t="shared" si="45"/>
        <v/>
      </c>
      <c r="AC58" s="242" t="str">
        <f t="shared" si="46"/>
        <v/>
      </c>
      <c r="AD58" s="242" t="str">
        <f t="shared" si="48"/>
        <v/>
      </c>
      <c r="AE58" s="242" t="str">
        <f t="shared" si="49"/>
        <v/>
      </c>
      <c r="AF58" s="242" t="str">
        <f t="shared" si="68"/>
        <v/>
      </c>
      <c r="AG58" s="242" t="str">
        <f t="shared" si="69"/>
        <v/>
      </c>
      <c r="AH58" s="242">
        <v>1</v>
      </c>
      <c r="AI58" s="242" t="str">
        <f t="shared" si="51"/>
        <v/>
      </c>
      <c r="AJ58" s="242" t="str">
        <f t="shared" si="52"/>
        <v/>
      </c>
      <c r="AK58" s="242" t="str">
        <f t="shared" si="53"/>
        <v/>
      </c>
      <c r="AL58" s="242" t="str">
        <f t="shared" si="54"/>
        <v/>
      </c>
      <c r="AM58" s="242" t="str">
        <f t="shared" si="55"/>
        <v/>
      </c>
      <c r="AN58" s="199" t="str">
        <f t="shared" si="56"/>
        <v/>
      </c>
      <c r="AO58" s="199" t="str">
        <f t="shared" si="57"/>
        <v/>
      </c>
      <c r="AP58" s="199" t="str">
        <f t="shared" si="58"/>
        <v/>
      </c>
      <c r="AQ58" s="199" t="str">
        <f t="shared" si="59"/>
        <v/>
      </c>
      <c r="AR58" s="199" t="str">
        <f t="shared" si="60"/>
        <v/>
      </c>
      <c r="AS58" s="199" t="str">
        <f t="shared" si="61"/>
        <v/>
      </c>
      <c r="AT58" s="199" t="str">
        <f t="shared" si="62"/>
        <v/>
      </c>
      <c r="AU58" s="199" t="str">
        <f t="shared" si="63"/>
        <v/>
      </c>
      <c r="AV58" s="199" t="str">
        <f t="shared" si="64"/>
        <v/>
      </c>
      <c r="AW58" s="199" t="str">
        <f t="shared" si="65"/>
        <v/>
      </c>
      <c r="AX58" s="199" t="str">
        <f t="shared" si="66"/>
        <v/>
      </c>
      <c r="AY58" s="199" t="str">
        <f t="shared" si="67"/>
        <v/>
      </c>
    </row>
    <row r="59" spans="1:51" x14ac:dyDescent="0.3">
      <c r="A59" s="191">
        <v>57</v>
      </c>
      <c r="B59" s="224" t="s">
        <v>141</v>
      </c>
      <c r="C59" s="120" t="s">
        <v>142</v>
      </c>
      <c r="D59" s="138">
        <v>2013</v>
      </c>
      <c r="E59" s="124">
        <v>41457</v>
      </c>
      <c r="F59" s="198">
        <f t="shared" si="0"/>
        <v>7</v>
      </c>
      <c r="G59" s="198" t="str">
        <f t="shared" si="1"/>
        <v>72013</v>
      </c>
      <c r="H59" s="198" t="str">
        <f t="shared" si="2"/>
        <v>julio</v>
      </c>
      <c r="I59" s="114">
        <f>VLOOKUP(B59,'Base de Datos'!$E$7:$W$271,14,0)</f>
        <v>0</v>
      </c>
      <c r="J59" s="200">
        <f t="shared" si="3"/>
        <v>1900</v>
      </c>
      <c r="K59" s="199">
        <f t="shared" si="4"/>
        <v>1</v>
      </c>
      <c r="L59" s="199" t="str">
        <f t="shared" si="5"/>
        <v>11900</v>
      </c>
      <c r="M59" s="199" t="str">
        <f t="shared" si="6"/>
        <v>enero</v>
      </c>
      <c r="N59" s="199">
        <f t="shared" ca="1" si="7"/>
        <v>44228</v>
      </c>
      <c r="O59" s="242" t="str">
        <f t="shared" ca="1" si="8"/>
        <v>SI</v>
      </c>
      <c r="P59" s="242" t="str">
        <f t="shared" si="41"/>
        <v/>
      </c>
      <c r="Q59" s="242" t="str">
        <f t="shared" si="9"/>
        <v/>
      </c>
      <c r="R59" s="242" t="str">
        <f t="shared" si="10"/>
        <v/>
      </c>
      <c r="S59" s="242" t="str">
        <f t="shared" si="11"/>
        <v/>
      </c>
      <c r="T59" s="242" t="str">
        <f t="shared" si="12"/>
        <v/>
      </c>
      <c r="U59" s="242" t="str">
        <f t="shared" si="13"/>
        <v/>
      </c>
      <c r="V59" s="242" t="str">
        <f t="shared" si="43"/>
        <v/>
      </c>
      <c r="W59" s="242" t="str">
        <f t="shared" si="14"/>
        <v/>
      </c>
      <c r="X59" s="242" t="str">
        <f t="shared" si="15"/>
        <v/>
      </c>
      <c r="Y59" s="242" t="str">
        <f t="shared" si="42"/>
        <v/>
      </c>
      <c r="Z59" s="242" t="str">
        <f t="shared" si="16"/>
        <v/>
      </c>
      <c r="AA59" s="242" t="str">
        <f t="shared" si="47"/>
        <v/>
      </c>
      <c r="AB59" s="242" t="str">
        <f t="shared" si="45"/>
        <v/>
      </c>
      <c r="AC59" s="242" t="str">
        <f t="shared" si="46"/>
        <v/>
      </c>
      <c r="AD59" s="242" t="str">
        <f t="shared" si="48"/>
        <v/>
      </c>
      <c r="AE59" s="242" t="str">
        <f t="shared" si="49"/>
        <v/>
      </c>
      <c r="AF59" s="242" t="str">
        <f t="shared" si="68"/>
        <v/>
      </c>
      <c r="AG59" s="242" t="str">
        <f t="shared" si="69"/>
        <v/>
      </c>
      <c r="AH59" s="242" t="str">
        <f t="shared" ref="AH59:AH122" si="70">IF(AND(E59&lt;$AH$2,I59&gt;$AH$2),"1","")</f>
        <v/>
      </c>
      <c r="AI59" s="242">
        <v>1</v>
      </c>
      <c r="AJ59" s="242" t="str">
        <f t="shared" si="52"/>
        <v/>
      </c>
      <c r="AK59" s="242" t="str">
        <f t="shared" si="53"/>
        <v/>
      </c>
      <c r="AL59" s="242" t="str">
        <f t="shared" si="54"/>
        <v/>
      </c>
      <c r="AM59" s="242" t="str">
        <f t="shared" si="55"/>
        <v/>
      </c>
      <c r="AN59" s="199" t="str">
        <f t="shared" si="56"/>
        <v/>
      </c>
      <c r="AO59" s="199" t="str">
        <f t="shared" si="57"/>
        <v/>
      </c>
      <c r="AP59" s="199" t="str">
        <f t="shared" si="58"/>
        <v/>
      </c>
      <c r="AQ59" s="199" t="str">
        <f t="shared" si="59"/>
        <v/>
      </c>
      <c r="AR59" s="199" t="str">
        <f t="shared" si="60"/>
        <v/>
      </c>
      <c r="AS59" s="199" t="str">
        <f t="shared" si="61"/>
        <v/>
      </c>
      <c r="AT59" s="199" t="str">
        <f t="shared" si="62"/>
        <v/>
      </c>
      <c r="AU59" s="199" t="str">
        <f t="shared" si="63"/>
        <v/>
      </c>
      <c r="AV59" s="199" t="str">
        <f t="shared" si="64"/>
        <v/>
      </c>
      <c r="AW59" s="199" t="str">
        <f t="shared" si="65"/>
        <v/>
      </c>
      <c r="AX59" s="199" t="str">
        <f t="shared" si="66"/>
        <v/>
      </c>
      <c r="AY59" s="199" t="str">
        <f t="shared" si="67"/>
        <v/>
      </c>
    </row>
    <row r="60" spans="1:51" ht="20.399999999999999" x14ac:dyDescent="0.3">
      <c r="A60" s="191">
        <v>58</v>
      </c>
      <c r="B60" s="228" t="s">
        <v>71</v>
      </c>
      <c r="C60" s="129" t="s">
        <v>1028</v>
      </c>
      <c r="D60" s="138">
        <v>2012</v>
      </c>
      <c r="E60" s="133">
        <v>41325</v>
      </c>
      <c r="F60" s="198">
        <f t="shared" si="0"/>
        <v>2</v>
      </c>
      <c r="G60" s="198" t="str">
        <f t="shared" si="1"/>
        <v>22012</v>
      </c>
      <c r="H60" s="198" t="str">
        <f t="shared" si="2"/>
        <v>febrero</v>
      </c>
      <c r="I60" s="114">
        <f>VLOOKUP(B60,'Base de Datos'!$E$7:$W$271,14,0)</f>
        <v>0</v>
      </c>
      <c r="J60" s="200">
        <f t="shared" si="3"/>
        <v>1900</v>
      </c>
      <c r="K60" s="199">
        <f t="shared" si="4"/>
        <v>1</v>
      </c>
      <c r="L60" s="199" t="str">
        <f t="shared" si="5"/>
        <v>11900</v>
      </c>
      <c r="M60" s="199" t="str">
        <f t="shared" si="6"/>
        <v>enero</v>
      </c>
      <c r="N60" s="199">
        <f t="shared" ca="1" si="7"/>
        <v>44228</v>
      </c>
      <c r="O60" s="242" t="str">
        <f t="shared" ca="1" si="8"/>
        <v>SI</v>
      </c>
      <c r="P60" s="242" t="str">
        <f t="shared" si="41"/>
        <v/>
      </c>
      <c r="Q60" s="242" t="str">
        <f t="shared" si="9"/>
        <v/>
      </c>
      <c r="R60" s="242" t="str">
        <f t="shared" si="10"/>
        <v/>
      </c>
      <c r="S60" s="242" t="str">
        <f t="shared" si="11"/>
        <v/>
      </c>
      <c r="T60" s="242" t="str">
        <f t="shared" si="12"/>
        <v/>
      </c>
      <c r="U60" s="242" t="str">
        <f t="shared" si="13"/>
        <v/>
      </c>
      <c r="V60" s="242" t="str">
        <f t="shared" si="43"/>
        <v/>
      </c>
      <c r="W60" s="242" t="str">
        <f t="shared" si="14"/>
        <v/>
      </c>
      <c r="X60" s="242" t="str">
        <f t="shared" si="15"/>
        <v/>
      </c>
      <c r="Y60" s="242" t="str">
        <f t="shared" si="42"/>
        <v/>
      </c>
      <c r="Z60" s="242" t="str">
        <f t="shared" si="16"/>
        <v/>
      </c>
      <c r="AA60" s="242" t="str">
        <f t="shared" si="47"/>
        <v/>
      </c>
      <c r="AB60" s="242" t="str">
        <f t="shared" si="45"/>
        <v/>
      </c>
      <c r="AC60" s="242" t="str">
        <f t="shared" si="46"/>
        <v/>
      </c>
      <c r="AD60" s="242" t="str">
        <f t="shared" si="48"/>
        <v/>
      </c>
      <c r="AE60" s="242" t="str">
        <f t="shared" si="49"/>
        <v/>
      </c>
      <c r="AF60" s="242" t="str">
        <f t="shared" si="68"/>
        <v/>
      </c>
      <c r="AG60" s="242" t="str">
        <f t="shared" si="69"/>
        <v/>
      </c>
      <c r="AH60" s="242" t="str">
        <f t="shared" si="70"/>
        <v/>
      </c>
      <c r="AI60" s="242">
        <v>1</v>
      </c>
      <c r="AJ60" s="242" t="str">
        <f t="shared" si="52"/>
        <v/>
      </c>
      <c r="AK60" s="242" t="str">
        <f t="shared" si="53"/>
        <v/>
      </c>
      <c r="AL60" s="242" t="str">
        <f t="shared" si="54"/>
        <v/>
      </c>
      <c r="AM60" s="242" t="str">
        <f t="shared" si="55"/>
        <v/>
      </c>
      <c r="AN60" s="199" t="str">
        <f t="shared" si="56"/>
        <v/>
      </c>
      <c r="AO60" s="199" t="str">
        <f t="shared" si="57"/>
        <v/>
      </c>
      <c r="AP60" s="199" t="str">
        <f t="shared" si="58"/>
        <v/>
      </c>
      <c r="AQ60" s="199" t="str">
        <f t="shared" si="59"/>
        <v/>
      </c>
      <c r="AR60" s="199" t="str">
        <f t="shared" si="60"/>
        <v/>
      </c>
      <c r="AS60" s="199" t="str">
        <f t="shared" si="61"/>
        <v/>
      </c>
      <c r="AT60" s="199" t="str">
        <f t="shared" si="62"/>
        <v/>
      </c>
      <c r="AU60" s="199" t="str">
        <f t="shared" si="63"/>
        <v/>
      </c>
      <c r="AV60" s="199" t="str">
        <f t="shared" si="64"/>
        <v/>
      </c>
      <c r="AW60" s="199" t="str">
        <f t="shared" si="65"/>
        <v/>
      </c>
      <c r="AX60" s="199" t="str">
        <f t="shared" si="66"/>
        <v/>
      </c>
      <c r="AY60" s="199" t="str">
        <f t="shared" si="67"/>
        <v/>
      </c>
    </row>
    <row r="61" spans="1:51" ht="30.6" x14ac:dyDescent="0.3">
      <c r="A61" s="191">
        <v>59</v>
      </c>
      <c r="B61" s="224" t="s">
        <v>94</v>
      </c>
      <c r="C61" s="120" t="s">
        <v>433</v>
      </c>
      <c r="D61" s="138">
        <v>2013</v>
      </c>
      <c r="E61" s="123">
        <v>41411</v>
      </c>
      <c r="F61" s="198">
        <f t="shared" si="0"/>
        <v>5</v>
      </c>
      <c r="G61" s="198" t="str">
        <f t="shared" si="1"/>
        <v>52013</v>
      </c>
      <c r="H61" s="198" t="str">
        <f t="shared" si="2"/>
        <v>mayo</v>
      </c>
      <c r="I61" s="114">
        <f>VLOOKUP(B61,'Base de Datos'!$E$7:$W$271,14,0)</f>
        <v>1</v>
      </c>
      <c r="J61" s="200">
        <f t="shared" si="3"/>
        <v>1900</v>
      </c>
      <c r="K61" s="199">
        <f t="shared" si="4"/>
        <v>1</v>
      </c>
      <c r="L61" s="199" t="str">
        <f t="shared" si="5"/>
        <v>11900</v>
      </c>
      <c r="M61" s="199" t="str">
        <f t="shared" si="6"/>
        <v>enero</v>
      </c>
      <c r="N61" s="199">
        <f t="shared" ca="1" si="7"/>
        <v>44227</v>
      </c>
      <c r="O61" s="242" t="str">
        <f t="shared" ca="1" si="8"/>
        <v>SI</v>
      </c>
      <c r="P61" s="242" t="str">
        <f t="shared" si="41"/>
        <v/>
      </c>
      <c r="Q61" s="242" t="str">
        <f t="shared" si="9"/>
        <v/>
      </c>
      <c r="R61" s="242" t="str">
        <f t="shared" si="10"/>
        <v/>
      </c>
      <c r="S61" s="242" t="str">
        <f t="shared" si="11"/>
        <v/>
      </c>
      <c r="T61" s="242" t="str">
        <f t="shared" si="12"/>
        <v/>
      </c>
      <c r="U61" s="242" t="str">
        <f t="shared" si="13"/>
        <v/>
      </c>
      <c r="V61" s="242" t="str">
        <f t="shared" si="43"/>
        <v/>
      </c>
      <c r="W61" s="242" t="str">
        <f t="shared" si="14"/>
        <v/>
      </c>
      <c r="X61" s="242" t="str">
        <f t="shared" si="15"/>
        <v/>
      </c>
      <c r="Y61" s="242" t="str">
        <f t="shared" si="42"/>
        <v/>
      </c>
      <c r="Z61" s="242" t="str">
        <f t="shared" si="16"/>
        <v/>
      </c>
      <c r="AA61" s="242" t="str">
        <f t="shared" si="47"/>
        <v/>
      </c>
      <c r="AB61" s="242" t="str">
        <f t="shared" si="45"/>
        <v/>
      </c>
      <c r="AC61" s="242" t="str">
        <f t="shared" si="46"/>
        <v/>
      </c>
      <c r="AD61" s="242" t="str">
        <f t="shared" si="48"/>
        <v/>
      </c>
      <c r="AE61" s="242" t="str">
        <f t="shared" si="49"/>
        <v/>
      </c>
      <c r="AF61" s="242" t="str">
        <f t="shared" si="68"/>
        <v/>
      </c>
      <c r="AG61" s="242" t="str">
        <f t="shared" si="69"/>
        <v/>
      </c>
      <c r="AH61" s="242" t="str">
        <f t="shared" si="70"/>
        <v/>
      </c>
      <c r="AI61" s="242">
        <v>1</v>
      </c>
      <c r="AJ61" s="242" t="str">
        <f t="shared" si="52"/>
        <v/>
      </c>
      <c r="AK61" s="242" t="str">
        <f t="shared" si="53"/>
        <v/>
      </c>
      <c r="AL61" s="242" t="str">
        <f t="shared" si="54"/>
        <v/>
      </c>
      <c r="AM61" s="242" t="str">
        <f t="shared" si="55"/>
        <v/>
      </c>
      <c r="AN61" s="199" t="str">
        <f t="shared" si="56"/>
        <v/>
      </c>
      <c r="AO61" s="199" t="str">
        <f t="shared" si="57"/>
        <v/>
      </c>
      <c r="AP61" s="199" t="str">
        <f t="shared" si="58"/>
        <v/>
      </c>
      <c r="AQ61" s="199" t="str">
        <f t="shared" si="59"/>
        <v/>
      </c>
      <c r="AR61" s="199" t="str">
        <f t="shared" si="60"/>
        <v/>
      </c>
      <c r="AS61" s="199" t="str">
        <f t="shared" si="61"/>
        <v/>
      </c>
      <c r="AT61" s="199" t="str">
        <f t="shared" si="62"/>
        <v/>
      </c>
      <c r="AU61" s="199" t="str">
        <f t="shared" si="63"/>
        <v/>
      </c>
      <c r="AV61" s="199" t="str">
        <f t="shared" si="64"/>
        <v/>
      </c>
      <c r="AW61" s="199" t="str">
        <f t="shared" si="65"/>
        <v/>
      </c>
      <c r="AX61" s="199" t="str">
        <f t="shared" si="66"/>
        <v/>
      </c>
      <c r="AY61" s="199" t="str">
        <f t="shared" si="67"/>
        <v/>
      </c>
    </row>
    <row r="62" spans="1:51" ht="20.399999999999999" x14ac:dyDescent="0.3">
      <c r="A62" s="191">
        <v>60</v>
      </c>
      <c r="B62" s="224" t="s">
        <v>21</v>
      </c>
      <c r="C62" s="120" t="s">
        <v>22</v>
      </c>
      <c r="D62" s="135">
        <v>2012</v>
      </c>
      <c r="E62" s="124">
        <v>41087</v>
      </c>
      <c r="F62" s="198">
        <f t="shared" si="0"/>
        <v>6</v>
      </c>
      <c r="G62" s="198" t="str">
        <f t="shared" si="1"/>
        <v>62012</v>
      </c>
      <c r="H62" s="198" t="str">
        <f t="shared" si="2"/>
        <v>junio</v>
      </c>
      <c r="I62" s="114">
        <f>VLOOKUP(B62,'Base de Datos'!$E$7:$W$271,14,0)</f>
        <v>1</v>
      </c>
      <c r="J62" s="200">
        <f t="shared" si="3"/>
        <v>1900</v>
      </c>
      <c r="K62" s="199">
        <f t="shared" si="4"/>
        <v>1</v>
      </c>
      <c r="L62" s="199" t="str">
        <f t="shared" si="5"/>
        <v>11900</v>
      </c>
      <c r="M62" s="199" t="str">
        <f t="shared" si="6"/>
        <v>enero</v>
      </c>
      <c r="N62" s="199">
        <f t="shared" ca="1" si="7"/>
        <v>44227</v>
      </c>
      <c r="O62" s="242" t="str">
        <f t="shared" ca="1" si="8"/>
        <v>SI</v>
      </c>
      <c r="P62" s="242" t="str">
        <f t="shared" si="41"/>
        <v/>
      </c>
      <c r="Q62" s="242" t="str">
        <f t="shared" si="9"/>
        <v/>
      </c>
      <c r="R62" s="242" t="str">
        <f t="shared" si="10"/>
        <v/>
      </c>
      <c r="S62" s="242" t="str">
        <f t="shared" si="11"/>
        <v/>
      </c>
      <c r="T62" s="242" t="str">
        <f t="shared" si="12"/>
        <v/>
      </c>
      <c r="U62" s="242" t="str">
        <f t="shared" si="13"/>
        <v/>
      </c>
      <c r="V62" s="242" t="str">
        <f t="shared" si="43"/>
        <v/>
      </c>
      <c r="W62" s="242" t="str">
        <f t="shared" si="14"/>
        <v/>
      </c>
      <c r="X62" s="242" t="str">
        <f t="shared" si="15"/>
        <v/>
      </c>
      <c r="Y62" s="242" t="str">
        <f t="shared" si="42"/>
        <v/>
      </c>
      <c r="Z62" s="242" t="str">
        <f t="shared" si="16"/>
        <v/>
      </c>
      <c r="AA62" s="242" t="str">
        <f t="shared" si="47"/>
        <v/>
      </c>
      <c r="AB62" s="242" t="str">
        <f t="shared" si="45"/>
        <v/>
      </c>
      <c r="AC62" s="242" t="str">
        <f t="shared" si="46"/>
        <v/>
      </c>
      <c r="AD62" s="242" t="str">
        <f t="shared" si="48"/>
        <v/>
      </c>
      <c r="AE62" s="242" t="str">
        <f t="shared" si="49"/>
        <v/>
      </c>
      <c r="AF62" s="242" t="str">
        <f t="shared" si="68"/>
        <v/>
      </c>
      <c r="AG62" s="242" t="str">
        <f t="shared" si="69"/>
        <v/>
      </c>
      <c r="AH62" s="242" t="str">
        <f t="shared" si="70"/>
        <v/>
      </c>
      <c r="AI62" s="242">
        <v>1</v>
      </c>
      <c r="AJ62" s="242" t="str">
        <f t="shared" si="52"/>
        <v/>
      </c>
      <c r="AK62" s="242" t="str">
        <f t="shared" si="53"/>
        <v/>
      </c>
      <c r="AL62" s="242" t="str">
        <f t="shared" si="54"/>
        <v/>
      </c>
      <c r="AM62" s="242" t="str">
        <f t="shared" si="55"/>
        <v/>
      </c>
      <c r="AN62" s="199" t="str">
        <f t="shared" si="56"/>
        <v/>
      </c>
      <c r="AO62" s="199" t="str">
        <f t="shared" si="57"/>
        <v/>
      </c>
      <c r="AP62" s="199" t="str">
        <f t="shared" si="58"/>
        <v/>
      </c>
      <c r="AQ62" s="199" t="str">
        <f t="shared" si="59"/>
        <v/>
      </c>
      <c r="AR62" s="199" t="str">
        <f t="shared" si="60"/>
        <v/>
      </c>
      <c r="AS62" s="199" t="str">
        <f t="shared" si="61"/>
        <v/>
      </c>
      <c r="AT62" s="199" t="str">
        <f t="shared" si="62"/>
        <v/>
      </c>
      <c r="AU62" s="199" t="str">
        <f t="shared" si="63"/>
        <v/>
      </c>
      <c r="AV62" s="199" t="str">
        <f t="shared" si="64"/>
        <v/>
      </c>
      <c r="AW62" s="199" t="str">
        <f t="shared" si="65"/>
        <v/>
      </c>
      <c r="AX62" s="199" t="str">
        <f t="shared" si="66"/>
        <v/>
      </c>
      <c r="AY62" s="199" t="str">
        <f t="shared" si="67"/>
        <v/>
      </c>
    </row>
    <row r="63" spans="1:51" ht="20.399999999999999" x14ac:dyDescent="0.3">
      <c r="A63" s="191">
        <v>61</v>
      </c>
      <c r="B63" s="224" t="s">
        <v>423</v>
      </c>
      <c r="C63" s="120" t="s">
        <v>13</v>
      </c>
      <c r="D63" s="135">
        <v>2012</v>
      </c>
      <c r="E63" s="124">
        <v>41162</v>
      </c>
      <c r="F63" s="198">
        <f t="shared" si="0"/>
        <v>9</v>
      </c>
      <c r="G63" s="198" t="str">
        <f t="shared" si="1"/>
        <v>92012</v>
      </c>
      <c r="H63" s="198" t="str">
        <f t="shared" si="2"/>
        <v>septiembre</v>
      </c>
      <c r="I63" s="114">
        <f>VLOOKUP(B63,'Base de Datos'!$E$7:$W$271,14,0)</f>
        <v>0</v>
      </c>
      <c r="J63" s="200">
        <f t="shared" si="3"/>
        <v>1900</v>
      </c>
      <c r="K63" s="199">
        <f t="shared" si="4"/>
        <v>1</v>
      </c>
      <c r="L63" s="199" t="str">
        <f t="shared" si="5"/>
        <v>11900</v>
      </c>
      <c r="M63" s="199" t="str">
        <f t="shared" si="6"/>
        <v>enero</v>
      </c>
      <c r="N63" s="199">
        <f t="shared" ca="1" si="7"/>
        <v>44228</v>
      </c>
      <c r="O63" s="242" t="str">
        <f t="shared" ca="1" si="8"/>
        <v>SI</v>
      </c>
      <c r="P63" s="242" t="str">
        <f t="shared" si="41"/>
        <v/>
      </c>
      <c r="Q63" s="242" t="str">
        <f t="shared" si="9"/>
        <v/>
      </c>
      <c r="R63" s="242" t="str">
        <f t="shared" si="10"/>
        <v/>
      </c>
      <c r="S63" s="242" t="str">
        <f t="shared" si="11"/>
        <v/>
      </c>
      <c r="T63" s="242" t="str">
        <f t="shared" si="12"/>
        <v/>
      </c>
      <c r="U63" s="242" t="str">
        <f t="shared" si="13"/>
        <v/>
      </c>
      <c r="V63" s="242" t="str">
        <f t="shared" si="43"/>
        <v/>
      </c>
      <c r="W63" s="242" t="str">
        <f t="shared" si="14"/>
        <v/>
      </c>
      <c r="X63" s="242" t="str">
        <f t="shared" si="15"/>
        <v/>
      </c>
      <c r="Y63" s="242" t="str">
        <f t="shared" si="42"/>
        <v/>
      </c>
      <c r="Z63" s="242" t="str">
        <f t="shared" si="16"/>
        <v/>
      </c>
      <c r="AA63" s="242" t="str">
        <f t="shared" si="47"/>
        <v/>
      </c>
      <c r="AB63" s="242" t="str">
        <f t="shared" si="45"/>
        <v/>
      </c>
      <c r="AC63" s="242" t="str">
        <f t="shared" si="46"/>
        <v/>
      </c>
      <c r="AD63" s="242" t="str">
        <f t="shared" si="48"/>
        <v/>
      </c>
      <c r="AE63" s="242" t="str">
        <f t="shared" si="49"/>
        <v/>
      </c>
      <c r="AF63" s="242" t="str">
        <f t="shared" si="68"/>
        <v/>
      </c>
      <c r="AG63" s="242" t="str">
        <f t="shared" si="69"/>
        <v/>
      </c>
      <c r="AH63" s="242" t="str">
        <f t="shared" si="70"/>
        <v/>
      </c>
      <c r="AI63" s="242" t="str">
        <f t="shared" ref="AI63:AI94" si="71">IF(AND(E63&lt;$AI$2,I63&gt;$AI$2),"1","")</f>
        <v/>
      </c>
      <c r="AJ63" s="242">
        <v>1</v>
      </c>
      <c r="AK63" s="242" t="str">
        <f t="shared" si="53"/>
        <v/>
      </c>
      <c r="AL63" s="242" t="str">
        <f t="shared" si="54"/>
        <v/>
      </c>
      <c r="AM63" s="242" t="str">
        <f t="shared" si="55"/>
        <v/>
      </c>
      <c r="AN63" s="199" t="str">
        <f t="shared" si="56"/>
        <v/>
      </c>
      <c r="AO63" s="199" t="str">
        <f t="shared" si="57"/>
        <v/>
      </c>
      <c r="AP63" s="199" t="str">
        <f t="shared" si="58"/>
        <v/>
      </c>
      <c r="AQ63" s="199" t="str">
        <f t="shared" si="59"/>
        <v/>
      </c>
      <c r="AR63" s="199" t="str">
        <f t="shared" si="60"/>
        <v/>
      </c>
      <c r="AS63" s="199" t="str">
        <f t="shared" si="61"/>
        <v/>
      </c>
      <c r="AT63" s="199" t="str">
        <f t="shared" si="62"/>
        <v/>
      </c>
      <c r="AU63" s="199" t="str">
        <f t="shared" si="63"/>
        <v/>
      </c>
      <c r="AV63" s="199" t="str">
        <f t="shared" si="64"/>
        <v/>
      </c>
      <c r="AW63" s="199" t="str">
        <f t="shared" si="65"/>
        <v/>
      </c>
      <c r="AX63" s="199" t="str">
        <f t="shared" si="66"/>
        <v/>
      </c>
      <c r="AY63" s="199" t="str">
        <f t="shared" si="67"/>
        <v/>
      </c>
    </row>
    <row r="64" spans="1:51" ht="20.399999999999999" x14ac:dyDescent="0.3">
      <c r="A64" s="191">
        <v>62</v>
      </c>
      <c r="B64" s="224" t="s">
        <v>28</v>
      </c>
      <c r="C64" s="120" t="s">
        <v>29</v>
      </c>
      <c r="D64" s="135">
        <v>2012</v>
      </c>
      <c r="E64" s="123">
        <v>41165</v>
      </c>
      <c r="F64" s="198">
        <f t="shared" si="0"/>
        <v>9</v>
      </c>
      <c r="G64" s="198" t="str">
        <f t="shared" si="1"/>
        <v>92012</v>
      </c>
      <c r="H64" s="198" t="str">
        <f t="shared" si="2"/>
        <v>septiembre</v>
      </c>
      <c r="I64" s="114">
        <f>VLOOKUP(B64,'Base de Datos'!$E$7:$W$271,14,0)</f>
        <v>0</v>
      </c>
      <c r="J64" s="200">
        <f t="shared" si="3"/>
        <v>1900</v>
      </c>
      <c r="K64" s="199">
        <f t="shared" si="4"/>
        <v>1</v>
      </c>
      <c r="L64" s="199" t="str">
        <f t="shared" si="5"/>
        <v>11900</v>
      </c>
      <c r="M64" s="199" t="str">
        <f t="shared" si="6"/>
        <v>enero</v>
      </c>
      <c r="N64" s="199">
        <f t="shared" ca="1" si="7"/>
        <v>44228</v>
      </c>
      <c r="O64" s="242" t="str">
        <f t="shared" ca="1" si="8"/>
        <v>SI</v>
      </c>
      <c r="P64" s="242" t="str">
        <f t="shared" si="41"/>
        <v/>
      </c>
      <c r="Q64" s="242" t="str">
        <f t="shared" si="9"/>
        <v/>
      </c>
      <c r="R64" s="242" t="str">
        <f t="shared" si="10"/>
        <v/>
      </c>
      <c r="S64" s="242" t="str">
        <f t="shared" si="11"/>
        <v/>
      </c>
      <c r="T64" s="242" t="str">
        <f t="shared" si="12"/>
        <v/>
      </c>
      <c r="U64" s="242" t="str">
        <f t="shared" si="13"/>
        <v/>
      </c>
      <c r="V64" s="242" t="str">
        <f t="shared" si="43"/>
        <v/>
      </c>
      <c r="W64" s="242" t="str">
        <f t="shared" si="14"/>
        <v/>
      </c>
      <c r="X64" s="242" t="str">
        <f t="shared" si="15"/>
        <v/>
      </c>
      <c r="Y64" s="242" t="str">
        <f t="shared" si="42"/>
        <v/>
      </c>
      <c r="Z64" s="242" t="str">
        <f t="shared" si="16"/>
        <v/>
      </c>
      <c r="AA64" s="242" t="str">
        <f t="shared" si="47"/>
        <v/>
      </c>
      <c r="AB64" s="242" t="str">
        <f t="shared" si="45"/>
        <v/>
      </c>
      <c r="AC64" s="242" t="str">
        <f t="shared" si="46"/>
        <v/>
      </c>
      <c r="AD64" s="242" t="str">
        <f t="shared" si="48"/>
        <v/>
      </c>
      <c r="AE64" s="242" t="str">
        <f t="shared" si="49"/>
        <v/>
      </c>
      <c r="AF64" s="242" t="str">
        <f t="shared" si="68"/>
        <v/>
      </c>
      <c r="AG64" s="242" t="str">
        <f t="shared" si="69"/>
        <v/>
      </c>
      <c r="AH64" s="242" t="str">
        <f t="shared" si="70"/>
        <v/>
      </c>
      <c r="AI64" s="242" t="str">
        <f t="shared" si="71"/>
        <v/>
      </c>
      <c r="AJ64" s="242">
        <v>1</v>
      </c>
      <c r="AK64" s="242" t="str">
        <f t="shared" si="53"/>
        <v/>
      </c>
      <c r="AL64" s="242" t="str">
        <f t="shared" si="54"/>
        <v/>
      </c>
      <c r="AM64" s="242" t="str">
        <f t="shared" si="55"/>
        <v/>
      </c>
      <c r="AN64" s="199" t="str">
        <f t="shared" si="56"/>
        <v/>
      </c>
      <c r="AO64" s="199" t="str">
        <f t="shared" si="57"/>
        <v/>
      </c>
      <c r="AP64" s="199" t="str">
        <f t="shared" si="58"/>
        <v/>
      </c>
      <c r="AQ64" s="199" t="str">
        <f t="shared" si="59"/>
        <v/>
      </c>
      <c r="AR64" s="199" t="str">
        <f t="shared" si="60"/>
        <v/>
      </c>
      <c r="AS64" s="199" t="str">
        <f t="shared" si="61"/>
        <v/>
      </c>
      <c r="AT64" s="199" t="str">
        <f t="shared" si="62"/>
        <v/>
      </c>
      <c r="AU64" s="199" t="str">
        <f t="shared" si="63"/>
        <v/>
      </c>
      <c r="AV64" s="199" t="str">
        <f t="shared" si="64"/>
        <v/>
      </c>
      <c r="AW64" s="199" t="str">
        <f t="shared" si="65"/>
        <v/>
      </c>
      <c r="AX64" s="199" t="str">
        <f t="shared" si="66"/>
        <v/>
      </c>
      <c r="AY64" s="199" t="str">
        <f t="shared" si="67"/>
        <v/>
      </c>
    </row>
    <row r="65" spans="1:51" ht="20.399999999999999" x14ac:dyDescent="0.3">
      <c r="A65" s="191">
        <v>63</v>
      </c>
      <c r="B65" s="228" t="s">
        <v>50</v>
      </c>
      <c r="C65" s="120" t="s">
        <v>1021</v>
      </c>
      <c r="D65" s="135">
        <v>2012</v>
      </c>
      <c r="E65" s="131">
        <v>41242</v>
      </c>
      <c r="F65" s="198">
        <f t="shared" si="0"/>
        <v>11</v>
      </c>
      <c r="G65" s="198" t="str">
        <f t="shared" si="1"/>
        <v>112012</v>
      </c>
      <c r="H65" s="198" t="str">
        <f t="shared" si="2"/>
        <v>noviembre</v>
      </c>
      <c r="I65" s="114">
        <f>VLOOKUP(B65,'Base de Datos'!$E$7:$W$271,14,0)</f>
        <v>4</v>
      </c>
      <c r="J65" s="200">
        <f t="shared" si="3"/>
        <v>1900</v>
      </c>
      <c r="K65" s="199">
        <f t="shared" si="4"/>
        <v>1</v>
      </c>
      <c r="L65" s="199" t="str">
        <f t="shared" si="5"/>
        <v>11900</v>
      </c>
      <c r="M65" s="199" t="str">
        <f t="shared" si="6"/>
        <v>enero</v>
      </c>
      <c r="N65" s="199">
        <f t="shared" ca="1" si="7"/>
        <v>44224</v>
      </c>
      <c r="O65" s="242" t="str">
        <f t="shared" ca="1" si="8"/>
        <v>SI</v>
      </c>
      <c r="P65" s="242" t="str">
        <f t="shared" si="41"/>
        <v/>
      </c>
      <c r="Q65" s="242" t="str">
        <f t="shared" si="9"/>
        <v/>
      </c>
      <c r="R65" s="242" t="str">
        <f t="shared" si="10"/>
        <v/>
      </c>
      <c r="S65" s="242" t="str">
        <f t="shared" si="11"/>
        <v/>
      </c>
      <c r="T65" s="242" t="str">
        <f t="shared" si="12"/>
        <v/>
      </c>
      <c r="U65" s="242" t="str">
        <f t="shared" si="13"/>
        <v/>
      </c>
      <c r="V65" s="242" t="str">
        <f t="shared" si="43"/>
        <v/>
      </c>
      <c r="W65" s="242" t="str">
        <f t="shared" si="14"/>
        <v/>
      </c>
      <c r="X65" s="242" t="str">
        <f t="shared" si="15"/>
        <v/>
      </c>
      <c r="Y65" s="242" t="str">
        <f t="shared" si="42"/>
        <v/>
      </c>
      <c r="Z65" s="242" t="str">
        <f t="shared" si="16"/>
        <v/>
      </c>
      <c r="AA65" s="242" t="str">
        <f t="shared" si="47"/>
        <v/>
      </c>
      <c r="AB65" s="242" t="str">
        <f t="shared" si="45"/>
        <v/>
      </c>
      <c r="AC65" s="242" t="str">
        <f t="shared" si="46"/>
        <v/>
      </c>
      <c r="AD65" s="242" t="str">
        <f t="shared" si="48"/>
        <v/>
      </c>
      <c r="AE65" s="242" t="str">
        <f t="shared" si="49"/>
        <v/>
      </c>
      <c r="AF65" s="242" t="str">
        <f t="shared" si="68"/>
        <v/>
      </c>
      <c r="AG65" s="242" t="str">
        <f t="shared" si="69"/>
        <v/>
      </c>
      <c r="AH65" s="242" t="str">
        <f t="shared" si="70"/>
        <v/>
      </c>
      <c r="AI65" s="242" t="str">
        <f t="shared" si="71"/>
        <v/>
      </c>
      <c r="AJ65" s="242">
        <v>1</v>
      </c>
      <c r="AK65" s="242" t="str">
        <f t="shared" si="53"/>
        <v/>
      </c>
      <c r="AL65" s="242" t="str">
        <f t="shared" si="54"/>
        <v/>
      </c>
      <c r="AM65" s="242" t="str">
        <f t="shared" si="55"/>
        <v/>
      </c>
      <c r="AN65" s="199" t="str">
        <f t="shared" si="56"/>
        <v/>
      </c>
      <c r="AO65" s="199" t="str">
        <f t="shared" si="57"/>
        <v/>
      </c>
      <c r="AP65" s="199" t="str">
        <f t="shared" si="58"/>
        <v/>
      </c>
      <c r="AQ65" s="199" t="str">
        <f t="shared" si="59"/>
        <v/>
      </c>
      <c r="AR65" s="199" t="str">
        <f t="shared" si="60"/>
        <v/>
      </c>
      <c r="AS65" s="199" t="str">
        <f t="shared" si="61"/>
        <v/>
      </c>
      <c r="AT65" s="199" t="str">
        <f t="shared" si="62"/>
        <v/>
      </c>
      <c r="AU65" s="199" t="str">
        <f t="shared" si="63"/>
        <v/>
      </c>
      <c r="AV65" s="199" t="str">
        <f t="shared" si="64"/>
        <v/>
      </c>
      <c r="AW65" s="199" t="str">
        <f t="shared" si="65"/>
        <v/>
      </c>
      <c r="AX65" s="199" t="str">
        <f t="shared" si="66"/>
        <v/>
      </c>
      <c r="AY65" s="199" t="str">
        <f t="shared" si="67"/>
        <v/>
      </c>
    </row>
    <row r="66" spans="1:51" ht="20.399999999999999" x14ac:dyDescent="0.3">
      <c r="A66" s="191">
        <v>64</v>
      </c>
      <c r="B66" s="226" t="s">
        <v>61</v>
      </c>
      <c r="C66" s="120" t="s">
        <v>436</v>
      </c>
      <c r="D66" s="122">
        <v>2012</v>
      </c>
      <c r="E66" s="123">
        <v>41122</v>
      </c>
      <c r="F66" s="198">
        <f t="shared" si="0"/>
        <v>8</v>
      </c>
      <c r="G66" s="198" t="str">
        <f t="shared" si="1"/>
        <v>82012</v>
      </c>
      <c r="H66" s="198" t="str">
        <f t="shared" si="2"/>
        <v>agosto</v>
      </c>
      <c r="I66" s="114">
        <f>VLOOKUP(B66,'Base de Datos'!$E$7:$W$271,14,0)</f>
        <v>0</v>
      </c>
      <c r="J66" s="200">
        <f t="shared" si="3"/>
        <v>1900</v>
      </c>
      <c r="K66" s="199">
        <f t="shared" si="4"/>
        <v>1</v>
      </c>
      <c r="L66" s="199" t="str">
        <f t="shared" si="5"/>
        <v>11900</v>
      </c>
      <c r="M66" s="199" t="str">
        <f t="shared" si="6"/>
        <v>enero</v>
      </c>
      <c r="N66" s="199">
        <f t="shared" ca="1" si="7"/>
        <v>44228</v>
      </c>
      <c r="O66" s="242" t="str">
        <f t="shared" ca="1" si="8"/>
        <v>SI</v>
      </c>
      <c r="P66" s="242" t="str">
        <f t="shared" si="41"/>
        <v/>
      </c>
      <c r="Q66" s="242" t="str">
        <f t="shared" si="9"/>
        <v/>
      </c>
      <c r="R66" s="242" t="str">
        <f t="shared" si="10"/>
        <v/>
      </c>
      <c r="S66" s="242" t="str">
        <f t="shared" si="11"/>
        <v/>
      </c>
      <c r="T66" s="242" t="str">
        <f t="shared" si="12"/>
        <v/>
      </c>
      <c r="U66" s="242" t="str">
        <f t="shared" si="13"/>
        <v/>
      </c>
      <c r="V66" s="242" t="str">
        <f t="shared" si="43"/>
        <v/>
      </c>
      <c r="W66" s="242" t="str">
        <f t="shared" si="14"/>
        <v/>
      </c>
      <c r="X66" s="242" t="str">
        <f t="shared" si="15"/>
        <v/>
      </c>
      <c r="Y66" s="242" t="str">
        <f t="shared" si="42"/>
        <v/>
      </c>
      <c r="Z66" s="242" t="str">
        <f t="shared" si="16"/>
        <v/>
      </c>
      <c r="AA66" s="242" t="str">
        <f t="shared" si="47"/>
        <v/>
      </c>
      <c r="AB66" s="242" t="str">
        <f t="shared" si="45"/>
        <v/>
      </c>
      <c r="AC66" s="242" t="str">
        <f t="shared" si="46"/>
        <v/>
      </c>
      <c r="AD66" s="242" t="str">
        <f t="shared" si="48"/>
        <v/>
      </c>
      <c r="AE66" s="242" t="str">
        <f t="shared" si="49"/>
        <v/>
      </c>
      <c r="AF66" s="242" t="str">
        <f t="shared" si="68"/>
        <v/>
      </c>
      <c r="AG66" s="242" t="str">
        <f t="shared" si="69"/>
        <v/>
      </c>
      <c r="AH66" s="242" t="str">
        <f t="shared" si="70"/>
        <v/>
      </c>
      <c r="AI66" s="242" t="str">
        <f t="shared" si="71"/>
        <v/>
      </c>
      <c r="AJ66" s="242">
        <v>1</v>
      </c>
      <c r="AK66" s="242" t="str">
        <f t="shared" si="53"/>
        <v/>
      </c>
      <c r="AL66" s="242" t="str">
        <f t="shared" si="54"/>
        <v/>
      </c>
      <c r="AM66" s="242" t="str">
        <f t="shared" si="55"/>
        <v/>
      </c>
      <c r="AN66" s="199" t="str">
        <f t="shared" si="56"/>
        <v/>
      </c>
      <c r="AO66" s="199" t="str">
        <f t="shared" si="57"/>
        <v/>
      </c>
      <c r="AP66" s="199" t="str">
        <f t="shared" si="58"/>
        <v/>
      </c>
      <c r="AQ66" s="199" t="str">
        <f t="shared" si="59"/>
        <v/>
      </c>
      <c r="AR66" s="199" t="str">
        <f t="shared" si="60"/>
        <v/>
      </c>
      <c r="AS66" s="199" t="str">
        <f t="shared" si="61"/>
        <v/>
      </c>
      <c r="AT66" s="199" t="str">
        <f t="shared" si="62"/>
        <v/>
      </c>
      <c r="AU66" s="199" t="str">
        <f t="shared" si="63"/>
        <v/>
      </c>
      <c r="AV66" s="199" t="str">
        <f t="shared" si="64"/>
        <v/>
      </c>
      <c r="AW66" s="199" t="str">
        <f t="shared" si="65"/>
        <v/>
      </c>
      <c r="AX66" s="199" t="str">
        <f t="shared" si="66"/>
        <v/>
      </c>
      <c r="AY66" s="199" t="str">
        <f t="shared" si="67"/>
        <v/>
      </c>
    </row>
    <row r="67" spans="1:51" x14ac:dyDescent="0.3">
      <c r="A67" s="191">
        <v>65</v>
      </c>
      <c r="B67" s="226" t="s">
        <v>159</v>
      </c>
      <c r="C67" s="120" t="s">
        <v>160</v>
      </c>
      <c r="D67" s="138">
        <v>2013</v>
      </c>
      <c r="E67" s="124">
        <v>41472</v>
      </c>
      <c r="F67" s="198">
        <f t="shared" ref="F67:F130" si="72">MONTH(E67)</f>
        <v>7</v>
      </c>
      <c r="G67" s="198" t="str">
        <f t="shared" ref="G67:G130" si="73">CONCATENATE(F67,D67)</f>
        <v>72013</v>
      </c>
      <c r="H67" s="198" t="str">
        <f t="shared" ref="H67:H130" si="74">TEXT(E67,"MMMM")</f>
        <v>julio</v>
      </c>
      <c r="I67" s="114">
        <f>VLOOKUP(B67,'Base de Datos'!$E$7:$W$271,14,0)</f>
        <v>0</v>
      </c>
      <c r="J67" s="200">
        <f t="shared" ref="J67:J130" si="75">YEAR(I67)</f>
        <v>1900</v>
      </c>
      <c r="K67" s="199">
        <f t="shared" ref="K67:K130" si="76">MONTH(I67)</f>
        <v>1</v>
      </c>
      <c r="L67" s="199" t="str">
        <f t="shared" ref="L67:L130" si="77">CONCATENATE(K67,J67)</f>
        <v>11900</v>
      </c>
      <c r="M67" s="199" t="str">
        <f t="shared" ref="M67:M130" si="78">TEXT(I67,"mmmm")</f>
        <v>enero</v>
      </c>
      <c r="N67" s="199">
        <f t="shared" ref="N67:N130" ca="1" si="79">$O$1-I67</f>
        <v>44228</v>
      </c>
      <c r="O67" s="242" t="str">
        <f t="shared" ref="O67:O130" ca="1" si="80">IF(N67&gt;0,"SI","NO")</f>
        <v>SI</v>
      </c>
      <c r="P67" s="242" t="str">
        <f t="shared" si="41"/>
        <v/>
      </c>
      <c r="Q67" s="242" t="str">
        <f t="shared" ref="Q67:Q130" si="81">IF(AND(E67&lt;$Q$2,I67&gt;$Q$2),"1","")</f>
        <v/>
      </c>
      <c r="R67" s="242" t="str">
        <f t="shared" ref="R67:R130" si="82">IF(AND(E67&lt;$R$2,I67&gt;$R$2),"1","")</f>
        <v/>
      </c>
      <c r="S67" s="242" t="str">
        <f t="shared" ref="S67:S130" si="83">IF(AND(E67&lt;$S$2,I67&gt;$S$2),"1","")</f>
        <v/>
      </c>
      <c r="T67" s="242" t="str">
        <f t="shared" ref="T67:T130" si="84">IF(AND(E67&lt;$T$2,I67&gt;$T$2),"1","")</f>
        <v/>
      </c>
      <c r="U67" s="242" t="str">
        <f t="shared" ref="U67:U130" si="85">IF(AND(E67&lt;$U$2,I67&gt;$U$2),"1","")</f>
        <v/>
      </c>
      <c r="V67" s="242" t="str">
        <f t="shared" si="43"/>
        <v/>
      </c>
      <c r="W67" s="242" t="str">
        <f t="shared" ref="W67:W130" si="86">IF(AND(E67&lt;$W$2,I67&gt;$W$2),"1","")</f>
        <v/>
      </c>
      <c r="X67" s="242" t="str">
        <f t="shared" ref="X67:X130" si="87">IF(AND(E67&lt;$X$2,I67&gt;$X$2),"1","")</f>
        <v/>
      </c>
      <c r="Y67" s="242" t="str">
        <f t="shared" si="42"/>
        <v/>
      </c>
      <c r="Z67" s="242" t="str">
        <f t="shared" ref="Z67:Z130" si="88">IF(AND(E67&lt;$Z$2,I67&gt;$Z$2),"1","")</f>
        <v/>
      </c>
      <c r="AA67" s="242" t="str">
        <f t="shared" si="47"/>
        <v/>
      </c>
      <c r="AB67" s="242" t="str">
        <f t="shared" si="45"/>
        <v/>
      </c>
      <c r="AC67" s="242" t="str">
        <f t="shared" si="46"/>
        <v/>
      </c>
      <c r="AD67" s="242" t="str">
        <f t="shared" si="48"/>
        <v/>
      </c>
      <c r="AE67" s="242" t="str">
        <f t="shared" si="49"/>
        <v/>
      </c>
      <c r="AF67" s="242" t="str">
        <f t="shared" si="68"/>
        <v/>
      </c>
      <c r="AG67" s="242" t="str">
        <f t="shared" si="69"/>
        <v/>
      </c>
      <c r="AH67" s="242" t="str">
        <f t="shared" si="70"/>
        <v/>
      </c>
      <c r="AI67" s="242" t="str">
        <f t="shared" si="71"/>
        <v/>
      </c>
      <c r="AJ67" s="242">
        <v>1</v>
      </c>
      <c r="AK67" s="242" t="str">
        <f t="shared" si="53"/>
        <v/>
      </c>
      <c r="AL67" s="242" t="str">
        <f t="shared" ref="AL67:AL75" si="89">IF(AND(E67&lt;$AL$2,I67&gt;$AL$2),"1","")</f>
        <v/>
      </c>
      <c r="AM67" s="242" t="str">
        <f t="shared" ref="AM67:AM79" si="90">IF(AND(E67&lt;$AM$2,I67&gt;$AM$2),"1","")</f>
        <v/>
      </c>
      <c r="AN67" s="199" t="str">
        <f t="shared" ref="AN67:AN84" si="91">IF(AND(E67&lt;$AN$2,I67&gt;$AN$2),"1","")</f>
        <v/>
      </c>
      <c r="AO67" s="199" t="str">
        <f t="shared" ref="AO67:AO100" si="92">IF(AND(E67&lt;$AO$2,I67&gt;$AO$2),"1","")</f>
        <v/>
      </c>
      <c r="AP67" s="199" t="str">
        <f t="shared" ref="AP67:AP101" si="93">IF(AND(E67&lt;$AP$2,I67&gt;$AP$2),"1","")</f>
        <v/>
      </c>
      <c r="AQ67" s="199" t="str">
        <f t="shared" ref="AQ67:AQ101" si="94">IF(AND(E67&lt;$AQ$2,I67&gt;$AQ$2),"1","")</f>
        <v/>
      </c>
      <c r="AR67" s="199" t="str">
        <f t="shared" ref="AR67:AR101" si="95">IF(AND(E67&lt;$AR$2,I67&gt;$AR$2),"1","")</f>
        <v/>
      </c>
      <c r="AS67" s="199" t="str">
        <f t="shared" ref="AS67:AS101" si="96">IF(AND(E67&lt;$AS$2,I67&gt;$AS$2),"1","")</f>
        <v/>
      </c>
      <c r="AT67" s="199" t="str">
        <f t="shared" ref="AT67:AT101" si="97">IF(AND(E67&lt;$AT$2,I67&gt;$AT$2),"1","")</f>
        <v/>
      </c>
      <c r="AU67" s="199" t="str">
        <f t="shared" ref="AU67:AU101" si="98">IF(AND(E67&lt;$AU$2,I67&gt;$AU$2),"1","")</f>
        <v/>
      </c>
      <c r="AV67" s="199" t="str">
        <f t="shared" ref="AV67:AV101" si="99">IF(AND(E67&lt;$AV$2,I67&gt;$AV$2),"1","")</f>
        <v/>
      </c>
      <c r="AW67" s="199" t="str">
        <f t="shared" ref="AW67:AW101" si="100">IF(AND(E67&lt;$AW$2,I67&gt;$AW$2),"1","")</f>
        <v/>
      </c>
      <c r="AX67" s="199" t="str">
        <f t="shared" ref="AX67:AX101" si="101">IF(AND(E67&lt;$AX$2,I67&gt;$AX$2),"1","")</f>
        <v/>
      </c>
      <c r="AY67" s="199" t="str">
        <f t="shared" ref="AY67:AY101" si="102">IF(AND(E67&lt;$AY$2,I67&gt;$AY$2),"1","")</f>
        <v/>
      </c>
    </row>
    <row r="68" spans="1:51" ht="20.399999999999999" x14ac:dyDescent="0.3">
      <c r="A68" s="191">
        <v>66</v>
      </c>
      <c r="B68" s="224" t="s">
        <v>32</v>
      </c>
      <c r="C68" s="120" t="s">
        <v>33</v>
      </c>
      <c r="D68" s="135">
        <v>2012</v>
      </c>
      <c r="E68" s="123">
        <v>41180</v>
      </c>
      <c r="F68" s="198">
        <f t="shared" si="72"/>
        <v>9</v>
      </c>
      <c r="G68" s="198" t="str">
        <f t="shared" si="73"/>
        <v>92012</v>
      </c>
      <c r="H68" s="198" t="str">
        <f t="shared" si="74"/>
        <v>septiembre</v>
      </c>
      <c r="I68" s="114">
        <f>VLOOKUP(B68,'Base de Datos'!$E$7:$W$271,14,0)</f>
        <v>0</v>
      </c>
      <c r="J68" s="200">
        <f t="shared" si="75"/>
        <v>1900</v>
      </c>
      <c r="K68" s="199">
        <f t="shared" si="76"/>
        <v>1</v>
      </c>
      <c r="L68" s="199" t="str">
        <f t="shared" si="77"/>
        <v>11900</v>
      </c>
      <c r="M68" s="199" t="str">
        <f t="shared" si="78"/>
        <v>enero</v>
      </c>
      <c r="N68" s="199">
        <f t="shared" ca="1" si="79"/>
        <v>44228</v>
      </c>
      <c r="O68" s="242" t="str">
        <f t="shared" ca="1" si="80"/>
        <v>SI</v>
      </c>
      <c r="P68" s="242" t="str">
        <f t="shared" ref="P68:P131" si="103">IF(AND(E68&lt;$P$2,I68&gt;$P$2),"1","")</f>
        <v/>
      </c>
      <c r="Q68" s="242" t="str">
        <f t="shared" si="81"/>
        <v/>
      </c>
      <c r="R68" s="242" t="str">
        <f t="shared" si="82"/>
        <v/>
      </c>
      <c r="S68" s="242" t="str">
        <f t="shared" si="83"/>
        <v/>
      </c>
      <c r="T68" s="242" t="str">
        <f t="shared" si="84"/>
        <v/>
      </c>
      <c r="U68" s="242" t="str">
        <f t="shared" si="85"/>
        <v/>
      </c>
      <c r="V68" s="242" t="str">
        <f t="shared" si="43"/>
        <v/>
      </c>
      <c r="W68" s="242" t="str">
        <f t="shared" si="86"/>
        <v/>
      </c>
      <c r="X68" s="242" t="str">
        <f t="shared" si="87"/>
        <v/>
      </c>
      <c r="Y68" s="242" t="str">
        <f t="shared" si="42"/>
        <v/>
      </c>
      <c r="Z68" s="242" t="str">
        <f t="shared" si="88"/>
        <v/>
      </c>
      <c r="AA68" s="242" t="str">
        <f t="shared" si="47"/>
        <v/>
      </c>
      <c r="AB68" s="242" t="str">
        <f t="shared" si="45"/>
        <v/>
      </c>
      <c r="AC68" s="242" t="str">
        <f t="shared" si="46"/>
        <v/>
      </c>
      <c r="AD68" s="242" t="str">
        <f t="shared" si="48"/>
        <v/>
      </c>
      <c r="AE68" s="242" t="str">
        <f t="shared" si="49"/>
        <v/>
      </c>
      <c r="AF68" s="242" t="str">
        <f t="shared" si="68"/>
        <v/>
      </c>
      <c r="AG68" s="242" t="str">
        <f t="shared" si="69"/>
        <v/>
      </c>
      <c r="AH68" s="242" t="str">
        <f t="shared" si="70"/>
        <v/>
      </c>
      <c r="AI68" s="242" t="str">
        <f t="shared" si="71"/>
        <v/>
      </c>
      <c r="AJ68" s="242">
        <v>1</v>
      </c>
      <c r="AK68" s="242" t="str">
        <f t="shared" si="53"/>
        <v/>
      </c>
      <c r="AL68" s="242" t="str">
        <f t="shared" si="89"/>
        <v/>
      </c>
      <c r="AM68" s="242" t="str">
        <f t="shared" si="90"/>
        <v/>
      </c>
      <c r="AN68" s="199" t="str">
        <f t="shared" si="91"/>
        <v/>
      </c>
      <c r="AO68" s="199" t="str">
        <f t="shared" si="92"/>
        <v/>
      </c>
      <c r="AP68" s="199" t="str">
        <f t="shared" si="93"/>
        <v/>
      </c>
      <c r="AQ68" s="199" t="str">
        <f t="shared" si="94"/>
        <v/>
      </c>
      <c r="AR68" s="199" t="str">
        <f t="shared" si="95"/>
        <v/>
      </c>
      <c r="AS68" s="199" t="str">
        <f t="shared" si="96"/>
        <v/>
      </c>
      <c r="AT68" s="199" t="str">
        <f t="shared" si="97"/>
        <v/>
      </c>
      <c r="AU68" s="199" t="str">
        <f t="shared" si="98"/>
        <v/>
      </c>
      <c r="AV68" s="199" t="str">
        <f t="shared" si="99"/>
        <v/>
      </c>
      <c r="AW68" s="199" t="str">
        <f t="shared" si="100"/>
        <v/>
      </c>
      <c r="AX68" s="199" t="str">
        <f t="shared" si="101"/>
        <v/>
      </c>
      <c r="AY68" s="199" t="str">
        <f t="shared" si="102"/>
        <v/>
      </c>
    </row>
    <row r="69" spans="1:51" ht="30.6" x14ac:dyDescent="0.3">
      <c r="A69" s="191">
        <v>67</v>
      </c>
      <c r="B69" s="224" t="s">
        <v>88</v>
      </c>
      <c r="C69" s="120" t="s">
        <v>1030</v>
      </c>
      <c r="D69" s="138">
        <v>2013</v>
      </c>
      <c r="E69" s="123">
        <v>41393</v>
      </c>
      <c r="F69" s="198">
        <f t="shared" si="72"/>
        <v>4</v>
      </c>
      <c r="G69" s="198" t="str">
        <f t="shared" si="73"/>
        <v>42013</v>
      </c>
      <c r="H69" s="198" t="str">
        <f t="shared" si="74"/>
        <v>abril</v>
      </c>
      <c r="I69" s="114">
        <f>VLOOKUP(B69,'Base de Datos'!$E$7:$W$271,14,0)</f>
        <v>0</v>
      </c>
      <c r="J69" s="200">
        <f t="shared" si="75"/>
        <v>1900</v>
      </c>
      <c r="K69" s="199">
        <f t="shared" si="76"/>
        <v>1</v>
      </c>
      <c r="L69" s="199" t="str">
        <f t="shared" si="77"/>
        <v>11900</v>
      </c>
      <c r="M69" s="199" t="str">
        <f t="shared" si="78"/>
        <v>enero</v>
      </c>
      <c r="N69" s="199">
        <f t="shared" ca="1" si="79"/>
        <v>44228</v>
      </c>
      <c r="O69" s="242" t="str">
        <f t="shared" ca="1" si="80"/>
        <v>SI</v>
      </c>
      <c r="P69" s="242" t="str">
        <f t="shared" si="103"/>
        <v/>
      </c>
      <c r="Q69" s="242" t="str">
        <f t="shared" si="81"/>
        <v/>
      </c>
      <c r="R69" s="242" t="str">
        <f t="shared" si="82"/>
        <v/>
      </c>
      <c r="S69" s="242" t="str">
        <f t="shared" si="83"/>
        <v/>
      </c>
      <c r="T69" s="242" t="str">
        <f t="shared" si="84"/>
        <v/>
      </c>
      <c r="U69" s="242" t="str">
        <f t="shared" si="85"/>
        <v/>
      </c>
      <c r="V69" s="242" t="str">
        <f t="shared" si="43"/>
        <v/>
      </c>
      <c r="W69" s="242" t="str">
        <f t="shared" si="86"/>
        <v/>
      </c>
      <c r="X69" s="242" t="str">
        <f t="shared" si="87"/>
        <v/>
      </c>
      <c r="Y69" s="242" t="str">
        <f t="shared" si="42"/>
        <v/>
      </c>
      <c r="Z69" s="242" t="str">
        <f t="shared" si="88"/>
        <v/>
      </c>
      <c r="AA69" s="242" t="str">
        <f t="shared" si="47"/>
        <v/>
      </c>
      <c r="AB69" s="242" t="str">
        <f t="shared" si="45"/>
        <v/>
      </c>
      <c r="AC69" s="242" t="str">
        <f t="shared" si="46"/>
        <v/>
      </c>
      <c r="AD69" s="242" t="str">
        <f t="shared" si="48"/>
        <v/>
      </c>
      <c r="AE69" s="242" t="str">
        <f t="shared" si="49"/>
        <v/>
      </c>
      <c r="AF69" s="242" t="str">
        <f t="shared" si="68"/>
        <v/>
      </c>
      <c r="AG69" s="242" t="str">
        <f t="shared" si="69"/>
        <v/>
      </c>
      <c r="AH69" s="242" t="str">
        <f t="shared" si="70"/>
        <v/>
      </c>
      <c r="AI69" s="242" t="str">
        <f t="shared" si="71"/>
        <v/>
      </c>
      <c r="AJ69" s="242">
        <v>1</v>
      </c>
      <c r="AK69" s="242" t="str">
        <f t="shared" si="53"/>
        <v/>
      </c>
      <c r="AL69" s="242" t="str">
        <f t="shared" si="89"/>
        <v/>
      </c>
      <c r="AM69" s="242" t="str">
        <f t="shared" si="90"/>
        <v/>
      </c>
      <c r="AN69" s="199" t="str">
        <f t="shared" si="91"/>
        <v/>
      </c>
      <c r="AO69" s="199" t="str">
        <f t="shared" si="92"/>
        <v/>
      </c>
      <c r="AP69" s="199" t="str">
        <f t="shared" si="93"/>
        <v/>
      </c>
      <c r="AQ69" s="199" t="str">
        <f t="shared" si="94"/>
        <v/>
      </c>
      <c r="AR69" s="199" t="str">
        <f t="shared" si="95"/>
        <v/>
      </c>
      <c r="AS69" s="199" t="str">
        <f t="shared" si="96"/>
        <v/>
      </c>
      <c r="AT69" s="199" t="str">
        <f t="shared" si="97"/>
        <v/>
      </c>
      <c r="AU69" s="199" t="str">
        <f t="shared" si="98"/>
        <v/>
      </c>
      <c r="AV69" s="199" t="str">
        <f t="shared" si="99"/>
        <v/>
      </c>
      <c r="AW69" s="199" t="str">
        <f t="shared" si="100"/>
        <v/>
      </c>
      <c r="AX69" s="199" t="str">
        <f t="shared" si="101"/>
        <v/>
      </c>
      <c r="AY69" s="199" t="str">
        <f t="shared" si="102"/>
        <v/>
      </c>
    </row>
    <row r="70" spans="1:51" ht="30.6" x14ac:dyDescent="0.3">
      <c r="A70" s="191">
        <v>68</v>
      </c>
      <c r="B70" s="224" t="s">
        <v>44</v>
      </c>
      <c r="C70" s="120" t="s">
        <v>1016</v>
      </c>
      <c r="D70" s="135">
        <v>2012</v>
      </c>
      <c r="E70" s="123">
        <v>41151</v>
      </c>
      <c r="F70" s="198">
        <f t="shared" si="72"/>
        <v>8</v>
      </c>
      <c r="G70" s="198" t="str">
        <f t="shared" si="73"/>
        <v>82012</v>
      </c>
      <c r="H70" s="198" t="str">
        <f t="shared" si="74"/>
        <v>agosto</v>
      </c>
      <c r="I70" s="114">
        <f>VLOOKUP(B70,'Base de Datos'!$E$7:$W$271,14,0)</f>
        <v>1</v>
      </c>
      <c r="J70" s="200">
        <f t="shared" si="75"/>
        <v>1900</v>
      </c>
      <c r="K70" s="374">
        <f t="shared" si="76"/>
        <v>1</v>
      </c>
      <c r="L70" s="374" t="str">
        <f t="shared" si="77"/>
        <v>11900</v>
      </c>
      <c r="M70" s="374" t="str">
        <f t="shared" si="78"/>
        <v>enero</v>
      </c>
      <c r="N70" s="374">
        <f t="shared" ca="1" si="79"/>
        <v>44227</v>
      </c>
      <c r="O70" s="242" t="str">
        <f t="shared" ca="1" si="80"/>
        <v>SI</v>
      </c>
      <c r="P70" s="242" t="str">
        <f t="shared" si="103"/>
        <v/>
      </c>
      <c r="Q70" s="242" t="str">
        <f t="shared" si="81"/>
        <v/>
      </c>
      <c r="R70" s="242" t="str">
        <f t="shared" si="82"/>
        <v/>
      </c>
      <c r="S70" s="242" t="str">
        <f t="shared" si="83"/>
        <v/>
      </c>
      <c r="T70" s="242" t="str">
        <f t="shared" si="84"/>
        <v/>
      </c>
      <c r="U70" s="242" t="str">
        <f t="shared" si="85"/>
        <v/>
      </c>
      <c r="V70" s="242" t="str">
        <f t="shared" si="43"/>
        <v/>
      </c>
      <c r="W70" s="242" t="str">
        <f t="shared" si="86"/>
        <v/>
      </c>
      <c r="X70" s="242" t="str">
        <f t="shared" si="87"/>
        <v/>
      </c>
      <c r="Y70" s="242" t="str">
        <f t="shared" ref="Y70:Y133" si="104">IF(AND(E70&lt;$Y$2,I70&gt;$Y$2),"1","")</f>
        <v/>
      </c>
      <c r="Z70" s="242" t="str">
        <f t="shared" si="88"/>
        <v/>
      </c>
      <c r="AA70" s="242" t="str">
        <f t="shared" si="47"/>
        <v/>
      </c>
      <c r="AB70" s="242" t="str">
        <f t="shared" si="45"/>
        <v/>
      </c>
      <c r="AC70" s="242" t="str">
        <f t="shared" si="46"/>
        <v/>
      </c>
      <c r="AD70" s="242" t="str">
        <f t="shared" si="48"/>
        <v/>
      </c>
      <c r="AE70" s="242" t="str">
        <f t="shared" si="49"/>
        <v/>
      </c>
      <c r="AF70" s="242" t="str">
        <f t="shared" si="68"/>
        <v/>
      </c>
      <c r="AG70" s="242" t="str">
        <f t="shared" si="69"/>
        <v/>
      </c>
      <c r="AH70" s="242" t="str">
        <f t="shared" si="70"/>
        <v/>
      </c>
      <c r="AI70" s="242" t="str">
        <f t="shared" si="71"/>
        <v/>
      </c>
      <c r="AJ70" s="242">
        <v>1</v>
      </c>
      <c r="AK70" s="242" t="str">
        <f t="shared" si="53"/>
        <v/>
      </c>
      <c r="AL70" s="242" t="str">
        <f t="shared" si="89"/>
        <v/>
      </c>
      <c r="AM70" s="242" t="str">
        <f t="shared" si="90"/>
        <v/>
      </c>
      <c r="AN70" s="199" t="str">
        <f t="shared" si="91"/>
        <v/>
      </c>
      <c r="AO70" s="199" t="str">
        <f t="shared" si="92"/>
        <v/>
      </c>
      <c r="AP70" s="199" t="str">
        <f t="shared" si="93"/>
        <v/>
      </c>
      <c r="AQ70" s="199" t="str">
        <f t="shared" si="94"/>
        <v/>
      </c>
      <c r="AR70" s="199" t="str">
        <f t="shared" si="95"/>
        <v/>
      </c>
      <c r="AS70" s="199" t="str">
        <f t="shared" si="96"/>
        <v/>
      </c>
      <c r="AT70" s="199" t="str">
        <f t="shared" si="97"/>
        <v/>
      </c>
      <c r="AU70" s="199" t="str">
        <f t="shared" si="98"/>
        <v/>
      </c>
      <c r="AV70" s="199" t="str">
        <f t="shared" si="99"/>
        <v/>
      </c>
      <c r="AW70" s="199" t="str">
        <f t="shared" si="100"/>
        <v/>
      </c>
      <c r="AX70" s="199" t="str">
        <f t="shared" si="101"/>
        <v/>
      </c>
      <c r="AY70" s="199" t="str">
        <f t="shared" si="102"/>
        <v/>
      </c>
    </row>
    <row r="71" spans="1:51" ht="20.399999999999999" x14ac:dyDescent="0.3">
      <c r="A71" s="191">
        <v>69</v>
      </c>
      <c r="B71" s="224" t="s">
        <v>39</v>
      </c>
      <c r="C71" s="120" t="s">
        <v>1019</v>
      </c>
      <c r="D71" s="135">
        <v>2012</v>
      </c>
      <c r="E71" s="124">
        <v>41193</v>
      </c>
      <c r="F71" s="198">
        <f t="shared" si="72"/>
        <v>10</v>
      </c>
      <c r="G71" s="198" t="str">
        <f t="shared" si="73"/>
        <v>102012</v>
      </c>
      <c r="H71" s="198" t="str">
        <f t="shared" si="74"/>
        <v>octubre</v>
      </c>
      <c r="I71" s="114">
        <f>VLOOKUP(B71,'Base de Datos'!$E$7:$W$271,14,0)</f>
        <v>0</v>
      </c>
      <c r="J71" s="200">
        <f t="shared" si="75"/>
        <v>1900</v>
      </c>
      <c r="K71" s="199">
        <f t="shared" si="76"/>
        <v>1</v>
      </c>
      <c r="L71" s="199" t="str">
        <f t="shared" si="77"/>
        <v>11900</v>
      </c>
      <c r="M71" s="199" t="str">
        <f t="shared" si="78"/>
        <v>enero</v>
      </c>
      <c r="N71" s="199">
        <f t="shared" ca="1" si="79"/>
        <v>44228</v>
      </c>
      <c r="O71" s="242" t="str">
        <f t="shared" ca="1" si="80"/>
        <v>SI</v>
      </c>
      <c r="P71" s="242" t="str">
        <f t="shared" si="103"/>
        <v/>
      </c>
      <c r="Q71" s="242" t="str">
        <f t="shared" si="81"/>
        <v/>
      </c>
      <c r="R71" s="242" t="str">
        <f t="shared" si="82"/>
        <v/>
      </c>
      <c r="S71" s="242" t="str">
        <f t="shared" si="83"/>
        <v/>
      </c>
      <c r="T71" s="242" t="str">
        <f t="shared" si="84"/>
        <v/>
      </c>
      <c r="U71" s="242" t="str">
        <f t="shared" si="85"/>
        <v/>
      </c>
      <c r="V71" s="242" t="str">
        <f t="shared" ref="V71:V134" si="105">IF(AND(E71&lt;$V$2,I71&gt;$V$2),"1","")</f>
        <v/>
      </c>
      <c r="W71" s="242" t="str">
        <f t="shared" si="86"/>
        <v/>
      </c>
      <c r="X71" s="242" t="str">
        <f t="shared" si="87"/>
        <v/>
      </c>
      <c r="Y71" s="242" t="str">
        <f t="shared" si="104"/>
        <v/>
      </c>
      <c r="Z71" s="242" t="str">
        <f t="shared" si="88"/>
        <v/>
      </c>
      <c r="AA71" s="242" t="str">
        <f t="shared" si="47"/>
        <v/>
      </c>
      <c r="AB71" s="242" t="str">
        <f t="shared" si="45"/>
        <v/>
      </c>
      <c r="AC71" s="242" t="str">
        <f t="shared" si="46"/>
        <v/>
      </c>
      <c r="AD71" s="242" t="str">
        <f t="shared" si="48"/>
        <v/>
      </c>
      <c r="AE71" s="242" t="str">
        <f t="shared" si="49"/>
        <v/>
      </c>
      <c r="AF71" s="242" t="str">
        <f t="shared" si="68"/>
        <v/>
      </c>
      <c r="AG71" s="242" t="str">
        <f t="shared" si="69"/>
        <v/>
      </c>
      <c r="AH71" s="242" t="str">
        <f t="shared" si="70"/>
        <v/>
      </c>
      <c r="AI71" s="242" t="str">
        <f t="shared" si="71"/>
        <v/>
      </c>
      <c r="AJ71" s="242" t="str">
        <f t="shared" ref="AJ71:AJ102" si="106">IF(AND(E71&lt;$AJ$2,I71&gt;$AJ$2),"1","")</f>
        <v/>
      </c>
      <c r="AK71" s="242">
        <v>1</v>
      </c>
      <c r="AL71" s="242" t="str">
        <f t="shared" si="89"/>
        <v/>
      </c>
      <c r="AM71" s="242" t="str">
        <f t="shared" si="90"/>
        <v/>
      </c>
      <c r="AN71" s="199" t="str">
        <f t="shared" si="91"/>
        <v/>
      </c>
      <c r="AO71" s="199" t="str">
        <f t="shared" si="92"/>
        <v/>
      </c>
      <c r="AP71" s="199" t="str">
        <f t="shared" si="93"/>
        <v/>
      </c>
      <c r="AQ71" s="199" t="str">
        <f t="shared" si="94"/>
        <v/>
      </c>
      <c r="AR71" s="199" t="str">
        <f t="shared" si="95"/>
        <v/>
      </c>
      <c r="AS71" s="199" t="str">
        <f t="shared" si="96"/>
        <v/>
      </c>
      <c r="AT71" s="199" t="str">
        <f t="shared" si="97"/>
        <v/>
      </c>
      <c r="AU71" s="199" t="str">
        <f t="shared" si="98"/>
        <v/>
      </c>
      <c r="AV71" s="199" t="str">
        <f t="shared" si="99"/>
        <v/>
      </c>
      <c r="AW71" s="199" t="str">
        <f t="shared" si="100"/>
        <v/>
      </c>
      <c r="AX71" s="199" t="str">
        <f t="shared" si="101"/>
        <v/>
      </c>
      <c r="AY71" s="199" t="str">
        <f t="shared" si="102"/>
        <v/>
      </c>
    </row>
    <row r="72" spans="1:51" ht="30.6" x14ac:dyDescent="0.3">
      <c r="A72" s="191">
        <v>70</v>
      </c>
      <c r="B72" s="224" t="s">
        <v>597</v>
      </c>
      <c r="C72" s="120" t="s">
        <v>1023</v>
      </c>
      <c r="D72" s="135">
        <v>2012</v>
      </c>
      <c r="E72" s="123">
        <v>41232</v>
      </c>
      <c r="F72" s="198">
        <f t="shared" si="72"/>
        <v>11</v>
      </c>
      <c r="G72" s="198" t="str">
        <f t="shared" si="73"/>
        <v>112012</v>
      </c>
      <c r="H72" s="198" t="str">
        <f t="shared" si="74"/>
        <v>noviembre</v>
      </c>
      <c r="I72" s="114">
        <f>VLOOKUP(B72,'Base de Datos'!$E$7:$W$271,14,0)</f>
        <v>4</v>
      </c>
      <c r="J72" s="200">
        <f t="shared" si="75"/>
        <v>1900</v>
      </c>
      <c r="K72" s="199">
        <f t="shared" si="76"/>
        <v>1</v>
      </c>
      <c r="L72" s="199" t="str">
        <f t="shared" si="77"/>
        <v>11900</v>
      </c>
      <c r="M72" s="199" t="str">
        <f t="shared" si="78"/>
        <v>enero</v>
      </c>
      <c r="N72" s="199">
        <f t="shared" ca="1" si="79"/>
        <v>44224</v>
      </c>
      <c r="O72" s="242" t="str">
        <f t="shared" ca="1" si="80"/>
        <v>SI</v>
      </c>
      <c r="P72" s="242" t="str">
        <f t="shared" si="103"/>
        <v/>
      </c>
      <c r="Q72" s="242" t="str">
        <f t="shared" si="81"/>
        <v/>
      </c>
      <c r="R72" s="242" t="str">
        <f t="shared" si="82"/>
        <v/>
      </c>
      <c r="S72" s="242" t="str">
        <f t="shared" si="83"/>
        <v/>
      </c>
      <c r="T72" s="242" t="str">
        <f t="shared" si="84"/>
        <v/>
      </c>
      <c r="U72" s="242" t="str">
        <f t="shared" si="85"/>
        <v/>
      </c>
      <c r="V72" s="242" t="str">
        <f t="shared" si="105"/>
        <v/>
      </c>
      <c r="W72" s="242" t="str">
        <f t="shared" si="86"/>
        <v/>
      </c>
      <c r="X72" s="242" t="str">
        <f t="shared" si="87"/>
        <v/>
      </c>
      <c r="Y72" s="242" t="str">
        <f t="shared" si="104"/>
        <v/>
      </c>
      <c r="Z72" s="242" t="str">
        <f t="shared" si="88"/>
        <v/>
      </c>
      <c r="AA72" s="242" t="str">
        <f t="shared" si="47"/>
        <v/>
      </c>
      <c r="AB72" s="242" t="str">
        <f t="shared" si="45"/>
        <v/>
      </c>
      <c r="AC72" s="242" t="str">
        <f t="shared" si="46"/>
        <v/>
      </c>
      <c r="AD72" s="242" t="str">
        <f t="shared" si="48"/>
        <v/>
      </c>
      <c r="AE72" s="242" t="str">
        <f t="shared" si="49"/>
        <v/>
      </c>
      <c r="AF72" s="242" t="str">
        <f t="shared" si="68"/>
        <v/>
      </c>
      <c r="AG72" s="242" t="str">
        <f t="shared" si="69"/>
        <v/>
      </c>
      <c r="AH72" s="242" t="str">
        <f t="shared" si="70"/>
        <v/>
      </c>
      <c r="AI72" s="242" t="str">
        <f t="shared" si="71"/>
        <v/>
      </c>
      <c r="AJ72" s="242" t="str">
        <f t="shared" si="106"/>
        <v/>
      </c>
      <c r="AK72" s="242">
        <v>1</v>
      </c>
      <c r="AL72" s="242" t="str">
        <f t="shared" si="89"/>
        <v/>
      </c>
      <c r="AM72" s="242" t="str">
        <f t="shared" si="90"/>
        <v/>
      </c>
      <c r="AN72" s="199" t="str">
        <f t="shared" si="91"/>
        <v/>
      </c>
      <c r="AO72" s="199" t="str">
        <f t="shared" si="92"/>
        <v/>
      </c>
      <c r="AP72" s="199" t="str">
        <f t="shared" si="93"/>
        <v/>
      </c>
      <c r="AQ72" s="199" t="str">
        <f t="shared" si="94"/>
        <v/>
      </c>
      <c r="AR72" s="199" t="str">
        <f t="shared" si="95"/>
        <v/>
      </c>
      <c r="AS72" s="199" t="str">
        <f t="shared" si="96"/>
        <v/>
      </c>
      <c r="AT72" s="199" t="str">
        <f t="shared" si="97"/>
        <v/>
      </c>
      <c r="AU72" s="199" t="str">
        <f t="shared" si="98"/>
        <v/>
      </c>
      <c r="AV72" s="199" t="str">
        <f t="shared" si="99"/>
        <v/>
      </c>
      <c r="AW72" s="199" t="str">
        <f t="shared" si="100"/>
        <v/>
      </c>
      <c r="AX72" s="199" t="str">
        <f t="shared" si="101"/>
        <v/>
      </c>
      <c r="AY72" s="199" t="str">
        <f t="shared" si="102"/>
        <v/>
      </c>
    </row>
    <row r="73" spans="1:51" x14ac:dyDescent="0.3">
      <c r="A73" s="191">
        <v>71</v>
      </c>
      <c r="B73" s="226" t="s">
        <v>157</v>
      </c>
      <c r="C73" s="120" t="s">
        <v>158</v>
      </c>
      <c r="D73" s="138">
        <v>2013</v>
      </c>
      <c r="E73" s="124">
        <v>41471</v>
      </c>
      <c r="F73" s="198">
        <f t="shared" si="72"/>
        <v>7</v>
      </c>
      <c r="G73" s="198" t="str">
        <f t="shared" si="73"/>
        <v>72013</v>
      </c>
      <c r="H73" s="198" t="str">
        <f t="shared" si="74"/>
        <v>julio</v>
      </c>
      <c r="I73" s="114">
        <f>VLOOKUP(B73,'Base de Datos'!$E$7:$W$271,14,0)</f>
        <v>0</v>
      </c>
      <c r="J73" s="200">
        <f t="shared" si="75"/>
        <v>1900</v>
      </c>
      <c r="K73" s="199">
        <f t="shared" si="76"/>
        <v>1</v>
      </c>
      <c r="L73" s="199" t="str">
        <f t="shared" si="77"/>
        <v>11900</v>
      </c>
      <c r="M73" s="199" t="str">
        <f t="shared" si="78"/>
        <v>enero</v>
      </c>
      <c r="N73" s="199">
        <f t="shared" ca="1" si="79"/>
        <v>44228</v>
      </c>
      <c r="O73" s="242" t="str">
        <f t="shared" ca="1" si="80"/>
        <v>SI</v>
      </c>
      <c r="P73" s="242" t="str">
        <f t="shared" si="103"/>
        <v/>
      </c>
      <c r="Q73" s="242" t="str">
        <f t="shared" si="81"/>
        <v/>
      </c>
      <c r="R73" s="242" t="str">
        <f t="shared" si="82"/>
        <v/>
      </c>
      <c r="S73" s="242" t="str">
        <f t="shared" si="83"/>
        <v/>
      </c>
      <c r="T73" s="242" t="str">
        <f t="shared" si="84"/>
        <v/>
      </c>
      <c r="U73" s="242" t="str">
        <f t="shared" si="85"/>
        <v/>
      </c>
      <c r="V73" s="242" t="str">
        <f t="shared" si="105"/>
        <v/>
      </c>
      <c r="W73" s="242" t="str">
        <f t="shared" si="86"/>
        <v/>
      </c>
      <c r="X73" s="242" t="str">
        <f t="shared" si="87"/>
        <v/>
      </c>
      <c r="Y73" s="242" t="str">
        <f t="shared" si="104"/>
        <v/>
      </c>
      <c r="Z73" s="242" t="str">
        <f t="shared" si="88"/>
        <v/>
      </c>
      <c r="AA73" s="242" t="str">
        <f t="shared" si="47"/>
        <v/>
      </c>
      <c r="AB73" s="242" t="str">
        <f t="shared" si="45"/>
        <v/>
      </c>
      <c r="AC73" s="242" t="str">
        <f t="shared" si="46"/>
        <v/>
      </c>
      <c r="AD73" s="242" t="str">
        <f t="shared" si="48"/>
        <v/>
      </c>
      <c r="AE73" s="242" t="str">
        <f t="shared" si="49"/>
        <v/>
      </c>
      <c r="AF73" s="242" t="str">
        <f t="shared" si="68"/>
        <v/>
      </c>
      <c r="AG73" s="242" t="str">
        <f t="shared" si="69"/>
        <v/>
      </c>
      <c r="AH73" s="242" t="str">
        <f t="shared" si="70"/>
        <v/>
      </c>
      <c r="AI73" s="242" t="str">
        <f t="shared" si="71"/>
        <v/>
      </c>
      <c r="AJ73" s="242" t="str">
        <f t="shared" si="106"/>
        <v/>
      </c>
      <c r="AK73" s="242">
        <v>1</v>
      </c>
      <c r="AL73" s="242" t="str">
        <f t="shared" si="89"/>
        <v/>
      </c>
      <c r="AM73" s="242" t="str">
        <f t="shared" si="90"/>
        <v/>
      </c>
      <c r="AN73" s="199" t="str">
        <f t="shared" si="91"/>
        <v/>
      </c>
      <c r="AO73" s="199" t="str">
        <f t="shared" si="92"/>
        <v/>
      </c>
      <c r="AP73" s="199" t="str">
        <f t="shared" si="93"/>
        <v/>
      </c>
      <c r="AQ73" s="199" t="str">
        <f t="shared" si="94"/>
        <v/>
      </c>
      <c r="AR73" s="199" t="str">
        <f t="shared" si="95"/>
        <v/>
      </c>
      <c r="AS73" s="199" t="str">
        <f t="shared" si="96"/>
        <v/>
      </c>
      <c r="AT73" s="199" t="str">
        <f t="shared" si="97"/>
        <v/>
      </c>
      <c r="AU73" s="199" t="str">
        <f t="shared" si="98"/>
        <v/>
      </c>
      <c r="AV73" s="199" t="str">
        <f t="shared" si="99"/>
        <v/>
      </c>
      <c r="AW73" s="199" t="str">
        <f t="shared" si="100"/>
        <v/>
      </c>
      <c r="AX73" s="199" t="str">
        <f t="shared" si="101"/>
        <v/>
      </c>
      <c r="AY73" s="199" t="str">
        <f t="shared" si="102"/>
        <v/>
      </c>
    </row>
    <row r="74" spans="1:51" ht="30.6" x14ac:dyDescent="0.3">
      <c r="A74" s="191">
        <v>72</v>
      </c>
      <c r="B74" s="224" t="s">
        <v>54</v>
      </c>
      <c r="C74" s="120" t="s">
        <v>55</v>
      </c>
      <c r="D74" s="135">
        <v>2012</v>
      </c>
      <c r="E74" s="124">
        <v>41274</v>
      </c>
      <c r="F74" s="198">
        <f t="shared" si="72"/>
        <v>12</v>
      </c>
      <c r="G74" s="198" t="str">
        <f t="shared" si="73"/>
        <v>122012</v>
      </c>
      <c r="H74" s="198" t="str">
        <f t="shared" si="74"/>
        <v>diciembre</v>
      </c>
      <c r="I74" s="114">
        <f>VLOOKUP(B74,'Base de Datos'!$E$7:$W$271,14,0)</f>
        <v>1</v>
      </c>
      <c r="J74" s="200">
        <f t="shared" si="75"/>
        <v>1900</v>
      </c>
      <c r="K74" s="199">
        <f t="shared" si="76"/>
        <v>1</v>
      </c>
      <c r="L74" s="199" t="str">
        <f t="shared" si="77"/>
        <v>11900</v>
      </c>
      <c r="M74" s="199" t="str">
        <f t="shared" si="78"/>
        <v>enero</v>
      </c>
      <c r="N74" s="199">
        <f t="shared" ca="1" si="79"/>
        <v>44227</v>
      </c>
      <c r="O74" s="242" t="str">
        <f t="shared" ca="1" si="80"/>
        <v>SI</v>
      </c>
      <c r="P74" s="242" t="str">
        <f t="shared" si="103"/>
        <v/>
      </c>
      <c r="Q74" s="242" t="str">
        <f t="shared" si="81"/>
        <v/>
      </c>
      <c r="R74" s="242" t="str">
        <f t="shared" si="82"/>
        <v/>
      </c>
      <c r="S74" s="242" t="str">
        <f t="shared" si="83"/>
        <v/>
      </c>
      <c r="T74" s="242" t="str">
        <f t="shared" si="84"/>
        <v/>
      </c>
      <c r="U74" s="242" t="str">
        <f t="shared" si="85"/>
        <v/>
      </c>
      <c r="V74" s="242" t="str">
        <f t="shared" si="105"/>
        <v/>
      </c>
      <c r="W74" s="242" t="str">
        <f t="shared" si="86"/>
        <v/>
      </c>
      <c r="X74" s="242" t="str">
        <f t="shared" si="87"/>
        <v/>
      </c>
      <c r="Y74" s="242" t="str">
        <f t="shared" si="104"/>
        <v/>
      </c>
      <c r="Z74" s="242" t="str">
        <f t="shared" si="88"/>
        <v/>
      </c>
      <c r="AA74" s="242" t="str">
        <f t="shared" si="47"/>
        <v/>
      </c>
      <c r="AB74" s="242" t="str">
        <f t="shared" ref="AB74:AB137" si="107">IF(AND(E74&lt;$AB$2,I74&gt;$AB$2),"1","")</f>
        <v/>
      </c>
      <c r="AC74" s="242" t="str">
        <f t="shared" si="46"/>
        <v/>
      </c>
      <c r="AD74" s="242" t="str">
        <f t="shared" si="48"/>
        <v/>
      </c>
      <c r="AE74" s="242" t="str">
        <f t="shared" si="49"/>
        <v/>
      </c>
      <c r="AF74" s="242" t="str">
        <f t="shared" si="68"/>
        <v/>
      </c>
      <c r="AG74" s="242" t="str">
        <f t="shared" si="69"/>
        <v/>
      </c>
      <c r="AH74" s="242" t="str">
        <f t="shared" si="70"/>
        <v/>
      </c>
      <c r="AI74" s="242" t="str">
        <f t="shared" si="71"/>
        <v/>
      </c>
      <c r="AJ74" s="242" t="str">
        <f t="shared" si="106"/>
        <v/>
      </c>
      <c r="AK74" s="242">
        <v>1</v>
      </c>
      <c r="AL74" s="242" t="str">
        <f t="shared" si="89"/>
        <v/>
      </c>
      <c r="AM74" s="242" t="str">
        <f t="shared" si="90"/>
        <v/>
      </c>
      <c r="AN74" s="199" t="str">
        <f t="shared" si="91"/>
        <v/>
      </c>
      <c r="AO74" s="199" t="str">
        <f t="shared" si="92"/>
        <v/>
      </c>
      <c r="AP74" s="199" t="str">
        <f t="shared" si="93"/>
        <v/>
      </c>
      <c r="AQ74" s="199" t="str">
        <f t="shared" si="94"/>
        <v/>
      </c>
      <c r="AR74" s="199" t="str">
        <f t="shared" si="95"/>
        <v/>
      </c>
      <c r="AS74" s="199" t="str">
        <f t="shared" si="96"/>
        <v/>
      </c>
      <c r="AT74" s="199" t="str">
        <f t="shared" si="97"/>
        <v/>
      </c>
      <c r="AU74" s="199" t="str">
        <f t="shared" si="98"/>
        <v/>
      </c>
      <c r="AV74" s="199" t="str">
        <f t="shared" si="99"/>
        <v/>
      </c>
      <c r="AW74" s="199" t="str">
        <f t="shared" si="100"/>
        <v/>
      </c>
      <c r="AX74" s="199" t="str">
        <f t="shared" si="101"/>
        <v/>
      </c>
      <c r="AY74" s="199" t="str">
        <f t="shared" si="102"/>
        <v/>
      </c>
    </row>
    <row r="75" spans="1:51" x14ac:dyDescent="0.3">
      <c r="A75" s="191">
        <v>73</v>
      </c>
      <c r="B75" s="225" t="s">
        <v>202</v>
      </c>
      <c r="C75" s="120" t="s">
        <v>203</v>
      </c>
      <c r="D75" s="127">
        <v>2013</v>
      </c>
      <c r="E75" s="124">
        <v>41548</v>
      </c>
      <c r="F75" s="198">
        <f t="shared" si="72"/>
        <v>10</v>
      </c>
      <c r="G75" s="198" t="str">
        <f t="shared" si="73"/>
        <v>102013</v>
      </c>
      <c r="H75" s="198" t="str">
        <f t="shared" si="74"/>
        <v>octubre</v>
      </c>
      <c r="I75" s="114">
        <f>VLOOKUP(B75,'Base de Datos'!$E$7:$W$271,14,0)</f>
        <v>0</v>
      </c>
      <c r="J75" s="200">
        <f t="shared" si="75"/>
        <v>1900</v>
      </c>
      <c r="K75" s="199">
        <f t="shared" si="76"/>
        <v>1</v>
      </c>
      <c r="L75" s="199" t="str">
        <f t="shared" si="77"/>
        <v>11900</v>
      </c>
      <c r="M75" s="199" t="str">
        <f t="shared" si="78"/>
        <v>enero</v>
      </c>
      <c r="N75" s="199">
        <f t="shared" ca="1" si="79"/>
        <v>44228</v>
      </c>
      <c r="O75" s="242" t="str">
        <f t="shared" ca="1" si="80"/>
        <v>SI</v>
      </c>
      <c r="P75" s="242" t="str">
        <f t="shared" si="103"/>
        <v/>
      </c>
      <c r="Q75" s="242" t="str">
        <f t="shared" si="81"/>
        <v/>
      </c>
      <c r="R75" s="242" t="str">
        <f t="shared" si="82"/>
        <v/>
      </c>
      <c r="S75" s="242" t="str">
        <f t="shared" si="83"/>
        <v/>
      </c>
      <c r="T75" s="242" t="str">
        <f t="shared" si="84"/>
        <v/>
      </c>
      <c r="U75" s="242" t="str">
        <f t="shared" si="85"/>
        <v/>
      </c>
      <c r="V75" s="242" t="str">
        <f t="shared" si="105"/>
        <v/>
      </c>
      <c r="W75" s="242" t="str">
        <f t="shared" si="86"/>
        <v/>
      </c>
      <c r="X75" s="242" t="str">
        <f t="shared" si="87"/>
        <v/>
      </c>
      <c r="Y75" s="242" t="str">
        <f t="shared" si="104"/>
        <v/>
      </c>
      <c r="Z75" s="242" t="str">
        <f t="shared" si="88"/>
        <v/>
      </c>
      <c r="AA75" s="242" t="str">
        <f t="shared" si="47"/>
        <v/>
      </c>
      <c r="AB75" s="242" t="str">
        <f t="shared" si="107"/>
        <v/>
      </c>
      <c r="AC75" s="242" t="str">
        <f t="shared" si="46"/>
        <v/>
      </c>
      <c r="AD75" s="242" t="str">
        <f t="shared" si="48"/>
        <v/>
      </c>
      <c r="AE75" s="242" t="str">
        <f t="shared" si="49"/>
        <v/>
      </c>
      <c r="AF75" s="242" t="str">
        <f t="shared" si="68"/>
        <v/>
      </c>
      <c r="AG75" s="242" t="str">
        <f t="shared" si="69"/>
        <v/>
      </c>
      <c r="AH75" s="242" t="str">
        <f t="shared" si="70"/>
        <v/>
      </c>
      <c r="AI75" s="242" t="str">
        <f t="shared" si="71"/>
        <v/>
      </c>
      <c r="AJ75" s="242" t="str">
        <f t="shared" si="106"/>
        <v/>
      </c>
      <c r="AK75" s="242">
        <v>1</v>
      </c>
      <c r="AL75" s="242" t="str">
        <f t="shared" si="89"/>
        <v/>
      </c>
      <c r="AM75" s="242" t="str">
        <f t="shared" si="90"/>
        <v/>
      </c>
      <c r="AN75" s="199" t="str">
        <f t="shared" si="91"/>
        <v/>
      </c>
      <c r="AO75" s="199" t="str">
        <f t="shared" si="92"/>
        <v/>
      </c>
      <c r="AP75" s="199" t="str">
        <f t="shared" si="93"/>
        <v/>
      </c>
      <c r="AQ75" s="199" t="str">
        <f t="shared" si="94"/>
        <v/>
      </c>
      <c r="AR75" s="199" t="str">
        <f t="shared" si="95"/>
        <v/>
      </c>
      <c r="AS75" s="199" t="str">
        <f t="shared" si="96"/>
        <v/>
      </c>
      <c r="AT75" s="199" t="str">
        <f t="shared" si="97"/>
        <v/>
      </c>
      <c r="AU75" s="199" t="str">
        <f t="shared" si="98"/>
        <v/>
      </c>
      <c r="AV75" s="199" t="str">
        <f t="shared" si="99"/>
        <v/>
      </c>
      <c r="AW75" s="199" t="str">
        <f t="shared" si="100"/>
        <v/>
      </c>
      <c r="AX75" s="199" t="str">
        <f t="shared" si="101"/>
        <v/>
      </c>
      <c r="AY75" s="199" t="str">
        <f t="shared" si="102"/>
        <v/>
      </c>
    </row>
    <row r="76" spans="1:51" ht="30.6" x14ac:dyDescent="0.3">
      <c r="A76" s="191">
        <v>74</v>
      </c>
      <c r="B76" s="228" t="s">
        <v>51</v>
      </c>
      <c r="C76" s="120" t="s">
        <v>1022</v>
      </c>
      <c r="D76" s="135">
        <v>2012</v>
      </c>
      <c r="E76" s="131">
        <v>41214</v>
      </c>
      <c r="F76" s="198">
        <f t="shared" si="72"/>
        <v>11</v>
      </c>
      <c r="G76" s="198" t="str">
        <f t="shared" si="73"/>
        <v>112012</v>
      </c>
      <c r="H76" s="198" t="str">
        <f t="shared" si="74"/>
        <v>noviembre</v>
      </c>
      <c r="I76" s="114">
        <f>VLOOKUP(B76,'Base de Datos'!$E$7:$W$271,14,0)</f>
        <v>1</v>
      </c>
      <c r="J76" s="200">
        <f t="shared" si="75"/>
        <v>1900</v>
      </c>
      <c r="K76" s="199">
        <f t="shared" si="76"/>
        <v>1</v>
      </c>
      <c r="L76" s="199" t="str">
        <f t="shared" si="77"/>
        <v>11900</v>
      </c>
      <c r="M76" s="199" t="str">
        <f t="shared" si="78"/>
        <v>enero</v>
      </c>
      <c r="N76" s="199">
        <f t="shared" ca="1" si="79"/>
        <v>44227</v>
      </c>
      <c r="O76" s="242" t="str">
        <f t="shared" ca="1" si="80"/>
        <v>SI</v>
      </c>
      <c r="P76" s="242" t="str">
        <f t="shared" si="103"/>
        <v/>
      </c>
      <c r="Q76" s="242" t="str">
        <f t="shared" si="81"/>
        <v/>
      </c>
      <c r="R76" s="242" t="str">
        <f t="shared" si="82"/>
        <v/>
      </c>
      <c r="S76" s="242" t="str">
        <f t="shared" si="83"/>
        <v/>
      </c>
      <c r="T76" s="242" t="str">
        <f t="shared" si="84"/>
        <v/>
      </c>
      <c r="U76" s="242" t="str">
        <f t="shared" si="85"/>
        <v/>
      </c>
      <c r="V76" s="242" t="str">
        <f t="shared" si="105"/>
        <v/>
      </c>
      <c r="W76" s="242" t="str">
        <f t="shared" si="86"/>
        <v/>
      </c>
      <c r="X76" s="242" t="str">
        <f t="shared" si="87"/>
        <v/>
      </c>
      <c r="Y76" s="242" t="str">
        <f t="shared" si="104"/>
        <v/>
      </c>
      <c r="Z76" s="242" t="str">
        <f t="shared" si="88"/>
        <v/>
      </c>
      <c r="AA76" s="242" t="str">
        <f t="shared" si="47"/>
        <v/>
      </c>
      <c r="AB76" s="242" t="str">
        <f t="shared" si="107"/>
        <v/>
      </c>
      <c r="AC76" s="242" t="str">
        <f t="shared" si="46"/>
        <v/>
      </c>
      <c r="AD76" s="242" t="str">
        <f t="shared" si="48"/>
        <v/>
      </c>
      <c r="AE76" s="242" t="str">
        <f t="shared" si="49"/>
        <v/>
      </c>
      <c r="AF76" s="242" t="str">
        <f t="shared" si="68"/>
        <v/>
      </c>
      <c r="AG76" s="242" t="str">
        <f t="shared" si="69"/>
        <v/>
      </c>
      <c r="AH76" s="242" t="str">
        <f t="shared" si="70"/>
        <v/>
      </c>
      <c r="AI76" s="242" t="str">
        <f t="shared" si="71"/>
        <v/>
      </c>
      <c r="AJ76" s="242" t="str">
        <f t="shared" si="106"/>
        <v/>
      </c>
      <c r="AK76" s="242" t="str">
        <f>IF(AND(E76&lt;$AK$2,I76&gt;$AK$2),"1","")</f>
        <v/>
      </c>
      <c r="AL76" s="242">
        <v>1</v>
      </c>
      <c r="AM76" s="242" t="str">
        <f t="shared" si="90"/>
        <v/>
      </c>
      <c r="AN76" s="199" t="str">
        <f t="shared" si="91"/>
        <v/>
      </c>
      <c r="AO76" s="199" t="str">
        <f t="shared" si="92"/>
        <v/>
      </c>
      <c r="AP76" s="199" t="str">
        <f t="shared" si="93"/>
        <v/>
      </c>
      <c r="AQ76" s="199" t="str">
        <f t="shared" si="94"/>
        <v/>
      </c>
      <c r="AR76" s="199" t="str">
        <f t="shared" si="95"/>
        <v/>
      </c>
      <c r="AS76" s="199" t="str">
        <f t="shared" si="96"/>
        <v/>
      </c>
      <c r="AT76" s="199" t="str">
        <f t="shared" si="97"/>
        <v/>
      </c>
      <c r="AU76" s="199" t="str">
        <f t="shared" si="98"/>
        <v/>
      </c>
      <c r="AV76" s="199" t="str">
        <f t="shared" si="99"/>
        <v/>
      </c>
      <c r="AW76" s="199" t="str">
        <f t="shared" si="100"/>
        <v/>
      </c>
      <c r="AX76" s="199" t="str">
        <f t="shared" si="101"/>
        <v/>
      </c>
      <c r="AY76" s="199" t="str">
        <f t="shared" si="102"/>
        <v/>
      </c>
    </row>
    <row r="77" spans="1:51" x14ac:dyDescent="0.3">
      <c r="A77" s="191">
        <v>75</v>
      </c>
      <c r="B77" s="225" t="s">
        <v>200</v>
      </c>
      <c r="C77" s="120" t="s">
        <v>201</v>
      </c>
      <c r="D77" s="127">
        <v>2013</v>
      </c>
      <c r="E77" s="124">
        <v>41562</v>
      </c>
      <c r="F77" s="198">
        <f t="shared" si="72"/>
        <v>10</v>
      </c>
      <c r="G77" s="198" t="str">
        <f t="shared" si="73"/>
        <v>102013</v>
      </c>
      <c r="H77" s="198" t="str">
        <f t="shared" si="74"/>
        <v>octubre</v>
      </c>
      <c r="I77" s="114">
        <f>VLOOKUP(B77,'Base de Datos'!$E$7:$W$271,14,0)</f>
        <v>0</v>
      </c>
      <c r="J77" s="200">
        <f t="shared" si="75"/>
        <v>1900</v>
      </c>
      <c r="K77" s="199">
        <f t="shared" si="76"/>
        <v>1</v>
      </c>
      <c r="L77" s="199" t="str">
        <f t="shared" si="77"/>
        <v>11900</v>
      </c>
      <c r="M77" s="199" t="str">
        <f t="shared" si="78"/>
        <v>enero</v>
      </c>
      <c r="N77" s="199">
        <f t="shared" ca="1" si="79"/>
        <v>44228</v>
      </c>
      <c r="O77" s="242" t="str">
        <f t="shared" ca="1" si="80"/>
        <v>SI</v>
      </c>
      <c r="P77" s="242" t="str">
        <f t="shared" si="103"/>
        <v/>
      </c>
      <c r="Q77" s="242" t="str">
        <f t="shared" si="81"/>
        <v/>
      </c>
      <c r="R77" s="242" t="str">
        <f t="shared" si="82"/>
        <v/>
      </c>
      <c r="S77" s="242" t="str">
        <f t="shared" si="83"/>
        <v/>
      </c>
      <c r="T77" s="242" t="str">
        <f t="shared" si="84"/>
        <v/>
      </c>
      <c r="U77" s="242" t="str">
        <f t="shared" si="85"/>
        <v/>
      </c>
      <c r="V77" s="242" t="str">
        <f t="shared" si="105"/>
        <v/>
      </c>
      <c r="W77" s="242" t="str">
        <f t="shared" si="86"/>
        <v/>
      </c>
      <c r="X77" s="242" t="str">
        <f t="shared" si="87"/>
        <v/>
      </c>
      <c r="Y77" s="242" t="str">
        <f t="shared" si="104"/>
        <v/>
      </c>
      <c r="Z77" s="242" t="str">
        <f t="shared" si="88"/>
        <v/>
      </c>
      <c r="AA77" s="242" t="str">
        <f t="shared" si="47"/>
        <v/>
      </c>
      <c r="AB77" s="242" t="str">
        <f t="shared" si="107"/>
        <v/>
      </c>
      <c r="AC77" s="242" t="str">
        <f t="shared" si="46"/>
        <v/>
      </c>
      <c r="AD77" s="242" t="str">
        <f t="shared" si="48"/>
        <v/>
      </c>
      <c r="AE77" s="242" t="str">
        <f t="shared" si="49"/>
        <v/>
      </c>
      <c r="AF77" s="242" t="str">
        <f t="shared" si="68"/>
        <v/>
      </c>
      <c r="AG77" s="242" t="str">
        <f t="shared" si="69"/>
        <v/>
      </c>
      <c r="AH77" s="242" t="str">
        <f t="shared" si="70"/>
        <v/>
      </c>
      <c r="AI77" s="242" t="str">
        <f t="shared" si="71"/>
        <v/>
      </c>
      <c r="AJ77" s="242" t="str">
        <f t="shared" si="106"/>
        <v/>
      </c>
      <c r="AK77" s="242" t="str">
        <f>IF(AND(E77&lt;$AK$2,I77&gt;$AK$2),"1","")</f>
        <v/>
      </c>
      <c r="AL77" s="242">
        <v>1</v>
      </c>
      <c r="AM77" s="242" t="str">
        <f t="shared" si="90"/>
        <v/>
      </c>
      <c r="AN77" s="199" t="str">
        <f t="shared" si="91"/>
        <v/>
      </c>
      <c r="AO77" s="199" t="str">
        <f t="shared" si="92"/>
        <v/>
      </c>
      <c r="AP77" s="199" t="str">
        <f t="shared" si="93"/>
        <v/>
      </c>
      <c r="AQ77" s="199" t="str">
        <f t="shared" si="94"/>
        <v/>
      </c>
      <c r="AR77" s="199" t="str">
        <f t="shared" si="95"/>
        <v/>
      </c>
      <c r="AS77" s="199" t="str">
        <f t="shared" si="96"/>
        <v/>
      </c>
      <c r="AT77" s="199" t="str">
        <f t="shared" si="97"/>
        <v/>
      </c>
      <c r="AU77" s="199" t="str">
        <f t="shared" si="98"/>
        <v/>
      </c>
      <c r="AV77" s="199" t="str">
        <f t="shared" si="99"/>
        <v/>
      </c>
      <c r="AW77" s="199" t="str">
        <f t="shared" si="100"/>
        <v/>
      </c>
      <c r="AX77" s="199" t="str">
        <f t="shared" si="101"/>
        <v/>
      </c>
      <c r="AY77" s="199" t="str">
        <f t="shared" si="102"/>
        <v/>
      </c>
    </row>
    <row r="78" spans="1:51" ht="20.399999999999999" x14ac:dyDescent="0.3">
      <c r="A78" s="191">
        <v>76</v>
      </c>
      <c r="B78" s="228" t="s">
        <v>74</v>
      </c>
      <c r="C78" s="129" t="s">
        <v>75</v>
      </c>
      <c r="D78" s="135">
        <v>2012</v>
      </c>
      <c r="E78" s="131">
        <v>41269</v>
      </c>
      <c r="F78" s="198">
        <f t="shared" si="72"/>
        <v>12</v>
      </c>
      <c r="G78" s="198" t="str">
        <f t="shared" si="73"/>
        <v>122012</v>
      </c>
      <c r="H78" s="198" t="str">
        <f t="shared" si="74"/>
        <v>diciembre</v>
      </c>
      <c r="I78" s="114">
        <f>VLOOKUP(B78,'Base de Datos'!$E$7:$W$271,14,0)</f>
        <v>4</v>
      </c>
      <c r="J78" s="200">
        <f t="shared" si="75"/>
        <v>1900</v>
      </c>
      <c r="K78" s="199">
        <f t="shared" si="76"/>
        <v>1</v>
      </c>
      <c r="L78" s="199" t="str">
        <f t="shared" si="77"/>
        <v>11900</v>
      </c>
      <c r="M78" s="199" t="str">
        <f t="shared" si="78"/>
        <v>enero</v>
      </c>
      <c r="N78" s="199">
        <f t="shared" ca="1" si="79"/>
        <v>44224</v>
      </c>
      <c r="O78" s="242" t="str">
        <f t="shared" ca="1" si="80"/>
        <v>SI</v>
      </c>
      <c r="P78" s="242" t="str">
        <f t="shared" si="103"/>
        <v/>
      </c>
      <c r="Q78" s="242" t="str">
        <f t="shared" si="81"/>
        <v/>
      </c>
      <c r="R78" s="242" t="str">
        <f t="shared" si="82"/>
        <v/>
      </c>
      <c r="S78" s="242" t="str">
        <f t="shared" si="83"/>
        <v/>
      </c>
      <c r="T78" s="242" t="str">
        <f t="shared" si="84"/>
        <v/>
      </c>
      <c r="U78" s="242" t="str">
        <f t="shared" si="85"/>
        <v/>
      </c>
      <c r="V78" s="242" t="str">
        <f t="shared" si="105"/>
        <v/>
      </c>
      <c r="W78" s="242" t="str">
        <f t="shared" si="86"/>
        <v/>
      </c>
      <c r="X78" s="242" t="str">
        <f t="shared" si="87"/>
        <v/>
      </c>
      <c r="Y78" s="242" t="str">
        <f t="shared" si="104"/>
        <v/>
      </c>
      <c r="Z78" s="242" t="str">
        <f t="shared" si="88"/>
        <v/>
      </c>
      <c r="AA78" s="242" t="str">
        <f t="shared" si="47"/>
        <v/>
      </c>
      <c r="AB78" s="242" t="str">
        <f t="shared" si="107"/>
        <v/>
      </c>
      <c r="AC78" s="242" t="str">
        <f t="shared" si="46"/>
        <v/>
      </c>
      <c r="AD78" s="242" t="str">
        <f t="shared" si="48"/>
        <v/>
      </c>
      <c r="AE78" s="242" t="str">
        <f t="shared" si="49"/>
        <v/>
      </c>
      <c r="AF78" s="242" t="str">
        <f t="shared" si="68"/>
        <v/>
      </c>
      <c r="AG78" s="242" t="str">
        <f t="shared" si="69"/>
        <v/>
      </c>
      <c r="AH78" s="242" t="str">
        <f t="shared" si="70"/>
        <v/>
      </c>
      <c r="AI78" s="242" t="str">
        <f t="shared" si="71"/>
        <v/>
      </c>
      <c r="AJ78" s="242" t="str">
        <f t="shared" si="106"/>
        <v/>
      </c>
      <c r="AK78" s="242">
        <v>1</v>
      </c>
      <c r="AL78" s="242">
        <v>1</v>
      </c>
      <c r="AM78" s="242" t="str">
        <f t="shared" si="90"/>
        <v/>
      </c>
      <c r="AN78" s="199" t="str">
        <f t="shared" si="91"/>
        <v/>
      </c>
      <c r="AO78" s="199" t="str">
        <f t="shared" si="92"/>
        <v/>
      </c>
      <c r="AP78" s="199" t="str">
        <f t="shared" si="93"/>
        <v/>
      </c>
      <c r="AQ78" s="199" t="str">
        <f t="shared" si="94"/>
        <v/>
      </c>
      <c r="AR78" s="199" t="str">
        <f t="shared" si="95"/>
        <v/>
      </c>
      <c r="AS78" s="199" t="str">
        <f t="shared" si="96"/>
        <v/>
      </c>
      <c r="AT78" s="199" t="str">
        <f t="shared" si="97"/>
        <v/>
      </c>
      <c r="AU78" s="199" t="str">
        <f t="shared" si="98"/>
        <v/>
      </c>
      <c r="AV78" s="199" t="str">
        <f t="shared" si="99"/>
        <v/>
      </c>
      <c r="AW78" s="199" t="str">
        <f t="shared" si="100"/>
        <v/>
      </c>
      <c r="AX78" s="199" t="str">
        <f t="shared" si="101"/>
        <v/>
      </c>
      <c r="AY78" s="199" t="str">
        <f t="shared" si="102"/>
        <v/>
      </c>
    </row>
    <row r="79" spans="1:51" ht="20.399999999999999" x14ac:dyDescent="0.3">
      <c r="A79" s="191">
        <v>77</v>
      </c>
      <c r="B79" s="224" t="s">
        <v>4</v>
      </c>
      <c r="C79" s="120" t="s">
        <v>1027</v>
      </c>
      <c r="D79" s="122">
        <v>2012</v>
      </c>
      <c r="E79" s="123">
        <v>41292</v>
      </c>
      <c r="F79" s="198">
        <f t="shared" si="72"/>
        <v>1</v>
      </c>
      <c r="G79" s="198" t="str">
        <f t="shared" si="73"/>
        <v>12012</v>
      </c>
      <c r="H79" s="198" t="str">
        <f t="shared" si="74"/>
        <v>enero</v>
      </c>
      <c r="I79" s="114">
        <f>VLOOKUP(B79,'Base de Datos'!$E$7:$W$271,14,0)</f>
        <v>2</v>
      </c>
      <c r="J79" s="200">
        <f t="shared" si="75"/>
        <v>1900</v>
      </c>
      <c r="K79" s="199">
        <f t="shared" si="76"/>
        <v>1</v>
      </c>
      <c r="L79" s="199" t="str">
        <f t="shared" si="77"/>
        <v>11900</v>
      </c>
      <c r="M79" s="199" t="str">
        <f t="shared" si="78"/>
        <v>enero</v>
      </c>
      <c r="N79" s="199">
        <f t="shared" ca="1" si="79"/>
        <v>44226</v>
      </c>
      <c r="O79" s="242" t="str">
        <f t="shared" ca="1" si="80"/>
        <v>SI</v>
      </c>
      <c r="P79" s="242" t="str">
        <f t="shared" si="103"/>
        <v/>
      </c>
      <c r="Q79" s="242" t="str">
        <f t="shared" si="81"/>
        <v/>
      </c>
      <c r="R79" s="242" t="str">
        <f t="shared" si="82"/>
        <v/>
      </c>
      <c r="S79" s="242" t="str">
        <f t="shared" si="83"/>
        <v/>
      </c>
      <c r="T79" s="242" t="str">
        <f t="shared" si="84"/>
        <v/>
      </c>
      <c r="U79" s="242" t="str">
        <f t="shared" si="85"/>
        <v/>
      </c>
      <c r="V79" s="242" t="str">
        <f t="shared" si="105"/>
        <v/>
      </c>
      <c r="W79" s="242" t="str">
        <f t="shared" si="86"/>
        <v/>
      </c>
      <c r="X79" s="242" t="str">
        <f t="shared" si="87"/>
        <v/>
      </c>
      <c r="Y79" s="242" t="str">
        <f t="shared" si="104"/>
        <v/>
      </c>
      <c r="Z79" s="242" t="str">
        <f t="shared" si="88"/>
        <v/>
      </c>
      <c r="AA79" s="242" t="str">
        <f t="shared" si="47"/>
        <v/>
      </c>
      <c r="AB79" s="242" t="str">
        <f t="shared" si="107"/>
        <v/>
      </c>
      <c r="AC79" s="242" t="str">
        <f t="shared" si="46"/>
        <v/>
      </c>
      <c r="AD79" s="242" t="str">
        <f t="shared" si="48"/>
        <v/>
      </c>
      <c r="AE79" s="242" t="str">
        <f t="shared" si="49"/>
        <v/>
      </c>
      <c r="AF79" s="242" t="str">
        <f t="shared" si="68"/>
        <v/>
      </c>
      <c r="AG79" s="242" t="str">
        <f t="shared" si="69"/>
        <v/>
      </c>
      <c r="AH79" s="242" t="str">
        <f t="shared" si="70"/>
        <v/>
      </c>
      <c r="AI79" s="242" t="str">
        <f t="shared" si="71"/>
        <v/>
      </c>
      <c r="AJ79" s="242" t="str">
        <f t="shared" si="106"/>
        <v/>
      </c>
      <c r="AK79" s="242" t="str">
        <f t="shared" ref="AK79:AK110" si="108">IF(AND(E79&lt;$AK$2,I79&gt;$AK$2),"1","")</f>
        <v/>
      </c>
      <c r="AL79" s="242">
        <v>1</v>
      </c>
      <c r="AM79" s="242" t="str">
        <f t="shared" si="90"/>
        <v/>
      </c>
      <c r="AN79" s="199" t="str">
        <f t="shared" si="91"/>
        <v/>
      </c>
      <c r="AO79" s="199" t="str">
        <f t="shared" si="92"/>
        <v/>
      </c>
      <c r="AP79" s="199" t="str">
        <f t="shared" si="93"/>
        <v/>
      </c>
      <c r="AQ79" s="199" t="str">
        <f t="shared" si="94"/>
        <v/>
      </c>
      <c r="AR79" s="199" t="str">
        <f t="shared" si="95"/>
        <v/>
      </c>
      <c r="AS79" s="199" t="str">
        <f t="shared" si="96"/>
        <v/>
      </c>
      <c r="AT79" s="199" t="str">
        <f t="shared" si="97"/>
        <v/>
      </c>
      <c r="AU79" s="199" t="str">
        <f t="shared" si="98"/>
        <v/>
      </c>
      <c r="AV79" s="199" t="str">
        <f t="shared" si="99"/>
        <v/>
      </c>
      <c r="AW79" s="199" t="str">
        <f t="shared" si="100"/>
        <v/>
      </c>
      <c r="AX79" s="199" t="str">
        <f t="shared" si="101"/>
        <v/>
      </c>
      <c r="AY79" s="199" t="str">
        <f t="shared" si="102"/>
        <v/>
      </c>
    </row>
    <row r="80" spans="1:51" ht="30.6" x14ac:dyDescent="0.3">
      <c r="A80" s="191">
        <v>78</v>
      </c>
      <c r="B80" s="225" t="s">
        <v>179</v>
      </c>
      <c r="C80" s="120" t="s">
        <v>433</v>
      </c>
      <c r="D80" s="135">
        <v>2012</v>
      </c>
      <c r="E80" s="124">
        <v>41206</v>
      </c>
      <c r="F80" s="198">
        <f t="shared" si="72"/>
        <v>10</v>
      </c>
      <c r="G80" s="198" t="str">
        <f t="shared" si="73"/>
        <v>102012</v>
      </c>
      <c r="H80" s="198" t="str">
        <f t="shared" si="74"/>
        <v>octubre</v>
      </c>
      <c r="I80" s="114">
        <f>VLOOKUP(B80,'Base de Datos'!$E$7:$W$271,14,0)</f>
        <v>0</v>
      </c>
      <c r="J80" s="200">
        <f t="shared" si="75"/>
        <v>1900</v>
      </c>
      <c r="K80" s="199">
        <f t="shared" si="76"/>
        <v>1</v>
      </c>
      <c r="L80" s="199" t="str">
        <f t="shared" si="77"/>
        <v>11900</v>
      </c>
      <c r="M80" s="199" t="str">
        <f t="shared" si="78"/>
        <v>enero</v>
      </c>
      <c r="N80" s="199">
        <f t="shared" ca="1" si="79"/>
        <v>44228</v>
      </c>
      <c r="O80" s="242" t="str">
        <f t="shared" ca="1" si="80"/>
        <v>SI</v>
      </c>
      <c r="P80" s="242" t="str">
        <f t="shared" si="103"/>
        <v/>
      </c>
      <c r="Q80" s="242" t="str">
        <f t="shared" si="81"/>
        <v/>
      </c>
      <c r="R80" s="242" t="str">
        <f t="shared" si="82"/>
        <v/>
      </c>
      <c r="S80" s="242" t="str">
        <f t="shared" si="83"/>
        <v/>
      </c>
      <c r="T80" s="242" t="str">
        <f t="shared" si="84"/>
        <v/>
      </c>
      <c r="U80" s="242" t="str">
        <f t="shared" si="85"/>
        <v/>
      </c>
      <c r="V80" s="242" t="str">
        <f t="shared" si="105"/>
        <v/>
      </c>
      <c r="W80" s="242" t="str">
        <f t="shared" si="86"/>
        <v/>
      </c>
      <c r="X80" s="242" t="str">
        <f t="shared" si="87"/>
        <v/>
      </c>
      <c r="Y80" s="242" t="str">
        <f t="shared" si="104"/>
        <v/>
      </c>
      <c r="Z80" s="242" t="str">
        <f t="shared" si="88"/>
        <v/>
      </c>
      <c r="AA80" s="242" t="str">
        <f t="shared" si="47"/>
        <v/>
      </c>
      <c r="AB80" s="242" t="str">
        <f t="shared" si="107"/>
        <v/>
      </c>
      <c r="AC80" s="242" t="str">
        <f t="shared" si="46"/>
        <v/>
      </c>
      <c r="AD80" s="242" t="str">
        <f t="shared" si="48"/>
        <v/>
      </c>
      <c r="AE80" s="242" t="str">
        <f t="shared" si="49"/>
        <v/>
      </c>
      <c r="AF80" s="242" t="str">
        <f t="shared" si="68"/>
        <v/>
      </c>
      <c r="AG80" s="242" t="str">
        <f t="shared" si="69"/>
        <v/>
      </c>
      <c r="AH80" s="242" t="str">
        <f t="shared" si="70"/>
        <v/>
      </c>
      <c r="AI80" s="242" t="str">
        <f t="shared" si="71"/>
        <v/>
      </c>
      <c r="AJ80" s="242" t="str">
        <f t="shared" si="106"/>
        <v/>
      </c>
      <c r="AK80" s="242" t="str">
        <f t="shared" si="108"/>
        <v/>
      </c>
      <c r="AL80" s="242" t="str">
        <f t="shared" ref="AL80:AL111" si="109">IF(AND(E80&lt;$AL$2,I80&gt;$AL$2),"1","")</f>
        <v/>
      </c>
      <c r="AM80" s="242">
        <v>1</v>
      </c>
      <c r="AN80" s="199" t="str">
        <f t="shared" si="91"/>
        <v/>
      </c>
      <c r="AO80" s="199" t="str">
        <f t="shared" si="92"/>
        <v/>
      </c>
      <c r="AP80" s="199" t="str">
        <f t="shared" si="93"/>
        <v/>
      </c>
      <c r="AQ80" s="199" t="str">
        <f t="shared" si="94"/>
        <v/>
      </c>
      <c r="AR80" s="199" t="str">
        <f t="shared" si="95"/>
        <v/>
      </c>
      <c r="AS80" s="199" t="str">
        <f t="shared" si="96"/>
        <v/>
      </c>
      <c r="AT80" s="199" t="str">
        <f t="shared" si="97"/>
        <v/>
      </c>
      <c r="AU80" s="199" t="str">
        <f t="shared" si="98"/>
        <v/>
      </c>
      <c r="AV80" s="199" t="str">
        <f t="shared" si="99"/>
        <v/>
      </c>
      <c r="AW80" s="199" t="str">
        <f t="shared" si="100"/>
        <v/>
      </c>
      <c r="AX80" s="199" t="str">
        <f t="shared" si="101"/>
        <v/>
      </c>
      <c r="AY80" s="199" t="str">
        <f t="shared" si="102"/>
        <v/>
      </c>
    </row>
    <row r="81" spans="1:51" x14ac:dyDescent="0.3">
      <c r="A81" s="191">
        <v>79</v>
      </c>
      <c r="B81" s="225" t="s">
        <v>191</v>
      </c>
      <c r="C81" s="120" t="s">
        <v>192</v>
      </c>
      <c r="D81" s="127">
        <v>2013</v>
      </c>
      <c r="E81" s="124">
        <v>41555</v>
      </c>
      <c r="F81" s="198">
        <f t="shared" si="72"/>
        <v>10</v>
      </c>
      <c r="G81" s="198" t="str">
        <f t="shared" si="73"/>
        <v>102013</v>
      </c>
      <c r="H81" s="198" t="str">
        <f t="shared" si="74"/>
        <v>octubre</v>
      </c>
      <c r="I81" s="114">
        <f>VLOOKUP(B81,'Base de Datos'!$E$7:$W$271,14,0)</f>
        <v>0</v>
      </c>
      <c r="J81" s="200">
        <f t="shared" si="75"/>
        <v>1900</v>
      </c>
      <c r="K81" s="199">
        <f t="shared" si="76"/>
        <v>1</v>
      </c>
      <c r="L81" s="199" t="str">
        <f t="shared" si="77"/>
        <v>11900</v>
      </c>
      <c r="M81" s="199" t="str">
        <f t="shared" si="78"/>
        <v>enero</v>
      </c>
      <c r="N81" s="199">
        <f t="shared" ca="1" si="79"/>
        <v>44228</v>
      </c>
      <c r="O81" s="242" t="str">
        <f t="shared" ca="1" si="80"/>
        <v>SI</v>
      </c>
      <c r="P81" s="242" t="str">
        <f t="shared" si="103"/>
        <v/>
      </c>
      <c r="Q81" s="242" t="str">
        <f t="shared" si="81"/>
        <v/>
      </c>
      <c r="R81" s="242" t="str">
        <f t="shared" si="82"/>
        <v/>
      </c>
      <c r="S81" s="242" t="str">
        <f t="shared" si="83"/>
        <v/>
      </c>
      <c r="T81" s="242" t="str">
        <f t="shared" si="84"/>
        <v/>
      </c>
      <c r="U81" s="242" t="str">
        <f t="shared" si="85"/>
        <v/>
      </c>
      <c r="V81" s="242" t="str">
        <f t="shared" si="105"/>
        <v/>
      </c>
      <c r="W81" s="242" t="str">
        <f t="shared" si="86"/>
        <v/>
      </c>
      <c r="X81" s="242" t="str">
        <f t="shared" si="87"/>
        <v/>
      </c>
      <c r="Y81" s="242" t="str">
        <f t="shared" si="104"/>
        <v/>
      </c>
      <c r="Z81" s="242" t="str">
        <f t="shared" si="88"/>
        <v/>
      </c>
      <c r="AA81" s="242" t="str">
        <f t="shared" si="47"/>
        <v/>
      </c>
      <c r="AB81" s="242" t="str">
        <f t="shared" si="107"/>
        <v/>
      </c>
      <c r="AC81" s="242" t="str">
        <f t="shared" si="46"/>
        <v/>
      </c>
      <c r="AD81" s="242" t="str">
        <f t="shared" si="48"/>
        <v/>
      </c>
      <c r="AE81" s="242" t="str">
        <f t="shared" si="49"/>
        <v/>
      </c>
      <c r="AF81" s="242" t="str">
        <f t="shared" si="68"/>
        <v/>
      </c>
      <c r="AG81" s="242" t="str">
        <f t="shared" si="69"/>
        <v/>
      </c>
      <c r="AH81" s="242" t="str">
        <f t="shared" si="70"/>
        <v/>
      </c>
      <c r="AI81" s="242" t="str">
        <f t="shared" si="71"/>
        <v/>
      </c>
      <c r="AJ81" s="242" t="str">
        <f t="shared" si="106"/>
        <v/>
      </c>
      <c r="AK81" s="242" t="str">
        <f t="shared" si="108"/>
        <v/>
      </c>
      <c r="AL81" s="242" t="str">
        <f t="shared" si="109"/>
        <v/>
      </c>
      <c r="AM81" s="242">
        <v>1</v>
      </c>
      <c r="AN81" s="199" t="str">
        <f t="shared" si="91"/>
        <v/>
      </c>
      <c r="AO81" s="199" t="str">
        <f t="shared" si="92"/>
        <v/>
      </c>
      <c r="AP81" s="199" t="str">
        <f t="shared" si="93"/>
        <v/>
      </c>
      <c r="AQ81" s="199" t="str">
        <f t="shared" si="94"/>
        <v/>
      </c>
      <c r="AR81" s="199" t="str">
        <f t="shared" si="95"/>
        <v/>
      </c>
      <c r="AS81" s="199" t="str">
        <f t="shared" si="96"/>
        <v/>
      </c>
      <c r="AT81" s="199" t="str">
        <f t="shared" si="97"/>
        <v/>
      </c>
      <c r="AU81" s="199" t="str">
        <f t="shared" si="98"/>
        <v/>
      </c>
      <c r="AV81" s="199" t="str">
        <f t="shared" si="99"/>
        <v/>
      </c>
      <c r="AW81" s="199" t="str">
        <f t="shared" si="100"/>
        <v/>
      </c>
      <c r="AX81" s="199" t="str">
        <f t="shared" si="101"/>
        <v/>
      </c>
      <c r="AY81" s="199" t="str">
        <f t="shared" si="102"/>
        <v/>
      </c>
    </row>
    <row r="82" spans="1:51" ht="20.399999999999999" x14ac:dyDescent="0.3">
      <c r="A82" s="191">
        <v>80</v>
      </c>
      <c r="B82" s="224" t="s">
        <v>56</v>
      </c>
      <c r="C82" s="120" t="s">
        <v>57</v>
      </c>
      <c r="D82" s="135">
        <v>2012</v>
      </c>
      <c r="E82" s="123">
        <v>41025</v>
      </c>
      <c r="F82" s="198">
        <f t="shared" si="72"/>
        <v>4</v>
      </c>
      <c r="G82" s="198" t="str">
        <f t="shared" si="73"/>
        <v>42012</v>
      </c>
      <c r="H82" s="198" t="str">
        <f t="shared" si="74"/>
        <v>abril</v>
      </c>
      <c r="I82" s="114">
        <f>VLOOKUP(B82,'Base de Datos'!$E$7:$W$271,14,0)</f>
        <v>2</v>
      </c>
      <c r="J82" s="200">
        <f t="shared" si="75"/>
        <v>1900</v>
      </c>
      <c r="K82" s="199">
        <f t="shared" si="76"/>
        <v>1</v>
      </c>
      <c r="L82" s="199" t="str">
        <f t="shared" si="77"/>
        <v>11900</v>
      </c>
      <c r="M82" s="199" t="str">
        <f t="shared" si="78"/>
        <v>enero</v>
      </c>
      <c r="N82" s="199">
        <f t="shared" ca="1" si="79"/>
        <v>44226</v>
      </c>
      <c r="O82" s="242" t="str">
        <f t="shared" ca="1" si="80"/>
        <v>SI</v>
      </c>
      <c r="P82" s="242" t="str">
        <f t="shared" si="103"/>
        <v/>
      </c>
      <c r="Q82" s="242" t="str">
        <f t="shared" si="81"/>
        <v/>
      </c>
      <c r="R82" s="242" t="str">
        <f t="shared" si="82"/>
        <v/>
      </c>
      <c r="S82" s="242" t="str">
        <f t="shared" si="83"/>
        <v/>
      </c>
      <c r="T82" s="242" t="str">
        <f t="shared" si="84"/>
        <v/>
      </c>
      <c r="U82" s="242" t="str">
        <f t="shared" si="85"/>
        <v/>
      </c>
      <c r="V82" s="242" t="str">
        <f t="shared" si="105"/>
        <v/>
      </c>
      <c r="W82" s="242" t="str">
        <f t="shared" si="86"/>
        <v/>
      </c>
      <c r="X82" s="242" t="str">
        <f t="shared" si="87"/>
        <v/>
      </c>
      <c r="Y82" s="242" t="str">
        <f t="shared" si="104"/>
        <v/>
      </c>
      <c r="Z82" s="242" t="str">
        <f t="shared" si="88"/>
        <v/>
      </c>
      <c r="AA82" s="242" t="str">
        <f t="shared" si="47"/>
        <v/>
      </c>
      <c r="AB82" s="242" t="str">
        <f t="shared" si="107"/>
        <v/>
      </c>
      <c r="AC82" s="242" t="str">
        <f t="shared" si="46"/>
        <v/>
      </c>
      <c r="AD82" s="242" t="str">
        <f t="shared" si="48"/>
        <v/>
      </c>
      <c r="AE82" s="242" t="str">
        <f t="shared" si="49"/>
        <v/>
      </c>
      <c r="AF82" s="242" t="str">
        <f t="shared" si="68"/>
        <v/>
      </c>
      <c r="AG82" s="242" t="str">
        <f t="shared" si="69"/>
        <v/>
      </c>
      <c r="AH82" s="242" t="str">
        <f t="shared" si="70"/>
        <v/>
      </c>
      <c r="AI82" s="242" t="str">
        <f t="shared" si="71"/>
        <v/>
      </c>
      <c r="AJ82" s="242" t="str">
        <f t="shared" si="106"/>
        <v/>
      </c>
      <c r="AK82" s="242" t="str">
        <f t="shared" si="108"/>
        <v/>
      </c>
      <c r="AL82" s="242" t="str">
        <f t="shared" si="109"/>
        <v/>
      </c>
      <c r="AM82" s="242">
        <v>1</v>
      </c>
      <c r="AN82" s="199" t="str">
        <f t="shared" si="91"/>
        <v/>
      </c>
      <c r="AO82" s="199" t="str">
        <f t="shared" si="92"/>
        <v/>
      </c>
      <c r="AP82" s="199" t="str">
        <f t="shared" si="93"/>
        <v/>
      </c>
      <c r="AQ82" s="199" t="str">
        <f t="shared" si="94"/>
        <v/>
      </c>
      <c r="AR82" s="199" t="str">
        <f t="shared" si="95"/>
        <v/>
      </c>
      <c r="AS82" s="199" t="str">
        <f t="shared" si="96"/>
        <v/>
      </c>
      <c r="AT82" s="199" t="str">
        <f t="shared" si="97"/>
        <v/>
      </c>
      <c r="AU82" s="199" t="str">
        <f t="shared" si="98"/>
        <v/>
      </c>
      <c r="AV82" s="199" t="str">
        <f t="shared" si="99"/>
        <v/>
      </c>
      <c r="AW82" s="199" t="str">
        <f t="shared" si="100"/>
        <v/>
      </c>
      <c r="AX82" s="199" t="str">
        <f t="shared" si="101"/>
        <v/>
      </c>
      <c r="AY82" s="199" t="str">
        <f t="shared" si="102"/>
        <v/>
      </c>
    </row>
    <row r="83" spans="1:51" ht="51" x14ac:dyDescent="0.3">
      <c r="A83" s="191">
        <v>81</v>
      </c>
      <c r="B83" s="224" t="s">
        <v>58</v>
      </c>
      <c r="C83" s="120" t="s">
        <v>437</v>
      </c>
      <c r="D83" s="122">
        <v>2012</v>
      </c>
      <c r="E83" s="123">
        <v>41122</v>
      </c>
      <c r="F83" s="198">
        <f t="shared" si="72"/>
        <v>8</v>
      </c>
      <c r="G83" s="198" t="str">
        <f t="shared" si="73"/>
        <v>82012</v>
      </c>
      <c r="H83" s="198" t="str">
        <f t="shared" si="74"/>
        <v>agosto</v>
      </c>
      <c r="I83" s="114">
        <f>VLOOKUP(B83,'Base de Datos'!$E$7:$W$271,14,0)</f>
        <v>2</v>
      </c>
      <c r="J83" s="200">
        <f t="shared" si="75"/>
        <v>1900</v>
      </c>
      <c r="K83" s="199">
        <f t="shared" si="76"/>
        <v>1</v>
      </c>
      <c r="L83" s="199" t="str">
        <f t="shared" si="77"/>
        <v>11900</v>
      </c>
      <c r="M83" s="199" t="str">
        <f t="shared" si="78"/>
        <v>enero</v>
      </c>
      <c r="N83" s="199">
        <f t="shared" ca="1" si="79"/>
        <v>44226</v>
      </c>
      <c r="O83" s="242" t="str">
        <f t="shared" ca="1" si="80"/>
        <v>SI</v>
      </c>
      <c r="P83" s="242" t="str">
        <f t="shared" si="103"/>
        <v/>
      </c>
      <c r="Q83" s="242" t="str">
        <f t="shared" si="81"/>
        <v/>
      </c>
      <c r="R83" s="242" t="str">
        <f t="shared" si="82"/>
        <v/>
      </c>
      <c r="S83" s="242" t="str">
        <f t="shared" si="83"/>
        <v/>
      </c>
      <c r="T83" s="242" t="str">
        <f t="shared" si="84"/>
        <v/>
      </c>
      <c r="U83" s="242" t="str">
        <f t="shared" si="85"/>
        <v/>
      </c>
      <c r="V83" s="242" t="str">
        <f t="shared" si="105"/>
        <v/>
      </c>
      <c r="W83" s="242" t="str">
        <f t="shared" si="86"/>
        <v/>
      </c>
      <c r="X83" s="242" t="str">
        <f t="shared" si="87"/>
        <v/>
      </c>
      <c r="Y83" s="242" t="str">
        <f t="shared" si="104"/>
        <v/>
      </c>
      <c r="Z83" s="242" t="str">
        <f t="shared" si="88"/>
        <v/>
      </c>
      <c r="AA83" s="242" t="str">
        <f t="shared" si="47"/>
        <v/>
      </c>
      <c r="AB83" s="242" t="str">
        <f t="shared" si="107"/>
        <v/>
      </c>
      <c r="AC83" s="242" t="str">
        <f t="shared" si="46"/>
        <v/>
      </c>
      <c r="AD83" s="242" t="str">
        <f t="shared" si="48"/>
        <v/>
      </c>
      <c r="AE83" s="242" t="str">
        <f t="shared" si="49"/>
        <v/>
      </c>
      <c r="AF83" s="242" t="str">
        <f t="shared" si="68"/>
        <v/>
      </c>
      <c r="AG83" s="242" t="str">
        <f t="shared" si="69"/>
        <v/>
      </c>
      <c r="AH83" s="242" t="str">
        <f t="shared" si="70"/>
        <v/>
      </c>
      <c r="AI83" s="242" t="str">
        <f t="shared" si="71"/>
        <v/>
      </c>
      <c r="AJ83" s="242" t="str">
        <f t="shared" si="106"/>
        <v/>
      </c>
      <c r="AK83" s="242" t="str">
        <f t="shared" si="108"/>
        <v/>
      </c>
      <c r="AL83" s="242" t="str">
        <f t="shared" si="109"/>
        <v/>
      </c>
      <c r="AM83" s="242">
        <v>1</v>
      </c>
      <c r="AN83" s="199" t="str">
        <f t="shared" si="91"/>
        <v/>
      </c>
      <c r="AO83" s="199" t="str">
        <f t="shared" si="92"/>
        <v/>
      </c>
      <c r="AP83" s="199" t="str">
        <f t="shared" si="93"/>
        <v/>
      </c>
      <c r="AQ83" s="199" t="str">
        <f t="shared" si="94"/>
        <v/>
      </c>
      <c r="AR83" s="199" t="str">
        <f t="shared" si="95"/>
        <v/>
      </c>
      <c r="AS83" s="199" t="str">
        <f t="shared" si="96"/>
        <v/>
      </c>
      <c r="AT83" s="199" t="str">
        <f t="shared" si="97"/>
        <v/>
      </c>
      <c r="AU83" s="199" t="str">
        <f t="shared" si="98"/>
        <v/>
      </c>
      <c r="AV83" s="199" t="str">
        <f t="shared" si="99"/>
        <v/>
      </c>
      <c r="AW83" s="199" t="str">
        <f t="shared" si="100"/>
        <v/>
      </c>
      <c r="AX83" s="199" t="str">
        <f t="shared" si="101"/>
        <v/>
      </c>
      <c r="AY83" s="199" t="str">
        <f t="shared" si="102"/>
        <v/>
      </c>
    </row>
    <row r="84" spans="1:51" ht="20.399999999999999" x14ac:dyDescent="0.3">
      <c r="A84" s="191">
        <v>82</v>
      </c>
      <c r="B84" s="226" t="s">
        <v>114</v>
      </c>
      <c r="C84" s="120" t="s">
        <v>115</v>
      </c>
      <c r="D84" s="135">
        <v>2012</v>
      </c>
      <c r="E84" s="123">
        <v>41170</v>
      </c>
      <c r="F84" s="198">
        <f t="shared" si="72"/>
        <v>9</v>
      </c>
      <c r="G84" s="198" t="str">
        <f t="shared" si="73"/>
        <v>92012</v>
      </c>
      <c r="H84" s="198" t="str">
        <f t="shared" si="74"/>
        <v>septiembre</v>
      </c>
      <c r="I84" s="114">
        <f>VLOOKUP(B84,'Base de Datos'!$E$7:$W$271,14,0)</f>
        <v>0</v>
      </c>
      <c r="J84" s="200">
        <f t="shared" si="75"/>
        <v>1900</v>
      </c>
      <c r="K84" s="199">
        <f t="shared" si="76"/>
        <v>1</v>
      </c>
      <c r="L84" s="199" t="str">
        <f t="shared" si="77"/>
        <v>11900</v>
      </c>
      <c r="M84" s="199" t="str">
        <f t="shared" si="78"/>
        <v>enero</v>
      </c>
      <c r="N84" s="199">
        <f t="shared" ca="1" si="79"/>
        <v>44228</v>
      </c>
      <c r="O84" s="242" t="str">
        <f t="shared" ca="1" si="80"/>
        <v>SI</v>
      </c>
      <c r="P84" s="242" t="str">
        <f t="shared" si="103"/>
        <v/>
      </c>
      <c r="Q84" s="242" t="str">
        <f t="shared" si="81"/>
        <v/>
      </c>
      <c r="R84" s="242" t="str">
        <f t="shared" si="82"/>
        <v/>
      </c>
      <c r="S84" s="242" t="str">
        <f t="shared" si="83"/>
        <v/>
      </c>
      <c r="T84" s="242" t="str">
        <f t="shared" si="84"/>
        <v/>
      </c>
      <c r="U84" s="242" t="str">
        <f t="shared" si="85"/>
        <v/>
      </c>
      <c r="V84" s="242" t="str">
        <f t="shared" si="105"/>
        <v/>
      </c>
      <c r="W84" s="242" t="str">
        <f t="shared" si="86"/>
        <v/>
      </c>
      <c r="X84" s="242" t="str">
        <f t="shared" si="87"/>
        <v/>
      </c>
      <c r="Y84" s="242" t="str">
        <f t="shared" si="104"/>
        <v/>
      </c>
      <c r="Z84" s="242" t="str">
        <f t="shared" si="88"/>
        <v/>
      </c>
      <c r="AA84" s="242" t="str">
        <f t="shared" si="47"/>
        <v/>
      </c>
      <c r="AB84" s="242" t="str">
        <f t="shared" si="107"/>
        <v/>
      </c>
      <c r="AC84" s="242" t="str">
        <f t="shared" ref="AC84:AC147" si="110">IF(AND(E84&lt;$AC$2,I84&gt;$AC$2),"1","")</f>
        <v/>
      </c>
      <c r="AD84" s="242" t="str">
        <f t="shared" si="48"/>
        <v/>
      </c>
      <c r="AE84" s="242" t="str">
        <f t="shared" si="49"/>
        <v/>
      </c>
      <c r="AF84" s="242" t="str">
        <f t="shared" si="68"/>
        <v/>
      </c>
      <c r="AG84" s="242" t="str">
        <f t="shared" si="69"/>
        <v/>
      </c>
      <c r="AH84" s="242" t="str">
        <f t="shared" si="70"/>
        <v/>
      </c>
      <c r="AI84" s="242" t="str">
        <f t="shared" si="71"/>
        <v/>
      </c>
      <c r="AJ84" s="242" t="str">
        <f t="shared" si="106"/>
        <v/>
      </c>
      <c r="AK84" s="242" t="str">
        <f t="shared" si="108"/>
        <v/>
      </c>
      <c r="AL84" s="242" t="str">
        <f t="shared" si="109"/>
        <v/>
      </c>
      <c r="AM84" s="242">
        <v>1</v>
      </c>
      <c r="AN84" s="199" t="str">
        <f t="shared" si="91"/>
        <v/>
      </c>
      <c r="AO84" s="199" t="str">
        <f t="shared" si="92"/>
        <v/>
      </c>
      <c r="AP84" s="199" t="str">
        <f t="shared" si="93"/>
        <v/>
      </c>
      <c r="AQ84" s="199" t="str">
        <f t="shared" si="94"/>
        <v/>
      </c>
      <c r="AR84" s="199" t="str">
        <f t="shared" si="95"/>
        <v/>
      </c>
      <c r="AS84" s="199" t="str">
        <f t="shared" si="96"/>
        <v/>
      </c>
      <c r="AT84" s="199" t="str">
        <f t="shared" si="97"/>
        <v/>
      </c>
      <c r="AU84" s="199" t="str">
        <f t="shared" si="98"/>
        <v/>
      </c>
      <c r="AV84" s="199" t="str">
        <f t="shared" si="99"/>
        <v/>
      </c>
      <c r="AW84" s="199" t="str">
        <f t="shared" si="100"/>
        <v/>
      </c>
      <c r="AX84" s="199" t="str">
        <f t="shared" si="101"/>
        <v/>
      </c>
      <c r="AY84" s="199" t="str">
        <f t="shared" si="102"/>
        <v/>
      </c>
    </row>
    <row r="85" spans="1:51" ht="20.399999999999999" x14ac:dyDescent="0.3">
      <c r="A85" s="191">
        <v>83</v>
      </c>
      <c r="B85" s="225" t="s">
        <v>220</v>
      </c>
      <c r="C85" s="120" t="s">
        <v>1148</v>
      </c>
      <c r="D85" s="127">
        <v>2013</v>
      </c>
      <c r="E85" s="124">
        <v>41626</v>
      </c>
      <c r="F85" s="198">
        <f t="shared" si="72"/>
        <v>12</v>
      </c>
      <c r="G85" s="198" t="str">
        <f t="shared" si="73"/>
        <v>122013</v>
      </c>
      <c r="H85" s="198" t="str">
        <f t="shared" si="74"/>
        <v>diciembre</v>
      </c>
      <c r="I85" s="114">
        <f>VLOOKUP(B85,'Base de Datos'!$E$7:$W$271,14,0)</f>
        <v>0</v>
      </c>
      <c r="J85" s="200">
        <f t="shared" si="75"/>
        <v>1900</v>
      </c>
      <c r="K85" s="199">
        <f t="shared" si="76"/>
        <v>1</v>
      </c>
      <c r="L85" s="199" t="str">
        <f t="shared" si="77"/>
        <v>11900</v>
      </c>
      <c r="M85" s="199" t="str">
        <f t="shared" si="78"/>
        <v>enero</v>
      </c>
      <c r="N85" s="199">
        <f t="shared" ca="1" si="79"/>
        <v>44228</v>
      </c>
      <c r="O85" s="242" t="str">
        <f t="shared" ca="1" si="80"/>
        <v>SI</v>
      </c>
      <c r="P85" s="242" t="str">
        <f t="shared" si="103"/>
        <v/>
      </c>
      <c r="Q85" s="242" t="str">
        <f t="shared" si="81"/>
        <v/>
      </c>
      <c r="R85" s="242" t="str">
        <f t="shared" si="82"/>
        <v/>
      </c>
      <c r="S85" s="242" t="str">
        <f t="shared" si="83"/>
        <v/>
      </c>
      <c r="T85" s="242" t="str">
        <f t="shared" si="84"/>
        <v/>
      </c>
      <c r="U85" s="242" t="str">
        <f t="shared" si="85"/>
        <v/>
      </c>
      <c r="V85" s="242" t="str">
        <f t="shared" si="105"/>
        <v/>
      </c>
      <c r="W85" s="242" t="str">
        <f t="shared" si="86"/>
        <v/>
      </c>
      <c r="X85" s="242" t="str">
        <f t="shared" si="87"/>
        <v/>
      </c>
      <c r="Y85" s="242" t="str">
        <f t="shared" si="104"/>
        <v/>
      </c>
      <c r="Z85" s="242" t="str">
        <f t="shared" si="88"/>
        <v/>
      </c>
      <c r="AA85" s="242" t="str">
        <f t="shared" si="47"/>
        <v/>
      </c>
      <c r="AB85" s="242" t="str">
        <f t="shared" si="107"/>
        <v/>
      </c>
      <c r="AC85" s="242" t="str">
        <f t="shared" si="110"/>
        <v/>
      </c>
      <c r="AD85" s="242" t="str">
        <f t="shared" si="48"/>
        <v/>
      </c>
      <c r="AE85" s="242" t="str">
        <f t="shared" si="49"/>
        <v/>
      </c>
      <c r="AF85" s="242" t="str">
        <f t="shared" si="68"/>
        <v/>
      </c>
      <c r="AG85" s="242" t="str">
        <f t="shared" si="69"/>
        <v/>
      </c>
      <c r="AH85" s="242" t="str">
        <f t="shared" si="70"/>
        <v/>
      </c>
      <c r="AI85" s="242" t="str">
        <f t="shared" si="71"/>
        <v/>
      </c>
      <c r="AJ85" s="242" t="str">
        <f t="shared" si="106"/>
        <v/>
      </c>
      <c r="AK85" s="242" t="str">
        <f t="shared" si="108"/>
        <v/>
      </c>
      <c r="AL85" s="242" t="str">
        <f t="shared" si="109"/>
        <v/>
      </c>
      <c r="AM85" s="242" t="str">
        <f t="shared" ref="AM85:AM116" si="111">IF(AND(E85&lt;$AM$2,I85&gt;$AM$2),"1","")</f>
        <v/>
      </c>
      <c r="AN85" s="199">
        <v>1</v>
      </c>
      <c r="AO85" s="199" t="str">
        <f t="shared" si="92"/>
        <v/>
      </c>
      <c r="AP85" s="199" t="str">
        <f t="shared" si="93"/>
        <v/>
      </c>
      <c r="AQ85" s="199" t="str">
        <f t="shared" si="94"/>
        <v/>
      </c>
      <c r="AR85" s="199" t="str">
        <f t="shared" si="95"/>
        <v/>
      </c>
      <c r="AS85" s="199" t="str">
        <f t="shared" si="96"/>
        <v/>
      </c>
      <c r="AT85" s="199" t="str">
        <f t="shared" si="97"/>
        <v/>
      </c>
      <c r="AU85" s="199" t="str">
        <f t="shared" si="98"/>
        <v/>
      </c>
      <c r="AV85" s="199" t="str">
        <f t="shared" si="99"/>
        <v/>
      </c>
      <c r="AW85" s="199" t="str">
        <f t="shared" si="100"/>
        <v/>
      </c>
      <c r="AX85" s="199" t="str">
        <f t="shared" si="101"/>
        <v/>
      </c>
      <c r="AY85" s="199" t="str">
        <f t="shared" si="102"/>
        <v/>
      </c>
    </row>
    <row r="86" spans="1:51" x14ac:dyDescent="0.3">
      <c r="A86" s="191">
        <v>84</v>
      </c>
      <c r="B86" s="225" t="s">
        <v>177</v>
      </c>
      <c r="C86" s="120" t="s">
        <v>1038</v>
      </c>
      <c r="D86" s="127">
        <v>2013</v>
      </c>
      <c r="E86" s="124">
        <v>41554</v>
      </c>
      <c r="F86" s="198">
        <f t="shared" si="72"/>
        <v>10</v>
      </c>
      <c r="G86" s="198" t="str">
        <f t="shared" si="73"/>
        <v>102013</v>
      </c>
      <c r="H86" s="198" t="str">
        <f t="shared" si="74"/>
        <v>octubre</v>
      </c>
      <c r="I86" s="114">
        <f>VLOOKUP(B86,'Base de Datos'!$E$7:$W$271,14,0)</f>
        <v>0</v>
      </c>
      <c r="J86" s="200">
        <f t="shared" si="75"/>
        <v>1900</v>
      </c>
      <c r="K86" s="199">
        <f t="shared" si="76"/>
        <v>1</v>
      </c>
      <c r="L86" s="199" t="str">
        <f t="shared" si="77"/>
        <v>11900</v>
      </c>
      <c r="M86" s="199" t="str">
        <f t="shared" si="78"/>
        <v>enero</v>
      </c>
      <c r="N86" s="199">
        <f t="shared" ca="1" si="79"/>
        <v>44228</v>
      </c>
      <c r="O86" s="242" t="str">
        <f t="shared" ca="1" si="80"/>
        <v>SI</v>
      </c>
      <c r="P86" s="242" t="str">
        <f t="shared" si="103"/>
        <v/>
      </c>
      <c r="Q86" s="242" t="str">
        <f t="shared" si="81"/>
        <v/>
      </c>
      <c r="R86" s="242" t="str">
        <f t="shared" si="82"/>
        <v/>
      </c>
      <c r="S86" s="242" t="str">
        <f t="shared" si="83"/>
        <v/>
      </c>
      <c r="T86" s="242" t="str">
        <f t="shared" si="84"/>
        <v/>
      </c>
      <c r="U86" s="242" t="str">
        <f t="shared" si="85"/>
        <v/>
      </c>
      <c r="V86" s="242" t="str">
        <f t="shared" si="105"/>
        <v/>
      </c>
      <c r="W86" s="242" t="str">
        <f t="shared" si="86"/>
        <v/>
      </c>
      <c r="X86" s="242" t="str">
        <f t="shared" si="87"/>
        <v/>
      </c>
      <c r="Y86" s="242" t="str">
        <f t="shared" si="104"/>
        <v/>
      </c>
      <c r="Z86" s="242" t="str">
        <f t="shared" si="88"/>
        <v/>
      </c>
      <c r="AA86" s="242" t="str">
        <f t="shared" ref="AA86:AA149" si="112">IF(AND(E86&lt;$AA$2,I86&gt;$AA$2),"1","")</f>
        <v/>
      </c>
      <c r="AB86" s="242" t="str">
        <f t="shared" si="107"/>
        <v/>
      </c>
      <c r="AC86" s="242" t="str">
        <f t="shared" si="110"/>
        <v/>
      </c>
      <c r="AD86" s="242" t="str">
        <f t="shared" si="48"/>
        <v/>
      </c>
      <c r="AE86" s="242" t="str">
        <f t="shared" si="49"/>
        <v/>
      </c>
      <c r="AF86" s="242" t="str">
        <f t="shared" si="68"/>
        <v/>
      </c>
      <c r="AG86" s="242" t="str">
        <f t="shared" si="69"/>
        <v/>
      </c>
      <c r="AH86" s="242" t="str">
        <f t="shared" si="70"/>
        <v/>
      </c>
      <c r="AI86" s="242" t="str">
        <f t="shared" si="71"/>
        <v/>
      </c>
      <c r="AJ86" s="242" t="str">
        <f t="shared" si="106"/>
        <v/>
      </c>
      <c r="AK86" s="242" t="str">
        <f t="shared" si="108"/>
        <v/>
      </c>
      <c r="AL86" s="242" t="str">
        <f t="shared" si="109"/>
        <v/>
      </c>
      <c r="AM86" s="242" t="str">
        <f t="shared" si="111"/>
        <v/>
      </c>
      <c r="AN86" s="199">
        <v>1</v>
      </c>
      <c r="AO86" s="199" t="str">
        <f t="shared" si="92"/>
        <v/>
      </c>
      <c r="AP86" s="199" t="str">
        <f t="shared" si="93"/>
        <v/>
      </c>
      <c r="AQ86" s="199" t="str">
        <f t="shared" si="94"/>
        <v/>
      </c>
      <c r="AR86" s="199" t="str">
        <f t="shared" si="95"/>
        <v/>
      </c>
      <c r="AS86" s="199" t="str">
        <f t="shared" si="96"/>
        <v/>
      </c>
      <c r="AT86" s="199" t="str">
        <f t="shared" si="97"/>
        <v/>
      </c>
      <c r="AU86" s="199" t="str">
        <f t="shared" si="98"/>
        <v/>
      </c>
      <c r="AV86" s="199" t="str">
        <f t="shared" si="99"/>
        <v/>
      </c>
      <c r="AW86" s="199" t="str">
        <f t="shared" si="100"/>
        <v/>
      </c>
      <c r="AX86" s="199" t="str">
        <f t="shared" si="101"/>
        <v/>
      </c>
      <c r="AY86" s="199" t="str">
        <f t="shared" si="102"/>
        <v/>
      </c>
    </row>
    <row r="87" spans="1:51" ht="20.399999999999999" x14ac:dyDescent="0.3">
      <c r="A87" s="191">
        <v>85</v>
      </c>
      <c r="B87" s="225" t="s">
        <v>211</v>
      </c>
      <c r="C87" s="120" t="s">
        <v>212</v>
      </c>
      <c r="D87" s="127">
        <v>2013</v>
      </c>
      <c r="E87" s="124">
        <v>41590</v>
      </c>
      <c r="F87" s="198">
        <f t="shared" si="72"/>
        <v>11</v>
      </c>
      <c r="G87" s="198" t="str">
        <f t="shared" si="73"/>
        <v>112013</v>
      </c>
      <c r="H87" s="198" t="str">
        <f t="shared" si="74"/>
        <v>noviembre</v>
      </c>
      <c r="I87" s="114">
        <f>VLOOKUP(B87,'Base de Datos'!$E$7:$W$271,14,0)</f>
        <v>0</v>
      </c>
      <c r="J87" s="200">
        <f t="shared" si="75"/>
        <v>1900</v>
      </c>
      <c r="K87" s="199">
        <f t="shared" si="76"/>
        <v>1</v>
      </c>
      <c r="L87" s="199" t="str">
        <f t="shared" si="77"/>
        <v>11900</v>
      </c>
      <c r="M87" s="199" t="str">
        <f t="shared" si="78"/>
        <v>enero</v>
      </c>
      <c r="N87" s="199">
        <f t="shared" ca="1" si="79"/>
        <v>44228</v>
      </c>
      <c r="O87" s="242" t="str">
        <f t="shared" ca="1" si="80"/>
        <v>SI</v>
      </c>
      <c r="P87" s="242" t="str">
        <f t="shared" si="103"/>
        <v/>
      </c>
      <c r="Q87" s="242" t="str">
        <f t="shared" si="81"/>
        <v/>
      </c>
      <c r="R87" s="242" t="str">
        <f t="shared" si="82"/>
        <v/>
      </c>
      <c r="S87" s="242" t="str">
        <f t="shared" si="83"/>
        <v/>
      </c>
      <c r="T87" s="242" t="str">
        <f t="shared" si="84"/>
        <v/>
      </c>
      <c r="U87" s="242" t="str">
        <f t="shared" si="85"/>
        <v/>
      </c>
      <c r="V87" s="242" t="str">
        <f t="shared" si="105"/>
        <v/>
      </c>
      <c r="W87" s="242" t="str">
        <f t="shared" si="86"/>
        <v/>
      </c>
      <c r="X87" s="242" t="str">
        <f t="shared" si="87"/>
        <v/>
      </c>
      <c r="Y87" s="242" t="str">
        <f t="shared" si="104"/>
        <v/>
      </c>
      <c r="Z87" s="242" t="str">
        <f t="shared" si="88"/>
        <v/>
      </c>
      <c r="AA87" s="242" t="str">
        <f t="shared" si="112"/>
        <v/>
      </c>
      <c r="AB87" s="242" t="str">
        <f t="shared" si="107"/>
        <v/>
      </c>
      <c r="AC87" s="242" t="str">
        <f t="shared" si="110"/>
        <v/>
      </c>
      <c r="AD87" s="242" t="str">
        <f t="shared" si="48"/>
        <v/>
      </c>
      <c r="AE87" s="242" t="str">
        <f t="shared" si="49"/>
        <v/>
      </c>
      <c r="AF87" s="242" t="str">
        <f t="shared" si="68"/>
        <v/>
      </c>
      <c r="AG87" s="242" t="str">
        <f t="shared" si="69"/>
        <v/>
      </c>
      <c r="AH87" s="242" t="str">
        <f t="shared" si="70"/>
        <v/>
      </c>
      <c r="AI87" s="242" t="str">
        <f t="shared" si="71"/>
        <v/>
      </c>
      <c r="AJ87" s="242" t="str">
        <f t="shared" si="106"/>
        <v/>
      </c>
      <c r="AK87" s="242" t="str">
        <f t="shared" si="108"/>
        <v/>
      </c>
      <c r="AL87" s="242" t="str">
        <f t="shared" si="109"/>
        <v/>
      </c>
      <c r="AM87" s="242" t="str">
        <f t="shared" si="111"/>
        <v/>
      </c>
      <c r="AN87" s="199">
        <v>1</v>
      </c>
      <c r="AO87" s="199" t="str">
        <f t="shared" si="92"/>
        <v/>
      </c>
      <c r="AP87" s="199" t="str">
        <f t="shared" si="93"/>
        <v/>
      </c>
      <c r="AQ87" s="199" t="str">
        <f t="shared" si="94"/>
        <v/>
      </c>
      <c r="AR87" s="199" t="str">
        <f t="shared" si="95"/>
        <v/>
      </c>
      <c r="AS87" s="199" t="str">
        <f t="shared" si="96"/>
        <v/>
      </c>
      <c r="AT87" s="199" t="str">
        <f t="shared" si="97"/>
        <v/>
      </c>
      <c r="AU87" s="199" t="str">
        <f t="shared" si="98"/>
        <v/>
      </c>
      <c r="AV87" s="199" t="str">
        <f t="shared" si="99"/>
        <v/>
      </c>
      <c r="AW87" s="199" t="str">
        <f t="shared" si="100"/>
        <v/>
      </c>
      <c r="AX87" s="199" t="str">
        <f t="shared" si="101"/>
        <v/>
      </c>
      <c r="AY87" s="199" t="str">
        <f t="shared" si="102"/>
        <v/>
      </c>
    </row>
    <row r="88" spans="1:51" x14ac:dyDescent="0.3">
      <c r="A88" s="191">
        <v>86</v>
      </c>
      <c r="B88" s="225" t="s">
        <v>209</v>
      </c>
      <c r="C88" s="120" t="s">
        <v>210</v>
      </c>
      <c r="D88" s="127">
        <v>2013</v>
      </c>
      <c r="E88" s="124">
        <v>41590</v>
      </c>
      <c r="F88" s="198">
        <f t="shared" si="72"/>
        <v>11</v>
      </c>
      <c r="G88" s="198" t="str">
        <f t="shared" si="73"/>
        <v>112013</v>
      </c>
      <c r="H88" s="198" t="str">
        <f t="shared" si="74"/>
        <v>noviembre</v>
      </c>
      <c r="I88" s="114">
        <f>VLOOKUP(B88,'Base de Datos'!$E$7:$W$271,14,0)</f>
        <v>0</v>
      </c>
      <c r="J88" s="200">
        <f t="shared" si="75"/>
        <v>1900</v>
      </c>
      <c r="K88" s="199">
        <f t="shared" si="76"/>
        <v>1</v>
      </c>
      <c r="L88" s="199" t="str">
        <f t="shared" si="77"/>
        <v>11900</v>
      </c>
      <c r="M88" s="199" t="str">
        <f t="shared" si="78"/>
        <v>enero</v>
      </c>
      <c r="N88" s="199">
        <f t="shared" ca="1" si="79"/>
        <v>44228</v>
      </c>
      <c r="O88" s="242" t="str">
        <f t="shared" ca="1" si="80"/>
        <v>SI</v>
      </c>
      <c r="P88" s="242" t="str">
        <f t="shared" si="103"/>
        <v/>
      </c>
      <c r="Q88" s="242" t="str">
        <f t="shared" si="81"/>
        <v/>
      </c>
      <c r="R88" s="242" t="str">
        <f t="shared" si="82"/>
        <v/>
      </c>
      <c r="S88" s="242" t="str">
        <f t="shared" si="83"/>
        <v/>
      </c>
      <c r="T88" s="242" t="str">
        <f t="shared" si="84"/>
        <v/>
      </c>
      <c r="U88" s="242" t="str">
        <f t="shared" si="85"/>
        <v/>
      </c>
      <c r="V88" s="242" t="str">
        <f t="shared" si="105"/>
        <v/>
      </c>
      <c r="W88" s="242" t="str">
        <f t="shared" si="86"/>
        <v/>
      </c>
      <c r="X88" s="242" t="str">
        <f t="shared" si="87"/>
        <v/>
      </c>
      <c r="Y88" s="242" t="str">
        <f t="shared" si="104"/>
        <v/>
      </c>
      <c r="Z88" s="242" t="str">
        <f t="shared" si="88"/>
        <v/>
      </c>
      <c r="AA88" s="242" t="str">
        <f t="shared" si="112"/>
        <v/>
      </c>
      <c r="AB88" s="242" t="str">
        <f t="shared" si="107"/>
        <v/>
      </c>
      <c r="AC88" s="242" t="str">
        <f t="shared" si="110"/>
        <v/>
      </c>
      <c r="AD88" s="242" t="str">
        <f t="shared" si="48"/>
        <v/>
      </c>
      <c r="AE88" s="242" t="str">
        <f t="shared" si="49"/>
        <v/>
      </c>
      <c r="AF88" s="242" t="str">
        <f t="shared" si="68"/>
        <v/>
      </c>
      <c r="AG88" s="242" t="str">
        <f t="shared" si="69"/>
        <v/>
      </c>
      <c r="AH88" s="242" t="str">
        <f t="shared" si="70"/>
        <v/>
      </c>
      <c r="AI88" s="242" t="str">
        <f t="shared" si="71"/>
        <v/>
      </c>
      <c r="AJ88" s="242" t="str">
        <f t="shared" si="106"/>
        <v/>
      </c>
      <c r="AK88" s="242" t="str">
        <f t="shared" si="108"/>
        <v/>
      </c>
      <c r="AL88" s="242" t="str">
        <f t="shared" si="109"/>
        <v/>
      </c>
      <c r="AM88" s="242" t="str">
        <f t="shared" si="111"/>
        <v/>
      </c>
      <c r="AN88" s="199">
        <v>1</v>
      </c>
      <c r="AO88" s="199" t="str">
        <f t="shared" si="92"/>
        <v/>
      </c>
      <c r="AP88" s="199" t="str">
        <f t="shared" si="93"/>
        <v/>
      </c>
      <c r="AQ88" s="199" t="str">
        <f t="shared" si="94"/>
        <v/>
      </c>
      <c r="AR88" s="199" t="str">
        <f t="shared" si="95"/>
        <v/>
      </c>
      <c r="AS88" s="199" t="str">
        <f t="shared" si="96"/>
        <v/>
      </c>
      <c r="AT88" s="199" t="str">
        <f t="shared" si="97"/>
        <v/>
      </c>
      <c r="AU88" s="199" t="str">
        <f t="shared" si="98"/>
        <v/>
      </c>
      <c r="AV88" s="199" t="str">
        <f t="shared" si="99"/>
        <v/>
      </c>
      <c r="AW88" s="199" t="str">
        <f t="shared" si="100"/>
        <v/>
      </c>
      <c r="AX88" s="199" t="str">
        <f t="shared" si="101"/>
        <v/>
      </c>
      <c r="AY88" s="199" t="str">
        <f t="shared" si="102"/>
        <v/>
      </c>
    </row>
    <row r="89" spans="1:51" x14ac:dyDescent="0.3">
      <c r="A89" s="191">
        <v>87</v>
      </c>
      <c r="B89" s="224" t="s">
        <v>82</v>
      </c>
      <c r="C89" s="120" t="s">
        <v>1029</v>
      </c>
      <c r="D89" s="138">
        <v>2013</v>
      </c>
      <c r="E89" s="123">
        <v>41347</v>
      </c>
      <c r="F89" s="198">
        <f t="shared" si="72"/>
        <v>3</v>
      </c>
      <c r="G89" s="198" t="str">
        <f t="shared" si="73"/>
        <v>32013</v>
      </c>
      <c r="H89" s="198" t="str">
        <f t="shared" si="74"/>
        <v>marzo</v>
      </c>
      <c r="I89" s="114">
        <f>VLOOKUP(B89,'Base de Datos'!$E$7:$W$271,14,0)</f>
        <v>0</v>
      </c>
      <c r="J89" s="200">
        <f t="shared" si="75"/>
        <v>1900</v>
      </c>
      <c r="K89" s="199">
        <f t="shared" si="76"/>
        <v>1</v>
      </c>
      <c r="L89" s="199" t="str">
        <f t="shared" si="77"/>
        <v>11900</v>
      </c>
      <c r="M89" s="199" t="str">
        <f t="shared" si="78"/>
        <v>enero</v>
      </c>
      <c r="N89" s="199">
        <f t="shared" ca="1" si="79"/>
        <v>44228</v>
      </c>
      <c r="O89" s="242" t="str">
        <f t="shared" ca="1" si="80"/>
        <v>SI</v>
      </c>
      <c r="P89" s="242" t="str">
        <f t="shared" si="103"/>
        <v/>
      </c>
      <c r="Q89" s="242" t="str">
        <f t="shared" si="81"/>
        <v/>
      </c>
      <c r="R89" s="242" t="str">
        <f t="shared" si="82"/>
        <v/>
      </c>
      <c r="S89" s="242" t="str">
        <f t="shared" si="83"/>
        <v/>
      </c>
      <c r="T89" s="242" t="str">
        <f t="shared" si="84"/>
        <v/>
      </c>
      <c r="U89" s="242" t="str">
        <f t="shared" si="85"/>
        <v/>
      </c>
      <c r="V89" s="242" t="str">
        <f t="shared" si="105"/>
        <v/>
      </c>
      <c r="W89" s="242" t="str">
        <f t="shared" si="86"/>
        <v/>
      </c>
      <c r="X89" s="242" t="str">
        <f t="shared" si="87"/>
        <v/>
      </c>
      <c r="Y89" s="242" t="str">
        <f t="shared" si="104"/>
        <v/>
      </c>
      <c r="Z89" s="242" t="str">
        <f t="shared" si="88"/>
        <v/>
      </c>
      <c r="AA89" s="242" t="str">
        <f t="shared" si="112"/>
        <v/>
      </c>
      <c r="AB89" s="242" t="str">
        <f t="shared" si="107"/>
        <v/>
      </c>
      <c r="AC89" s="242" t="str">
        <f t="shared" si="110"/>
        <v/>
      </c>
      <c r="AD89" s="242" t="str">
        <f t="shared" si="48"/>
        <v/>
      </c>
      <c r="AE89" s="242" t="str">
        <f t="shared" si="49"/>
        <v/>
      </c>
      <c r="AF89" s="242" t="str">
        <f t="shared" si="68"/>
        <v/>
      </c>
      <c r="AG89" s="242" t="str">
        <f t="shared" si="69"/>
        <v/>
      </c>
      <c r="AH89" s="242" t="str">
        <f t="shared" si="70"/>
        <v/>
      </c>
      <c r="AI89" s="242" t="str">
        <f t="shared" si="71"/>
        <v/>
      </c>
      <c r="AJ89" s="242" t="str">
        <f t="shared" si="106"/>
        <v/>
      </c>
      <c r="AK89" s="242" t="str">
        <f t="shared" si="108"/>
        <v/>
      </c>
      <c r="AL89" s="242" t="str">
        <f t="shared" si="109"/>
        <v/>
      </c>
      <c r="AM89" s="242" t="str">
        <f t="shared" si="111"/>
        <v/>
      </c>
      <c r="AN89" s="199">
        <v>1</v>
      </c>
      <c r="AO89" s="199" t="str">
        <f t="shared" si="92"/>
        <v/>
      </c>
      <c r="AP89" s="199" t="str">
        <f t="shared" si="93"/>
        <v/>
      </c>
      <c r="AQ89" s="199" t="str">
        <f t="shared" si="94"/>
        <v/>
      </c>
      <c r="AR89" s="199" t="str">
        <f t="shared" si="95"/>
        <v/>
      </c>
      <c r="AS89" s="199" t="str">
        <f t="shared" si="96"/>
        <v/>
      </c>
      <c r="AT89" s="199" t="str">
        <f t="shared" si="97"/>
        <v/>
      </c>
      <c r="AU89" s="199" t="str">
        <f t="shared" si="98"/>
        <v/>
      </c>
      <c r="AV89" s="199" t="str">
        <f t="shared" si="99"/>
        <v/>
      </c>
      <c r="AW89" s="199" t="str">
        <f t="shared" si="100"/>
        <v/>
      </c>
      <c r="AX89" s="199" t="str">
        <f t="shared" si="101"/>
        <v/>
      </c>
      <c r="AY89" s="199" t="str">
        <f t="shared" si="102"/>
        <v/>
      </c>
    </row>
    <row r="90" spans="1:51" x14ac:dyDescent="0.3">
      <c r="A90" s="191">
        <v>88</v>
      </c>
      <c r="B90" s="225" t="s">
        <v>215</v>
      </c>
      <c r="C90" s="120" t="s">
        <v>1040</v>
      </c>
      <c r="D90" s="127">
        <v>2013</v>
      </c>
      <c r="E90" s="124">
        <v>41612</v>
      </c>
      <c r="F90" s="198">
        <f t="shared" si="72"/>
        <v>12</v>
      </c>
      <c r="G90" s="198" t="str">
        <f t="shared" si="73"/>
        <v>122013</v>
      </c>
      <c r="H90" s="198" t="str">
        <f t="shared" si="74"/>
        <v>diciembre</v>
      </c>
      <c r="I90" s="114">
        <f>VLOOKUP(B90,'Base de Datos'!$E$7:$W$271,14,0)</f>
        <v>0</v>
      </c>
      <c r="J90" s="200">
        <f t="shared" si="75"/>
        <v>1900</v>
      </c>
      <c r="K90" s="199">
        <f t="shared" si="76"/>
        <v>1</v>
      </c>
      <c r="L90" s="199" t="str">
        <f t="shared" si="77"/>
        <v>11900</v>
      </c>
      <c r="M90" s="199" t="str">
        <f t="shared" si="78"/>
        <v>enero</v>
      </c>
      <c r="N90" s="199">
        <f t="shared" ca="1" si="79"/>
        <v>44228</v>
      </c>
      <c r="O90" s="242" t="str">
        <f t="shared" ca="1" si="80"/>
        <v>SI</v>
      </c>
      <c r="P90" s="242" t="str">
        <f t="shared" si="103"/>
        <v/>
      </c>
      <c r="Q90" s="242" t="str">
        <f t="shared" si="81"/>
        <v/>
      </c>
      <c r="R90" s="242" t="str">
        <f t="shared" si="82"/>
        <v/>
      </c>
      <c r="S90" s="242" t="str">
        <f t="shared" si="83"/>
        <v/>
      </c>
      <c r="T90" s="242" t="str">
        <f t="shared" si="84"/>
        <v/>
      </c>
      <c r="U90" s="242" t="str">
        <f t="shared" si="85"/>
        <v/>
      </c>
      <c r="V90" s="242" t="str">
        <f t="shared" si="105"/>
        <v/>
      </c>
      <c r="W90" s="242" t="str">
        <f t="shared" si="86"/>
        <v/>
      </c>
      <c r="X90" s="242" t="str">
        <f t="shared" si="87"/>
        <v/>
      </c>
      <c r="Y90" s="242" t="str">
        <f t="shared" si="104"/>
        <v/>
      </c>
      <c r="Z90" s="242" t="str">
        <f t="shared" si="88"/>
        <v/>
      </c>
      <c r="AA90" s="242" t="str">
        <f t="shared" si="112"/>
        <v/>
      </c>
      <c r="AB90" s="242" t="str">
        <f t="shared" si="107"/>
        <v/>
      </c>
      <c r="AC90" s="242" t="str">
        <f t="shared" si="110"/>
        <v/>
      </c>
      <c r="AD90" s="242" t="str">
        <f t="shared" si="48"/>
        <v/>
      </c>
      <c r="AE90" s="242" t="str">
        <f t="shared" si="49"/>
        <v/>
      </c>
      <c r="AF90" s="242" t="str">
        <f t="shared" si="68"/>
        <v/>
      </c>
      <c r="AG90" s="242" t="str">
        <f t="shared" si="69"/>
        <v/>
      </c>
      <c r="AH90" s="242" t="str">
        <f t="shared" si="70"/>
        <v/>
      </c>
      <c r="AI90" s="242" t="str">
        <f t="shared" si="71"/>
        <v/>
      </c>
      <c r="AJ90" s="242" t="str">
        <f t="shared" si="106"/>
        <v/>
      </c>
      <c r="AK90" s="242" t="str">
        <f t="shared" si="108"/>
        <v/>
      </c>
      <c r="AL90" s="242" t="str">
        <f t="shared" si="109"/>
        <v/>
      </c>
      <c r="AM90" s="242" t="str">
        <f t="shared" si="111"/>
        <v/>
      </c>
      <c r="AN90" s="199">
        <v>1</v>
      </c>
      <c r="AO90" s="199" t="str">
        <f t="shared" si="92"/>
        <v/>
      </c>
      <c r="AP90" s="199" t="str">
        <f t="shared" si="93"/>
        <v/>
      </c>
      <c r="AQ90" s="199" t="str">
        <f t="shared" si="94"/>
        <v/>
      </c>
      <c r="AR90" s="199" t="str">
        <f t="shared" si="95"/>
        <v/>
      </c>
      <c r="AS90" s="199" t="str">
        <f t="shared" si="96"/>
        <v/>
      </c>
      <c r="AT90" s="199" t="str">
        <f t="shared" si="97"/>
        <v/>
      </c>
      <c r="AU90" s="199" t="str">
        <f t="shared" si="98"/>
        <v/>
      </c>
      <c r="AV90" s="199" t="str">
        <f t="shared" si="99"/>
        <v/>
      </c>
      <c r="AW90" s="199" t="str">
        <f t="shared" si="100"/>
        <v/>
      </c>
      <c r="AX90" s="199" t="str">
        <f t="shared" si="101"/>
        <v/>
      </c>
      <c r="AY90" s="199" t="str">
        <f t="shared" si="102"/>
        <v/>
      </c>
    </row>
    <row r="91" spans="1:51" ht="20.399999999999999" x14ac:dyDescent="0.3">
      <c r="A91" s="191">
        <v>89</v>
      </c>
      <c r="B91" s="225" t="s">
        <v>227</v>
      </c>
      <c r="C91" s="120" t="s">
        <v>228</v>
      </c>
      <c r="D91" s="127">
        <v>2013</v>
      </c>
      <c r="E91" s="124">
        <v>41628</v>
      </c>
      <c r="F91" s="198">
        <f t="shared" si="72"/>
        <v>12</v>
      </c>
      <c r="G91" s="198" t="str">
        <f t="shared" si="73"/>
        <v>122013</v>
      </c>
      <c r="H91" s="198" t="str">
        <f t="shared" si="74"/>
        <v>diciembre</v>
      </c>
      <c r="I91" s="114">
        <f>VLOOKUP(B91,'Base de Datos'!$E$7:$W$271,14,0)</f>
        <v>0</v>
      </c>
      <c r="J91" s="200">
        <f t="shared" si="75"/>
        <v>1900</v>
      </c>
      <c r="K91" s="199">
        <f t="shared" si="76"/>
        <v>1</v>
      </c>
      <c r="L91" s="199" t="str">
        <f t="shared" si="77"/>
        <v>11900</v>
      </c>
      <c r="M91" s="199" t="str">
        <f t="shared" si="78"/>
        <v>enero</v>
      </c>
      <c r="N91" s="199">
        <f t="shared" ca="1" si="79"/>
        <v>44228</v>
      </c>
      <c r="O91" s="242" t="str">
        <f t="shared" ca="1" si="80"/>
        <v>SI</v>
      </c>
      <c r="P91" s="242" t="str">
        <f t="shared" si="103"/>
        <v/>
      </c>
      <c r="Q91" s="242" t="str">
        <f t="shared" si="81"/>
        <v/>
      </c>
      <c r="R91" s="242" t="str">
        <f t="shared" si="82"/>
        <v/>
      </c>
      <c r="S91" s="242" t="str">
        <f t="shared" si="83"/>
        <v/>
      </c>
      <c r="T91" s="242" t="str">
        <f t="shared" si="84"/>
        <v/>
      </c>
      <c r="U91" s="242" t="str">
        <f t="shared" si="85"/>
        <v/>
      </c>
      <c r="V91" s="242" t="str">
        <f t="shared" si="105"/>
        <v/>
      </c>
      <c r="W91" s="242" t="str">
        <f t="shared" si="86"/>
        <v/>
      </c>
      <c r="X91" s="242" t="str">
        <f t="shared" si="87"/>
        <v/>
      </c>
      <c r="Y91" s="242" t="str">
        <f t="shared" si="104"/>
        <v/>
      </c>
      <c r="Z91" s="242" t="str">
        <f t="shared" si="88"/>
        <v/>
      </c>
      <c r="AA91" s="242" t="str">
        <f t="shared" si="112"/>
        <v/>
      </c>
      <c r="AB91" s="242" t="str">
        <f t="shared" si="107"/>
        <v/>
      </c>
      <c r="AC91" s="242" t="str">
        <f t="shared" si="110"/>
        <v/>
      </c>
      <c r="AD91" s="242" t="str">
        <f t="shared" si="48"/>
        <v/>
      </c>
      <c r="AE91" s="242" t="str">
        <f t="shared" si="49"/>
        <v/>
      </c>
      <c r="AF91" s="242" t="str">
        <f t="shared" si="68"/>
        <v/>
      </c>
      <c r="AG91" s="242" t="str">
        <f t="shared" si="69"/>
        <v/>
      </c>
      <c r="AH91" s="242" t="str">
        <f t="shared" si="70"/>
        <v/>
      </c>
      <c r="AI91" s="242" t="str">
        <f t="shared" si="71"/>
        <v/>
      </c>
      <c r="AJ91" s="242" t="str">
        <f t="shared" si="106"/>
        <v/>
      </c>
      <c r="AK91" s="242" t="str">
        <f t="shared" si="108"/>
        <v/>
      </c>
      <c r="AL91" s="242" t="str">
        <f t="shared" si="109"/>
        <v/>
      </c>
      <c r="AM91" s="242" t="str">
        <f t="shared" si="111"/>
        <v/>
      </c>
      <c r="AN91" s="199">
        <v>1</v>
      </c>
      <c r="AO91" s="199" t="str">
        <f t="shared" si="92"/>
        <v/>
      </c>
      <c r="AP91" s="199" t="str">
        <f t="shared" si="93"/>
        <v/>
      </c>
      <c r="AQ91" s="199" t="str">
        <f t="shared" si="94"/>
        <v/>
      </c>
      <c r="AR91" s="199" t="str">
        <f t="shared" si="95"/>
        <v/>
      </c>
      <c r="AS91" s="199" t="str">
        <f t="shared" si="96"/>
        <v/>
      </c>
      <c r="AT91" s="199" t="str">
        <f t="shared" si="97"/>
        <v/>
      </c>
      <c r="AU91" s="199" t="str">
        <f t="shared" si="98"/>
        <v/>
      </c>
      <c r="AV91" s="199" t="str">
        <f t="shared" si="99"/>
        <v/>
      </c>
      <c r="AW91" s="199" t="str">
        <f t="shared" si="100"/>
        <v/>
      </c>
      <c r="AX91" s="199" t="str">
        <f t="shared" si="101"/>
        <v/>
      </c>
      <c r="AY91" s="199" t="str">
        <f t="shared" si="102"/>
        <v/>
      </c>
    </row>
    <row r="92" spans="1:51" ht="20.399999999999999" x14ac:dyDescent="0.3">
      <c r="A92" s="191">
        <v>90</v>
      </c>
      <c r="B92" s="225" t="s">
        <v>223</v>
      </c>
      <c r="C92" s="120" t="s">
        <v>224</v>
      </c>
      <c r="D92" s="127">
        <v>2013</v>
      </c>
      <c r="E92" s="124">
        <v>41628</v>
      </c>
      <c r="F92" s="198">
        <f t="shared" si="72"/>
        <v>12</v>
      </c>
      <c r="G92" s="198" t="str">
        <f t="shared" si="73"/>
        <v>122013</v>
      </c>
      <c r="H92" s="198" t="str">
        <f t="shared" si="74"/>
        <v>diciembre</v>
      </c>
      <c r="I92" s="114">
        <f>VLOOKUP(B92,'Base de Datos'!$E$7:$W$271,14,0)</f>
        <v>0</v>
      </c>
      <c r="J92" s="200">
        <f t="shared" si="75"/>
        <v>1900</v>
      </c>
      <c r="K92" s="199">
        <f t="shared" si="76"/>
        <v>1</v>
      </c>
      <c r="L92" s="199" t="str">
        <f t="shared" si="77"/>
        <v>11900</v>
      </c>
      <c r="M92" s="199" t="str">
        <f t="shared" si="78"/>
        <v>enero</v>
      </c>
      <c r="N92" s="199">
        <f t="shared" ca="1" si="79"/>
        <v>44228</v>
      </c>
      <c r="O92" s="242" t="str">
        <f t="shared" ca="1" si="80"/>
        <v>SI</v>
      </c>
      <c r="P92" s="242" t="str">
        <f t="shared" si="103"/>
        <v/>
      </c>
      <c r="Q92" s="242" t="str">
        <f t="shared" si="81"/>
        <v/>
      </c>
      <c r="R92" s="242" t="str">
        <f t="shared" si="82"/>
        <v/>
      </c>
      <c r="S92" s="242" t="str">
        <f t="shared" si="83"/>
        <v/>
      </c>
      <c r="T92" s="242" t="str">
        <f t="shared" si="84"/>
        <v/>
      </c>
      <c r="U92" s="242" t="str">
        <f t="shared" si="85"/>
        <v/>
      </c>
      <c r="V92" s="242" t="str">
        <f t="shared" si="105"/>
        <v/>
      </c>
      <c r="W92" s="242" t="str">
        <f t="shared" si="86"/>
        <v/>
      </c>
      <c r="X92" s="242" t="str">
        <f t="shared" si="87"/>
        <v/>
      </c>
      <c r="Y92" s="242" t="str">
        <f t="shared" si="104"/>
        <v/>
      </c>
      <c r="Z92" s="242" t="str">
        <f t="shared" si="88"/>
        <v/>
      </c>
      <c r="AA92" s="242" t="str">
        <f t="shared" si="112"/>
        <v/>
      </c>
      <c r="AB92" s="242" t="str">
        <f t="shared" si="107"/>
        <v/>
      </c>
      <c r="AC92" s="242" t="str">
        <f t="shared" si="110"/>
        <v/>
      </c>
      <c r="AD92" s="242" t="str">
        <f t="shared" si="48"/>
        <v/>
      </c>
      <c r="AE92" s="242" t="str">
        <f t="shared" si="49"/>
        <v/>
      </c>
      <c r="AF92" s="242" t="str">
        <f t="shared" si="68"/>
        <v/>
      </c>
      <c r="AG92" s="242" t="str">
        <f t="shared" si="69"/>
        <v/>
      </c>
      <c r="AH92" s="242" t="str">
        <f t="shared" si="70"/>
        <v/>
      </c>
      <c r="AI92" s="242" t="str">
        <f t="shared" si="71"/>
        <v/>
      </c>
      <c r="AJ92" s="242" t="str">
        <f t="shared" si="106"/>
        <v/>
      </c>
      <c r="AK92" s="242" t="str">
        <f t="shared" si="108"/>
        <v/>
      </c>
      <c r="AL92" s="242" t="str">
        <f t="shared" si="109"/>
        <v/>
      </c>
      <c r="AM92" s="242" t="str">
        <f t="shared" si="111"/>
        <v/>
      </c>
      <c r="AN92" s="199">
        <v>1</v>
      </c>
      <c r="AO92" s="199" t="str">
        <f t="shared" si="92"/>
        <v/>
      </c>
      <c r="AP92" s="199" t="str">
        <f t="shared" si="93"/>
        <v/>
      </c>
      <c r="AQ92" s="199" t="str">
        <f t="shared" si="94"/>
        <v/>
      </c>
      <c r="AR92" s="199" t="str">
        <f t="shared" si="95"/>
        <v/>
      </c>
      <c r="AS92" s="199" t="str">
        <f t="shared" si="96"/>
        <v/>
      </c>
      <c r="AT92" s="199" t="str">
        <f t="shared" si="97"/>
        <v/>
      </c>
      <c r="AU92" s="199" t="str">
        <f t="shared" si="98"/>
        <v/>
      </c>
      <c r="AV92" s="199" t="str">
        <f t="shared" si="99"/>
        <v/>
      </c>
      <c r="AW92" s="199" t="str">
        <f t="shared" si="100"/>
        <v/>
      </c>
      <c r="AX92" s="199" t="str">
        <f t="shared" si="101"/>
        <v/>
      </c>
      <c r="AY92" s="199" t="str">
        <f t="shared" si="102"/>
        <v/>
      </c>
    </row>
    <row r="93" spans="1:51" ht="20.399999999999999" x14ac:dyDescent="0.3">
      <c r="A93" s="191">
        <v>91</v>
      </c>
      <c r="B93" s="225" t="s">
        <v>225</v>
      </c>
      <c r="C93" s="120" t="s">
        <v>226</v>
      </c>
      <c r="D93" s="127">
        <v>2013</v>
      </c>
      <c r="E93" s="124">
        <v>41628</v>
      </c>
      <c r="F93" s="198">
        <f t="shared" si="72"/>
        <v>12</v>
      </c>
      <c r="G93" s="198" t="str">
        <f t="shared" si="73"/>
        <v>122013</v>
      </c>
      <c r="H93" s="198" t="str">
        <f t="shared" si="74"/>
        <v>diciembre</v>
      </c>
      <c r="I93" s="114">
        <f>VLOOKUP(B93,'Base de Datos'!$E$7:$W$271,14,0)</f>
        <v>0</v>
      </c>
      <c r="J93" s="200">
        <f t="shared" si="75"/>
        <v>1900</v>
      </c>
      <c r="K93" s="199">
        <f t="shared" si="76"/>
        <v>1</v>
      </c>
      <c r="L93" s="199" t="str">
        <f t="shared" si="77"/>
        <v>11900</v>
      </c>
      <c r="M93" s="199" t="str">
        <f t="shared" si="78"/>
        <v>enero</v>
      </c>
      <c r="N93" s="199">
        <f t="shared" ca="1" si="79"/>
        <v>44228</v>
      </c>
      <c r="O93" s="242" t="str">
        <f t="shared" ca="1" si="80"/>
        <v>SI</v>
      </c>
      <c r="P93" s="242" t="str">
        <f t="shared" si="103"/>
        <v/>
      </c>
      <c r="Q93" s="242" t="str">
        <f t="shared" si="81"/>
        <v/>
      </c>
      <c r="R93" s="242" t="str">
        <f t="shared" si="82"/>
        <v/>
      </c>
      <c r="S93" s="242" t="str">
        <f t="shared" si="83"/>
        <v/>
      </c>
      <c r="T93" s="242" t="str">
        <f t="shared" si="84"/>
        <v/>
      </c>
      <c r="U93" s="242" t="str">
        <f t="shared" si="85"/>
        <v/>
      </c>
      <c r="V93" s="242" t="str">
        <f t="shared" si="105"/>
        <v/>
      </c>
      <c r="W93" s="242" t="str">
        <f t="shared" si="86"/>
        <v/>
      </c>
      <c r="X93" s="242" t="str">
        <f t="shared" si="87"/>
        <v/>
      </c>
      <c r="Y93" s="242" t="str">
        <f t="shared" si="104"/>
        <v/>
      </c>
      <c r="Z93" s="242" t="str">
        <f t="shared" si="88"/>
        <v/>
      </c>
      <c r="AA93" s="242" t="str">
        <f t="shared" si="112"/>
        <v/>
      </c>
      <c r="AB93" s="242" t="str">
        <f t="shared" si="107"/>
        <v/>
      </c>
      <c r="AC93" s="242" t="str">
        <f t="shared" si="110"/>
        <v/>
      </c>
      <c r="AD93" s="242" t="str">
        <f t="shared" si="48"/>
        <v/>
      </c>
      <c r="AE93" s="242" t="str">
        <f t="shared" si="49"/>
        <v/>
      </c>
      <c r="AF93" s="242" t="str">
        <f t="shared" si="68"/>
        <v/>
      </c>
      <c r="AG93" s="242" t="str">
        <f t="shared" si="69"/>
        <v/>
      </c>
      <c r="AH93" s="242" t="str">
        <f t="shared" si="70"/>
        <v/>
      </c>
      <c r="AI93" s="242" t="str">
        <f t="shared" si="71"/>
        <v/>
      </c>
      <c r="AJ93" s="242" t="str">
        <f t="shared" si="106"/>
        <v/>
      </c>
      <c r="AK93" s="242" t="str">
        <f t="shared" si="108"/>
        <v/>
      </c>
      <c r="AL93" s="242" t="str">
        <f t="shared" si="109"/>
        <v/>
      </c>
      <c r="AM93" s="242" t="str">
        <f t="shared" si="111"/>
        <v/>
      </c>
      <c r="AN93" s="199">
        <v>1</v>
      </c>
      <c r="AO93" s="199" t="str">
        <f t="shared" si="92"/>
        <v/>
      </c>
      <c r="AP93" s="199" t="str">
        <f t="shared" si="93"/>
        <v/>
      </c>
      <c r="AQ93" s="199" t="str">
        <f t="shared" si="94"/>
        <v/>
      </c>
      <c r="AR93" s="199" t="str">
        <f t="shared" si="95"/>
        <v/>
      </c>
      <c r="AS93" s="199" t="str">
        <f t="shared" si="96"/>
        <v/>
      </c>
      <c r="AT93" s="199" t="str">
        <f t="shared" si="97"/>
        <v/>
      </c>
      <c r="AU93" s="199" t="str">
        <f t="shared" si="98"/>
        <v/>
      </c>
      <c r="AV93" s="199" t="str">
        <f t="shared" si="99"/>
        <v/>
      </c>
      <c r="AW93" s="199" t="str">
        <f t="shared" si="100"/>
        <v/>
      </c>
      <c r="AX93" s="199" t="str">
        <f t="shared" si="101"/>
        <v/>
      </c>
      <c r="AY93" s="199" t="str">
        <f t="shared" si="102"/>
        <v/>
      </c>
    </row>
    <row r="94" spans="1:51" ht="20.399999999999999" x14ac:dyDescent="0.3">
      <c r="A94" s="191">
        <v>92</v>
      </c>
      <c r="B94" s="225" t="s">
        <v>221</v>
      </c>
      <c r="C94" s="120" t="s">
        <v>222</v>
      </c>
      <c r="D94" s="127">
        <v>2013</v>
      </c>
      <c r="E94" s="124">
        <v>41628</v>
      </c>
      <c r="F94" s="198">
        <f t="shared" si="72"/>
        <v>12</v>
      </c>
      <c r="G94" s="198" t="str">
        <f t="shared" si="73"/>
        <v>122013</v>
      </c>
      <c r="H94" s="198" t="str">
        <f t="shared" si="74"/>
        <v>diciembre</v>
      </c>
      <c r="I94" s="114">
        <f>VLOOKUP(B94,'Base de Datos'!$E$7:$W$271,14,0)</f>
        <v>0</v>
      </c>
      <c r="J94" s="200">
        <f t="shared" si="75"/>
        <v>1900</v>
      </c>
      <c r="K94" s="199">
        <f t="shared" si="76"/>
        <v>1</v>
      </c>
      <c r="L94" s="199" t="str">
        <f t="shared" si="77"/>
        <v>11900</v>
      </c>
      <c r="M94" s="199" t="str">
        <f t="shared" si="78"/>
        <v>enero</v>
      </c>
      <c r="N94" s="199">
        <f t="shared" ca="1" si="79"/>
        <v>44228</v>
      </c>
      <c r="O94" s="242" t="str">
        <f t="shared" ca="1" si="80"/>
        <v>SI</v>
      </c>
      <c r="P94" s="242" t="str">
        <f t="shared" si="103"/>
        <v/>
      </c>
      <c r="Q94" s="242" t="str">
        <f t="shared" si="81"/>
        <v/>
      </c>
      <c r="R94" s="242" t="str">
        <f t="shared" si="82"/>
        <v/>
      </c>
      <c r="S94" s="242" t="str">
        <f t="shared" si="83"/>
        <v/>
      </c>
      <c r="T94" s="242" t="str">
        <f t="shared" si="84"/>
        <v/>
      </c>
      <c r="U94" s="242" t="str">
        <f t="shared" si="85"/>
        <v/>
      </c>
      <c r="V94" s="242" t="str">
        <f t="shared" si="105"/>
        <v/>
      </c>
      <c r="W94" s="242" t="str">
        <f t="shared" si="86"/>
        <v/>
      </c>
      <c r="X94" s="242" t="str">
        <f t="shared" si="87"/>
        <v/>
      </c>
      <c r="Y94" s="242" t="str">
        <f t="shared" si="104"/>
        <v/>
      </c>
      <c r="Z94" s="242" t="str">
        <f t="shared" si="88"/>
        <v/>
      </c>
      <c r="AA94" s="242" t="str">
        <f t="shared" si="112"/>
        <v/>
      </c>
      <c r="AB94" s="242" t="str">
        <f t="shared" si="107"/>
        <v/>
      </c>
      <c r="AC94" s="242" t="str">
        <f t="shared" si="110"/>
        <v/>
      </c>
      <c r="AD94" s="242" t="str">
        <f t="shared" ref="AD94:AD157" si="113">IF(AND(E94&lt;$AD$2,I94&gt;$AD$2),"1","")</f>
        <v/>
      </c>
      <c r="AE94" s="242" t="str">
        <f t="shared" si="49"/>
        <v/>
      </c>
      <c r="AF94" s="242" t="str">
        <f t="shared" si="68"/>
        <v/>
      </c>
      <c r="AG94" s="242" t="str">
        <f t="shared" si="69"/>
        <v/>
      </c>
      <c r="AH94" s="242" t="str">
        <f t="shared" si="70"/>
        <v/>
      </c>
      <c r="AI94" s="242" t="str">
        <f t="shared" si="71"/>
        <v/>
      </c>
      <c r="AJ94" s="242" t="str">
        <f t="shared" si="106"/>
        <v/>
      </c>
      <c r="AK94" s="242" t="str">
        <f t="shared" si="108"/>
        <v/>
      </c>
      <c r="AL94" s="242" t="str">
        <f t="shared" si="109"/>
        <v/>
      </c>
      <c r="AM94" s="242" t="str">
        <f t="shared" si="111"/>
        <v/>
      </c>
      <c r="AN94" s="199">
        <v>1</v>
      </c>
      <c r="AO94" s="199" t="str">
        <f t="shared" si="92"/>
        <v/>
      </c>
      <c r="AP94" s="199" t="str">
        <f t="shared" si="93"/>
        <v/>
      </c>
      <c r="AQ94" s="199" t="str">
        <f t="shared" si="94"/>
        <v/>
      </c>
      <c r="AR94" s="199" t="str">
        <f t="shared" si="95"/>
        <v/>
      </c>
      <c r="AS94" s="199" t="str">
        <f t="shared" si="96"/>
        <v/>
      </c>
      <c r="AT94" s="199" t="str">
        <f t="shared" si="97"/>
        <v/>
      </c>
      <c r="AU94" s="199" t="str">
        <f t="shared" si="98"/>
        <v/>
      </c>
      <c r="AV94" s="199" t="str">
        <f t="shared" si="99"/>
        <v/>
      </c>
      <c r="AW94" s="199" t="str">
        <f t="shared" si="100"/>
        <v/>
      </c>
      <c r="AX94" s="199" t="str">
        <f t="shared" si="101"/>
        <v/>
      </c>
      <c r="AY94" s="199" t="str">
        <f t="shared" si="102"/>
        <v/>
      </c>
    </row>
    <row r="95" spans="1:51" ht="20.399999999999999" x14ac:dyDescent="0.3">
      <c r="A95" s="191">
        <v>93</v>
      </c>
      <c r="B95" s="224" t="s">
        <v>99</v>
      </c>
      <c r="C95" s="120" t="s">
        <v>100</v>
      </c>
      <c r="D95" s="138">
        <v>2013</v>
      </c>
      <c r="E95" s="124">
        <v>41416</v>
      </c>
      <c r="F95" s="198">
        <f t="shared" si="72"/>
        <v>5</v>
      </c>
      <c r="G95" s="198" t="str">
        <f t="shared" si="73"/>
        <v>52013</v>
      </c>
      <c r="H95" s="198" t="str">
        <f t="shared" si="74"/>
        <v>mayo</v>
      </c>
      <c r="I95" s="114">
        <f>VLOOKUP(B95,'Base de Datos'!$E$7:$W$271,14,0)</f>
        <v>0</v>
      </c>
      <c r="J95" s="200">
        <f t="shared" si="75"/>
        <v>1900</v>
      </c>
      <c r="K95" s="199">
        <f t="shared" si="76"/>
        <v>1</v>
      </c>
      <c r="L95" s="199" t="str">
        <f t="shared" si="77"/>
        <v>11900</v>
      </c>
      <c r="M95" s="199" t="str">
        <f t="shared" si="78"/>
        <v>enero</v>
      </c>
      <c r="N95" s="199">
        <f t="shared" ca="1" si="79"/>
        <v>44228</v>
      </c>
      <c r="O95" s="242" t="str">
        <f t="shared" ca="1" si="80"/>
        <v>SI</v>
      </c>
      <c r="P95" s="242" t="str">
        <f t="shared" si="103"/>
        <v/>
      </c>
      <c r="Q95" s="242" t="str">
        <f t="shared" si="81"/>
        <v/>
      </c>
      <c r="R95" s="242" t="str">
        <f t="shared" si="82"/>
        <v/>
      </c>
      <c r="S95" s="242" t="str">
        <f t="shared" si="83"/>
        <v/>
      </c>
      <c r="T95" s="242" t="str">
        <f t="shared" si="84"/>
        <v/>
      </c>
      <c r="U95" s="242" t="str">
        <f t="shared" si="85"/>
        <v/>
      </c>
      <c r="V95" s="242" t="str">
        <f t="shared" si="105"/>
        <v/>
      </c>
      <c r="W95" s="242" t="str">
        <f t="shared" si="86"/>
        <v/>
      </c>
      <c r="X95" s="242" t="str">
        <f t="shared" si="87"/>
        <v/>
      </c>
      <c r="Y95" s="242" t="str">
        <f t="shared" si="104"/>
        <v/>
      </c>
      <c r="Z95" s="242" t="str">
        <f t="shared" si="88"/>
        <v/>
      </c>
      <c r="AA95" s="242" t="str">
        <f t="shared" si="112"/>
        <v/>
      </c>
      <c r="AB95" s="242" t="str">
        <f t="shared" si="107"/>
        <v/>
      </c>
      <c r="AC95" s="242" t="str">
        <f t="shared" si="110"/>
        <v/>
      </c>
      <c r="AD95" s="242" t="str">
        <f t="shared" si="113"/>
        <v/>
      </c>
      <c r="AE95" s="242" t="str">
        <f t="shared" si="49"/>
        <v/>
      </c>
      <c r="AF95" s="242" t="str">
        <f t="shared" si="68"/>
        <v/>
      </c>
      <c r="AG95" s="242" t="str">
        <f t="shared" si="69"/>
        <v/>
      </c>
      <c r="AH95" s="242" t="str">
        <f t="shared" si="70"/>
        <v/>
      </c>
      <c r="AI95" s="242" t="str">
        <f t="shared" ref="AI95:AI126" si="114">IF(AND(E95&lt;$AI$2,I95&gt;$AI$2),"1","")</f>
        <v/>
      </c>
      <c r="AJ95" s="242" t="str">
        <f t="shared" si="106"/>
        <v/>
      </c>
      <c r="AK95" s="242" t="str">
        <f t="shared" si="108"/>
        <v/>
      </c>
      <c r="AL95" s="242" t="str">
        <f t="shared" si="109"/>
        <v/>
      </c>
      <c r="AM95" s="242" t="str">
        <f t="shared" si="111"/>
        <v/>
      </c>
      <c r="AN95" s="199">
        <v>1</v>
      </c>
      <c r="AO95" s="199" t="str">
        <f t="shared" si="92"/>
        <v/>
      </c>
      <c r="AP95" s="199" t="str">
        <f t="shared" si="93"/>
        <v/>
      </c>
      <c r="AQ95" s="199" t="str">
        <f t="shared" si="94"/>
        <v/>
      </c>
      <c r="AR95" s="199" t="str">
        <f t="shared" si="95"/>
        <v/>
      </c>
      <c r="AS95" s="199" t="str">
        <f t="shared" si="96"/>
        <v/>
      </c>
      <c r="AT95" s="199" t="str">
        <f t="shared" si="97"/>
        <v/>
      </c>
      <c r="AU95" s="199" t="str">
        <f t="shared" si="98"/>
        <v/>
      </c>
      <c r="AV95" s="199" t="str">
        <f t="shared" si="99"/>
        <v/>
      </c>
      <c r="AW95" s="199" t="str">
        <f t="shared" si="100"/>
        <v/>
      </c>
      <c r="AX95" s="199" t="str">
        <f t="shared" si="101"/>
        <v/>
      </c>
      <c r="AY95" s="199" t="str">
        <f t="shared" si="102"/>
        <v/>
      </c>
    </row>
    <row r="96" spans="1:51" x14ac:dyDescent="0.3">
      <c r="A96" s="191">
        <v>94</v>
      </c>
      <c r="B96" s="224" t="s">
        <v>136</v>
      </c>
      <c r="C96" s="120" t="s">
        <v>137</v>
      </c>
      <c r="D96" s="138">
        <v>2013</v>
      </c>
      <c r="E96" s="123">
        <v>41416</v>
      </c>
      <c r="F96" s="198">
        <f t="shared" si="72"/>
        <v>5</v>
      </c>
      <c r="G96" s="198" t="str">
        <f t="shared" si="73"/>
        <v>52013</v>
      </c>
      <c r="H96" s="198" t="str">
        <f t="shared" si="74"/>
        <v>mayo</v>
      </c>
      <c r="I96" s="114">
        <f>VLOOKUP(B96,'Base de Datos'!$E$7:$W$271,14,0)</f>
        <v>0</v>
      </c>
      <c r="J96" s="200">
        <f t="shared" si="75"/>
        <v>1900</v>
      </c>
      <c r="K96" s="199">
        <f t="shared" si="76"/>
        <v>1</v>
      </c>
      <c r="L96" s="199" t="str">
        <f t="shared" si="77"/>
        <v>11900</v>
      </c>
      <c r="M96" s="199" t="str">
        <f t="shared" si="78"/>
        <v>enero</v>
      </c>
      <c r="N96" s="199">
        <f t="shared" ca="1" si="79"/>
        <v>44228</v>
      </c>
      <c r="O96" s="242" t="str">
        <f t="shared" ca="1" si="80"/>
        <v>SI</v>
      </c>
      <c r="P96" s="242" t="str">
        <f t="shared" si="103"/>
        <v/>
      </c>
      <c r="Q96" s="242" t="str">
        <f t="shared" si="81"/>
        <v/>
      </c>
      <c r="R96" s="242" t="str">
        <f t="shared" si="82"/>
        <v/>
      </c>
      <c r="S96" s="242" t="str">
        <f t="shared" si="83"/>
        <v/>
      </c>
      <c r="T96" s="242" t="str">
        <f t="shared" si="84"/>
        <v/>
      </c>
      <c r="U96" s="242" t="str">
        <f t="shared" si="85"/>
        <v/>
      </c>
      <c r="V96" s="242" t="str">
        <f t="shared" si="105"/>
        <v/>
      </c>
      <c r="W96" s="242" t="str">
        <f t="shared" si="86"/>
        <v/>
      </c>
      <c r="X96" s="242" t="str">
        <f t="shared" si="87"/>
        <v/>
      </c>
      <c r="Y96" s="242" t="str">
        <f t="shared" si="104"/>
        <v/>
      </c>
      <c r="Z96" s="242" t="str">
        <f t="shared" si="88"/>
        <v/>
      </c>
      <c r="AA96" s="242" t="str">
        <f t="shared" si="112"/>
        <v/>
      </c>
      <c r="AB96" s="242" t="str">
        <f t="shared" si="107"/>
        <v/>
      </c>
      <c r="AC96" s="242" t="str">
        <f t="shared" si="110"/>
        <v/>
      </c>
      <c r="AD96" s="242" t="str">
        <f t="shared" si="113"/>
        <v/>
      </c>
      <c r="AE96" s="242" t="str">
        <f t="shared" si="49"/>
        <v/>
      </c>
      <c r="AF96" s="242" t="str">
        <f t="shared" si="68"/>
        <v/>
      </c>
      <c r="AG96" s="242" t="str">
        <f t="shared" si="69"/>
        <v/>
      </c>
      <c r="AH96" s="242" t="str">
        <f t="shared" si="70"/>
        <v/>
      </c>
      <c r="AI96" s="242" t="str">
        <f t="shared" si="114"/>
        <v/>
      </c>
      <c r="AJ96" s="242" t="str">
        <f t="shared" si="106"/>
        <v/>
      </c>
      <c r="AK96" s="242" t="str">
        <f t="shared" si="108"/>
        <v/>
      </c>
      <c r="AL96" s="242" t="str">
        <f t="shared" si="109"/>
        <v/>
      </c>
      <c r="AM96" s="242" t="str">
        <f t="shared" si="111"/>
        <v/>
      </c>
      <c r="AN96" s="199">
        <v>1</v>
      </c>
      <c r="AO96" s="199" t="str">
        <f t="shared" si="92"/>
        <v/>
      </c>
      <c r="AP96" s="199" t="str">
        <f t="shared" si="93"/>
        <v/>
      </c>
      <c r="AQ96" s="199" t="str">
        <f t="shared" si="94"/>
        <v/>
      </c>
      <c r="AR96" s="199" t="str">
        <f t="shared" si="95"/>
        <v/>
      </c>
      <c r="AS96" s="199" t="str">
        <f t="shared" si="96"/>
        <v/>
      </c>
      <c r="AT96" s="199" t="str">
        <f t="shared" si="97"/>
        <v/>
      </c>
      <c r="AU96" s="199" t="str">
        <f t="shared" si="98"/>
        <v/>
      </c>
      <c r="AV96" s="199" t="str">
        <f t="shared" si="99"/>
        <v/>
      </c>
      <c r="AW96" s="199" t="str">
        <f t="shared" si="100"/>
        <v/>
      </c>
      <c r="AX96" s="199" t="str">
        <f t="shared" si="101"/>
        <v/>
      </c>
      <c r="AY96" s="199" t="str">
        <f t="shared" si="102"/>
        <v/>
      </c>
    </row>
    <row r="97" spans="1:51" ht="20.399999999999999" x14ac:dyDescent="0.3">
      <c r="A97" s="191">
        <v>95</v>
      </c>
      <c r="B97" s="225" t="s">
        <v>229</v>
      </c>
      <c r="C97" s="120" t="s">
        <v>1042</v>
      </c>
      <c r="D97" s="127">
        <v>2013</v>
      </c>
      <c r="E97" s="124">
        <v>41634</v>
      </c>
      <c r="F97" s="198">
        <f t="shared" si="72"/>
        <v>12</v>
      </c>
      <c r="G97" s="198" t="str">
        <f t="shared" si="73"/>
        <v>122013</v>
      </c>
      <c r="H97" s="198" t="str">
        <f t="shared" si="74"/>
        <v>diciembre</v>
      </c>
      <c r="I97" s="114">
        <f>VLOOKUP(B97,'Base de Datos'!$E$7:$W$271,14,0)</f>
        <v>0</v>
      </c>
      <c r="J97" s="200">
        <f t="shared" si="75"/>
        <v>1900</v>
      </c>
      <c r="K97" s="199">
        <f t="shared" si="76"/>
        <v>1</v>
      </c>
      <c r="L97" s="199" t="str">
        <f t="shared" si="77"/>
        <v>11900</v>
      </c>
      <c r="M97" s="199" t="str">
        <f t="shared" si="78"/>
        <v>enero</v>
      </c>
      <c r="N97" s="199">
        <f t="shared" ca="1" si="79"/>
        <v>44228</v>
      </c>
      <c r="O97" s="242" t="str">
        <f t="shared" ca="1" si="80"/>
        <v>SI</v>
      </c>
      <c r="P97" s="242" t="str">
        <f t="shared" si="103"/>
        <v/>
      </c>
      <c r="Q97" s="242" t="str">
        <f t="shared" si="81"/>
        <v/>
      </c>
      <c r="R97" s="242" t="str">
        <f t="shared" si="82"/>
        <v/>
      </c>
      <c r="S97" s="242" t="str">
        <f t="shared" si="83"/>
        <v/>
      </c>
      <c r="T97" s="242" t="str">
        <f t="shared" si="84"/>
        <v/>
      </c>
      <c r="U97" s="242" t="str">
        <f t="shared" si="85"/>
        <v/>
      </c>
      <c r="V97" s="242" t="str">
        <f t="shared" si="105"/>
        <v/>
      </c>
      <c r="W97" s="242" t="str">
        <f t="shared" si="86"/>
        <v/>
      </c>
      <c r="X97" s="242" t="str">
        <f t="shared" si="87"/>
        <v/>
      </c>
      <c r="Y97" s="242" t="str">
        <f t="shared" si="104"/>
        <v/>
      </c>
      <c r="Z97" s="242" t="str">
        <f t="shared" si="88"/>
        <v/>
      </c>
      <c r="AA97" s="242" t="str">
        <f t="shared" si="112"/>
        <v/>
      </c>
      <c r="AB97" s="242" t="str">
        <f t="shared" si="107"/>
        <v/>
      </c>
      <c r="AC97" s="242" t="str">
        <f t="shared" si="110"/>
        <v/>
      </c>
      <c r="AD97" s="242" t="str">
        <f t="shared" si="113"/>
        <v/>
      </c>
      <c r="AE97" s="242" t="str">
        <f t="shared" si="49"/>
        <v/>
      </c>
      <c r="AF97" s="242" t="str">
        <f t="shared" si="68"/>
        <v/>
      </c>
      <c r="AG97" s="242" t="str">
        <f t="shared" si="69"/>
        <v/>
      </c>
      <c r="AH97" s="242" t="str">
        <f t="shared" si="70"/>
        <v/>
      </c>
      <c r="AI97" s="242" t="str">
        <f t="shared" si="114"/>
        <v/>
      </c>
      <c r="AJ97" s="242" t="str">
        <f t="shared" si="106"/>
        <v/>
      </c>
      <c r="AK97" s="242" t="str">
        <f t="shared" si="108"/>
        <v/>
      </c>
      <c r="AL97" s="242" t="str">
        <f t="shared" si="109"/>
        <v/>
      </c>
      <c r="AM97" s="242" t="str">
        <f t="shared" si="111"/>
        <v/>
      </c>
      <c r="AN97" s="199">
        <v>1</v>
      </c>
      <c r="AO97" s="199" t="str">
        <f t="shared" si="92"/>
        <v/>
      </c>
      <c r="AP97" s="199" t="str">
        <f t="shared" si="93"/>
        <v/>
      </c>
      <c r="AQ97" s="199" t="str">
        <f t="shared" si="94"/>
        <v/>
      </c>
      <c r="AR97" s="199" t="str">
        <f t="shared" si="95"/>
        <v/>
      </c>
      <c r="AS97" s="199" t="str">
        <f t="shared" si="96"/>
        <v/>
      </c>
      <c r="AT97" s="199" t="str">
        <f t="shared" si="97"/>
        <v/>
      </c>
      <c r="AU97" s="199" t="str">
        <f t="shared" si="98"/>
        <v/>
      </c>
      <c r="AV97" s="199" t="str">
        <f t="shared" si="99"/>
        <v/>
      </c>
      <c r="AW97" s="199" t="str">
        <f t="shared" si="100"/>
        <v/>
      </c>
      <c r="AX97" s="199" t="str">
        <f t="shared" si="101"/>
        <v/>
      </c>
      <c r="AY97" s="199" t="str">
        <f t="shared" si="102"/>
        <v/>
      </c>
    </row>
    <row r="98" spans="1:51" ht="20.399999999999999" x14ac:dyDescent="0.3">
      <c r="A98" s="191">
        <v>96</v>
      </c>
      <c r="B98" s="224" t="s">
        <v>138</v>
      </c>
      <c r="C98" s="120" t="s">
        <v>1033</v>
      </c>
      <c r="D98" s="138">
        <v>2013</v>
      </c>
      <c r="E98" s="123">
        <v>41421</v>
      </c>
      <c r="F98" s="198">
        <f t="shared" si="72"/>
        <v>5</v>
      </c>
      <c r="G98" s="198" t="str">
        <f t="shared" si="73"/>
        <v>52013</v>
      </c>
      <c r="H98" s="198" t="str">
        <f t="shared" si="74"/>
        <v>mayo</v>
      </c>
      <c r="I98" s="114">
        <f>VLOOKUP(B98,'Base de Datos'!$E$7:$W$271,14,0)</f>
        <v>0</v>
      </c>
      <c r="J98" s="200">
        <f t="shared" si="75"/>
        <v>1900</v>
      </c>
      <c r="K98" s="199">
        <f t="shared" si="76"/>
        <v>1</v>
      </c>
      <c r="L98" s="199" t="str">
        <f t="shared" si="77"/>
        <v>11900</v>
      </c>
      <c r="M98" s="199" t="str">
        <f t="shared" si="78"/>
        <v>enero</v>
      </c>
      <c r="N98" s="199">
        <f t="shared" ca="1" si="79"/>
        <v>44228</v>
      </c>
      <c r="O98" s="242" t="str">
        <f t="shared" ca="1" si="80"/>
        <v>SI</v>
      </c>
      <c r="P98" s="242" t="str">
        <f t="shared" si="103"/>
        <v/>
      </c>
      <c r="Q98" s="242" t="str">
        <f t="shared" si="81"/>
        <v/>
      </c>
      <c r="R98" s="242" t="str">
        <f t="shared" si="82"/>
        <v/>
      </c>
      <c r="S98" s="242" t="str">
        <f t="shared" si="83"/>
        <v/>
      </c>
      <c r="T98" s="242" t="str">
        <f t="shared" si="84"/>
        <v/>
      </c>
      <c r="U98" s="242" t="str">
        <f t="shared" si="85"/>
        <v/>
      </c>
      <c r="V98" s="242" t="str">
        <f t="shared" si="105"/>
        <v/>
      </c>
      <c r="W98" s="242" t="str">
        <f t="shared" si="86"/>
        <v/>
      </c>
      <c r="X98" s="242" t="str">
        <f t="shared" si="87"/>
        <v/>
      </c>
      <c r="Y98" s="242" t="str">
        <f t="shared" si="104"/>
        <v/>
      </c>
      <c r="Z98" s="242" t="str">
        <f t="shared" si="88"/>
        <v/>
      </c>
      <c r="AA98" s="242" t="str">
        <f t="shared" si="112"/>
        <v/>
      </c>
      <c r="AB98" s="242" t="str">
        <f t="shared" si="107"/>
        <v/>
      </c>
      <c r="AC98" s="242" t="str">
        <f t="shared" si="110"/>
        <v/>
      </c>
      <c r="AD98" s="242" t="str">
        <f t="shared" si="113"/>
        <v/>
      </c>
      <c r="AE98" s="242" t="str">
        <f t="shared" si="49"/>
        <v/>
      </c>
      <c r="AF98" s="242" t="str">
        <f t="shared" si="68"/>
        <v/>
      </c>
      <c r="AG98" s="242" t="str">
        <f t="shared" si="69"/>
        <v/>
      </c>
      <c r="AH98" s="242" t="str">
        <f t="shared" si="70"/>
        <v/>
      </c>
      <c r="AI98" s="242" t="str">
        <f t="shared" si="114"/>
        <v/>
      </c>
      <c r="AJ98" s="242" t="str">
        <f t="shared" si="106"/>
        <v/>
      </c>
      <c r="AK98" s="242" t="str">
        <f t="shared" si="108"/>
        <v/>
      </c>
      <c r="AL98" s="242" t="str">
        <f t="shared" si="109"/>
        <v/>
      </c>
      <c r="AM98" s="242" t="str">
        <f t="shared" si="111"/>
        <v/>
      </c>
      <c r="AN98" s="199">
        <v>1</v>
      </c>
      <c r="AO98" s="199" t="str">
        <f t="shared" si="92"/>
        <v/>
      </c>
      <c r="AP98" s="199" t="str">
        <f t="shared" si="93"/>
        <v/>
      </c>
      <c r="AQ98" s="199" t="str">
        <f t="shared" si="94"/>
        <v/>
      </c>
      <c r="AR98" s="199" t="str">
        <f t="shared" si="95"/>
        <v/>
      </c>
      <c r="AS98" s="199" t="str">
        <f t="shared" si="96"/>
        <v/>
      </c>
      <c r="AT98" s="199" t="str">
        <f t="shared" si="97"/>
        <v/>
      </c>
      <c r="AU98" s="199" t="str">
        <f t="shared" si="98"/>
        <v/>
      </c>
      <c r="AV98" s="199" t="str">
        <f t="shared" si="99"/>
        <v/>
      </c>
      <c r="AW98" s="199" t="str">
        <f t="shared" si="100"/>
        <v/>
      </c>
      <c r="AX98" s="199" t="str">
        <f t="shared" si="101"/>
        <v/>
      </c>
      <c r="AY98" s="199" t="str">
        <f t="shared" si="102"/>
        <v/>
      </c>
    </row>
    <row r="99" spans="1:51" x14ac:dyDescent="0.3">
      <c r="A99" s="191">
        <v>97</v>
      </c>
      <c r="B99" s="224" t="s">
        <v>139</v>
      </c>
      <c r="C99" s="120" t="s">
        <v>140</v>
      </c>
      <c r="D99" s="138">
        <v>2013</v>
      </c>
      <c r="E99" s="123">
        <v>41423</v>
      </c>
      <c r="F99" s="198">
        <f t="shared" si="72"/>
        <v>5</v>
      </c>
      <c r="G99" s="198" t="str">
        <f t="shared" si="73"/>
        <v>52013</v>
      </c>
      <c r="H99" s="198" t="str">
        <f t="shared" si="74"/>
        <v>mayo</v>
      </c>
      <c r="I99" s="114">
        <f>VLOOKUP(B99,'Base de Datos'!$E$7:$W$271,14,0)</f>
        <v>0</v>
      </c>
      <c r="J99" s="200">
        <f t="shared" si="75"/>
        <v>1900</v>
      </c>
      <c r="K99" s="199">
        <f t="shared" si="76"/>
        <v>1</v>
      </c>
      <c r="L99" s="199" t="str">
        <f t="shared" si="77"/>
        <v>11900</v>
      </c>
      <c r="M99" s="199" t="str">
        <f t="shared" si="78"/>
        <v>enero</v>
      </c>
      <c r="N99" s="199">
        <f t="shared" ca="1" si="79"/>
        <v>44228</v>
      </c>
      <c r="O99" s="242" t="str">
        <f t="shared" ca="1" si="80"/>
        <v>SI</v>
      </c>
      <c r="P99" s="242" t="str">
        <f t="shared" si="103"/>
        <v/>
      </c>
      <c r="Q99" s="242" t="str">
        <f t="shared" si="81"/>
        <v/>
      </c>
      <c r="R99" s="242" t="str">
        <f t="shared" si="82"/>
        <v/>
      </c>
      <c r="S99" s="242" t="str">
        <f t="shared" si="83"/>
        <v/>
      </c>
      <c r="T99" s="242" t="str">
        <f t="shared" si="84"/>
        <v/>
      </c>
      <c r="U99" s="242" t="str">
        <f t="shared" si="85"/>
        <v/>
      </c>
      <c r="V99" s="242" t="str">
        <f t="shared" si="105"/>
        <v/>
      </c>
      <c r="W99" s="242" t="str">
        <f t="shared" si="86"/>
        <v/>
      </c>
      <c r="X99" s="242" t="str">
        <f t="shared" si="87"/>
        <v/>
      </c>
      <c r="Y99" s="242" t="str">
        <f t="shared" si="104"/>
        <v/>
      </c>
      <c r="Z99" s="242" t="str">
        <f t="shared" si="88"/>
        <v/>
      </c>
      <c r="AA99" s="242" t="str">
        <f t="shared" si="112"/>
        <v/>
      </c>
      <c r="AB99" s="242" t="str">
        <f t="shared" si="107"/>
        <v/>
      </c>
      <c r="AC99" s="242" t="str">
        <f t="shared" si="110"/>
        <v/>
      </c>
      <c r="AD99" s="242" t="str">
        <f t="shared" si="113"/>
        <v/>
      </c>
      <c r="AE99" s="242" t="str">
        <f t="shared" ref="AE99:AE162" si="115">IF(AND(E99&lt;$AE$2,I99&gt;$AE$2),"1","")</f>
        <v/>
      </c>
      <c r="AF99" s="242" t="str">
        <f t="shared" si="68"/>
        <v/>
      </c>
      <c r="AG99" s="242" t="str">
        <f t="shared" si="69"/>
        <v/>
      </c>
      <c r="AH99" s="242" t="str">
        <f t="shared" si="70"/>
        <v/>
      </c>
      <c r="AI99" s="242" t="str">
        <f t="shared" si="114"/>
        <v/>
      </c>
      <c r="AJ99" s="242" t="str">
        <f t="shared" si="106"/>
        <v/>
      </c>
      <c r="AK99" s="242" t="str">
        <f t="shared" si="108"/>
        <v/>
      </c>
      <c r="AL99" s="242" t="str">
        <f t="shared" si="109"/>
        <v/>
      </c>
      <c r="AM99" s="242" t="str">
        <f t="shared" si="111"/>
        <v/>
      </c>
      <c r="AN99" s="199">
        <v>1</v>
      </c>
      <c r="AO99" s="199" t="str">
        <f t="shared" si="92"/>
        <v/>
      </c>
      <c r="AP99" s="199" t="str">
        <f t="shared" si="93"/>
        <v/>
      </c>
      <c r="AQ99" s="199" t="str">
        <f t="shared" si="94"/>
        <v/>
      </c>
      <c r="AR99" s="199" t="str">
        <f t="shared" si="95"/>
        <v/>
      </c>
      <c r="AS99" s="199" t="str">
        <f t="shared" si="96"/>
        <v/>
      </c>
      <c r="AT99" s="199" t="str">
        <f t="shared" si="97"/>
        <v/>
      </c>
      <c r="AU99" s="199" t="str">
        <f t="shared" si="98"/>
        <v/>
      </c>
      <c r="AV99" s="199" t="str">
        <f t="shared" si="99"/>
        <v/>
      </c>
      <c r="AW99" s="199" t="str">
        <f t="shared" si="100"/>
        <v/>
      </c>
      <c r="AX99" s="199" t="str">
        <f t="shared" si="101"/>
        <v/>
      </c>
      <c r="AY99" s="199" t="str">
        <f t="shared" si="102"/>
        <v/>
      </c>
    </row>
    <row r="100" spans="1:51" ht="20.399999999999999" x14ac:dyDescent="0.3">
      <c r="A100" s="191">
        <v>98</v>
      </c>
      <c r="B100" s="225" t="s">
        <v>230</v>
      </c>
      <c r="C100" s="120" t="s">
        <v>1044</v>
      </c>
      <c r="D100" s="127">
        <v>2013</v>
      </c>
      <c r="E100" s="124">
        <v>41638</v>
      </c>
      <c r="F100" s="198">
        <f t="shared" si="72"/>
        <v>12</v>
      </c>
      <c r="G100" s="198" t="str">
        <f t="shared" si="73"/>
        <v>122013</v>
      </c>
      <c r="H100" s="198" t="str">
        <f t="shared" si="74"/>
        <v>diciembre</v>
      </c>
      <c r="I100" s="114">
        <f>VLOOKUP(B100,'Base de Datos'!$E$7:$W$271,14,0)</f>
        <v>0</v>
      </c>
      <c r="J100" s="200">
        <f t="shared" si="75"/>
        <v>1900</v>
      </c>
      <c r="K100" s="199">
        <f t="shared" si="76"/>
        <v>1</v>
      </c>
      <c r="L100" s="199" t="str">
        <f t="shared" si="77"/>
        <v>11900</v>
      </c>
      <c r="M100" s="199" t="str">
        <f t="shared" si="78"/>
        <v>enero</v>
      </c>
      <c r="N100" s="199">
        <f t="shared" ca="1" si="79"/>
        <v>44228</v>
      </c>
      <c r="O100" s="242" t="str">
        <f t="shared" ca="1" si="80"/>
        <v>SI</v>
      </c>
      <c r="P100" s="242" t="str">
        <f t="shared" si="103"/>
        <v/>
      </c>
      <c r="Q100" s="242" t="str">
        <f t="shared" si="81"/>
        <v/>
      </c>
      <c r="R100" s="242" t="str">
        <f t="shared" si="82"/>
        <v/>
      </c>
      <c r="S100" s="242" t="str">
        <f t="shared" si="83"/>
        <v/>
      </c>
      <c r="T100" s="242" t="str">
        <f t="shared" si="84"/>
        <v/>
      </c>
      <c r="U100" s="242" t="str">
        <f t="shared" si="85"/>
        <v/>
      </c>
      <c r="V100" s="242" t="str">
        <f t="shared" si="105"/>
        <v/>
      </c>
      <c r="W100" s="242" t="str">
        <f t="shared" si="86"/>
        <v/>
      </c>
      <c r="X100" s="242" t="str">
        <f t="shared" si="87"/>
        <v/>
      </c>
      <c r="Y100" s="242" t="str">
        <f t="shared" si="104"/>
        <v/>
      </c>
      <c r="Z100" s="242" t="str">
        <f t="shared" si="88"/>
        <v/>
      </c>
      <c r="AA100" s="242" t="str">
        <f t="shared" si="112"/>
        <v/>
      </c>
      <c r="AB100" s="242" t="str">
        <f t="shared" si="107"/>
        <v/>
      </c>
      <c r="AC100" s="242" t="str">
        <f t="shared" si="110"/>
        <v/>
      </c>
      <c r="AD100" s="242" t="str">
        <f t="shared" si="113"/>
        <v/>
      </c>
      <c r="AE100" s="242" t="str">
        <f t="shared" si="115"/>
        <v/>
      </c>
      <c r="AF100" s="242" t="str">
        <f t="shared" si="68"/>
        <v/>
      </c>
      <c r="AG100" s="242" t="str">
        <f t="shared" si="69"/>
        <v/>
      </c>
      <c r="AH100" s="242" t="str">
        <f t="shared" si="70"/>
        <v/>
      </c>
      <c r="AI100" s="242" t="str">
        <f t="shared" si="114"/>
        <v/>
      </c>
      <c r="AJ100" s="242" t="str">
        <f t="shared" si="106"/>
        <v/>
      </c>
      <c r="AK100" s="242" t="str">
        <f t="shared" si="108"/>
        <v/>
      </c>
      <c r="AL100" s="242" t="str">
        <f t="shared" si="109"/>
        <v/>
      </c>
      <c r="AM100" s="242" t="str">
        <f t="shared" si="111"/>
        <v/>
      </c>
      <c r="AN100" s="199">
        <v>1</v>
      </c>
      <c r="AO100" s="199" t="str">
        <f t="shared" si="92"/>
        <v/>
      </c>
      <c r="AP100" s="199" t="str">
        <f t="shared" si="93"/>
        <v/>
      </c>
      <c r="AQ100" s="199" t="str">
        <f t="shared" si="94"/>
        <v/>
      </c>
      <c r="AR100" s="199" t="str">
        <f t="shared" si="95"/>
        <v/>
      </c>
      <c r="AS100" s="199" t="str">
        <f t="shared" si="96"/>
        <v/>
      </c>
      <c r="AT100" s="199" t="str">
        <f t="shared" si="97"/>
        <v/>
      </c>
      <c r="AU100" s="199" t="str">
        <f t="shared" si="98"/>
        <v/>
      </c>
      <c r="AV100" s="199" t="str">
        <f t="shared" si="99"/>
        <v/>
      </c>
      <c r="AW100" s="199" t="str">
        <f t="shared" si="100"/>
        <v/>
      </c>
      <c r="AX100" s="199" t="str">
        <f t="shared" si="101"/>
        <v/>
      </c>
      <c r="AY100" s="199" t="str">
        <f t="shared" si="102"/>
        <v/>
      </c>
    </row>
    <row r="101" spans="1:51" x14ac:dyDescent="0.3">
      <c r="A101" s="191">
        <v>99</v>
      </c>
      <c r="B101" s="226" t="s">
        <v>155</v>
      </c>
      <c r="C101" s="120" t="s">
        <v>1034</v>
      </c>
      <c r="D101" s="138">
        <v>2013</v>
      </c>
      <c r="E101" s="124">
        <v>41457</v>
      </c>
      <c r="F101" s="198">
        <f t="shared" si="72"/>
        <v>7</v>
      </c>
      <c r="G101" s="198" t="str">
        <f t="shared" si="73"/>
        <v>72013</v>
      </c>
      <c r="H101" s="198" t="str">
        <f t="shared" si="74"/>
        <v>julio</v>
      </c>
      <c r="I101" s="114">
        <f>VLOOKUP(B101,'Base de Datos'!$E$7:$W$271,14,0)</f>
        <v>0</v>
      </c>
      <c r="J101" s="200">
        <f t="shared" si="75"/>
        <v>1900</v>
      </c>
      <c r="K101" s="199">
        <f t="shared" si="76"/>
        <v>1</v>
      </c>
      <c r="L101" s="199" t="str">
        <f t="shared" si="77"/>
        <v>11900</v>
      </c>
      <c r="M101" s="199" t="str">
        <f t="shared" si="78"/>
        <v>enero</v>
      </c>
      <c r="N101" s="199">
        <f t="shared" ca="1" si="79"/>
        <v>44228</v>
      </c>
      <c r="O101" s="242" t="str">
        <f t="shared" ca="1" si="80"/>
        <v>SI</v>
      </c>
      <c r="P101" s="242" t="str">
        <f t="shared" si="103"/>
        <v/>
      </c>
      <c r="Q101" s="242" t="str">
        <f t="shared" si="81"/>
        <v/>
      </c>
      <c r="R101" s="242" t="str">
        <f t="shared" si="82"/>
        <v/>
      </c>
      <c r="S101" s="242" t="str">
        <f t="shared" si="83"/>
        <v/>
      </c>
      <c r="T101" s="242" t="str">
        <f t="shared" si="84"/>
        <v/>
      </c>
      <c r="U101" s="242" t="str">
        <f t="shared" si="85"/>
        <v/>
      </c>
      <c r="V101" s="242" t="str">
        <f t="shared" si="105"/>
        <v/>
      </c>
      <c r="W101" s="242" t="str">
        <f t="shared" si="86"/>
        <v/>
      </c>
      <c r="X101" s="242" t="str">
        <f t="shared" si="87"/>
        <v/>
      </c>
      <c r="Y101" s="242" t="str">
        <f t="shared" si="104"/>
        <v/>
      </c>
      <c r="Z101" s="242" t="str">
        <f t="shared" si="88"/>
        <v/>
      </c>
      <c r="AA101" s="242" t="str">
        <f t="shared" si="112"/>
        <v/>
      </c>
      <c r="AB101" s="242" t="str">
        <f t="shared" si="107"/>
        <v/>
      </c>
      <c r="AC101" s="242" t="str">
        <f t="shared" si="110"/>
        <v/>
      </c>
      <c r="AD101" s="242" t="str">
        <f t="shared" si="113"/>
        <v/>
      </c>
      <c r="AE101" s="242" t="str">
        <f t="shared" si="115"/>
        <v/>
      </c>
      <c r="AF101" s="242" t="str">
        <f t="shared" si="68"/>
        <v/>
      </c>
      <c r="AG101" s="242" t="str">
        <f t="shared" si="69"/>
        <v/>
      </c>
      <c r="AH101" s="242" t="str">
        <f t="shared" si="70"/>
        <v/>
      </c>
      <c r="AI101" s="242" t="str">
        <f t="shared" si="114"/>
        <v/>
      </c>
      <c r="AJ101" s="242" t="str">
        <f t="shared" si="106"/>
        <v/>
      </c>
      <c r="AK101" s="242" t="str">
        <f t="shared" si="108"/>
        <v/>
      </c>
      <c r="AL101" s="242" t="str">
        <f t="shared" si="109"/>
        <v/>
      </c>
      <c r="AM101" s="242" t="str">
        <f t="shared" si="111"/>
        <v/>
      </c>
      <c r="AN101" s="199" t="str">
        <f>IF(AND(E101&lt;$AN$2,I101&gt;$AN$2),"1","")</f>
        <v/>
      </c>
      <c r="AO101" s="199">
        <v>1</v>
      </c>
      <c r="AP101" s="199" t="str">
        <f t="shared" si="93"/>
        <v/>
      </c>
      <c r="AQ101" s="199" t="str">
        <f t="shared" si="94"/>
        <v/>
      </c>
      <c r="AR101" s="199" t="str">
        <f t="shared" si="95"/>
        <v/>
      </c>
      <c r="AS101" s="199" t="str">
        <f t="shared" si="96"/>
        <v/>
      </c>
      <c r="AT101" s="199" t="str">
        <f t="shared" si="97"/>
        <v/>
      </c>
      <c r="AU101" s="199" t="str">
        <f t="shared" si="98"/>
        <v/>
      </c>
      <c r="AV101" s="199" t="str">
        <f t="shared" si="99"/>
        <v/>
      </c>
      <c r="AW101" s="199" t="str">
        <f t="shared" si="100"/>
        <v/>
      </c>
      <c r="AX101" s="199" t="str">
        <f t="shared" si="101"/>
        <v/>
      </c>
      <c r="AY101" s="199" t="str">
        <f t="shared" si="102"/>
        <v/>
      </c>
    </row>
    <row r="102" spans="1:51" ht="20.399999999999999" x14ac:dyDescent="0.3">
      <c r="A102" s="191">
        <v>100</v>
      </c>
      <c r="B102" s="224" t="s">
        <v>92</v>
      </c>
      <c r="C102" s="120" t="s">
        <v>425</v>
      </c>
      <c r="D102" s="122">
        <v>2008</v>
      </c>
      <c r="E102" s="123">
        <v>39724</v>
      </c>
      <c r="F102" s="198">
        <f t="shared" si="72"/>
        <v>10</v>
      </c>
      <c r="G102" s="198" t="str">
        <f t="shared" si="73"/>
        <v>102008</v>
      </c>
      <c r="H102" s="198" t="str">
        <f t="shared" si="74"/>
        <v>octubre</v>
      </c>
      <c r="I102" s="114">
        <f>VLOOKUP(B102,'Base de Datos'!$E$7:$W$271,14,0)</f>
        <v>0</v>
      </c>
      <c r="J102" s="200">
        <f t="shared" si="75"/>
        <v>1900</v>
      </c>
      <c r="K102" s="199">
        <f t="shared" si="76"/>
        <v>1</v>
      </c>
      <c r="L102" s="199" t="str">
        <f t="shared" si="77"/>
        <v>11900</v>
      </c>
      <c r="M102" s="199" t="str">
        <f t="shared" si="78"/>
        <v>enero</v>
      </c>
      <c r="N102" s="199">
        <f t="shared" ca="1" si="79"/>
        <v>44228</v>
      </c>
      <c r="O102" s="242" t="str">
        <f t="shared" ca="1" si="80"/>
        <v>SI</v>
      </c>
      <c r="P102" s="242" t="str">
        <f t="shared" si="103"/>
        <v/>
      </c>
      <c r="Q102" s="242" t="str">
        <f t="shared" si="81"/>
        <v/>
      </c>
      <c r="R102" s="242" t="str">
        <f t="shared" si="82"/>
        <v/>
      </c>
      <c r="S102" s="242" t="str">
        <f t="shared" si="83"/>
        <v/>
      </c>
      <c r="T102" s="242" t="str">
        <f t="shared" si="84"/>
        <v/>
      </c>
      <c r="U102" s="242" t="str">
        <f t="shared" si="85"/>
        <v/>
      </c>
      <c r="V102" s="242" t="str">
        <f t="shared" si="105"/>
        <v/>
      </c>
      <c r="W102" s="242" t="str">
        <f t="shared" si="86"/>
        <v/>
      </c>
      <c r="X102" s="242" t="str">
        <f t="shared" si="87"/>
        <v/>
      </c>
      <c r="Y102" s="242" t="str">
        <f t="shared" si="104"/>
        <v/>
      </c>
      <c r="Z102" s="242" t="str">
        <f t="shared" si="88"/>
        <v/>
      </c>
      <c r="AA102" s="242" t="str">
        <f t="shared" si="112"/>
        <v/>
      </c>
      <c r="AB102" s="242" t="str">
        <f t="shared" si="107"/>
        <v/>
      </c>
      <c r="AC102" s="242" t="str">
        <f t="shared" si="110"/>
        <v/>
      </c>
      <c r="AD102" s="242" t="str">
        <f t="shared" si="113"/>
        <v/>
      </c>
      <c r="AE102" s="242" t="str">
        <f t="shared" si="115"/>
        <v/>
      </c>
      <c r="AF102" s="242" t="str">
        <f t="shared" si="68"/>
        <v/>
      </c>
      <c r="AG102" s="242" t="str">
        <f t="shared" si="69"/>
        <v/>
      </c>
      <c r="AH102" s="242" t="str">
        <f t="shared" si="70"/>
        <v/>
      </c>
      <c r="AI102" s="242" t="str">
        <f t="shared" si="114"/>
        <v/>
      </c>
      <c r="AJ102" s="242" t="str">
        <f t="shared" si="106"/>
        <v/>
      </c>
      <c r="AK102" s="242" t="str">
        <f t="shared" si="108"/>
        <v/>
      </c>
      <c r="AL102" s="242" t="str">
        <f t="shared" si="109"/>
        <v/>
      </c>
      <c r="AM102" s="242" t="str">
        <f t="shared" si="111"/>
        <v/>
      </c>
      <c r="AN102" s="199" t="str">
        <f>IF(AND($E$3&lt;AN101,$I$3&gt;AN101),"1","")</f>
        <v/>
      </c>
      <c r="AO102" s="199">
        <v>1</v>
      </c>
      <c r="AP102" s="199" t="str">
        <f t="shared" ref="AP102:AY102" si="116">IF(AND($E$3&lt;AP101,$I$3&gt;AP101),"1","")</f>
        <v/>
      </c>
      <c r="AQ102" s="199" t="str">
        <f t="shared" si="116"/>
        <v/>
      </c>
      <c r="AR102" s="199" t="str">
        <f t="shared" si="116"/>
        <v/>
      </c>
      <c r="AS102" s="199" t="str">
        <f t="shared" si="116"/>
        <v/>
      </c>
      <c r="AT102" s="199" t="str">
        <f t="shared" si="116"/>
        <v/>
      </c>
      <c r="AU102" s="199" t="str">
        <f t="shared" si="116"/>
        <v/>
      </c>
      <c r="AV102" s="199" t="str">
        <f t="shared" si="116"/>
        <v/>
      </c>
      <c r="AW102" s="199" t="str">
        <f t="shared" si="116"/>
        <v/>
      </c>
      <c r="AX102" s="199" t="str">
        <f t="shared" si="116"/>
        <v/>
      </c>
      <c r="AY102" s="199" t="str">
        <f t="shared" si="116"/>
        <v/>
      </c>
    </row>
    <row r="103" spans="1:51" ht="20.399999999999999" x14ac:dyDescent="0.3">
      <c r="A103" s="191">
        <v>101</v>
      </c>
      <c r="B103" s="226" t="s">
        <v>122</v>
      </c>
      <c r="C103" s="120" t="s">
        <v>244</v>
      </c>
      <c r="D103" s="138">
        <v>2012</v>
      </c>
      <c r="E103" s="123">
        <v>41316</v>
      </c>
      <c r="F103" s="198">
        <f t="shared" si="72"/>
        <v>2</v>
      </c>
      <c r="G103" s="198" t="str">
        <f t="shared" si="73"/>
        <v>22012</v>
      </c>
      <c r="H103" s="198" t="str">
        <f t="shared" si="74"/>
        <v>febrero</v>
      </c>
      <c r="I103" s="114">
        <f>VLOOKUP(B103,'Base de Datos'!$E$7:$W$271,14,0)</f>
        <v>0</v>
      </c>
      <c r="J103" s="200">
        <f t="shared" si="75"/>
        <v>1900</v>
      </c>
      <c r="K103" s="199">
        <f t="shared" si="76"/>
        <v>1</v>
      </c>
      <c r="L103" s="199" t="str">
        <f t="shared" si="77"/>
        <v>11900</v>
      </c>
      <c r="M103" s="199" t="str">
        <f t="shared" si="78"/>
        <v>enero</v>
      </c>
      <c r="N103" s="199">
        <f t="shared" ca="1" si="79"/>
        <v>44228</v>
      </c>
      <c r="O103" s="242" t="str">
        <f t="shared" ca="1" si="80"/>
        <v>SI</v>
      </c>
      <c r="P103" s="242" t="str">
        <f t="shared" si="103"/>
        <v/>
      </c>
      <c r="Q103" s="242" t="str">
        <f t="shared" si="81"/>
        <v/>
      </c>
      <c r="R103" s="242" t="str">
        <f t="shared" si="82"/>
        <v/>
      </c>
      <c r="S103" s="242" t="str">
        <f t="shared" si="83"/>
        <v/>
      </c>
      <c r="T103" s="242" t="str">
        <f t="shared" si="84"/>
        <v/>
      </c>
      <c r="U103" s="242" t="str">
        <f t="shared" si="85"/>
        <v/>
      </c>
      <c r="V103" s="242" t="str">
        <f t="shared" si="105"/>
        <v/>
      </c>
      <c r="W103" s="242" t="str">
        <f t="shared" si="86"/>
        <v/>
      </c>
      <c r="X103" s="242" t="str">
        <f t="shared" si="87"/>
        <v/>
      </c>
      <c r="Y103" s="242" t="str">
        <f t="shared" si="104"/>
        <v/>
      </c>
      <c r="Z103" s="242" t="str">
        <f t="shared" si="88"/>
        <v/>
      </c>
      <c r="AA103" s="242" t="str">
        <f t="shared" si="112"/>
        <v/>
      </c>
      <c r="AB103" s="242" t="str">
        <f t="shared" si="107"/>
        <v/>
      </c>
      <c r="AC103" s="242" t="str">
        <f t="shared" si="110"/>
        <v/>
      </c>
      <c r="AD103" s="242" t="str">
        <f t="shared" si="113"/>
        <v/>
      </c>
      <c r="AE103" s="242" t="str">
        <f t="shared" si="115"/>
        <v/>
      </c>
      <c r="AF103" s="242" t="str">
        <f t="shared" si="68"/>
        <v/>
      </c>
      <c r="AG103" s="242" t="str">
        <f t="shared" si="69"/>
        <v/>
      </c>
      <c r="AH103" s="242" t="str">
        <f t="shared" si="70"/>
        <v/>
      </c>
      <c r="AI103" s="242" t="str">
        <f t="shared" si="114"/>
        <v/>
      </c>
      <c r="AJ103" s="242" t="str">
        <f t="shared" ref="AJ103:AJ134" si="117">IF(AND(E103&lt;$AJ$2,I103&gt;$AJ$2),"1","")</f>
        <v/>
      </c>
      <c r="AK103" s="242" t="str">
        <f t="shared" si="108"/>
        <v/>
      </c>
      <c r="AL103" s="242" t="str">
        <f t="shared" si="109"/>
        <v/>
      </c>
      <c r="AM103" s="242" t="str">
        <f t="shared" si="111"/>
        <v/>
      </c>
      <c r="AN103" s="199" t="str">
        <f t="shared" ref="AN103:AN134" si="118">IF(AND(E103&lt;$AN$2,I103&gt;$AN$2),"1","")</f>
        <v/>
      </c>
      <c r="AO103" s="199">
        <v>1</v>
      </c>
      <c r="AP103" s="199" t="str">
        <f t="shared" ref="AP103:AP110" si="119">IF(AND(E103&lt;$AP$2,I103&gt;$AP$2),"1","")</f>
        <v/>
      </c>
      <c r="AQ103" s="199" t="str">
        <f t="shared" ref="AQ103:AQ119" si="120">IF(AND(E103&lt;$AQ$2,I103&gt;$AQ$2),"1","")</f>
        <v/>
      </c>
      <c r="AR103" s="199" t="str">
        <f t="shared" ref="AR103:AR129" si="121">IF(AND(E103&lt;$AR$2,I103&gt;$AR$2),"1","")</f>
        <v/>
      </c>
      <c r="AS103" s="199" t="str">
        <f t="shared" ref="AS103:AS134" si="122">IF(AND(E103&lt;$AS$2,I103&gt;$AS$2),"1","")</f>
        <v/>
      </c>
      <c r="AT103" s="199" t="str">
        <f t="shared" ref="AT103:AT143" si="123">IF(AND(E103&lt;$AT$2,I103&gt;$AT$2),"1","")</f>
        <v/>
      </c>
      <c r="AU103" s="199" t="str">
        <f t="shared" ref="AU103:AU146" si="124">IF(AND(E103&lt;$AU$2,I103&gt;$AU$2),"1","")</f>
        <v/>
      </c>
      <c r="AV103" s="199" t="str">
        <f t="shared" ref="AV103:AV150" si="125">IF(AND(E103&lt;$AV$2,I103&gt;$AV$2),"1","")</f>
        <v/>
      </c>
      <c r="AW103" s="199" t="str">
        <f t="shared" ref="AW103:AW134" si="126">IF(AND(E103&lt;$AW$2,I103&gt;$AW$2),"1","")</f>
        <v/>
      </c>
      <c r="AX103" s="199" t="str">
        <f t="shared" ref="AX103:AX134" si="127">IF(AND(E103&lt;$AX$2,I103&gt;$AX$2),"1","")</f>
        <v/>
      </c>
      <c r="AY103" s="199" t="str">
        <f t="shared" ref="AY103:AY134" si="128">IF(AND(E103&lt;$AY$2,I103&gt;$AY$2),"1","")</f>
        <v/>
      </c>
    </row>
    <row r="104" spans="1:51" ht="20.399999999999999" x14ac:dyDescent="0.3">
      <c r="A104" s="191">
        <v>102</v>
      </c>
      <c r="B104" s="225" t="s">
        <v>214</v>
      </c>
      <c r="C104" s="120" t="s">
        <v>31</v>
      </c>
      <c r="D104" s="127">
        <v>2013</v>
      </c>
      <c r="E104" s="124">
        <v>41620</v>
      </c>
      <c r="F104" s="198">
        <f t="shared" si="72"/>
        <v>12</v>
      </c>
      <c r="G104" s="198" t="str">
        <f t="shared" si="73"/>
        <v>122013</v>
      </c>
      <c r="H104" s="198" t="str">
        <f t="shared" si="74"/>
        <v>diciembre</v>
      </c>
      <c r="I104" s="114">
        <f>VLOOKUP(B104,'Base de Datos'!$E$7:$W$271,14,0)</f>
        <v>0</v>
      </c>
      <c r="J104" s="200">
        <f t="shared" si="75"/>
        <v>1900</v>
      </c>
      <c r="K104" s="199">
        <f t="shared" si="76"/>
        <v>1</v>
      </c>
      <c r="L104" s="199" t="str">
        <f t="shared" si="77"/>
        <v>11900</v>
      </c>
      <c r="M104" s="199" t="str">
        <f t="shared" si="78"/>
        <v>enero</v>
      </c>
      <c r="N104" s="199">
        <f t="shared" ca="1" si="79"/>
        <v>44228</v>
      </c>
      <c r="O104" s="242" t="str">
        <f t="shared" ca="1" si="80"/>
        <v>SI</v>
      </c>
      <c r="P104" s="242" t="str">
        <f t="shared" si="103"/>
        <v/>
      </c>
      <c r="Q104" s="242" t="str">
        <f t="shared" si="81"/>
        <v/>
      </c>
      <c r="R104" s="242" t="str">
        <f t="shared" si="82"/>
        <v/>
      </c>
      <c r="S104" s="242" t="str">
        <f t="shared" si="83"/>
        <v/>
      </c>
      <c r="T104" s="242" t="str">
        <f t="shared" si="84"/>
        <v/>
      </c>
      <c r="U104" s="242" t="str">
        <f t="shared" si="85"/>
        <v/>
      </c>
      <c r="V104" s="242" t="str">
        <f t="shared" si="105"/>
        <v/>
      </c>
      <c r="W104" s="242" t="str">
        <f t="shared" si="86"/>
        <v/>
      </c>
      <c r="X104" s="242" t="str">
        <f t="shared" si="87"/>
        <v/>
      </c>
      <c r="Y104" s="242" t="str">
        <f t="shared" si="104"/>
        <v/>
      </c>
      <c r="Z104" s="242" t="str">
        <f t="shared" si="88"/>
        <v/>
      </c>
      <c r="AA104" s="242" t="str">
        <f t="shared" si="112"/>
        <v/>
      </c>
      <c r="AB104" s="242" t="str">
        <f t="shared" si="107"/>
        <v/>
      </c>
      <c r="AC104" s="242" t="str">
        <f t="shared" si="110"/>
        <v/>
      </c>
      <c r="AD104" s="242" t="str">
        <f t="shared" si="113"/>
        <v/>
      </c>
      <c r="AE104" s="242" t="str">
        <f t="shared" si="115"/>
        <v/>
      </c>
      <c r="AF104" s="242" t="str">
        <f t="shared" si="68"/>
        <v/>
      </c>
      <c r="AG104" s="242" t="str">
        <f t="shared" si="69"/>
        <v/>
      </c>
      <c r="AH104" s="242" t="str">
        <f t="shared" si="70"/>
        <v/>
      </c>
      <c r="AI104" s="242" t="str">
        <f t="shared" si="114"/>
        <v/>
      </c>
      <c r="AJ104" s="242" t="str">
        <f t="shared" si="117"/>
        <v/>
      </c>
      <c r="AK104" s="242" t="str">
        <f t="shared" si="108"/>
        <v/>
      </c>
      <c r="AL104" s="242" t="str">
        <f t="shared" si="109"/>
        <v/>
      </c>
      <c r="AM104" s="242" t="str">
        <f t="shared" si="111"/>
        <v/>
      </c>
      <c r="AN104" s="199" t="str">
        <f t="shared" si="118"/>
        <v/>
      </c>
      <c r="AO104" s="199">
        <v>1</v>
      </c>
      <c r="AP104" s="199" t="str">
        <f t="shared" si="119"/>
        <v/>
      </c>
      <c r="AQ104" s="199" t="str">
        <f t="shared" si="120"/>
        <v/>
      </c>
      <c r="AR104" s="199" t="str">
        <f t="shared" si="121"/>
        <v/>
      </c>
      <c r="AS104" s="199" t="str">
        <f t="shared" si="122"/>
        <v/>
      </c>
      <c r="AT104" s="199" t="str">
        <f t="shared" si="123"/>
        <v/>
      </c>
      <c r="AU104" s="199" t="str">
        <f t="shared" si="124"/>
        <v/>
      </c>
      <c r="AV104" s="199" t="str">
        <f t="shared" si="125"/>
        <v/>
      </c>
      <c r="AW104" s="199" t="str">
        <f t="shared" si="126"/>
        <v/>
      </c>
      <c r="AX104" s="199" t="str">
        <f t="shared" si="127"/>
        <v/>
      </c>
      <c r="AY104" s="199" t="str">
        <f t="shared" si="128"/>
        <v/>
      </c>
    </row>
    <row r="105" spans="1:51" x14ac:dyDescent="0.3">
      <c r="A105" s="191">
        <v>103</v>
      </c>
      <c r="B105" s="224" t="s">
        <v>78</v>
      </c>
      <c r="C105" s="120" t="s">
        <v>79</v>
      </c>
      <c r="D105" s="138">
        <v>2013</v>
      </c>
      <c r="E105" s="123">
        <v>41319</v>
      </c>
      <c r="F105" s="198">
        <f t="shared" si="72"/>
        <v>2</v>
      </c>
      <c r="G105" s="198" t="str">
        <f t="shared" si="73"/>
        <v>22013</v>
      </c>
      <c r="H105" s="198" t="str">
        <f t="shared" si="74"/>
        <v>febrero</v>
      </c>
      <c r="I105" s="114">
        <f>VLOOKUP(B105,'Base de Datos'!$E$7:$W$271,14,0)</f>
        <v>0</v>
      </c>
      <c r="J105" s="200">
        <f t="shared" si="75"/>
        <v>1900</v>
      </c>
      <c r="K105" s="199">
        <f t="shared" si="76"/>
        <v>1</v>
      </c>
      <c r="L105" s="199" t="str">
        <f t="shared" si="77"/>
        <v>11900</v>
      </c>
      <c r="M105" s="199" t="str">
        <f t="shared" si="78"/>
        <v>enero</v>
      </c>
      <c r="N105" s="199">
        <f t="shared" ca="1" si="79"/>
        <v>44228</v>
      </c>
      <c r="O105" s="242" t="str">
        <f t="shared" ca="1" si="80"/>
        <v>SI</v>
      </c>
      <c r="P105" s="242" t="str">
        <f t="shared" si="103"/>
        <v/>
      </c>
      <c r="Q105" s="242" t="str">
        <f t="shared" si="81"/>
        <v/>
      </c>
      <c r="R105" s="242" t="str">
        <f t="shared" si="82"/>
        <v/>
      </c>
      <c r="S105" s="242" t="str">
        <f t="shared" si="83"/>
        <v/>
      </c>
      <c r="T105" s="242" t="str">
        <f t="shared" si="84"/>
        <v/>
      </c>
      <c r="U105" s="242" t="str">
        <f t="shared" si="85"/>
        <v/>
      </c>
      <c r="V105" s="242" t="str">
        <f t="shared" si="105"/>
        <v/>
      </c>
      <c r="W105" s="242" t="str">
        <f t="shared" si="86"/>
        <v/>
      </c>
      <c r="X105" s="242" t="str">
        <f t="shared" si="87"/>
        <v/>
      </c>
      <c r="Y105" s="242" t="str">
        <f t="shared" si="104"/>
        <v/>
      </c>
      <c r="Z105" s="242" t="str">
        <f t="shared" si="88"/>
        <v/>
      </c>
      <c r="AA105" s="242" t="str">
        <f t="shared" si="112"/>
        <v/>
      </c>
      <c r="AB105" s="242" t="str">
        <f t="shared" si="107"/>
        <v/>
      </c>
      <c r="AC105" s="242" t="str">
        <f t="shared" si="110"/>
        <v/>
      </c>
      <c r="AD105" s="242" t="str">
        <f t="shared" si="113"/>
        <v/>
      </c>
      <c r="AE105" s="242" t="str">
        <f t="shared" si="115"/>
        <v/>
      </c>
      <c r="AF105" s="242" t="str">
        <f t="shared" si="68"/>
        <v/>
      </c>
      <c r="AG105" s="242" t="str">
        <f t="shared" si="69"/>
        <v/>
      </c>
      <c r="AH105" s="242" t="str">
        <f t="shared" si="70"/>
        <v/>
      </c>
      <c r="AI105" s="242" t="str">
        <f t="shared" si="114"/>
        <v/>
      </c>
      <c r="AJ105" s="242" t="str">
        <f t="shared" si="117"/>
        <v/>
      </c>
      <c r="AK105" s="242" t="str">
        <f t="shared" si="108"/>
        <v/>
      </c>
      <c r="AL105" s="242" t="str">
        <f t="shared" si="109"/>
        <v/>
      </c>
      <c r="AM105" s="242" t="str">
        <f t="shared" si="111"/>
        <v/>
      </c>
      <c r="AN105" s="199" t="str">
        <f t="shared" si="118"/>
        <v/>
      </c>
      <c r="AO105" s="199">
        <v>1</v>
      </c>
      <c r="AP105" s="199" t="str">
        <f t="shared" si="119"/>
        <v/>
      </c>
      <c r="AQ105" s="199" t="str">
        <f t="shared" si="120"/>
        <v/>
      </c>
      <c r="AR105" s="199" t="str">
        <f t="shared" si="121"/>
        <v/>
      </c>
      <c r="AS105" s="199" t="str">
        <f t="shared" si="122"/>
        <v/>
      </c>
      <c r="AT105" s="199" t="str">
        <f t="shared" si="123"/>
        <v/>
      </c>
      <c r="AU105" s="199" t="str">
        <f t="shared" si="124"/>
        <v/>
      </c>
      <c r="AV105" s="199" t="str">
        <f t="shared" si="125"/>
        <v/>
      </c>
      <c r="AW105" s="199" t="str">
        <f t="shared" si="126"/>
        <v/>
      </c>
      <c r="AX105" s="199" t="str">
        <f t="shared" si="127"/>
        <v/>
      </c>
      <c r="AY105" s="199" t="str">
        <f t="shared" si="128"/>
        <v/>
      </c>
    </row>
    <row r="106" spans="1:51" ht="20.399999999999999" x14ac:dyDescent="0.3">
      <c r="A106" s="191">
        <v>104</v>
      </c>
      <c r="B106" s="226" t="s">
        <v>167</v>
      </c>
      <c r="C106" s="120" t="s">
        <v>1035</v>
      </c>
      <c r="D106" s="138">
        <v>2013</v>
      </c>
      <c r="E106" s="124">
        <v>41477</v>
      </c>
      <c r="F106" s="198">
        <f t="shared" si="72"/>
        <v>7</v>
      </c>
      <c r="G106" s="198" t="str">
        <f t="shared" si="73"/>
        <v>72013</v>
      </c>
      <c r="H106" s="198" t="str">
        <f t="shared" si="74"/>
        <v>julio</v>
      </c>
      <c r="I106" s="114">
        <f>VLOOKUP(B106,'Base de Datos'!$E$7:$W$271,14,0)</f>
        <v>0</v>
      </c>
      <c r="J106" s="200">
        <f t="shared" si="75"/>
        <v>1900</v>
      </c>
      <c r="K106" s="199">
        <f t="shared" si="76"/>
        <v>1</v>
      </c>
      <c r="L106" s="199" t="str">
        <f t="shared" si="77"/>
        <v>11900</v>
      </c>
      <c r="M106" s="199" t="str">
        <f t="shared" si="78"/>
        <v>enero</v>
      </c>
      <c r="N106" s="199">
        <f t="shared" ca="1" si="79"/>
        <v>44228</v>
      </c>
      <c r="O106" s="242" t="str">
        <f t="shared" ca="1" si="80"/>
        <v>SI</v>
      </c>
      <c r="P106" s="242" t="str">
        <f t="shared" si="103"/>
        <v/>
      </c>
      <c r="Q106" s="242" t="str">
        <f t="shared" si="81"/>
        <v/>
      </c>
      <c r="R106" s="242" t="str">
        <f t="shared" si="82"/>
        <v/>
      </c>
      <c r="S106" s="242" t="str">
        <f t="shared" si="83"/>
        <v/>
      </c>
      <c r="T106" s="242" t="str">
        <f t="shared" si="84"/>
        <v/>
      </c>
      <c r="U106" s="242" t="str">
        <f t="shared" si="85"/>
        <v/>
      </c>
      <c r="V106" s="242" t="str">
        <f t="shared" si="105"/>
        <v/>
      </c>
      <c r="W106" s="242" t="str">
        <f t="shared" si="86"/>
        <v/>
      </c>
      <c r="X106" s="242" t="str">
        <f t="shared" si="87"/>
        <v/>
      </c>
      <c r="Y106" s="242" t="str">
        <f t="shared" si="104"/>
        <v/>
      </c>
      <c r="Z106" s="242" t="str">
        <f t="shared" si="88"/>
        <v/>
      </c>
      <c r="AA106" s="242" t="str">
        <f t="shared" si="112"/>
        <v/>
      </c>
      <c r="AB106" s="242" t="str">
        <f t="shared" si="107"/>
        <v/>
      </c>
      <c r="AC106" s="242" t="str">
        <f t="shared" si="110"/>
        <v/>
      </c>
      <c r="AD106" s="242" t="str">
        <f t="shared" si="113"/>
        <v/>
      </c>
      <c r="AE106" s="242" t="str">
        <f t="shared" si="115"/>
        <v/>
      </c>
      <c r="AF106" s="242" t="str">
        <f t="shared" si="68"/>
        <v/>
      </c>
      <c r="AG106" s="242" t="str">
        <f t="shared" si="69"/>
        <v/>
      </c>
      <c r="AH106" s="242" t="str">
        <f t="shared" si="70"/>
        <v/>
      </c>
      <c r="AI106" s="242" t="str">
        <f t="shared" si="114"/>
        <v/>
      </c>
      <c r="AJ106" s="242" t="str">
        <f t="shared" si="117"/>
        <v/>
      </c>
      <c r="AK106" s="242" t="str">
        <f t="shared" si="108"/>
        <v/>
      </c>
      <c r="AL106" s="242" t="str">
        <f t="shared" si="109"/>
        <v/>
      </c>
      <c r="AM106" s="242" t="str">
        <f t="shared" si="111"/>
        <v/>
      </c>
      <c r="AN106" s="199" t="str">
        <f t="shared" si="118"/>
        <v/>
      </c>
      <c r="AO106" s="199">
        <v>1</v>
      </c>
      <c r="AP106" s="199" t="str">
        <f t="shared" si="119"/>
        <v/>
      </c>
      <c r="AQ106" s="199" t="str">
        <f t="shared" si="120"/>
        <v/>
      </c>
      <c r="AR106" s="199" t="str">
        <f t="shared" si="121"/>
        <v/>
      </c>
      <c r="AS106" s="199" t="str">
        <f t="shared" si="122"/>
        <v/>
      </c>
      <c r="AT106" s="199" t="str">
        <f t="shared" si="123"/>
        <v/>
      </c>
      <c r="AU106" s="199" t="str">
        <f t="shared" si="124"/>
        <v/>
      </c>
      <c r="AV106" s="199" t="str">
        <f t="shared" si="125"/>
        <v/>
      </c>
      <c r="AW106" s="199" t="str">
        <f t="shared" si="126"/>
        <v/>
      </c>
      <c r="AX106" s="199" t="str">
        <f t="shared" si="127"/>
        <v/>
      </c>
      <c r="AY106" s="199" t="str">
        <f t="shared" si="128"/>
        <v/>
      </c>
    </row>
    <row r="107" spans="1:51" ht="20.399999999999999" x14ac:dyDescent="0.3">
      <c r="A107" s="191">
        <v>105</v>
      </c>
      <c r="B107" s="224" t="s">
        <v>91</v>
      </c>
      <c r="C107" s="120" t="s">
        <v>1031</v>
      </c>
      <c r="D107" s="138">
        <v>2013</v>
      </c>
      <c r="E107" s="123">
        <v>41387</v>
      </c>
      <c r="F107" s="198">
        <f t="shared" si="72"/>
        <v>4</v>
      </c>
      <c r="G107" s="198" t="str">
        <f t="shared" si="73"/>
        <v>42013</v>
      </c>
      <c r="H107" s="198" t="str">
        <f t="shared" si="74"/>
        <v>abril</v>
      </c>
      <c r="I107" s="114">
        <f>VLOOKUP(B107,'Base de Datos'!$E$7:$W$271,14,0)</f>
        <v>0</v>
      </c>
      <c r="J107" s="200">
        <f t="shared" si="75"/>
        <v>1900</v>
      </c>
      <c r="K107" s="199">
        <f t="shared" si="76"/>
        <v>1</v>
      </c>
      <c r="L107" s="199" t="str">
        <f t="shared" si="77"/>
        <v>11900</v>
      </c>
      <c r="M107" s="199" t="str">
        <f t="shared" si="78"/>
        <v>enero</v>
      </c>
      <c r="N107" s="199">
        <f t="shared" ca="1" si="79"/>
        <v>44228</v>
      </c>
      <c r="O107" s="242" t="str">
        <f t="shared" ca="1" si="80"/>
        <v>SI</v>
      </c>
      <c r="P107" s="242" t="str">
        <f t="shared" si="103"/>
        <v/>
      </c>
      <c r="Q107" s="242" t="str">
        <f t="shared" si="81"/>
        <v/>
      </c>
      <c r="R107" s="242" t="str">
        <f t="shared" si="82"/>
        <v/>
      </c>
      <c r="S107" s="242" t="str">
        <f t="shared" si="83"/>
        <v/>
      </c>
      <c r="T107" s="242" t="str">
        <f t="shared" si="84"/>
        <v/>
      </c>
      <c r="U107" s="242" t="str">
        <f t="shared" si="85"/>
        <v/>
      </c>
      <c r="V107" s="242" t="str">
        <f t="shared" si="105"/>
        <v/>
      </c>
      <c r="W107" s="242" t="str">
        <f t="shared" si="86"/>
        <v/>
      </c>
      <c r="X107" s="242" t="str">
        <f t="shared" si="87"/>
        <v/>
      </c>
      <c r="Y107" s="242" t="str">
        <f t="shared" si="104"/>
        <v/>
      </c>
      <c r="Z107" s="242" t="str">
        <f t="shared" si="88"/>
        <v/>
      </c>
      <c r="AA107" s="242" t="str">
        <f t="shared" si="112"/>
        <v/>
      </c>
      <c r="AB107" s="242" t="str">
        <f t="shared" si="107"/>
        <v/>
      </c>
      <c r="AC107" s="242" t="str">
        <f t="shared" si="110"/>
        <v/>
      </c>
      <c r="AD107" s="242" t="str">
        <f t="shared" si="113"/>
        <v/>
      </c>
      <c r="AE107" s="242" t="str">
        <f t="shared" si="115"/>
        <v/>
      </c>
      <c r="AF107" s="242" t="str">
        <f t="shared" ref="AF107:AF170" si="129">IF(AND(E107&lt;$AF$2,I107&gt;$AF$2),"1","")</f>
        <v/>
      </c>
      <c r="AG107" s="242" t="str">
        <f t="shared" si="69"/>
        <v/>
      </c>
      <c r="AH107" s="242" t="str">
        <f t="shared" si="70"/>
        <v/>
      </c>
      <c r="AI107" s="242" t="str">
        <f t="shared" si="114"/>
        <v/>
      </c>
      <c r="AJ107" s="242" t="str">
        <f t="shared" si="117"/>
        <v/>
      </c>
      <c r="AK107" s="242" t="str">
        <f t="shared" si="108"/>
        <v/>
      </c>
      <c r="AL107" s="242" t="str">
        <f t="shared" si="109"/>
        <v/>
      </c>
      <c r="AM107" s="242" t="str">
        <f t="shared" si="111"/>
        <v/>
      </c>
      <c r="AN107" s="199" t="str">
        <f t="shared" si="118"/>
        <v/>
      </c>
      <c r="AO107" s="199">
        <v>1</v>
      </c>
      <c r="AP107" s="199" t="str">
        <f t="shared" si="119"/>
        <v/>
      </c>
      <c r="AQ107" s="199" t="str">
        <f t="shared" si="120"/>
        <v/>
      </c>
      <c r="AR107" s="199" t="str">
        <f t="shared" si="121"/>
        <v/>
      </c>
      <c r="AS107" s="199" t="str">
        <f t="shared" si="122"/>
        <v/>
      </c>
      <c r="AT107" s="199" t="str">
        <f t="shared" si="123"/>
        <v/>
      </c>
      <c r="AU107" s="199" t="str">
        <f t="shared" si="124"/>
        <v/>
      </c>
      <c r="AV107" s="199" t="str">
        <f t="shared" si="125"/>
        <v/>
      </c>
      <c r="AW107" s="199" t="str">
        <f t="shared" si="126"/>
        <v/>
      </c>
      <c r="AX107" s="199" t="str">
        <f t="shared" si="127"/>
        <v/>
      </c>
      <c r="AY107" s="199" t="str">
        <f t="shared" si="128"/>
        <v/>
      </c>
    </row>
    <row r="108" spans="1:51" x14ac:dyDescent="0.3">
      <c r="A108" s="191">
        <v>106</v>
      </c>
      <c r="B108" s="224" t="s">
        <v>97</v>
      </c>
      <c r="C108" s="120" t="s">
        <v>98</v>
      </c>
      <c r="D108" s="138">
        <v>2013</v>
      </c>
      <c r="E108" s="124">
        <v>41417</v>
      </c>
      <c r="F108" s="198">
        <f t="shared" si="72"/>
        <v>5</v>
      </c>
      <c r="G108" s="198" t="str">
        <f t="shared" si="73"/>
        <v>52013</v>
      </c>
      <c r="H108" s="198" t="str">
        <f t="shared" si="74"/>
        <v>mayo</v>
      </c>
      <c r="I108" s="114">
        <f>VLOOKUP(B108,'Base de Datos'!$E$7:$W$271,14,0)</f>
        <v>0</v>
      </c>
      <c r="J108" s="200">
        <f t="shared" si="75"/>
        <v>1900</v>
      </c>
      <c r="K108" s="199">
        <f t="shared" si="76"/>
        <v>1</v>
      </c>
      <c r="L108" s="199" t="str">
        <f t="shared" si="77"/>
        <v>11900</v>
      </c>
      <c r="M108" s="199" t="str">
        <f t="shared" si="78"/>
        <v>enero</v>
      </c>
      <c r="N108" s="199">
        <f t="shared" ca="1" si="79"/>
        <v>44228</v>
      </c>
      <c r="O108" s="242" t="str">
        <f t="shared" ca="1" si="80"/>
        <v>SI</v>
      </c>
      <c r="P108" s="242" t="str">
        <f t="shared" si="103"/>
        <v/>
      </c>
      <c r="Q108" s="242" t="str">
        <f t="shared" si="81"/>
        <v/>
      </c>
      <c r="R108" s="242" t="str">
        <f t="shared" si="82"/>
        <v/>
      </c>
      <c r="S108" s="242" t="str">
        <f t="shared" si="83"/>
        <v/>
      </c>
      <c r="T108" s="242" t="str">
        <f t="shared" si="84"/>
        <v/>
      </c>
      <c r="U108" s="242" t="str">
        <f t="shared" si="85"/>
        <v/>
      </c>
      <c r="V108" s="242" t="str">
        <f t="shared" si="105"/>
        <v/>
      </c>
      <c r="W108" s="242" t="str">
        <f t="shared" si="86"/>
        <v/>
      </c>
      <c r="X108" s="242" t="str">
        <f t="shared" si="87"/>
        <v/>
      </c>
      <c r="Y108" s="242" t="str">
        <f t="shared" si="104"/>
        <v/>
      </c>
      <c r="Z108" s="242" t="str">
        <f t="shared" si="88"/>
        <v/>
      </c>
      <c r="AA108" s="242" t="str">
        <f t="shared" si="112"/>
        <v/>
      </c>
      <c r="AB108" s="242" t="str">
        <f t="shared" si="107"/>
        <v/>
      </c>
      <c r="AC108" s="242" t="str">
        <f t="shared" si="110"/>
        <v/>
      </c>
      <c r="AD108" s="242" t="str">
        <f t="shared" si="113"/>
        <v/>
      </c>
      <c r="AE108" s="242" t="str">
        <f t="shared" si="115"/>
        <v/>
      </c>
      <c r="AF108" s="242" t="str">
        <f t="shared" si="129"/>
        <v/>
      </c>
      <c r="AG108" s="242" t="str">
        <f t="shared" si="69"/>
        <v/>
      </c>
      <c r="AH108" s="242" t="str">
        <f t="shared" si="70"/>
        <v/>
      </c>
      <c r="AI108" s="242" t="str">
        <f t="shared" si="114"/>
        <v/>
      </c>
      <c r="AJ108" s="242" t="str">
        <f t="shared" si="117"/>
        <v/>
      </c>
      <c r="AK108" s="242" t="str">
        <f t="shared" si="108"/>
        <v/>
      </c>
      <c r="AL108" s="242" t="str">
        <f t="shared" si="109"/>
        <v/>
      </c>
      <c r="AM108" s="242" t="str">
        <f t="shared" si="111"/>
        <v/>
      </c>
      <c r="AN108" s="199" t="str">
        <f t="shared" si="118"/>
        <v/>
      </c>
      <c r="AO108" s="199">
        <v>1</v>
      </c>
      <c r="AP108" s="199" t="str">
        <f t="shared" si="119"/>
        <v/>
      </c>
      <c r="AQ108" s="199" t="str">
        <f t="shared" si="120"/>
        <v/>
      </c>
      <c r="AR108" s="199" t="str">
        <f t="shared" si="121"/>
        <v/>
      </c>
      <c r="AS108" s="199" t="str">
        <f t="shared" si="122"/>
        <v/>
      </c>
      <c r="AT108" s="199" t="str">
        <f t="shared" si="123"/>
        <v/>
      </c>
      <c r="AU108" s="199" t="str">
        <f t="shared" si="124"/>
        <v/>
      </c>
      <c r="AV108" s="199" t="str">
        <f t="shared" si="125"/>
        <v/>
      </c>
      <c r="AW108" s="199" t="str">
        <f t="shared" si="126"/>
        <v/>
      </c>
      <c r="AX108" s="199" t="str">
        <f t="shared" si="127"/>
        <v/>
      </c>
      <c r="AY108" s="199" t="str">
        <f t="shared" si="128"/>
        <v/>
      </c>
    </row>
    <row r="109" spans="1:51" ht="30.6" x14ac:dyDescent="0.3">
      <c r="A109" s="191">
        <v>107</v>
      </c>
      <c r="B109" s="225" t="s">
        <v>204</v>
      </c>
      <c r="C109" s="120" t="s">
        <v>205</v>
      </c>
      <c r="D109" s="127">
        <v>2013</v>
      </c>
      <c r="E109" s="124">
        <v>41570</v>
      </c>
      <c r="F109" s="198">
        <f t="shared" si="72"/>
        <v>10</v>
      </c>
      <c r="G109" s="198" t="str">
        <f t="shared" si="73"/>
        <v>102013</v>
      </c>
      <c r="H109" s="198" t="str">
        <f t="shared" si="74"/>
        <v>octubre</v>
      </c>
      <c r="I109" s="114">
        <f>VLOOKUP(B109,'Base de Datos'!$E$7:$W$271,14,0)</f>
        <v>0</v>
      </c>
      <c r="J109" s="200">
        <f t="shared" si="75"/>
        <v>1900</v>
      </c>
      <c r="K109" s="199">
        <f t="shared" si="76"/>
        <v>1</v>
      </c>
      <c r="L109" s="199" t="str">
        <f t="shared" si="77"/>
        <v>11900</v>
      </c>
      <c r="M109" s="199" t="str">
        <f t="shared" si="78"/>
        <v>enero</v>
      </c>
      <c r="N109" s="199">
        <f t="shared" ca="1" si="79"/>
        <v>44228</v>
      </c>
      <c r="O109" s="242" t="str">
        <f t="shared" ca="1" si="80"/>
        <v>SI</v>
      </c>
      <c r="P109" s="242" t="str">
        <f t="shared" si="103"/>
        <v/>
      </c>
      <c r="Q109" s="242" t="str">
        <f t="shared" si="81"/>
        <v/>
      </c>
      <c r="R109" s="242" t="str">
        <f t="shared" si="82"/>
        <v/>
      </c>
      <c r="S109" s="242" t="str">
        <f t="shared" si="83"/>
        <v/>
      </c>
      <c r="T109" s="242" t="str">
        <f t="shared" si="84"/>
        <v/>
      </c>
      <c r="U109" s="242" t="str">
        <f t="shared" si="85"/>
        <v/>
      </c>
      <c r="V109" s="242" t="str">
        <f t="shared" si="105"/>
        <v/>
      </c>
      <c r="W109" s="242" t="str">
        <f t="shared" si="86"/>
        <v/>
      </c>
      <c r="X109" s="242" t="str">
        <f t="shared" si="87"/>
        <v/>
      </c>
      <c r="Y109" s="242" t="str">
        <f t="shared" si="104"/>
        <v/>
      </c>
      <c r="Z109" s="242" t="str">
        <f t="shared" si="88"/>
        <v/>
      </c>
      <c r="AA109" s="242" t="str">
        <f t="shared" si="112"/>
        <v/>
      </c>
      <c r="AB109" s="242" t="str">
        <f t="shared" si="107"/>
        <v/>
      </c>
      <c r="AC109" s="242" t="str">
        <f t="shared" si="110"/>
        <v/>
      </c>
      <c r="AD109" s="242" t="str">
        <f t="shared" si="113"/>
        <v/>
      </c>
      <c r="AE109" s="242" t="str">
        <f t="shared" si="115"/>
        <v/>
      </c>
      <c r="AF109" s="242" t="str">
        <f t="shared" si="129"/>
        <v/>
      </c>
      <c r="AG109" s="242" t="str">
        <f t="shared" si="69"/>
        <v/>
      </c>
      <c r="AH109" s="242" t="str">
        <f t="shared" si="70"/>
        <v/>
      </c>
      <c r="AI109" s="242" t="str">
        <f t="shared" si="114"/>
        <v/>
      </c>
      <c r="AJ109" s="242" t="str">
        <f t="shared" si="117"/>
        <v/>
      </c>
      <c r="AK109" s="242" t="str">
        <f t="shared" si="108"/>
        <v/>
      </c>
      <c r="AL109" s="242" t="str">
        <f t="shared" si="109"/>
        <v/>
      </c>
      <c r="AM109" s="242" t="str">
        <f t="shared" si="111"/>
        <v/>
      </c>
      <c r="AN109" s="199" t="str">
        <f t="shared" si="118"/>
        <v/>
      </c>
      <c r="AO109" s="199">
        <v>1</v>
      </c>
      <c r="AP109" s="199" t="str">
        <f t="shared" si="119"/>
        <v/>
      </c>
      <c r="AQ109" s="199" t="str">
        <f t="shared" si="120"/>
        <v/>
      </c>
      <c r="AR109" s="199" t="str">
        <f t="shared" si="121"/>
        <v/>
      </c>
      <c r="AS109" s="199" t="str">
        <f t="shared" si="122"/>
        <v/>
      </c>
      <c r="AT109" s="199" t="str">
        <f t="shared" si="123"/>
        <v/>
      </c>
      <c r="AU109" s="199" t="str">
        <f t="shared" si="124"/>
        <v/>
      </c>
      <c r="AV109" s="199" t="str">
        <f t="shared" si="125"/>
        <v/>
      </c>
      <c r="AW109" s="199" t="str">
        <f t="shared" si="126"/>
        <v/>
      </c>
      <c r="AX109" s="199" t="str">
        <f t="shared" si="127"/>
        <v/>
      </c>
      <c r="AY109" s="199" t="str">
        <f t="shared" si="128"/>
        <v/>
      </c>
    </row>
    <row r="110" spans="1:51" x14ac:dyDescent="0.3">
      <c r="A110" s="191">
        <v>108</v>
      </c>
      <c r="B110" s="224" t="s">
        <v>125</v>
      </c>
      <c r="C110" s="120" t="s">
        <v>126</v>
      </c>
      <c r="D110" s="138">
        <v>2013</v>
      </c>
      <c r="E110" s="124">
        <v>41423</v>
      </c>
      <c r="F110" s="198">
        <f t="shared" si="72"/>
        <v>5</v>
      </c>
      <c r="G110" s="198" t="str">
        <f t="shared" si="73"/>
        <v>52013</v>
      </c>
      <c r="H110" s="198" t="str">
        <f t="shared" si="74"/>
        <v>mayo</v>
      </c>
      <c r="I110" s="114">
        <f>VLOOKUP(B110,'Base de Datos'!$E$7:$W$271,14,0)</f>
        <v>0</v>
      </c>
      <c r="J110" s="200">
        <f t="shared" si="75"/>
        <v>1900</v>
      </c>
      <c r="K110" s="199">
        <f t="shared" si="76"/>
        <v>1</v>
      </c>
      <c r="L110" s="199" t="str">
        <f t="shared" si="77"/>
        <v>11900</v>
      </c>
      <c r="M110" s="199" t="str">
        <f t="shared" si="78"/>
        <v>enero</v>
      </c>
      <c r="N110" s="199">
        <f t="shared" ca="1" si="79"/>
        <v>44228</v>
      </c>
      <c r="O110" s="242" t="str">
        <f t="shared" ca="1" si="80"/>
        <v>SI</v>
      </c>
      <c r="P110" s="242" t="str">
        <f t="shared" si="103"/>
        <v/>
      </c>
      <c r="Q110" s="242" t="str">
        <f t="shared" si="81"/>
        <v/>
      </c>
      <c r="R110" s="242" t="str">
        <f t="shared" si="82"/>
        <v/>
      </c>
      <c r="S110" s="242" t="str">
        <f t="shared" si="83"/>
        <v/>
      </c>
      <c r="T110" s="242" t="str">
        <f t="shared" si="84"/>
        <v/>
      </c>
      <c r="U110" s="242" t="str">
        <f t="shared" si="85"/>
        <v/>
      </c>
      <c r="V110" s="242" t="str">
        <f t="shared" si="105"/>
        <v/>
      </c>
      <c r="W110" s="242" t="str">
        <f t="shared" si="86"/>
        <v/>
      </c>
      <c r="X110" s="242" t="str">
        <f t="shared" si="87"/>
        <v/>
      </c>
      <c r="Y110" s="242" t="str">
        <f t="shared" si="104"/>
        <v/>
      </c>
      <c r="Z110" s="242" t="str">
        <f t="shared" si="88"/>
        <v/>
      </c>
      <c r="AA110" s="242" t="str">
        <f t="shared" si="112"/>
        <v/>
      </c>
      <c r="AB110" s="242" t="str">
        <f t="shared" si="107"/>
        <v/>
      </c>
      <c r="AC110" s="242" t="str">
        <f t="shared" si="110"/>
        <v/>
      </c>
      <c r="AD110" s="242" t="str">
        <f t="shared" si="113"/>
        <v/>
      </c>
      <c r="AE110" s="242" t="str">
        <f t="shared" si="115"/>
        <v/>
      </c>
      <c r="AF110" s="242" t="str">
        <f t="shared" si="129"/>
        <v/>
      </c>
      <c r="AG110" s="242" t="str">
        <f t="shared" si="69"/>
        <v/>
      </c>
      <c r="AH110" s="242" t="str">
        <f t="shared" si="70"/>
        <v/>
      </c>
      <c r="AI110" s="242" t="str">
        <f t="shared" si="114"/>
        <v/>
      </c>
      <c r="AJ110" s="242" t="str">
        <f t="shared" si="117"/>
        <v/>
      </c>
      <c r="AK110" s="242" t="str">
        <f t="shared" si="108"/>
        <v/>
      </c>
      <c r="AL110" s="242" t="str">
        <f t="shared" si="109"/>
        <v/>
      </c>
      <c r="AM110" s="242" t="str">
        <f t="shared" si="111"/>
        <v/>
      </c>
      <c r="AN110" s="199" t="str">
        <f t="shared" si="118"/>
        <v/>
      </c>
      <c r="AO110" s="199">
        <v>1</v>
      </c>
      <c r="AP110" s="199" t="str">
        <f t="shared" si="119"/>
        <v/>
      </c>
      <c r="AQ110" s="199" t="str">
        <f t="shared" si="120"/>
        <v/>
      </c>
      <c r="AR110" s="199" t="str">
        <f t="shared" si="121"/>
        <v/>
      </c>
      <c r="AS110" s="199" t="str">
        <f t="shared" si="122"/>
        <v/>
      </c>
      <c r="AT110" s="199" t="str">
        <f t="shared" si="123"/>
        <v/>
      </c>
      <c r="AU110" s="199" t="str">
        <f t="shared" si="124"/>
        <v/>
      </c>
      <c r="AV110" s="199" t="str">
        <f t="shared" si="125"/>
        <v/>
      </c>
      <c r="AW110" s="199" t="str">
        <f t="shared" si="126"/>
        <v/>
      </c>
      <c r="AX110" s="199" t="str">
        <f t="shared" si="127"/>
        <v/>
      </c>
      <c r="AY110" s="199" t="str">
        <f t="shared" si="128"/>
        <v/>
      </c>
    </row>
    <row r="111" spans="1:51" ht="20.399999999999999" x14ac:dyDescent="0.3">
      <c r="A111" s="191">
        <v>109</v>
      </c>
      <c r="B111" s="224" t="s">
        <v>93</v>
      </c>
      <c r="C111" s="120" t="s">
        <v>1032</v>
      </c>
      <c r="D111" s="138">
        <v>2013</v>
      </c>
      <c r="E111" s="123">
        <v>41396</v>
      </c>
      <c r="F111" s="198">
        <f t="shared" si="72"/>
        <v>5</v>
      </c>
      <c r="G111" s="198" t="str">
        <f t="shared" si="73"/>
        <v>52013</v>
      </c>
      <c r="H111" s="198" t="str">
        <f t="shared" si="74"/>
        <v>mayo</v>
      </c>
      <c r="I111" s="114">
        <f>VLOOKUP(B111,'Base de Datos'!$E$7:$W$271,14,0)</f>
        <v>0</v>
      </c>
      <c r="J111" s="200">
        <f t="shared" si="75"/>
        <v>1900</v>
      </c>
      <c r="K111" s="199">
        <f t="shared" si="76"/>
        <v>1</v>
      </c>
      <c r="L111" s="199" t="str">
        <f t="shared" si="77"/>
        <v>11900</v>
      </c>
      <c r="M111" s="199" t="str">
        <f t="shared" si="78"/>
        <v>enero</v>
      </c>
      <c r="N111" s="199">
        <f t="shared" ca="1" si="79"/>
        <v>44228</v>
      </c>
      <c r="O111" s="242" t="str">
        <f t="shared" ca="1" si="80"/>
        <v>SI</v>
      </c>
      <c r="P111" s="242" t="str">
        <f t="shared" si="103"/>
        <v/>
      </c>
      <c r="Q111" s="242" t="str">
        <f t="shared" si="81"/>
        <v/>
      </c>
      <c r="R111" s="242" t="str">
        <f t="shared" si="82"/>
        <v/>
      </c>
      <c r="S111" s="242" t="str">
        <f t="shared" si="83"/>
        <v/>
      </c>
      <c r="T111" s="242" t="str">
        <f t="shared" si="84"/>
        <v/>
      </c>
      <c r="U111" s="242" t="str">
        <f t="shared" si="85"/>
        <v/>
      </c>
      <c r="V111" s="242" t="str">
        <f t="shared" si="105"/>
        <v/>
      </c>
      <c r="W111" s="242" t="str">
        <f t="shared" si="86"/>
        <v/>
      </c>
      <c r="X111" s="242" t="str">
        <f t="shared" si="87"/>
        <v/>
      </c>
      <c r="Y111" s="242" t="str">
        <f t="shared" si="104"/>
        <v/>
      </c>
      <c r="Z111" s="242" t="str">
        <f t="shared" si="88"/>
        <v/>
      </c>
      <c r="AA111" s="242" t="str">
        <f t="shared" si="112"/>
        <v/>
      </c>
      <c r="AB111" s="242" t="str">
        <f t="shared" si="107"/>
        <v/>
      </c>
      <c r="AC111" s="242" t="str">
        <f t="shared" si="110"/>
        <v/>
      </c>
      <c r="AD111" s="242" t="str">
        <f t="shared" si="113"/>
        <v/>
      </c>
      <c r="AE111" s="242" t="str">
        <f t="shared" si="115"/>
        <v/>
      </c>
      <c r="AF111" s="242" t="str">
        <f t="shared" si="129"/>
        <v/>
      </c>
      <c r="AG111" s="242" t="str">
        <f t="shared" si="69"/>
        <v/>
      </c>
      <c r="AH111" s="242" t="str">
        <f t="shared" si="70"/>
        <v/>
      </c>
      <c r="AI111" s="242" t="str">
        <f t="shared" si="114"/>
        <v/>
      </c>
      <c r="AJ111" s="242" t="str">
        <f t="shared" si="117"/>
        <v/>
      </c>
      <c r="AK111" s="242" t="str">
        <f t="shared" ref="AK111:AK142" si="130">IF(AND(E111&lt;$AK$2,I111&gt;$AK$2),"1","")</f>
        <v/>
      </c>
      <c r="AL111" s="242" t="str">
        <f t="shared" si="109"/>
        <v/>
      </c>
      <c r="AM111" s="242" t="str">
        <f t="shared" si="111"/>
        <v/>
      </c>
      <c r="AN111" s="199" t="str">
        <f t="shared" si="118"/>
        <v/>
      </c>
      <c r="AO111" s="199" t="str">
        <f t="shared" ref="AO111:AO142" si="131">IF(AND(E111&lt;$AO$2,I111&gt;$AO$2),"1","")</f>
        <v/>
      </c>
      <c r="AP111" s="199">
        <v>1</v>
      </c>
      <c r="AQ111" s="199" t="str">
        <f t="shared" si="120"/>
        <v/>
      </c>
      <c r="AR111" s="199" t="str">
        <f t="shared" si="121"/>
        <v/>
      </c>
      <c r="AS111" s="199" t="str">
        <f t="shared" si="122"/>
        <v/>
      </c>
      <c r="AT111" s="199" t="str">
        <f t="shared" si="123"/>
        <v/>
      </c>
      <c r="AU111" s="199" t="str">
        <f t="shared" si="124"/>
        <v/>
      </c>
      <c r="AV111" s="199" t="str">
        <f t="shared" si="125"/>
        <v/>
      </c>
      <c r="AW111" s="199" t="str">
        <f t="shared" si="126"/>
        <v/>
      </c>
      <c r="AX111" s="199" t="str">
        <f t="shared" si="127"/>
        <v/>
      </c>
      <c r="AY111" s="199" t="str">
        <f t="shared" si="128"/>
        <v/>
      </c>
    </row>
    <row r="112" spans="1:51" ht="20.399999999999999" x14ac:dyDescent="0.3">
      <c r="A112" s="191">
        <v>110</v>
      </c>
      <c r="B112" s="224" t="s">
        <v>11</v>
      </c>
      <c r="C112" s="120" t="s">
        <v>12</v>
      </c>
      <c r="D112" s="138">
        <v>2012</v>
      </c>
      <c r="E112" s="123">
        <v>41288</v>
      </c>
      <c r="F112" s="198">
        <f t="shared" si="72"/>
        <v>1</v>
      </c>
      <c r="G112" s="198" t="str">
        <f t="shared" si="73"/>
        <v>12012</v>
      </c>
      <c r="H112" s="198" t="str">
        <f t="shared" si="74"/>
        <v>enero</v>
      </c>
      <c r="I112" s="114">
        <f>VLOOKUP(B112,'Base de Datos'!$E$7:$W$271,14,0)</f>
        <v>1</v>
      </c>
      <c r="J112" s="200">
        <f t="shared" si="75"/>
        <v>1900</v>
      </c>
      <c r="K112" s="199">
        <f t="shared" si="76"/>
        <v>1</v>
      </c>
      <c r="L112" s="199" t="str">
        <f t="shared" si="77"/>
        <v>11900</v>
      </c>
      <c r="M112" s="199" t="str">
        <f t="shared" si="78"/>
        <v>enero</v>
      </c>
      <c r="N112" s="199">
        <f t="shared" ca="1" si="79"/>
        <v>44227</v>
      </c>
      <c r="O112" s="242" t="str">
        <f t="shared" ca="1" si="80"/>
        <v>SI</v>
      </c>
      <c r="P112" s="242" t="str">
        <f t="shared" si="103"/>
        <v/>
      </c>
      <c r="Q112" s="242" t="str">
        <f t="shared" si="81"/>
        <v/>
      </c>
      <c r="R112" s="242" t="str">
        <f t="shared" si="82"/>
        <v/>
      </c>
      <c r="S112" s="242" t="str">
        <f t="shared" si="83"/>
        <v/>
      </c>
      <c r="T112" s="242" t="str">
        <f t="shared" si="84"/>
        <v/>
      </c>
      <c r="U112" s="242" t="str">
        <f t="shared" si="85"/>
        <v/>
      </c>
      <c r="V112" s="242" t="str">
        <f t="shared" si="105"/>
        <v/>
      </c>
      <c r="W112" s="242" t="str">
        <f t="shared" si="86"/>
        <v/>
      </c>
      <c r="X112" s="242" t="str">
        <f t="shared" si="87"/>
        <v/>
      </c>
      <c r="Y112" s="242" t="str">
        <f t="shared" si="104"/>
        <v/>
      </c>
      <c r="Z112" s="242" t="str">
        <f t="shared" si="88"/>
        <v/>
      </c>
      <c r="AA112" s="242" t="str">
        <f t="shared" si="112"/>
        <v/>
      </c>
      <c r="AB112" s="242" t="str">
        <f t="shared" si="107"/>
        <v/>
      </c>
      <c r="AC112" s="242" t="str">
        <f t="shared" si="110"/>
        <v/>
      </c>
      <c r="AD112" s="242" t="str">
        <f t="shared" si="113"/>
        <v/>
      </c>
      <c r="AE112" s="242" t="str">
        <f t="shared" si="115"/>
        <v/>
      </c>
      <c r="AF112" s="242" t="str">
        <f t="shared" si="129"/>
        <v/>
      </c>
      <c r="AG112" s="242" t="str">
        <f t="shared" si="69"/>
        <v/>
      </c>
      <c r="AH112" s="242" t="str">
        <f t="shared" si="70"/>
        <v/>
      </c>
      <c r="AI112" s="242" t="str">
        <f t="shared" si="114"/>
        <v/>
      </c>
      <c r="AJ112" s="242" t="str">
        <f t="shared" si="117"/>
        <v/>
      </c>
      <c r="AK112" s="242" t="str">
        <f t="shared" si="130"/>
        <v/>
      </c>
      <c r="AL112" s="242" t="str">
        <f t="shared" ref="AL112:AL143" si="132">IF(AND(E112&lt;$AL$2,I112&gt;$AL$2),"1","")</f>
        <v/>
      </c>
      <c r="AM112" s="242" t="str">
        <f t="shared" si="111"/>
        <v/>
      </c>
      <c r="AN112" s="199" t="str">
        <f t="shared" si="118"/>
        <v/>
      </c>
      <c r="AO112" s="199" t="str">
        <f t="shared" si="131"/>
        <v/>
      </c>
      <c r="AP112" s="199">
        <v>1</v>
      </c>
      <c r="AQ112" s="199" t="str">
        <f t="shared" si="120"/>
        <v/>
      </c>
      <c r="AR112" s="199" t="str">
        <f t="shared" si="121"/>
        <v/>
      </c>
      <c r="AS112" s="199" t="str">
        <f t="shared" si="122"/>
        <v/>
      </c>
      <c r="AT112" s="199" t="str">
        <f t="shared" si="123"/>
        <v/>
      </c>
      <c r="AU112" s="199" t="str">
        <f t="shared" si="124"/>
        <v/>
      </c>
      <c r="AV112" s="199" t="str">
        <f t="shared" si="125"/>
        <v/>
      </c>
      <c r="AW112" s="199" t="str">
        <f t="shared" si="126"/>
        <v/>
      </c>
      <c r="AX112" s="199" t="str">
        <f t="shared" si="127"/>
        <v/>
      </c>
      <c r="AY112" s="199" t="str">
        <f t="shared" si="128"/>
        <v/>
      </c>
    </row>
    <row r="113" spans="1:51" x14ac:dyDescent="0.3">
      <c r="A113" s="191">
        <v>111</v>
      </c>
      <c r="B113" s="224" t="s">
        <v>80</v>
      </c>
      <c r="C113" s="120" t="s">
        <v>81</v>
      </c>
      <c r="D113" s="138">
        <v>2013</v>
      </c>
      <c r="E113" s="123">
        <v>41347</v>
      </c>
      <c r="F113" s="198">
        <f t="shared" si="72"/>
        <v>3</v>
      </c>
      <c r="G113" s="198" t="str">
        <f t="shared" si="73"/>
        <v>32013</v>
      </c>
      <c r="H113" s="198" t="str">
        <f t="shared" si="74"/>
        <v>marzo</v>
      </c>
      <c r="I113" s="114">
        <f>VLOOKUP(B113,'Base de Datos'!$E$7:$W$271,14,0)</f>
        <v>0</v>
      </c>
      <c r="J113" s="200">
        <f t="shared" si="75"/>
        <v>1900</v>
      </c>
      <c r="K113" s="199">
        <f t="shared" si="76"/>
        <v>1</v>
      </c>
      <c r="L113" s="199" t="str">
        <f t="shared" si="77"/>
        <v>11900</v>
      </c>
      <c r="M113" s="199" t="str">
        <f t="shared" si="78"/>
        <v>enero</v>
      </c>
      <c r="N113" s="199">
        <f t="shared" ca="1" si="79"/>
        <v>44228</v>
      </c>
      <c r="O113" s="242" t="str">
        <f t="shared" ca="1" si="80"/>
        <v>SI</v>
      </c>
      <c r="P113" s="242" t="str">
        <f t="shared" si="103"/>
        <v/>
      </c>
      <c r="Q113" s="242" t="str">
        <f t="shared" si="81"/>
        <v/>
      </c>
      <c r="R113" s="242" t="str">
        <f t="shared" si="82"/>
        <v/>
      </c>
      <c r="S113" s="242" t="str">
        <f t="shared" si="83"/>
        <v/>
      </c>
      <c r="T113" s="242" t="str">
        <f t="shared" si="84"/>
        <v/>
      </c>
      <c r="U113" s="242" t="str">
        <f t="shared" si="85"/>
        <v/>
      </c>
      <c r="V113" s="242" t="str">
        <f t="shared" si="105"/>
        <v/>
      </c>
      <c r="W113" s="242" t="str">
        <f t="shared" si="86"/>
        <v/>
      </c>
      <c r="X113" s="242" t="str">
        <f t="shared" si="87"/>
        <v/>
      </c>
      <c r="Y113" s="242" t="str">
        <f t="shared" si="104"/>
        <v/>
      </c>
      <c r="Z113" s="242" t="str">
        <f t="shared" si="88"/>
        <v/>
      </c>
      <c r="AA113" s="242" t="str">
        <f t="shared" si="112"/>
        <v/>
      </c>
      <c r="AB113" s="242" t="str">
        <f t="shared" si="107"/>
        <v/>
      </c>
      <c r="AC113" s="242" t="str">
        <f t="shared" si="110"/>
        <v/>
      </c>
      <c r="AD113" s="242" t="str">
        <f t="shared" si="113"/>
        <v/>
      </c>
      <c r="AE113" s="242" t="str">
        <f t="shared" si="115"/>
        <v/>
      </c>
      <c r="AF113" s="242" t="str">
        <f t="shared" si="129"/>
        <v/>
      </c>
      <c r="AG113" s="242" t="str">
        <f t="shared" si="69"/>
        <v/>
      </c>
      <c r="AH113" s="242" t="str">
        <f t="shared" si="70"/>
        <v/>
      </c>
      <c r="AI113" s="242" t="str">
        <f t="shared" si="114"/>
        <v/>
      </c>
      <c r="AJ113" s="242" t="str">
        <f t="shared" si="117"/>
        <v/>
      </c>
      <c r="AK113" s="242" t="str">
        <f t="shared" si="130"/>
        <v/>
      </c>
      <c r="AL113" s="242" t="str">
        <f t="shared" si="132"/>
        <v/>
      </c>
      <c r="AM113" s="242" t="str">
        <f t="shared" si="111"/>
        <v/>
      </c>
      <c r="AN113" s="199" t="str">
        <f t="shared" si="118"/>
        <v/>
      </c>
      <c r="AO113" s="199" t="str">
        <f t="shared" si="131"/>
        <v/>
      </c>
      <c r="AP113" s="199">
        <v>1</v>
      </c>
      <c r="AQ113" s="199" t="str">
        <f t="shared" si="120"/>
        <v/>
      </c>
      <c r="AR113" s="199" t="str">
        <f t="shared" si="121"/>
        <v/>
      </c>
      <c r="AS113" s="199" t="str">
        <f t="shared" si="122"/>
        <v/>
      </c>
      <c r="AT113" s="199" t="str">
        <f t="shared" si="123"/>
        <v/>
      </c>
      <c r="AU113" s="199" t="str">
        <f t="shared" si="124"/>
        <v/>
      </c>
      <c r="AV113" s="199" t="str">
        <f t="shared" si="125"/>
        <v/>
      </c>
      <c r="AW113" s="199" t="str">
        <f t="shared" si="126"/>
        <v/>
      </c>
      <c r="AX113" s="199" t="str">
        <f t="shared" si="127"/>
        <v/>
      </c>
      <c r="AY113" s="199" t="str">
        <f t="shared" si="128"/>
        <v/>
      </c>
    </row>
    <row r="114" spans="1:51" x14ac:dyDescent="0.3">
      <c r="A114" s="191">
        <v>112</v>
      </c>
      <c r="B114" s="226" t="s">
        <v>156</v>
      </c>
      <c r="C114" s="120" t="s">
        <v>53</v>
      </c>
      <c r="D114" s="138">
        <v>2013</v>
      </c>
      <c r="E114" s="124">
        <v>41470</v>
      </c>
      <c r="F114" s="198">
        <f t="shared" si="72"/>
        <v>7</v>
      </c>
      <c r="G114" s="198" t="str">
        <f t="shared" si="73"/>
        <v>72013</v>
      </c>
      <c r="H114" s="198" t="str">
        <f t="shared" si="74"/>
        <v>julio</v>
      </c>
      <c r="I114" s="114">
        <f>VLOOKUP(B114,'Base de Datos'!$E$7:$W$271,14,0)</f>
        <v>0</v>
      </c>
      <c r="J114" s="200">
        <f t="shared" si="75"/>
        <v>1900</v>
      </c>
      <c r="K114" s="199">
        <f t="shared" si="76"/>
        <v>1</v>
      </c>
      <c r="L114" s="199" t="str">
        <f t="shared" si="77"/>
        <v>11900</v>
      </c>
      <c r="M114" s="199" t="str">
        <f t="shared" si="78"/>
        <v>enero</v>
      </c>
      <c r="N114" s="199">
        <f t="shared" ca="1" si="79"/>
        <v>44228</v>
      </c>
      <c r="O114" s="242" t="str">
        <f t="shared" ca="1" si="80"/>
        <v>SI</v>
      </c>
      <c r="P114" s="242" t="str">
        <f t="shared" si="103"/>
        <v/>
      </c>
      <c r="Q114" s="242" t="str">
        <f t="shared" si="81"/>
        <v/>
      </c>
      <c r="R114" s="242" t="str">
        <f t="shared" si="82"/>
        <v/>
      </c>
      <c r="S114" s="242" t="str">
        <f t="shared" si="83"/>
        <v/>
      </c>
      <c r="T114" s="242" t="str">
        <f t="shared" si="84"/>
        <v/>
      </c>
      <c r="U114" s="242" t="str">
        <f t="shared" si="85"/>
        <v/>
      </c>
      <c r="V114" s="242" t="str">
        <f t="shared" si="105"/>
        <v/>
      </c>
      <c r="W114" s="242" t="str">
        <f t="shared" si="86"/>
        <v/>
      </c>
      <c r="X114" s="242" t="str">
        <f t="shared" si="87"/>
        <v/>
      </c>
      <c r="Y114" s="242" t="str">
        <f t="shared" si="104"/>
        <v/>
      </c>
      <c r="Z114" s="242" t="str">
        <f t="shared" si="88"/>
        <v/>
      </c>
      <c r="AA114" s="242" t="str">
        <f t="shared" si="112"/>
        <v/>
      </c>
      <c r="AB114" s="242" t="str">
        <f t="shared" si="107"/>
        <v/>
      </c>
      <c r="AC114" s="242" t="str">
        <f t="shared" si="110"/>
        <v/>
      </c>
      <c r="AD114" s="242" t="str">
        <f t="shared" si="113"/>
        <v/>
      </c>
      <c r="AE114" s="242" t="str">
        <f t="shared" si="115"/>
        <v/>
      </c>
      <c r="AF114" s="242" t="str">
        <f t="shared" si="129"/>
        <v/>
      </c>
      <c r="AG114" s="242" t="str">
        <f t="shared" si="69"/>
        <v/>
      </c>
      <c r="AH114" s="242" t="str">
        <f t="shared" si="70"/>
        <v/>
      </c>
      <c r="AI114" s="242" t="str">
        <f t="shared" si="114"/>
        <v/>
      </c>
      <c r="AJ114" s="242" t="str">
        <f t="shared" si="117"/>
        <v/>
      </c>
      <c r="AK114" s="242" t="str">
        <f t="shared" si="130"/>
        <v/>
      </c>
      <c r="AL114" s="242" t="str">
        <f t="shared" si="132"/>
        <v/>
      </c>
      <c r="AM114" s="242" t="str">
        <f t="shared" si="111"/>
        <v/>
      </c>
      <c r="AN114" s="199" t="str">
        <f t="shared" si="118"/>
        <v/>
      </c>
      <c r="AO114" s="199" t="str">
        <f t="shared" si="131"/>
        <v/>
      </c>
      <c r="AP114" s="199">
        <v>1</v>
      </c>
      <c r="AQ114" s="199" t="str">
        <f t="shared" si="120"/>
        <v/>
      </c>
      <c r="AR114" s="199" t="str">
        <f t="shared" si="121"/>
        <v/>
      </c>
      <c r="AS114" s="199" t="str">
        <f t="shared" si="122"/>
        <v/>
      </c>
      <c r="AT114" s="199" t="str">
        <f t="shared" si="123"/>
        <v/>
      </c>
      <c r="AU114" s="199" t="str">
        <f t="shared" si="124"/>
        <v/>
      </c>
      <c r="AV114" s="199" t="str">
        <f t="shared" si="125"/>
        <v/>
      </c>
      <c r="AW114" s="199" t="str">
        <f t="shared" si="126"/>
        <v/>
      </c>
      <c r="AX114" s="199" t="str">
        <f t="shared" si="127"/>
        <v/>
      </c>
      <c r="AY114" s="199" t="str">
        <f t="shared" si="128"/>
        <v/>
      </c>
    </row>
    <row r="115" spans="1:51" x14ac:dyDescent="0.3">
      <c r="A115" s="191">
        <v>113</v>
      </c>
      <c r="B115" s="224" t="s">
        <v>123</v>
      </c>
      <c r="C115" s="120" t="s">
        <v>124</v>
      </c>
      <c r="D115" s="138">
        <v>2013</v>
      </c>
      <c r="E115" s="123">
        <v>41410</v>
      </c>
      <c r="F115" s="198">
        <f t="shared" si="72"/>
        <v>5</v>
      </c>
      <c r="G115" s="198" t="str">
        <f t="shared" si="73"/>
        <v>52013</v>
      </c>
      <c r="H115" s="198" t="str">
        <f t="shared" si="74"/>
        <v>mayo</v>
      </c>
      <c r="I115" s="114">
        <f>VLOOKUP(B115,'Base de Datos'!$E$7:$W$271,14,0)</f>
        <v>0</v>
      </c>
      <c r="J115" s="200">
        <f t="shared" si="75"/>
        <v>1900</v>
      </c>
      <c r="K115" s="199">
        <f t="shared" si="76"/>
        <v>1</v>
      </c>
      <c r="L115" s="199" t="str">
        <f t="shared" si="77"/>
        <v>11900</v>
      </c>
      <c r="M115" s="199" t="str">
        <f t="shared" si="78"/>
        <v>enero</v>
      </c>
      <c r="N115" s="199">
        <f t="shared" ca="1" si="79"/>
        <v>44228</v>
      </c>
      <c r="O115" s="242" t="str">
        <f t="shared" ca="1" si="80"/>
        <v>SI</v>
      </c>
      <c r="P115" s="242" t="str">
        <f t="shared" si="103"/>
        <v/>
      </c>
      <c r="Q115" s="242" t="str">
        <f t="shared" si="81"/>
        <v/>
      </c>
      <c r="R115" s="242" t="str">
        <f t="shared" si="82"/>
        <v/>
      </c>
      <c r="S115" s="242" t="str">
        <f t="shared" si="83"/>
        <v/>
      </c>
      <c r="T115" s="242" t="str">
        <f t="shared" si="84"/>
        <v/>
      </c>
      <c r="U115" s="242" t="str">
        <f t="shared" si="85"/>
        <v/>
      </c>
      <c r="V115" s="242" t="str">
        <f t="shared" si="105"/>
        <v/>
      </c>
      <c r="W115" s="242" t="str">
        <f t="shared" si="86"/>
        <v/>
      </c>
      <c r="X115" s="242" t="str">
        <f t="shared" si="87"/>
        <v/>
      </c>
      <c r="Y115" s="242" t="str">
        <f t="shared" si="104"/>
        <v/>
      </c>
      <c r="Z115" s="242" t="str">
        <f t="shared" si="88"/>
        <v/>
      </c>
      <c r="AA115" s="242" t="str">
        <f t="shared" si="112"/>
        <v/>
      </c>
      <c r="AB115" s="242" t="str">
        <f t="shared" si="107"/>
        <v/>
      </c>
      <c r="AC115" s="242" t="str">
        <f t="shared" si="110"/>
        <v/>
      </c>
      <c r="AD115" s="242" t="str">
        <f t="shared" si="113"/>
        <v/>
      </c>
      <c r="AE115" s="242" t="str">
        <f t="shared" si="115"/>
        <v/>
      </c>
      <c r="AF115" s="242" t="str">
        <f t="shared" si="129"/>
        <v/>
      </c>
      <c r="AG115" s="242" t="str">
        <f t="shared" si="69"/>
        <v/>
      </c>
      <c r="AH115" s="242" t="str">
        <f t="shared" si="70"/>
        <v/>
      </c>
      <c r="AI115" s="242" t="str">
        <f t="shared" si="114"/>
        <v/>
      </c>
      <c r="AJ115" s="242" t="str">
        <f t="shared" si="117"/>
        <v/>
      </c>
      <c r="AK115" s="242" t="str">
        <f t="shared" si="130"/>
        <v/>
      </c>
      <c r="AL115" s="242" t="str">
        <f t="shared" si="132"/>
        <v/>
      </c>
      <c r="AM115" s="242" t="str">
        <f t="shared" si="111"/>
        <v/>
      </c>
      <c r="AN115" s="199" t="str">
        <f t="shared" si="118"/>
        <v/>
      </c>
      <c r="AO115" s="199" t="str">
        <f t="shared" si="131"/>
        <v/>
      </c>
      <c r="AP115" s="199">
        <v>1</v>
      </c>
      <c r="AQ115" s="199" t="str">
        <f t="shared" si="120"/>
        <v/>
      </c>
      <c r="AR115" s="199" t="str">
        <f t="shared" si="121"/>
        <v/>
      </c>
      <c r="AS115" s="199" t="str">
        <f t="shared" si="122"/>
        <v/>
      </c>
      <c r="AT115" s="199" t="str">
        <f t="shared" si="123"/>
        <v/>
      </c>
      <c r="AU115" s="199" t="str">
        <f t="shared" si="124"/>
        <v/>
      </c>
      <c r="AV115" s="199" t="str">
        <f t="shared" si="125"/>
        <v/>
      </c>
      <c r="AW115" s="199" t="str">
        <f t="shared" si="126"/>
        <v/>
      </c>
      <c r="AX115" s="199" t="str">
        <f t="shared" si="127"/>
        <v/>
      </c>
      <c r="AY115" s="199" t="str">
        <f t="shared" si="128"/>
        <v/>
      </c>
    </row>
    <row r="116" spans="1:51" x14ac:dyDescent="0.3">
      <c r="A116" s="191">
        <v>114</v>
      </c>
      <c r="B116" s="225" t="s">
        <v>236</v>
      </c>
      <c r="C116" s="120" t="s">
        <v>186</v>
      </c>
      <c r="D116" s="139">
        <v>2013</v>
      </c>
      <c r="E116" s="124">
        <v>41655</v>
      </c>
      <c r="F116" s="198">
        <f t="shared" si="72"/>
        <v>1</v>
      </c>
      <c r="G116" s="198" t="str">
        <f t="shared" si="73"/>
        <v>12013</v>
      </c>
      <c r="H116" s="198" t="str">
        <f t="shared" si="74"/>
        <v>enero</v>
      </c>
      <c r="I116" s="114">
        <f>VLOOKUP(B116,'Base de Datos'!$E$7:$W$271,14,0)</f>
        <v>0</v>
      </c>
      <c r="J116" s="200">
        <f t="shared" si="75"/>
        <v>1900</v>
      </c>
      <c r="K116" s="199">
        <f t="shared" si="76"/>
        <v>1</v>
      </c>
      <c r="L116" s="199" t="str">
        <f t="shared" si="77"/>
        <v>11900</v>
      </c>
      <c r="M116" s="199" t="str">
        <f t="shared" si="78"/>
        <v>enero</v>
      </c>
      <c r="N116" s="199">
        <f t="shared" ca="1" si="79"/>
        <v>44228</v>
      </c>
      <c r="O116" s="242" t="str">
        <f t="shared" ca="1" si="80"/>
        <v>SI</v>
      </c>
      <c r="P116" s="242" t="str">
        <f t="shared" si="103"/>
        <v/>
      </c>
      <c r="Q116" s="242" t="str">
        <f t="shared" si="81"/>
        <v/>
      </c>
      <c r="R116" s="242" t="str">
        <f t="shared" si="82"/>
        <v/>
      </c>
      <c r="S116" s="242" t="str">
        <f t="shared" si="83"/>
        <v/>
      </c>
      <c r="T116" s="242" t="str">
        <f t="shared" si="84"/>
        <v/>
      </c>
      <c r="U116" s="242" t="str">
        <f t="shared" si="85"/>
        <v/>
      </c>
      <c r="V116" s="242" t="str">
        <f t="shared" si="105"/>
        <v/>
      </c>
      <c r="W116" s="242" t="str">
        <f t="shared" si="86"/>
        <v/>
      </c>
      <c r="X116" s="242" t="str">
        <f t="shared" si="87"/>
        <v/>
      </c>
      <c r="Y116" s="242" t="str">
        <f t="shared" si="104"/>
        <v/>
      </c>
      <c r="Z116" s="242" t="str">
        <f t="shared" si="88"/>
        <v/>
      </c>
      <c r="AA116" s="242" t="str">
        <f t="shared" si="112"/>
        <v/>
      </c>
      <c r="AB116" s="242" t="str">
        <f t="shared" si="107"/>
        <v/>
      </c>
      <c r="AC116" s="242" t="str">
        <f t="shared" si="110"/>
        <v/>
      </c>
      <c r="AD116" s="242" t="str">
        <f t="shared" si="113"/>
        <v/>
      </c>
      <c r="AE116" s="242" t="str">
        <f t="shared" si="115"/>
        <v/>
      </c>
      <c r="AF116" s="242" t="str">
        <f t="shared" si="129"/>
        <v/>
      </c>
      <c r="AG116" s="242" t="str">
        <f t="shared" si="69"/>
        <v/>
      </c>
      <c r="AH116" s="242" t="str">
        <f t="shared" si="70"/>
        <v/>
      </c>
      <c r="AI116" s="242" t="str">
        <f t="shared" si="114"/>
        <v/>
      </c>
      <c r="AJ116" s="242" t="str">
        <f t="shared" si="117"/>
        <v/>
      </c>
      <c r="AK116" s="242" t="str">
        <f t="shared" si="130"/>
        <v/>
      </c>
      <c r="AL116" s="242" t="str">
        <f t="shared" si="132"/>
        <v/>
      </c>
      <c r="AM116" s="242" t="str">
        <f t="shared" si="111"/>
        <v/>
      </c>
      <c r="AN116" s="199" t="str">
        <f t="shared" si="118"/>
        <v/>
      </c>
      <c r="AO116" s="199" t="str">
        <f t="shared" si="131"/>
        <v/>
      </c>
      <c r="AP116" s="199">
        <v>1</v>
      </c>
      <c r="AQ116" s="199" t="str">
        <f t="shared" si="120"/>
        <v/>
      </c>
      <c r="AR116" s="199" t="str">
        <f t="shared" si="121"/>
        <v/>
      </c>
      <c r="AS116" s="199" t="str">
        <f t="shared" si="122"/>
        <v/>
      </c>
      <c r="AT116" s="199" t="str">
        <f t="shared" si="123"/>
        <v/>
      </c>
      <c r="AU116" s="199" t="str">
        <f t="shared" si="124"/>
        <v/>
      </c>
      <c r="AV116" s="199" t="str">
        <f t="shared" si="125"/>
        <v/>
      </c>
      <c r="AW116" s="199" t="str">
        <f t="shared" si="126"/>
        <v/>
      </c>
      <c r="AX116" s="199" t="str">
        <f t="shared" si="127"/>
        <v/>
      </c>
      <c r="AY116" s="199" t="str">
        <f t="shared" si="128"/>
        <v/>
      </c>
    </row>
    <row r="117" spans="1:51" ht="20.399999999999999" x14ac:dyDescent="0.3">
      <c r="A117" s="191">
        <v>115</v>
      </c>
      <c r="B117" s="226" t="s">
        <v>166</v>
      </c>
      <c r="C117" s="120" t="s">
        <v>1024</v>
      </c>
      <c r="D117" s="138">
        <v>2013</v>
      </c>
      <c r="E117" s="124">
        <v>41472</v>
      </c>
      <c r="F117" s="198">
        <f t="shared" si="72"/>
        <v>7</v>
      </c>
      <c r="G117" s="198" t="str">
        <f t="shared" si="73"/>
        <v>72013</v>
      </c>
      <c r="H117" s="198" t="str">
        <f t="shared" si="74"/>
        <v>julio</v>
      </c>
      <c r="I117" s="114">
        <f>VLOOKUP(B117,'Base de Datos'!$E$7:$W$271,14,0)</f>
        <v>1</v>
      </c>
      <c r="J117" s="200">
        <f t="shared" si="75"/>
        <v>1900</v>
      </c>
      <c r="K117" s="199">
        <f t="shared" si="76"/>
        <v>1</v>
      </c>
      <c r="L117" s="199" t="str">
        <f t="shared" si="77"/>
        <v>11900</v>
      </c>
      <c r="M117" s="199" t="str">
        <f t="shared" si="78"/>
        <v>enero</v>
      </c>
      <c r="N117" s="199">
        <f t="shared" ca="1" si="79"/>
        <v>44227</v>
      </c>
      <c r="O117" s="242" t="str">
        <f t="shared" ca="1" si="80"/>
        <v>SI</v>
      </c>
      <c r="P117" s="242" t="str">
        <f t="shared" si="103"/>
        <v/>
      </c>
      <c r="Q117" s="242" t="str">
        <f t="shared" si="81"/>
        <v/>
      </c>
      <c r="R117" s="242" t="str">
        <f t="shared" si="82"/>
        <v/>
      </c>
      <c r="S117" s="242" t="str">
        <f t="shared" si="83"/>
        <v/>
      </c>
      <c r="T117" s="242" t="str">
        <f t="shared" si="84"/>
        <v/>
      </c>
      <c r="U117" s="242" t="str">
        <f t="shared" si="85"/>
        <v/>
      </c>
      <c r="V117" s="242" t="str">
        <f t="shared" si="105"/>
        <v/>
      </c>
      <c r="W117" s="242" t="str">
        <f t="shared" si="86"/>
        <v/>
      </c>
      <c r="X117" s="242" t="str">
        <f t="shared" si="87"/>
        <v/>
      </c>
      <c r="Y117" s="242" t="str">
        <f t="shared" si="104"/>
        <v/>
      </c>
      <c r="Z117" s="242" t="str">
        <f t="shared" si="88"/>
        <v/>
      </c>
      <c r="AA117" s="242" t="str">
        <f t="shared" si="112"/>
        <v/>
      </c>
      <c r="AB117" s="242" t="str">
        <f t="shared" si="107"/>
        <v/>
      </c>
      <c r="AC117" s="242" t="str">
        <f t="shared" si="110"/>
        <v/>
      </c>
      <c r="AD117" s="242" t="str">
        <f t="shared" si="113"/>
        <v/>
      </c>
      <c r="AE117" s="242" t="str">
        <f t="shared" si="115"/>
        <v/>
      </c>
      <c r="AF117" s="242" t="str">
        <f t="shared" si="129"/>
        <v/>
      </c>
      <c r="AG117" s="242" t="str">
        <f t="shared" ref="AG117:AG180" si="133">IF(AND(E117&lt;$AG$2,I117&gt;$AG$2),"1","")</f>
        <v/>
      </c>
      <c r="AH117" s="242" t="str">
        <f t="shared" si="70"/>
        <v/>
      </c>
      <c r="AI117" s="242" t="str">
        <f t="shared" si="114"/>
        <v/>
      </c>
      <c r="AJ117" s="242" t="str">
        <f t="shared" si="117"/>
        <v/>
      </c>
      <c r="AK117" s="242" t="str">
        <f t="shared" si="130"/>
        <v/>
      </c>
      <c r="AL117" s="242" t="str">
        <f t="shared" si="132"/>
        <v/>
      </c>
      <c r="AM117" s="242" t="str">
        <f t="shared" ref="AM117:AM148" si="134">IF(AND(E117&lt;$AM$2,I117&gt;$AM$2),"1","")</f>
        <v/>
      </c>
      <c r="AN117" s="199" t="str">
        <f t="shared" si="118"/>
        <v/>
      </c>
      <c r="AO117" s="199" t="str">
        <f t="shared" si="131"/>
        <v/>
      </c>
      <c r="AP117" s="199">
        <v>1</v>
      </c>
      <c r="AQ117" s="199" t="str">
        <f t="shared" si="120"/>
        <v/>
      </c>
      <c r="AR117" s="199" t="str">
        <f t="shared" si="121"/>
        <v/>
      </c>
      <c r="AS117" s="199" t="str">
        <f t="shared" si="122"/>
        <v/>
      </c>
      <c r="AT117" s="199" t="str">
        <f t="shared" si="123"/>
        <v/>
      </c>
      <c r="AU117" s="199" t="str">
        <f t="shared" si="124"/>
        <v/>
      </c>
      <c r="AV117" s="199" t="str">
        <f t="shared" si="125"/>
        <v/>
      </c>
      <c r="AW117" s="199" t="str">
        <f t="shared" si="126"/>
        <v/>
      </c>
      <c r="AX117" s="199" t="str">
        <f t="shared" si="127"/>
        <v/>
      </c>
      <c r="AY117" s="199" t="str">
        <f t="shared" si="128"/>
        <v/>
      </c>
    </row>
    <row r="118" spans="1:51" x14ac:dyDescent="0.3">
      <c r="A118" s="191">
        <v>116</v>
      </c>
      <c r="B118" s="224" t="s">
        <v>85</v>
      </c>
      <c r="C118" s="120" t="s">
        <v>86</v>
      </c>
      <c r="D118" s="138">
        <v>2013</v>
      </c>
      <c r="E118" s="123">
        <v>41352</v>
      </c>
      <c r="F118" s="198">
        <f t="shared" si="72"/>
        <v>3</v>
      </c>
      <c r="G118" s="198" t="str">
        <f t="shared" si="73"/>
        <v>32013</v>
      </c>
      <c r="H118" s="198" t="str">
        <f t="shared" si="74"/>
        <v>marzo</v>
      </c>
      <c r="I118" s="114">
        <f>VLOOKUP(B118,'Base de Datos'!$E$7:$W$271,14,0)</f>
        <v>0</v>
      </c>
      <c r="J118" s="200">
        <f t="shared" si="75"/>
        <v>1900</v>
      </c>
      <c r="K118" s="199">
        <f t="shared" si="76"/>
        <v>1</v>
      </c>
      <c r="L118" s="199" t="str">
        <f t="shared" si="77"/>
        <v>11900</v>
      </c>
      <c r="M118" s="199" t="str">
        <f t="shared" si="78"/>
        <v>enero</v>
      </c>
      <c r="N118" s="199">
        <f t="shared" ca="1" si="79"/>
        <v>44228</v>
      </c>
      <c r="O118" s="242" t="str">
        <f t="shared" ca="1" si="80"/>
        <v>SI</v>
      </c>
      <c r="P118" s="242" t="str">
        <f t="shared" si="103"/>
        <v/>
      </c>
      <c r="Q118" s="242" t="str">
        <f t="shared" si="81"/>
        <v/>
      </c>
      <c r="R118" s="242" t="str">
        <f t="shared" si="82"/>
        <v/>
      </c>
      <c r="S118" s="242" t="str">
        <f t="shared" si="83"/>
        <v/>
      </c>
      <c r="T118" s="242" t="str">
        <f t="shared" si="84"/>
        <v/>
      </c>
      <c r="U118" s="242" t="str">
        <f t="shared" si="85"/>
        <v/>
      </c>
      <c r="V118" s="242" t="str">
        <f t="shared" si="105"/>
        <v/>
      </c>
      <c r="W118" s="242" t="str">
        <f t="shared" si="86"/>
        <v/>
      </c>
      <c r="X118" s="242" t="str">
        <f t="shared" si="87"/>
        <v/>
      </c>
      <c r="Y118" s="242" t="str">
        <f t="shared" si="104"/>
        <v/>
      </c>
      <c r="Z118" s="242" t="str">
        <f t="shared" si="88"/>
        <v/>
      </c>
      <c r="AA118" s="242" t="str">
        <f t="shared" si="112"/>
        <v/>
      </c>
      <c r="AB118" s="242" t="str">
        <f t="shared" si="107"/>
        <v/>
      </c>
      <c r="AC118" s="242" t="str">
        <f t="shared" si="110"/>
        <v/>
      </c>
      <c r="AD118" s="242" t="str">
        <f t="shared" si="113"/>
        <v/>
      </c>
      <c r="AE118" s="242" t="str">
        <f t="shared" si="115"/>
        <v/>
      </c>
      <c r="AF118" s="242" t="str">
        <f t="shared" si="129"/>
        <v/>
      </c>
      <c r="AG118" s="242" t="str">
        <f t="shared" si="133"/>
        <v/>
      </c>
      <c r="AH118" s="242" t="str">
        <f t="shared" si="70"/>
        <v/>
      </c>
      <c r="AI118" s="242" t="str">
        <f t="shared" si="114"/>
        <v/>
      </c>
      <c r="AJ118" s="242" t="str">
        <f t="shared" si="117"/>
        <v/>
      </c>
      <c r="AK118" s="242" t="str">
        <f t="shared" si="130"/>
        <v/>
      </c>
      <c r="AL118" s="242" t="str">
        <f t="shared" si="132"/>
        <v/>
      </c>
      <c r="AM118" s="242" t="str">
        <f t="shared" si="134"/>
        <v/>
      </c>
      <c r="AN118" s="199" t="str">
        <f t="shared" si="118"/>
        <v/>
      </c>
      <c r="AO118" s="199" t="str">
        <f t="shared" si="131"/>
        <v/>
      </c>
      <c r="AP118" s="199">
        <v>1</v>
      </c>
      <c r="AQ118" s="199" t="str">
        <f t="shared" si="120"/>
        <v/>
      </c>
      <c r="AR118" s="199" t="str">
        <f t="shared" si="121"/>
        <v/>
      </c>
      <c r="AS118" s="199" t="str">
        <f t="shared" si="122"/>
        <v/>
      </c>
      <c r="AT118" s="199" t="str">
        <f t="shared" si="123"/>
        <v/>
      </c>
      <c r="AU118" s="199" t="str">
        <f t="shared" si="124"/>
        <v/>
      </c>
      <c r="AV118" s="199" t="str">
        <f t="shared" si="125"/>
        <v/>
      </c>
      <c r="AW118" s="199" t="str">
        <f t="shared" si="126"/>
        <v/>
      </c>
      <c r="AX118" s="199" t="str">
        <f t="shared" si="127"/>
        <v/>
      </c>
      <c r="AY118" s="199" t="str">
        <f t="shared" si="128"/>
        <v/>
      </c>
    </row>
    <row r="119" spans="1:51" ht="20.399999999999999" x14ac:dyDescent="0.3">
      <c r="A119" s="191">
        <v>117</v>
      </c>
      <c r="B119" s="225" t="s">
        <v>241</v>
      </c>
      <c r="C119" s="120" t="s">
        <v>1043</v>
      </c>
      <c r="D119" s="139">
        <v>2013</v>
      </c>
      <c r="E119" s="124">
        <v>41662</v>
      </c>
      <c r="F119" s="198">
        <f t="shared" si="72"/>
        <v>1</v>
      </c>
      <c r="G119" s="198" t="str">
        <f t="shared" si="73"/>
        <v>12013</v>
      </c>
      <c r="H119" s="198" t="str">
        <f t="shared" si="74"/>
        <v>enero</v>
      </c>
      <c r="I119" s="114">
        <f>VLOOKUP(B119,'Base de Datos'!$E$7:$W$271,14,0)</f>
        <v>0</v>
      </c>
      <c r="J119" s="200">
        <f t="shared" si="75"/>
        <v>1900</v>
      </c>
      <c r="K119" s="199">
        <f t="shared" si="76"/>
        <v>1</v>
      </c>
      <c r="L119" s="199" t="str">
        <f t="shared" si="77"/>
        <v>11900</v>
      </c>
      <c r="M119" s="199" t="str">
        <f t="shared" si="78"/>
        <v>enero</v>
      </c>
      <c r="N119" s="199">
        <f t="shared" ca="1" si="79"/>
        <v>44228</v>
      </c>
      <c r="O119" s="242" t="str">
        <f t="shared" ca="1" si="80"/>
        <v>SI</v>
      </c>
      <c r="P119" s="242" t="str">
        <f t="shared" si="103"/>
        <v/>
      </c>
      <c r="Q119" s="242" t="str">
        <f t="shared" si="81"/>
        <v/>
      </c>
      <c r="R119" s="242" t="str">
        <f t="shared" si="82"/>
        <v/>
      </c>
      <c r="S119" s="242" t="str">
        <f t="shared" si="83"/>
        <v/>
      </c>
      <c r="T119" s="242" t="str">
        <f t="shared" si="84"/>
        <v/>
      </c>
      <c r="U119" s="242" t="str">
        <f t="shared" si="85"/>
        <v/>
      </c>
      <c r="V119" s="242" t="str">
        <f t="shared" si="105"/>
        <v/>
      </c>
      <c r="W119" s="242" t="str">
        <f t="shared" si="86"/>
        <v/>
      </c>
      <c r="X119" s="242" t="str">
        <f t="shared" si="87"/>
        <v/>
      </c>
      <c r="Y119" s="242" t="str">
        <f t="shared" si="104"/>
        <v/>
      </c>
      <c r="Z119" s="242" t="str">
        <f t="shared" si="88"/>
        <v/>
      </c>
      <c r="AA119" s="242" t="str">
        <f t="shared" si="112"/>
        <v/>
      </c>
      <c r="AB119" s="242" t="str">
        <f t="shared" si="107"/>
        <v/>
      </c>
      <c r="AC119" s="242" t="str">
        <f t="shared" si="110"/>
        <v/>
      </c>
      <c r="AD119" s="242" t="str">
        <f t="shared" si="113"/>
        <v/>
      </c>
      <c r="AE119" s="242" t="str">
        <f t="shared" si="115"/>
        <v/>
      </c>
      <c r="AF119" s="242" t="str">
        <f t="shared" si="129"/>
        <v/>
      </c>
      <c r="AG119" s="242" t="str">
        <f t="shared" si="133"/>
        <v/>
      </c>
      <c r="AH119" s="242" t="str">
        <f t="shared" si="70"/>
        <v/>
      </c>
      <c r="AI119" s="242" t="str">
        <f t="shared" si="114"/>
        <v/>
      </c>
      <c r="AJ119" s="242" t="str">
        <f t="shared" si="117"/>
        <v/>
      </c>
      <c r="AK119" s="242" t="str">
        <f t="shared" si="130"/>
        <v/>
      </c>
      <c r="AL119" s="242" t="str">
        <f t="shared" si="132"/>
        <v/>
      </c>
      <c r="AM119" s="242" t="str">
        <f t="shared" si="134"/>
        <v/>
      </c>
      <c r="AN119" s="199" t="str">
        <f t="shared" si="118"/>
        <v/>
      </c>
      <c r="AO119" s="199" t="str">
        <f t="shared" si="131"/>
        <v/>
      </c>
      <c r="AP119" s="199">
        <v>1</v>
      </c>
      <c r="AQ119" s="199" t="str">
        <f t="shared" si="120"/>
        <v/>
      </c>
      <c r="AR119" s="199" t="str">
        <f t="shared" si="121"/>
        <v/>
      </c>
      <c r="AS119" s="199" t="str">
        <f t="shared" si="122"/>
        <v/>
      </c>
      <c r="AT119" s="199" t="str">
        <f t="shared" si="123"/>
        <v/>
      </c>
      <c r="AU119" s="199" t="str">
        <f t="shared" si="124"/>
        <v/>
      </c>
      <c r="AV119" s="199" t="str">
        <f t="shared" si="125"/>
        <v/>
      </c>
      <c r="AW119" s="199" t="str">
        <f t="shared" si="126"/>
        <v/>
      </c>
      <c r="AX119" s="199" t="str">
        <f t="shared" si="127"/>
        <v/>
      </c>
      <c r="AY119" s="199" t="str">
        <f t="shared" si="128"/>
        <v/>
      </c>
    </row>
    <row r="120" spans="1:51" ht="20.399999999999999" x14ac:dyDescent="0.3">
      <c r="A120" s="191">
        <v>118</v>
      </c>
      <c r="B120" s="224" t="s">
        <v>83</v>
      </c>
      <c r="C120" s="120" t="s">
        <v>84</v>
      </c>
      <c r="D120" s="138">
        <v>2013</v>
      </c>
      <c r="E120" s="123">
        <v>41367</v>
      </c>
      <c r="F120" s="198">
        <f t="shared" si="72"/>
        <v>4</v>
      </c>
      <c r="G120" s="198" t="str">
        <f t="shared" si="73"/>
        <v>42013</v>
      </c>
      <c r="H120" s="198" t="str">
        <f t="shared" si="74"/>
        <v>abril</v>
      </c>
      <c r="I120" s="114">
        <f>VLOOKUP(B120,'Base de Datos'!$E$7:$W$271,14,0)</f>
        <v>0</v>
      </c>
      <c r="J120" s="200">
        <f t="shared" si="75"/>
        <v>1900</v>
      </c>
      <c r="K120" s="199">
        <f t="shared" si="76"/>
        <v>1</v>
      </c>
      <c r="L120" s="199" t="str">
        <f t="shared" si="77"/>
        <v>11900</v>
      </c>
      <c r="M120" s="199" t="str">
        <f t="shared" si="78"/>
        <v>enero</v>
      </c>
      <c r="N120" s="199">
        <f t="shared" ca="1" si="79"/>
        <v>44228</v>
      </c>
      <c r="O120" s="242" t="str">
        <f t="shared" ca="1" si="80"/>
        <v>SI</v>
      </c>
      <c r="P120" s="242" t="str">
        <f t="shared" si="103"/>
        <v/>
      </c>
      <c r="Q120" s="242" t="str">
        <f t="shared" si="81"/>
        <v/>
      </c>
      <c r="R120" s="242" t="str">
        <f t="shared" si="82"/>
        <v/>
      </c>
      <c r="S120" s="242" t="str">
        <f t="shared" si="83"/>
        <v/>
      </c>
      <c r="T120" s="242" t="str">
        <f t="shared" si="84"/>
        <v/>
      </c>
      <c r="U120" s="242" t="str">
        <f t="shared" si="85"/>
        <v/>
      </c>
      <c r="V120" s="242" t="str">
        <f t="shared" si="105"/>
        <v/>
      </c>
      <c r="W120" s="242" t="str">
        <f t="shared" si="86"/>
        <v/>
      </c>
      <c r="X120" s="242" t="str">
        <f t="shared" si="87"/>
        <v/>
      </c>
      <c r="Y120" s="242" t="str">
        <f t="shared" si="104"/>
        <v/>
      </c>
      <c r="Z120" s="242" t="str">
        <f t="shared" si="88"/>
        <v/>
      </c>
      <c r="AA120" s="242" t="str">
        <f t="shared" si="112"/>
        <v/>
      </c>
      <c r="AB120" s="242" t="str">
        <f t="shared" si="107"/>
        <v/>
      </c>
      <c r="AC120" s="242" t="str">
        <f t="shared" si="110"/>
        <v/>
      </c>
      <c r="AD120" s="242" t="str">
        <f t="shared" si="113"/>
        <v/>
      </c>
      <c r="AE120" s="242" t="str">
        <f t="shared" si="115"/>
        <v/>
      </c>
      <c r="AF120" s="242" t="str">
        <f t="shared" si="129"/>
        <v/>
      </c>
      <c r="AG120" s="242" t="str">
        <f t="shared" si="133"/>
        <v/>
      </c>
      <c r="AH120" s="242" t="str">
        <f t="shared" si="70"/>
        <v/>
      </c>
      <c r="AI120" s="242" t="str">
        <f t="shared" si="114"/>
        <v/>
      </c>
      <c r="AJ120" s="242" t="str">
        <f t="shared" si="117"/>
        <v/>
      </c>
      <c r="AK120" s="242" t="str">
        <f t="shared" si="130"/>
        <v/>
      </c>
      <c r="AL120" s="242" t="str">
        <f t="shared" si="132"/>
        <v/>
      </c>
      <c r="AM120" s="242" t="str">
        <f t="shared" si="134"/>
        <v/>
      </c>
      <c r="AN120" s="199" t="str">
        <f t="shared" si="118"/>
        <v/>
      </c>
      <c r="AO120" s="199" t="str">
        <f t="shared" si="131"/>
        <v/>
      </c>
      <c r="AP120" s="199" t="str">
        <f>IF(AND(E120&lt;$AP$2,I120&gt;$AP$2),"1","")</f>
        <v/>
      </c>
      <c r="AQ120" s="199">
        <v>1</v>
      </c>
      <c r="AR120" s="199" t="str">
        <f t="shared" si="121"/>
        <v/>
      </c>
      <c r="AS120" s="199" t="str">
        <f t="shared" si="122"/>
        <v/>
      </c>
      <c r="AT120" s="199" t="str">
        <f t="shared" si="123"/>
        <v/>
      </c>
      <c r="AU120" s="199" t="str">
        <f t="shared" si="124"/>
        <v/>
      </c>
      <c r="AV120" s="199" t="str">
        <f t="shared" si="125"/>
        <v/>
      </c>
      <c r="AW120" s="199" t="str">
        <f t="shared" si="126"/>
        <v/>
      </c>
      <c r="AX120" s="199" t="str">
        <f t="shared" si="127"/>
        <v/>
      </c>
      <c r="AY120" s="199" t="str">
        <f t="shared" si="128"/>
        <v/>
      </c>
    </row>
    <row r="121" spans="1:51" ht="20.399999999999999" x14ac:dyDescent="0.3">
      <c r="A121" s="191">
        <v>119</v>
      </c>
      <c r="B121" s="224" t="s">
        <v>25</v>
      </c>
      <c r="C121" s="120" t="s">
        <v>26</v>
      </c>
      <c r="D121" s="138">
        <v>2012</v>
      </c>
      <c r="E121" s="124">
        <v>41313</v>
      </c>
      <c r="F121" s="198">
        <f t="shared" si="72"/>
        <v>2</v>
      </c>
      <c r="G121" s="198" t="str">
        <f t="shared" si="73"/>
        <v>22012</v>
      </c>
      <c r="H121" s="198" t="str">
        <f t="shared" si="74"/>
        <v>febrero</v>
      </c>
      <c r="I121" s="114">
        <f>VLOOKUP(B121,'Base de Datos'!$E$7:$W$271,14,0)</f>
        <v>1</v>
      </c>
      <c r="J121" s="200">
        <f t="shared" si="75"/>
        <v>1900</v>
      </c>
      <c r="K121" s="199">
        <f t="shared" si="76"/>
        <v>1</v>
      </c>
      <c r="L121" s="199" t="str">
        <f t="shared" si="77"/>
        <v>11900</v>
      </c>
      <c r="M121" s="199" t="str">
        <f t="shared" si="78"/>
        <v>enero</v>
      </c>
      <c r="N121" s="199">
        <f t="shared" ca="1" si="79"/>
        <v>44227</v>
      </c>
      <c r="O121" s="242" t="str">
        <f t="shared" ca="1" si="80"/>
        <v>SI</v>
      </c>
      <c r="P121" s="242" t="str">
        <f t="shared" si="103"/>
        <v/>
      </c>
      <c r="Q121" s="242" t="str">
        <f t="shared" si="81"/>
        <v/>
      </c>
      <c r="R121" s="242" t="str">
        <f t="shared" si="82"/>
        <v/>
      </c>
      <c r="S121" s="242" t="str">
        <f t="shared" si="83"/>
        <v/>
      </c>
      <c r="T121" s="242" t="str">
        <f t="shared" si="84"/>
        <v/>
      </c>
      <c r="U121" s="242" t="str">
        <f t="shared" si="85"/>
        <v/>
      </c>
      <c r="V121" s="242" t="str">
        <f t="shared" si="105"/>
        <v/>
      </c>
      <c r="W121" s="242" t="str">
        <f t="shared" si="86"/>
        <v/>
      </c>
      <c r="X121" s="242" t="str">
        <f t="shared" si="87"/>
        <v/>
      </c>
      <c r="Y121" s="242" t="str">
        <f t="shared" si="104"/>
        <v/>
      </c>
      <c r="Z121" s="242" t="str">
        <f t="shared" si="88"/>
        <v/>
      </c>
      <c r="AA121" s="242" t="str">
        <f t="shared" si="112"/>
        <v/>
      </c>
      <c r="AB121" s="242" t="str">
        <f t="shared" si="107"/>
        <v/>
      </c>
      <c r="AC121" s="242" t="str">
        <f t="shared" si="110"/>
        <v/>
      </c>
      <c r="AD121" s="242" t="str">
        <f t="shared" si="113"/>
        <v/>
      </c>
      <c r="AE121" s="242" t="str">
        <f t="shared" si="115"/>
        <v/>
      </c>
      <c r="AF121" s="242" t="str">
        <f t="shared" si="129"/>
        <v/>
      </c>
      <c r="AG121" s="242" t="str">
        <f t="shared" si="133"/>
        <v/>
      </c>
      <c r="AH121" s="242" t="str">
        <f t="shared" si="70"/>
        <v/>
      </c>
      <c r="AI121" s="242" t="str">
        <f t="shared" si="114"/>
        <v/>
      </c>
      <c r="AJ121" s="242" t="str">
        <f t="shared" si="117"/>
        <v/>
      </c>
      <c r="AK121" s="242" t="str">
        <f t="shared" si="130"/>
        <v/>
      </c>
      <c r="AL121" s="242" t="str">
        <f t="shared" si="132"/>
        <v/>
      </c>
      <c r="AM121" s="242" t="str">
        <f t="shared" si="134"/>
        <v/>
      </c>
      <c r="AN121" s="199" t="str">
        <f t="shared" si="118"/>
        <v/>
      </c>
      <c r="AO121" s="199" t="str">
        <f t="shared" si="131"/>
        <v/>
      </c>
      <c r="AP121" s="199">
        <v>1</v>
      </c>
      <c r="AQ121" s="199" t="str">
        <f>IF(AND(E121&lt;$AQ$2,I121&gt;$AQ$2),"1","")</f>
        <v/>
      </c>
      <c r="AR121" s="199" t="str">
        <f t="shared" si="121"/>
        <v/>
      </c>
      <c r="AS121" s="199" t="str">
        <f t="shared" si="122"/>
        <v/>
      </c>
      <c r="AT121" s="199" t="str">
        <f t="shared" si="123"/>
        <v/>
      </c>
      <c r="AU121" s="199" t="str">
        <f t="shared" si="124"/>
        <v/>
      </c>
      <c r="AV121" s="199" t="str">
        <f t="shared" si="125"/>
        <v/>
      </c>
      <c r="AW121" s="199" t="str">
        <f t="shared" si="126"/>
        <v/>
      </c>
      <c r="AX121" s="199" t="str">
        <f t="shared" si="127"/>
        <v/>
      </c>
      <c r="AY121" s="199" t="str">
        <f t="shared" si="128"/>
        <v/>
      </c>
    </row>
    <row r="122" spans="1:51" x14ac:dyDescent="0.3">
      <c r="A122" s="191">
        <v>120</v>
      </c>
      <c r="B122" s="229" t="s">
        <v>145</v>
      </c>
      <c r="C122" s="140" t="s">
        <v>43</v>
      </c>
      <c r="D122" s="138">
        <v>2013</v>
      </c>
      <c r="E122" s="141">
        <v>41463</v>
      </c>
      <c r="F122" s="198">
        <f t="shared" si="72"/>
        <v>7</v>
      </c>
      <c r="G122" s="198" t="str">
        <f t="shared" si="73"/>
        <v>72013</v>
      </c>
      <c r="H122" s="198" t="str">
        <f t="shared" si="74"/>
        <v>julio</v>
      </c>
      <c r="I122" s="114">
        <f>VLOOKUP(B122,'Base de Datos'!$E$7:$W$271,14,0)</f>
        <v>2</v>
      </c>
      <c r="J122" s="200">
        <f t="shared" si="75"/>
        <v>1900</v>
      </c>
      <c r="K122" s="199">
        <f t="shared" si="76"/>
        <v>1</v>
      </c>
      <c r="L122" s="199" t="str">
        <f t="shared" si="77"/>
        <v>11900</v>
      </c>
      <c r="M122" s="199" t="str">
        <f t="shared" si="78"/>
        <v>enero</v>
      </c>
      <c r="N122" s="199">
        <f t="shared" ca="1" si="79"/>
        <v>44226</v>
      </c>
      <c r="O122" s="242" t="str">
        <f t="shared" ca="1" si="80"/>
        <v>SI</v>
      </c>
      <c r="P122" s="242" t="str">
        <f t="shared" si="103"/>
        <v/>
      </c>
      <c r="Q122" s="242" t="str">
        <f t="shared" si="81"/>
        <v/>
      </c>
      <c r="R122" s="242" t="str">
        <f t="shared" si="82"/>
        <v/>
      </c>
      <c r="S122" s="242" t="str">
        <f t="shared" si="83"/>
        <v/>
      </c>
      <c r="T122" s="242" t="str">
        <f t="shared" si="84"/>
        <v/>
      </c>
      <c r="U122" s="242" t="str">
        <f t="shared" si="85"/>
        <v/>
      </c>
      <c r="V122" s="242" t="str">
        <f t="shared" si="105"/>
        <v/>
      </c>
      <c r="W122" s="242" t="str">
        <f t="shared" si="86"/>
        <v/>
      </c>
      <c r="X122" s="242" t="str">
        <f t="shared" si="87"/>
        <v/>
      </c>
      <c r="Y122" s="242" t="str">
        <f t="shared" si="104"/>
        <v/>
      </c>
      <c r="Z122" s="242" t="str">
        <f t="shared" si="88"/>
        <v/>
      </c>
      <c r="AA122" s="242" t="str">
        <f t="shared" si="112"/>
        <v/>
      </c>
      <c r="AB122" s="242" t="str">
        <f t="shared" si="107"/>
        <v/>
      </c>
      <c r="AC122" s="242" t="str">
        <f t="shared" si="110"/>
        <v/>
      </c>
      <c r="AD122" s="242" t="str">
        <f t="shared" si="113"/>
        <v/>
      </c>
      <c r="AE122" s="242" t="str">
        <f t="shared" si="115"/>
        <v/>
      </c>
      <c r="AF122" s="242" t="str">
        <f t="shared" si="129"/>
        <v/>
      </c>
      <c r="AG122" s="242" t="str">
        <f t="shared" si="133"/>
        <v/>
      </c>
      <c r="AH122" s="242" t="str">
        <f t="shared" si="70"/>
        <v/>
      </c>
      <c r="AI122" s="242" t="str">
        <f t="shared" si="114"/>
        <v/>
      </c>
      <c r="AJ122" s="242" t="str">
        <f t="shared" si="117"/>
        <v/>
      </c>
      <c r="AK122" s="242" t="str">
        <f t="shared" si="130"/>
        <v/>
      </c>
      <c r="AL122" s="242" t="str">
        <f t="shared" si="132"/>
        <v/>
      </c>
      <c r="AM122" s="242" t="str">
        <f t="shared" si="134"/>
        <v/>
      </c>
      <c r="AN122" s="199" t="str">
        <f t="shared" si="118"/>
        <v/>
      </c>
      <c r="AO122" s="199" t="str">
        <f t="shared" si="131"/>
        <v/>
      </c>
      <c r="AP122" s="199" t="str">
        <f t="shared" ref="AP122:AP153" si="135">IF(AND(E122&lt;$AP$2,I122&gt;$AP$2),"1","")</f>
        <v/>
      </c>
      <c r="AQ122" s="199">
        <v>1</v>
      </c>
      <c r="AR122" s="199" t="str">
        <f t="shared" si="121"/>
        <v/>
      </c>
      <c r="AS122" s="199" t="str">
        <f t="shared" si="122"/>
        <v/>
      </c>
      <c r="AT122" s="199" t="str">
        <f t="shared" si="123"/>
        <v/>
      </c>
      <c r="AU122" s="199" t="str">
        <f t="shared" si="124"/>
        <v/>
      </c>
      <c r="AV122" s="199" t="str">
        <f t="shared" si="125"/>
        <v/>
      </c>
      <c r="AW122" s="199" t="str">
        <f t="shared" si="126"/>
        <v/>
      </c>
      <c r="AX122" s="199" t="str">
        <f t="shared" si="127"/>
        <v/>
      </c>
      <c r="AY122" s="199" t="str">
        <f t="shared" si="128"/>
        <v/>
      </c>
    </row>
    <row r="123" spans="1:51" x14ac:dyDescent="0.3">
      <c r="A123" s="191">
        <v>121</v>
      </c>
      <c r="B123" s="225" t="s">
        <v>237</v>
      </c>
      <c r="C123" s="120" t="s">
        <v>186</v>
      </c>
      <c r="D123" s="139">
        <v>2013</v>
      </c>
      <c r="E123" s="124">
        <v>41662</v>
      </c>
      <c r="F123" s="198">
        <f t="shared" si="72"/>
        <v>1</v>
      </c>
      <c r="G123" s="198" t="str">
        <f t="shared" si="73"/>
        <v>12013</v>
      </c>
      <c r="H123" s="198" t="str">
        <f t="shared" si="74"/>
        <v>enero</v>
      </c>
      <c r="I123" s="114">
        <f>VLOOKUP(B123,'Base de Datos'!$E$7:$W$271,14,0)</f>
        <v>0</v>
      </c>
      <c r="J123" s="200">
        <f t="shared" si="75"/>
        <v>1900</v>
      </c>
      <c r="K123" s="199">
        <f t="shared" si="76"/>
        <v>1</v>
      </c>
      <c r="L123" s="199" t="str">
        <f t="shared" si="77"/>
        <v>11900</v>
      </c>
      <c r="M123" s="199" t="str">
        <f t="shared" si="78"/>
        <v>enero</v>
      </c>
      <c r="N123" s="199">
        <f t="shared" ca="1" si="79"/>
        <v>44228</v>
      </c>
      <c r="O123" s="242" t="str">
        <f t="shared" ca="1" si="80"/>
        <v>SI</v>
      </c>
      <c r="P123" s="242" t="str">
        <f t="shared" si="103"/>
        <v/>
      </c>
      <c r="Q123" s="242" t="str">
        <f t="shared" si="81"/>
        <v/>
      </c>
      <c r="R123" s="242" t="str">
        <f t="shared" si="82"/>
        <v/>
      </c>
      <c r="S123" s="242" t="str">
        <f t="shared" si="83"/>
        <v/>
      </c>
      <c r="T123" s="242" t="str">
        <f t="shared" si="84"/>
        <v/>
      </c>
      <c r="U123" s="242" t="str">
        <f t="shared" si="85"/>
        <v/>
      </c>
      <c r="V123" s="242" t="str">
        <f t="shared" si="105"/>
        <v/>
      </c>
      <c r="W123" s="242" t="str">
        <f t="shared" si="86"/>
        <v/>
      </c>
      <c r="X123" s="242" t="str">
        <f t="shared" si="87"/>
        <v/>
      </c>
      <c r="Y123" s="242" t="str">
        <f t="shared" si="104"/>
        <v/>
      </c>
      <c r="Z123" s="242" t="str">
        <f t="shared" si="88"/>
        <v/>
      </c>
      <c r="AA123" s="242" t="str">
        <f t="shared" si="112"/>
        <v/>
      </c>
      <c r="AB123" s="242" t="str">
        <f t="shared" si="107"/>
        <v/>
      </c>
      <c r="AC123" s="242" t="str">
        <f t="shared" si="110"/>
        <v/>
      </c>
      <c r="AD123" s="242" t="str">
        <f t="shared" si="113"/>
        <v/>
      </c>
      <c r="AE123" s="242" t="str">
        <f t="shared" si="115"/>
        <v/>
      </c>
      <c r="AF123" s="242" t="str">
        <f t="shared" si="129"/>
        <v/>
      </c>
      <c r="AG123" s="242" t="str">
        <f t="shared" si="133"/>
        <v/>
      </c>
      <c r="AH123" s="242" t="str">
        <f t="shared" ref="AH123:AH186" si="136">IF(AND(E123&lt;$AH$2,I123&gt;$AH$2),"1","")</f>
        <v/>
      </c>
      <c r="AI123" s="242" t="str">
        <f t="shared" si="114"/>
        <v/>
      </c>
      <c r="AJ123" s="242" t="str">
        <f t="shared" si="117"/>
        <v/>
      </c>
      <c r="AK123" s="242" t="str">
        <f t="shared" si="130"/>
        <v/>
      </c>
      <c r="AL123" s="242" t="str">
        <f t="shared" si="132"/>
        <v/>
      </c>
      <c r="AM123" s="242" t="str">
        <f t="shared" si="134"/>
        <v/>
      </c>
      <c r="AN123" s="199" t="str">
        <f t="shared" si="118"/>
        <v/>
      </c>
      <c r="AO123" s="199" t="str">
        <f t="shared" si="131"/>
        <v/>
      </c>
      <c r="AP123" s="199" t="str">
        <f t="shared" si="135"/>
        <v/>
      </c>
      <c r="AQ123" s="199">
        <v>1</v>
      </c>
      <c r="AR123" s="199" t="str">
        <f t="shared" si="121"/>
        <v/>
      </c>
      <c r="AS123" s="199" t="str">
        <f t="shared" si="122"/>
        <v/>
      </c>
      <c r="AT123" s="199" t="str">
        <f t="shared" si="123"/>
        <v/>
      </c>
      <c r="AU123" s="199" t="str">
        <f t="shared" si="124"/>
        <v/>
      </c>
      <c r="AV123" s="199" t="str">
        <f t="shared" si="125"/>
        <v/>
      </c>
      <c r="AW123" s="199" t="str">
        <f t="shared" si="126"/>
        <v/>
      </c>
      <c r="AX123" s="199" t="str">
        <f t="shared" si="127"/>
        <v/>
      </c>
      <c r="AY123" s="199" t="str">
        <f t="shared" si="128"/>
        <v/>
      </c>
    </row>
    <row r="124" spans="1:51" x14ac:dyDescent="0.3">
      <c r="A124" s="191">
        <v>122</v>
      </c>
      <c r="B124" s="225" t="s">
        <v>260</v>
      </c>
      <c r="C124" s="120" t="s">
        <v>261</v>
      </c>
      <c r="D124" s="139">
        <v>2014</v>
      </c>
      <c r="E124" s="124">
        <v>41708</v>
      </c>
      <c r="F124" s="198">
        <f t="shared" si="72"/>
        <v>3</v>
      </c>
      <c r="G124" s="198" t="str">
        <f t="shared" si="73"/>
        <v>32014</v>
      </c>
      <c r="H124" s="198" t="str">
        <f t="shared" si="74"/>
        <v>marzo</v>
      </c>
      <c r="I124" s="114">
        <f>VLOOKUP(B124,'Base de Datos'!$E$7:$W$271,14,0)</f>
        <v>0</v>
      </c>
      <c r="J124" s="200">
        <f t="shared" si="75"/>
        <v>1900</v>
      </c>
      <c r="K124" s="199">
        <f t="shared" si="76"/>
        <v>1</v>
      </c>
      <c r="L124" s="199" t="str">
        <f t="shared" si="77"/>
        <v>11900</v>
      </c>
      <c r="M124" s="199" t="str">
        <f t="shared" si="78"/>
        <v>enero</v>
      </c>
      <c r="N124" s="199">
        <f t="shared" ca="1" si="79"/>
        <v>44228</v>
      </c>
      <c r="O124" s="242" t="str">
        <f t="shared" ca="1" si="80"/>
        <v>SI</v>
      </c>
      <c r="P124" s="242" t="str">
        <f t="shared" si="103"/>
        <v/>
      </c>
      <c r="Q124" s="242" t="str">
        <f t="shared" si="81"/>
        <v/>
      </c>
      <c r="R124" s="242" t="str">
        <f t="shared" si="82"/>
        <v/>
      </c>
      <c r="S124" s="242" t="str">
        <f t="shared" si="83"/>
        <v/>
      </c>
      <c r="T124" s="242" t="str">
        <f t="shared" si="84"/>
        <v/>
      </c>
      <c r="U124" s="242" t="str">
        <f t="shared" si="85"/>
        <v/>
      </c>
      <c r="V124" s="242" t="str">
        <f t="shared" si="105"/>
        <v/>
      </c>
      <c r="W124" s="242" t="str">
        <f t="shared" si="86"/>
        <v/>
      </c>
      <c r="X124" s="242" t="str">
        <f t="shared" si="87"/>
        <v/>
      </c>
      <c r="Y124" s="242" t="str">
        <f t="shared" si="104"/>
        <v/>
      </c>
      <c r="Z124" s="242" t="str">
        <f t="shared" si="88"/>
        <v/>
      </c>
      <c r="AA124" s="242" t="str">
        <f t="shared" si="112"/>
        <v/>
      </c>
      <c r="AB124" s="242" t="str">
        <f t="shared" si="107"/>
        <v/>
      </c>
      <c r="AC124" s="242" t="str">
        <f t="shared" si="110"/>
        <v/>
      </c>
      <c r="AD124" s="242" t="str">
        <f t="shared" si="113"/>
        <v/>
      </c>
      <c r="AE124" s="242" t="str">
        <f t="shared" si="115"/>
        <v/>
      </c>
      <c r="AF124" s="242" t="str">
        <f t="shared" si="129"/>
        <v/>
      </c>
      <c r="AG124" s="242" t="str">
        <f t="shared" si="133"/>
        <v/>
      </c>
      <c r="AH124" s="242" t="str">
        <f t="shared" si="136"/>
        <v/>
      </c>
      <c r="AI124" s="242" t="str">
        <f t="shared" si="114"/>
        <v/>
      </c>
      <c r="AJ124" s="242" t="str">
        <f t="shared" si="117"/>
        <v/>
      </c>
      <c r="AK124" s="242" t="str">
        <f t="shared" si="130"/>
        <v/>
      </c>
      <c r="AL124" s="242" t="str">
        <f t="shared" si="132"/>
        <v/>
      </c>
      <c r="AM124" s="242" t="str">
        <f t="shared" si="134"/>
        <v/>
      </c>
      <c r="AN124" s="199" t="str">
        <f t="shared" si="118"/>
        <v/>
      </c>
      <c r="AO124" s="199" t="str">
        <f t="shared" si="131"/>
        <v/>
      </c>
      <c r="AP124" s="199" t="str">
        <f t="shared" si="135"/>
        <v/>
      </c>
      <c r="AQ124" s="199">
        <v>1</v>
      </c>
      <c r="AR124" s="199" t="str">
        <f t="shared" si="121"/>
        <v/>
      </c>
      <c r="AS124" s="199" t="str">
        <f t="shared" si="122"/>
        <v/>
      </c>
      <c r="AT124" s="199" t="str">
        <f t="shared" si="123"/>
        <v/>
      </c>
      <c r="AU124" s="199" t="str">
        <f t="shared" si="124"/>
        <v/>
      </c>
      <c r="AV124" s="199" t="str">
        <f t="shared" si="125"/>
        <v/>
      </c>
      <c r="AW124" s="199" t="str">
        <f t="shared" si="126"/>
        <v/>
      </c>
      <c r="AX124" s="199" t="str">
        <f t="shared" si="127"/>
        <v/>
      </c>
      <c r="AY124" s="199" t="str">
        <f t="shared" si="128"/>
        <v/>
      </c>
    </row>
    <row r="125" spans="1:51" ht="20.399999999999999" x14ac:dyDescent="0.3">
      <c r="A125" s="191">
        <v>123</v>
      </c>
      <c r="B125" s="225" t="s">
        <v>234</v>
      </c>
      <c r="C125" s="120" t="s">
        <v>235</v>
      </c>
      <c r="D125" s="139">
        <v>2013</v>
      </c>
      <c r="E125" s="124">
        <v>41659</v>
      </c>
      <c r="F125" s="198">
        <f t="shared" si="72"/>
        <v>1</v>
      </c>
      <c r="G125" s="198" t="str">
        <f t="shared" si="73"/>
        <v>12013</v>
      </c>
      <c r="H125" s="198" t="str">
        <f t="shared" si="74"/>
        <v>enero</v>
      </c>
      <c r="I125" s="114">
        <f>VLOOKUP(B125,'Base de Datos'!$E$7:$W$271,14,0)</f>
        <v>0</v>
      </c>
      <c r="J125" s="200">
        <f t="shared" si="75"/>
        <v>1900</v>
      </c>
      <c r="K125" s="199">
        <f t="shared" si="76"/>
        <v>1</v>
      </c>
      <c r="L125" s="199" t="str">
        <f t="shared" si="77"/>
        <v>11900</v>
      </c>
      <c r="M125" s="199" t="str">
        <f t="shared" si="78"/>
        <v>enero</v>
      </c>
      <c r="N125" s="199">
        <f t="shared" ca="1" si="79"/>
        <v>44228</v>
      </c>
      <c r="O125" s="242" t="str">
        <f t="shared" ca="1" si="80"/>
        <v>SI</v>
      </c>
      <c r="P125" s="242" t="str">
        <f t="shared" si="103"/>
        <v/>
      </c>
      <c r="Q125" s="242" t="str">
        <f t="shared" si="81"/>
        <v/>
      </c>
      <c r="R125" s="242" t="str">
        <f t="shared" si="82"/>
        <v/>
      </c>
      <c r="S125" s="242" t="str">
        <f t="shared" si="83"/>
        <v/>
      </c>
      <c r="T125" s="242" t="str">
        <f t="shared" si="84"/>
        <v/>
      </c>
      <c r="U125" s="242" t="str">
        <f t="shared" si="85"/>
        <v/>
      </c>
      <c r="V125" s="242" t="str">
        <f t="shared" si="105"/>
        <v/>
      </c>
      <c r="W125" s="242" t="str">
        <f t="shared" si="86"/>
        <v/>
      </c>
      <c r="X125" s="242" t="str">
        <f t="shared" si="87"/>
        <v/>
      </c>
      <c r="Y125" s="242" t="str">
        <f t="shared" si="104"/>
        <v/>
      </c>
      <c r="Z125" s="242" t="str">
        <f t="shared" si="88"/>
        <v/>
      </c>
      <c r="AA125" s="242" t="str">
        <f t="shared" si="112"/>
        <v/>
      </c>
      <c r="AB125" s="242" t="str">
        <f t="shared" si="107"/>
        <v/>
      </c>
      <c r="AC125" s="242" t="str">
        <f t="shared" si="110"/>
        <v/>
      </c>
      <c r="AD125" s="242" t="str">
        <f t="shared" si="113"/>
        <v/>
      </c>
      <c r="AE125" s="242" t="str">
        <f t="shared" si="115"/>
        <v/>
      </c>
      <c r="AF125" s="242" t="str">
        <f t="shared" si="129"/>
        <v/>
      </c>
      <c r="AG125" s="242" t="str">
        <f t="shared" si="133"/>
        <v/>
      </c>
      <c r="AH125" s="242" t="str">
        <f t="shared" si="136"/>
        <v/>
      </c>
      <c r="AI125" s="242" t="str">
        <f t="shared" si="114"/>
        <v/>
      </c>
      <c r="AJ125" s="242" t="str">
        <f t="shared" si="117"/>
        <v/>
      </c>
      <c r="AK125" s="242" t="str">
        <f t="shared" si="130"/>
        <v/>
      </c>
      <c r="AL125" s="242" t="str">
        <f t="shared" si="132"/>
        <v/>
      </c>
      <c r="AM125" s="242" t="str">
        <f t="shared" si="134"/>
        <v/>
      </c>
      <c r="AN125" s="199" t="str">
        <f t="shared" si="118"/>
        <v/>
      </c>
      <c r="AO125" s="199" t="str">
        <f t="shared" si="131"/>
        <v/>
      </c>
      <c r="AP125" s="199" t="str">
        <f t="shared" si="135"/>
        <v/>
      </c>
      <c r="AQ125" s="199">
        <v>1</v>
      </c>
      <c r="AR125" s="199" t="str">
        <f t="shared" si="121"/>
        <v/>
      </c>
      <c r="AS125" s="199" t="str">
        <f t="shared" si="122"/>
        <v/>
      </c>
      <c r="AT125" s="199" t="str">
        <f t="shared" si="123"/>
        <v/>
      </c>
      <c r="AU125" s="199" t="str">
        <f t="shared" si="124"/>
        <v/>
      </c>
      <c r="AV125" s="199" t="str">
        <f t="shared" si="125"/>
        <v/>
      </c>
      <c r="AW125" s="199" t="str">
        <f t="shared" si="126"/>
        <v/>
      </c>
      <c r="AX125" s="199" t="str">
        <f t="shared" si="127"/>
        <v/>
      </c>
      <c r="AY125" s="199" t="str">
        <f t="shared" si="128"/>
        <v/>
      </c>
    </row>
    <row r="126" spans="1:51" x14ac:dyDescent="0.3">
      <c r="A126" s="191">
        <v>124</v>
      </c>
      <c r="B126" s="225" t="s">
        <v>264</v>
      </c>
      <c r="C126" s="120" t="s">
        <v>265</v>
      </c>
      <c r="D126" s="139">
        <v>2014</v>
      </c>
      <c r="E126" s="124">
        <v>41704</v>
      </c>
      <c r="F126" s="198">
        <f t="shared" si="72"/>
        <v>3</v>
      </c>
      <c r="G126" s="198" t="str">
        <f t="shared" si="73"/>
        <v>32014</v>
      </c>
      <c r="H126" s="198" t="str">
        <f t="shared" si="74"/>
        <v>marzo</v>
      </c>
      <c r="I126" s="114">
        <f>VLOOKUP(B126,'Base de Datos'!$E$7:$W$271,14,0)</f>
        <v>0</v>
      </c>
      <c r="J126" s="200">
        <f t="shared" si="75"/>
        <v>1900</v>
      </c>
      <c r="K126" s="199">
        <f t="shared" si="76"/>
        <v>1</v>
      </c>
      <c r="L126" s="199" t="str">
        <f t="shared" si="77"/>
        <v>11900</v>
      </c>
      <c r="M126" s="199" t="str">
        <f t="shared" si="78"/>
        <v>enero</v>
      </c>
      <c r="N126" s="199">
        <f t="shared" ca="1" si="79"/>
        <v>44228</v>
      </c>
      <c r="O126" s="242" t="str">
        <f t="shared" ca="1" si="80"/>
        <v>SI</v>
      </c>
      <c r="P126" s="242" t="str">
        <f t="shared" si="103"/>
        <v/>
      </c>
      <c r="Q126" s="242" t="str">
        <f t="shared" si="81"/>
        <v/>
      </c>
      <c r="R126" s="242" t="str">
        <f t="shared" si="82"/>
        <v/>
      </c>
      <c r="S126" s="242" t="str">
        <f t="shared" si="83"/>
        <v/>
      </c>
      <c r="T126" s="242" t="str">
        <f t="shared" si="84"/>
        <v/>
      </c>
      <c r="U126" s="242" t="str">
        <f t="shared" si="85"/>
        <v/>
      </c>
      <c r="V126" s="242" t="str">
        <f t="shared" si="105"/>
        <v/>
      </c>
      <c r="W126" s="242" t="str">
        <f t="shared" si="86"/>
        <v/>
      </c>
      <c r="X126" s="242" t="str">
        <f t="shared" si="87"/>
        <v/>
      </c>
      <c r="Y126" s="242" t="str">
        <f t="shared" si="104"/>
        <v/>
      </c>
      <c r="Z126" s="242" t="str">
        <f t="shared" si="88"/>
        <v/>
      </c>
      <c r="AA126" s="242" t="str">
        <f t="shared" si="112"/>
        <v/>
      </c>
      <c r="AB126" s="242" t="str">
        <f t="shared" si="107"/>
        <v/>
      </c>
      <c r="AC126" s="242" t="str">
        <f t="shared" si="110"/>
        <v/>
      </c>
      <c r="AD126" s="242" t="str">
        <f t="shared" si="113"/>
        <v/>
      </c>
      <c r="AE126" s="242" t="str">
        <f t="shared" si="115"/>
        <v/>
      </c>
      <c r="AF126" s="242" t="str">
        <f t="shared" si="129"/>
        <v/>
      </c>
      <c r="AG126" s="242" t="str">
        <f t="shared" si="133"/>
        <v/>
      </c>
      <c r="AH126" s="242" t="str">
        <f t="shared" si="136"/>
        <v/>
      </c>
      <c r="AI126" s="242" t="str">
        <f t="shared" si="114"/>
        <v/>
      </c>
      <c r="AJ126" s="242" t="str">
        <f t="shared" si="117"/>
        <v/>
      </c>
      <c r="AK126" s="242" t="str">
        <f t="shared" si="130"/>
        <v/>
      </c>
      <c r="AL126" s="242" t="str">
        <f t="shared" si="132"/>
        <v/>
      </c>
      <c r="AM126" s="242" t="str">
        <f t="shared" si="134"/>
        <v/>
      </c>
      <c r="AN126" s="199" t="str">
        <f t="shared" si="118"/>
        <v/>
      </c>
      <c r="AO126" s="199" t="str">
        <f t="shared" si="131"/>
        <v/>
      </c>
      <c r="AP126" s="199" t="str">
        <f t="shared" si="135"/>
        <v/>
      </c>
      <c r="AQ126" s="199">
        <v>1</v>
      </c>
      <c r="AR126" s="199" t="str">
        <f t="shared" si="121"/>
        <v/>
      </c>
      <c r="AS126" s="199" t="str">
        <f t="shared" si="122"/>
        <v/>
      </c>
      <c r="AT126" s="199" t="str">
        <f t="shared" si="123"/>
        <v/>
      </c>
      <c r="AU126" s="199" t="str">
        <f t="shared" si="124"/>
        <v/>
      </c>
      <c r="AV126" s="199" t="str">
        <f t="shared" si="125"/>
        <v/>
      </c>
      <c r="AW126" s="199" t="str">
        <f t="shared" si="126"/>
        <v/>
      </c>
      <c r="AX126" s="199" t="str">
        <f t="shared" si="127"/>
        <v/>
      </c>
      <c r="AY126" s="199" t="str">
        <f t="shared" si="128"/>
        <v/>
      </c>
    </row>
    <row r="127" spans="1:51" ht="20.399999999999999" x14ac:dyDescent="0.3">
      <c r="A127" s="191">
        <v>125</v>
      </c>
      <c r="B127" s="225" t="s">
        <v>262</v>
      </c>
      <c r="C127" s="120" t="s">
        <v>263</v>
      </c>
      <c r="D127" s="139">
        <v>2014</v>
      </c>
      <c r="E127" s="124">
        <v>41704</v>
      </c>
      <c r="F127" s="198">
        <f t="shared" si="72"/>
        <v>3</v>
      </c>
      <c r="G127" s="198" t="str">
        <f t="shared" si="73"/>
        <v>32014</v>
      </c>
      <c r="H127" s="198" t="str">
        <f t="shared" si="74"/>
        <v>marzo</v>
      </c>
      <c r="I127" s="114">
        <f>VLOOKUP(B127,'Base de Datos'!$E$7:$W$271,14,0)</f>
        <v>0</v>
      </c>
      <c r="J127" s="200">
        <f t="shared" si="75"/>
        <v>1900</v>
      </c>
      <c r="K127" s="199">
        <f t="shared" si="76"/>
        <v>1</v>
      </c>
      <c r="L127" s="199" t="str">
        <f t="shared" si="77"/>
        <v>11900</v>
      </c>
      <c r="M127" s="199" t="str">
        <f t="shared" si="78"/>
        <v>enero</v>
      </c>
      <c r="N127" s="199">
        <f t="shared" ca="1" si="79"/>
        <v>44228</v>
      </c>
      <c r="O127" s="242" t="str">
        <f t="shared" ca="1" si="80"/>
        <v>SI</v>
      </c>
      <c r="P127" s="242" t="str">
        <f t="shared" si="103"/>
        <v/>
      </c>
      <c r="Q127" s="242" t="str">
        <f t="shared" si="81"/>
        <v/>
      </c>
      <c r="R127" s="242" t="str">
        <f t="shared" si="82"/>
        <v/>
      </c>
      <c r="S127" s="242" t="str">
        <f t="shared" si="83"/>
        <v/>
      </c>
      <c r="T127" s="242" t="str">
        <f t="shared" si="84"/>
        <v/>
      </c>
      <c r="U127" s="242" t="str">
        <f t="shared" si="85"/>
        <v/>
      </c>
      <c r="V127" s="242" t="str">
        <f t="shared" si="105"/>
        <v/>
      </c>
      <c r="W127" s="242" t="str">
        <f t="shared" si="86"/>
        <v/>
      </c>
      <c r="X127" s="242" t="str">
        <f t="shared" si="87"/>
        <v/>
      </c>
      <c r="Y127" s="242" t="str">
        <f t="shared" si="104"/>
        <v/>
      </c>
      <c r="Z127" s="242" t="str">
        <f t="shared" si="88"/>
        <v/>
      </c>
      <c r="AA127" s="242" t="str">
        <f t="shared" si="112"/>
        <v/>
      </c>
      <c r="AB127" s="242" t="str">
        <f t="shared" si="107"/>
        <v/>
      </c>
      <c r="AC127" s="242" t="str">
        <f t="shared" si="110"/>
        <v/>
      </c>
      <c r="AD127" s="242" t="str">
        <f t="shared" si="113"/>
        <v/>
      </c>
      <c r="AE127" s="242" t="str">
        <f t="shared" si="115"/>
        <v/>
      </c>
      <c r="AF127" s="242" t="str">
        <f t="shared" si="129"/>
        <v/>
      </c>
      <c r="AG127" s="242" t="str">
        <f t="shared" si="133"/>
        <v/>
      </c>
      <c r="AH127" s="242" t="str">
        <f t="shared" si="136"/>
        <v/>
      </c>
      <c r="AI127" s="242" t="str">
        <f t="shared" ref="AI127:AI158" si="137">IF(AND(E127&lt;$AI$2,I127&gt;$AI$2),"1","")</f>
        <v/>
      </c>
      <c r="AJ127" s="242" t="str">
        <f t="shared" si="117"/>
        <v/>
      </c>
      <c r="AK127" s="242" t="str">
        <f t="shared" si="130"/>
        <v/>
      </c>
      <c r="AL127" s="242" t="str">
        <f t="shared" si="132"/>
        <v/>
      </c>
      <c r="AM127" s="242" t="str">
        <f t="shared" si="134"/>
        <v/>
      </c>
      <c r="AN127" s="199" t="str">
        <f t="shared" si="118"/>
        <v/>
      </c>
      <c r="AO127" s="199" t="str">
        <f t="shared" si="131"/>
        <v/>
      </c>
      <c r="AP127" s="199" t="str">
        <f t="shared" si="135"/>
        <v/>
      </c>
      <c r="AQ127" s="199">
        <v>1</v>
      </c>
      <c r="AR127" s="199" t="str">
        <f t="shared" si="121"/>
        <v/>
      </c>
      <c r="AS127" s="199" t="str">
        <f t="shared" si="122"/>
        <v/>
      </c>
      <c r="AT127" s="199" t="str">
        <f t="shared" si="123"/>
        <v/>
      </c>
      <c r="AU127" s="199" t="str">
        <f t="shared" si="124"/>
        <v/>
      </c>
      <c r="AV127" s="199" t="str">
        <f t="shared" si="125"/>
        <v/>
      </c>
      <c r="AW127" s="199" t="str">
        <f t="shared" si="126"/>
        <v/>
      </c>
      <c r="AX127" s="199" t="str">
        <f t="shared" si="127"/>
        <v/>
      </c>
      <c r="AY127" s="199" t="str">
        <f t="shared" si="128"/>
        <v/>
      </c>
    </row>
    <row r="128" spans="1:51" ht="20.399999999999999" x14ac:dyDescent="0.3">
      <c r="A128" s="191">
        <v>126</v>
      </c>
      <c r="B128" s="225" t="s">
        <v>242</v>
      </c>
      <c r="C128" s="120" t="s">
        <v>235</v>
      </c>
      <c r="D128" s="139">
        <v>2013</v>
      </c>
      <c r="E128" s="124">
        <v>41662</v>
      </c>
      <c r="F128" s="198">
        <f t="shared" si="72"/>
        <v>1</v>
      </c>
      <c r="G128" s="198" t="str">
        <f t="shared" si="73"/>
        <v>12013</v>
      </c>
      <c r="H128" s="198" t="str">
        <f t="shared" si="74"/>
        <v>enero</v>
      </c>
      <c r="I128" s="114">
        <f>VLOOKUP(B128,'Base de Datos'!$E$7:$W$271,14,0)</f>
        <v>0</v>
      </c>
      <c r="J128" s="200">
        <f t="shared" si="75"/>
        <v>1900</v>
      </c>
      <c r="K128" s="199">
        <f t="shared" si="76"/>
        <v>1</v>
      </c>
      <c r="L128" s="199" t="str">
        <f t="shared" si="77"/>
        <v>11900</v>
      </c>
      <c r="M128" s="199" t="str">
        <f t="shared" si="78"/>
        <v>enero</v>
      </c>
      <c r="N128" s="199">
        <f t="shared" ca="1" si="79"/>
        <v>44228</v>
      </c>
      <c r="O128" s="242" t="str">
        <f t="shared" ca="1" si="80"/>
        <v>SI</v>
      </c>
      <c r="P128" s="242" t="str">
        <f t="shared" si="103"/>
        <v/>
      </c>
      <c r="Q128" s="242" t="str">
        <f t="shared" si="81"/>
        <v/>
      </c>
      <c r="R128" s="242" t="str">
        <f t="shared" si="82"/>
        <v/>
      </c>
      <c r="S128" s="242" t="str">
        <f t="shared" si="83"/>
        <v/>
      </c>
      <c r="T128" s="242" t="str">
        <f t="shared" si="84"/>
        <v/>
      </c>
      <c r="U128" s="242" t="str">
        <f t="shared" si="85"/>
        <v/>
      </c>
      <c r="V128" s="242" t="str">
        <f t="shared" si="105"/>
        <v/>
      </c>
      <c r="W128" s="242" t="str">
        <f t="shared" si="86"/>
        <v/>
      </c>
      <c r="X128" s="242" t="str">
        <f t="shared" si="87"/>
        <v/>
      </c>
      <c r="Y128" s="242" t="str">
        <f t="shared" si="104"/>
        <v/>
      </c>
      <c r="Z128" s="242" t="str">
        <f t="shared" si="88"/>
        <v/>
      </c>
      <c r="AA128" s="242" t="str">
        <f t="shared" si="112"/>
        <v/>
      </c>
      <c r="AB128" s="242" t="str">
        <f t="shared" si="107"/>
        <v/>
      </c>
      <c r="AC128" s="242" t="str">
        <f t="shared" si="110"/>
        <v/>
      </c>
      <c r="AD128" s="242" t="str">
        <f t="shared" si="113"/>
        <v/>
      </c>
      <c r="AE128" s="242" t="str">
        <f t="shared" si="115"/>
        <v/>
      </c>
      <c r="AF128" s="242" t="str">
        <f t="shared" si="129"/>
        <v/>
      </c>
      <c r="AG128" s="242" t="str">
        <f t="shared" si="133"/>
        <v/>
      </c>
      <c r="AH128" s="242" t="str">
        <f t="shared" si="136"/>
        <v/>
      </c>
      <c r="AI128" s="242" t="str">
        <f t="shared" si="137"/>
        <v/>
      </c>
      <c r="AJ128" s="242" t="str">
        <f t="shared" si="117"/>
        <v/>
      </c>
      <c r="AK128" s="242" t="str">
        <f t="shared" si="130"/>
        <v/>
      </c>
      <c r="AL128" s="242" t="str">
        <f t="shared" si="132"/>
        <v/>
      </c>
      <c r="AM128" s="242" t="str">
        <f t="shared" si="134"/>
        <v/>
      </c>
      <c r="AN128" s="199" t="str">
        <f t="shared" si="118"/>
        <v/>
      </c>
      <c r="AO128" s="199" t="str">
        <f t="shared" si="131"/>
        <v/>
      </c>
      <c r="AP128" s="199" t="str">
        <f t="shared" si="135"/>
        <v/>
      </c>
      <c r="AQ128" s="199">
        <v>1</v>
      </c>
      <c r="AR128" s="199" t="str">
        <f t="shared" si="121"/>
        <v/>
      </c>
      <c r="AS128" s="199" t="str">
        <f t="shared" si="122"/>
        <v/>
      </c>
      <c r="AT128" s="199" t="str">
        <f t="shared" si="123"/>
        <v/>
      </c>
      <c r="AU128" s="199" t="str">
        <f t="shared" si="124"/>
        <v/>
      </c>
      <c r="AV128" s="199" t="str">
        <f t="shared" si="125"/>
        <v/>
      </c>
      <c r="AW128" s="199" t="str">
        <f t="shared" si="126"/>
        <v/>
      </c>
      <c r="AX128" s="199" t="str">
        <f t="shared" si="127"/>
        <v/>
      </c>
      <c r="AY128" s="199" t="str">
        <f t="shared" si="128"/>
        <v/>
      </c>
    </row>
    <row r="129" spans="1:51" ht="20.399999999999999" x14ac:dyDescent="0.3">
      <c r="A129" s="191">
        <v>127</v>
      </c>
      <c r="B129" s="225" t="s">
        <v>239</v>
      </c>
      <c r="C129" s="120" t="s">
        <v>152</v>
      </c>
      <c r="D129" s="139">
        <v>2013</v>
      </c>
      <c r="E129" s="124">
        <v>41662</v>
      </c>
      <c r="F129" s="198">
        <f t="shared" si="72"/>
        <v>1</v>
      </c>
      <c r="G129" s="198" t="str">
        <f t="shared" si="73"/>
        <v>12013</v>
      </c>
      <c r="H129" s="198" t="str">
        <f t="shared" si="74"/>
        <v>enero</v>
      </c>
      <c r="I129" s="114">
        <f>VLOOKUP(B129,'Base de Datos'!$E$7:$W$271,14,0)</f>
        <v>0</v>
      </c>
      <c r="J129" s="200">
        <f t="shared" si="75"/>
        <v>1900</v>
      </c>
      <c r="K129" s="199">
        <f t="shared" si="76"/>
        <v>1</v>
      </c>
      <c r="L129" s="199" t="str">
        <f t="shared" si="77"/>
        <v>11900</v>
      </c>
      <c r="M129" s="199" t="str">
        <f t="shared" si="78"/>
        <v>enero</v>
      </c>
      <c r="N129" s="199">
        <f t="shared" ca="1" si="79"/>
        <v>44228</v>
      </c>
      <c r="O129" s="242" t="str">
        <f t="shared" ca="1" si="80"/>
        <v>SI</v>
      </c>
      <c r="P129" s="242" t="str">
        <f t="shared" si="103"/>
        <v/>
      </c>
      <c r="Q129" s="242" t="str">
        <f t="shared" si="81"/>
        <v/>
      </c>
      <c r="R129" s="242" t="str">
        <f t="shared" si="82"/>
        <v/>
      </c>
      <c r="S129" s="242" t="str">
        <f t="shared" si="83"/>
        <v/>
      </c>
      <c r="T129" s="242" t="str">
        <f t="shared" si="84"/>
        <v/>
      </c>
      <c r="U129" s="242" t="str">
        <f t="shared" si="85"/>
        <v/>
      </c>
      <c r="V129" s="242" t="str">
        <f t="shared" si="105"/>
        <v/>
      </c>
      <c r="W129" s="242" t="str">
        <f t="shared" si="86"/>
        <v/>
      </c>
      <c r="X129" s="242" t="str">
        <f t="shared" si="87"/>
        <v/>
      </c>
      <c r="Y129" s="242" t="str">
        <f t="shared" si="104"/>
        <v/>
      </c>
      <c r="Z129" s="242" t="str">
        <f t="shared" si="88"/>
        <v/>
      </c>
      <c r="AA129" s="242" t="str">
        <f t="shared" si="112"/>
        <v/>
      </c>
      <c r="AB129" s="242" t="str">
        <f t="shared" si="107"/>
        <v/>
      </c>
      <c r="AC129" s="242" t="str">
        <f t="shared" si="110"/>
        <v/>
      </c>
      <c r="AD129" s="242" t="str">
        <f t="shared" si="113"/>
        <v/>
      </c>
      <c r="AE129" s="242" t="str">
        <f t="shared" si="115"/>
        <v/>
      </c>
      <c r="AF129" s="242" t="str">
        <f t="shared" si="129"/>
        <v/>
      </c>
      <c r="AG129" s="242" t="str">
        <f t="shared" si="133"/>
        <v/>
      </c>
      <c r="AH129" s="242" t="str">
        <f t="shared" si="136"/>
        <v/>
      </c>
      <c r="AI129" s="242" t="str">
        <f t="shared" si="137"/>
        <v/>
      </c>
      <c r="AJ129" s="242" t="str">
        <f t="shared" si="117"/>
        <v/>
      </c>
      <c r="AK129" s="242" t="str">
        <f t="shared" si="130"/>
        <v/>
      </c>
      <c r="AL129" s="242" t="str">
        <f t="shared" si="132"/>
        <v/>
      </c>
      <c r="AM129" s="242" t="str">
        <f t="shared" si="134"/>
        <v/>
      </c>
      <c r="AN129" s="199" t="str">
        <f t="shared" si="118"/>
        <v/>
      </c>
      <c r="AO129" s="199" t="str">
        <f t="shared" si="131"/>
        <v/>
      </c>
      <c r="AP129" s="199" t="str">
        <f t="shared" si="135"/>
        <v/>
      </c>
      <c r="AQ129" s="199">
        <v>1</v>
      </c>
      <c r="AR129" s="199" t="str">
        <f t="shared" si="121"/>
        <v/>
      </c>
      <c r="AS129" s="199" t="str">
        <f t="shared" si="122"/>
        <v/>
      </c>
      <c r="AT129" s="199" t="str">
        <f t="shared" si="123"/>
        <v/>
      </c>
      <c r="AU129" s="199" t="str">
        <f t="shared" si="124"/>
        <v/>
      </c>
      <c r="AV129" s="199" t="str">
        <f t="shared" si="125"/>
        <v/>
      </c>
      <c r="AW129" s="199" t="str">
        <f t="shared" si="126"/>
        <v/>
      </c>
      <c r="AX129" s="199" t="str">
        <f t="shared" si="127"/>
        <v/>
      </c>
      <c r="AY129" s="199" t="str">
        <f t="shared" si="128"/>
        <v/>
      </c>
    </row>
    <row r="130" spans="1:51" ht="20.399999999999999" x14ac:dyDescent="0.3">
      <c r="A130" s="191">
        <v>128</v>
      </c>
      <c r="B130" s="224" t="s">
        <v>87</v>
      </c>
      <c r="C130" s="120" t="s">
        <v>435</v>
      </c>
      <c r="D130" s="138">
        <v>2013</v>
      </c>
      <c r="E130" s="123">
        <v>41400</v>
      </c>
      <c r="F130" s="198">
        <f t="shared" si="72"/>
        <v>5</v>
      </c>
      <c r="G130" s="198" t="str">
        <f t="shared" si="73"/>
        <v>52013</v>
      </c>
      <c r="H130" s="198" t="str">
        <f t="shared" si="74"/>
        <v>mayo</v>
      </c>
      <c r="I130" s="114">
        <f>VLOOKUP(B130,'Base de Datos'!$E$7:$W$271,14,0)</f>
        <v>0</v>
      </c>
      <c r="J130" s="200">
        <f t="shared" si="75"/>
        <v>1900</v>
      </c>
      <c r="K130" s="199">
        <f t="shared" si="76"/>
        <v>1</v>
      </c>
      <c r="L130" s="199" t="str">
        <f t="shared" si="77"/>
        <v>11900</v>
      </c>
      <c r="M130" s="199" t="str">
        <f t="shared" si="78"/>
        <v>enero</v>
      </c>
      <c r="N130" s="199">
        <f t="shared" ca="1" si="79"/>
        <v>44228</v>
      </c>
      <c r="O130" s="242" t="str">
        <f t="shared" ca="1" si="80"/>
        <v>SI</v>
      </c>
      <c r="P130" s="242" t="str">
        <f t="shared" si="103"/>
        <v/>
      </c>
      <c r="Q130" s="242" t="str">
        <f t="shared" si="81"/>
        <v/>
      </c>
      <c r="R130" s="242" t="str">
        <f t="shared" si="82"/>
        <v/>
      </c>
      <c r="S130" s="242" t="str">
        <f t="shared" si="83"/>
        <v/>
      </c>
      <c r="T130" s="242" t="str">
        <f t="shared" si="84"/>
        <v/>
      </c>
      <c r="U130" s="242" t="str">
        <f t="shared" si="85"/>
        <v/>
      </c>
      <c r="V130" s="242" t="str">
        <f t="shared" si="105"/>
        <v/>
      </c>
      <c r="W130" s="242" t="str">
        <f t="shared" si="86"/>
        <v/>
      </c>
      <c r="X130" s="242" t="str">
        <f t="shared" si="87"/>
        <v/>
      </c>
      <c r="Y130" s="242" t="str">
        <f t="shared" si="104"/>
        <v/>
      </c>
      <c r="Z130" s="242" t="str">
        <f t="shared" si="88"/>
        <v/>
      </c>
      <c r="AA130" s="242" t="str">
        <f t="shared" si="112"/>
        <v/>
      </c>
      <c r="AB130" s="242" t="str">
        <f t="shared" si="107"/>
        <v/>
      </c>
      <c r="AC130" s="242" t="str">
        <f t="shared" si="110"/>
        <v/>
      </c>
      <c r="AD130" s="242" t="str">
        <f t="shared" si="113"/>
        <v/>
      </c>
      <c r="AE130" s="242" t="str">
        <f t="shared" si="115"/>
        <v/>
      </c>
      <c r="AF130" s="242" t="str">
        <f t="shared" si="129"/>
        <v/>
      </c>
      <c r="AG130" s="242" t="str">
        <f t="shared" si="133"/>
        <v/>
      </c>
      <c r="AH130" s="242" t="str">
        <f t="shared" si="136"/>
        <v/>
      </c>
      <c r="AI130" s="242" t="str">
        <f t="shared" si="137"/>
        <v/>
      </c>
      <c r="AJ130" s="242" t="str">
        <f t="shared" si="117"/>
        <v/>
      </c>
      <c r="AK130" s="242" t="str">
        <f t="shared" si="130"/>
        <v/>
      </c>
      <c r="AL130" s="242" t="str">
        <f t="shared" si="132"/>
        <v/>
      </c>
      <c r="AM130" s="242" t="str">
        <f t="shared" si="134"/>
        <v/>
      </c>
      <c r="AN130" s="199" t="str">
        <f t="shared" si="118"/>
        <v/>
      </c>
      <c r="AO130" s="199" t="str">
        <f t="shared" si="131"/>
        <v/>
      </c>
      <c r="AP130" s="199" t="str">
        <f t="shared" si="135"/>
        <v/>
      </c>
      <c r="AQ130" s="199" t="str">
        <f t="shared" ref="AQ130:AQ161" si="138">IF(AND(E130&lt;$AQ$2,I130&gt;$AQ$2),"1","")</f>
        <v/>
      </c>
      <c r="AR130" s="199">
        <v>1</v>
      </c>
      <c r="AS130" s="199" t="str">
        <f t="shared" si="122"/>
        <v/>
      </c>
      <c r="AT130" s="199" t="str">
        <f t="shared" si="123"/>
        <v/>
      </c>
      <c r="AU130" s="199" t="str">
        <f t="shared" si="124"/>
        <v/>
      </c>
      <c r="AV130" s="199" t="str">
        <f t="shared" si="125"/>
        <v/>
      </c>
      <c r="AW130" s="199" t="str">
        <f t="shared" si="126"/>
        <v/>
      </c>
      <c r="AX130" s="199" t="str">
        <f t="shared" si="127"/>
        <v/>
      </c>
      <c r="AY130" s="199" t="str">
        <f t="shared" si="128"/>
        <v/>
      </c>
    </row>
    <row r="131" spans="1:51" ht="20.399999999999999" x14ac:dyDescent="0.3">
      <c r="A131" s="191">
        <v>129</v>
      </c>
      <c r="B131" s="224" t="s">
        <v>121</v>
      </c>
      <c r="C131" s="120" t="s">
        <v>15</v>
      </c>
      <c r="D131" s="138">
        <v>2013</v>
      </c>
      <c r="E131" s="124">
        <v>41410</v>
      </c>
      <c r="F131" s="198">
        <f t="shared" ref="F131:F194" si="139">MONTH(E131)</f>
        <v>5</v>
      </c>
      <c r="G131" s="198" t="str">
        <f t="shared" ref="G131:G194" si="140">CONCATENATE(F131,D131)</f>
        <v>52013</v>
      </c>
      <c r="H131" s="198" t="str">
        <f t="shared" ref="H131:H194" si="141">TEXT(E131,"MMMM")</f>
        <v>mayo</v>
      </c>
      <c r="I131" s="114">
        <f>VLOOKUP(B131,'Base de Datos'!$E$7:$W$271,14,0)</f>
        <v>0</v>
      </c>
      <c r="J131" s="200">
        <f t="shared" ref="J131:J194" si="142">YEAR(I131)</f>
        <v>1900</v>
      </c>
      <c r="K131" s="199">
        <f t="shared" ref="K131:K194" si="143">MONTH(I131)</f>
        <v>1</v>
      </c>
      <c r="L131" s="199" t="str">
        <f t="shared" ref="L131:L194" si="144">CONCATENATE(K131,J131)</f>
        <v>11900</v>
      </c>
      <c r="M131" s="199" t="str">
        <f t="shared" ref="M131:M194" si="145">TEXT(I131,"mmmm")</f>
        <v>enero</v>
      </c>
      <c r="N131" s="199">
        <f t="shared" ref="N131:N194" ca="1" si="146">$O$1-I131</f>
        <v>44228</v>
      </c>
      <c r="O131" s="242" t="str">
        <f t="shared" ref="O131:O194" ca="1" si="147">IF(N131&gt;0,"SI","NO")</f>
        <v>SI</v>
      </c>
      <c r="P131" s="242" t="str">
        <f t="shared" si="103"/>
        <v/>
      </c>
      <c r="Q131" s="242" t="str">
        <f t="shared" ref="Q131:Q194" si="148">IF(AND(E131&lt;$Q$2,I131&gt;$Q$2),"1","")</f>
        <v/>
      </c>
      <c r="R131" s="242" t="str">
        <f t="shared" ref="R131:R194" si="149">IF(AND(E131&lt;$R$2,I131&gt;$R$2),"1","")</f>
        <v/>
      </c>
      <c r="S131" s="242" t="str">
        <f t="shared" ref="S131:S194" si="150">IF(AND(E131&lt;$S$2,I131&gt;$S$2),"1","")</f>
        <v/>
      </c>
      <c r="T131" s="242" t="str">
        <f t="shared" ref="T131:T194" si="151">IF(AND(E131&lt;$T$2,I131&gt;$T$2),"1","")</f>
        <v/>
      </c>
      <c r="U131" s="242" t="str">
        <f t="shared" ref="U131:U194" si="152">IF(AND(E131&lt;$U$2,I131&gt;$U$2),"1","")</f>
        <v/>
      </c>
      <c r="V131" s="242" t="str">
        <f t="shared" si="105"/>
        <v/>
      </c>
      <c r="W131" s="242" t="str">
        <f t="shared" ref="W131:W194" si="153">IF(AND(E131&lt;$W$2,I131&gt;$W$2),"1","")</f>
        <v/>
      </c>
      <c r="X131" s="242" t="str">
        <f t="shared" ref="X131:X194" si="154">IF(AND(E131&lt;$X$2,I131&gt;$X$2),"1","")</f>
        <v/>
      </c>
      <c r="Y131" s="242" t="str">
        <f t="shared" si="104"/>
        <v/>
      </c>
      <c r="Z131" s="242" t="str">
        <f t="shared" ref="Z131:Z194" si="155">IF(AND(E131&lt;$Z$2,I131&gt;$Z$2),"1","")</f>
        <v/>
      </c>
      <c r="AA131" s="242" t="str">
        <f t="shared" si="112"/>
        <v/>
      </c>
      <c r="AB131" s="242" t="str">
        <f t="shared" si="107"/>
        <v/>
      </c>
      <c r="AC131" s="242" t="str">
        <f t="shared" si="110"/>
        <v/>
      </c>
      <c r="AD131" s="242" t="str">
        <f t="shared" si="113"/>
        <v/>
      </c>
      <c r="AE131" s="242" t="str">
        <f t="shared" si="115"/>
        <v/>
      </c>
      <c r="AF131" s="242" t="str">
        <f t="shared" si="129"/>
        <v/>
      </c>
      <c r="AG131" s="242" t="str">
        <f t="shared" si="133"/>
        <v/>
      </c>
      <c r="AH131" s="242" t="str">
        <f t="shared" si="136"/>
        <v/>
      </c>
      <c r="AI131" s="242" t="str">
        <f t="shared" si="137"/>
        <v/>
      </c>
      <c r="AJ131" s="242" t="str">
        <f t="shared" si="117"/>
        <v/>
      </c>
      <c r="AK131" s="242" t="str">
        <f t="shared" si="130"/>
        <v/>
      </c>
      <c r="AL131" s="242" t="str">
        <f t="shared" si="132"/>
        <v/>
      </c>
      <c r="AM131" s="242" t="str">
        <f t="shared" si="134"/>
        <v/>
      </c>
      <c r="AN131" s="199" t="str">
        <f t="shared" si="118"/>
        <v/>
      </c>
      <c r="AO131" s="199" t="str">
        <f t="shared" si="131"/>
        <v/>
      </c>
      <c r="AP131" s="199" t="str">
        <f t="shared" si="135"/>
        <v/>
      </c>
      <c r="AQ131" s="199" t="str">
        <f t="shared" si="138"/>
        <v/>
      </c>
      <c r="AR131" s="199">
        <v>1</v>
      </c>
      <c r="AS131" s="199" t="str">
        <f t="shared" si="122"/>
        <v/>
      </c>
      <c r="AT131" s="199" t="str">
        <f t="shared" si="123"/>
        <v/>
      </c>
      <c r="AU131" s="199" t="str">
        <f t="shared" si="124"/>
        <v/>
      </c>
      <c r="AV131" s="199" t="str">
        <f t="shared" si="125"/>
        <v/>
      </c>
      <c r="AW131" s="199" t="str">
        <f t="shared" si="126"/>
        <v/>
      </c>
      <c r="AX131" s="199" t="str">
        <f t="shared" si="127"/>
        <v/>
      </c>
      <c r="AY131" s="199" t="str">
        <f t="shared" si="128"/>
        <v/>
      </c>
    </row>
    <row r="132" spans="1:51" ht="30.6" x14ac:dyDescent="0.3">
      <c r="A132" s="191">
        <v>130</v>
      </c>
      <c r="B132" s="231" t="s">
        <v>195</v>
      </c>
      <c r="C132" s="120" t="s">
        <v>1036</v>
      </c>
      <c r="D132" s="127">
        <v>2013</v>
      </c>
      <c r="E132" s="124">
        <v>41541</v>
      </c>
      <c r="F132" s="198">
        <f t="shared" si="139"/>
        <v>9</v>
      </c>
      <c r="G132" s="198" t="str">
        <f t="shared" si="140"/>
        <v>92013</v>
      </c>
      <c r="H132" s="198" t="str">
        <f t="shared" si="141"/>
        <v>septiembre</v>
      </c>
      <c r="I132" s="114">
        <f>VLOOKUP(B132,'Base de Datos'!$E$7:$W$271,14,0)</f>
        <v>1</v>
      </c>
      <c r="J132" s="200">
        <f t="shared" si="142"/>
        <v>1900</v>
      </c>
      <c r="K132" s="199">
        <f t="shared" si="143"/>
        <v>1</v>
      </c>
      <c r="L132" s="199" t="str">
        <f t="shared" si="144"/>
        <v>11900</v>
      </c>
      <c r="M132" s="199" t="str">
        <f t="shared" si="145"/>
        <v>enero</v>
      </c>
      <c r="N132" s="199">
        <f t="shared" ca="1" si="146"/>
        <v>44227</v>
      </c>
      <c r="O132" s="242" t="str">
        <f t="shared" ca="1" si="147"/>
        <v>SI</v>
      </c>
      <c r="P132" s="242" t="str">
        <f t="shared" ref="P132:P195" si="156">IF(AND(E132&lt;$P$2,I132&gt;$P$2),"1","")</f>
        <v/>
      </c>
      <c r="Q132" s="242" t="str">
        <f t="shared" si="148"/>
        <v/>
      </c>
      <c r="R132" s="242" t="str">
        <f t="shared" si="149"/>
        <v/>
      </c>
      <c r="S132" s="242" t="str">
        <f t="shared" si="150"/>
        <v/>
      </c>
      <c r="T132" s="242" t="str">
        <f t="shared" si="151"/>
        <v/>
      </c>
      <c r="U132" s="242" t="str">
        <f t="shared" si="152"/>
        <v/>
      </c>
      <c r="V132" s="242" t="str">
        <f t="shared" si="105"/>
        <v/>
      </c>
      <c r="W132" s="242" t="str">
        <f t="shared" si="153"/>
        <v/>
      </c>
      <c r="X132" s="242" t="str">
        <f t="shared" si="154"/>
        <v/>
      </c>
      <c r="Y132" s="242" t="str">
        <f t="shared" si="104"/>
        <v/>
      </c>
      <c r="Z132" s="242" t="str">
        <f t="shared" si="155"/>
        <v/>
      </c>
      <c r="AA132" s="242" t="str">
        <f t="shared" si="112"/>
        <v/>
      </c>
      <c r="AB132" s="242" t="str">
        <f t="shared" si="107"/>
        <v/>
      </c>
      <c r="AC132" s="242" t="str">
        <f t="shared" si="110"/>
        <v/>
      </c>
      <c r="AD132" s="242" t="str">
        <f t="shared" si="113"/>
        <v/>
      </c>
      <c r="AE132" s="242" t="str">
        <f t="shared" si="115"/>
        <v/>
      </c>
      <c r="AF132" s="242" t="str">
        <f t="shared" si="129"/>
        <v/>
      </c>
      <c r="AG132" s="242" t="str">
        <f t="shared" si="133"/>
        <v/>
      </c>
      <c r="AH132" s="242" t="str">
        <f t="shared" si="136"/>
        <v/>
      </c>
      <c r="AI132" s="242" t="str">
        <f t="shared" si="137"/>
        <v/>
      </c>
      <c r="AJ132" s="242" t="str">
        <f t="shared" si="117"/>
        <v/>
      </c>
      <c r="AK132" s="242" t="str">
        <f t="shared" si="130"/>
        <v/>
      </c>
      <c r="AL132" s="242" t="str">
        <f t="shared" si="132"/>
        <v/>
      </c>
      <c r="AM132" s="242" t="str">
        <f t="shared" si="134"/>
        <v/>
      </c>
      <c r="AN132" s="199" t="str">
        <f t="shared" si="118"/>
        <v/>
      </c>
      <c r="AO132" s="199" t="str">
        <f t="shared" si="131"/>
        <v/>
      </c>
      <c r="AP132" s="199" t="str">
        <f t="shared" si="135"/>
        <v/>
      </c>
      <c r="AQ132" s="199" t="str">
        <f t="shared" si="138"/>
        <v/>
      </c>
      <c r="AR132" s="199">
        <v>1</v>
      </c>
      <c r="AS132" s="199" t="str">
        <f t="shared" si="122"/>
        <v/>
      </c>
      <c r="AT132" s="199" t="str">
        <f t="shared" si="123"/>
        <v/>
      </c>
      <c r="AU132" s="199" t="str">
        <f t="shared" si="124"/>
        <v/>
      </c>
      <c r="AV132" s="199" t="str">
        <f t="shared" si="125"/>
        <v/>
      </c>
      <c r="AW132" s="199" t="str">
        <f t="shared" si="126"/>
        <v/>
      </c>
      <c r="AX132" s="199" t="str">
        <f t="shared" si="127"/>
        <v/>
      </c>
      <c r="AY132" s="199" t="str">
        <f t="shared" si="128"/>
        <v/>
      </c>
    </row>
    <row r="133" spans="1:51" ht="20.399999999999999" x14ac:dyDescent="0.3">
      <c r="A133" s="191">
        <v>131</v>
      </c>
      <c r="B133" s="225" t="s">
        <v>243</v>
      </c>
      <c r="C133" s="120" t="s">
        <v>244</v>
      </c>
      <c r="D133" s="139">
        <v>2013</v>
      </c>
      <c r="E133" s="124">
        <v>41670</v>
      </c>
      <c r="F133" s="198">
        <f t="shared" si="139"/>
        <v>1</v>
      </c>
      <c r="G133" s="198" t="str">
        <f t="shared" si="140"/>
        <v>12013</v>
      </c>
      <c r="H133" s="198" t="str">
        <f t="shared" si="141"/>
        <v>enero</v>
      </c>
      <c r="I133" s="114">
        <f>VLOOKUP(B133,'Base de Datos'!$E$7:$W$271,14,0)</f>
        <v>1</v>
      </c>
      <c r="J133" s="200">
        <f t="shared" si="142"/>
        <v>1900</v>
      </c>
      <c r="K133" s="199">
        <f t="shared" si="143"/>
        <v>1</v>
      </c>
      <c r="L133" s="199" t="str">
        <f t="shared" si="144"/>
        <v>11900</v>
      </c>
      <c r="M133" s="199" t="str">
        <f t="shared" si="145"/>
        <v>enero</v>
      </c>
      <c r="N133" s="199">
        <f t="shared" ca="1" si="146"/>
        <v>44227</v>
      </c>
      <c r="O133" s="242" t="str">
        <f t="shared" ca="1" si="147"/>
        <v>SI</v>
      </c>
      <c r="P133" s="242" t="str">
        <f t="shared" si="156"/>
        <v/>
      </c>
      <c r="Q133" s="242" t="str">
        <f t="shared" si="148"/>
        <v/>
      </c>
      <c r="R133" s="242" t="str">
        <f t="shared" si="149"/>
        <v/>
      </c>
      <c r="S133" s="242" t="str">
        <f t="shared" si="150"/>
        <v/>
      </c>
      <c r="T133" s="242" t="str">
        <f t="shared" si="151"/>
        <v/>
      </c>
      <c r="U133" s="242" t="str">
        <f t="shared" si="152"/>
        <v/>
      </c>
      <c r="V133" s="242" t="str">
        <f t="shared" si="105"/>
        <v/>
      </c>
      <c r="W133" s="242" t="str">
        <f t="shared" si="153"/>
        <v/>
      </c>
      <c r="X133" s="242" t="str">
        <f t="shared" si="154"/>
        <v/>
      </c>
      <c r="Y133" s="242" t="str">
        <f t="shared" si="104"/>
        <v/>
      </c>
      <c r="Z133" s="242" t="str">
        <f t="shared" si="155"/>
        <v/>
      </c>
      <c r="AA133" s="242" t="str">
        <f t="shared" si="112"/>
        <v/>
      </c>
      <c r="AB133" s="242" t="str">
        <f t="shared" si="107"/>
        <v/>
      </c>
      <c r="AC133" s="242" t="str">
        <f t="shared" si="110"/>
        <v/>
      </c>
      <c r="AD133" s="242" t="str">
        <f t="shared" si="113"/>
        <v/>
      </c>
      <c r="AE133" s="242" t="str">
        <f t="shared" si="115"/>
        <v/>
      </c>
      <c r="AF133" s="242" t="str">
        <f t="shared" si="129"/>
        <v/>
      </c>
      <c r="AG133" s="242" t="str">
        <f t="shared" si="133"/>
        <v/>
      </c>
      <c r="AH133" s="242" t="str">
        <f t="shared" si="136"/>
        <v/>
      </c>
      <c r="AI133" s="242" t="str">
        <f t="shared" si="137"/>
        <v/>
      </c>
      <c r="AJ133" s="242" t="str">
        <f t="shared" si="117"/>
        <v/>
      </c>
      <c r="AK133" s="242" t="str">
        <f t="shared" si="130"/>
        <v/>
      </c>
      <c r="AL133" s="242" t="str">
        <f t="shared" si="132"/>
        <v/>
      </c>
      <c r="AM133" s="242" t="str">
        <f t="shared" si="134"/>
        <v/>
      </c>
      <c r="AN133" s="199" t="str">
        <f t="shared" si="118"/>
        <v/>
      </c>
      <c r="AO133" s="199" t="str">
        <f t="shared" si="131"/>
        <v/>
      </c>
      <c r="AP133" s="199" t="str">
        <f t="shared" si="135"/>
        <v/>
      </c>
      <c r="AQ133" s="199" t="str">
        <f t="shared" si="138"/>
        <v/>
      </c>
      <c r="AR133" s="199">
        <v>1</v>
      </c>
      <c r="AS133" s="199" t="str">
        <f t="shared" si="122"/>
        <v/>
      </c>
      <c r="AT133" s="199" t="str">
        <f t="shared" si="123"/>
        <v/>
      </c>
      <c r="AU133" s="199" t="str">
        <f t="shared" si="124"/>
        <v/>
      </c>
      <c r="AV133" s="199" t="str">
        <f t="shared" si="125"/>
        <v/>
      </c>
      <c r="AW133" s="199" t="str">
        <f t="shared" si="126"/>
        <v/>
      </c>
      <c r="AX133" s="199" t="str">
        <f t="shared" si="127"/>
        <v/>
      </c>
      <c r="AY133" s="199" t="str">
        <f t="shared" si="128"/>
        <v/>
      </c>
    </row>
    <row r="134" spans="1:51" x14ac:dyDescent="0.3">
      <c r="A134" s="191">
        <v>132</v>
      </c>
      <c r="B134" s="225" t="s">
        <v>197</v>
      </c>
      <c r="C134" s="125" t="s">
        <v>198</v>
      </c>
      <c r="D134" s="127">
        <v>2013</v>
      </c>
      <c r="E134" s="124">
        <v>41548</v>
      </c>
      <c r="F134" s="198">
        <f t="shared" si="139"/>
        <v>10</v>
      </c>
      <c r="G134" s="198" t="str">
        <f t="shared" si="140"/>
        <v>102013</v>
      </c>
      <c r="H134" s="198" t="str">
        <f t="shared" si="141"/>
        <v>octubre</v>
      </c>
      <c r="I134" s="114">
        <f>VLOOKUP(B134,'Base de Datos'!$E$7:$W$271,14,0)</f>
        <v>0</v>
      </c>
      <c r="J134" s="200">
        <f t="shared" si="142"/>
        <v>1900</v>
      </c>
      <c r="K134" s="199">
        <f t="shared" si="143"/>
        <v>1</v>
      </c>
      <c r="L134" s="199" t="str">
        <f t="shared" si="144"/>
        <v>11900</v>
      </c>
      <c r="M134" s="199" t="str">
        <f t="shared" si="145"/>
        <v>enero</v>
      </c>
      <c r="N134" s="199">
        <f t="shared" ca="1" si="146"/>
        <v>44228</v>
      </c>
      <c r="O134" s="242" t="str">
        <f t="shared" ca="1" si="147"/>
        <v>SI</v>
      </c>
      <c r="P134" s="242" t="str">
        <f t="shared" si="156"/>
        <v/>
      </c>
      <c r="Q134" s="242" t="str">
        <f t="shared" si="148"/>
        <v/>
      </c>
      <c r="R134" s="242" t="str">
        <f t="shared" si="149"/>
        <v/>
      </c>
      <c r="S134" s="242" t="str">
        <f t="shared" si="150"/>
        <v/>
      </c>
      <c r="T134" s="242" t="str">
        <f t="shared" si="151"/>
        <v/>
      </c>
      <c r="U134" s="242" t="str">
        <f t="shared" si="152"/>
        <v/>
      </c>
      <c r="V134" s="242" t="str">
        <f t="shared" si="105"/>
        <v/>
      </c>
      <c r="W134" s="242" t="str">
        <f t="shared" si="153"/>
        <v/>
      </c>
      <c r="X134" s="242" t="str">
        <f t="shared" si="154"/>
        <v/>
      </c>
      <c r="Y134" s="242" t="str">
        <f t="shared" ref="Y134:Y197" si="157">IF(AND(E134&lt;$Y$2,I134&gt;$Y$2),"1","")</f>
        <v/>
      </c>
      <c r="Z134" s="242" t="str">
        <f t="shared" si="155"/>
        <v/>
      </c>
      <c r="AA134" s="242" t="str">
        <f t="shared" si="112"/>
        <v/>
      </c>
      <c r="AB134" s="242" t="str">
        <f t="shared" si="107"/>
        <v/>
      </c>
      <c r="AC134" s="242" t="str">
        <f t="shared" si="110"/>
        <v/>
      </c>
      <c r="AD134" s="242" t="str">
        <f t="shared" si="113"/>
        <v/>
      </c>
      <c r="AE134" s="242" t="str">
        <f t="shared" si="115"/>
        <v/>
      </c>
      <c r="AF134" s="242" t="str">
        <f t="shared" si="129"/>
        <v/>
      </c>
      <c r="AG134" s="242" t="str">
        <f t="shared" si="133"/>
        <v/>
      </c>
      <c r="AH134" s="242" t="str">
        <f t="shared" si="136"/>
        <v/>
      </c>
      <c r="AI134" s="242" t="str">
        <f t="shared" si="137"/>
        <v/>
      </c>
      <c r="AJ134" s="242" t="str">
        <f t="shared" si="117"/>
        <v/>
      </c>
      <c r="AK134" s="242" t="str">
        <f t="shared" si="130"/>
        <v/>
      </c>
      <c r="AL134" s="242" t="str">
        <f t="shared" si="132"/>
        <v/>
      </c>
      <c r="AM134" s="242" t="str">
        <f t="shared" si="134"/>
        <v/>
      </c>
      <c r="AN134" s="199" t="str">
        <f t="shared" si="118"/>
        <v/>
      </c>
      <c r="AO134" s="199" t="str">
        <f t="shared" si="131"/>
        <v/>
      </c>
      <c r="AP134" s="199" t="str">
        <f t="shared" si="135"/>
        <v/>
      </c>
      <c r="AQ134" s="199" t="str">
        <f t="shared" si="138"/>
        <v/>
      </c>
      <c r="AR134" s="199">
        <v>1</v>
      </c>
      <c r="AS134" s="199" t="str">
        <f t="shared" si="122"/>
        <v/>
      </c>
      <c r="AT134" s="199" t="str">
        <f t="shared" si="123"/>
        <v/>
      </c>
      <c r="AU134" s="199" t="str">
        <f t="shared" si="124"/>
        <v/>
      </c>
      <c r="AV134" s="199" t="str">
        <f t="shared" si="125"/>
        <v/>
      </c>
      <c r="AW134" s="199" t="str">
        <f t="shared" si="126"/>
        <v/>
      </c>
      <c r="AX134" s="199" t="str">
        <f t="shared" si="127"/>
        <v/>
      </c>
      <c r="AY134" s="199" t="str">
        <f t="shared" si="128"/>
        <v/>
      </c>
    </row>
    <row r="135" spans="1:51" ht="20.399999999999999" x14ac:dyDescent="0.3">
      <c r="A135" s="191">
        <v>133</v>
      </c>
      <c r="B135" s="225" t="s">
        <v>231</v>
      </c>
      <c r="C135" s="120" t="s">
        <v>1041</v>
      </c>
      <c r="D135" s="139">
        <v>2013</v>
      </c>
      <c r="E135" s="124">
        <v>41647</v>
      </c>
      <c r="F135" s="198">
        <f t="shared" si="139"/>
        <v>1</v>
      </c>
      <c r="G135" s="198" t="str">
        <f t="shared" si="140"/>
        <v>12013</v>
      </c>
      <c r="H135" s="198" t="str">
        <f t="shared" si="141"/>
        <v>enero</v>
      </c>
      <c r="I135" s="114">
        <f>VLOOKUP(B135,'Base de Datos'!$E$7:$W$271,14,0)</f>
        <v>2</v>
      </c>
      <c r="J135" s="200">
        <f t="shared" si="142"/>
        <v>1900</v>
      </c>
      <c r="K135" s="199">
        <f t="shared" si="143"/>
        <v>1</v>
      </c>
      <c r="L135" s="199" t="str">
        <f t="shared" si="144"/>
        <v>11900</v>
      </c>
      <c r="M135" s="199" t="str">
        <f t="shared" si="145"/>
        <v>enero</v>
      </c>
      <c r="N135" s="199">
        <f t="shared" ca="1" si="146"/>
        <v>44226</v>
      </c>
      <c r="O135" s="242" t="str">
        <f t="shared" ca="1" si="147"/>
        <v>SI</v>
      </c>
      <c r="P135" s="242" t="str">
        <f t="shared" si="156"/>
        <v/>
      </c>
      <c r="Q135" s="242" t="str">
        <f t="shared" si="148"/>
        <v/>
      </c>
      <c r="R135" s="242" t="str">
        <f t="shared" si="149"/>
        <v/>
      </c>
      <c r="S135" s="242" t="str">
        <f t="shared" si="150"/>
        <v/>
      </c>
      <c r="T135" s="242" t="str">
        <f t="shared" si="151"/>
        <v/>
      </c>
      <c r="U135" s="242" t="str">
        <f t="shared" si="152"/>
        <v/>
      </c>
      <c r="V135" s="242" t="str">
        <f t="shared" ref="V135:V198" si="158">IF(AND(E135&lt;$V$2,I135&gt;$V$2),"1","")</f>
        <v/>
      </c>
      <c r="W135" s="242" t="str">
        <f t="shared" si="153"/>
        <v/>
      </c>
      <c r="X135" s="242" t="str">
        <f t="shared" si="154"/>
        <v/>
      </c>
      <c r="Y135" s="242" t="str">
        <f t="shared" si="157"/>
        <v/>
      </c>
      <c r="Z135" s="242" t="str">
        <f t="shared" si="155"/>
        <v/>
      </c>
      <c r="AA135" s="242" t="str">
        <f t="shared" si="112"/>
        <v/>
      </c>
      <c r="AB135" s="242" t="str">
        <f t="shared" si="107"/>
        <v/>
      </c>
      <c r="AC135" s="242" t="str">
        <f t="shared" si="110"/>
        <v/>
      </c>
      <c r="AD135" s="242" t="str">
        <f t="shared" si="113"/>
        <v/>
      </c>
      <c r="AE135" s="242" t="str">
        <f t="shared" si="115"/>
        <v/>
      </c>
      <c r="AF135" s="242" t="str">
        <f t="shared" si="129"/>
        <v/>
      </c>
      <c r="AG135" s="242" t="str">
        <f t="shared" si="133"/>
        <v/>
      </c>
      <c r="AH135" s="242" t="str">
        <f t="shared" si="136"/>
        <v/>
      </c>
      <c r="AI135" s="242" t="str">
        <f t="shared" si="137"/>
        <v/>
      </c>
      <c r="AJ135" s="242" t="str">
        <f t="shared" ref="AJ135:AJ166" si="159">IF(AND(E135&lt;$AJ$2,I135&gt;$AJ$2),"1","")</f>
        <v/>
      </c>
      <c r="AK135" s="242" t="str">
        <f t="shared" si="130"/>
        <v/>
      </c>
      <c r="AL135" s="242" t="str">
        <f t="shared" si="132"/>
        <v/>
      </c>
      <c r="AM135" s="242" t="str">
        <f t="shared" si="134"/>
        <v/>
      </c>
      <c r="AN135" s="199" t="str">
        <f t="shared" ref="AN135:AN166" si="160">IF(AND(E135&lt;$AN$2,I135&gt;$AN$2),"1","")</f>
        <v/>
      </c>
      <c r="AO135" s="199" t="str">
        <f t="shared" si="131"/>
        <v/>
      </c>
      <c r="AP135" s="199" t="str">
        <f t="shared" si="135"/>
        <v/>
      </c>
      <c r="AQ135" s="199" t="str">
        <f t="shared" si="138"/>
        <v/>
      </c>
      <c r="AR135" s="199" t="str">
        <f t="shared" ref="AR135:AR166" si="161">IF(AND(E135&lt;$AR$2,I135&gt;$AR$2),"1","")</f>
        <v/>
      </c>
      <c r="AS135" s="199">
        <v>1</v>
      </c>
      <c r="AT135" s="199" t="str">
        <f t="shared" si="123"/>
        <v/>
      </c>
      <c r="AU135" s="199" t="str">
        <f t="shared" si="124"/>
        <v/>
      </c>
      <c r="AV135" s="199" t="str">
        <f t="shared" si="125"/>
        <v/>
      </c>
      <c r="AW135" s="199" t="str">
        <f t="shared" ref="AW135:AW153" si="162">IF(AND(E135&lt;$AW$2,I135&gt;$AW$2),"1","")</f>
        <v/>
      </c>
      <c r="AX135" s="199" t="str">
        <f t="shared" ref="AX135:AX153" si="163">IF(AND(E135&lt;$AX$2,I135&gt;$AX$2),"1","")</f>
        <v/>
      </c>
      <c r="AY135" s="199" t="str">
        <f t="shared" ref="AY135:AY166" si="164">IF(AND(E135&lt;$AY$2,I135&gt;$AY$2),"1","")</f>
        <v/>
      </c>
    </row>
    <row r="136" spans="1:51" ht="20.399999999999999" x14ac:dyDescent="0.3">
      <c r="A136" s="191">
        <v>134</v>
      </c>
      <c r="B136" s="226" t="s">
        <v>89</v>
      </c>
      <c r="C136" s="120" t="s">
        <v>90</v>
      </c>
      <c r="D136" s="138">
        <v>2013</v>
      </c>
      <c r="E136" s="123">
        <v>41438</v>
      </c>
      <c r="F136" s="198">
        <f t="shared" si="139"/>
        <v>6</v>
      </c>
      <c r="G136" s="198" t="str">
        <f t="shared" si="140"/>
        <v>62013</v>
      </c>
      <c r="H136" s="198" t="str">
        <f t="shared" si="141"/>
        <v>junio</v>
      </c>
      <c r="I136" s="114">
        <f>VLOOKUP(B136,'Base de Datos'!$E$7:$W$271,14,0)</f>
        <v>0</v>
      </c>
      <c r="J136" s="200">
        <f t="shared" si="142"/>
        <v>1900</v>
      </c>
      <c r="K136" s="199">
        <f t="shared" si="143"/>
        <v>1</v>
      </c>
      <c r="L136" s="199" t="str">
        <f t="shared" si="144"/>
        <v>11900</v>
      </c>
      <c r="M136" s="199" t="str">
        <f t="shared" si="145"/>
        <v>enero</v>
      </c>
      <c r="N136" s="199">
        <f t="shared" ca="1" si="146"/>
        <v>44228</v>
      </c>
      <c r="O136" s="242" t="str">
        <f t="shared" ca="1" si="147"/>
        <v>SI</v>
      </c>
      <c r="P136" s="242" t="str">
        <f t="shared" si="156"/>
        <v/>
      </c>
      <c r="Q136" s="242" t="str">
        <f t="shared" si="148"/>
        <v/>
      </c>
      <c r="R136" s="242" t="str">
        <f t="shared" si="149"/>
        <v/>
      </c>
      <c r="S136" s="242" t="str">
        <f t="shared" si="150"/>
        <v/>
      </c>
      <c r="T136" s="242" t="str">
        <f t="shared" si="151"/>
        <v/>
      </c>
      <c r="U136" s="242" t="str">
        <f t="shared" si="152"/>
        <v/>
      </c>
      <c r="V136" s="242" t="str">
        <f t="shared" si="158"/>
        <v/>
      </c>
      <c r="W136" s="242" t="str">
        <f t="shared" si="153"/>
        <v/>
      </c>
      <c r="X136" s="242" t="str">
        <f t="shared" si="154"/>
        <v/>
      </c>
      <c r="Y136" s="242" t="str">
        <f t="shared" si="157"/>
        <v/>
      </c>
      <c r="Z136" s="242" t="str">
        <f t="shared" si="155"/>
        <v/>
      </c>
      <c r="AA136" s="242" t="str">
        <f t="shared" si="112"/>
        <v/>
      </c>
      <c r="AB136" s="242" t="str">
        <f t="shared" si="107"/>
        <v/>
      </c>
      <c r="AC136" s="242" t="str">
        <f t="shared" si="110"/>
        <v/>
      </c>
      <c r="AD136" s="242" t="str">
        <f t="shared" si="113"/>
        <v/>
      </c>
      <c r="AE136" s="242" t="str">
        <f t="shared" si="115"/>
        <v/>
      </c>
      <c r="AF136" s="242" t="str">
        <f t="shared" si="129"/>
        <v/>
      </c>
      <c r="AG136" s="242" t="str">
        <f t="shared" si="133"/>
        <v/>
      </c>
      <c r="AH136" s="242" t="str">
        <f t="shared" si="136"/>
        <v/>
      </c>
      <c r="AI136" s="242" t="str">
        <f t="shared" si="137"/>
        <v/>
      </c>
      <c r="AJ136" s="242" t="str">
        <f t="shared" si="159"/>
        <v/>
      </c>
      <c r="AK136" s="242" t="str">
        <f t="shared" si="130"/>
        <v/>
      </c>
      <c r="AL136" s="242" t="str">
        <f t="shared" si="132"/>
        <v/>
      </c>
      <c r="AM136" s="242" t="str">
        <f t="shared" si="134"/>
        <v/>
      </c>
      <c r="AN136" s="199" t="str">
        <f t="shared" si="160"/>
        <v/>
      </c>
      <c r="AO136" s="199" t="str">
        <f t="shared" si="131"/>
        <v/>
      </c>
      <c r="AP136" s="199" t="str">
        <f t="shared" si="135"/>
        <v/>
      </c>
      <c r="AQ136" s="199" t="str">
        <f t="shared" si="138"/>
        <v/>
      </c>
      <c r="AR136" s="199" t="str">
        <f t="shared" si="161"/>
        <v/>
      </c>
      <c r="AS136" s="199">
        <v>1</v>
      </c>
      <c r="AT136" s="199" t="str">
        <f t="shared" si="123"/>
        <v/>
      </c>
      <c r="AU136" s="199" t="str">
        <f t="shared" si="124"/>
        <v/>
      </c>
      <c r="AV136" s="199" t="str">
        <f t="shared" si="125"/>
        <v/>
      </c>
      <c r="AW136" s="199" t="str">
        <f t="shared" si="162"/>
        <v/>
      </c>
      <c r="AX136" s="199" t="str">
        <f t="shared" si="163"/>
        <v/>
      </c>
      <c r="AY136" s="199" t="str">
        <f t="shared" si="164"/>
        <v/>
      </c>
    </row>
    <row r="137" spans="1:51" ht="20.399999999999999" x14ac:dyDescent="0.3">
      <c r="A137" s="191">
        <v>135</v>
      </c>
      <c r="B137" s="224" t="s">
        <v>129</v>
      </c>
      <c r="C137" s="120" t="s">
        <v>1018</v>
      </c>
      <c r="D137" s="138">
        <v>2013</v>
      </c>
      <c r="E137" s="124">
        <v>41410</v>
      </c>
      <c r="F137" s="198">
        <f t="shared" si="139"/>
        <v>5</v>
      </c>
      <c r="G137" s="198" t="str">
        <f t="shared" si="140"/>
        <v>52013</v>
      </c>
      <c r="H137" s="198" t="str">
        <f t="shared" si="141"/>
        <v>mayo</v>
      </c>
      <c r="I137" s="114">
        <f>VLOOKUP(B137,'Base de Datos'!$E$7:$W$271,14,0)</f>
        <v>3</v>
      </c>
      <c r="J137" s="200">
        <f t="shared" si="142"/>
        <v>1900</v>
      </c>
      <c r="K137" s="199">
        <f t="shared" si="143"/>
        <v>1</v>
      </c>
      <c r="L137" s="199" t="str">
        <f t="shared" si="144"/>
        <v>11900</v>
      </c>
      <c r="M137" s="199" t="str">
        <f t="shared" si="145"/>
        <v>enero</v>
      </c>
      <c r="N137" s="199">
        <f t="shared" ca="1" si="146"/>
        <v>44225</v>
      </c>
      <c r="O137" s="242" t="str">
        <f t="shared" ca="1" si="147"/>
        <v>SI</v>
      </c>
      <c r="P137" s="242" t="str">
        <f t="shared" si="156"/>
        <v/>
      </c>
      <c r="Q137" s="242" t="str">
        <f t="shared" si="148"/>
        <v/>
      </c>
      <c r="R137" s="242" t="str">
        <f t="shared" si="149"/>
        <v/>
      </c>
      <c r="S137" s="242" t="str">
        <f t="shared" si="150"/>
        <v/>
      </c>
      <c r="T137" s="242" t="str">
        <f t="shared" si="151"/>
        <v/>
      </c>
      <c r="U137" s="242" t="str">
        <f t="shared" si="152"/>
        <v/>
      </c>
      <c r="V137" s="242" t="str">
        <f t="shared" si="158"/>
        <v/>
      </c>
      <c r="W137" s="242" t="str">
        <f t="shared" si="153"/>
        <v/>
      </c>
      <c r="X137" s="242" t="str">
        <f t="shared" si="154"/>
        <v/>
      </c>
      <c r="Y137" s="242" t="str">
        <f t="shared" si="157"/>
        <v/>
      </c>
      <c r="Z137" s="242" t="str">
        <f t="shared" si="155"/>
        <v/>
      </c>
      <c r="AA137" s="242" t="str">
        <f t="shared" si="112"/>
        <v/>
      </c>
      <c r="AB137" s="242" t="str">
        <f t="shared" si="107"/>
        <v/>
      </c>
      <c r="AC137" s="242" t="str">
        <f t="shared" si="110"/>
        <v/>
      </c>
      <c r="AD137" s="242" t="str">
        <f t="shared" si="113"/>
        <v/>
      </c>
      <c r="AE137" s="242" t="str">
        <f t="shared" si="115"/>
        <v/>
      </c>
      <c r="AF137" s="242" t="str">
        <f t="shared" si="129"/>
        <v/>
      </c>
      <c r="AG137" s="242" t="str">
        <f t="shared" si="133"/>
        <v/>
      </c>
      <c r="AH137" s="242" t="str">
        <f t="shared" si="136"/>
        <v/>
      </c>
      <c r="AI137" s="242" t="str">
        <f t="shared" si="137"/>
        <v/>
      </c>
      <c r="AJ137" s="242" t="str">
        <f t="shared" si="159"/>
        <v/>
      </c>
      <c r="AK137" s="242" t="str">
        <f t="shared" si="130"/>
        <v/>
      </c>
      <c r="AL137" s="242" t="str">
        <f t="shared" si="132"/>
        <v/>
      </c>
      <c r="AM137" s="242" t="str">
        <f t="shared" si="134"/>
        <v/>
      </c>
      <c r="AN137" s="199" t="str">
        <f t="shared" si="160"/>
        <v/>
      </c>
      <c r="AO137" s="199" t="str">
        <f t="shared" si="131"/>
        <v/>
      </c>
      <c r="AP137" s="199" t="str">
        <f t="shared" si="135"/>
        <v/>
      </c>
      <c r="AQ137" s="199" t="str">
        <f t="shared" si="138"/>
        <v/>
      </c>
      <c r="AR137" s="199" t="str">
        <f t="shared" si="161"/>
        <v/>
      </c>
      <c r="AS137" s="199">
        <v>1</v>
      </c>
      <c r="AT137" s="199" t="str">
        <f t="shared" si="123"/>
        <v/>
      </c>
      <c r="AU137" s="199" t="str">
        <f t="shared" si="124"/>
        <v/>
      </c>
      <c r="AV137" s="199" t="str">
        <f t="shared" si="125"/>
        <v/>
      </c>
      <c r="AW137" s="199" t="str">
        <f t="shared" si="162"/>
        <v/>
      </c>
      <c r="AX137" s="199" t="str">
        <f t="shared" si="163"/>
        <v/>
      </c>
      <c r="AY137" s="199" t="str">
        <f t="shared" si="164"/>
        <v/>
      </c>
    </row>
    <row r="138" spans="1:51" ht="20.399999999999999" x14ac:dyDescent="0.3">
      <c r="A138" s="191">
        <v>136</v>
      </c>
      <c r="B138" s="224" t="s">
        <v>146</v>
      </c>
      <c r="C138" s="120" t="s">
        <v>1017</v>
      </c>
      <c r="D138" s="138">
        <v>2013</v>
      </c>
      <c r="E138" s="124">
        <v>41446</v>
      </c>
      <c r="F138" s="198">
        <f t="shared" si="139"/>
        <v>6</v>
      </c>
      <c r="G138" s="198" t="str">
        <f t="shared" si="140"/>
        <v>62013</v>
      </c>
      <c r="H138" s="198" t="str">
        <f t="shared" si="141"/>
        <v>junio</v>
      </c>
      <c r="I138" s="114">
        <f>VLOOKUP(B138,'Base de Datos'!$E$7:$W$271,14,0)</f>
        <v>2</v>
      </c>
      <c r="J138" s="200">
        <f t="shared" si="142"/>
        <v>1900</v>
      </c>
      <c r="K138" s="199">
        <f t="shared" si="143"/>
        <v>1</v>
      </c>
      <c r="L138" s="199" t="str">
        <f t="shared" si="144"/>
        <v>11900</v>
      </c>
      <c r="M138" s="199" t="str">
        <f t="shared" si="145"/>
        <v>enero</v>
      </c>
      <c r="N138" s="199">
        <f t="shared" ca="1" si="146"/>
        <v>44226</v>
      </c>
      <c r="O138" s="242" t="str">
        <f t="shared" ca="1" si="147"/>
        <v>SI</v>
      </c>
      <c r="P138" s="242" t="str">
        <f t="shared" si="156"/>
        <v/>
      </c>
      <c r="Q138" s="242" t="str">
        <f t="shared" si="148"/>
        <v/>
      </c>
      <c r="R138" s="242" t="str">
        <f t="shared" si="149"/>
        <v/>
      </c>
      <c r="S138" s="242" t="str">
        <f t="shared" si="150"/>
        <v/>
      </c>
      <c r="T138" s="242" t="str">
        <f t="shared" si="151"/>
        <v/>
      </c>
      <c r="U138" s="242" t="str">
        <f t="shared" si="152"/>
        <v/>
      </c>
      <c r="V138" s="242" t="str">
        <f t="shared" si="158"/>
        <v/>
      </c>
      <c r="W138" s="242" t="str">
        <f t="shared" si="153"/>
        <v/>
      </c>
      <c r="X138" s="242" t="str">
        <f t="shared" si="154"/>
        <v/>
      </c>
      <c r="Y138" s="242" t="str">
        <f t="shared" si="157"/>
        <v/>
      </c>
      <c r="Z138" s="242" t="str">
        <f t="shared" si="155"/>
        <v/>
      </c>
      <c r="AA138" s="242" t="str">
        <f t="shared" si="112"/>
        <v/>
      </c>
      <c r="AB138" s="242" t="str">
        <f t="shared" ref="AB138:AB201" si="165">IF(AND(E138&lt;$AB$2,I138&gt;$AB$2),"1","")</f>
        <v/>
      </c>
      <c r="AC138" s="242" t="str">
        <f t="shared" si="110"/>
        <v/>
      </c>
      <c r="AD138" s="242" t="str">
        <f t="shared" si="113"/>
        <v/>
      </c>
      <c r="AE138" s="242" t="str">
        <f t="shared" si="115"/>
        <v/>
      </c>
      <c r="AF138" s="242" t="str">
        <f t="shared" si="129"/>
        <v/>
      </c>
      <c r="AG138" s="242" t="str">
        <f t="shared" si="133"/>
        <v/>
      </c>
      <c r="AH138" s="242" t="str">
        <f t="shared" si="136"/>
        <v/>
      </c>
      <c r="AI138" s="242" t="str">
        <f t="shared" si="137"/>
        <v/>
      </c>
      <c r="AJ138" s="242" t="str">
        <f t="shared" si="159"/>
        <v/>
      </c>
      <c r="AK138" s="242" t="str">
        <f t="shared" si="130"/>
        <v/>
      </c>
      <c r="AL138" s="242" t="str">
        <f t="shared" si="132"/>
        <v/>
      </c>
      <c r="AM138" s="242" t="str">
        <f t="shared" si="134"/>
        <v/>
      </c>
      <c r="AN138" s="199" t="str">
        <f t="shared" si="160"/>
        <v/>
      </c>
      <c r="AO138" s="199" t="str">
        <f t="shared" si="131"/>
        <v/>
      </c>
      <c r="AP138" s="199" t="str">
        <f t="shared" si="135"/>
        <v/>
      </c>
      <c r="AQ138" s="199" t="str">
        <f t="shared" si="138"/>
        <v/>
      </c>
      <c r="AR138" s="199" t="str">
        <f t="shared" si="161"/>
        <v/>
      </c>
      <c r="AS138" s="199">
        <v>1</v>
      </c>
      <c r="AT138" s="199" t="str">
        <f t="shared" si="123"/>
        <v/>
      </c>
      <c r="AU138" s="199" t="str">
        <f t="shared" si="124"/>
        <v/>
      </c>
      <c r="AV138" s="199" t="str">
        <f t="shared" si="125"/>
        <v/>
      </c>
      <c r="AW138" s="199" t="str">
        <f t="shared" si="162"/>
        <v/>
      </c>
      <c r="AX138" s="199" t="str">
        <f t="shared" si="163"/>
        <v/>
      </c>
      <c r="AY138" s="199" t="str">
        <f t="shared" si="164"/>
        <v/>
      </c>
    </row>
    <row r="139" spans="1:51" x14ac:dyDescent="0.3">
      <c r="A139" s="191">
        <v>137</v>
      </c>
      <c r="B139" s="225" t="s">
        <v>207</v>
      </c>
      <c r="C139" s="120" t="s">
        <v>208</v>
      </c>
      <c r="D139" s="127">
        <v>2013</v>
      </c>
      <c r="E139" s="124">
        <v>41572</v>
      </c>
      <c r="F139" s="198">
        <f t="shared" si="139"/>
        <v>10</v>
      </c>
      <c r="G139" s="198" t="str">
        <f t="shared" si="140"/>
        <v>102013</v>
      </c>
      <c r="H139" s="198" t="str">
        <f t="shared" si="141"/>
        <v>octubre</v>
      </c>
      <c r="I139" s="114">
        <f>VLOOKUP(B139,'Base de Datos'!$E$7:$W$271,14,0)</f>
        <v>0</v>
      </c>
      <c r="J139" s="200">
        <f t="shared" si="142"/>
        <v>1900</v>
      </c>
      <c r="K139" s="199">
        <f t="shared" si="143"/>
        <v>1</v>
      </c>
      <c r="L139" s="199" t="str">
        <f t="shared" si="144"/>
        <v>11900</v>
      </c>
      <c r="M139" s="199" t="str">
        <f t="shared" si="145"/>
        <v>enero</v>
      </c>
      <c r="N139" s="199">
        <f t="shared" ca="1" si="146"/>
        <v>44228</v>
      </c>
      <c r="O139" s="242" t="str">
        <f t="shared" ca="1" si="147"/>
        <v>SI</v>
      </c>
      <c r="P139" s="242" t="str">
        <f t="shared" si="156"/>
        <v/>
      </c>
      <c r="Q139" s="242" t="str">
        <f t="shared" si="148"/>
        <v/>
      </c>
      <c r="R139" s="242" t="str">
        <f t="shared" si="149"/>
        <v/>
      </c>
      <c r="S139" s="242" t="str">
        <f t="shared" si="150"/>
        <v/>
      </c>
      <c r="T139" s="242" t="str">
        <f t="shared" si="151"/>
        <v/>
      </c>
      <c r="U139" s="242" t="str">
        <f t="shared" si="152"/>
        <v/>
      </c>
      <c r="V139" s="242" t="str">
        <f t="shared" si="158"/>
        <v/>
      </c>
      <c r="W139" s="242" t="str">
        <f t="shared" si="153"/>
        <v/>
      </c>
      <c r="X139" s="242" t="str">
        <f t="shared" si="154"/>
        <v/>
      </c>
      <c r="Y139" s="242" t="str">
        <f t="shared" si="157"/>
        <v/>
      </c>
      <c r="Z139" s="242" t="str">
        <f t="shared" si="155"/>
        <v/>
      </c>
      <c r="AA139" s="242" t="str">
        <f t="shared" si="112"/>
        <v/>
      </c>
      <c r="AB139" s="242" t="str">
        <f t="shared" si="165"/>
        <v/>
      </c>
      <c r="AC139" s="242" t="str">
        <f t="shared" si="110"/>
        <v/>
      </c>
      <c r="AD139" s="242" t="str">
        <f t="shared" si="113"/>
        <v/>
      </c>
      <c r="AE139" s="242" t="str">
        <f t="shared" si="115"/>
        <v/>
      </c>
      <c r="AF139" s="242" t="str">
        <f t="shared" si="129"/>
        <v/>
      </c>
      <c r="AG139" s="242" t="str">
        <f t="shared" si="133"/>
        <v/>
      </c>
      <c r="AH139" s="242" t="str">
        <f t="shared" si="136"/>
        <v/>
      </c>
      <c r="AI139" s="242" t="str">
        <f t="shared" si="137"/>
        <v/>
      </c>
      <c r="AJ139" s="242" t="str">
        <f t="shared" si="159"/>
        <v/>
      </c>
      <c r="AK139" s="242" t="str">
        <f t="shared" si="130"/>
        <v/>
      </c>
      <c r="AL139" s="242" t="str">
        <f t="shared" si="132"/>
        <v/>
      </c>
      <c r="AM139" s="242" t="str">
        <f t="shared" si="134"/>
        <v/>
      </c>
      <c r="AN139" s="199" t="str">
        <f t="shared" si="160"/>
        <v/>
      </c>
      <c r="AO139" s="199" t="str">
        <f t="shared" si="131"/>
        <v/>
      </c>
      <c r="AP139" s="199" t="str">
        <f t="shared" si="135"/>
        <v/>
      </c>
      <c r="AQ139" s="199" t="str">
        <f t="shared" si="138"/>
        <v/>
      </c>
      <c r="AR139" s="199" t="str">
        <f t="shared" si="161"/>
        <v/>
      </c>
      <c r="AS139" s="199">
        <v>1</v>
      </c>
      <c r="AT139" s="199" t="str">
        <f t="shared" si="123"/>
        <v/>
      </c>
      <c r="AU139" s="199" t="str">
        <f t="shared" si="124"/>
        <v/>
      </c>
      <c r="AV139" s="199" t="str">
        <f t="shared" si="125"/>
        <v/>
      </c>
      <c r="AW139" s="199" t="str">
        <f t="shared" si="162"/>
        <v/>
      </c>
      <c r="AX139" s="199" t="str">
        <f t="shared" si="163"/>
        <v/>
      </c>
      <c r="AY139" s="199" t="str">
        <f t="shared" si="164"/>
        <v/>
      </c>
    </row>
    <row r="140" spans="1:51" x14ac:dyDescent="0.3">
      <c r="A140" s="191">
        <v>138</v>
      </c>
      <c r="B140" s="225" t="s">
        <v>280</v>
      </c>
      <c r="C140" s="120" t="s">
        <v>281</v>
      </c>
      <c r="D140" s="139">
        <v>2014</v>
      </c>
      <c r="E140" s="124">
        <v>41757</v>
      </c>
      <c r="F140" s="198">
        <f t="shared" si="139"/>
        <v>4</v>
      </c>
      <c r="G140" s="198" t="str">
        <f t="shared" si="140"/>
        <v>42014</v>
      </c>
      <c r="H140" s="198" t="str">
        <f t="shared" si="141"/>
        <v>abril</v>
      </c>
      <c r="I140" s="114">
        <f>VLOOKUP(B140,'Base de Datos'!$E$7:$W$271,14,0)</f>
        <v>0</v>
      </c>
      <c r="J140" s="200">
        <f t="shared" si="142"/>
        <v>1900</v>
      </c>
      <c r="K140" s="199">
        <f t="shared" si="143"/>
        <v>1</v>
      </c>
      <c r="L140" s="199" t="str">
        <f t="shared" si="144"/>
        <v>11900</v>
      </c>
      <c r="M140" s="199" t="str">
        <f t="shared" si="145"/>
        <v>enero</v>
      </c>
      <c r="N140" s="199">
        <f t="shared" ca="1" si="146"/>
        <v>44228</v>
      </c>
      <c r="O140" s="242" t="str">
        <f t="shared" ca="1" si="147"/>
        <v>SI</v>
      </c>
      <c r="P140" s="242" t="str">
        <f t="shared" si="156"/>
        <v/>
      </c>
      <c r="Q140" s="242" t="str">
        <f t="shared" si="148"/>
        <v/>
      </c>
      <c r="R140" s="242" t="str">
        <f t="shared" si="149"/>
        <v/>
      </c>
      <c r="S140" s="242" t="str">
        <f t="shared" si="150"/>
        <v/>
      </c>
      <c r="T140" s="242" t="str">
        <f t="shared" si="151"/>
        <v/>
      </c>
      <c r="U140" s="242" t="str">
        <f t="shared" si="152"/>
        <v/>
      </c>
      <c r="V140" s="242" t="str">
        <f t="shared" si="158"/>
        <v/>
      </c>
      <c r="W140" s="242" t="str">
        <f t="shared" si="153"/>
        <v/>
      </c>
      <c r="X140" s="242" t="str">
        <f t="shared" si="154"/>
        <v/>
      </c>
      <c r="Y140" s="242" t="str">
        <f t="shared" si="157"/>
        <v/>
      </c>
      <c r="Z140" s="242" t="str">
        <f t="shared" si="155"/>
        <v/>
      </c>
      <c r="AA140" s="242" t="str">
        <f t="shared" si="112"/>
        <v/>
      </c>
      <c r="AB140" s="242" t="str">
        <f t="shared" si="165"/>
        <v/>
      </c>
      <c r="AC140" s="242" t="str">
        <f t="shared" si="110"/>
        <v/>
      </c>
      <c r="AD140" s="242" t="str">
        <f t="shared" si="113"/>
        <v/>
      </c>
      <c r="AE140" s="242" t="str">
        <f t="shared" si="115"/>
        <v/>
      </c>
      <c r="AF140" s="242" t="str">
        <f t="shared" si="129"/>
        <v/>
      </c>
      <c r="AG140" s="242" t="str">
        <f t="shared" si="133"/>
        <v/>
      </c>
      <c r="AH140" s="242" t="str">
        <f t="shared" si="136"/>
        <v/>
      </c>
      <c r="AI140" s="242" t="str">
        <f t="shared" si="137"/>
        <v/>
      </c>
      <c r="AJ140" s="242" t="str">
        <f t="shared" si="159"/>
        <v/>
      </c>
      <c r="AK140" s="242" t="str">
        <f t="shared" si="130"/>
        <v/>
      </c>
      <c r="AL140" s="242" t="str">
        <f t="shared" si="132"/>
        <v/>
      </c>
      <c r="AM140" s="242" t="str">
        <f t="shared" si="134"/>
        <v/>
      </c>
      <c r="AN140" s="199" t="str">
        <f t="shared" si="160"/>
        <v/>
      </c>
      <c r="AO140" s="199" t="str">
        <f t="shared" si="131"/>
        <v/>
      </c>
      <c r="AP140" s="199" t="str">
        <f t="shared" si="135"/>
        <v/>
      </c>
      <c r="AQ140" s="199" t="str">
        <f t="shared" si="138"/>
        <v/>
      </c>
      <c r="AR140" s="199" t="str">
        <f t="shared" si="161"/>
        <v/>
      </c>
      <c r="AS140" s="199">
        <v>1</v>
      </c>
      <c r="AT140" s="199" t="str">
        <f t="shared" si="123"/>
        <v/>
      </c>
      <c r="AU140" s="199" t="str">
        <f t="shared" si="124"/>
        <v/>
      </c>
      <c r="AV140" s="199" t="str">
        <f t="shared" si="125"/>
        <v/>
      </c>
      <c r="AW140" s="199" t="str">
        <f t="shared" si="162"/>
        <v/>
      </c>
      <c r="AX140" s="199" t="str">
        <f t="shared" si="163"/>
        <v/>
      </c>
      <c r="AY140" s="199" t="str">
        <f t="shared" si="164"/>
        <v/>
      </c>
    </row>
    <row r="141" spans="1:51" x14ac:dyDescent="0.3">
      <c r="A141" s="191">
        <v>139</v>
      </c>
      <c r="B141" s="224" t="s">
        <v>96</v>
      </c>
      <c r="C141" s="120" t="s">
        <v>3</v>
      </c>
      <c r="D141" s="138">
        <v>2013</v>
      </c>
      <c r="E141" s="124">
        <v>41426</v>
      </c>
      <c r="F141" s="198">
        <f t="shared" si="139"/>
        <v>6</v>
      </c>
      <c r="G141" s="198" t="str">
        <f t="shared" si="140"/>
        <v>62013</v>
      </c>
      <c r="H141" s="198" t="str">
        <f t="shared" si="141"/>
        <v>junio</v>
      </c>
      <c r="I141" s="114">
        <f>VLOOKUP(B141,'Base de Datos'!$E$7:$W$271,14,0)</f>
        <v>3</v>
      </c>
      <c r="J141" s="200">
        <f t="shared" si="142"/>
        <v>1900</v>
      </c>
      <c r="K141" s="199">
        <f t="shared" si="143"/>
        <v>1</v>
      </c>
      <c r="L141" s="199" t="str">
        <f t="shared" si="144"/>
        <v>11900</v>
      </c>
      <c r="M141" s="199" t="str">
        <f t="shared" si="145"/>
        <v>enero</v>
      </c>
      <c r="N141" s="199">
        <f t="shared" ca="1" si="146"/>
        <v>44225</v>
      </c>
      <c r="O141" s="242" t="str">
        <f t="shared" ca="1" si="147"/>
        <v>SI</v>
      </c>
      <c r="P141" s="242" t="str">
        <f t="shared" si="156"/>
        <v/>
      </c>
      <c r="Q141" s="242" t="str">
        <f t="shared" si="148"/>
        <v/>
      </c>
      <c r="R141" s="242" t="str">
        <f t="shared" si="149"/>
        <v/>
      </c>
      <c r="S141" s="242" t="str">
        <f t="shared" si="150"/>
        <v/>
      </c>
      <c r="T141" s="242" t="str">
        <f t="shared" si="151"/>
        <v/>
      </c>
      <c r="U141" s="242" t="str">
        <f t="shared" si="152"/>
        <v/>
      </c>
      <c r="V141" s="242" t="str">
        <f t="shared" si="158"/>
        <v/>
      </c>
      <c r="W141" s="242" t="str">
        <f t="shared" si="153"/>
        <v/>
      </c>
      <c r="X141" s="242" t="str">
        <f t="shared" si="154"/>
        <v/>
      </c>
      <c r="Y141" s="242" t="str">
        <f t="shared" si="157"/>
        <v/>
      </c>
      <c r="Z141" s="242" t="str">
        <f t="shared" si="155"/>
        <v/>
      </c>
      <c r="AA141" s="242" t="str">
        <f t="shared" si="112"/>
        <v/>
      </c>
      <c r="AB141" s="242" t="str">
        <f t="shared" si="165"/>
        <v/>
      </c>
      <c r="AC141" s="242" t="str">
        <f t="shared" si="110"/>
        <v/>
      </c>
      <c r="AD141" s="242" t="str">
        <f t="shared" si="113"/>
        <v/>
      </c>
      <c r="AE141" s="242" t="str">
        <f t="shared" si="115"/>
        <v/>
      </c>
      <c r="AF141" s="242" t="str">
        <f t="shared" si="129"/>
        <v/>
      </c>
      <c r="AG141" s="242" t="str">
        <f t="shared" si="133"/>
        <v/>
      </c>
      <c r="AH141" s="242" t="str">
        <f t="shared" si="136"/>
        <v/>
      </c>
      <c r="AI141" s="242" t="str">
        <f t="shared" si="137"/>
        <v/>
      </c>
      <c r="AJ141" s="242" t="str">
        <f t="shared" si="159"/>
        <v/>
      </c>
      <c r="AK141" s="242" t="str">
        <f t="shared" si="130"/>
        <v/>
      </c>
      <c r="AL141" s="242" t="str">
        <f t="shared" si="132"/>
        <v/>
      </c>
      <c r="AM141" s="242" t="str">
        <f t="shared" si="134"/>
        <v/>
      </c>
      <c r="AN141" s="199" t="str">
        <f t="shared" si="160"/>
        <v/>
      </c>
      <c r="AO141" s="199" t="str">
        <f t="shared" si="131"/>
        <v/>
      </c>
      <c r="AP141" s="199" t="str">
        <f t="shared" si="135"/>
        <v/>
      </c>
      <c r="AQ141" s="199" t="str">
        <f t="shared" si="138"/>
        <v/>
      </c>
      <c r="AR141" s="199" t="str">
        <f t="shared" si="161"/>
        <v/>
      </c>
      <c r="AS141" s="199">
        <v>1</v>
      </c>
      <c r="AT141" s="199" t="str">
        <f t="shared" si="123"/>
        <v/>
      </c>
      <c r="AU141" s="199" t="str">
        <f t="shared" si="124"/>
        <v/>
      </c>
      <c r="AV141" s="199" t="str">
        <f t="shared" si="125"/>
        <v/>
      </c>
      <c r="AW141" s="199" t="str">
        <f t="shared" si="162"/>
        <v/>
      </c>
      <c r="AX141" s="199" t="str">
        <f t="shared" si="163"/>
        <v/>
      </c>
      <c r="AY141" s="199" t="str">
        <f t="shared" si="164"/>
        <v/>
      </c>
    </row>
    <row r="142" spans="1:51" x14ac:dyDescent="0.3">
      <c r="A142" s="191">
        <v>140</v>
      </c>
      <c r="B142" s="224" t="s">
        <v>135</v>
      </c>
      <c r="C142" s="120" t="s">
        <v>38</v>
      </c>
      <c r="D142" s="138">
        <v>2013</v>
      </c>
      <c r="E142" s="124">
        <v>41426</v>
      </c>
      <c r="F142" s="198">
        <f t="shared" si="139"/>
        <v>6</v>
      </c>
      <c r="G142" s="198" t="str">
        <f t="shared" si="140"/>
        <v>62013</v>
      </c>
      <c r="H142" s="198" t="str">
        <f t="shared" si="141"/>
        <v>junio</v>
      </c>
      <c r="I142" s="114">
        <f>VLOOKUP(B142,'Base de Datos'!$E$7:$W$271,14,0)</f>
        <v>2</v>
      </c>
      <c r="J142" s="200">
        <f t="shared" si="142"/>
        <v>1900</v>
      </c>
      <c r="K142" s="199">
        <f t="shared" si="143"/>
        <v>1</v>
      </c>
      <c r="L142" s="199" t="str">
        <f t="shared" si="144"/>
        <v>11900</v>
      </c>
      <c r="M142" s="199" t="str">
        <f t="shared" si="145"/>
        <v>enero</v>
      </c>
      <c r="N142" s="199">
        <f t="shared" ca="1" si="146"/>
        <v>44226</v>
      </c>
      <c r="O142" s="242" t="str">
        <f t="shared" ca="1" si="147"/>
        <v>SI</v>
      </c>
      <c r="P142" s="242" t="str">
        <f t="shared" si="156"/>
        <v/>
      </c>
      <c r="Q142" s="242" t="str">
        <f t="shared" si="148"/>
        <v/>
      </c>
      <c r="R142" s="242" t="str">
        <f t="shared" si="149"/>
        <v/>
      </c>
      <c r="S142" s="242" t="str">
        <f t="shared" si="150"/>
        <v/>
      </c>
      <c r="T142" s="242" t="str">
        <f t="shared" si="151"/>
        <v/>
      </c>
      <c r="U142" s="242" t="str">
        <f t="shared" si="152"/>
        <v/>
      </c>
      <c r="V142" s="242" t="str">
        <f t="shared" si="158"/>
        <v/>
      </c>
      <c r="W142" s="242" t="str">
        <f t="shared" si="153"/>
        <v/>
      </c>
      <c r="X142" s="242" t="str">
        <f t="shared" si="154"/>
        <v/>
      </c>
      <c r="Y142" s="242" t="str">
        <f t="shared" si="157"/>
        <v/>
      </c>
      <c r="Z142" s="242" t="str">
        <f t="shared" si="155"/>
        <v/>
      </c>
      <c r="AA142" s="242" t="str">
        <f t="shared" si="112"/>
        <v/>
      </c>
      <c r="AB142" s="242" t="str">
        <f t="shared" si="165"/>
        <v/>
      </c>
      <c r="AC142" s="242" t="str">
        <f t="shared" si="110"/>
        <v/>
      </c>
      <c r="AD142" s="242" t="str">
        <f t="shared" si="113"/>
        <v/>
      </c>
      <c r="AE142" s="242" t="str">
        <f t="shared" si="115"/>
        <v/>
      </c>
      <c r="AF142" s="242" t="str">
        <f t="shared" si="129"/>
        <v/>
      </c>
      <c r="AG142" s="242" t="str">
        <f t="shared" si="133"/>
        <v/>
      </c>
      <c r="AH142" s="242" t="str">
        <f t="shared" si="136"/>
        <v/>
      </c>
      <c r="AI142" s="242" t="str">
        <f t="shared" si="137"/>
        <v/>
      </c>
      <c r="AJ142" s="242" t="str">
        <f t="shared" si="159"/>
        <v/>
      </c>
      <c r="AK142" s="242" t="str">
        <f t="shared" si="130"/>
        <v/>
      </c>
      <c r="AL142" s="242" t="str">
        <f t="shared" si="132"/>
        <v/>
      </c>
      <c r="AM142" s="242" t="str">
        <f t="shared" si="134"/>
        <v/>
      </c>
      <c r="AN142" s="199" t="str">
        <f t="shared" si="160"/>
        <v/>
      </c>
      <c r="AO142" s="199" t="str">
        <f t="shared" si="131"/>
        <v/>
      </c>
      <c r="AP142" s="199" t="str">
        <f t="shared" si="135"/>
        <v/>
      </c>
      <c r="AQ142" s="199" t="str">
        <f t="shared" si="138"/>
        <v/>
      </c>
      <c r="AR142" s="199" t="str">
        <f t="shared" si="161"/>
        <v/>
      </c>
      <c r="AS142" s="199">
        <v>1</v>
      </c>
      <c r="AT142" s="199" t="str">
        <f t="shared" si="123"/>
        <v/>
      </c>
      <c r="AU142" s="199" t="str">
        <f t="shared" si="124"/>
        <v/>
      </c>
      <c r="AV142" s="199" t="str">
        <f t="shared" si="125"/>
        <v/>
      </c>
      <c r="AW142" s="199" t="str">
        <f t="shared" si="162"/>
        <v/>
      </c>
      <c r="AX142" s="199" t="str">
        <f t="shared" si="163"/>
        <v/>
      </c>
      <c r="AY142" s="199" t="str">
        <f t="shared" si="164"/>
        <v/>
      </c>
    </row>
    <row r="143" spans="1:51" x14ac:dyDescent="0.3">
      <c r="A143" s="191">
        <v>141</v>
      </c>
      <c r="B143" s="226" t="s">
        <v>164</v>
      </c>
      <c r="C143" s="120" t="s">
        <v>165</v>
      </c>
      <c r="D143" s="138">
        <v>2013</v>
      </c>
      <c r="E143" s="124">
        <v>41464</v>
      </c>
      <c r="F143" s="198">
        <f t="shared" si="139"/>
        <v>7</v>
      </c>
      <c r="G143" s="198" t="str">
        <f t="shared" si="140"/>
        <v>72013</v>
      </c>
      <c r="H143" s="198" t="str">
        <f t="shared" si="141"/>
        <v>julio</v>
      </c>
      <c r="I143" s="114">
        <f>VLOOKUP(B143,'Base de Datos'!$E$7:$W$271,14,0)</f>
        <v>2</v>
      </c>
      <c r="J143" s="200">
        <f t="shared" si="142"/>
        <v>1900</v>
      </c>
      <c r="K143" s="199">
        <f t="shared" si="143"/>
        <v>1</v>
      </c>
      <c r="L143" s="199" t="str">
        <f t="shared" si="144"/>
        <v>11900</v>
      </c>
      <c r="M143" s="199" t="str">
        <f t="shared" si="145"/>
        <v>enero</v>
      </c>
      <c r="N143" s="199">
        <f t="shared" ca="1" si="146"/>
        <v>44226</v>
      </c>
      <c r="O143" s="242" t="str">
        <f t="shared" ca="1" si="147"/>
        <v>SI</v>
      </c>
      <c r="P143" s="242" t="str">
        <f t="shared" si="156"/>
        <v/>
      </c>
      <c r="Q143" s="242" t="str">
        <f t="shared" si="148"/>
        <v/>
      </c>
      <c r="R143" s="242" t="str">
        <f t="shared" si="149"/>
        <v/>
      </c>
      <c r="S143" s="242" t="str">
        <f t="shared" si="150"/>
        <v/>
      </c>
      <c r="T143" s="242" t="str">
        <f t="shared" si="151"/>
        <v/>
      </c>
      <c r="U143" s="242" t="str">
        <f t="shared" si="152"/>
        <v/>
      </c>
      <c r="V143" s="242" t="str">
        <f t="shared" si="158"/>
        <v/>
      </c>
      <c r="W143" s="242" t="str">
        <f t="shared" si="153"/>
        <v/>
      </c>
      <c r="X143" s="242" t="str">
        <f t="shared" si="154"/>
        <v/>
      </c>
      <c r="Y143" s="242" t="str">
        <f t="shared" si="157"/>
        <v/>
      </c>
      <c r="Z143" s="242" t="str">
        <f t="shared" si="155"/>
        <v/>
      </c>
      <c r="AA143" s="242" t="str">
        <f t="shared" si="112"/>
        <v/>
      </c>
      <c r="AB143" s="242" t="str">
        <f t="shared" si="165"/>
        <v/>
      </c>
      <c r="AC143" s="242" t="str">
        <f t="shared" si="110"/>
        <v/>
      </c>
      <c r="AD143" s="242" t="str">
        <f t="shared" si="113"/>
        <v/>
      </c>
      <c r="AE143" s="242" t="str">
        <f t="shared" si="115"/>
        <v/>
      </c>
      <c r="AF143" s="242" t="str">
        <f t="shared" si="129"/>
        <v/>
      </c>
      <c r="AG143" s="242" t="str">
        <f t="shared" si="133"/>
        <v/>
      </c>
      <c r="AH143" s="242" t="str">
        <f t="shared" si="136"/>
        <v/>
      </c>
      <c r="AI143" s="242" t="str">
        <f t="shared" si="137"/>
        <v/>
      </c>
      <c r="AJ143" s="242" t="str">
        <f t="shared" si="159"/>
        <v/>
      </c>
      <c r="AK143" s="242" t="str">
        <f t="shared" ref="AK143:AK174" si="166">IF(AND(E143&lt;$AK$2,I143&gt;$AK$2),"1","")</f>
        <v/>
      </c>
      <c r="AL143" s="242" t="str">
        <f t="shared" si="132"/>
        <v/>
      </c>
      <c r="AM143" s="242" t="str">
        <f t="shared" si="134"/>
        <v/>
      </c>
      <c r="AN143" s="199" t="str">
        <f t="shared" si="160"/>
        <v/>
      </c>
      <c r="AO143" s="199" t="str">
        <f t="shared" ref="AO143:AO174" si="167">IF(AND(E143&lt;$AO$2,I143&gt;$AO$2),"1","")</f>
        <v/>
      </c>
      <c r="AP143" s="199" t="str">
        <f t="shared" si="135"/>
        <v/>
      </c>
      <c r="AQ143" s="199" t="str">
        <f t="shared" si="138"/>
        <v/>
      </c>
      <c r="AR143" s="199" t="str">
        <f t="shared" si="161"/>
        <v/>
      </c>
      <c r="AS143" s="199">
        <v>1</v>
      </c>
      <c r="AT143" s="199" t="str">
        <f t="shared" si="123"/>
        <v/>
      </c>
      <c r="AU143" s="199" t="str">
        <f t="shared" si="124"/>
        <v/>
      </c>
      <c r="AV143" s="199" t="str">
        <f t="shared" si="125"/>
        <v/>
      </c>
      <c r="AW143" s="199" t="str">
        <f t="shared" si="162"/>
        <v/>
      </c>
      <c r="AX143" s="199" t="str">
        <f t="shared" si="163"/>
        <v/>
      </c>
      <c r="AY143" s="199" t="str">
        <f t="shared" si="164"/>
        <v/>
      </c>
    </row>
    <row r="144" spans="1:51" x14ac:dyDescent="0.3">
      <c r="A144" s="191">
        <v>142</v>
      </c>
      <c r="B144" s="224" t="s">
        <v>133</v>
      </c>
      <c r="C144" s="120" t="s">
        <v>134</v>
      </c>
      <c r="D144" s="138">
        <v>2013</v>
      </c>
      <c r="E144" s="124">
        <v>41459</v>
      </c>
      <c r="F144" s="198">
        <f t="shared" si="139"/>
        <v>7</v>
      </c>
      <c r="G144" s="198" t="str">
        <f t="shared" si="140"/>
        <v>72013</v>
      </c>
      <c r="H144" s="198" t="str">
        <f t="shared" si="141"/>
        <v>julio</v>
      </c>
      <c r="I144" s="114">
        <f>VLOOKUP(B144,'Base de Datos'!$E$7:$W$271,14,0)</f>
        <v>1</v>
      </c>
      <c r="J144" s="200">
        <f t="shared" si="142"/>
        <v>1900</v>
      </c>
      <c r="K144" s="199">
        <f t="shared" si="143"/>
        <v>1</v>
      </c>
      <c r="L144" s="199" t="str">
        <f t="shared" si="144"/>
        <v>11900</v>
      </c>
      <c r="M144" s="199" t="str">
        <f t="shared" si="145"/>
        <v>enero</v>
      </c>
      <c r="N144" s="199">
        <f t="shared" ca="1" si="146"/>
        <v>44227</v>
      </c>
      <c r="O144" s="242" t="str">
        <f t="shared" ca="1" si="147"/>
        <v>SI</v>
      </c>
      <c r="P144" s="242" t="str">
        <f t="shared" si="156"/>
        <v/>
      </c>
      <c r="Q144" s="242" t="str">
        <f t="shared" si="148"/>
        <v/>
      </c>
      <c r="R144" s="242" t="str">
        <f t="shared" si="149"/>
        <v/>
      </c>
      <c r="S144" s="242" t="str">
        <f t="shared" si="150"/>
        <v/>
      </c>
      <c r="T144" s="242" t="str">
        <f t="shared" si="151"/>
        <v/>
      </c>
      <c r="U144" s="242" t="str">
        <f t="shared" si="152"/>
        <v/>
      </c>
      <c r="V144" s="242" t="str">
        <f t="shared" si="158"/>
        <v/>
      </c>
      <c r="W144" s="242" t="str">
        <f t="shared" si="153"/>
        <v/>
      </c>
      <c r="X144" s="242" t="str">
        <f t="shared" si="154"/>
        <v/>
      </c>
      <c r="Y144" s="242" t="str">
        <f t="shared" si="157"/>
        <v/>
      </c>
      <c r="Z144" s="242" t="str">
        <f t="shared" si="155"/>
        <v/>
      </c>
      <c r="AA144" s="242" t="str">
        <f t="shared" si="112"/>
        <v/>
      </c>
      <c r="AB144" s="242" t="str">
        <f t="shared" si="165"/>
        <v/>
      </c>
      <c r="AC144" s="242" t="str">
        <f t="shared" si="110"/>
        <v/>
      </c>
      <c r="AD144" s="242" t="str">
        <f t="shared" si="113"/>
        <v/>
      </c>
      <c r="AE144" s="242" t="str">
        <f t="shared" si="115"/>
        <v/>
      </c>
      <c r="AF144" s="242" t="str">
        <f t="shared" si="129"/>
        <v/>
      </c>
      <c r="AG144" s="242" t="str">
        <f t="shared" si="133"/>
        <v/>
      </c>
      <c r="AH144" s="242" t="str">
        <f t="shared" si="136"/>
        <v/>
      </c>
      <c r="AI144" s="242" t="str">
        <f t="shared" si="137"/>
        <v/>
      </c>
      <c r="AJ144" s="242" t="str">
        <f t="shared" si="159"/>
        <v/>
      </c>
      <c r="AK144" s="242" t="str">
        <f t="shared" si="166"/>
        <v/>
      </c>
      <c r="AL144" s="242" t="str">
        <f t="shared" ref="AL144:AL175" si="168">IF(AND(E144&lt;$AL$2,I144&gt;$AL$2),"1","")</f>
        <v/>
      </c>
      <c r="AM144" s="242" t="str">
        <f t="shared" si="134"/>
        <v/>
      </c>
      <c r="AN144" s="199" t="str">
        <f t="shared" si="160"/>
        <v/>
      </c>
      <c r="AO144" s="199" t="str">
        <f t="shared" si="167"/>
        <v/>
      </c>
      <c r="AP144" s="199" t="str">
        <f t="shared" si="135"/>
        <v/>
      </c>
      <c r="AQ144" s="199" t="str">
        <f t="shared" si="138"/>
        <v/>
      </c>
      <c r="AR144" s="199" t="str">
        <f t="shared" si="161"/>
        <v/>
      </c>
      <c r="AS144" s="199" t="str">
        <f t="shared" ref="AS144:AS175" si="169">IF(AND(E144&lt;$AS$2,I144&gt;$AS$2),"1","")</f>
        <v/>
      </c>
      <c r="AT144" s="199">
        <v>1</v>
      </c>
      <c r="AU144" s="199" t="str">
        <f t="shared" si="124"/>
        <v/>
      </c>
      <c r="AV144" s="199" t="str">
        <f t="shared" si="125"/>
        <v/>
      </c>
      <c r="AW144" s="199" t="str">
        <f t="shared" si="162"/>
        <v/>
      </c>
      <c r="AX144" s="199" t="str">
        <f t="shared" si="163"/>
        <v/>
      </c>
      <c r="AY144" s="199" t="str">
        <f t="shared" si="164"/>
        <v/>
      </c>
    </row>
    <row r="145" spans="1:51" x14ac:dyDescent="0.3">
      <c r="A145" s="191">
        <v>143</v>
      </c>
      <c r="B145" s="224" t="s">
        <v>143</v>
      </c>
      <c r="C145" s="120" t="s">
        <v>144</v>
      </c>
      <c r="D145" s="138">
        <v>2013</v>
      </c>
      <c r="E145" s="123">
        <v>41463</v>
      </c>
      <c r="F145" s="198">
        <f t="shared" si="139"/>
        <v>7</v>
      </c>
      <c r="G145" s="198" t="str">
        <f t="shared" si="140"/>
        <v>72013</v>
      </c>
      <c r="H145" s="198" t="str">
        <f t="shared" si="141"/>
        <v>julio</v>
      </c>
      <c r="I145" s="114">
        <f>VLOOKUP(B145,'Base de Datos'!$E$7:$W$271,14,0)</f>
        <v>1</v>
      </c>
      <c r="J145" s="200">
        <f t="shared" si="142"/>
        <v>1900</v>
      </c>
      <c r="K145" s="199">
        <f t="shared" si="143"/>
        <v>1</v>
      </c>
      <c r="L145" s="199" t="str">
        <f t="shared" si="144"/>
        <v>11900</v>
      </c>
      <c r="M145" s="199" t="str">
        <f t="shared" si="145"/>
        <v>enero</v>
      </c>
      <c r="N145" s="199">
        <f t="shared" ca="1" si="146"/>
        <v>44227</v>
      </c>
      <c r="O145" s="242" t="str">
        <f t="shared" ca="1" si="147"/>
        <v>SI</v>
      </c>
      <c r="P145" s="242" t="str">
        <f t="shared" si="156"/>
        <v/>
      </c>
      <c r="Q145" s="242" t="str">
        <f t="shared" si="148"/>
        <v/>
      </c>
      <c r="R145" s="242" t="str">
        <f t="shared" si="149"/>
        <v/>
      </c>
      <c r="S145" s="242" t="str">
        <f t="shared" si="150"/>
        <v/>
      </c>
      <c r="T145" s="242" t="str">
        <f t="shared" si="151"/>
        <v/>
      </c>
      <c r="U145" s="242" t="str">
        <f t="shared" si="152"/>
        <v/>
      </c>
      <c r="V145" s="242" t="str">
        <f t="shared" si="158"/>
        <v/>
      </c>
      <c r="W145" s="242" t="str">
        <f t="shared" si="153"/>
        <v/>
      </c>
      <c r="X145" s="242" t="str">
        <f t="shared" si="154"/>
        <v/>
      </c>
      <c r="Y145" s="242" t="str">
        <f t="shared" si="157"/>
        <v/>
      </c>
      <c r="Z145" s="242" t="str">
        <f t="shared" si="155"/>
        <v/>
      </c>
      <c r="AA145" s="242" t="str">
        <f t="shared" si="112"/>
        <v/>
      </c>
      <c r="AB145" s="242" t="str">
        <f t="shared" si="165"/>
        <v/>
      </c>
      <c r="AC145" s="242" t="str">
        <f t="shared" si="110"/>
        <v/>
      </c>
      <c r="AD145" s="242" t="str">
        <f t="shared" si="113"/>
        <v/>
      </c>
      <c r="AE145" s="242" t="str">
        <f t="shared" si="115"/>
        <v/>
      </c>
      <c r="AF145" s="242" t="str">
        <f t="shared" si="129"/>
        <v/>
      </c>
      <c r="AG145" s="242" t="str">
        <f t="shared" si="133"/>
        <v/>
      </c>
      <c r="AH145" s="242" t="str">
        <f t="shared" si="136"/>
        <v/>
      </c>
      <c r="AI145" s="242" t="str">
        <f t="shared" si="137"/>
        <v/>
      </c>
      <c r="AJ145" s="242" t="str">
        <f t="shared" si="159"/>
        <v/>
      </c>
      <c r="AK145" s="242" t="str">
        <f t="shared" si="166"/>
        <v/>
      </c>
      <c r="AL145" s="242" t="str">
        <f t="shared" si="168"/>
        <v/>
      </c>
      <c r="AM145" s="242" t="str">
        <f t="shared" si="134"/>
        <v/>
      </c>
      <c r="AN145" s="199" t="str">
        <f t="shared" si="160"/>
        <v/>
      </c>
      <c r="AO145" s="199" t="str">
        <f t="shared" si="167"/>
        <v/>
      </c>
      <c r="AP145" s="199" t="str">
        <f t="shared" si="135"/>
        <v/>
      </c>
      <c r="AQ145" s="199" t="str">
        <f t="shared" si="138"/>
        <v/>
      </c>
      <c r="AR145" s="199" t="str">
        <f t="shared" si="161"/>
        <v/>
      </c>
      <c r="AS145" s="199" t="str">
        <f t="shared" si="169"/>
        <v/>
      </c>
      <c r="AT145" s="199">
        <v>1</v>
      </c>
      <c r="AU145" s="199" t="str">
        <f t="shared" si="124"/>
        <v/>
      </c>
      <c r="AV145" s="199" t="str">
        <f t="shared" si="125"/>
        <v/>
      </c>
      <c r="AW145" s="199" t="str">
        <f t="shared" si="162"/>
        <v/>
      </c>
      <c r="AX145" s="199" t="str">
        <f t="shared" si="163"/>
        <v/>
      </c>
      <c r="AY145" s="199" t="str">
        <f t="shared" si="164"/>
        <v/>
      </c>
    </row>
    <row r="146" spans="1:51" x14ac:dyDescent="0.3">
      <c r="A146" s="191">
        <v>144</v>
      </c>
      <c r="B146" s="224" t="s">
        <v>147</v>
      </c>
      <c r="C146" s="120" t="s">
        <v>148</v>
      </c>
      <c r="D146" s="138">
        <v>2013</v>
      </c>
      <c r="E146" s="124">
        <v>41464</v>
      </c>
      <c r="F146" s="198">
        <f t="shared" si="139"/>
        <v>7</v>
      </c>
      <c r="G146" s="198" t="str">
        <f t="shared" si="140"/>
        <v>72013</v>
      </c>
      <c r="H146" s="198" t="str">
        <f t="shared" si="141"/>
        <v>julio</v>
      </c>
      <c r="I146" s="114">
        <f>VLOOKUP(B146,'Base de Datos'!$E$7:$W$271,14,0)</f>
        <v>2</v>
      </c>
      <c r="J146" s="200">
        <f t="shared" si="142"/>
        <v>1900</v>
      </c>
      <c r="K146" s="199">
        <f t="shared" si="143"/>
        <v>1</v>
      </c>
      <c r="L146" s="199" t="str">
        <f t="shared" si="144"/>
        <v>11900</v>
      </c>
      <c r="M146" s="199" t="str">
        <f t="shared" si="145"/>
        <v>enero</v>
      </c>
      <c r="N146" s="199">
        <f t="shared" ca="1" si="146"/>
        <v>44226</v>
      </c>
      <c r="O146" s="242" t="str">
        <f t="shared" ca="1" si="147"/>
        <v>SI</v>
      </c>
      <c r="P146" s="242" t="str">
        <f t="shared" si="156"/>
        <v/>
      </c>
      <c r="Q146" s="242" t="str">
        <f t="shared" si="148"/>
        <v/>
      </c>
      <c r="R146" s="242" t="str">
        <f t="shared" si="149"/>
        <v/>
      </c>
      <c r="S146" s="242" t="str">
        <f t="shared" si="150"/>
        <v/>
      </c>
      <c r="T146" s="242" t="str">
        <f t="shared" si="151"/>
        <v/>
      </c>
      <c r="U146" s="242" t="str">
        <f t="shared" si="152"/>
        <v/>
      </c>
      <c r="V146" s="242" t="str">
        <f t="shared" si="158"/>
        <v/>
      </c>
      <c r="W146" s="242" t="str">
        <f t="shared" si="153"/>
        <v/>
      </c>
      <c r="X146" s="242" t="str">
        <f t="shared" si="154"/>
        <v/>
      </c>
      <c r="Y146" s="242" t="str">
        <f t="shared" si="157"/>
        <v/>
      </c>
      <c r="Z146" s="242" t="str">
        <f t="shared" si="155"/>
        <v/>
      </c>
      <c r="AA146" s="242" t="str">
        <f t="shared" si="112"/>
        <v/>
      </c>
      <c r="AB146" s="242" t="str">
        <f t="shared" si="165"/>
        <v/>
      </c>
      <c r="AC146" s="242" t="str">
        <f t="shared" si="110"/>
        <v/>
      </c>
      <c r="AD146" s="242" t="str">
        <f t="shared" si="113"/>
        <v/>
      </c>
      <c r="AE146" s="242" t="str">
        <f t="shared" si="115"/>
        <v/>
      </c>
      <c r="AF146" s="242" t="str">
        <f t="shared" si="129"/>
        <v/>
      </c>
      <c r="AG146" s="242" t="str">
        <f t="shared" si="133"/>
        <v/>
      </c>
      <c r="AH146" s="242" t="str">
        <f t="shared" si="136"/>
        <v/>
      </c>
      <c r="AI146" s="242" t="str">
        <f t="shared" si="137"/>
        <v/>
      </c>
      <c r="AJ146" s="242" t="str">
        <f t="shared" si="159"/>
        <v/>
      </c>
      <c r="AK146" s="242" t="str">
        <f t="shared" si="166"/>
        <v/>
      </c>
      <c r="AL146" s="242" t="str">
        <f t="shared" si="168"/>
        <v/>
      </c>
      <c r="AM146" s="242" t="str">
        <f t="shared" si="134"/>
        <v/>
      </c>
      <c r="AN146" s="199" t="str">
        <f t="shared" si="160"/>
        <v/>
      </c>
      <c r="AO146" s="199" t="str">
        <f t="shared" si="167"/>
        <v/>
      </c>
      <c r="AP146" s="199" t="str">
        <f t="shared" si="135"/>
        <v/>
      </c>
      <c r="AQ146" s="199" t="str">
        <f t="shared" si="138"/>
        <v/>
      </c>
      <c r="AR146" s="199" t="str">
        <f t="shared" si="161"/>
        <v/>
      </c>
      <c r="AS146" s="199" t="str">
        <f t="shared" si="169"/>
        <v/>
      </c>
      <c r="AT146" s="199">
        <v>1</v>
      </c>
      <c r="AU146" s="199" t="str">
        <f t="shared" si="124"/>
        <v/>
      </c>
      <c r="AV146" s="199" t="str">
        <f t="shared" si="125"/>
        <v/>
      </c>
      <c r="AW146" s="199" t="str">
        <f t="shared" si="162"/>
        <v/>
      </c>
      <c r="AX146" s="199" t="str">
        <f t="shared" si="163"/>
        <v/>
      </c>
      <c r="AY146" s="199" t="str">
        <f t="shared" si="164"/>
        <v/>
      </c>
    </row>
    <row r="147" spans="1:51" x14ac:dyDescent="0.3">
      <c r="A147" s="191">
        <v>145</v>
      </c>
      <c r="B147" s="225" t="s">
        <v>299</v>
      </c>
      <c r="C147" s="120" t="s">
        <v>1048</v>
      </c>
      <c r="D147" s="139">
        <v>2014</v>
      </c>
      <c r="E147" s="124">
        <v>41838</v>
      </c>
      <c r="F147" s="198">
        <f t="shared" si="139"/>
        <v>7</v>
      </c>
      <c r="G147" s="198" t="str">
        <f t="shared" si="140"/>
        <v>72014</v>
      </c>
      <c r="H147" s="198" t="str">
        <f t="shared" si="141"/>
        <v>julio</v>
      </c>
      <c r="I147" s="114">
        <f>VLOOKUP(B147,'Base de Datos'!$E$7:$W$271,14,0)</f>
        <v>0</v>
      </c>
      <c r="J147" s="200">
        <f t="shared" si="142"/>
        <v>1900</v>
      </c>
      <c r="K147" s="199">
        <f t="shared" si="143"/>
        <v>1</v>
      </c>
      <c r="L147" s="199" t="str">
        <f t="shared" si="144"/>
        <v>11900</v>
      </c>
      <c r="M147" s="199" t="str">
        <f t="shared" si="145"/>
        <v>enero</v>
      </c>
      <c r="N147" s="199">
        <f t="shared" ca="1" si="146"/>
        <v>44228</v>
      </c>
      <c r="O147" s="242" t="str">
        <f t="shared" ca="1" si="147"/>
        <v>SI</v>
      </c>
      <c r="P147" s="242" t="str">
        <f t="shared" si="156"/>
        <v/>
      </c>
      <c r="Q147" s="242" t="str">
        <f t="shared" si="148"/>
        <v/>
      </c>
      <c r="R147" s="242" t="str">
        <f t="shared" si="149"/>
        <v/>
      </c>
      <c r="S147" s="242" t="str">
        <f t="shared" si="150"/>
        <v/>
      </c>
      <c r="T147" s="242" t="str">
        <f t="shared" si="151"/>
        <v/>
      </c>
      <c r="U147" s="242" t="str">
        <f t="shared" si="152"/>
        <v/>
      </c>
      <c r="V147" s="242" t="str">
        <f t="shared" si="158"/>
        <v/>
      </c>
      <c r="W147" s="242" t="str">
        <f t="shared" si="153"/>
        <v/>
      </c>
      <c r="X147" s="242" t="str">
        <f t="shared" si="154"/>
        <v/>
      </c>
      <c r="Y147" s="242" t="str">
        <f t="shared" si="157"/>
        <v/>
      </c>
      <c r="Z147" s="242" t="str">
        <f t="shared" si="155"/>
        <v/>
      </c>
      <c r="AA147" s="242" t="str">
        <f t="shared" si="112"/>
        <v/>
      </c>
      <c r="AB147" s="242" t="str">
        <f t="shared" si="165"/>
        <v/>
      </c>
      <c r="AC147" s="242" t="str">
        <f t="shared" si="110"/>
        <v/>
      </c>
      <c r="AD147" s="242" t="str">
        <f t="shared" si="113"/>
        <v/>
      </c>
      <c r="AE147" s="242" t="str">
        <f t="shared" si="115"/>
        <v/>
      </c>
      <c r="AF147" s="242" t="str">
        <f t="shared" si="129"/>
        <v/>
      </c>
      <c r="AG147" s="242" t="str">
        <f t="shared" si="133"/>
        <v/>
      </c>
      <c r="AH147" s="242" t="str">
        <f t="shared" si="136"/>
        <v/>
      </c>
      <c r="AI147" s="242" t="str">
        <f t="shared" si="137"/>
        <v/>
      </c>
      <c r="AJ147" s="242" t="str">
        <f t="shared" si="159"/>
        <v/>
      </c>
      <c r="AK147" s="242" t="str">
        <f t="shared" si="166"/>
        <v/>
      </c>
      <c r="AL147" s="242" t="str">
        <f t="shared" si="168"/>
        <v/>
      </c>
      <c r="AM147" s="242" t="str">
        <f t="shared" si="134"/>
        <v/>
      </c>
      <c r="AN147" s="199" t="str">
        <f t="shared" si="160"/>
        <v/>
      </c>
      <c r="AO147" s="199" t="str">
        <f t="shared" si="167"/>
        <v/>
      </c>
      <c r="AP147" s="199" t="str">
        <f t="shared" si="135"/>
        <v/>
      </c>
      <c r="AQ147" s="199" t="str">
        <f t="shared" si="138"/>
        <v/>
      </c>
      <c r="AR147" s="199" t="str">
        <f t="shared" si="161"/>
        <v/>
      </c>
      <c r="AS147" s="199" t="str">
        <f t="shared" si="169"/>
        <v/>
      </c>
      <c r="AT147" s="199" t="str">
        <f t="shared" ref="AT147:AT178" si="170">IF(AND(E147&lt;$AT$2,I147&gt;$AT$2),"1","")</f>
        <v/>
      </c>
      <c r="AU147" s="199">
        <v>1</v>
      </c>
      <c r="AV147" s="199" t="str">
        <f t="shared" si="125"/>
        <v/>
      </c>
      <c r="AW147" s="199" t="str">
        <f t="shared" si="162"/>
        <v/>
      </c>
      <c r="AX147" s="199" t="str">
        <f t="shared" si="163"/>
        <v/>
      </c>
      <c r="AY147" s="199" t="str">
        <f t="shared" si="164"/>
        <v/>
      </c>
    </row>
    <row r="148" spans="1:51" x14ac:dyDescent="0.3">
      <c r="A148" s="191">
        <v>146</v>
      </c>
      <c r="B148" s="225" t="s">
        <v>289</v>
      </c>
      <c r="C148" s="120" t="s">
        <v>290</v>
      </c>
      <c r="D148" s="139">
        <v>2014</v>
      </c>
      <c r="E148" s="124">
        <v>41794</v>
      </c>
      <c r="F148" s="198">
        <f t="shared" si="139"/>
        <v>6</v>
      </c>
      <c r="G148" s="198" t="str">
        <f t="shared" si="140"/>
        <v>62014</v>
      </c>
      <c r="H148" s="198" t="str">
        <f t="shared" si="141"/>
        <v>junio</v>
      </c>
      <c r="I148" s="114">
        <f>VLOOKUP(B148,'Base de Datos'!$E$7:$W$271,14,0)</f>
        <v>0</v>
      </c>
      <c r="J148" s="200">
        <f t="shared" si="142"/>
        <v>1900</v>
      </c>
      <c r="K148" s="199">
        <f t="shared" si="143"/>
        <v>1</v>
      </c>
      <c r="L148" s="199" t="str">
        <f t="shared" si="144"/>
        <v>11900</v>
      </c>
      <c r="M148" s="199" t="str">
        <f t="shared" si="145"/>
        <v>enero</v>
      </c>
      <c r="N148" s="199">
        <f t="shared" ca="1" si="146"/>
        <v>44228</v>
      </c>
      <c r="O148" s="242" t="str">
        <f t="shared" ca="1" si="147"/>
        <v>SI</v>
      </c>
      <c r="P148" s="242" t="str">
        <f t="shared" si="156"/>
        <v/>
      </c>
      <c r="Q148" s="242" t="str">
        <f t="shared" si="148"/>
        <v/>
      </c>
      <c r="R148" s="242" t="str">
        <f t="shared" si="149"/>
        <v/>
      </c>
      <c r="S148" s="242" t="str">
        <f t="shared" si="150"/>
        <v/>
      </c>
      <c r="T148" s="242" t="str">
        <f t="shared" si="151"/>
        <v/>
      </c>
      <c r="U148" s="242" t="str">
        <f t="shared" si="152"/>
        <v/>
      </c>
      <c r="V148" s="242" t="str">
        <f t="shared" si="158"/>
        <v/>
      </c>
      <c r="W148" s="242" t="str">
        <f t="shared" si="153"/>
        <v/>
      </c>
      <c r="X148" s="242" t="str">
        <f t="shared" si="154"/>
        <v/>
      </c>
      <c r="Y148" s="242" t="str">
        <f t="shared" si="157"/>
        <v/>
      </c>
      <c r="Z148" s="242" t="str">
        <f t="shared" si="155"/>
        <v/>
      </c>
      <c r="AA148" s="242" t="str">
        <f t="shared" si="112"/>
        <v/>
      </c>
      <c r="AB148" s="242" t="str">
        <f t="shared" si="165"/>
        <v/>
      </c>
      <c r="AC148" s="242" t="str">
        <f t="shared" ref="AC148:AC211" si="171">IF(AND(E148&lt;$AC$2,I148&gt;$AC$2),"1","")</f>
        <v/>
      </c>
      <c r="AD148" s="242" t="str">
        <f t="shared" si="113"/>
        <v/>
      </c>
      <c r="AE148" s="242" t="str">
        <f t="shared" si="115"/>
        <v/>
      </c>
      <c r="AF148" s="242" t="str">
        <f t="shared" si="129"/>
        <v/>
      </c>
      <c r="AG148" s="242" t="str">
        <f t="shared" si="133"/>
        <v/>
      </c>
      <c r="AH148" s="242" t="str">
        <f t="shared" si="136"/>
        <v/>
      </c>
      <c r="AI148" s="242" t="str">
        <f t="shared" si="137"/>
        <v/>
      </c>
      <c r="AJ148" s="242" t="str">
        <f t="shared" si="159"/>
        <v/>
      </c>
      <c r="AK148" s="242" t="str">
        <f t="shared" si="166"/>
        <v/>
      </c>
      <c r="AL148" s="242" t="str">
        <f t="shared" si="168"/>
        <v/>
      </c>
      <c r="AM148" s="242" t="str">
        <f t="shared" si="134"/>
        <v/>
      </c>
      <c r="AN148" s="199" t="str">
        <f t="shared" si="160"/>
        <v/>
      </c>
      <c r="AO148" s="199" t="str">
        <f t="shared" si="167"/>
        <v/>
      </c>
      <c r="AP148" s="199" t="str">
        <f t="shared" si="135"/>
        <v/>
      </c>
      <c r="AQ148" s="199" t="str">
        <f t="shared" si="138"/>
        <v/>
      </c>
      <c r="AR148" s="199" t="str">
        <f t="shared" si="161"/>
        <v/>
      </c>
      <c r="AS148" s="199" t="str">
        <f t="shared" si="169"/>
        <v/>
      </c>
      <c r="AT148" s="199" t="str">
        <f t="shared" si="170"/>
        <v/>
      </c>
      <c r="AU148" s="199">
        <v>1</v>
      </c>
      <c r="AV148" s="199" t="str">
        <f t="shared" si="125"/>
        <v/>
      </c>
      <c r="AW148" s="199" t="str">
        <f t="shared" si="162"/>
        <v/>
      </c>
      <c r="AX148" s="199" t="str">
        <f t="shared" si="163"/>
        <v/>
      </c>
      <c r="AY148" s="199" t="str">
        <f t="shared" si="164"/>
        <v/>
      </c>
    </row>
    <row r="149" spans="1:51" ht="20.399999999999999" x14ac:dyDescent="0.3">
      <c r="A149" s="191">
        <v>147</v>
      </c>
      <c r="B149" s="226" t="s">
        <v>168</v>
      </c>
      <c r="C149" s="120" t="s">
        <v>169</v>
      </c>
      <c r="D149" s="138">
        <v>2013</v>
      </c>
      <c r="E149" s="124">
        <v>41494</v>
      </c>
      <c r="F149" s="198">
        <f t="shared" si="139"/>
        <v>8</v>
      </c>
      <c r="G149" s="198" t="str">
        <f t="shared" si="140"/>
        <v>82013</v>
      </c>
      <c r="H149" s="198" t="str">
        <f t="shared" si="141"/>
        <v>agosto</v>
      </c>
      <c r="I149" s="114">
        <f>VLOOKUP(B149,'Base de Datos'!$E$7:$W$271,14,0)</f>
        <v>1</v>
      </c>
      <c r="J149" s="200">
        <f t="shared" si="142"/>
        <v>1900</v>
      </c>
      <c r="K149" s="199">
        <f t="shared" si="143"/>
        <v>1</v>
      </c>
      <c r="L149" s="199" t="str">
        <f t="shared" si="144"/>
        <v>11900</v>
      </c>
      <c r="M149" s="199" t="str">
        <f t="shared" si="145"/>
        <v>enero</v>
      </c>
      <c r="N149" s="199">
        <f t="shared" ca="1" si="146"/>
        <v>44227</v>
      </c>
      <c r="O149" s="242" t="str">
        <f t="shared" ca="1" si="147"/>
        <v>SI</v>
      </c>
      <c r="P149" s="242" t="str">
        <f t="shared" si="156"/>
        <v/>
      </c>
      <c r="Q149" s="242" t="str">
        <f t="shared" si="148"/>
        <v/>
      </c>
      <c r="R149" s="242" t="str">
        <f t="shared" si="149"/>
        <v/>
      </c>
      <c r="S149" s="242" t="str">
        <f t="shared" si="150"/>
        <v/>
      </c>
      <c r="T149" s="242" t="str">
        <f t="shared" si="151"/>
        <v/>
      </c>
      <c r="U149" s="242" t="str">
        <f t="shared" si="152"/>
        <v/>
      </c>
      <c r="V149" s="242" t="str">
        <f t="shared" si="158"/>
        <v/>
      </c>
      <c r="W149" s="242" t="str">
        <f t="shared" si="153"/>
        <v/>
      </c>
      <c r="X149" s="242" t="str">
        <f t="shared" si="154"/>
        <v/>
      </c>
      <c r="Y149" s="242" t="str">
        <f t="shared" si="157"/>
        <v/>
      </c>
      <c r="Z149" s="242" t="str">
        <f t="shared" si="155"/>
        <v/>
      </c>
      <c r="AA149" s="242" t="str">
        <f t="shared" si="112"/>
        <v/>
      </c>
      <c r="AB149" s="242" t="str">
        <f t="shared" si="165"/>
        <v/>
      </c>
      <c r="AC149" s="242" t="str">
        <f t="shared" si="171"/>
        <v/>
      </c>
      <c r="AD149" s="242" t="str">
        <f t="shared" si="113"/>
        <v/>
      </c>
      <c r="AE149" s="242" t="str">
        <f t="shared" si="115"/>
        <v/>
      </c>
      <c r="AF149" s="242" t="str">
        <f t="shared" si="129"/>
        <v/>
      </c>
      <c r="AG149" s="242" t="str">
        <f t="shared" si="133"/>
        <v/>
      </c>
      <c r="AH149" s="242" t="str">
        <f t="shared" si="136"/>
        <v/>
      </c>
      <c r="AI149" s="242" t="str">
        <f t="shared" si="137"/>
        <v/>
      </c>
      <c r="AJ149" s="242" t="str">
        <f t="shared" si="159"/>
        <v/>
      </c>
      <c r="AK149" s="242" t="str">
        <f t="shared" si="166"/>
        <v/>
      </c>
      <c r="AL149" s="242" t="str">
        <f t="shared" si="168"/>
        <v/>
      </c>
      <c r="AM149" s="242" t="str">
        <f t="shared" ref="AM149:AM180" si="172">IF(AND(E149&lt;$AM$2,I149&gt;$AM$2),"1","")</f>
        <v/>
      </c>
      <c r="AN149" s="199" t="str">
        <f t="shared" si="160"/>
        <v/>
      </c>
      <c r="AO149" s="199" t="str">
        <f t="shared" si="167"/>
        <v/>
      </c>
      <c r="AP149" s="199" t="str">
        <f t="shared" si="135"/>
        <v/>
      </c>
      <c r="AQ149" s="199" t="str">
        <f t="shared" si="138"/>
        <v/>
      </c>
      <c r="AR149" s="199" t="str">
        <f t="shared" si="161"/>
        <v/>
      </c>
      <c r="AS149" s="199" t="str">
        <f t="shared" si="169"/>
        <v/>
      </c>
      <c r="AT149" s="199" t="str">
        <f t="shared" si="170"/>
        <v/>
      </c>
      <c r="AU149" s="199">
        <v>1</v>
      </c>
      <c r="AV149" s="199" t="str">
        <f t="shared" si="125"/>
        <v/>
      </c>
      <c r="AW149" s="199" t="str">
        <f t="shared" si="162"/>
        <v/>
      </c>
      <c r="AX149" s="199" t="str">
        <f t="shared" si="163"/>
        <v/>
      </c>
      <c r="AY149" s="199" t="str">
        <f t="shared" si="164"/>
        <v/>
      </c>
    </row>
    <row r="150" spans="1:51" ht="20.399999999999999" x14ac:dyDescent="0.3">
      <c r="A150" s="191">
        <v>148</v>
      </c>
      <c r="B150" s="225" t="s">
        <v>172</v>
      </c>
      <c r="C150" s="120" t="s">
        <v>152</v>
      </c>
      <c r="D150" s="139">
        <v>2013</v>
      </c>
      <c r="E150" s="124">
        <v>41500</v>
      </c>
      <c r="F150" s="198">
        <f t="shared" si="139"/>
        <v>8</v>
      </c>
      <c r="G150" s="198" t="str">
        <f t="shared" si="140"/>
        <v>82013</v>
      </c>
      <c r="H150" s="198" t="str">
        <f t="shared" si="141"/>
        <v>agosto</v>
      </c>
      <c r="I150" s="114">
        <f>VLOOKUP(B150,'Base de Datos'!$E$7:$W$271,14,0)</f>
        <v>1</v>
      </c>
      <c r="J150" s="200">
        <f t="shared" si="142"/>
        <v>1900</v>
      </c>
      <c r="K150" s="199">
        <f t="shared" si="143"/>
        <v>1</v>
      </c>
      <c r="L150" s="199" t="str">
        <f t="shared" si="144"/>
        <v>11900</v>
      </c>
      <c r="M150" s="199" t="str">
        <f t="shared" si="145"/>
        <v>enero</v>
      </c>
      <c r="N150" s="199">
        <f t="shared" ca="1" si="146"/>
        <v>44227</v>
      </c>
      <c r="O150" s="242" t="str">
        <f t="shared" ca="1" si="147"/>
        <v>SI</v>
      </c>
      <c r="P150" s="242" t="str">
        <f t="shared" si="156"/>
        <v/>
      </c>
      <c r="Q150" s="242" t="str">
        <f t="shared" si="148"/>
        <v/>
      </c>
      <c r="R150" s="242" t="str">
        <f t="shared" si="149"/>
        <v/>
      </c>
      <c r="S150" s="242" t="str">
        <f t="shared" si="150"/>
        <v/>
      </c>
      <c r="T150" s="242" t="str">
        <f t="shared" si="151"/>
        <v/>
      </c>
      <c r="U150" s="242" t="str">
        <f t="shared" si="152"/>
        <v/>
      </c>
      <c r="V150" s="242" t="str">
        <f t="shared" si="158"/>
        <v/>
      </c>
      <c r="W150" s="242" t="str">
        <f t="shared" si="153"/>
        <v/>
      </c>
      <c r="X150" s="242" t="str">
        <f t="shared" si="154"/>
        <v/>
      </c>
      <c r="Y150" s="242" t="str">
        <f t="shared" si="157"/>
        <v/>
      </c>
      <c r="Z150" s="242" t="str">
        <f t="shared" si="155"/>
        <v/>
      </c>
      <c r="AA150" s="242" t="str">
        <f t="shared" ref="AA150:AA213" si="173">IF(AND(E150&lt;$AA$2,I150&gt;$AA$2),"1","")</f>
        <v/>
      </c>
      <c r="AB150" s="242" t="str">
        <f t="shared" si="165"/>
        <v/>
      </c>
      <c r="AC150" s="242" t="str">
        <f t="shared" si="171"/>
        <v/>
      </c>
      <c r="AD150" s="242" t="str">
        <f t="shared" si="113"/>
        <v/>
      </c>
      <c r="AE150" s="242" t="str">
        <f t="shared" si="115"/>
        <v/>
      </c>
      <c r="AF150" s="242" t="str">
        <f t="shared" si="129"/>
        <v/>
      </c>
      <c r="AG150" s="242" t="str">
        <f t="shared" si="133"/>
        <v/>
      </c>
      <c r="AH150" s="242" t="str">
        <f t="shared" si="136"/>
        <v/>
      </c>
      <c r="AI150" s="242" t="str">
        <f t="shared" si="137"/>
        <v/>
      </c>
      <c r="AJ150" s="242" t="str">
        <f t="shared" si="159"/>
        <v/>
      </c>
      <c r="AK150" s="242" t="str">
        <f t="shared" si="166"/>
        <v/>
      </c>
      <c r="AL150" s="242" t="str">
        <f t="shared" si="168"/>
        <v/>
      </c>
      <c r="AM150" s="242" t="str">
        <f t="shared" si="172"/>
        <v/>
      </c>
      <c r="AN150" s="199" t="str">
        <f t="shared" si="160"/>
        <v/>
      </c>
      <c r="AO150" s="199" t="str">
        <f t="shared" si="167"/>
        <v/>
      </c>
      <c r="AP150" s="199" t="str">
        <f t="shared" si="135"/>
        <v/>
      </c>
      <c r="AQ150" s="199" t="str">
        <f t="shared" si="138"/>
        <v/>
      </c>
      <c r="AR150" s="199" t="str">
        <f t="shared" si="161"/>
        <v/>
      </c>
      <c r="AS150" s="199" t="str">
        <f t="shared" si="169"/>
        <v/>
      </c>
      <c r="AT150" s="199" t="str">
        <f t="shared" si="170"/>
        <v/>
      </c>
      <c r="AU150" s="199">
        <v>1</v>
      </c>
      <c r="AV150" s="199" t="str">
        <f t="shared" si="125"/>
        <v/>
      </c>
      <c r="AW150" s="199" t="str">
        <f t="shared" si="162"/>
        <v/>
      </c>
      <c r="AX150" s="199" t="str">
        <f t="shared" si="163"/>
        <v/>
      </c>
      <c r="AY150" s="199" t="str">
        <f t="shared" si="164"/>
        <v/>
      </c>
    </row>
    <row r="151" spans="1:51" x14ac:dyDescent="0.3">
      <c r="A151" s="191">
        <v>149</v>
      </c>
      <c r="B151" s="225" t="s">
        <v>296</v>
      </c>
      <c r="C151" s="120" t="s">
        <v>1038</v>
      </c>
      <c r="D151" s="139">
        <v>2014</v>
      </c>
      <c r="E151" s="124">
        <v>41807</v>
      </c>
      <c r="F151" s="198">
        <f t="shared" si="139"/>
        <v>6</v>
      </c>
      <c r="G151" s="198" t="str">
        <f t="shared" si="140"/>
        <v>62014</v>
      </c>
      <c r="H151" s="198" t="str">
        <f t="shared" si="141"/>
        <v>junio</v>
      </c>
      <c r="I151" s="114">
        <f>VLOOKUP(B151,'Base de Datos'!$E$7:$W$271,14,0)</f>
        <v>0</v>
      </c>
      <c r="J151" s="200">
        <f t="shared" si="142"/>
        <v>1900</v>
      </c>
      <c r="K151" s="199">
        <f t="shared" si="143"/>
        <v>1</v>
      </c>
      <c r="L151" s="199" t="str">
        <f t="shared" si="144"/>
        <v>11900</v>
      </c>
      <c r="M151" s="199" t="str">
        <f t="shared" si="145"/>
        <v>enero</v>
      </c>
      <c r="N151" s="199">
        <f t="shared" ca="1" si="146"/>
        <v>44228</v>
      </c>
      <c r="O151" s="242" t="str">
        <f t="shared" ca="1" si="147"/>
        <v>SI</v>
      </c>
      <c r="P151" s="242" t="str">
        <f t="shared" si="156"/>
        <v/>
      </c>
      <c r="Q151" s="242" t="str">
        <f t="shared" si="148"/>
        <v/>
      </c>
      <c r="R151" s="242" t="str">
        <f t="shared" si="149"/>
        <v/>
      </c>
      <c r="S151" s="242" t="str">
        <f t="shared" si="150"/>
        <v/>
      </c>
      <c r="T151" s="242" t="str">
        <f t="shared" si="151"/>
        <v/>
      </c>
      <c r="U151" s="242" t="str">
        <f t="shared" si="152"/>
        <v/>
      </c>
      <c r="V151" s="242" t="str">
        <f t="shared" si="158"/>
        <v/>
      </c>
      <c r="W151" s="242" t="str">
        <f t="shared" si="153"/>
        <v/>
      </c>
      <c r="X151" s="242" t="str">
        <f t="shared" si="154"/>
        <v/>
      </c>
      <c r="Y151" s="242" t="str">
        <f t="shared" si="157"/>
        <v/>
      </c>
      <c r="Z151" s="242" t="str">
        <f t="shared" si="155"/>
        <v/>
      </c>
      <c r="AA151" s="242" t="str">
        <f t="shared" si="173"/>
        <v/>
      </c>
      <c r="AB151" s="242" t="str">
        <f t="shared" si="165"/>
        <v/>
      </c>
      <c r="AC151" s="242" t="str">
        <f t="shared" si="171"/>
        <v/>
      </c>
      <c r="AD151" s="242" t="str">
        <f t="shared" si="113"/>
        <v/>
      </c>
      <c r="AE151" s="242" t="str">
        <f t="shared" si="115"/>
        <v/>
      </c>
      <c r="AF151" s="242" t="str">
        <f t="shared" si="129"/>
        <v/>
      </c>
      <c r="AG151" s="242" t="str">
        <f t="shared" si="133"/>
        <v/>
      </c>
      <c r="AH151" s="242" t="str">
        <f t="shared" si="136"/>
        <v/>
      </c>
      <c r="AI151" s="242" t="str">
        <f t="shared" si="137"/>
        <v/>
      </c>
      <c r="AJ151" s="242" t="str">
        <f t="shared" si="159"/>
        <v/>
      </c>
      <c r="AK151" s="242" t="str">
        <f t="shared" si="166"/>
        <v/>
      </c>
      <c r="AL151" s="242" t="str">
        <f t="shared" si="168"/>
        <v/>
      </c>
      <c r="AM151" s="242" t="str">
        <f t="shared" si="172"/>
        <v/>
      </c>
      <c r="AN151" s="199" t="str">
        <f t="shared" si="160"/>
        <v/>
      </c>
      <c r="AO151" s="199" t="str">
        <f t="shared" si="167"/>
        <v/>
      </c>
      <c r="AP151" s="199" t="str">
        <f t="shared" si="135"/>
        <v/>
      </c>
      <c r="AQ151" s="199" t="str">
        <f t="shared" si="138"/>
        <v/>
      </c>
      <c r="AR151" s="199" t="str">
        <f t="shared" si="161"/>
        <v/>
      </c>
      <c r="AS151" s="199" t="str">
        <f t="shared" si="169"/>
        <v/>
      </c>
      <c r="AT151" s="199" t="str">
        <f t="shared" si="170"/>
        <v/>
      </c>
      <c r="AU151" s="199">
        <v>1</v>
      </c>
      <c r="AV151" s="199">
        <v>1</v>
      </c>
      <c r="AW151" s="199" t="str">
        <f t="shared" si="162"/>
        <v/>
      </c>
      <c r="AX151" s="199" t="str">
        <f t="shared" si="163"/>
        <v/>
      </c>
      <c r="AY151" s="199" t="str">
        <f t="shared" si="164"/>
        <v/>
      </c>
    </row>
    <row r="152" spans="1:51" x14ac:dyDescent="0.3">
      <c r="A152" s="191">
        <v>150</v>
      </c>
      <c r="B152" s="225" t="s">
        <v>305</v>
      </c>
      <c r="C152" s="120" t="s">
        <v>306</v>
      </c>
      <c r="D152" s="139">
        <v>2014</v>
      </c>
      <c r="E152" s="124">
        <v>41841</v>
      </c>
      <c r="F152" s="198">
        <f t="shared" si="139"/>
        <v>7</v>
      </c>
      <c r="G152" s="198" t="str">
        <f t="shared" si="140"/>
        <v>72014</v>
      </c>
      <c r="H152" s="198" t="str">
        <f t="shared" si="141"/>
        <v>julio</v>
      </c>
      <c r="I152" s="114">
        <f>VLOOKUP(B152,'Base de Datos'!$E$7:$W$271,14,0)</f>
        <v>0</v>
      </c>
      <c r="J152" s="200">
        <f t="shared" si="142"/>
        <v>1900</v>
      </c>
      <c r="K152" s="199">
        <f t="shared" si="143"/>
        <v>1</v>
      </c>
      <c r="L152" s="199" t="str">
        <f t="shared" si="144"/>
        <v>11900</v>
      </c>
      <c r="M152" s="199" t="str">
        <f t="shared" si="145"/>
        <v>enero</v>
      </c>
      <c r="N152" s="199">
        <f t="shared" ca="1" si="146"/>
        <v>44228</v>
      </c>
      <c r="O152" s="242" t="str">
        <f t="shared" ca="1" si="147"/>
        <v>SI</v>
      </c>
      <c r="P152" s="242" t="str">
        <f t="shared" si="156"/>
        <v/>
      </c>
      <c r="Q152" s="242" t="str">
        <f t="shared" si="148"/>
        <v/>
      </c>
      <c r="R152" s="242" t="str">
        <f t="shared" si="149"/>
        <v/>
      </c>
      <c r="S152" s="242" t="str">
        <f t="shared" si="150"/>
        <v/>
      </c>
      <c r="T152" s="242" t="str">
        <f t="shared" si="151"/>
        <v/>
      </c>
      <c r="U152" s="242" t="str">
        <f t="shared" si="152"/>
        <v/>
      </c>
      <c r="V152" s="242" t="str">
        <f t="shared" si="158"/>
        <v/>
      </c>
      <c r="W152" s="242" t="str">
        <f t="shared" si="153"/>
        <v/>
      </c>
      <c r="X152" s="242" t="str">
        <f t="shared" si="154"/>
        <v/>
      </c>
      <c r="Y152" s="242" t="str">
        <f t="shared" si="157"/>
        <v/>
      </c>
      <c r="Z152" s="242" t="str">
        <f t="shared" si="155"/>
        <v/>
      </c>
      <c r="AA152" s="242" t="str">
        <f t="shared" si="173"/>
        <v/>
      </c>
      <c r="AB152" s="242" t="str">
        <f t="shared" si="165"/>
        <v/>
      </c>
      <c r="AC152" s="242" t="str">
        <f t="shared" si="171"/>
        <v/>
      </c>
      <c r="AD152" s="242" t="str">
        <f t="shared" si="113"/>
        <v/>
      </c>
      <c r="AE152" s="242" t="str">
        <f t="shared" si="115"/>
        <v/>
      </c>
      <c r="AF152" s="242" t="str">
        <f t="shared" si="129"/>
        <v/>
      </c>
      <c r="AG152" s="242" t="str">
        <f t="shared" si="133"/>
        <v/>
      </c>
      <c r="AH152" s="242" t="str">
        <f t="shared" si="136"/>
        <v/>
      </c>
      <c r="AI152" s="242" t="str">
        <f t="shared" si="137"/>
        <v/>
      </c>
      <c r="AJ152" s="242" t="str">
        <f t="shared" si="159"/>
        <v/>
      </c>
      <c r="AK152" s="242" t="str">
        <f t="shared" si="166"/>
        <v/>
      </c>
      <c r="AL152" s="242" t="str">
        <f t="shared" si="168"/>
        <v/>
      </c>
      <c r="AM152" s="242" t="str">
        <f t="shared" si="172"/>
        <v/>
      </c>
      <c r="AN152" s="199" t="str">
        <f t="shared" si="160"/>
        <v/>
      </c>
      <c r="AO152" s="199" t="str">
        <f t="shared" si="167"/>
        <v/>
      </c>
      <c r="AP152" s="199" t="str">
        <f t="shared" si="135"/>
        <v/>
      </c>
      <c r="AQ152" s="199" t="str">
        <f t="shared" si="138"/>
        <v/>
      </c>
      <c r="AR152" s="199" t="str">
        <f t="shared" si="161"/>
        <v/>
      </c>
      <c r="AS152" s="199" t="str">
        <f t="shared" si="169"/>
        <v/>
      </c>
      <c r="AT152" s="199" t="str">
        <f t="shared" si="170"/>
        <v/>
      </c>
      <c r="AU152" s="199">
        <v>1</v>
      </c>
      <c r="AV152" s="199" t="str">
        <f>IF(AND(E152&lt;$AV$2,I152&gt;$AV$2),"1","")</f>
        <v/>
      </c>
      <c r="AW152" s="199" t="str">
        <f t="shared" si="162"/>
        <v/>
      </c>
      <c r="AX152" s="199" t="str">
        <f t="shared" si="163"/>
        <v/>
      </c>
      <c r="AY152" s="199" t="str">
        <f t="shared" si="164"/>
        <v/>
      </c>
    </row>
    <row r="153" spans="1:51" ht="20.399999999999999" x14ac:dyDescent="0.3">
      <c r="A153" s="191">
        <v>151</v>
      </c>
      <c r="B153" s="225" t="s">
        <v>173</v>
      </c>
      <c r="C153" s="120" t="s">
        <v>174</v>
      </c>
      <c r="D153" s="127">
        <v>2013</v>
      </c>
      <c r="E153" s="124">
        <v>41512</v>
      </c>
      <c r="F153" s="198">
        <f t="shared" si="139"/>
        <v>8</v>
      </c>
      <c r="G153" s="198" t="str">
        <f t="shared" si="140"/>
        <v>82013</v>
      </c>
      <c r="H153" s="198" t="str">
        <f t="shared" si="141"/>
        <v>agosto</v>
      </c>
      <c r="I153" s="114">
        <f>VLOOKUP(B153,'Base de Datos'!$E$7:$W$271,14,0)</f>
        <v>1</v>
      </c>
      <c r="J153" s="200">
        <f t="shared" si="142"/>
        <v>1900</v>
      </c>
      <c r="K153" s="199">
        <f t="shared" si="143"/>
        <v>1</v>
      </c>
      <c r="L153" s="199" t="str">
        <f t="shared" si="144"/>
        <v>11900</v>
      </c>
      <c r="M153" s="199" t="str">
        <f t="shared" si="145"/>
        <v>enero</v>
      </c>
      <c r="N153" s="199">
        <f t="shared" ca="1" si="146"/>
        <v>44227</v>
      </c>
      <c r="O153" s="242" t="str">
        <f t="shared" ca="1" si="147"/>
        <v>SI</v>
      </c>
      <c r="P153" s="242" t="str">
        <f t="shared" si="156"/>
        <v/>
      </c>
      <c r="Q153" s="242" t="str">
        <f t="shared" si="148"/>
        <v/>
      </c>
      <c r="R153" s="242" t="str">
        <f t="shared" si="149"/>
        <v/>
      </c>
      <c r="S153" s="242" t="str">
        <f t="shared" si="150"/>
        <v/>
      </c>
      <c r="T153" s="242" t="str">
        <f t="shared" si="151"/>
        <v/>
      </c>
      <c r="U153" s="242" t="str">
        <f t="shared" si="152"/>
        <v/>
      </c>
      <c r="V153" s="242" t="str">
        <f t="shared" si="158"/>
        <v/>
      </c>
      <c r="W153" s="242" t="str">
        <f t="shared" si="153"/>
        <v/>
      </c>
      <c r="X153" s="242" t="str">
        <f t="shared" si="154"/>
        <v/>
      </c>
      <c r="Y153" s="242" t="str">
        <f t="shared" si="157"/>
        <v/>
      </c>
      <c r="Z153" s="242" t="str">
        <f t="shared" si="155"/>
        <v/>
      </c>
      <c r="AA153" s="242" t="str">
        <f t="shared" si="173"/>
        <v/>
      </c>
      <c r="AB153" s="242" t="str">
        <f t="shared" si="165"/>
        <v/>
      </c>
      <c r="AC153" s="242" t="str">
        <f t="shared" si="171"/>
        <v/>
      </c>
      <c r="AD153" s="242" t="str">
        <f t="shared" si="113"/>
        <v/>
      </c>
      <c r="AE153" s="242" t="str">
        <f t="shared" si="115"/>
        <v/>
      </c>
      <c r="AF153" s="242" t="str">
        <f t="shared" si="129"/>
        <v/>
      </c>
      <c r="AG153" s="242" t="str">
        <f t="shared" si="133"/>
        <v/>
      </c>
      <c r="AH153" s="242" t="str">
        <f t="shared" si="136"/>
        <v/>
      </c>
      <c r="AI153" s="242" t="str">
        <f t="shared" si="137"/>
        <v/>
      </c>
      <c r="AJ153" s="242" t="str">
        <f t="shared" si="159"/>
        <v/>
      </c>
      <c r="AK153" s="242" t="str">
        <f t="shared" si="166"/>
        <v/>
      </c>
      <c r="AL153" s="242" t="str">
        <f t="shared" si="168"/>
        <v/>
      </c>
      <c r="AM153" s="242" t="str">
        <f t="shared" si="172"/>
        <v/>
      </c>
      <c r="AN153" s="199" t="str">
        <f t="shared" si="160"/>
        <v/>
      </c>
      <c r="AO153" s="199" t="str">
        <f t="shared" si="167"/>
        <v/>
      </c>
      <c r="AP153" s="199" t="str">
        <f t="shared" si="135"/>
        <v/>
      </c>
      <c r="AQ153" s="199" t="str">
        <f t="shared" si="138"/>
        <v/>
      </c>
      <c r="AR153" s="199" t="str">
        <f t="shared" si="161"/>
        <v/>
      </c>
      <c r="AS153" s="199" t="str">
        <f t="shared" si="169"/>
        <v/>
      </c>
      <c r="AT153" s="199" t="str">
        <f t="shared" si="170"/>
        <v/>
      </c>
      <c r="AU153" s="199">
        <v>1</v>
      </c>
      <c r="AV153" s="199" t="str">
        <f>IF(AND(E153&lt;$AV$2,I153&gt;$AV$2),"1","")</f>
        <v/>
      </c>
      <c r="AW153" s="199" t="str">
        <f t="shared" si="162"/>
        <v/>
      </c>
      <c r="AX153" s="199" t="str">
        <f t="shared" si="163"/>
        <v/>
      </c>
      <c r="AY153" s="199" t="str">
        <f t="shared" si="164"/>
        <v/>
      </c>
    </row>
    <row r="154" spans="1:51" ht="20.399999999999999" x14ac:dyDescent="0.3">
      <c r="A154" s="191">
        <v>152</v>
      </c>
      <c r="B154" s="232" t="s">
        <v>255</v>
      </c>
      <c r="C154" s="129" t="s">
        <v>1031</v>
      </c>
      <c r="D154" s="139">
        <v>2014</v>
      </c>
      <c r="E154" s="133">
        <v>41694</v>
      </c>
      <c r="F154" s="198">
        <f t="shared" si="139"/>
        <v>2</v>
      </c>
      <c r="G154" s="198" t="str">
        <f t="shared" si="140"/>
        <v>22014</v>
      </c>
      <c r="H154" s="198" t="str">
        <f t="shared" si="141"/>
        <v>febrero</v>
      </c>
      <c r="I154" s="114">
        <f>VLOOKUP(B154,'Base de Datos'!$E$7:$W$271,14,0)</f>
        <v>1</v>
      </c>
      <c r="J154" s="200">
        <f t="shared" si="142"/>
        <v>1900</v>
      </c>
      <c r="K154" s="199">
        <f t="shared" si="143"/>
        <v>1</v>
      </c>
      <c r="L154" s="199" t="str">
        <f t="shared" si="144"/>
        <v>11900</v>
      </c>
      <c r="M154" s="199" t="str">
        <f t="shared" si="145"/>
        <v>enero</v>
      </c>
      <c r="N154" s="199">
        <f t="shared" ca="1" si="146"/>
        <v>44227</v>
      </c>
      <c r="O154" s="242" t="str">
        <f t="shared" ca="1" si="147"/>
        <v>SI</v>
      </c>
      <c r="P154" s="242" t="str">
        <f t="shared" si="156"/>
        <v/>
      </c>
      <c r="Q154" s="242" t="str">
        <f t="shared" si="148"/>
        <v/>
      </c>
      <c r="R154" s="242" t="str">
        <f t="shared" si="149"/>
        <v/>
      </c>
      <c r="S154" s="242" t="str">
        <f t="shared" si="150"/>
        <v/>
      </c>
      <c r="T154" s="242" t="str">
        <f t="shared" si="151"/>
        <v/>
      </c>
      <c r="U154" s="242" t="str">
        <f t="shared" si="152"/>
        <v/>
      </c>
      <c r="V154" s="242" t="str">
        <f t="shared" si="158"/>
        <v/>
      </c>
      <c r="W154" s="242" t="str">
        <f t="shared" si="153"/>
        <v/>
      </c>
      <c r="X154" s="242" t="str">
        <f t="shared" si="154"/>
        <v/>
      </c>
      <c r="Y154" s="242" t="str">
        <f t="shared" si="157"/>
        <v/>
      </c>
      <c r="Z154" s="242" t="str">
        <f t="shared" si="155"/>
        <v/>
      </c>
      <c r="AA154" s="242" t="str">
        <f t="shared" si="173"/>
        <v/>
      </c>
      <c r="AB154" s="242" t="str">
        <f t="shared" si="165"/>
        <v/>
      </c>
      <c r="AC154" s="242" t="str">
        <f t="shared" si="171"/>
        <v/>
      </c>
      <c r="AD154" s="242" t="str">
        <f t="shared" si="113"/>
        <v/>
      </c>
      <c r="AE154" s="242" t="str">
        <f t="shared" si="115"/>
        <v/>
      </c>
      <c r="AF154" s="242" t="str">
        <f t="shared" si="129"/>
        <v/>
      </c>
      <c r="AG154" s="242" t="str">
        <f t="shared" si="133"/>
        <v/>
      </c>
      <c r="AH154" s="242" t="str">
        <f t="shared" si="136"/>
        <v/>
      </c>
      <c r="AI154" s="242" t="str">
        <f t="shared" si="137"/>
        <v/>
      </c>
      <c r="AJ154" s="242" t="str">
        <f t="shared" si="159"/>
        <v/>
      </c>
      <c r="AK154" s="242" t="str">
        <f t="shared" si="166"/>
        <v/>
      </c>
      <c r="AL154" s="242" t="str">
        <f t="shared" si="168"/>
        <v/>
      </c>
      <c r="AM154" s="242" t="str">
        <f t="shared" si="172"/>
        <v/>
      </c>
      <c r="AN154" s="199" t="str">
        <f t="shared" si="160"/>
        <v/>
      </c>
      <c r="AO154" s="199" t="str">
        <f t="shared" si="167"/>
        <v/>
      </c>
      <c r="AP154" s="199" t="str">
        <f t="shared" ref="AP154:AP185" si="174">IF(AND(E154&lt;$AP$2,I154&gt;$AP$2),"1","")</f>
        <v/>
      </c>
      <c r="AQ154" s="199" t="str">
        <f t="shared" si="138"/>
        <v/>
      </c>
      <c r="AR154" s="199" t="str">
        <f t="shared" si="161"/>
        <v/>
      </c>
      <c r="AS154" s="199" t="str">
        <f t="shared" si="169"/>
        <v/>
      </c>
      <c r="AT154" s="199" t="str">
        <f t="shared" si="170"/>
        <v/>
      </c>
      <c r="AU154" s="199" t="str">
        <f t="shared" ref="AU154:AU185" si="175">IF(AND(E154&lt;$AU$2,I154&gt;$AU$2),"1","")</f>
        <v/>
      </c>
      <c r="AV154" s="199" t="str">
        <f>IF(AND(E154&lt;$AV$2,I154&gt;$AV$2),"1","")</f>
        <v/>
      </c>
      <c r="AW154" s="199"/>
      <c r="AX154" s="199"/>
      <c r="AY154" s="199" t="str">
        <f t="shared" si="164"/>
        <v/>
      </c>
    </row>
    <row r="155" spans="1:51" ht="20.399999999999999" x14ac:dyDescent="0.3">
      <c r="A155" s="191">
        <v>153</v>
      </c>
      <c r="B155" s="224" t="s">
        <v>95</v>
      </c>
      <c r="C155" s="120" t="s">
        <v>41</v>
      </c>
      <c r="D155" s="138">
        <v>2013</v>
      </c>
      <c r="E155" s="124">
        <v>41403</v>
      </c>
      <c r="F155" s="198">
        <f t="shared" si="139"/>
        <v>5</v>
      </c>
      <c r="G155" s="198" t="str">
        <f t="shared" si="140"/>
        <v>52013</v>
      </c>
      <c r="H155" s="198" t="str">
        <f t="shared" si="141"/>
        <v>mayo</v>
      </c>
      <c r="I155" s="114">
        <f>VLOOKUP(B155,'Base de Datos'!$E$7:$W$271,14,0)</f>
        <v>3</v>
      </c>
      <c r="J155" s="200">
        <f t="shared" si="142"/>
        <v>1900</v>
      </c>
      <c r="K155" s="199">
        <f t="shared" si="143"/>
        <v>1</v>
      </c>
      <c r="L155" s="199" t="str">
        <f t="shared" si="144"/>
        <v>11900</v>
      </c>
      <c r="M155" s="199" t="str">
        <f t="shared" si="145"/>
        <v>enero</v>
      </c>
      <c r="N155" s="199">
        <f t="shared" ca="1" si="146"/>
        <v>44225</v>
      </c>
      <c r="O155" s="242" t="str">
        <f t="shared" ca="1" si="147"/>
        <v>SI</v>
      </c>
      <c r="P155" s="242" t="str">
        <f t="shared" si="156"/>
        <v/>
      </c>
      <c r="Q155" s="242" t="str">
        <f t="shared" si="148"/>
        <v/>
      </c>
      <c r="R155" s="242" t="str">
        <f t="shared" si="149"/>
        <v/>
      </c>
      <c r="S155" s="242" t="str">
        <f t="shared" si="150"/>
        <v/>
      </c>
      <c r="T155" s="242" t="str">
        <f t="shared" si="151"/>
        <v/>
      </c>
      <c r="U155" s="242" t="str">
        <f t="shared" si="152"/>
        <v/>
      </c>
      <c r="V155" s="242" t="str">
        <f t="shared" si="158"/>
        <v/>
      </c>
      <c r="W155" s="242" t="str">
        <f t="shared" si="153"/>
        <v/>
      </c>
      <c r="X155" s="242" t="str">
        <f t="shared" si="154"/>
        <v/>
      </c>
      <c r="Y155" s="242" t="str">
        <f t="shared" si="157"/>
        <v/>
      </c>
      <c r="Z155" s="242" t="str">
        <f t="shared" si="155"/>
        <v/>
      </c>
      <c r="AA155" s="242" t="str">
        <f t="shared" si="173"/>
        <v/>
      </c>
      <c r="AB155" s="242" t="str">
        <f t="shared" si="165"/>
        <v/>
      </c>
      <c r="AC155" s="242" t="str">
        <f t="shared" si="171"/>
        <v/>
      </c>
      <c r="AD155" s="242" t="str">
        <f t="shared" si="113"/>
        <v/>
      </c>
      <c r="AE155" s="242" t="str">
        <f t="shared" si="115"/>
        <v/>
      </c>
      <c r="AF155" s="242" t="str">
        <f t="shared" si="129"/>
        <v/>
      </c>
      <c r="AG155" s="242" t="str">
        <f t="shared" si="133"/>
        <v/>
      </c>
      <c r="AH155" s="242" t="str">
        <f t="shared" si="136"/>
        <v/>
      </c>
      <c r="AI155" s="242" t="str">
        <f t="shared" si="137"/>
        <v/>
      </c>
      <c r="AJ155" s="242" t="str">
        <f t="shared" si="159"/>
        <v/>
      </c>
      <c r="AK155" s="242" t="str">
        <f t="shared" si="166"/>
        <v/>
      </c>
      <c r="AL155" s="242" t="str">
        <f t="shared" si="168"/>
        <v/>
      </c>
      <c r="AM155" s="242" t="str">
        <f t="shared" si="172"/>
        <v/>
      </c>
      <c r="AN155" s="199" t="str">
        <f t="shared" si="160"/>
        <v/>
      </c>
      <c r="AO155" s="199" t="str">
        <f t="shared" si="167"/>
        <v/>
      </c>
      <c r="AP155" s="199" t="str">
        <f t="shared" si="174"/>
        <v/>
      </c>
      <c r="AQ155" s="199" t="str">
        <f t="shared" si="138"/>
        <v/>
      </c>
      <c r="AR155" s="199" t="str">
        <f t="shared" si="161"/>
        <v/>
      </c>
      <c r="AS155" s="199" t="str">
        <f t="shared" si="169"/>
        <v/>
      </c>
      <c r="AT155" s="199" t="str">
        <f t="shared" si="170"/>
        <v/>
      </c>
      <c r="AU155" s="199" t="str">
        <f t="shared" si="175"/>
        <v/>
      </c>
      <c r="AV155" s="199">
        <v>1</v>
      </c>
      <c r="AW155" s="199" t="str">
        <f t="shared" ref="AW155:AW163" si="176">IF(AND(E155&lt;$AW$2,I155&gt;$AW$2),"1","")</f>
        <v/>
      </c>
      <c r="AX155" s="199" t="str">
        <f t="shared" ref="AX155:AX168" si="177">IF(AND(E155&lt;$AX$2,I155&gt;$AX$2),"1","")</f>
        <v/>
      </c>
      <c r="AY155" s="199" t="str">
        <f t="shared" si="164"/>
        <v/>
      </c>
    </row>
    <row r="156" spans="1:51" ht="20.399999999999999" x14ac:dyDescent="0.3">
      <c r="A156" s="191">
        <v>154</v>
      </c>
      <c r="B156" s="225" t="s">
        <v>199</v>
      </c>
      <c r="C156" s="120" t="s">
        <v>1037</v>
      </c>
      <c r="D156" s="127">
        <v>2013</v>
      </c>
      <c r="E156" s="124">
        <v>41556</v>
      </c>
      <c r="F156" s="198">
        <f t="shared" si="139"/>
        <v>10</v>
      </c>
      <c r="G156" s="198" t="str">
        <f t="shared" si="140"/>
        <v>102013</v>
      </c>
      <c r="H156" s="198" t="str">
        <f t="shared" si="141"/>
        <v>octubre</v>
      </c>
      <c r="I156" s="114">
        <f>VLOOKUP(B156,'Base de Datos'!$E$7:$W$271,14,0)</f>
        <v>2</v>
      </c>
      <c r="J156" s="200">
        <f t="shared" si="142"/>
        <v>1900</v>
      </c>
      <c r="K156" s="199">
        <f t="shared" si="143"/>
        <v>1</v>
      </c>
      <c r="L156" s="199" t="str">
        <f t="shared" si="144"/>
        <v>11900</v>
      </c>
      <c r="M156" s="199" t="str">
        <f t="shared" si="145"/>
        <v>enero</v>
      </c>
      <c r="N156" s="199">
        <f t="shared" ca="1" si="146"/>
        <v>44226</v>
      </c>
      <c r="O156" s="242" t="str">
        <f t="shared" ca="1" si="147"/>
        <v>SI</v>
      </c>
      <c r="P156" s="242" t="str">
        <f t="shared" si="156"/>
        <v/>
      </c>
      <c r="Q156" s="242" t="str">
        <f t="shared" si="148"/>
        <v/>
      </c>
      <c r="R156" s="242" t="str">
        <f t="shared" si="149"/>
        <v/>
      </c>
      <c r="S156" s="242" t="str">
        <f t="shared" si="150"/>
        <v/>
      </c>
      <c r="T156" s="242" t="str">
        <f t="shared" si="151"/>
        <v/>
      </c>
      <c r="U156" s="242" t="str">
        <f t="shared" si="152"/>
        <v/>
      </c>
      <c r="V156" s="242" t="str">
        <f t="shared" si="158"/>
        <v/>
      </c>
      <c r="W156" s="242" t="str">
        <f t="shared" si="153"/>
        <v/>
      </c>
      <c r="X156" s="242" t="str">
        <f t="shared" si="154"/>
        <v/>
      </c>
      <c r="Y156" s="242" t="str">
        <f t="shared" si="157"/>
        <v/>
      </c>
      <c r="Z156" s="242" t="str">
        <f t="shared" si="155"/>
        <v/>
      </c>
      <c r="AA156" s="242" t="str">
        <f t="shared" si="173"/>
        <v/>
      </c>
      <c r="AB156" s="242" t="str">
        <f t="shared" si="165"/>
        <v/>
      </c>
      <c r="AC156" s="242" t="str">
        <f t="shared" si="171"/>
        <v/>
      </c>
      <c r="AD156" s="242" t="str">
        <f t="shared" si="113"/>
        <v/>
      </c>
      <c r="AE156" s="242" t="str">
        <f t="shared" si="115"/>
        <v/>
      </c>
      <c r="AF156" s="242" t="str">
        <f t="shared" si="129"/>
        <v/>
      </c>
      <c r="AG156" s="242" t="str">
        <f t="shared" si="133"/>
        <v/>
      </c>
      <c r="AH156" s="242" t="str">
        <f t="shared" si="136"/>
        <v/>
      </c>
      <c r="AI156" s="242" t="str">
        <f t="shared" si="137"/>
        <v/>
      </c>
      <c r="AJ156" s="242" t="str">
        <f t="shared" si="159"/>
        <v/>
      </c>
      <c r="AK156" s="242" t="str">
        <f t="shared" si="166"/>
        <v/>
      </c>
      <c r="AL156" s="242" t="str">
        <f t="shared" si="168"/>
        <v/>
      </c>
      <c r="AM156" s="242" t="str">
        <f t="shared" si="172"/>
        <v/>
      </c>
      <c r="AN156" s="199" t="str">
        <f t="shared" si="160"/>
        <v/>
      </c>
      <c r="AO156" s="199" t="str">
        <f t="shared" si="167"/>
        <v/>
      </c>
      <c r="AP156" s="199" t="str">
        <f t="shared" si="174"/>
        <v/>
      </c>
      <c r="AQ156" s="199" t="str">
        <f t="shared" si="138"/>
        <v/>
      </c>
      <c r="AR156" s="199" t="str">
        <f t="shared" si="161"/>
        <v/>
      </c>
      <c r="AS156" s="199" t="str">
        <f t="shared" si="169"/>
        <v/>
      </c>
      <c r="AT156" s="199" t="str">
        <f t="shared" si="170"/>
        <v/>
      </c>
      <c r="AU156" s="199" t="str">
        <f t="shared" si="175"/>
        <v/>
      </c>
      <c r="AV156" s="199">
        <v>1</v>
      </c>
      <c r="AW156" s="199" t="str">
        <f t="shared" si="176"/>
        <v/>
      </c>
      <c r="AX156" s="199" t="str">
        <f t="shared" si="177"/>
        <v/>
      </c>
      <c r="AY156" s="199" t="str">
        <f t="shared" si="164"/>
        <v/>
      </c>
    </row>
    <row r="157" spans="1:51" ht="30.6" x14ac:dyDescent="0.3">
      <c r="A157" s="191">
        <v>155</v>
      </c>
      <c r="B157" s="232" t="s">
        <v>270</v>
      </c>
      <c r="C157" s="129" t="s">
        <v>1045</v>
      </c>
      <c r="D157" s="139">
        <v>2014</v>
      </c>
      <c r="E157" s="133">
        <v>41739</v>
      </c>
      <c r="F157" s="198">
        <f t="shared" si="139"/>
        <v>4</v>
      </c>
      <c r="G157" s="198" t="str">
        <f t="shared" si="140"/>
        <v>42014</v>
      </c>
      <c r="H157" s="198" t="str">
        <f t="shared" si="141"/>
        <v>abril</v>
      </c>
      <c r="I157" s="114">
        <f>VLOOKUP(B157,'Base de Datos'!$E$7:$W$271,14,0)</f>
        <v>0</v>
      </c>
      <c r="J157" s="200">
        <f t="shared" si="142"/>
        <v>1900</v>
      </c>
      <c r="K157" s="199">
        <f t="shared" si="143"/>
        <v>1</v>
      </c>
      <c r="L157" s="199" t="str">
        <f t="shared" si="144"/>
        <v>11900</v>
      </c>
      <c r="M157" s="199" t="str">
        <f t="shared" si="145"/>
        <v>enero</v>
      </c>
      <c r="N157" s="199">
        <f t="shared" ca="1" si="146"/>
        <v>44228</v>
      </c>
      <c r="O157" s="242" t="str">
        <f t="shared" ca="1" si="147"/>
        <v>SI</v>
      </c>
      <c r="P157" s="242" t="str">
        <f t="shared" si="156"/>
        <v/>
      </c>
      <c r="Q157" s="242" t="str">
        <f t="shared" si="148"/>
        <v/>
      </c>
      <c r="R157" s="242" t="str">
        <f t="shared" si="149"/>
        <v/>
      </c>
      <c r="S157" s="242" t="str">
        <f t="shared" si="150"/>
        <v/>
      </c>
      <c r="T157" s="242" t="str">
        <f t="shared" si="151"/>
        <v/>
      </c>
      <c r="U157" s="242" t="str">
        <f t="shared" si="152"/>
        <v/>
      </c>
      <c r="V157" s="242" t="str">
        <f t="shared" si="158"/>
        <v/>
      </c>
      <c r="W157" s="242" t="str">
        <f t="shared" si="153"/>
        <v/>
      </c>
      <c r="X157" s="242" t="str">
        <f t="shared" si="154"/>
        <v/>
      </c>
      <c r="Y157" s="242" t="str">
        <f t="shared" si="157"/>
        <v/>
      </c>
      <c r="Z157" s="242" t="str">
        <f t="shared" si="155"/>
        <v/>
      </c>
      <c r="AA157" s="242" t="str">
        <f t="shared" si="173"/>
        <v/>
      </c>
      <c r="AB157" s="242" t="str">
        <f t="shared" si="165"/>
        <v/>
      </c>
      <c r="AC157" s="242" t="str">
        <f t="shared" si="171"/>
        <v/>
      </c>
      <c r="AD157" s="242" t="str">
        <f t="shared" si="113"/>
        <v/>
      </c>
      <c r="AE157" s="242" t="str">
        <f t="shared" si="115"/>
        <v/>
      </c>
      <c r="AF157" s="242" t="str">
        <f t="shared" si="129"/>
        <v/>
      </c>
      <c r="AG157" s="242" t="str">
        <f t="shared" si="133"/>
        <v/>
      </c>
      <c r="AH157" s="242" t="str">
        <f t="shared" si="136"/>
        <v/>
      </c>
      <c r="AI157" s="242" t="str">
        <f t="shared" si="137"/>
        <v/>
      </c>
      <c r="AJ157" s="242" t="str">
        <f t="shared" si="159"/>
        <v/>
      </c>
      <c r="AK157" s="242" t="str">
        <f t="shared" si="166"/>
        <v/>
      </c>
      <c r="AL157" s="242" t="str">
        <f t="shared" si="168"/>
        <v/>
      </c>
      <c r="AM157" s="242" t="str">
        <f t="shared" si="172"/>
        <v/>
      </c>
      <c r="AN157" s="199" t="str">
        <f t="shared" si="160"/>
        <v/>
      </c>
      <c r="AO157" s="199" t="str">
        <f t="shared" si="167"/>
        <v/>
      </c>
      <c r="AP157" s="199" t="str">
        <f t="shared" si="174"/>
        <v/>
      </c>
      <c r="AQ157" s="199" t="str">
        <f t="shared" si="138"/>
        <v/>
      </c>
      <c r="AR157" s="199" t="str">
        <f t="shared" si="161"/>
        <v/>
      </c>
      <c r="AS157" s="199" t="str">
        <f t="shared" si="169"/>
        <v/>
      </c>
      <c r="AT157" s="199" t="str">
        <f t="shared" si="170"/>
        <v/>
      </c>
      <c r="AU157" s="199" t="str">
        <f t="shared" si="175"/>
        <v/>
      </c>
      <c r="AV157" s="199">
        <v>1</v>
      </c>
      <c r="AW157" s="199" t="str">
        <f t="shared" si="176"/>
        <v/>
      </c>
      <c r="AX157" s="199" t="str">
        <f t="shared" si="177"/>
        <v/>
      </c>
      <c r="AY157" s="199" t="str">
        <f t="shared" si="164"/>
        <v/>
      </c>
    </row>
    <row r="158" spans="1:51" x14ac:dyDescent="0.3">
      <c r="A158" s="191">
        <v>156</v>
      </c>
      <c r="B158" s="225" t="s">
        <v>189</v>
      </c>
      <c r="C158" s="120" t="s">
        <v>13</v>
      </c>
      <c r="D158" s="127">
        <v>2013</v>
      </c>
      <c r="E158" s="124">
        <v>41528</v>
      </c>
      <c r="F158" s="198">
        <f t="shared" si="139"/>
        <v>9</v>
      </c>
      <c r="G158" s="198" t="str">
        <f t="shared" si="140"/>
        <v>92013</v>
      </c>
      <c r="H158" s="198" t="str">
        <f t="shared" si="141"/>
        <v>septiembre</v>
      </c>
      <c r="I158" s="114">
        <f>VLOOKUP(B158,'Base de Datos'!$E$7:$W$271,14,0)</f>
        <v>0</v>
      </c>
      <c r="J158" s="200">
        <f t="shared" si="142"/>
        <v>1900</v>
      </c>
      <c r="K158" s="199">
        <f t="shared" si="143"/>
        <v>1</v>
      </c>
      <c r="L158" s="199" t="str">
        <f t="shared" si="144"/>
        <v>11900</v>
      </c>
      <c r="M158" s="199" t="str">
        <f t="shared" si="145"/>
        <v>enero</v>
      </c>
      <c r="N158" s="199">
        <f t="shared" ca="1" si="146"/>
        <v>44228</v>
      </c>
      <c r="O158" s="242" t="str">
        <f t="shared" ca="1" si="147"/>
        <v>SI</v>
      </c>
      <c r="P158" s="242" t="str">
        <f t="shared" si="156"/>
        <v/>
      </c>
      <c r="Q158" s="242" t="str">
        <f t="shared" si="148"/>
        <v/>
      </c>
      <c r="R158" s="242" t="str">
        <f t="shared" si="149"/>
        <v/>
      </c>
      <c r="S158" s="242" t="str">
        <f t="shared" si="150"/>
        <v/>
      </c>
      <c r="T158" s="242" t="str">
        <f t="shared" si="151"/>
        <v/>
      </c>
      <c r="U158" s="242" t="str">
        <f t="shared" si="152"/>
        <v/>
      </c>
      <c r="V158" s="242" t="str">
        <f t="shared" si="158"/>
        <v/>
      </c>
      <c r="W158" s="242" t="str">
        <f t="shared" si="153"/>
        <v/>
      </c>
      <c r="X158" s="242" t="str">
        <f t="shared" si="154"/>
        <v/>
      </c>
      <c r="Y158" s="242" t="str">
        <f t="shared" si="157"/>
        <v/>
      </c>
      <c r="Z158" s="242" t="str">
        <f t="shared" si="155"/>
        <v/>
      </c>
      <c r="AA158" s="242" t="str">
        <f t="shared" si="173"/>
        <v/>
      </c>
      <c r="AB158" s="242" t="str">
        <f t="shared" si="165"/>
        <v/>
      </c>
      <c r="AC158" s="242" t="str">
        <f t="shared" si="171"/>
        <v/>
      </c>
      <c r="AD158" s="242" t="str">
        <f t="shared" ref="AD158:AD221" si="178">IF(AND(E158&lt;$AD$2,I158&gt;$AD$2),"1","")</f>
        <v/>
      </c>
      <c r="AE158" s="242" t="str">
        <f t="shared" si="115"/>
        <v/>
      </c>
      <c r="AF158" s="242" t="str">
        <f t="shared" si="129"/>
        <v/>
      </c>
      <c r="AG158" s="242" t="str">
        <f t="shared" si="133"/>
        <v/>
      </c>
      <c r="AH158" s="242" t="str">
        <f t="shared" si="136"/>
        <v/>
      </c>
      <c r="AI158" s="242" t="str">
        <f t="shared" si="137"/>
        <v/>
      </c>
      <c r="AJ158" s="242" t="str">
        <f t="shared" si="159"/>
        <v/>
      </c>
      <c r="AK158" s="242" t="str">
        <f t="shared" si="166"/>
        <v/>
      </c>
      <c r="AL158" s="242" t="str">
        <f t="shared" si="168"/>
        <v/>
      </c>
      <c r="AM158" s="242" t="str">
        <f t="shared" si="172"/>
        <v/>
      </c>
      <c r="AN158" s="199" t="str">
        <f t="shared" si="160"/>
        <v/>
      </c>
      <c r="AO158" s="199" t="str">
        <f t="shared" si="167"/>
        <v/>
      </c>
      <c r="AP158" s="199" t="str">
        <f t="shared" si="174"/>
        <v/>
      </c>
      <c r="AQ158" s="199" t="str">
        <f t="shared" si="138"/>
        <v/>
      </c>
      <c r="AR158" s="199" t="str">
        <f t="shared" si="161"/>
        <v/>
      </c>
      <c r="AS158" s="199" t="str">
        <f t="shared" si="169"/>
        <v/>
      </c>
      <c r="AT158" s="199" t="str">
        <f t="shared" si="170"/>
        <v/>
      </c>
      <c r="AU158" s="199" t="str">
        <f t="shared" si="175"/>
        <v/>
      </c>
      <c r="AV158" s="199">
        <v>1</v>
      </c>
      <c r="AW158" s="199" t="str">
        <f t="shared" si="176"/>
        <v/>
      </c>
      <c r="AX158" s="199" t="str">
        <f t="shared" si="177"/>
        <v/>
      </c>
      <c r="AY158" s="199" t="str">
        <f t="shared" si="164"/>
        <v/>
      </c>
    </row>
    <row r="159" spans="1:51" x14ac:dyDescent="0.3">
      <c r="A159" s="191">
        <v>157</v>
      </c>
      <c r="B159" s="225" t="s">
        <v>190</v>
      </c>
      <c r="C159" s="120" t="s">
        <v>29</v>
      </c>
      <c r="D159" s="127">
        <v>2013</v>
      </c>
      <c r="E159" s="124">
        <v>41531</v>
      </c>
      <c r="F159" s="198">
        <f t="shared" si="139"/>
        <v>9</v>
      </c>
      <c r="G159" s="198" t="str">
        <f t="shared" si="140"/>
        <v>92013</v>
      </c>
      <c r="H159" s="198" t="str">
        <f t="shared" si="141"/>
        <v>septiembre</v>
      </c>
      <c r="I159" s="114">
        <f>VLOOKUP(B159,'Base de Datos'!$E$7:$W$271,14,0)</f>
        <v>0</v>
      </c>
      <c r="J159" s="200">
        <f t="shared" si="142"/>
        <v>1900</v>
      </c>
      <c r="K159" s="199">
        <f t="shared" si="143"/>
        <v>1</v>
      </c>
      <c r="L159" s="199" t="str">
        <f t="shared" si="144"/>
        <v>11900</v>
      </c>
      <c r="M159" s="199" t="str">
        <f t="shared" si="145"/>
        <v>enero</v>
      </c>
      <c r="N159" s="199">
        <f t="shared" ca="1" si="146"/>
        <v>44228</v>
      </c>
      <c r="O159" s="242" t="str">
        <f t="shared" ca="1" si="147"/>
        <v>SI</v>
      </c>
      <c r="P159" s="242" t="str">
        <f t="shared" si="156"/>
        <v/>
      </c>
      <c r="Q159" s="242" t="str">
        <f t="shared" si="148"/>
        <v/>
      </c>
      <c r="R159" s="242" t="str">
        <f t="shared" si="149"/>
        <v/>
      </c>
      <c r="S159" s="242" t="str">
        <f t="shared" si="150"/>
        <v/>
      </c>
      <c r="T159" s="242" t="str">
        <f t="shared" si="151"/>
        <v/>
      </c>
      <c r="U159" s="242" t="str">
        <f t="shared" si="152"/>
        <v/>
      </c>
      <c r="V159" s="242" t="str">
        <f t="shared" si="158"/>
        <v/>
      </c>
      <c r="W159" s="242" t="str">
        <f t="shared" si="153"/>
        <v/>
      </c>
      <c r="X159" s="242" t="str">
        <f t="shared" si="154"/>
        <v/>
      </c>
      <c r="Y159" s="242" t="str">
        <f t="shared" si="157"/>
        <v/>
      </c>
      <c r="Z159" s="242" t="str">
        <f t="shared" si="155"/>
        <v/>
      </c>
      <c r="AA159" s="242" t="str">
        <f t="shared" si="173"/>
        <v/>
      </c>
      <c r="AB159" s="242" t="str">
        <f t="shared" si="165"/>
        <v/>
      </c>
      <c r="AC159" s="242" t="str">
        <f t="shared" si="171"/>
        <v/>
      </c>
      <c r="AD159" s="242" t="str">
        <f t="shared" si="178"/>
        <v/>
      </c>
      <c r="AE159" s="242" t="str">
        <f t="shared" si="115"/>
        <v/>
      </c>
      <c r="AF159" s="242" t="str">
        <f t="shared" si="129"/>
        <v/>
      </c>
      <c r="AG159" s="242" t="str">
        <f t="shared" si="133"/>
        <v/>
      </c>
      <c r="AH159" s="242" t="str">
        <f t="shared" si="136"/>
        <v/>
      </c>
      <c r="AI159" s="242" t="str">
        <f t="shared" ref="AI159:AI190" si="179">IF(AND(E159&lt;$AI$2,I159&gt;$AI$2),"1","")</f>
        <v/>
      </c>
      <c r="AJ159" s="242" t="str">
        <f t="shared" si="159"/>
        <v/>
      </c>
      <c r="AK159" s="242" t="str">
        <f t="shared" si="166"/>
        <v/>
      </c>
      <c r="AL159" s="242" t="str">
        <f t="shared" si="168"/>
        <v/>
      </c>
      <c r="AM159" s="242" t="str">
        <f t="shared" si="172"/>
        <v/>
      </c>
      <c r="AN159" s="199" t="str">
        <f t="shared" si="160"/>
        <v/>
      </c>
      <c r="AO159" s="199" t="str">
        <f t="shared" si="167"/>
        <v/>
      </c>
      <c r="AP159" s="199" t="str">
        <f t="shared" si="174"/>
        <v/>
      </c>
      <c r="AQ159" s="199" t="str">
        <f t="shared" si="138"/>
        <v/>
      </c>
      <c r="AR159" s="199" t="str">
        <f t="shared" si="161"/>
        <v/>
      </c>
      <c r="AS159" s="199" t="str">
        <f t="shared" si="169"/>
        <v/>
      </c>
      <c r="AT159" s="199" t="str">
        <f t="shared" si="170"/>
        <v/>
      </c>
      <c r="AU159" s="199" t="str">
        <f t="shared" si="175"/>
        <v/>
      </c>
      <c r="AV159" s="199">
        <v>1</v>
      </c>
      <c r="AW159" s="199" t="str">
        <f t="shared" si="176"/>
        <v/>
      </c>
      <c r="AX159" s="199" t="str">
        <f t="shared" si="177"/>
        <v/>
      </c>
      <c r="AY159" s="199" t="str">
        <f t="shared" si="164"/>
        <v/>
      </c>
    </row>
    <row r="160" spans="1:51" x14ac:dyDescent="0.3">
      <c r="A160" s="191">
        <v>158</v>
      </c>
      <c r="B160" s="226" t="s">
        <v>130</v>
      </c>
      <c r="C160" s="120" t="s">
        <v>131</v>
      </c>
      <c r="D160" s="138">
        <v>2013</v>
      </c>
      <c r="E160" s="123">
        <v>41421</v>
      </c>
      <c r="F160" s="198">
        <f t="shared" si="139"/>
        <v>5</v>
      </c>
      <c r="G160" s="198" t="str">
        <f t="shared" si="140"/>
        <v>52013</v>
      </c>
      <c r="H160" s="198" t="str">
        <f t="shared" si="141"/>
        <v>mayo</v>
      </c>
      <c r="I160" s="114">
        <f>VLOOKUP(B160,'Base de Datos'!$E$7:$W$271,14,0)</f>
        <v>3</v>
      </c>
      <c r="J160" s="200">
        <f t="shared" si="142"/>
        <v>1900</v>
      </c>
      <c r="K160" s="199">
        <f t="shared" si="143"/>
        <v>1</v>
      </c>
      <c r="L160" s="199" t="str">
        <f t="shared" si="144"/>
        <v>11900</v>
      </c>
      <c r="M160" s="199" t="str">
        <f t="shared" si="145"/>
        <v>enero</v>
      </c>
      <c r="N160" s="199">
        <f t="shared" ca="1" si="146"/>
        <v>44225</v>
      </c>
      <c r="O160" s="242" t="str">
        <f t="shared" ca="1" si="147"/>
        <v>SI</v>
      </c>
      <c r="P160" s="242" t="str">
        <f t="shared" si="156"/>
        <v/>
      </c>
      <c r="Q160" s="242" t="str">
        <f t="shared" si="148"/>
        <v/>
      </c>
      <c r="R160" s="242" t="str">
        <f t="shared" si="149"/>
        <v/>
      </c>
      <c r="S160" s="242" t="str">
        <f t="shared" si="150"/>
        <v/>
      </c>
      <c r="T160" s="242" t="str">
        <f t="shared" si="151"/>
        <v/>
      </c>
      <c r="U160" s="242" t="str">
        <f t="shared" si="152"/>
        <v/>
      </c>
      <c r="V160" s="242" t="str">
        <f t="shared" si="158"/>
        <v/>
      </c>
      <c r="W160" s="242" t="str">
        <f t="shared" si="153"/>
        <v/>
      </c>
      <c r="X160" s="242" t="str">
        <f t="shared" si="154"/>
        <v/>
      </c>
      <c r="Y160" s="242" t="str">
        <f t="shared" si="157"/>
        <v/>
      </c>
      <c r="Z160" s="242" t="str">
        <f t="shared" si="155"/>
        <v/>
      </c>
      <c r="AA160" s="242" t="str">
        <f t="shared" si="173"/>
        <v/>
      </c>
      <c r="AB160" s="242" t="str">
        <f t="shared" si="165"/>
        <v/>
      </c>
      <c r="AC160" s="242" t="str">
        <f t="shared" si="171"/>
        <v/>
      </c>
      <c r="AD160" s="242" t="str">
        <f t="shared" si="178"/>
        <v/>
      </c>
      <c r="AE160" s="242" t="str">
        <f t="shared" si="115"/>
        <v/>
      </c>
      <c r="AF160" s="242" t="str">
        <f t="shared" si="129"/>
        <v/>
      </c>
      <c r="AG160" s="242" t="str">
        <f t="shared" si="133"/>
        <v/>
      </c>
      <c r="AH160" s="242" t="str">
        <f t="shared" si="136"/>
        <v/>
      </c>
      <c r="AI160" s="242" t="str">
        <f t="shared" si="179"/>
        <v/>
      </c>
      <c r="AJ160" s="242" t="str">
        <f t="shared" si="159"/>
        <v/>
      </c>
      <c r="AK160" s="242" t="str">
        <f t="shared" si="166"/>
        <v/>
      </c>
      <c r="AL160" s="242" t="str">
        <f t="shared" si="168"/>
        <v/>
      </c>
      <c r="AM160" s="242" t="str">
        <f t="shared" si="172"/>
        <v/>
      </c>
      <c r="AN160" s="199" t="str">
        <f t="shared" si="160"/>
        <v/>
      </c>
      <c r="AO160" s="199" t="str">
        <f t="shared" si="167"/>
        <v/>
      </c>
      <c r="AP160" s="199" t="str">
        <f t="shared" si="174"/>
        <v/>
      </c>
      <c r="AQ160" s="199" t="str">
        <f t="shared" si="138"/>
        <v/>
      </c>
      <c r="AR160" s="199" t="str">
        <f t="shared" si="161"/>
        <v/>
      </c>
      <c r="AS160" s="199" t="str">
        <f t="shared" si="169"/>
        <v/>
      </c>
      <c r="AT160" s="199" t="str">
        <f t="shared" si="170"/>
        <v/>
      </c>
      <c r="AU160" s="199" t="str">
        <f t="shared" si="175"/>
        <v/>
      </c>
      <c r="AV160" s="199">
        <v>1</v>
      </c>
      <c r="AW160" s="199" t="str">
        <f t="shared" si="176"/>
        <v/>
      </c>
      <c r="AX160" s="199" t="str">
        <f t="shared" si="177"/>
        <v/>
      </c>
      <c r="AY160" s="199" t="str">
        <f t="shared" si="164"/>
        <v/>
      </c>
    </row>
    <row r="161" spans="1:51" x14ac:dyDescent="0.3">
      <c r="A161" s="191">
        <v>159</v>
      </c>
      <c r="B161" s="225" t="s">
        <v>185</v>
      </c>
      <c r="C161" s="120" t="s">
        <v>186</v>
      </c>
      <c r="D161" s="127">
        <v>2013</v>
      </c>
      <c r="E161" s="124">
        <v>41533</v>
      </c>
      <c r="F161" s="198">
        <f t="shared" si="139"/>
        <v>9</v>
      </c>
      <c r="G161" s="198" t="str">
        <f t="shared" si="140"/>
        <v>92013</v>
      </c>
      <c r="H161" s="198" t="str">
        <f t="shared" si="141"/>
        <v>septiembre</v>
      </c>
      <c r="I161" s="114">
        <f>VLOOKUP(B161,'Base de Datos'!$E$7:$W$271,14,0)</f>
        <v>0</v>
      </c>
      <c r="J161" s="200">
        <f t="shared" si="142"/>
        <v>1900</v>
      </c>
      <c r="K161" s="199">
        <f t="shared" si="143"/>
        <v>1</v>
      </c>
      <c r="L161" s="199" t="str">
        <f t="shared" si="144"/>
        <v>11900</v>
      </c>
      <c r="M161" s="199" t="str">
        <f t="shared" si="145"/>
        <v>enero</v>
      </c>
      <c r="N161" s="199">
        <f t="shared" ca="1" si="146"/>
        <v>44228</v>
      </c>
      <c r="O161" s="242" t="str">
        <f t="shared" ca="1" si="147"/>
        <v>SI</v>
      </c>
      <c r="P161" s="242" t="str">
        <f t="shared" si="156"/>
        <v/>
      </c>
      <c r="Q161" s="242" t="str">
        <f t="shared" si="148"/>
        <v/>
      </c>
      <c r="R161" s="242" t="str">
        <f t="shared" si="149"/>
        <v/>
      </c>
      <c r="S161" s="242" t="str">
        <f t="shared" si="150"/>
        <v/>
      </c>
      <c r="T161" s="242" t="str">
        <f t="shared" si="151"/>
        <v/>
      </c>
      <c r="U161" s="242" t="str">
        <f t="shared" si="152"/>
        <v/>
      </c>
      <c r="V161" s="242" t="str">
        <f t="shared" si="158"/>
        <v/>
      </c>
      <c r="W161" s="242" t="str">
        <f t="shared" si="153"/>
        <v/>
      </c>
      <c r="X161" s="242" t="str">
        <f t="shared" si="154"/>
        <v/>
      </c>
      <c r="Y161" s="242" t="str">
        <f t="shared" si="157"/>
        <v/>
      </c>
      <c r="Z161" s="242" t="str">
        <f t="shared" si="155"/>
        <v/>
      </c>
      <c r="AA161" s="242" t="str">
        <f t="shared" si="173"/>
        <v/>
      </c>
      <c r="AB161" s="242" t="str">
        <f t="shared" si="165"/>
        <v/>
      </c>
      <c r="AC161" s="242" t="str">
        <f t="shared" si="171"/>
        <v/>
      </c>
      <c r="AD161" s="242" t="str">
        <f t="shared" si="178"/>
        <v/>
      </c>
      <c r="AE161" s="242" t="str">
        <f t="shared" si="115"/>
        <v/>
      </c>
      <c r="AF161" s="242" t="str">
        <f t="shared" si="129"/>
        <v/>
      </c>
      <c r="AG161" s="242" t="str">
        <f t="shared" si="133"/>
        <v/>
      </c>
      <c r="AH161" s="242" t="str">
        <f t="shared" si="136"/>
        <v/>
      </c>
      <c r="AI161" s="242" t="str">
        <f t="shared" si="179"/>
        <v/>
      </c>
      <c r="AJ161" s="242" t="str">
        <f t="shared" si="159"/>
        <v/>
      </c>
      <c r="AK161" s="242" t="str">
        <f t="shared" si="166"/>
        <v/>
      </c>
      <c r="AL161" s="242" t="str">
        <f t="shared" si="168"/>
        <v/>
      </c>
      <c r="AM161" s="242" t="str">
        <f t="shared" si="172"/>
        <v/>
      </c>
      <c r="AN161" s="199" t="str">
        <f t="shared" si="160"/>
        <v/>
      </c>
      <c r="AO161" s="199" t="str">
        <f t="shared" si="167"/>
        <v/>
      </c>
      <c r="AP161" s="199" t="str">
        <f t="shared" si="174"/>
        <v/>
      </c>
      <c r="AQ161" s="199" t="str">
        <f t="shared" si="138"/>
        <v/>
      </c>
      <c r="AR161" s="199" t="str">
        <f t="shared" si="161"/>
        <v/>
      </c>
      <c r="AS161" s="199" t="str">
        <f t="shared" si="169"/>
        <v/>
      </c>
      <c r="AT161" s="199" t="str">
        <f t="shared" si="170"/>
        <v/>
      </c>
      <c r="AU161" s="199" t="str">
        <f t="shared" si="175"/>
        <v/>
      </c>
      <c r="AV161" s="199">
        <v>1</v>
      </c>
      <c r="AW161" s="199" t="str">
        <f t="shared" si="176"/>
        <v/>
      </c>
      <c r="AX161" s="199" t="str">
        <f t="shared" si="177"/>
        <v/>
      </c>
      <c r="AY161" s="199" t="str">
        <f t="shared" si="164"/>
        <v/>
      </c>
    </row>
    <row r="162" spans="1:51" x14ac:dyDescent="0.3">
      <c r="A162" s="191">
        <v>160</v>
      </c>
      <c r="B162" s="225" t="s">
        <v>282</v>
      </c>
      <c r="C162" s="120" t="s">
        <v>117</v>
      </c>
      <c r="D162" s="139">
        <v>2014</v>
      </c>
      <c r="E162" s="124">
        <v>41764</v>
      </c>
      <c r="F162" s="198">
        <f t="shared" si="139"/>
        <v>5</v>
      </c>
      <c r="G162" s="198" t="str">
        <f t="shared" si="140"/>
        <v>52014</v>
      </c>
      <c r="H162" s="198" t="str">
        <f t="shared" si="141"/>
        <v>mayo</v>
      </c>
      <c r="I162" s="114">
        <f>VLOOKUP(B162,'Base de Datos'!$E$7:$W$271,14,0)</f>
        <v>1</v>
      </c>
      <c r="J162" s="200">
        <f t="shared" si="142"/>
        <v>1900</v>
      </c>
      <c r="K162" s="199">
        <f t="shared" si="143"/>
        <v>1</v>
      </c>
      <c r="L162" s="199" t="str">
        <f t="shared" si="144"/>
        <v>11900</v>
      </c>
      <c r="M162" s="199" t="str">
        <f t="shared" si="145"/>
        <v>enero</v>
      </c>
      <c r="N162" s="199">
        <f t="shared" ca="1" si="146"/>
        <v>44227</v>
      </c>
      <c r="O162" s="242" t="str">
        <f t="shared" ca="1" si="147"/>
        <v>SI</v>
      </c>
      <c r="P162" s="242" t="str">
        <f t="shared" si="156"/>
        <v/>
      </c>
      <c r="Q162" s="242" t="str">
        <f t="shared" si="148"/>
        <v/>
      </c>
      <c r="R162" s="242" t="str">
        <f t="shared" si="149"/>
        <v/>
      </c>
      <c r="S162" s="242" t="str">
        <f t="shared" si="150"/>
        <v/>
      </c>
      <c r="T162" s="242" t="str">
        <f t="shared" si="151"/>
        <v/>
      </c>
      <c r="U162" s="242" t="str">
        <f t="shared" si="152"/>
        <v/>
      </c>
      <c r="V162" s="242" t="str">
        <f t="shared" si="158"/>
        <v/>
      </c>
      <c r="W162" s="242" t="str">
        <f t="shared" si="153"/>
        <v/>
      </c>
      <c r="X162" s="242" t="str">
        <f t="shared" si="154"/>
        <v/>
      </c>
      <c r="Y162" s="242" t="str">
        <f t="shared" si="157"/>
        <v/>
      </c>
      <c r="Z162" s="242" t="str">
        <f t="shared" si="155"/>
        <v/>
      </c>
      <c r="AA162" s="242" t="str">
        <f t="shared" si="173"/>
        <v/>
      </c>
      <c r="AB162" s="242" t="str">
        <f t="shared" si="165"/>
        <v/>
      </c>
      <c r="AC162" s="242" t="str">
        <f t="shared" si="171"/>
        <v/>
      </c>
      <c r="AD162" s="242" t="str">
        <f t="shared" si="178"/>
        <v/>
      </c>
      <c r="AE162" s="242" t="str">
        <f t="shared" si="115"/>
        <v/>
      </c>
      <c r="AF162" s="242" t="str">
        <f t="shared" si="129"/>
        <v/>
      </c>
      <c r="AG162" s="242" t="str">
        <f t="shared" si="133"/>
        <v/>
      </c>
      <c r="AH162" s="242" t="str">
        <f t="shared" si="136"/>
        <v/>
      </c>
      <c r="AI162" s="242" t="str">
        <f t="shared" si="179"/>
        <v/>
      </c>
      <c r="AJ162" s="242" t="str">
        <f t="shared" si="159"/>
        <v/>
      </c>
      <c r="AK162" s="242" t="str">
        <f t="shared" si="166"/>
        <v/>
      </c>
      <c r="AL162" s="242" t="str">
        <f t="shared" si="168"/>
        <v/>
      </c>
      <c r="AM162" s="242" t="str">
        <f t="shared" si="172"/>
        <v/>
      </c>
      <c r="AN162" s="199" t="str">
        <f t="shared" si="160"/>
        <v/>
      </c>
      <c r="AO162" s="199" t="str">
        <f t="shared" si="167"/>
        <v/>
      </c>
      <c r="AP162" s="199" t="str">
        <f t="shared" si="174"/>
        <v/>
      </c>
      <c r="AQ162" s="199" t="str">
        <f t="shared" ref="AQ162:AQ193" si="180">IF(AND(E162&lt;$AQ$2,I162&gt;$AQ$2),"1","")</f>
        <v/>
      </c>
      <c r="AR162" s="199" t="str">
        <f t="shared" si="161"/>
        <v/>
      </c>
      <c r="AS162" s="199" t="str">
        <f t="shared" si="169"/>
        <v/>
      </c>
      <c r="AT162" s="199" t="str">
        <f t="shared" si="170"/>
        <v/>
      </c>
      <c r="AU162" s="199" t="str">
        <f t="shared" si="175"/>
        <v/>
      </c>
      <c r="AV162" s="199">
        <v>1</v>
      </c>
      <c r="AW162" s="199" t="str">
        <f t="shared" si="176"/>
        <v/>
      </c>
      <c r="AX162" s="199" t="str">
        <f t="shared" si="177"/>
        <v/>
      </c>
      <c r="AY162" s="199" t="str">
        <f t="shared" si="164"/>
        <v/>
      </c>
    </row>
    <row r="163" spans="1:51" x14ac:dyDescent="0.3">
      <c r="A163" s="191">
        <v>161</v>
      </c>
      <c r="B163" s="225" t="s">
        <v>178</v>
      </c>
      <c r="C163" s="120" t="s">
        <v>33</v>
      </c>
      <c r="D163" s="127">
        <v>2013</v>
      </c>
      <c r="E163" s="124">
        <v>41547</v>
      </c>
      <c r="F163" s="198">
        <f t="shared" si="139"/>
        <v>9</v>
      </c>
      <c r="G163" s="198" t="str">
        <f t="shared" si="140"/>
        <v>92013</v>
      </c>
      <c r="H163" s="198" t="str">
        <f t="shared" si="141"/>
        <v>septiembre</v>
      </c>
      <c r="I163" s="114">
        <f>VLOOKUP(B163,'Base de Datos'!$E$7:$W$271,14,0)</f>
        <v>0</v>
      </c>
      <c r="J163" s="200">
        <f t="shared" si="142"/>
        <v>1900</v>
      </c>
      <c r="K163" s="199">
        <f t="shared" si="143"/>
        <v>1</v>
      </c>
      <c r="L163" s="199" t="str">
        <f t="shared" si="144"/>
        <v>11900</v>
      </c>
      <c r="M163" s="199" t="str">
        <f t="shared" si="145"/>
        <v>enero</v>
      </c>
      <c r="N163" s="199">
        <f t="shared" ca="1" si="146"/>
        <v>44228</v>
      </c>
      <c r="O163" s="242" t="str">
        <f t="shared" ca="1" si="147"/>
        <v>SI</v>
      </c>
      <c r="P163" s="242" t="str">
        <f t="shared" si="156"/>
        <v/>
      </c>
      <c r="Q163" s="242" t="str">
        <f t="shared" si="148"/>
        <v/>
      </c>
      <c r="R163" s="242" t="str">
        <f t="shared" si="149"/>
        <v/>
      </c>
      <c r="S163" s="242" t="str">
        <f t="shared" si="150"/>
        <v/>
      </c>
      <c r="T163" s="242" t="str">
        <f t="shared" si="151"/>
        <v/>
      </c>
      <c r="U163" s="242" t="str">
        <f t="shared" si="152"/>
        <v/>
      </c>
      <c r="V163" s="242" t="str">
        <f t="shared" si="158"/>
        <v/>
      </c>
      <c r="W163" s="242" t="str">
        <f t="shared" si="153"/>
        <v/>
      </c>
      <c r="X163" s="242" t="str">
        <f t="shared" si="154"/>
        <v/>
      </c>
      <c r="Y163" s="242" t="str">
        <f t="shared" si="157"/>
        <v/>
      </c>
      <c r="Z163" s="242" t="str">
        <f t="shared" si="155"/>
        <v/>
      </c>
      <c r="AA163" s="242" t="str">
        <f t="shared" si="173"/>
        <v/>
      </c>
      <c r="AB163" s="242" t="str">
        <f t="shared" si="165"/>
        <v/>
      </c>
      <c r="AC163" s="242" t="str">
        <f t="shared" si="171"/>
        <v/>
      </c>
      <c r="AD163" s="242" t="str">
        <f t="shared" si="178"/>
        <v/>
      </c>
      <c r="AE163" s="242" t="str">
        <f t="shared" ref="AE163:AE226" si="181">IF(AND(E163&lt;$AE$2,I163&gt;$AE$2),"1","")</f>
        <v/>
      </c>
      <c r="AF163" s="242" t="str">
        <f t="shared" si="129"/>
        <v/>
      </c>
      <c r="AG163" s="242" t="str">
        <f t="shared" si="133"/>
        <v/>
      </c>
      <c r="AH163" s="242" t="str">
        <f t="shared" si="136"/>
        <v/>
      </c>
      <c r="AI163" s="242" t="str">
        <f t="shared" si="179"/>
        <v/>
      </c>
      <c r="AJ163" s="242" t="str">
        <f t="shared" si="159"/>
        <v/>
      </c>
      <c r="AK163" s="242" t="str">
        <f t="shared" si="166"/>
        <v/>
      </c>
      <c r="AL163" s="242" t="str">
        <f t="shared" si="168"/>
        <v/>
      </c>
      <c r="AM163" s="242" t="str">
        <f t="shared" si="172"/>
        <v/>
      </c>
      <c r="AN163" s="199" t="str">
        <f t="shared" si="160"/>
        <v/>
      </c>
      <c r="AO163" s="199" t="str">
        <f t="shared" si="167"/>
        <v/>
      </c>
      <c r="AP163" s="199" t="str">
        <f t="shared" si="174"/>
        <v/>
      </c>
      <c r="AQ163" s="199" t="str">
        <f t="shared" si="180"/>
        <v/>
      </c>
      <c r="AR163" s="199" t="str">
        <f t="shared" si="161"/>
        <v/>
      </c>
      <c r="AS163" s="199" t="str">
        <f t="shared" si="169"/>
        <v/>
      </c>
      <c r="AT163" s="199" t="str">
        <f t="shared" si="170"/>
        <v/>
      </c>
      <c r="AU163" s="199" t="str">
        <f t="shared" si="175"/>
        <v/>
      </c>
      <c r="AV163" s="199">
        <v>1</v>
      </c>
      <c r="AW163" s="199" t="str">
        <f t="shared" si="176"/>
        <v/>
      </c>
      <c r="AX163" s="199" t="str">
        <f t="shared" si="177"/>
        <v/>
      </c>
      <c r="AY163" s="199" t="str">
        <f t="shared" si="164"/>
        <v/>
      </c>
    </row>
    <row r="164" spans="1:51" ht="20.399999999999999" x14ac:dyDescent="0.3">
      <c r="A164" s="191">
        <v>162</v>
      </c>
      <c r="B164" s="225" t="s">
        <v>308</v>
      </c>
      <c r="C164" s="120" t="s">
        <v>1049</v>
      </c>
      <c r="D164" s="139">
        <v>2014</v>
      </c>
      <c r="E164" s="124">
        <v>41862</v>
      </c>
      <c r="F164" s="198">
        <f t="shared" si="139"/>
        <v>8</v>
      </c>
      <c r="G164" s="198" t="str">
        <f t="shared" si="140"/>
        <v>82014</v>
      </c>
      <c r="H164" s="198" t="str">
        <f t="shared" si="141"/>
        <v>agosto</v>
      </c>
      <c r="I164" s="114">
        <f>VLOOKUP(B164,'Base de Datos'!$E$7:$W$271,14,0)</f>
        <v>0</v>
      </c>
      <c r="J164" s="200">
        <f t="shared" si="142"/>
        <v>1900</v>
      </c>
      <c r="K164" s="199">
        <f t="shared" si="143"/>
        <v>1</v>
      </c>
      <c r="L164" s="199" t="str">
        <f t="shared" si="144"/>
        <v>11900</v>
      </c>
      <c r="M164" s="199" t="str">
        <f t="shared" si="145"/>
        <v>enero</v>
      </c>
      <c r="N164" s="199">
        <f t="shared" ca="1" si="146"/>
        <v>44228</v>
      </c>
      <c r="O164" s="242" t="str">
        <f t="shared" ca="1" si="147"/>
        <v>SI</v>
      </c>
      <c r="P164" s="242" t="str">
        <f t="shared" si="156"/>
        <v/>
      </c>
      <c r="Q164" s="242" t="str">
        <f t="shared" si="148"/>
        <v/>
      </c>
      <c r="R164" s="242" t="str">
        <f t="shared" si="149"/>
        <v/>
      </c>
      <c r="S164" s="242" t="str">
        <f t="shared" si="150"/>
        <v/>
      </c>
      <c r="T164" s="242" t="str">
        <f t="shared" si="151"/>
        <v/>
      </c>
      <c r="U164" s="242" t="str">
        <f t="shared" si="152"/>
        <v/>
      </c>
      <c r="V164" s="242" t="str">
        <f t="shared" si="158"/>
        <v/>
      </c>
      <c r="W164" s="242" t="str">
        <f t="shared" si="153"/>
        <v/>
      </c>
      <c r="X164" s="242" t="str">
        <f t="shared" si="154"/>
        <v/>
      </c>
      <c r="Y164" s="242" t="str">
        <f t="shared" si="157"/>
        <v/>
      </c>
      <c r="Z164" s="242" t="str">
        <f t="shared" si="155"/>
        <v/>
      </c>
      <c r="AA164" s="242" t="str">
        <f t="shared" si="173"/>
        <v/>
      </c>
      <c r="AB164" s="242" t="str">
        <f t="shared" si="165"/>
        <v/>
      </c>
      <c r="AC164" s="242" t="str">
        <f t="shared" si="171"/>
        <v/>
      </c>
      <c r="AD164" s="242" t="str">
        <f t="shared" si="178"/>
        <v/>
      </c>
      <c r="AE164" s="242" t="str">
        <f t="shared" si="181"/>
        <v/>
      </c>
      <c r="AF164" s="242" t="str">
        <f t="shared" si="129"/>
        <v/>
      </c>
      <c r="AG164" s="242" t="str">
        <f t="shared" si="133"/>
        <v/>
      </c>
      <c r="AH164" s="242" t="str">
        <f t="shared" si="136"/>
        <v/>
      </c>
      <c r="AI164" s="242" t="str">
        <f t="shared" si="179"/>
        <v/>
      </c>
      <c r="AJ164" s="242" t="str">
        <f t="shared" si="159"/>
        <v/>
      </c>
      <c r="AK164" s="242" t="str">
        <f t="shared" si="166"/>
        <v/>
      </c>
      <c r="AL164" s="242" t="str">
        <f t="shared" si="168"/>
        <v/>
      </c>
      <c r="AM164" s="242" t="str">
        <f t="shared" si="172"/>
        <v/>
      </c>
      <c r="AN164" s="199" t="str">
        <f t="shared" si="160"/>
        <v/>
      </c>
      <c r="AO164" s="199" t="str">
        <f t="shared" si="167"/>
        <v/>
      </c>
      <c r="AP164" s="199" t="str">
        <f t="shared" si="174"/>
        <v/>
      </c>
      <c r="AQ164" s="199" t="str">
        <f t="shared" si="180"/>
        <v/>
      </c>
      <c r="AR164" s="199" t="str">
        <f t="shared" si="161"/>
        <v/>
      </c>
      <c r="AS164" s="199" t="str">
        <f t="shared" si="169"/>
        <v/>
      </c>
      <c r="AT164" s="199" t="str">
        <f t="shared" si="170"/>
        <v/>
      </c>
      <c r="AU164" s="199" t="str">
        <f t="shared" si="175"/>
        <v/>
      </c>
      <c r="AV164" s="199" t="str">
        <f t="shared" ref="AV164:AV195" si="182">IF(AND(E164&lt;$AV$2,I164&gt;$AV$2),"1","")</f>
        <v/>
      </c>
      <c r="AW164" s="199">
        <v>1</v>
      </c>
      <c r="AX164" s="199" t="str">
        <f t="shared" si="177"/>
        <v/>
      </c>
      <c r="AY164" s="199" t="str">
        <f t="shared" si="164"/>
        <v/>
      </c>
    </row>
    <row r="165" spans="1:51" x14ac:dyDescent="0.3">
      <c r="A165" s="191">
        <v>163</v>
      </c>
      <c r="B165" s="225" t="s">
        <v>196</v>
      </c>
      <c r="C165" s="125" t="s">
        <v>22</v>
      </c>
      <c r="D165" s="127">
        <v>2013</v>
      </c>
      <c r="E165" s="124">
        <v>41562</v>
      </c>
      <c r="F165" s="198">
        <f t="shared" si="139"/>
        <v>10</v>
      </c>
      <c r="G165" s="198" t="str">
        <f t="shared" si="140"/>
        <v>102013</v>
      </c>
      <c r="H165" s="198" t="str">
        <f t="shared" si="141"/>
        <v>octubre</v>
      </c>
      <c r="I165" s="114">
        <f>VLOOKUP(B165,'Base de Datos'!$E$7:$W$271,14,0)</f>
        <v>0</v>
      </c>
      <c r="J165" s="200">
        <f t="shared" si="142"/>
        <v>1900</v>
      </c>
      <c r="K165" s="199">
        <f t="shared" si="143"/>
        <v>1</v>
      </c>
      <c r="L165" s="199" t="str">
        <f t="shared" si="144"/>
        <v>11900</v>
      </c>
      <c r="M165" s="199" t="str">
        <f t="shared" si="145"/>
        <v>enero</v>
      </c>
      <c r="N165" s="199">
        <f t="shared" ca="1" si="146"/>
        <v>44228</v>
      </c>
      <c r="O165" s="242" t="str">
        <f t="shared" ca="1" si="147"/>
        <v>SI</v>
      </c>
      <c r="P165" s="242" t="str">
        <f t="shared" si="156"/>
        <v/>
      </c>
      <c r="Q165" s="242" t="str">
        <f t="shared" si="148"/>
        <v/>
      </c>
      <c r="R165" s="242" t="str">
        <f t="shared" si="149"/>
        <v/>
      </c>
      <c r="S165" s="242" t="str">
        <f t="shared" si="150"/>
        <v/>
      </c>
      <c r="T165" s="242" t="str">
        <f t="shared" si="151"/>
        <v/>
      </c>
      <c r="U165" s="242" t="str">
        <f t="shared" si="152"/>
        <v/>
      </c>
      <c r="V165" s="242" t="str">
        <f t="shared" si="158"/>
        <v/>
      </c>
      <c r="W165" s="242" t="str">
        <f t="shared" si="153"/>
        <v/>
      </c>
      <c r="X165" s="242" t="str">
        <f t="shared" si="154"/>
        <v/>
      </c>
      <c r="Y165" s="242" t="str">
        <f t="shared" si="157"/>
        <v/>
      </c>
      <c r="Z165" s="242" t="str">
        <f t="shared" si="155"/>
        <v/>
      </c>
      <c r="AA165" s="242" t="str">
        <f t="shared" si="173"/>
        <v/>
      </c>
      <c r="AB165" s="242" t="str">
        <f t="shared" si="165"/>
        <v/>
      </c>
      <c r="AC165" s="242" t="str">
        <f t="shared" si="171"/>
        <v/>
      </c>
      <c r="AD165" s="242" t="str">
        <f t="shared" si="178"/>
        <v/>
      </c>
      <c r="AE165" s="242" t="str">
        <f t="shared" si="181"/>
        <v/>
      </c>
      <c r="AF165" s="242" t="str">
        <f t="shared" si="129"/>
        <v/>
      </c>
      <c r="AG165" s="242" t="str">
        <f t="shared" si="133"/>
        <v/>
      </c>
      <c r="AH165" s="242" t="str">
        <f t="shared" si="136"/>
        <v/>
      </c>
      <c r="AI165" s="242" t="str">
        <f t="shared" si="179"/>
        <v/>
      </c>
      <c r="AJ165" s="242" t="str">
        <f t="shared" si="159"/>
        <v/>
      </c>
      <c r="AK165" s="242" t="str">
        <f t="shared" si="166"/>
        <v/>
      </c>
      <c r="AL165" s="242" t="str">
        <f t="shared" si="168"/>
        <v/>
      </c>
      <c r="AM165" s="242" t="str">
        <f t="shared" si="172"/>
        <v/>
      </c>
      <c r="AN165" s="199" t="str">
        <f t="shared" si="160"/>
        <v/>
      </c>
      <c r="AO165" s="199" t="str">
        <f t="shared" si="167"/>
        <v/>
      </c>
      <c r="AP165" s="199" t="str">
        <f t="shared" si="174"/>
        <v/>
      </c>
      <c r="AQ165" s="199" t="str">
        <f t="shared" si="180"/>
        <v/>
      </c>
      <c r="AR165" s="199" t="str">
        <f t="shared" si="161"/>
        <v/>
      </c>
      <c r="AS165" s="199" t="str">
        <f t="shared" si="169"/>
        <v/>
      </c>
      <c r="AT165" s="199" t="str">
        <f t="shared" si="170"/>
        <v/>
      </c>
      <c r="AU165" s="199" t="str">
        <f t="shared" si="175"/>
        <v/>
      </c>
      <c r="AV165" s="199" t="str">
        <f t="shared" si="182"/>
        <v/>
      </c>
      <c r="AW165" s="199">
        <v>1</v>
      </c>
      <c r="AX165" s="199" t="str">
        <f t="shared" si="177"/>
        <v/>
      </c>
      <c r="AY165" s="199" t="str">
        <f t="shared" si="164"/>
        <v/>
      </c>
    </row>
    <row r="166" spans="1:51" x14ac:dyDescent="0.3">
      <c r="A166" s="191">
        <v>164</v>
      </c>
      <c r="B166" s="225" t="s">
        <v>546</v>
      </c>
      <c r="C166" s="120" t="s">
        <v>310</v>
      </c>
      <c r="D166" s="139">
        <v>2014</v>
      </c>
      <c r="E166" s="124">
        <v>41871</v>
      </c>
      <c r="F166" s="198">
        <f t="shared" si="139"/>
        <v>8</v>
      </c>
      <c r="G166" s="198" t="str">
        <f t="shared" si="140"/>
        <v>82014</v>
      </c>
      <c r="H166" s="198" t="str">
        <f t="shared" si="141"/>
        <v>agosto</v>
      </c>
      <c r="I166" s="114">
        <f>VLOOKUP(B166,'Base de Datos'!$E$7:$W$271,14,0)</f>
        <v>0</v>
      </c>
      <c r="J166" s="200">
        <f t="shared" si="142"/>
        <v>1900</v>
      </c>
      <c r="K166" s="199">
        <f t="shared" si="143"/>
        <v>1</v>
      </c>
      <c r="L166" s="199" t="str">
        <f t="shared" si="144"/>
        <v>11900</v>
      </c>
      <c r="M166" s="199" t="str">
        <f t="shared" si="145"/>
        <v>enero</v>
      </c>
      <c r="N166" s="199">
        <f t="shared" ca="1" si="146"/>
        <v>44228</v>
      </c>
      <c r="O166" s="242" t="str">
        <f t="shared" ca="1" si="147"/>
        <v>SI</v>
      </c>
      <c r="P166" s="242" t="str">
        <f t="shared" si="156"/>
        <v/>
      </c>
      <c r="Q166" s="242" t="str">
        <f t="shared" si="148"/>
        <v/>
      </c>
      <c r="R166" s="242" t="str">
        <f t="shared" si="149"/>
        <v/>
      </c>
      <c r="S166" s="242" t="str">
        <f t="shared" si="150"/>
        <v/>
      </c>
      <c r="T166" s="242" t="str">
        <f t="shared" si="151"/>
        <v/>
      </c>
      <c r="U166" s="242" t="str">
        <f t="shared" si="152"/>
        <v/>
      </c>
      <c r="V166" s="242" t="str">
        <f t="shared" si="158"/>
        <v/>
      </c>
      <c r="W166" s="242" t="str">
        <f t="shared" si="153"/>
        <v/>
      </c>
      <c r="X166" s="242" t="str">
        <f t="shared" si="154"/>
        <v/>
      </c>
      <c r="Y166" s="242" t="str">
        <f t="shared" si="157"/>
        <v/>
      </c>
      <c r="Z166" s="242" t="str">
        <f t="shared" si="155"/>
        <v/>
      </c>
      <c r="AA166" s="242" t="str">
        <f t="shared" si="173"/>
        <v/>
      </c>
      <c r="AB166" s="242" t="str">
        <f t="shared" si="165"/>
        <v/>
      </c>
      <c r="AC166" s="242" t="str">
        <f t="shared" si="171"/>
        <v/>
      </c>
      <c r="AD166" s="242" t="str">
        <f t="shared" si="178"/>
        <v/>
      </c>
      <c r="AE166" s="242" t="str">
        <f t="shared" si="181"/>
        <v/>
      </c>
      <c r="AF166" s="242" t="str">
        <f t="shared" si="129"/>
        <v/>
      </c>
      <c r="AG166" s="242" t="str">
        <f t="shared" si="133"/>
        <v/>
      </c>
      <c r="AH166" s="242" t="str">
        <f t="shared" si="136"/>
        <v/>
      </c>
      <c r="AI166" s="242" t="str">
        <f t="shared" si="179"/>
        <v/>
      </c>
      <c r="AJ166" s="242" t="str">
        <f t="shared" si="159"/>
        <v/>
      </c>
      <c r="AK166" s="242" t="str">
        <f t="shared" si="166"/>
        <v/>
      </c>
      <c r="AL166" s="242" t="str">
        <f t="shared" si="168"/>
        <v/>
      </c>
      <c r="AM166" s="242" t="str">
        <f t="shared" si="172"/>
        <v/>
      </c>
      <c r="AN166" s="199" t="str">
        <f t="shared" si="160"/>
        <v/>
      </c>
      <c r="AO166" s="199" t="str">
        <f t="shared" si="167"/>
        <v/>
      </c>
      <c r="AP166" s="199" t="str">
        <f t="shared" si="174"/>
        <v/>
      </c>
      <c r="AQ166" s="199" t="str">
        <f t="shared" si="180"/>
        <v/>
      </c>
      <c r="AR166" s="199" t="str">
        <f t="shared" si="161"/>
        <v/>
      </c>
      <c r="AS166" s="199" t="str">
        <f t="shared" si="169"/>
        <v/>
      </c>
      <c r="AT166" s="199" t="str">
        <f t="shared" si="170"/>
        <v/>
      </c>
      <c r="AU166" s="199" t="str">
        <f t="shared" si="175"/>
        <v/>
      </c>
      <c r="AV166" s="199" t="str">
        <f t="shared" si="182"/>
        <v/>
      </c>
      <c r="AW166" s="199">
        <v>1</v>
      </c>
      <c r="AX166" s="199" t="str">
        <f t="shared" si="177"/>
        <v/>
      </c>
      <c r="AY166" s="199" t="str">
        <f t="shared" si="164"/>
        <v/>
      </c>
    </row>
    <row r="167" spans="1:51" x14ac:dyDescent="0.3">
      <c r="A167" s="191">
        <v>165</v>
      </c>
      <c r="B167" s="225" t="s">
        <v>193</v>
      </c>
      <c r="C167" s="120" t="s">
        <v>194</v>
      </c>
      <c r="D167" s="127">
        <v>2013</v>
      </c>
      <c r="E167" s="124">
        <v>41555</v>
      </c>
      <c r="F167" s="198">
        <f t="shared" si="139"/>
        <v>10</v>
      </c>
      <c r="G167" s="198" t="str">
        <f t="shared" si="140"/>
        <v>102013</v>
      </c>
      <c r="H167" s="198" t="str">
        <f t="shared" si="141"/>
        <v>octubre</v>
      </c>
      <c r="I167" s="114">
        <f>VLOOKUP(B167,'Base de Datos'!$E$7:$W$271,14,0)</f>
        <v>0</v>
      </c>
      <c r="J167" s="200">
        <f t="shared" si="142"/>
        <v>1900</v>
      </c>
      <c r="K167" s="199">
        <f t="shared" si="143"/>
        <v>1</v>
      </c>
      <c r="L167" s="199" t="str">
        <f t="shared" si="144"/>
        <v>11900</v>
      </c>
      <c r="M167" s="199" t="str">
        <f t="shared" si="145"/>
        <v>enero</v>
      </c>
      <c r="N167" s="199">
        <f t="shared" ca="1" si="146"/>
        <v>44228</v>
      </c>
      <c r="O167" s="242" t="str">
        <f t="shared" ca="1" si="147"/>
        <v>SI</v>
      </c>
      <c r="P167" s="242" t="str">
        <f t="shared" si="156"/>
        <v/>
      </c>
      <c r="Q167" s="242" t="str">
        <f t="shared" si="148"/>
        <v/>
      </c>
      <c r="R167" s="242" t="str">
        <f t="shared" si="149"/>
        <v/>
      </c>
      <c r="S167" s="242" t="str">
        <f t="shared" si="150"/>
        <v/>
      </c>
      <c r="T167" s="242" t="str">
        <f t="shared" si="151"/>
        <v/>
      </c>
      <c r="U167" s="242" t="str">
        <f t="shared" si="152"/>
        <v/>
      </c>
      <c r="V167" s="242" t="str">
        <f t="shared" si="158"/>
        <v/>
      </c>
      <c r="W167" s="242" t="str">
        <f t="shared" si="153"/>
        <v/>
      </c>
      <c r="X167" s="242" t="str">
        <f t="shared" si="154"/>
        <v/>
      </c>
      <c r="Y167" s="242" t="str">
        <f t="shared" si="157"/>
        <v/>
      </c>
      <c r="Z167" s="242" t="str">
        <f t="shared" si="155"/>
        <v/>
      </c>
      <c r="AA167" s="242" t="str">
        <f t="shared" si="173"/>
        <v/>
      </c>
      <c r="AB167" s="242" t="str">
        <f t="shared" si="165"/>
        <v/>
      </c>
      <c r="AC167" s="242" t="str">
        <f t="shared" si="171"/>
        <v/>
      </c>
      <c r="AD167" s="242" t="str">
        <f t="shared" si="178"/>
        <v/>
      </c>
      <c r="AE167" s="242" t="str">
        <f t="shared" si="181"/>
        <v/>
      </c>
      <c r="AF167" s="242" t="str">
        <f t="shared" si="129"/>
        <v/>
      </c>
      <c r="AG167" s="242" t="str">
        <f t="shared" si="133"/>
        <v/>
      </c>
      <c r="AH167" s="242" t="str">
        <f t="shared" si="136"/>
        <v/>
      </c>
      <c r="AI167" s="242" t="str">
        <f t="shared" si="179"/>
        <v/>
      </c>
      <c r="AJ167" s="242" t="str">
        <f t="shared" ref="AJ167:AJ198" si="183">IF(AND(E167&lt;$AJ$2,I167&gt;$AJ$2),"1","")</f>
        <v/>
      </c>
      <c r="AK167" s="242" t="str">
        <f t="shared" si="166"/>
        <v/>
      </c>
      <c r="AL167" s="242" t="str">
        <f t="shared" si="168"/>
        <v/>
      </c>
      <c r="AM167" s="242" t="str">
        <f t="shared" si="172"/>
        <v/>
      </c>
      <c r="AN167" s="199" t="str">
        <f t="shared" ref="AN167:AN198" si="184">IF(AND(E167&lt;$AN$2,I167&gt;$AN$2),"1","")</f>
        <v/>
      </c>
      <c r="AO167" s="199" t="str">
        <f t="shared" si="167"/>
        <v/>
      </c>
      <c r="AP167" s="199" t="str">
        <f t="shared" si="174"/>
        <v/>
      </c>
      <c r="AQ167" s="199" t="str">
        <f t="shared" si="180"/>
        <v/>
      </c>
      <c r="AR167" s="199" t="str">
        <f t="shared" ref="AR167:AR198" si="185">IF(AND(E167&lt;$AR$2,I167&gt;$AR$2),"1","")</f>
        <v/>
      </c>
      <c r="AS167" s="199" t="str">
        <f t="shared" si="169"/>
        <v/>
      </c>
      <c r="AT167" s="199" t="str">
        <f t="shared" si="170"/>
        <v/>
      </c>
      <c r="AU167" s="199" t="str">
        <f t="shared" si="175"/>
        <v/>
      </c>
      <c r="AV167" s="199" t="str">
        <f t="shared" si="182"/>
        <v/>
      </c>
      <c r="AW167" s="199">
        <v>1</v>
      </c>
      <c r="AX167" s="199" t="str">
        <f t="shared" si="177"/>
        <v/>
      </c>
      <c r="AY167" s="199" t="str">
        <f t="shared" ref="AY167:AY174" si="186">IF(AND(E167&lt;$AY$2,I167&gt;$AY$2),"1","")</f>
        <v/>
      </c>
    </row>
    <row r="168" spans="1:51" ht="20.399999999999999" x14ac:dyDescent="0.3">
      <c r="A168" s="191">
        <v>166</v>
      </c>
      <c r="B168" s="225" t="s">
        <v>206</v>
      </c>
      <c r="C168" s="120" t="s">
        <v>1019</v>
      </c>
      <c r="D168" s="127">
        <v>2013</v>
      </c>
      <c r="E168" s="124">
        <v>41575</v>
      </c>
      <c r="F168" s="198">
        <f t="shared" si="139"/>
        <v>10</v>
      </c>
      <c r="G168" s="198" t="str">
        <f t="shared" si="140"/>
        <v>102013</v>
      </c>
      <c r="H168" s="198" t="str">
        <f t="shared" si="141"/>
        <v>octubre</v>
      </c>
      <c r="I168" s="114">
        <f>VLOOKUP(B168,'Base de Datos'!$E$7:$W$271,14,0)</f>
        <v>0</v>
      </c>
      <c r="J168" s="200">
        <f t="shared" si="142"/>
        <v>1900</v>
      </c>
      <c r="K168" s="199">
        <f t="shared" si="143"/>
        <v>1</v>
      </c>
      <c r="L168" s="199" t="str">
        <f t="shared" si="144"/>
        <v>11900</v>
      </c>
      <c r="M168" s="199" t="str">
        <f t="shared" si="145"/>
        <v>enero</v>
      </c>
      <c r="N168" s="199">
        <f t="shared" ca="1" si="146"/>
        <v>44228</v>
      </c>
      <c r="O168" s="242" t="str">
        <f t="shared" ca="1" si="147"/>
        <v>SI</v>
      </c>
      <c r="P168" s="242" t="str">
        <f t="shared" si="156"/>
        <v/>
      </c>
      <c r="Q168" s="242" t="str">
        <f t="shared" si="148"/>
        <v/>
      </c>
      <c r="R168" s="242" t="str">
        <f t="shared" si="149"/>
        <v/>
      </c>
      <c r="S168" s="242" t="str">
        <f t="shared" si="150"/>
        <v/>
      </c>
      <c r="T168" s="242" t="str">
        <f t="shared" si="151"/>
        <v/>
      </c>
      <c r="U168" s="242" t="str">
        <f t="shared" si="152"/>
        <v/>
      </c>
      <c r="V168" s="242" t="str">
        <f t="shared" si="158"/>
        <v/>
      </c>
      <c r="W168" s="242" t="str">
        <f t="shared" si="153"/>
        <v/>
      </c>
      <c r="X168" s="242" t="str">
        <f t="shared" si="154"/>
        <v/>
      </c>
      <c r="Y168" s="242" t="str">
        <f t="shared" si="157"/>
        <v/>
      </c>
      <c r="Z168" s="242" t="str">
        <f t="shared" si="155"/>
        <v/>
      </c>
      <c r="AA168" s="242" t="str">
        <f t="shared" si="173"/>
        <v/>
      </c>
      <c r="AB168" s="242" t="str">
        <f t="shared" si="165"/>
        <v/>
      </c>
      <c r="AC168" s="242" t="str">
        <f t="shared" si="171"/>
        <v/>
      </c>
      <c r="AD168" s="242" t="str">
        <f t="shared" si="178"/>
        <v/>
      </c>
      <c r="AE168" s="242" t="str">
        <f t="shared" si="181"/>
        <v/>
      </c>
      <c r="AF168" s="242" t="str">
        <f t="shared" si="129"/>
        <v/>
      </c>
      <c r="AG168" s="242" t="str">
        <f t="shared" si="133"/>
        <v/>
      </c>
      <c r="AH168" s="242" t="str">
        <f t="shared" si="136"/>
        <v/>
      </c>
      <c r="AI168" s="242" t="str">
        <f t="shared" si="179"/>
        <v/>
      </c>
      <c r="AJ168" s="242" t="str">
        <f t="shared" si="183"/>
        <v/>
      </c>
      <c r="AK168" s="242" t="str">
        <f t="shared" si="166"/>
        <v/>
      </c>
      <c r="AL168" s="242" t="str">
        <f t="shared" si="168"/>
        <v/>
      </c>
      <c r="AM168" s="242" t="str">
        <f t="shared" si="172"/>
        <v/>
      </c>
      <c r="AN168" s="199" t="str">
        <f t="shared" si="184"/>
        <v/>
      </c>
      <c r="AO168" s="199" t="str">
        <f t="shared" si="167"/>
        <v/>
      </c>
      <c r="AP168" s="199" t="str">
        <f t="shared" si="174"/>
        <v/>
      </c>
      <c r="AQ168" s="199" t="str">
        <f t="shared" si="180"/>
        <v/>
      </c>
      <c r="AR168" s="199" t="str">
        <f t="shared" si="185"/>
        <v/>
      </c>
      <c r="AS168" s="199" t="str">
        <f t="shared" si="169"/>
        <v/>
      </c>
      <c r="AT168" s="199" t="str">
        <f t="shared" si="170"/>
        <v/>
      </c>
      <c r="AU168" s="199" t="str">
        <f t="shared" si="175"/>
        <v/>
      </c>
      <c r="AV168" s="199" t="str">
        <f t="shared" si="182"/>
        <v/>
      </c>
      <c r="AW168" s="199">
        <v>1</v>
      </c>
      <c r="AX168" s="199" t="str">
        <f t="shared" si="177"/>
        <v/>
      </c>
      <c r="AY168" s="199" t="str">
        <f t="shared" si="186"/>
        <v/>
      </c>
    </row>
    <row r="169" spans="1:51" x14ac:dyDescent="0.3">
      <c r="A169" s="191">
        <v>167</v>
      </c>
      <c r="B169" s="225" t="s">
        <v>271</v>
      </c>
      <c r="C169" s="120" t="s">
        <v>272</v>
      </c>
      <c r="D169" s="139">
        <v>2014</v>
      </c>
      <c r="E169" s="124">
        <v>41738</v>
      </c>
      <c r="F169" s="198">
        <f t="shared" si="139"/>
        <v>4</v>
      </c>
      <c r="G169" s="198" t="str">
        <f t="shared" si="140"/>
        <v>42014</v>
      </c>
      <c r="H169" s="198" t="str">
        <f t="shared" si="141"/>
        <v>abril</v>
      </c>
      <c r="I169" s="114">
        <f>VLOOKUP(B169,'Base de Datos'!$E$7:$W$271,14,0)</f>
        <v>0</v>
      </c>
      <c r="J169" s="200">
        <f t="shared" si="142"/>
        <v>1900</v>
      </c>
      <c r="K169" s="199">
        <f t="shared" si="143"/>
        <v>1</v>
      </c>
      <c r="L169" s="199" t="str">
        <f t="shared" si="144"/>
        <v>11900</v>
      </c>
      <c r="M169" s="199" t="str">
        <f t="shared" si="145"/>
        <v>enero</v>
      </c>
      <c r="N169" s="199">
        <f t="shared" ca="1" si="146"/>
        <v>44228</v>
      </c>
      <c r="O169" s="242" t="str">
        <f t="shared" ca="1" si="147"/>
        <v>SI</v>
      </c>
      <c r="P169" s="242" t="str">
        <f t="shared" si="156"/>
        <v/>
      </c>
      <c r="Q169" s="242" t="str">
        <f t="shared" si="148"/>
        <v/>
      </c>
      <c r="R169" s="242" t="str">
        <f t="shared" si="149"/>
        <v/>
      </c>
      <c r="S169" s="242" t="str">
        <f t="shared" si="150"/>
        <v/>
      </c>
      <c r="T169" s="242" t="str">
        <f t="shared" si="151"/>
        <v/>
      </c>
      <c r="U169" s="242" t="str">
        <f t="shared" si="152"/>
        <v/>
      </c>
      <c r="V169" s="242" t="str">
        <f t="shared" si="158"/>
        <v/>
      </c>
      <c r="W169" s="242" t="str">
        <f t="shared" si="153"/>
        <v/>
      </c>
      <c r="X169" s="242" t="str">
        <f t="shared" si="154"/>
        <v/>
      </c>
      <c r="Y169" s="242" t="str">
        <f t="shared" si="157"/>
        <v/>
      </c>
      <c r="Z169" s="242" t="str">
        <f t="shared" si="155"/>
        <v/>
      </c>
      <c r="AA169" s="242" t="str">
        <f t="shared" si="173"/>
        <v/>
      </c>
      <c r="AB169" s="242" t="str">
        <f t="shared" si="165"/>
        <v/>
      </c>
      <c r="AC169" s="242" t="str">
        <f t="shared" si="171"/>
        <v/>
      </c>
      <c r="AD169" s="242" t="str">
        <f t="shared" si="178"/>
        <v/>
      </c>
      <c r="AE169" s="242" t="str">
        <f t="shared" si="181"/>
        <v/>
      </c>
      <c r="AF169" s="242" t="str">
        <f t="shared" si="129"/>
        <v/>
      </c>
      <c r="AG169" s="242" t="str">
        <f t="shared" si="133"/>
        <v/>
      </c>
      <c r="AH169" s="242" t="str">
        <f t="shared" si="136"/>
        <v/>
      </c>
      <c r="AI169" s="242" t="str">
        <f t="shared" si="179"/>
        <v/>
      </c>
      <c r="AJ169" s="242" t="str">
        <f t="shared" si="183"/>
        <v/>
      </c>
      <c r="AK169" s="242" t="str">
        <f t="shared" si="166"/>
        <v/>
      </c>
      <c r="AL169" s="242" t="str">
        <f t="shared" si="168"/>
        <v/>
      </c>
      <c r="AM169" s="242" t="str">
        <f t="shared" si="172"/>
        <v/>
      </c>
      <c r="AN169" s="199" t="str">
        <f t="shared" si="184"/>
        <v/>
      </c>
      <c r="AO169" s="199" t="str">
        <f t="shared" si="167"/>
        <v/>
      </c>
      <c r="AP169" s="199" t="str">
        <f t="shared" si="174"/>
        <v/>
      </c>
      <c r="AQ169" s="199" t="str">
        <f t="shared" si="180"/>
        <v/>
      </c>
      <c r="AR169" s="199" t="str">
        <f t="shared" si="185"/>
        <v/>
      </c>
      <c r="AS169" s="199" t="str">
        <f t="shared" si="169"/>
        <v/>
      </c>
      <c r="AT169" s="199" t="str">
        <f t="shared" si="170"/>
        <v/>
      </c>
      <c r="AU169" s="199" t="str">
        <f t="shared" si="175"/>
        <v/>
      </c>
      <c r="AV169" s="199" t="str">
        <f t="shared" si="182"/>
        <v/>
      </c>
      <c r="AW169" s="199" t="str">
        <f t="shared" ref="AW169:AW200" si="187">IF(AND(E169&lt;$AW$2,I169&gt;$AW$2),"1","")</f>
        <v/>
      </c>
      <c r="AX169" s="199">
        <v>1</v>
      </c>
      <c r="AY169" s="199" t="str">
        <f t="shared" si="186"/>
        <v/>
      </c>
    </row>
    <row r="170" spans="1:51" x14ac:dyDescent="0.3">
      <c r="A170" s="191">
        <v>168</v>
      </c>
      <c r="B170" s="225" t="s">
        <v>285</v>
      </c>
      <c r="C170" s="120" t="s">
        <v>286</v>
      </c>
      <c r="D170" s="139">
        <v>2014</v>
      </c>
      <c r="E170" s="124">
        <v>41806</v>
      </c>
      <c r="F170" s="198">
        <f t="shared" si="139"/>
        <v>6</v>
      </c>
      <c r="G170" s="198" t="str">
        <f t="shared" si="140"/>
        <v>62014</v>
      </c>
      <c r="H170" s="198" t="str">
        <f t="shared" si="141"/>
        <v>junio</v>
      </c>
      <c r="I170" s="114">
        <f>VLOOKUP(B170,'Base de Datos'!$E$7:$W$271,14,0)</f>
        <v>0</v>
      </c>
      <c r="J170" s="200">
        <f t="shared" si="142"/>
        <v>1900</v>
      </c>
      <c r="K170" s="199">
        <f t="shared" si="143"/>
        <v>1</v>
      </c>
      <c r="L170" s="199" t="str">
        <f t="shared" si="144"/>
        <v>11900</v>
      </c>
      <c r="M170" s="199" t="str">
        <f t="shared" si="145"/>
        <v>enero</v>
      </c>
      <c r="N170" s="199">
        <f t="shared" ca="1" si="146"/>
        <v>44228</v>
      </c>
      <c r="O170" s="242" t="str">
        <f t="shared" ca="1" si="147"/>
        <v>SI</v>
      </c>
      <c r="P170" s="242" t="str">
        <f t="shared" si="156"/>
        <v/>
      </c>
      <c r="Q170" s="242" t="str">
        <f t="shared" si="148"/>
        <v/>
      </c>
      <c r="R170" s="242" t="str">
        <f t="shared" si="149"/>
        <v/>
      </c>
      <c r="S170" s="242" t="str">
        <f t="shared" si="150"/>
        <v/>
      </c>
      <c r="T170" s="242" t="str">
        <f t="shared" si="151"/>
        <v/>
      </c>
      <c r="U170" s="242" t="str">
        <f t="shared" si="152"/>
        <v/>
      </c>
      <c r="V170" s="242" t="str">
        <f t="shared" si="158"/>
        <v/>
      </c>
      <c r="W170" s="242" t="str">
        <f t="shared" si="153"/>
        <v/>
      </c>
      <c r="X170" s="242" t="str">
        <f t="shared" si="154"/>
        <v/>
      </c>
      <c r="Y170" s="242" t="str">
        <f t="shared" si="157"/>
        <v/>
      </c>
      <c r="Z170" s="242" t="str">
        <f t="shared" si="155"/>
        <v/>
      </c>
      <c r="AA170" s="242" t="str">
        <f t="shared" si="173"/>
        <v/>
      </c>
      <c r="AB170" s="242" t="str">
        <f t="shared" si="165"/>
        <v/>
      </c>
      <c r="AC170" s="242" t="str">
        <f t="shared" si="171"/>
        <v/>
      </c>
      <c r="AD170" s="242" t="str">
        <f t="shared" si="178"/>
        <v/>
      </c>
      <c r="AE170" s="242" t="str">
        <f t="shared" si="181"/>
        <v/>
      </c>
      <c r="AF170" s="242" t="str">
        <f t="shared" si="129"/>
        <v/>
      </c>
      <c r="AG170" s="242" t="str">
        <f t="shared" si="133"/>
        <v/>
      </c>
      <c r="AH170" s="242" t="str">
        <f t="shared" si="136"/>
        <v/>
      </c>
      <c r="AI170" s="242" t="str">
        <f t="shared" si="179"/>
        <v/>
      </c>
      <c r="AJ170" s="242" t="str">
        <f t="shared" si="183"/>
        <v/>
      </c>
      <c r="AK170" s="242" t="str">
        <f t="shared" si="166"/>
        <v/>
      </c>
      <c r="AL170" s="242" t="str">
        <f t="shared" si="168"/>
        <v/>
      </c>
      <c r="AM170" s="242" t="str">
        <f t="shared" si="172"/>
        <v/>
      </c>
      <c r="AN170" s="199" t="str">
        <f t="shared" si="184"/>
        <v/>
      </c>
      <c r="AO170" s="199" t="str">
        <f t="shared" si="167"/>
        <v/>
      </c>
      <c r="AP170" s="199" t="str">
        <f t="shared" si="174"/>
        <v/>
      </c>
      <c r="AQ170" s="199" t="str">
        <f t="shared" si="180"/>
        <v/>
      </c>
      <c r="AR170" s="199" t="str">
        <f t="shared" si="185"/>
        <v/>
      </c>
      <c r="AS170" s="199" t="str">
        <f t="shared" si="169"/>
        <v/>
      </c>
      <c r="AT170" s="199" t="str">
        <f t="shared" si="170"/>
        <v/>
      </c>
      <c r="AU170" s="199" t="str">
        <f t="shared" si="175"/>
        <v/>
      </c>
      <c r="AV170" s="199" t="str">
        <f t="shared" si="182"/>
        <v/>
      </c>
      <c r="AW170" s="199" t="str">
        <f t="shared" si="187"/>
        <v/>
      </c>
      <c r="AX170" s="199">
        <v>1</v>
      </c>
      <c r="AY170" s="199" t="str">
        <f t="shared" si="186"/>
        <v/>
      </c>
    </row>
    <row r="171" spans="1:51" ht="20.399999999999999" x14ac:dyDescent="0.3">
      <c r="A171" s="191">
        <v>169</v>
      </c>
      <c r="B171" s="225" t="s">
        <v>304</v>
      </c>
      <c r="C171" s="120" t="s">
        <v>1005</v>
      </c>
      <c r="D171" s="139">
        <v>2014</v>
      </c>
      <c r="E171" s="124">
        <v>41842</v>
      </c>
      <c r="F171" s="198">
        <f t="shared" si="139"/>
        <v>7</v>
      </c>
      <c r="G171" s="198" t="str">
        <f t="shared" si="140"/>
        <v>72014</v>
      </c>
      <c r="H171" s="198" t="str">
        <f t="shared" si="141"/>
        <v>julio</v>
      </c>
      <c r="I171" s="114">
        <f>VLOOKUP(B171,'Base de Datos'!$E$7:$W$271,14,0)</f>
        <v>0</v>
      </c>
      <c r="J171" s="200">
        <f t="shared" si="142"/>
        <v>1900</v>
      </c>
      <c r="K171" s="199">
        <f t="shared" si="143"/>
        <v>1</v>
      </c>
      <c r="L171" s="199" t="str">
        <f t="shared" si="144"/>
        <v>11900</v>
      </c>
      <c r="M171" s="199" t="str">
        <f t="shared" si="145"/>
        <v>enero</v>
      </c>
      <c r="N171" s="199">
        <f t="shared" ca="1" si="146"/>
        <v>44228</v>
      </c>
      <c r="O171" s="242" t="str">
        <f t="shared" ca="1" si="147"/>
        <v>SI</v>
      </c>
      <c r="P171" s="242" t="str">
        <f t="shared" si="156"/>
        <v/>
      </c>
      <c r="Q171" s="242" t="str">
        <f t="shared" si="148"/>
        <v/>
      </c>
      <c r="R171" s="242" t="str">
        <f t="shared" si="149"/>
        <v/>
      </c>
      <c r="S171" s="242" t="str">
        <f t="shared" si="150"/>
        <v/>
      </c>
      <c r="T171" s="242" t="str">
        <f t="shared" si="151"/>
        <v/>
      </c>
      <c r="U171" s="242" t="str">
        <f t="shared" si="152"/>
        <v/>
      </c>
      <c r="V171" s="242" t="str">
        <f t="shared" si="158"/>
        <v/>
      </c>
      <c r="W171" s="242" t="str">
        <f t="shared" si="153"/>
        <v/>
      </c>
      <c r="X171" s="242" t="str">
        <f t="shared" si="154"/>
        <v/>
      </c>
      <c r="Y171" s="242" t="str">
        <f t="shared" si="157"/>
        <v/>
      </c>
      <c r="Z171" s="242" t="str">
        <f t="shared" si="155"/>
        <v/>
      </c>
      <c r="AA171" s="242" t="str">
        <f t="shared" si="173"/>
        <v/>
      </c>
      <c r="AB171" s="242" t="str">
        <f t="shared" si="165"/>
        <v/>
      </c>
      <c r="AC171" s="242" t="str">
        <f t="shared" si="171"/>
        <v/>
      </c>
      <c r="AD171" s="242" t="str">
        <f t="shared" si="178"/>
        <v/>
      </c>
      <c r="AE171" s="242" t="str">
        <f t="shared" si="181"/>
        <v/>
      </c>
      <c r="AF171" s="242" t="str">
        <f t="shared" ref="AF171:AF234" si="188">IF(AND(E171&lt;$AF$2,I171&gt;$AF$2),"1","")</f>
        <v/>
      </c>
      <c r="AG171" s="242" t="str">
        <f t="shared" si="133"/>
        <v/>
      </c>
      <c r="AH171" s="242" t="str">
        <f t="shared" si="136"/>
        <v/>
      </c>
      <c r="AI171" s="242" t="str">
        <f t="shared" si="179"/>
        <v/>
      </c>
      <c r="AJ171" s="242" t="str">
        <f t="shared" si="183"/>
        <v/>
      </c>
      <c r="AK171" s="242" t="str">
        <f t="shared" si="166"/>
        <v/>
      </c>
      <c r="AL171" s="242" t="str">
        <f t="shared" si="168"/>
        <v/>
      </c>
      <c r="AM171" s="242" t="str">
        <f t="shared" si="172"/>
        <v/>
      </c>
      <c r="AN171" s="199" t="str">
        <f t="shared" si="184"/>
        <v/>
      </c>
      <c r="AO171" s="199" t="str">
        <f t="shared" si="167"/>
        <v/>
      </c>
      <c r="AP171" s="199" t="str">
        <f t="shared" si="174"/>
        <v/>
      </c>
      <c r="AQ171" s="199" t="str">
        <f t="shared" si="180"/>
        <v/>
      </c>
      <c r="AR171" s="199" t="str">
        <f t="shared" si="185"/>
        <v/>
      </c>
      <c r="AS171" s="199" t="str">
        <f t="shared" si="169"/>
        <v/>
      </c>
      <c r="AT171" s="199" t="str">
        <f t="shared" si="170"/>
        <v/>
      </c>
      <c r="AU171" s="199" t="str">
        <f t="shared" si="175"/>
        <v/>
      </c>
      <c r="AV171" s="199" t="str">
        <f t="shared" si="182"/>
        <v/>
      </c>
      <c r="AW171" s="199" t="str">
        <f t="shared" si="187"/>
        <v/>
      </c>
      <c r="AX171" s="199">
        <v>1</v>
      </c>
      <c r="AY171" s="199" t="str">
        <f t="shared" si="186"/>
        <v/>
      </c>
    </row>
    <row r="172" spans="1:51" x14ac:dyDescent="0.3">
      <c r="A172" s="191">
        <v>170</v>
      </c>
      <c r="B172" s="224" t="s">
        <v>132</v>
      </c>
      <c r="C172" s="120" t="s">
        <v>27</v>
      </c>
      <c r="D172" s="138">
        <v>2013</v>
      </c>
      <c r="E172" s="124">
        <v>41421</v>
      </c>
      <c r="F172" s="198">
        <f t="shared" si="139"/>
        <v>5</v>
      </c>
      <c r="G172" s="198" t="str">
        <f t="shared" si="140"/>
        <v>52013</v>
      </c>
      <c r="H172" s="198" t="str">
        <f t="shared" si="141"/>
        <v>mayo</v>
      </c>
      <c r="I172" s="114">
        <f>VLOOKUP(B172,'Base de Datos'!$E$7:$W$271,14,0)</f>
        <v>0</v>
      </c>
      <c r="J172" s="200">
        <f t="shared" si="142"/>
        <v>1900</v>
      </c>
      <c r="K172" s="199">
        <f t="shared" si="143"/>
        <v>1</v>
      </c>
      <c r="L172" s="199" t="str">
        <f t="shared" si="144"/>
        <v>11900</v>
      </c>
      <c r="M172" s="199" t="str">
        <f t="shared" si="145"/>
        <v>enero</v>
      </c>
      <c r="N172" s="199">
        <f t="shared" ca="1" si="146"/>
        <v>44228</v>
      </c>
      <c r="O172" s="242" t="str">
        <f t="shared" ca="1" si="147"/>
        <v>SI</v>
      </c>
      <c r="P172" s="242" t="str">
        <f t="shared" si="156"/>
        <v/>
      </c>
      <c r="Q172" s="242" t="str">
        <f t="shared" si="148"/>
        <v/>
      </c>
      <c r="R172" s="242" t="str">
        <f t="shared" si="149"/>
        <v/>
      </c>
      <c r="S172" s="242" t="str">
        <f t="shared" si="150"/>
        <v/>
      </c>
      <c r="T172" s="242" t="str">
        <f t="shared" si="151"/>
        <v/>
      </c>
      <c r="U172" s="242" t="str">
        <f t="shared" si="152"/>
        <v/>
      </c>
      <c r="V172" s="242" t="str">
        <f t="shared" si="158"/>
        <v/>
      </c>
      <c r="W172" s="242" t="str">
        <f t="shared" si="153"/>
        <v/>
      </c>
      <c r="X172" s="242" t="str">
        <f t="shared" si="154"/>
        <v/>
      </c>
      <c r="Y172" s="242" t="str">
        <f t="shared" si="157"/>
        <v/>
      </c>
      <c r="Z172" s="242" t="str">
        <f t="shared" si="155"/>
        <v/>
      </c>
      <c r="AA172" s="242" t="str">
        <f t="shared" si="173"/>
        <v/>
      </c>
      <c r="AB172" s="242" t="str">
        <f t="shared" si="165"/>
        <v/>
      </c>
      <c r="AC172" s="242" t="str">
        <f t="shared" si="171"/>
        <v/>
      </c>
      <c r="AD172" s="242" t="str">
        <f t="shared" si="178"/>
        <v/>
      </c>
      <c r="AE172" s="242" t="str">
        <f t="shared" si="181"/>
        <v/>
      </c>
      <c r="AF172" s="242" t="str">
        <f t="shared" si="188"/>
        <v/>
      </c>
      <c r="AG172" s="242" t="str">
        <f t="shared" si="133"/>
        <v/>
      </c>
      <c r="AH172" s="242" t="str">
        <f t="shared" si="136"/>
        <v/>
      </c>
      <c r="AI172" s="242" t="str">
        <f t="shared" si="179"/>
        <v/>
      </c>
      <c r="AJ172" s="242" t="str">
        <f t="shared" si="183"/>
        <v/>
      </c>
      <c r="AK172" s="242" t="str">
        <f t="shared" si="166"/>
        <v/>
      </c>
      <c r="AL172" s="242" t="str">
        <f t="shared" si="168"/>
        <v/>
      </c>
      <c r="AM172" s="242" t="str">
        <f t="shared" si="172"/>
        <v/>
      </c>
      <c r="AN172" s="199" t="str">
        <f t="shared" si="184"/>
        <v/>
      </c>
      <c r="AO172" s="199" t="str">
        <f t="shared" si="167"/>
        <v/>
      </c>
      <c r="AP172" s="199" t="str">
        <f t="shared" si="174"/>
        <v/>
      </c>
      <c r="AQ172" s="199" t="str">
        <f t="shared" si="180"/>
        <v/>
      </c>
      <c r="AR172" s="199" t="str">
        <f t="shared" si="185"/>
        <v/>
      </c>
      <c r="AS172" s="199" t="str">
        <f t="shared" si="169"/>
        <v/>
      </c>
      <c r="AT172" s="199" t="str">
        <f t="shared" si="170"/>
        <v/>
      </c>
      <c r="AU172" s="199" t="str">
        <f t="shared" si="175"/>
        <v/>
      </c>
      <c r="AV172" s="199" t="str">
        <f t="shared" si="182"/>
        <v/>
      </c>
      <c r="AW172" s="199" t="str">
        <f t="shared" si="187"/>
        <v/>
      </c>
      <c r="AX172" s="199">
        <v>1</v>
      </c>
      <c r="AY172" s="199" t="str">
        <f t="shared" si="186"/>
        <v/>
      </c>
    </row>
    <row r="173" spans="1:51" x14ac:dyDescent="0.3">
      <c r="A173" s="191">
        <v>171</v>
      </c>
      <c r="B173" s="225" t="s">
        <v>266</v>
      </c>
      <c r="C173" s="120" t="s">
        <v>1029</v>
      </c>
      <c r="D173" s="139">
        <v>2014</v>
      </c>
      <c r="E173" s="124">
        <v>41725</v>
      </c>
      <c r="F173" s="198">
        <f t="shared" si="139"/>
        <v>3</v>
      </c>
      <c r="G173" s="198" t="str">
        <f t="shared" si="140"/>
        <v>32014</v>
      </c>
      <c r="H173" s="198" t="str">
        <f t="shared" si="141"/>
        <v>marzo</v>
      </c>
      <c r="I173" s="114">
        <f>VLOOKUP(B173,'Base de Datos'!$E$7:$W$271,14,0)</f>
        <v>0</v>
      </c>
      <c r="J173" s="200">
        <f t="shared" si="142"/>
        <v>1900</v>
      </c>
      <c r="K173" s="199">
        <f t="shared" si="143"/>
        <v>1</v>
      </c>
      <c r="L173" s="199" t="str">
        <f t="shared" si="144"/>
        <v>11900</v>
      </c>
      <c r="M173" s="199" t="str">
        <f t="shared" si="145"/>
        <v>enero</v>
      </c>
      <c r="N173" s="199">
        <f t="shared" ca="1" si="146"/>
        <v>44228</v>
      </c>
      <c r="O173" s="242" t="str">
        <f t="shared" ca="1" si="147"/>
        <v>SI</v>
      </c>
      <c r="P173" s="242" t="str">
        <f t="shared" si="156"/>
        <v/>
      </c>
      <c r="Q173" s="242" t="str">
        <f t="shared" si="148"/>
        <v/>
      </c>
      <c r="R173" s="242" t="str">
        <f t="shared" si="149"/>
        <v/>
      </c>
      <c r="S173" s="242" t="str">
        <f t="shared" si="150"/>
        <v/>
      </c>
      <c r="T173" s="242" t="str">
        <f t="shared" si="151"/>
        <v/>
      </c>
      <c r="U173" s="242" t="str">
        <f t="shared" si="152"/>
        <v/>
      </c>
      <c r="V173" s="242" t="str">
        <f t="shared" si="158"/>
        <v/>
      </c>
      <c r="W173" s="242" t="str">
        <f t="shared" si="153"/>
        <v/>
      </c>
      <c r="X173" s="242" t="str">
        <f t="shared" si="154"/>
        <v/>
      </c>
      <c r="Y173" s="242" t="str">
        <f t="shared" si="157"/>
        <v/>
      </c>
      <c r="Z173" s="242" t="str">
        <f t="shared" si="155"/>
        <v/>
      </c>
      <c r="AA173" s="242" t="str">
        <f t="shared" si="173"/>
        <v/>
      </c>
      <c r="AB173" s="242" t="str">
        <f t="shared" si="165"/>
        <v/>
      </c>
      <c r="AC173" s="242" t="str">
        <f t="shared" si="171"/>
        <v/>
      </c>
      <c r="AD173" s="242" t="str">
        <f t="shared" si="178"/>
        <v/>
      </c>
      <c r="AE173" s="242" t="str">
        <f t="shared" si="181"/>
        <v/>
      </c>
      <c r="AF173" s="242" t="str">
        <f t="shared" si="188"/>
        <v/>
      </c>
      <c r="AG173" s="242" t="str">
        <f t="shared" si="133"/>
        <v/>
      </c>
      <c r="AH173" s="242" t="str">
        <f t="shared" si="136"/>
        <v/>
      </c>
      <c r="AI173" s="242" t="str">
        <f t="shared" si="179"/>
        <v/>
      </c>
      <c r="AJ173" s="242" t="str">
        <f t="shared" si="183"/>
        <v/>
      </c>
      <c r="AK173" s="242" t="str">
        <f t="shared" si="166"/>
        <v/>
      </c>
      <c r="AL173" s="242" t="str">
        <f t="shared" si="168"/>
        <v/>
      </c>
      <c r="AM173" s="242" t="str">
        <f t="shared" si="172"/>
        <v/>
      </c>
      <c r="AN173" s="199" t="str">
        <f t="shared" si="184"/>
        <v/>
      </c>
      <c r="AO173" s="199" t="str">
        <f t="shared" si="167"/>
        <v/>
      </c>
      <c r="AP173" s="199" t="str">
        <f t="shared" si="174"/>
        <v/>
      </c>
      <c r="AQ173" s="199" t="str">
        <f t="shared" si="180"/>
        <v/>
      </c>
      <c r="AR173" s="199" t="str">
        <f t="shared" si="185"/>
        <v/>
      </c>
      <c r="AS173" s="199" t="str">
        <f t="shared" si="169"/>
        <v/>
      </c>
      <c r="AT173" s="199" t="str">
        <f t="shared" si="170"/>
        <v/>
      </c>
      <c r="AU173" s="199" t="str">
        <f t="shared" si="175"/>
        <v/>
      </c>
      <c r="AV173" s="199" t="str">
        <f t="shared" si="182"/>
        <v/>
      </c>
      <c r="AW173" s="199" t="str">
        <f t="shared" si="187"/>
        <v/>
      </c>
      <c r="AX173" s="199">
        <v>1</v>
      </c>
      <c r="AY173" s="199" t="str">
        <f t="shared" si="186"/>
        <v/>
      </c>
    </row>
    <row r="174" spans="1:51" x14ac:dyDescent="0.3">
      <c r="A174" s="191">
        <v>172</v>
      </c>
      <c r="B174" s="236" t="str">
        <f>+'Base de Datos'!E248</f>
        <v>140330-0-2014</v>
      </c>
      <c r="C174" s="212" t="str">
        <f>+'Base de Datos'!F248</f>
        <v>SOLUCIONES INTEGRALES DE OFICINAS      SAS</v>
      </c>
      <c r="D174" s="212">
        <f>YEAR(E174)</f>
        <v>2014</v>
      </c>
      <c r="E174" s="213">
        <f>+'Base de Datos'!M248</f>
        <v>41939</v>
      </c>
      <c r="F174" s="198">
        <f t="shared" si="139"/>
        <v>10</v>
      </c>
      <c r="G174" s="198" t="str">
        <f t="shared" si="140"/>
        <v>102014</v>
      </c>
      <c r="H174" s="198" t="str">
        <f t="shared" si="141"/>
        <v>octubre</v>
      </c>
      <c r="I174" s="114">
        <f>VLOOKUP(B174,'Base de Datos'!$E$7:$W$271,14,0)</f>
        <v>0</v>
      </c>
      <c r="J174" s="200">
        <f t="shared" si="142"/>
        <v>1900</v>
      </c>
      <c r="K174" s="199">
        <f t="shared" si="143"/>
        <v>1</v>
      </c>
      <c r="L174" s="199" t="str">
        <f t="shared" si="144"/>
        <v>11900</v>
      </c>
      <c r="M174" s="199" t="str">
        <f t="shared" si="145"/>
        <v>enero</v>
      </c>
      <c r="N174" s="199">
        <f t="shared" ca="1" si="146"/>
        <v>44228</v>
      </c>
      <c r="O174" s="242" t="str">
        <f t="shared" ca="1" si="147"/>
        <v>SI</v>
      </c>
      <c r="P174" s="242" t="str">
        <f t="shared" si="156"/>
        <v/>
      </c>
      <c r="Q174" s="242" t="str">
        <f t="shared" si="148"/>
        <v/>
      </c>
      <c r="R174" s="242" t="str">
        <f t="shared" si="149"/>
        <v/>
      </c>
      <c r="S174" s="242" t="str">
        <f t="shared" si="150"/>
        <v/>
      </c>
      <c r="T174" s="242" t="str">
        <f t="shared" si="151"/>
        <v/>
      </c>
      <c r="U174" s="242" t="str">
        <f t="shared" si="152"/>
        <v/>
      </c>
      <c r="V174" s="242" t="str">
        <f t="shared" si="158"/>
        <v/>
      </c>
      <c r="W174" s="242" t="str">
        <f t="shared" si="153"/>
        <v/>
      </c>
      <c r="X174" s="242" t="str">
        <f t="shared" si="154"/>
        <v/>
      </c>
      <c r="Y174" s="242" t="str">
        <f t="shared" si="157"/>
        <v/>
      </c>
      <c r="Z174" s="242" t="str">
        <f t="shared" si="155"/>
        <v/>
      </c>
      <c r="AA174" s="242" t="str">
        <f t="shared" si="173"/>
        <v/>
      </c>
      <c r="AB174" s="242" t="str">
        <f t="shared" si="165"/>
        <v/>
      </c>
      <c r="AC174" s="242" t="str">
        <f t="shared" si="171"/>
        <v/>
      </c>
      <c r="AD174" s="242" t="str">
        <f t="shared" si="178"/>
        <v/>
      </c>
      <c r="AE174" s="242" t="str">
        <f t="shared" si="181"/>
        <v/>
      </c>
      <c r="AF174" s="242" t="str">
        <f t="shared" si="188"/>
        <v/>
      </c>
      <c r="AG174" s="242" t="str">
        <f t="shared" si="133"/>
        <v/>
      </c>
      <c r="AH174" s="242" t="str">
        <f t="shared" si="136"/>
        <v/>
      </c>
      <c r="AI174" s="242" t="str">
        <f t="shared" si="179"/>
        <v/>
      </c>
      <c r="AJ174" s="242" t="str">
        <f t="shared" si="183"/>
        <v/>
      </c>
      <c r="AK174" s="242" t="str">
        <f t="shared" si="166"/>
        <v/>
      </c>
      <c r="AL174" s="242" t="str">
        <f t="shared" si="168"/>
        <v/>
      </c>
      <c r="AM174" s="242" t="str">
        <f t="shared" si="172"/>
        <v/>
      </c>
      <c r="AN174" s="199" t="str">
        <f t="shared" si="184"/>
        <v/>
      </c>
      <c r="AO174" s="199" t="str">
        <f t="shared" si="167"/>
        <v/>
      </c>
      <c r="AP174" s="199" t="str">
        <f t="shared" si="174"/>
        <v/>
      </c>
      <c r="AQ174" s="199" t="str">
        <f t="shared" si="180"/>
        <v/>
      </c>
      <c r="AR174" s="199" t="str">
        <f t="shared" si="185"/>
        <v/>
      </c>
      <c r="AS174" s="199" t="str">
        <f t="shared" si="169"/>
        <v/>
      </c>
      <c r="AT174" s="199" t="str">
        <f t="shared" si="170"/>
        <v/>
      </c>
      <c r="AU174" s="199" t="str">
        <f t="shared" si="175"/>
        <v/>
      </c>
      <c r="AV174" s="199" t="str">
        <f t="shared" si="182"/>
        <v/>
      </c>
      <c r="AW174" s="199" t="str">
        <f t="shared" si="187"/>
        <v/>
      </c>
      <c r="AX174" s="199">
        <v>1</v>
      </c>
      <c r="AY174" s="199" t="str">
        <f t="shared" si="186"/>
        <v/>
      </c>
    </row>
    <row r="175" spans="1:51" ht="30.6" x14ac:dyDescent="0.3">
      <c r="A175" s="191">
        <v>173</v>
      </c>
      <c r="B175" s="225" t="s">
        <v>213</v>
      </c>
      <c r="C175" s="120" t="s">
        <v>1039</v>
      </c>
      <c r="D175" s="127">
        <v>2013</v>
      </c>
      <c r="E175" s="124">
        <v>41580</v>
      </c>
      <c r="F175" s="198">
        <f t="shared" si="139"/>
        <v>11</v>
      </c>
      <c r="G175" s="198" t="str">
        <f t="shared" si="140"/>
        <v>112013</v>
      </c>
      <c r="H175" s="198" t="str">
        <f t="shared" si="141"/>
        <v>noviembre</v>
      </c>
      <c r="I175" s="114">
        <f>VLOOKUP(B175,'Base de Datos'!$E$7:$W$271,14,0)</f>
        <v>1</v>
      </c>
      <c r="J175" s="200">
        <f t="shared" si="142"/>
        <v>1900</v>
      </c>
      <c r="K175" s="199">
        <f t="shared" si="143"/>
        <v>1</v>
      </c>
      <c r="L175" s="199" t="str">
        <f t="shared" si="144"/>
        <v>11900</v>
      </c>
      <c r="M175" s="199" t="str">
        <f t="shared" si="145"/>
        <v>enero</v>
      </c>
      <c r="N175" s="199">
        <f t="shared" ca="1" si="146"/>
        <v>44227</v>
      </c>
      <c r="O175" s="242" t="str">
        <f t="shared" ca="1" si="147"/>
        <v>SI</v>
      </c>
      <c r="P175" s="242" t="str">
        <f t="shared" si="156"/>
        <v/>
      </c>
      <c r="Q175" s="242" t="str">
        <f t="shared" si="148"/>
        <v/>
      </c>
      <c r="R175" s="242" t="str">
        <f t="shared" si="149"/>
        <v/>
      </c>
      <c r="S175" s="242" t="str">
        <f t="shared" si="150"/>
        <v/>
      </c>
      <c r="T175" s="242" t="str">
        <f t="shared" si="151"/>
        <v/>
      </c>
      <c r="U175" s="242" t="str">
        <f t="shared" si="152"/>
        <v/>
      </c>
      <c r="V175" s="242" t="str">
        <f t="shared" si="158"/>
        <v/>
      </c>
      <c r="W175" s="242" t="str">
        <f t="shared" si="153"/>
        <v/>
      </c>
      <c r="X175" s="242" t="str">
        <f t="shared" si="154"/>
        <v/>
      </c>
      <c r="Y175" s="242" t="str">
        <f t="shared" si="157"/>
        <v/>
      </c>
      <c r="Z175" s="242" t="str">
        <f t="shared" si="155"/>
        <v/>
      </c>
      <c r="AA175" s="242" t="str">
        <f t="shared" si="173"/>
        <v/>
      </c>
      <c r="AB175" s="242" t="str">
        <f t="shared" si="165"/>
        <v/>
      </c>
      <c r="AC175" s="242" t="str">
        <f t="shared" si="171"/>
        <v/>
      </c>
      <c r="AD175" s="242" t="str">
        <f t="shared" si="178"/>
        <v/>
      </c>
      <c r="AE175" s="242" t="str">
        <f t="shared" si="181"/>
        <v/>
      </c>
      <c r="AF175" s="242" t="str">
        <f t="shared" si="188"/>
        <v/>
      </c>
      <c r="AG175" s="242" t="str">
        <f t="shared" si="133"/>
        <v/>
      </c>
      <c r="AH175" s="242" t="str">
        <f t="shared" si="136"/>
        <v/>
      </c>
      <c r="AI175" s="242" t="str">
        <f t="shared" si="179"/>
        <v/>
      </c>
      <c r="AJ175" s="242" t="str">
        <f t="shared" si="183"/>
        <v/>
      </c>
      <c r="AK175" s="242" t="str">
        <f t="shared" ref="AK175:AK206" si="189">IF(AND(E175&lt;$AK$2,I175&gt;$AK$2),"1","")</f>
        <v/>
      </c>
      <c r="AL175" s="242" t="str">
        <f t="shared" si="168"/>
        <v/>
      </c>
      <c r="AM175" s="242" t="str">
        <f t="shared" si="172"/>
        <v/>
      </c>
      <c r="AN175" s="199" t="str">
        <f t="shared" si="184"/>
        <v/>
      </c>
      <c r="AO175" s="199" t="str">
        <f t="shared" ref="AO175:AO206" si="190">IF(AND(E175&lt;$AO$2,I175&gt;$AO$2),"1","")</f>
        <v/>
      </c>
      <c r="AP175" s="199" t="str">
        <f t="shared" si="174"/>
        <v/>
      </c>
      <c r="AQ175" s="199" t="str">
        <f t="shared" si="180"/>
        <v/>
      </c>
      <c r="AR175" s="199" t="str">
        <f t="shared" si="185"/>
        <v/>
      </c>
      <c r="AS175" s="199" t="str">
        <f t="shared" si="169"/>
        <v/>
      </c>
      <c r="AT175" s="199" t="str">
        <f t="shared" si="170"/>
        <v/>
      </c>
      <c r="AU175" s="199" t="str">
        <f t="shared" si="175"/>
        <v/>
      </c>
      <c r="AV175" s="199" t="str">
        <f t="shared" si="182"/>
        <v/>
      </c>
      <c r="AW175" s="199" t="str">
        <f t="shared" si="187"/>
        <v/>
      </c>
      <c r="AX175" s="199" t="str">
        <f t="shared" ref="AX175:AX206" si="191">IF(AND(E175&lt;$AX$2,I175&gt;$AX$2),"1","")</f>
        <v/>
      </c>
      <c r="AY175" s="199">
        <v>1</v>
      </c>
    </row>
    <row r="176" spans="1:51" ht="20.399999999999999" x14ac:dyDescent="0.3">
      <c r="A176" s="191">
        <v>174</v>
      </c>
      <c r="B176" s="225" t="s">
        <v>218</v>
      </c>
      <c r="C176" s="120" t="s">
        <v>219</v>
      </c>
      <c r="D176" s="127">
        <v>2013</v>
      </c>
      <c r="E176" s="124">
        <v>41621</v>
      </c>
      <c r="F176" s="198">
        <f t="shared" si="139"/>
        <v>12</v>
      </c>
      <c r="G176" s="198" t="str">
        <f t="shared" si="140"/>
        <v>122013</v>
      </c>
      <c r="H176" s="198" t="str">
        <f t="shared" si="141"/>
        <v>diciembre</v>
      </c>
      <c r="I176" s="114">
        <f>VLOOKUP(B176,'Base de Datos'!$E$7:$W$271,14,0)</f>
        <v>1</v>
      </c>
      <c r="J176" s="200">
        <f t="shared" si="142"/>
        <v>1900</v>
      </c>
      <c r="K176" s="199">
        <f t="shared" si="143"/>
        <v>1</v>
      </c>
      <c r="L176" s="199" t="str">
        <f t="shared" si="144"/>
        <v>11900</v>
      </c>
      <c r="M176" s="199" t="str">
        <f t="shared" si="145"/>
        <v>enero</v>
      </c>
      <c r="N176" s="199">
        <f t="shared" ca="1" si="146"/>
        <v>44227</v>
      </c>
      <c r="O176" s="242" t="str">
        <f t="shared" ca="1" si="147"/>
        <v>SI</v>
      </c>
      <c r="P176" s="242" t="str">
        <f t="shared" si="156"/>
        <v/>
      </c>
      <c r="Q176" s="242" t="str">
        <f t="shared" si="148"/>
        <v/>
      </c>
      <c r="R176" s="242" t="str">
        <f t="shared" si="149"/>
        <v/>
      </c>
      <c r="S176" s="242" t="str">
        <f t="shared" si="150"/>
        <v/>
      </c>
      <c r="T176" s="242" t="str">
        <f t="shared" si="151"/>
        <v/>
      </c>
      <c r="U176" s="242" t="str">
        <f t="shared" si="152"/>
        <v/>
      </c>
      <c r="V176" s="242" t="str">
        <f t="shared" si="158"/>
        <v/>
      </c>
      <c r="W176" s="242" t="str">
        <f t="shared" si="153"/>
        <v/>
      </c>
      <c r="X176" s="242" t="str">
        <f t="shared" si="154"/>
        <v/>
      </c>
      <c r="Y176" s="242" t="str">
        <f t="shared" si="157"/>
        <v/>
      </c>
      <c r="Z176" s="242" t="str">
        <f t="shared" si="155"/>
        <v/>
      </c>
      <c r="AA176" s="242" t="str">
        <f t="shared" si="173"/>
        <v/>
      </c>
      <c r="AB176" s="242" t="str">
        <f t="shared" si="165"/>
        <v/>
      </c>
      <c r="AC176" s="242" t="str">
        <f t="shared" si="171"/>
        <v/>
      </c>
      <c r="AD176" s="242" t="str">
        <f t="shared" si="178"/>
        <v/>
      </c>
      <c r="AE176" s="242" t="str">
        <f t="shared" si="181"/>
        <v/>
      </c>
      <c r="AF176" s="242" t="str">
        <f t="shared" si="188"/>
        <v/>
      </c>
      <c r="AG176" s="242" t="str">
        <f t="shared" si="133"/>
        <v/>
      </c>
      <c r="AH176" s="242" t="str">
        <f t="shared" si="136"/>
        <v/>
      </c>
      <c r="AI176" s="242" t="str">
        <f t="shared" si="179"/>
        <v/>
      </c>
      <c r="AJ176" s="242" t="str">
        <f t="shared" si="183"/>
        <v/>
      </c>
      <c r="AK176" s="242" t="str">
        <f t="shared" si="189"/>
        <v/>
      </c>
      <c r="AL176" s="242" t="str">
        <f t="shared" ref="AL176:AL207" si="192">IF(AND(E176&lt;$AL$2,I176&gt;$AL$2),"1","")</f>
        <v/>
      </c>
      <c r="AM176" s="242" t="str">
        <f t="shared" si="172"/>
        <v/>
      </c>
      <c r="AN176" s="199" t="str">
        <f t="shared" si="184"/>
        <v/>
      </c>
      <c r="AO176" s="199" t="str">
        <f t="shared" si="190"/>
        <v/>
      </c>
      <c r="AP176" s="199" t="str">
        <f t="shared" si="174"/>
        <v/>
      </c>
      <c r="AQ176" s="199" t="str">
        <f t="shared" si="180"/>
        <v/>
      </c>
      <c r="AR176" s="199" t="str">
        <f t="shared" si="185"/>
        <v/>
      </c>
      <c r="AS176" s="199" t="str">
        <f t="shared" ref="AS176:AS207" si="193">IF(AND(E176&lt;$AS$2,I176&gt;$AS$2),"1","")</f>
        <v/>
      </c>
      <c r="AT176" s="199" t="str">
        <f t="shared" si="170"/>
        <v/>
      </c>
      <c r="AU176" s="199" t="str">
        <f t="shared" si="175"/>
        <v/>
      </c>
      <c r="AV176" s="199" t="str">
        <f t="shared" si="182"/>
        <v/>
      </c>
      <c r="AW176" s="199" t="str">
        <f t="shared" si="187"/>
        <v/>
      </c>
      <c r="AX176" s="199" t="str">
        <f t="shared" si="191"/>
        <v/>
      </c>
      <c r="AY176" s="199" t="str">
        <f>IF(AND(E176&lt;$AY$2,I176&gt;$AY$2),"1","")</f>
        <v/>
      </c>
    </row>
    <row r="177" spans="1:51" x14ac:dyDescent="0.3">
      <c r="A177" s="191">
        <v>175</v>
      </c>
      <c r="B177" s="225" t="s">
        <v>216</v>
      </c>
      <c r="C177" s="120" t="s">
        <v>217</v>
      </c>
      <c r="D177" s="127">
        <v>2013</v>
      </c>
      <c r="E177" s="124">
        <v>41621</v>
      </c>
      <c r="F177" s="198">
        <f t="shared" si="139"/>
        <v>12</v>
      </c>
      <c r="G177" s="198" t="str">
        <f t="shared" si="140"/>
        <v>122013</v>
      </c>
      <c r="H177" s="198" t="str">
        <f t="shared" si="141"/>
        <v>diciembre</v>
      </c>
      <c r="I177" s="114">
        <f>VLOOKUP(B177,'Base de Datos'!$E$7:$W$271,14,0)</f>
        <v>0</v>
      </c>
      <c r="J177" s="200">
        <f t="shared" si="142"/>
        <v>1900</v>
      </c>
      <c r="K177" s="199">
        <f t="shared" si="143"/>
        <v>1</v>
      </c>
      <c r="L177" s="199" t="str">
        <f t="shared" si="144"/>
        <v>11900</v>
      </c>
      <c r="M177" s="199" t="str">
        <f t="shared" si="145"/>
        <v>enero</v>
      </c>
      <c r="N177" s="199">
        <f t="shared" ca="1" si="146"/>
        <v>44228</v>
      </c>
      <c r="O177" s="242" t="str">
        <f t="shared" ca="1" si="147"/>
        <v>SI</v>
      </c>
      <c r="P177" s="242" t="str">
        <f t="shared" si="156"/>
        <v/>
      </c>
      <c r="Q177" s="242" t="str">
        <f t="shared" si="148"/>
        <v/>
      </c>
      <c r="R177" s="242" t="str">
        <f t="shared" si="149"/>
        <v/>
      </c>
      <c r="S177" s="242" t="str">
        <f t="shared" si="150"/>
        <v/>
      </c>
      <c r="T177" s="242" t="str">
        <f t="shared" si="151"/>
        <v/>
      </c>
      <c r="U177" s="242" t="str">
        <f t="shared" si="152"/>
        <v/>
      </c>
      <c r="V177" s="242" t="str">
        <f t="shared" si="158"/>
        <v/>
      </c>
      <c r="W177" s="242" t="str">
        <f t="shared" si="153"/>
        <v/>
      </c>
      <c r="X177" s="242" t="str">
        <f t="shared" si="154"/>
        <v/>
      </c>
      <c r="Y177" s="242" t="str">
        <f t="shared" si="157"/>
        <v/>
      </c>
      <c r="Z177" s="242" t="str">
        <f t="shared" si="155"/>
        <v/>
      </c>
      <c r="AA177" s="242" t="str">
        <f t="shared" si="173"/>
        <v/>
      </c>
      <c r="AB177" s="242" t="str">
        <f t="shared" si="165"/>
        <v/>
      </c>
      <c r="AC177" s="242" t="str">
        <f t="shared" si="171"/>
        <v/>
      </c>
      <c r="AD177" s="242" t="str">
        <f t="shared" si="178"/>
        <v/>
      </c>
      <c r="AE177" s="242" t="str">
        <f t="shared" si="181"/>
        <v/>
      </c>
      <c r="AF177" s="242" t="str">
        <f t="shared" si="188"/>
        <v/>
      </c>
      <c r="AG177" s="242" t="str">
        <f t="shared" si="133"/>
        <v/>
      </c>
      <c r="AH177" s="242" t="str">
        <f t="shared" si="136"/>
        <v/>
      </c>
      <c r="AI177" s="242" t="str">
        <f t="shared" si="179"/>
        <v/>
      </c>
      <c r="AJ177" s="242" t="str">
        <f t="shared" si="183"/>
        <v/>
      </c>
      <c r="AK177" s="242" t="str">
        <f t="shared" si="189"/>
        <v/>
      </c>
      <c r="AL177" s="242" t="str">
        <f t="shared" si="192"/>
        <v/>
      </c>
      <c r="AM177" s="242" t="str">
        <f t="shared" si="172"/>
        <v/>
      </c>
      <c r="AN177" s="199" t="str">
        <f t="shared" si="184"/>
        <v/>
      </c>
      <c r="AO177" s="199" t="str">
        <f t="shared" si="190"/>
        <v/>
      </c>
      <c r="AP177" s="199" t="str">
        <f t="shared" si="174"/>
        <v/>
      </c>
      <c r="AQ177" s="199" t="str">
        <f t="shared" si="180"/>
        <v/>
      </c>
      <c r="AR177" s="199" t="str">
        <f t="shared" si="185"/>
        <v/>
      </c>
      <c r="AS177" s="199" t="str">
        <f t="shared" si="193"/>
        <v/>
      </c>
      <c r="AT177" s="199" t="str">
        <f t="shared" si="170"/>
        <v/>
      </c>
      <c r="AU177" s="199" t="str">
        <f t="shared" si="175"/>
        <v/>
      </c>
      <c r="AV177" s="199" t="str">
        <f t="shared" si="182"/>
        <v/>
      </c>
      <c r="AW177" s="199" t="str">
        <f t="shared" si="187"/>
        <v/>
      </c>
      <c r="AX177" s="199" t="str">
        <f t="shared" si="191"/>
        <v/>
      </c>
      <c r="AY177" s="199" t="str">
        <f>IF(AND(E177&lt;$AY$2,I177&gt;$AY$2),"1","")</f>
        <v/>
      </c>
    </row>
    <row r="178" spans="1:51" x14ac:dyDescent="0.3">
      <c r="A178" s="191">
        <v>176</v>
      </c>
      <c r="B178" s="225" t="s">
        <v>1156</v>
      </c>
      <c r="C178" s="120" t="s">
        <v>186</v>
      </c>
      <c r="D178" s="139">
        <v>2014</v>
      </c>
      <c r="E178" s="124">
        <v>41907</v>
      </c>
      <c r="F178" s="198">
        <f t="shared" si="139"/>
        <v>9</v>
      </c>
      <c r="G178" s="198" t="str">
        <f t="shared" si="140"/>
        <v>92014</v>
      </c>
      <c r="H178" s="198" t="str">
        <f t="shared" si="141"/>
        <v>septiembre</v>
      </c>
      <c r="I178" s="114">
        <f>VLOOKUP(B178,'Base de Datos'!$E$7:$W$271,14,0)</f>
        <v>0</v>
      </c>
      <c r="J178" s="200">
        <f t="shared" si="142"/>
        <v>1900</v>
      </c>
      <c r="K178" s="199">
        <f t="shared" si="143"/>
        <v>1</v>
      </c>
      <c r="L178" s="199" t="str">
        <f t="shared" si="144"/>
        <v>11900</v>
      </c>
      <c r="M178" s="199" t="str">
        <f t="shared" si="145"/>
        <v>enero</v>
      </c>
      <c r="N178" s="199">
        <f t="shared" ca="1" si="146"/>
        <v>44228</v>
      </c>
      <c r="O178" s="242" t="str">
        <f t="shared" ca="1" si="147"/>
        <v>SI</v>
      </c>
      <c r="P178" s="242" t="str">
        <f t="shared" si="156"/>
        <v/>
      </c>
      <c r="Q178" s="242" t="str">
        <f t="shared" si="148"/>
        <v/>
      </c>
      <c r="R178" s="242" t="str">
        <f t="shared" si="149"/>
        <v/>
      </c>
      <c r="S178" s="242" t="str">
        <f t="shared" si="150"/>
        <v/>
      </c>
      <c r="T178" s="242" t="str">
        <f t="shared" si="151"/>
        <v/>
      </c>
      <c r="U178" s="242" t="str">
        <f t="shared" si="152"/>
        <v/>
      </c>
      <c r="V178" s="242" t="str">
        <f t="shared" si="158"/>
        <v/>
      </c>
      <c r="W178" s="242" t="str">
        <f t="shared" si="153"/>
        <v/>
      </c>
      <c r="X178" s="242" t="str">
        <f t="shared" si="154"/>
        <v/>
      </c>
      <c r="Y178" s="242" t="str">
        <f t="shared" si="157"/>
        <v/>
      </c>
      <c r="Z178" s="242" t="str">
        <f t="shared" si="155"/>
        <v/>
      </c>
      <c r="AA178" s="242" t="str">
        <f t="shared" si="173"/>
        <v/>
      </c>
      <c r="AB178" s="242" t="str">
        <f t="shared" si="165"/>
        <v/>
      </c>
      <c r="AC178" s="242" t="str">
        <f t="shared" si="171"/>
        <v/>
      </c>
      <c r="AD178" s="242" t="str">
        <f t="shared" si="178"/>
        <v/>
      </c>
      <c r="AE178" s="242" t="str">
        <f t="shared" si="181"/>
        <v/>
      </c>
      <c r="AF178" s="242" t="str">
        <f t="shared" si="188"/>
        <v/>
      </c>
      <c r="AG178" s="242" t="str">
        <f t="shared" si="133"/>
        <v/>
      </c>
      <c r="AH178" s="242" t="str">
        <f t="shared" si="136"/>
        <v/>
      </c>
      <c r="AI178" s="242" t="str">
        <f t="shared" si="179"/>
        <v/>
      </c>
      <c r="AJ178" s="242" t="str">
        <f t="shared" si="183"/>
        <v/>
      </c>
      <c r="AK178" s="242" t="str">
        <f t="shared" si="189"/>
        <v/>
      </c>
      <c r="AL178" s="242" t="str">
        <f t="shared" si="192"/>
        <v/>
      </c>
      <c r="AM178" s="242" t="str">
        <f t="shared" si="172"/>
        <v/>
      </c>
      <c r="AN178" s="199" t="str">
        <f t="shared" si="184"/>
        <v/>
      </c>
      <c r="AO178" s="199" t="str">
        <f t="shared" si="190"/>
        <v/>
      </c>
      <c r="AP178" s="199" t="str">
        <f t="shared" si="174"/>
        <v/>
      </c>
      <c r="AQ178" s="199" t="str">
        <f t="shared" si="180"/>
        <v/>
      </c>
      <c r="AR178" s="199" t="str">
        <f t="shared" si="185"/>
        <v/>
      </c>
      <c r="AS178" s="199" t="str">
        <f t="shared" si="193"/>
        <v/>
      </c>
      <c r="AT178" s="199" t="str">
        <f t="shared" si="170"/>
        <v/>
      </c>
      <c r="AU178" s="199" t="str">
        <f t="shared" si="175"/>
        <v/>
      </c>
      <c r="AV178" s="199" t="str">
        <f t="shared" si="182"/>
        <v/>
      </c>
      <c r="AW178" s="199" t="str">
        <f t="shared" si="187"/>
        <v/>
      </c>
      <c r="AX178" s="199" t="str">
        <f t="shared" si="191"/>
        <v/>
      </c>
      <c r="AY178" s="199">
        <v>1</v>
      </c>
    </row>
    <row r="179" spans="1:51" ht="20.399999999999999" x14ac:dyDescent="0.3">
      <c r="A179" s="191">
        <v>177</v>
      </c>
      <c r="B179" s="234" t="s">
        <v>1118</v>
      </c>
      <c r="C179" s="184" t="s">
        <v>1119</v>
      </c>
      <c r="D179" s="139">
        <v>2014</v>
      </c>
      <c r="E179" s="24">
        <v>41928</v>
      </c>
      <c r="F179" s="198">
        <f t="shared" si="139"/>
        <v>10</v>
      </c>
      <c r="G179" s="198" t="str">
        <f t="shared" si="140"/>
        <v>102014</v>
      </c>
      <c r="H179" s="198" t="str">
        <f t="shared" si="141"/>
        <v>octubre</v>
      </c>
      <c r="I179" s="114">
        <f>VLOOKUP(B179,'Base de Datos'!$E$7:$W$271,14,0)</f>
        <v>0</v>
      </c>
      <c r="J179" s="200">
        <f t="shared" si="142"/>
        <v>1900</v>
      </c>
      <c r="K179" s="199">
        <f t="shared" si="143"/>
        <v>1</v>
      </c>
      <c r="L179" s="199" t="str">
        <f t="shared" si="144"/>
        <v>11900</v>
      </c>
      <c r="M179" s="199" t="str">
        <f t="shared" si="145"/>
        <v>enero</v>
      </c>
      <c r="N179" s="199">
        <f t="shared" ca="1" si="146"/>
        <v>44228</v>
      </c>
      <c r="O179" s="242" t="str">
        <f t="shared" ca="1" si="147"/>
        <v>SI</v>
      </c>
      <c r="P179" s="242" t="str">
        <f t="shared" si="156"/>
        <v/>
      </c>
      <c r="Q179" s="242" t="str">
        <f t="shared" si="148"/>
        <v/>
      </c>
      <c r="R179" s="242" t="str">
        <f t="shared" si="149"/>
        <v/>
      </c>
      <c r="S179" s="242" t="str">
        <f t="shared" si="150"/>
        <v/>
      </c>
      <c r="T179" s="242" t="str">
        <f t="shared" si="151"/>
        <v/>
      </c>
      <c r="U179" s="242" t="str">
        <f t="shared" si="152"/>
        <v/>
      </c>
      <c r="V179" s="242" t="str">
        <f t="shared" si="158"/>
        <v/>
      </c>
      <c r="W179" s="242" t="str">
        <f t="shared" si="153"/>
        <v/>
      </c>
      <c r="X179" s="242" t="str">
        <f t="shared" si="154"/>
        <v/>
      </c>
      <c r="Y179" s="242" t="str">
        <f t="shared" si="157"/>
        <v/>
      </c>
      <c r="Z179" s="242" t="str">
        <f t="shared" si="155"/>
        <v/>
      </c>
      <c r="AA179" s="242" t="str">
        <f t="shared" si="173"/>
        <v/>
      </c>
      <c r="AB179" s="242" t="str">
        <f t="shared" si="165"/>
        <v/>
      </c>
      <c r="AC179" s="242" t="str">
        <f t="shared" si="171"/>
        <v/>
      </c>
      <c r="AD179" s="242" t="str">
        <f t="shared" si="178"/>
        <v/>
      </c>
      <c r="AE179" s="242" t="str">
        <f t="shared" si="181"/>
        <v/>
      </c>
      <c r="AF179" s="242" t="str">
        <f t="shared" si="188"/>
        <v/>
      </c>
      <c r="AG179" s="242" t="str">
        <f t="shared" si="133"/>
        <v/>
      </c>
      <c r="AH179" s="242" t="str">
        <f t="shared" si="136"/>
        <v/>
      </c>
      <c r="AI179" s="242" t="str">
        <f t="shared" si="179"/>
        <v/>
      </c>
      <c r="AJ179" s="242" t="str">
        <f t="shared" si="183"/>
        <v/>
      </c>
      <c r="AK179" s="242" t="str">
        <f t="shared" si="189"/>
        <v/>
      </c>
      <c r="AL179" s="242" t="str">
        <f t="shared" si="192"/>
        <v/>
      </c>
      <c r="AM179" s="242" t="str">
        <f t="shared" si="172"/>
        <v/>
      </c>
      <c r="AN179" s="199" t="str">
        <f t="shared" si="184"/>
        <v/>
      </c>
      <c r="AO179" s="199" t="str">
        <f t="shared" si="190"/>
        <v/>
      </c>
      <c r="AP179" s="199" t="str">
        <f t="shared" si="174"/>
        <v/>
      </c>
      <c r="AQ179" s="199" t="str">
        <f t="shared" si="180"/>
        <v/>
      </c>
      <c r="AR179" s="199" t="str">
        <f t="shared" si="185"/>
        <v/>
      </c>
      <c r="AS179" s="199" t="str">
        <f t="shared" si="193"/>
        <v/>
      </c>
      <c r="AT179" s="199" t="str">
        <f t="shared" ref="AT179:AT210" si="194">IF(AND(E179&lt;$AT$2,I179&gt;$AT$2),"1","")</f>
        <v/>
      </c>
      <c r="AU179" s="199" t="str">
        <f t="shared" si="175"/>
        <v/>
      </c>
      <c r="AV179" s="199" t="str">
        <f t="shared" si="182"/>
        <v/>
      </c>
      <c r="AW179" s="199" t="str">
        <f t="shared" si="187"/>
        <v/>
      </c>
      <c r="AX179" s="199" t="str">
        <f t="shared" si="191"/>
        <v/>
      </c>
      <c r="AY179" s="199">
        <v>1</v>
      </c>
    </row>
    <row r="180" spans="1:51" x14ac:dyDescent="0.3">
      <c r="A180" s="191">
        <v>178</v>
      </c>
      <c r="B180" s="225" t="s">
        <v>232</v>
      </c>
      <c r="C180" s="120" t="s">
        <v>233</v>
      </c>
      <c r="D180" s="139">
        <v>2013</v>
      </c>
      <c r="E180" s="124">
        <v>41641</v>
      </c>
      <c r="F180" s="198">
        <f t="shared" si="139"/>
        <v>1</v>
      </c>
      <c r="G180" s="198" t="str">
        <f t="shared" si="140"/>
        <v>12013</v>
      </c>
      <c r="H180" s="198" t="str">
        <f t="shared" si="141"/>
        <v>enero</v>
      </c>
      <c r="I180" s="114">
        <f>VLOOKUP(B180,'Base de Datos'!$E$7:$W$271,14,0)</f>
        <v>0</v>
      </c>
      <c r="J180" s="200">
        <f t="shared" si="142"/>
        <v>1900</v>
      </c>
      <c r="K180" s="199">
        <f t="shared" si="143"/>
        <v>1</v>
      </c>
      <c r="L180" s="199" t="str">
        <f t="shared" si="144"/>
        <v>11900</v>
      </c>
      <c r="M180" s="199" t="str">
        <f t="shared" si="145"/>
        <v>enero</v>
      </c>
      <c r="N180" s="199">
        <f t="shared" ca="1" si="146"/>
        <v>44228</v>
      </c>
      <c r="O180" s="242" t="str">
        <f t="shared" ca="1" si="147"/>
        <v>SI</v>
      </c>
      <c r="P180" s="242" t="str">
        <f t="shared" si="156"/>
        <v/>
      </c>
      <c r="Q180" s="242" t="str">
        <f t="shared" si="148"/>
        <v/>
      </c>
      <c r="R180" s="242" t="str">
        <f t="shared" si="149"/>
        <v/>
      </c>
      <c r="S180" s="242" t="str">
        <f t="shared" si="150"/>
        <v/>
      </c>
      <c r="T180" s="242" t="str">
        <f t="shared" si="151"/>
        <v/>
      </c>
      <c r="U180" s="242" t="str">
        <f t="shared" si="152"/>
        <v/>
      </c>
      <c r="V180" s="242" t="str">
        <f t="shared" si="158"/>
        <v/>
      </c>
      <c r="W180" s="242" t="str">
        <f t="shared" si="153"/>
        <v/>
      </c>
      <c r="X180" s="242" t="str">
        <f t="shared" si="154"/>
        <v/>
      </c>
      <c r="Y180" s="242" t="str">
        <f t="shared" si="157"/>
        <v/>
      </c>
      <c r="Z180" s="242" t="str">
        <f t="shared" si="155"/>
        <v/>
      </c>
      <c r="AA180" s="242" t="str">
        <f t="shared" si="173"/>
        <v/>
      </c>
      <c r="AB180" s="242" t="str">
        <f t="shared" si="165"/>
        <v/>
      </c>
      <c r="AC180" s="242" t="str">
        <f t="shared" si="171"/>
        <v/>
      </c>
      <c r="AD180" s="242" t="str">
        <f t="shared" si="178"/>
        <v/>
      </c>
      <c r="AE180" s="242" t="str">
        <f t="shared" si="181"/>
        <v/>
      </c>
      <c r="AF180" s="242" t="str">
        <f t="shared" si="188"/>
        <v/>
      </c>
      <c r="AG180" s="242" t="str">
        <f t="shared" si="133"/>
        <v/>
      </c>
      <c r="AH180" s="242" t="str">
        <f t="shared" si="136"/>
        <v/>
      </c>
      <c r="AI180" s="242" t="str">
        <f t="shared" si="179"/>
        <v/>
      </c>
      <c r="AJ180" s="242" t="str">
        <f t="shared" si="183"/>
        <v/>
      </c>
      <c r="AK180" s="242" t="str">
        <f t="shared" si="189"/>
        <v/>
      </c>
      <c r="AL180" s="242" t="str">
        <f t="shared" si="192"/>
        <v/>
      </c>
      <c r="AM180" s="242" t="str">
        <f t="shared" si="172"/>
        <v/>
      </c>
      <c r="AN180" s="199" t="str">
        <f t="shared" si="184"/>
        <v/>
      </c>
      <c r="AO180" s="199" t="str">
        <f t="shared" si="190"/>
        <v/>
      </c>
      <c r="AP180" s="199" t="str">
        <f t="shared" si="174"/>
        <v/>
      </c>
      <c r="AQ180" s="199" t="str">
        <f t="shared" si="180"/>
        <v/>
      </c>
      <c r="AR180" s="199" t="str">
        <f t="shared" si="185"/>
        <v/>
      </c>
      <c r="AS180" s="199" t="str">
        <f t="shared" si="193"/>
        <v/>
      </c>
      <c r="AT180" s="199" t="str">
        <f t="shared" si="194"/>
        <v/>
      </c>
      <c r="AU180" s="199" t="str">
        <f t="shared" si="175"/>
        <v/>
      </c>
      <c r="AV180" s="199" t="str">
        <f t="shared" si="182"/>
        <v/>
      </c>
      <c r="AW180" s="199" t="str">
        <f t="shared" si="187"/>
        <v/>
      </c>
      <c r="AX180" s="199" t="str">
        <f t="shared" si="191"/>
        <v/>
      </c>
      <c r="AY180" s="199" t="str">
        <f>IF(AND(E180&lt;$AY$2,I180&gt;$AY$2),"1","")</f>
        <v/>
      </c>
    </row>
    <row r="181" spans="1:51" ht="20.399999999999999" x14ac:dyDescent="0.3">
      <c r="A181" s="191">
        <v>179</v>
      </c>
      <c r="B181" s="232" t="s">
        <v>254</v>
      </c>
      <c r="C181" s="129" t="s">
        <v>1032</v>
      </c>
      <c r="D181" s="139">
        <v>2014</v>
      </c>
      <c r="E181" s="133">
        <v>41701</v>
      </c>
      <c r="F181" s="198">
        <f t="shared" si="139"/>
        <v>3</v>
      </c>
      <c r="G181" s="198" t="str">
        <f t="shared" si="140"/>
        <v>32014</v>
      </c>
      <c r="H181" s="198" t="str">
        <f t="shared" si="141"/>
        <v>marzo</v>
      </c>
      <c r="I181" s="114">
        <f>VLOOKUP(B181,'Base de Datos'!$E$7:$W$271,14,0)</f>
        <v>0</v>
      </c>
      <c r="J181" s="200">
        <f t="shared" si="142"/>
        <v>1900</v>
      </c>
      <c r="K181" s="199">
        <f t="shared" si="143"/>
        <v>1</v>
      </c>
      <c r="L181" s="199" t="str">
        <f t="shared" si="144"/>
        <v>11900</v>
      </c>
      <c r="M181" s="199" t="str">
        <f t="shared" si="145"/>
        <v>enero</v>
      </c>
      <c r="N181" s="199">
        <f t="shared" ca="1" si="146"/>
        <v>44228</v>
      </c>
      <c r="O181" s="242" t="str">
        <f t="shared" ca="1" si="147"/>
        <v>SI</v>
      </c>
      <c r="P181" s="242" t="str">
        <f t="shared" si="156"/>
        <v/>
      </c>
      <c r="Q181" s="242" t="str">
        <f t="shared" si="148"/>
        <v/>
      </c>
      <c r="R181" s="242" t="str">
        <f t="shared" si="149"/>
        <v/>
      </c>
      <c r="S181" s="242" t="str">
        <f t="shared" si="150"/>
        <v/>
      </c>
      <c r="T181" s="242" t="str">
        <f t="shared" si="151"/>
        <v/>
      </c>
      <c r="U181" s="242" t="str">
        <f t="shared" si="152"/>
        <v/>
      </c>
      <c r="V181" s="242" t="str">
        <f t="shared" si="158"/>
        <v/>
      </c>
      <c r="W181" s="242" t="str">
        <f t="shared" si="153"/>
        <v/>
      </c>
      <c r="X181" s="242" t="str">
        <f t="shared" si="154"/>
        <v/>
      </c>
      <c r="Y181" s="242" t="str">
        <f t="shared" si="157"/>
        <v/>
      </c>
      <c r="Z181" s="242" t="str">
        <f t="shared" si="155"/>
        <v/>
      </c>
      <c r="AA181" s="242" t="str">
        <f t="shared" si="173"/>
        <v/>
      </c>
      <c r="AB181" s="242" t="str">
        <f t="shared" si="165"/>
        <v/>
      </c>
      <c r="AC181" s="242" t="str">
        <f t="shared" si="171"/>
        <v/>
      </c>
      <c r="AD181" s="242" t="str">
        <f t="shared" si="178"/>
        <v/>
      </c>
      <c r="AE181" s="242" t="str">
        <f t="shared" si="181"/>
        <v/>
      </c>
      <c r="AF181" s="242" t="str">
        <f t="shared" si="188"/>
        <v/>
      </c>
      <c r="AG181" s="242" t="str">
        <f t="shared" ref="AG181:AG244" si="195">IF(AND(E181&lt;$AG$2,I181&gt;$AG$2),"1","")</f>
        <v/>
      </c>
      <c r="AH181" s="242" t="str">
        <f t="shared" si="136"/>
        <v/>
      </c>
      <c r="AI181" s="242" t="str">
        <f t="shared" si="179"/>
        <v/>
      </c>
      <c r="AJ181" s="242" t="str">
        <f t="shared" si="183"/>
        <v/>
      </c>
      <c r="AK181" s="242" t="str">
        <f t="shared" si="189"/>
        <v/>
      </c>
      <c r="AL181" s="242" t="str">
        <f t="shared" si="192"/>
        <v/>
      </c>
      <c r="AM181" s="242" t="str">
        <f t="shared" ref="AM181:AM212" si="196">IF(AND(E181&lt;$AM$2,I181&gt;$AM$2),"1","")</f>
        <v/>
      </c>
      <c r="AN181" s="199" t="str">
        <f t="shared" si="184"/>
        <v/>
      </c>
      <c r="AO181" s="199" t="str">
        <f t="shared" si="190"/>
        <v/>
      </c>
      <c r="AP181" s="199" t="str">
        <f t="shared" si="174"/>
        <v/>
      </c>
      <c r="AQ181" s="199" t="str">
        <f t="shared" si="180"/>
        <v/>
      </c>
      <c r="AR181" s="199" t="str">
        <f t="shared" si="185"/>
        <v/>
      </c>
      <c r="AS181" s="199" t="str">
        <f t="shared" si="193"/>
        <v/>
      </c>
      <c r="AT181" s="199" t="str">
        <f t="shared" si="194"/>
        <v/>
      </c>
      <c r="AU181" s="199" t="str">
        <f t="shared" si="175"/>
        <v/>
      </c>
      <c r="AV181" s="199" t="str">
        <f t="shared" si="182"/>
        <v/>
      </c>
      <c r="AW181" s="199" t="str">
        <f t="shared" si="187"/>
        <v/>
      </c>
      <c r="AX181" s="199" t="str">
        <f t="shared" si="191"/>
        <v/>
      </c>
      <c r="AY181" s="199" t="str">
        <f>IF(AND(E181&lt;$AY$2,I181&gt;$AY$2),"1","")</f>
        <v/>
      </c>
    </row>
    <row r="182" spans="1:51" ht="20.399999999999999" x14ac:dyDescent="0.3">
      <c r="A182" s="191">
        <v>180</v>
      </c>
      <c r="B182" s="232" t="s">
        <v>256</v>
      </c>
      <c r="C182" s="129" t="s">
        <v>1163</v>
      </c>
      <c r="D182" s="139">
        <v>2014</v>
      </c>
      <c r="E182" s="133">
        <v>41677</v>
      </c>
      <c r="F182" s="198">
        <f t="shared" si="139"/>
        <v>2</v>
      </c>
      <c r="G182" s="198" t="str">
        <f t="shared" si="140"/>
        <v>22014</v>
      </c>
      <c r="H182" s="198" t="str">
        <f t="shared" si="141"/>
        <v>febrero</v>
      </c>
      <c r="I182" s="114">
        <f>VLOOKUP(B182,'Base de Datos'!$E$7:$W$271,14,0)</f>
        <v>2</v>
      </c>
      <c r="J182" s="200">
        <f t="shared" si="142"/>
        <v>1900</v>
      </c>
      <c r="K182" s="199">
        <f t="shared" si="143"/>
        <v>1</v>
      </c>
      <c r="L182" s="199" t="str">
        <f t="shared" si="144"/>
        <v>11900</v>
      </c>
      <c r="M182" s="199" t="str">
        <f t="shared" si="145"/>
        <v>enero</v>
      </c>
      <c r="N182" s="199">
        <f t="shared" ca="1" si="146"/>
        <v>44226</v>
      </c>
      <c r="O182" s="242" t="str">
        <f t="shared" ca="1" si="147"/>
        <v>SI</v>
      </c>
      <c r="P182" s="242" t="str">
        <f t="shared" si="156"/>
        <v/>
      </c>
      <c r="Q182" s="242" t="str">
        <f t="shared" si="148"/>
        <v/>
      </c>
      <c r="R182" s="242" t="str">
        <f t="shared" si="149"/>
        <v/>
      </c>
      <c r="S182" s="242" t="str">
        <f t="shared" si="150"/>
        <v/>
      </c>
      <c r="T182" s="242" t="str">
        <f t="shared" si="151"/>
        <v/>
      </c>
      <c r="U182" s="242" t="str">
        <f t="shared" si="152"/>
        <v/>
      </c>
      <c r="V182" s="242" t="str">
        <f t="shared" si="158"/>
        <v/>
      </c>
      <c r="W182" s="242" t="str">
        <f t="shared" si="153"/>
        <v/>
      </c>
      <c r="X182" s="242" t="str">
        <f t="shared" si="154"/>
        <v/>
      </c>
      <c r="Y182" s="242" t="str">
        <f t="shared" si="157"/>
        <v/>
      </c>
      <c r="Z182" s="242" t="str">
        <f t="shared" si="155"/>
        <v/>
      </c>
      <c r="AA182" s="242" t="str">
        <f t="shared" si="173"/>
        <v/>
      </c>
      <c r="AB182" s="242" t="str">
        <f t="shared" si="165"/>
        <v/>
      </c>
      <c r="AC182" s="242" t="str">
        <f t="shared" si="171"/>
        <v/>
      </c>
      <c r="AD182" s="242" t="str">
        <f t="shared" si="178"/>
        <v/>
      </c>
      <c r="AE182" s="242" t="str">
        <f t="shared" si="181"/>
        <v/>
      </c>
      <c r="AF182" s="242" t="str">
        <f t="shared" si="188"/>
        <v/>
      </c>
      <c r="AG182" s="242" t="str">
        <f t="shared" si="195"/>
        <v/>
      </c>
      <c r="AH182" s="242" t="str">
        <f t="shared" si="136"/>
        <v/>
      </c>
      <c r="AI182" s="242" t="str">
        <f t="shared" si="179"/>
        <v/>
      </c>
      <c r="AJ182" s="242" t="str">
        <f t="shared" si="183"/>
        <v/>
      </c>
      <c r="AK182" s="242" t="str">
        <f t="shared" si="189"/>
        <v/>
      </c>
      <c r="AL182" s="242" t="str">
        <f t="shared" si="192"/>
        <v/>
      </c>
      <c r="AM182" s="242" t="str">
        <f t="shared" si="196"/>
        <v/>
      </c>
      <c r="AN182" s="199" t="str">
        <f t="shared" si="184"/>
        <v/>
      </c>
      <c r="AO182" s="199" t="str">
        <f t="shared" si="190"/>
        <v/>
      </c>
      <c r="AP182" s="199" t="str">
        <f t="shared" si="174"/>
        <v/>
      </c>
      <c r="AQ182" s="199" t="str">
        <f t="shared" si="180"/>
        <v/>
      </c>
      <c r="AR182" s="199" t="str">
        <f t="shared" si="185"/>
        <v/>
      </c>
      <c r="AS182" s="199" t="str">
        <f t="shared" si="193"/>
        <v/>
      </c>
      <c r="AT182" s="199" t="str">
        <f t="shared" si="194"/>
        <v/>
      </c>
      <c r="AU182" s="199" t="str">
        <f t="shared" si="175"/>
        <v/>
      </c>
      <c r="AV182" s="199" t="str">
        <f t="shared" si="182"/>
        <v/>
      </c>
      <c r="AW182" s="199" t="str">
        <f t="shared" si="187"/>
        <v/>
      </c>
      <c r="AX182" s="199" t="str">
        <f t="shared" si="191"/>
        <v/>
      </c>
      <c r="AY182" s="199" t="str">
        <f>IF(AND(E182&lt;$AY$2,I182&gt;$AY$2),"1","")</f>
        <v/>
      </c>
    </row>
    <row r="183" spans="1:51" x14ac:dyDescent="0.3">
      <c r="A183" s="191">
        <v>181</v>
      </c>
      <c r="B183" s="232" t="s">
        <v>256</v>
      </c>
      <c r="C183" s="182" t="s">
        <v>1095</v>
      </c>
      <c r="D183" s="139">
        <v>2014</v>
      </c>
      <c r="E183" s="133">
        <v>41885</v>
      </c>
      <c r="F183" s="198">
        <f t="shared" si="139"/>
        <v>9</v>
      </c>
      <c r="G183" s="198" t="str">
        <f t="shared" si="140"/>
        <v>92014</v>
      </c>
      <c r="H183" s="198" t="str">
        <f t="shared" si="141"/>
        <v>septiembre</v>
      </c>
      <c r="I183" s="114">
        <f>VLOOKUP(B183,'Base de Datos'!$E$7:$W$271,14,0)</f>
        <v>2</v>
      </c>
      <c r="J183" s="200">
        <f t="shared" si="142"/>
        <v>1900</v>
      </c>
      <c r="K183" s="199">
        <f t="shared" si="143"/>
        <v>1</v>
      </c>
      <c r="L183" s="199" t="str">
        <f t="shared" si="144"/>
        <v>11900</v>
      </c>
      <c r="M183" s="199" t="str">
        <f t="shared" si="145"/>
        <v>enero</v>
      </c>
      <c r="N183" s="199">
        <f t="shared" ca="1" si="146"/>
        <v>44226</v>
      </c>
      <c r="O183" s="242" t="str">
        <f t="shared" ca="1" si="147"/>
        <v>SI</v>
      </c>
      <c r="P183" s="242" t="str">
        <f t="shared" si="156"/>
        <v/>
      </c>
      <c r="Q183" s="242" t="str">
        <f t="shared" si="148"/>
        <v/>
      </c>
      <c r="R183" s="242" t="str">
        <f t="shared" si="149"/>
        <v/>
      </c>
      <c r="S183" s="242" t="str">
        <f t="shared" si="150"/>
        <v/>
      </c>
      <c r="T183" s="242" t="str">
        <f t="shared" si="151"/>
        <v/>
      </c>
      <c r="U183" s="242" t="str">
        <f t="shared" si="152"/>
        <v/>
      </c>
      <c r="V183" s="242" t="str">
        <f t="shared" si="158"/>
        <v/>
      </c>
      <c r="W183" s="242" t="str">
        <f t="shared" si="153"/>
        <v/>
      </c>
      <c r="X183" s="242" t="str">
        <f t="shared" si="154"/>
        <v/>
      </c>
      <c r="Y183" s="242" t="str">
        <f t="shared" si="157"/>
        <v/>
      </c>
      <c r="Z183" s="242" t="str">
        <f t="shared" si="155"/>
        <v/>
      </c>
      <c r="AA183" s="242" t="str">
        <f t="shared" si="173"/>
        <v/>
      </c>
      <c r="AB183" s="242" t="str">
        <f t="shared" si="165"/>
        <v/>
      </c>
      <c r="AC183" s="242" t="str">
        <f t="shared" si="171"/>
        <v/>
      </c>
      <c r="AD183" s="242" t="str">
        <f t="shared" si="178"/>
        <v/>
      </c>
      <c r="AE183" s="242" t="str">
        <f t="shared" si="181"/>
        <v/>
      </c>
      <c r="AF183" s="242" t="str">
        <f t="shared" si="188"/>
        <v/>
      </c>
      <c r="AG183" s="242" t="str">
        <f t="shared" si="195"/>
        <v/>
      </c>
      <c r="AH183" s="242" t="str">
        <f t="shared" si="136"/>
        <v/>
      </c>
      <c r="AI183" s="242" t="str">
        <f t="shared" si="179"/>
        <v/>
      </c>
      <c r="AJ183" s="242" t="str">
        <f t="shared" si="183"/>
        <v/>
      </c>
      <c r="AK183" s="242" t="str">
        <f t="shared" si="189"/>
        <v/>
      </c>
      <c r="AL183" s="242" t="str">
        <f t="shared" si="192"/>
        <v/>
      </c>
      <c r="AM183" s="242" t="str">
        <f t="shared" si="196"/>
        <v/>
      </c>
      <c r="AN183" s="199" t="str">
        <f t="shared" si="184"/>
        <v/>
      </c>
      <c r="AO183" s="199" t="str">
        <f t="shared" si="190"/>
        <v/>
      </c>
      <c r="AP183" s="199" t="str">
        <f t="shared" si="174"/>
        <v/>
      </c>
      <c r="AQ183" s="199" t="str">
        <f t="shared" si="180"/>
        <v/>
      </c>
      <c r="AR183" s="199" t="str">
        <f t="shared" si="185"/>
        <v/>
      </c>
      <c r="AS183" s="199" t="str">
        <f t="shared" si="193"/>
        <v/>
      </c>
      <c r="AT183" s="199" t="str">
        <f t="shared" si="194"/>
        <v/>
      </c>
      <c r="AU183" s="199" t="str">
        <f t="shared" si="175"/>
        <v/>
      </c>
      <c r="AV183" s="199" t="str">
        <f t="shared" si="182"/>
        <v/>
      </c>
      <c r="AW183" s="199" t="str">
        <f t="shared" si="187"/>
        <v/>
      </c>
      <c r="AX183" s="199" t="str">
        <f t="shared" si="191"/>
        <v/>
      </c>
      <c r="AY183" s="199">
        <v>1</v>
      </c>
    </row>
    <row r="184" spans="1:51" ht="20.399999999999999" x14ac:dyDescent="0.3">
      <c r="A184" s="191">
        <v>182</v>
      </c>
      <c r="B184" s="225" t="s">
        <v>171</v>
      </c>
      <c r="C184" s="120" t="s">
        <v>1033</v>
      </c>
      <c r="D184" s="139">
        <v>2014</v>
      </c>
      <c r="E184" s="124">
        <v>41675</v>
      </c>
      <c r="F184" s="198">
        <f t="shared" si="139"/>
        <v>2</v>
      </c>
      <c r="G184" s="198" t="str">
        <f t="shared" si="140"/>
        <v>22014</v>
      </c>
      <c r="H184" s="198" t="str">
        <f t="shared" si="141"/>
        <v>febrero</v>
      </c>
      <c r="I184" s="114">
        <f>VLOOKUP(B184,'Base de Datos'!$E$7:$W$271,14,0)</f>
        <v>0</v>
      </c>
      <c r="J184" s="200">
        <f t="shared" si="142"/>
        <v>1900</v>
      </c>
      <c r="K184" s="199">
        <f t="shared" si="143"/>
        <v>1</v>
      </c>
      <c r="L184" s="199" t="str">
        <f t="shared" si="144"/>
        <v>11900</v>
      </c>
      <c r="M184" s="199" t="str">
        <f t="shared" si="145"/>
        <v>enero</v>
      </c>
      <c r="N184" s="199">
        <f t="shared" ca="1" si="146"/>
        <v>44228</v>
      </c>
      <c r="O184" s="242" t="str">
        <f t="shared" ca="1" si="147"/>
        <v>SI</v>
      </c>
      <c r="P184" s="242" t="str">
        <f t="shared" si="156"/>
        <v/>
      </c>
      <c r="Q184" s="242" t="str">
        <f t="shared" si="148"/>
        <v/>
      </c>
      <c r="R184" s="242" t="str">
        <f t="shared" si="149"/>
        <v/>
      </c>
      <c r="S184" s="242" t="str">
        <f t="shared" si="150"/>
        <v/>
      </c>
      <c r="T184" s="242" t="str">
        <f t="shared" si="151"/>
        <v/>
      </c>
      <c r="U184" s="242" t="str">
        <f t="shared" si="152"/>
        <v/>
      </c>
      <c r="V184" s="242" t="str">
        <f t="shared" si="158"/>
        <v/>
      </c>
      <c r="W184" s="242" t="str">
        <f t="shared" si="153"/>
        <v/>
      </c>
      <c r="X184" s="242" t="str">
        <f t="shared" si="154"/>
        <v/>
      </c>
      <c r="Y184" s="242" t="str">
        <f t="shared" si="157"/>
        <v/>
      </c>
      <c r="Z184" s="242" t="str">
        <f t="shared" si="155"/>
        <v/>
      </c>
      <c r="AA184" s="242" t="str">
        <f t="shared" si="173"/>
        <v/>
      </c>
      <c r="AB184" s="242" t="str">
        <f t="shared" si="165"/>
        <v/>
      </c>
      <c r="AC184" s="242" t="str">
        <f t="shared" si="171"/>
        <v/>
      </c>
      <c r="AD184" s="242" t="str">
        <f t="shared" si="178"/>
        <v/>
      </c>
      <c r="AE184" s="242" t="str">
        <f t="shared" si="181"/>
        <v/>
      </c>
      <c r="AF184" s="242" t="str">
        <f t="shared" si="188"/>
        <v/>
      </c>
      <c r="AG184" s="242" t="str">
        <f t="shared" si="195"/>
        <v/>
      </c>
      <c r="AH184" s="242" t="str">
        <f t="shared" si="136"/>
        <v/>
      </c>
      <c r="AI184" s="242" t="str">
        <f t="shared" si="179"/>
        <v/>
      </c>
      <c r="AJ184" s="242" t="str">
        <f t="shared" si="183"/>
        <v/>
      </c>
      <c r="AK184" s="242" t="str">
        <f t="shared" si="189"/>
        <v/>
      </c>
      <c r="AL184" s="242" t="str">
        <f t="shared" si="192"/>
        <v/>
      </c>
      <c r="AM184" s="242" t="str">
        <f t="shared" si="196"/>
        <v/>
      </c>
      <c r="AN184" s="199" t="str">
        <f t="shared" si="184"/>
        <v/>
      </c>
      <c r="AO184" s="199" t="str">
        <f t="shared" si="190"/>
        <v/>
      </c>
      <c r="AP184" s="199" t="str">
        <f t="shared" si="174"/>
        <v/>
      </c>
      <c r="AQ184" s="199" t="str">
        <f t="shared" si="180"/>
        <v/>
      </c>
      <c r="AR184" s="199" t="str">
        <f t="shared" si="185"/>
        <v/>
      </c>
      <c r="AS184" s="199" t="str">
        <f t="shared" si="193"/>
        <v/>
      </c>
      <c r="AT184" s="199" t="str">
        <f t="shared" si="194"/>
        <v/>
      </c>
      <c r="AU184" s="199" t="str">
        <f t="shared" si="175"/>
        <v/>
      </c>
      <c r="AV184" s="199" t="str">
        <f t="shared" si="182"/>
        <v/>
      </c>
      <c r="AW184" s="199" t="str">
        <f t="shared" si="187"/>
        <v/>
      </c>
      <c r="AX184" s="199" t="str">
        <f t="shared" si="191"/>
        <v/>
      </c>
      <c r="AY184" s="199" t="str">
        <f t="shared" ref="AY184:AY215" si="197">IF(AND(E184&lt;$AY$2,I184&gt;$AY$2),"1","")</f>
        <v/>
      </c>
    </row>
    <row r="185" spans="1:51" x14ac:dyDescent="0.3">
      <c r="A185" s="191">
        <v>183</v>
      </c>
      <c r="B185" s="232" t="s">
        <v>257</v>
      </c>
      <c r="C185" s="129" t="s">
        <v>1034</v>
      </c>
      <c r="D185" s="139">
        <v>2014</v>
      </c>
      <c r="E185" s="133">
        <v>41675</v>
      </c>
      <c r="F185" s="198">
        <f t="shared" si="139"/>
        <v>2</v>
      </c>
      <c r="G185" s="198" t="str">
        <f t="shared" si="140"/>
        <v>22014</v>
      </c>
      <c r="H185" s="198" t="str">
        <f t="shared" si="141"/>
        <v>febrero</v>
      </c>
      <c r="I185" s="114">
        <f>VLOOKUP(B185,'Base de Datos'!$E$7:$W$271,14,0)</f>
        <v>0</v>
      </c>
      <c r="J185" s="200">
        <f t="shared" si="142"/>
        <v>1900</v>
      </c>
      <c r="K185" s="199">
        <f t="shared" si="143"/>
        <v>1</v>
      </c>
      <c r="L185" s="199" t="str">
        <f t="shared" si="144"/>
        <v>11900</v>
      </c>
      <c r="M185" s="199" t="str">
        <f t="shared" si="145"/>
        <v>enero</v>
      </c>
      <c r="N185" s="199">
        <f t="shared" ca="1" si="146"/>
        <v>44228</v>
      </c>
      <c r="O185" s="242" t="str">
        <f t="shared" ca="1" si="147"/>
        <v>SI</v>
      </c>
      <c r="P185" s="242" t="str">
        <f t="shared" si="156"/>
        <v/>
      </c>
      <c r="Q185" s="242" t="str">
        <f t="shared" si="148"/>
        <v/>
      </c>
      <c r="R185" s="242" t="str">
        <f t="shared" si="149"/>
        <v/>
      </c>
      <c r="S185" s="242" t="str">
        <f t="shared" si="150"/>
        <v/>
      </c>
      <c r="T185" s="242" t="str">
        <f t="shared" si="151"/>
        <v/>
      </c>
      <c r="U185" s="242" t="str">
        <f t="shared" si="152"/>
        <v/>
      </c>
      <c r="V185" s="242" t="str">
        <f t="shared" si="158"/>
        <v/>
      </c>
      <c r="W185" s="242" t="str">
        <f t="shared" si="153"/>
        <v/>
      </c>
      <c r="X185" s="242" t="str">
        <f t="shared" si="154"/>
        <v/>
      </c>
      <c r="Y185" s="242" t="str">
        <f t="shared" si="157"/>
        <v/>
      </c>
      <c r="Z185" s="242" t="str">
        <f t="shared" si="155"/>
        <v/>
      </c>
      <c r="AA185" s="242" t="str">
        <f t="shared" si="173"/>
        <v/>
      </c>
      <c r="AB185" s="242" t="str">
        <f t="shared" si="165"/>
        <v/>
      </c>
      <c r="AC185" s="242" t="str">
        <f t="shared" si="171"/>
        <v/>
      </c>
      <c r="AD185" s="242" t="str">
        <f t="shared" si="178"/>
        <v/>
      </c>
      <c r="AE185" s="242" t="str">
        <f t="shared" si="181"/>
        <v/>
      </c>
      <c r="AF185" s="242" t="str">
        <f t="shared" si="188"/>
        <v/>
      </c>
      <c r="AG185" s="242" t="str">
        <f t="shared" si="195"/>
        <v/>
      </c>
      <c r="AH185" s="242" t="str">
        <f t="shared" si="136"/>
        <v/>
      </c>
      <c r="AI185" s="242" t="str">
        <f t="shared" si="179"/>
        <v/>
      </c>
      <c r="AJ185" s="242" t="str">
        <f t="shared" si="183"/>
        <v/>
      </c>
      <c r="AK185" s="242" t="str">
        <f t="shared" si="189"/>
        <v/>
      </c>
      <c r="AL185" s="242" t="str">
        <f t="shared" si="192"/>
        <v/>
      </c>
      <c r="AM185" s="242" t="str">
        <f t="shared" si="196"/>
        <v/>
      </c>
      <c r="AN185" s="199" t="str">
        <f t="shared" si="184"/>
        <v/>
      </c>
      <c r="AO185" s="199" t="str">
        <f t="shared" si="190"/>
        <v/>
      </c>
      <c r="AP185" s="199" t="str">
        <f t="shared" si="174"/>
        <v/>
      </c>
      <c r="AQ185" s="199" t="str">
        <f t="shared" si="180"/>
        <v/>
      </c>
      <c r="AR185" s="199" t="str">
        <f t="shared" si="185"/>
        <v/>
      </c>
      <c r="AS185" s="199" t="str">
        <f t="shared" si="193"/>
        <v/>
      </c>
      <c r="AT185" s="199" t="str">
        <f t="shared" si="194"/>
        <v/>
      </c>
      <c r="AU185" s="199" t="str">
        <f t="shared" si="175"/>
        <v/>
      </c>
      <c r="AV185" s="199" t="str">
        <f t="shared" si="182"/>
        <v/>
      </c>
      <c r="AW185" s="199" t="str">
        <f t="shared" si="187"/>
        <v/>
      </c>
      <c r="AX185" s="199" t="str">
        <f t="shared" si="191"/>
        <v/>
      </c>
      <c r="AY185" s="199" t="str">
        <f t="shared" si="197"/>
        <v/>
      </c>
    </row>
    <row r="186" spans="1:51" ht="20.399999999999999" x14ac:dyDescent="0.3">
      <c r="A186" s="191">
        <v>184</v>
      </c>
      <c r="B186" s="225" t="s">
        <v>245</v>
      </c>
      <c r="C186" s="120" t="s">
        <v>226</v>
      </c>
      <c r="D186" s="139">
        <v>2014</v>
      </c>
      <c r="E186" s="124">
        <v>41675</v>
      </c>
      <c r="F186" s="198">
        <f t="shared" si="139"/>
        <v>2</v>
      </c>
      <c r="G186" s="198" t="str">
        <f t="shared" si="140"/>
        <v>22014</v>
      </c>
      <c r="H186" s="198" t="str">
        <f t="shared" si="141"/>
        <v>febrero</v>
      </c>
      <c r="I186" s="114">
        <f>VLOOKUP(B186,'Base de Datos'!$E$7:$W$271,14,0)</f>
        <v>0</v>
      </c>
      <c r="J186" s="200">
        <f t="shared" si="142"/>
        <v>1900</v>
      </c>
      <c r="K186" s="199">
        <f t="shared" si="143"/>
        <v>1</v>
      </c>
      <c r="L186" s="199" t="str">
        <f t="shared" si="144"/>
        <v>11900</v>
      </c>
      <c r="M186" s="199" t="str">
        <f t="shared" si="145"/>
        <v>enero</v>
      </c>
      <c r="N186" s="199">
        <f t="shared" ca="1" si="146"/>
        <v>44228</v>
      </c>
      <c r="O186" s="242" t="str">
        <f t="shared" ca="1" si="147"/>
        <v>SI</v>
      </c>
      <c r="P186" s="242" t="str">
        <f t="shared" si="156"/>
        <v/>
      </c>
      <c r="Q186" s="242" t="str">
        <f t="shared" si="148"/>
        <v/>
      </c>
      <c r="R186" s="242" t="str">
        <f t="shared" si="149"/>
        <v/>
      </c>
      <c r="S186" s="242" t="str">
        <f t="shared" si="150"/>
        <v/>
      </c>
      <c r="T186" s="242" t="str">
        <f t="shared" si="151"/>
        <v/>
      </c>
      <c r="U186" s="242" t="str">
        <f t="shared" si="152"/>
        <v/>
      </c>
      <c r="V186" s="242" t="str">
        <f t="shared" si="158"/>
        <v/>
      </c>
      <c r="W186" s="242" t="str">
        <f t="shared" si="153"/>
        <v/>
      </c>
      <c r="X186" s="242" t="str">
        <f t="shared" si="154"/>
        <v/>
      </c>
      <c r="Y186" s="242" t="str">
        <f t="shared" si="157"/>
        <v/>
      </c>
      <c r="Z186" s="242" t="str">
        <f t="shared" si="155"/>
        <v/>
      </c>
      <c r="AA186" s="242" t="str">
        <f t="shared" si="173"/>
        <v/>
      </c>
      <c r="AB186" s="242" t="str">
        <f t="shared" si="165"/>
        <v/>
      </c>
      <c r="AC186" s="242" t="str">
        <f t="shared" si="171"/>
        <v/>
      </c>
      <c r="AD186" s="242" t="str">
        <f t="shared" si="178"/>
        <v/>
      </c>
      <c r="AE186" s="242" t="str">
        <f t="shared" si="181"/>
        <v/>
      </c>
      <c r="AF186" s="242" t="str">
        <f t="shared" si="188"/>
        <v/>
      </c>
      <c r="AG186" s="242" t="str">
        <f t="shared" si="195"/>
        <v/>
      </c>
      <c r="AH186" s="242" t="str">
        <f t="shared" si="136"/>
        <v/>
      </c>
      <c r="AI186" s="242" t="str">
        <f t="shared" si="179"/>
        <v/>
      </c>
      <c r="AJ186" s="242" t="str">
        <f t="shared" si="183"/>
        <v/>
      </c>
      <c r="AK186" s="242" t="str">
        <f t="shared" si="189"/>
        <v/>
      </c>
      <c r="AL186" s="242" t="str">
        <f t="shared" si="192"/>
        <v/>
      </c>
      <c r="AM186" s="242" t="str">
        <f t="shared" si="196"/>
        <v/>
      </c>
      <c r="AN186" s="199" t="str">
        <f t="shared" si="184"/>
        <v/>
      </c>
      <c r="AO186" s="199" t="str">
        <f t="shared" si="190"/>
        <v/>
      </c>
      <c r="AP186" s="199" t="str">
        <f t="shared" ref="AP186:AP217" si="198">IF(AND(E186&lt;$AP$2,I186&gt;$AP$2),"1","")</f>
        <v/>
      </c>
      <c r="AQ186" s="199" t="str">
        <f t="shared" si="180"/>
        <v/>
      </c>
      <c r="AR186" s="199" t="str">
        <f t="shared" si="185"/>
        <v/>
      </c>
      <c r="AS186" s="199" t="str">
        <f t="shared" si="193"/>
        <v/>
      </c>
      <c r="AT186" s="199" t="str">
        <f t="shared" si="194"/>
        <v/>
      </c>
      <c r="AU186" s="199" t="str">
        <f t="shared" ref="AU186:AU217" si="199">IF(AND(E186&lt;$AU$2,I186&gt;$AU$2),"1","")</f>
        <v/>
      </c>
      <c r="AV186" s="199" t="str">
        <f t="shared" si="182"/>
        <v/>
      </c>
      <c r="AW186" s="199" t="str">
        <f t="shared" si="187"/>
        <v/>
      </c>
      <c r="AX186" s="199" t="str">
        <f t="shared" si="191"/>
        <v/>
      </c>
      <c r="AY186" s="199" t="str">
        <f t="shared" si="197"/>
        <v/>
      </c>
    </row>
    <row r="187" spans="1:51" ht="20.399999999999999" x14ac:dyDescent="0.3">
      <c r="A187" s="191">
        <v>185</v>
      </c>
      <c r="B187" s="225" t="s">
        <v>1107</v>
      </c>
      <c r="C187" s="120" t="s">
        <v>222</v>
      </c>
      <c r="D187" s="139">
        <v>2014</v>
      </c>
      <c r="E187" s="124">
        <v>41675</v>
      </c>
      <c r="F187" s="198">
        <f t="shared" si="139"/>
        <v>2</v>
      </c>
      <c r="G187" s="198" t="str">
        <f t="shared" si="140"/>
        <v>22014</v>
      </c>
      <c r="H187" s="198" t="str">
        <f t="shared" si="141"/>
        <v>febrero</v>
      </c>
      <c r="I187" s="114">
        <f>VLOOKUP(B187,'Base de Datos'!$E$7:$W$271,14,0)</f>
        <v>0</v>
      </c>
      <c r="J187" s="200">
        <f t="shared" si="142"/>
        <v>1900</v>
      </c>
      <c r="K187" s="199">
        <f t="shared" si="143"/>
        <v>1</v>
      </c>
      <c r="L187" s="199" t="str">
        <f t="shared" si="144"/>
        <v>11900</v>
      </c>
      <c r="M187" s="199" t="str">
        <f t="shared" si="145"/>
        <v>enero</v>
      </c>
      <c r="N187" s="199">
        <f t="shared" ca="1" si="146"/>
        <v>44228</v>
      </c>
      <c r="O187" s="242" t="str">
        <f t="shared" ca="1" si="147"/>
        <v>SI</v>
      </c>
      <c r="P187" s="242" t="str">
        <f t="shared" si="156"/>
        <v/>
      </c>
      <c r="Q187" s="242" t="str">
        <f t="shared" si="148"/>
        <v/>
      </c>
      <c r="R187" s="242" t="str">
        <f t="shared" si="149"/>
        <v/>
      </c>
      <c r="S187" s="242" t="str">
        <f t="shared" si="150"/>
        <v/>
      </c>
      <c r="T187" s="242" t="str">
        <f t="shared" si="151"/>
        <v/>
      </c>
      <c r="U187" s="242" t="str">
        <f t="shared" si="152"/>
        <v/>
      </c>
      <c r="V187" s="242" t="str">
        <f t="shared" si="158"/>
        <v/>
      </c>
      <c r="W187" s="242" t="str">
        <f t="shared" si="153"/>
        <v/>
      </c>
      <c r="X187" s="242" t="str">
        <f t="shared" si="154"/>
        <v/>
      </c>
      <c r="Y187" s="242" t="str">
        <f t="shared" si="157"/>
        <v/>
      </c>
      <c r="Z187" s="242" t="str">
        <f t="shared" si="155"/>
        <v/>
      </c>
      <c r="AA187" s="242" t="str">
        <f t="shared" si="173"/>
        <v/>
      </c>
      <c r="AB187" s="242" t="str">
        <f t="shared" si="165"/>
        <v/>
      </c>
      <c r="AC187" s="242" t="str">
        <f t="shared" si="171"/>
        <v/>
      </c>
      <c r="AD187" s="242" t="str">
        <f t="shared" si="178"/>
        <v/>
      </c>
      <c r="AE187" s="242" t="str">
        <f t="shared" si="181"/>
        <v/>
      </c>
      <c r="AF187" s="242" t="str">
        <f t="shared" si="188"/>
        <v/>
      </c>
      <c r="AG187" s="242" t="str">
        <f t="shared" si="195"/>
        <v/>
      </c>
      <c r="AH187" s="242" t="str">
        <f t="shared" ref="AH187:AH250" si="200">IF(AND(E187&lt;$AH$2,I187&gt;$AH$2),"1","")</f>
        <v/>
      </c>
      <c r="AI187" s="242" t="str">
        <f t="shared" si="179"/>
        <v/>
      </c>
      <c r="AJ187" s="242" t="str">
        <f t="shared" si="183"/>
        <v/>
      </c>
      <c r="AK187" s="242" t="str">
        <f t="shared" si="189"/>
        <v/>
      </c>
      <c r="AL187" s="242" t="str">
        <f t="shared" si="192"/>
        <v/>
      </c>
      <c r="AM187" s="242" t="str">
        <f t="shared" si="196"/>
        <v/>
      </c>
      <c r="AN187" s="199" t="str">
        <f t="shared" si="184"/>
        <v/>
      </c>
      <c r="AO187" s="199" t="str">
        <f t="shared" si="190"/>
        <v/>
      </c>
      <c r="AP187" s="199" t="str">
        <f t="shared" si="198"/>
        <v/>
      </c>
      <c r="AQ187" s="199" t="str">
        <f t="shared" si="180"/>
        <v/>
      </c>
      <c r="AR187" s="199" t="str">
        <f t="shared" si="185"/>
        <v/>
      </c>
      <c r="AS187" s="199" t="str">
        <f t="shared" si="193"/>
        <v/>
      </c>
      <c r="AT187" s="199" t="str">
        <f t="shared" si="194"/>
        <v/>
      </c>
      <c r="AU187" s="199" t="str">
        <f t="shared" si="199"/>
        <v/>
      </c>
      <c r="AV187" s="199" t="str">
        <f t="shared" si="182"/>
        <v/>
      </c>
      <c r="AW187" s="199" t="str">
        <f t="shared" si="187"/>
        <v/>
      </c>
      <c r="AX187" s="199" t="str">
        <f t="shared" si="191"/>
        <v/>
      </c>
      <c r="AY187" s="199" t="str">
        <f t="shared" si="197"/>
        <v/>
      </c>
    </row>
    <row r="188" spans="1:51" ht="20.399999999999999" x14ac:dyDescent="0.3">
      <c r="A188" s="191">
        <v>186</v>
      </c>
      <c r="B188" s="225" t="s">
        <v>247</v>
      </c>
      <c r="C188" s="120" t="s">
        <v>1042</v>
      </c>
      <c r="D188" s="139">
        <v>2014</v>
      </c>
      <c r="E188" s="124">
        <v>41675</v>
      </c>
      <c r="F188" s="198">
        <f t="shared" si="139"/>
        <v>2</v>
      </c>
      <c r="G188" s="198" t="str">
        <f t="shared" si="140"/>
        <v>22014</v>
      </c>
      <c r="H188" s="198" t="str">
        <f t="shared" si="141"/>
        <v>febrero</v>
      </c>
      <c r="I188" s="114">
        <f>VLOOKUP(B188,'Base de Datos'!$E$7:$W$271,14,0)</f>
        <v>0</v>
      </c>
      <c r="J188" s="200">
        <f t="shared" si="142"/>
        <v>1900</v>
      </c>
      <c r="K188" s="199">
        <f t="shared" si="143"/>
        <v>1</v>
      </c>
      <c r="L188" s="199" t="str">
        <f t="shared" si="144"/>
        <v>11900</v>
      </c>
      <c r="M188" s="199" t="str">
        <f t="shared" si="145"/>
        <v>enero</v>
      </c>
      <c r="N188" s="199">
        <f t="shared" ca="1" si="146"/>
        <v>44228</v>
      </c>
      <c r="O188" s="242" t="str">
        <f t="shared" ca="1" si="147"/>
        <v>SI</v>
      </c>
      <c r="P188" s="242" t="str">
        <f t="shared" si="156"/>
        <v/>
      </c>
      <c r="Q188" s="242" t="str">
        <f t="shared" si="148"/>
        <v/>
      </c>
      <c r="R188" s="242" t="str">
        <f t="shared" si="149"/>
        <v/>
      </c>
      <c r="S188" s="242" t="str">
        <f t="shared" si="150"/>
        <v/>
      </c>
      <c r="T188" s="242" t="str">
        <f t="shared" si="151"/>
        <v/>
      </c>
      <c r="U188" s="242" t="str">
        <f t="shared" si="152"/>
        <v/>
      </c>
      <c r="V188" s="242" t="str">
        <f t="shared" si="158"/>
        <v/>
      </c>
      <c r="W188" s="242" t="str">
        <f t="shared" si="153"/>
        <v/>
      </c>
      <c r="X188" s="242" t="str">
        <f t="shared" si="154"/>
        <v/>
      </c>
      <c r="Y188" s="242" t="str">
        <f t="shared" si="157"/>
        <v/>
      </c>
      <c r="Z188" s="242" t="str">
        <f t="shared" si="155"/>
        <v/>
      </c>
      <c r="AA188" s="242" t="str">
        <f t="shared" si="173"/>
        <v/>
      </c>
      <c r="AB188" s="242" t="str">
        <f t="shared" si="165"/>
        <v/>
      </c>
      <c r="AC188" s="242" t="str">
        <f t="shared" si="171"/>
        <v/>
      </c>
      <c r="AD188" s="242" t="str">
        <f t="shared" si="178"/>
        <v/>
      </c>
      <c r="AE188" s="242" t="str">
        <f t="shared" si="181"/>
        <v/>
      </c>
      <c r="AF188" s="242" t="str">
        <f t="shared" si="188"/>
        <v/>
      </c>
      <c r="AG188" s="242" t="str">
        <f t="shared" si="195"/>
        <v/>
      </c>
      <c r="AH188" s="242" t="str">
        <f t="shared" si="200"/>
        <v/>
      </c>
      <c r="AI188" s="242" t="str">
        <f t="shared" si="179"/>
        <v/>
      </c>
      <c r="AJ188" s="242" t="str">
        <f t="shared" si="183"/>
        <v/>
      </c>
      <c r="AK188" s="242" t="str">
        <f t="shared" si="189"/>
        <v/>
      </c>
      <c r="AL188" s="242" t="str">
        <f t="shared" si="192"/>
        <v/>
      </c>
      <c r="AM188" s="242" t="str">
        <f t="shared" si="196"/>
        <v/>
      </c>
      <c r="AN188" s="199" t="str">
        <f t="shared" si="184"/>
        <v/>
      </c>
      <c r="AO188" s="199" t="str">
        <f t="shared" si="190"/>
        <v/>
      </c>
      <c r="AP188" s="199" t="str">
        <f t="shared" si="198"/>
        <v/>
      </c>
      <c r="AQ188" s="199" t="str">
        <f t="shared" si="180"/>
        <v/>
      </c>
      <c r="AR188" s="199" t="str">
        <f t="shared" si="185"/>
        <v/>
      </c>
      <c r="AS188" s="199" t="str">
        <f t="shared" si="193"/>
        <v/>
      </c>
      <c r="AT188" s="199" t="str">
        <f t="shared" si="194"/>
        <v/>
      </c>
      <c r="AU188" s="199" t="str">
        <f t="shared" si="199"/>
        <v/>
      </c>
      <c r="AV188" s="199" t="str">
        <f t="shared" si="182"/>
        <v/>
      </c>
      <c r="AW188" s="199" t="str">
        <f t="shared" si="187"/>
        <v/>
      </c>
      <c r="AX188" s="199" t="str">
        <f t="shared" si="191"/>
        <v/>
      </c>
      <c r="AY188" s="199" t="str">
        <f t="shared" si="197"/>
        <v/>
      </c>
    </row>
    <row r="189" spans="1:51" ht="20.399999999999999" x14ac:dyDescent="0.3">
      <c r="A189" s="191">
        <v>187</v>
      </c>
      <c r="B189" s="125" t="s">
        <v>249</v>
      </c>
      <c r="C189" s="120" t="s">
        <v>1044</v>
      </c>
      <c r="D189" s="139">
        <v>2014</v>
      </c>
      <c r="E189" s="124">
        <v>41675</v>
      </c>
      <c r="F189" s="198">
        <f t="shared" si="139"/>
        <v>2</v>
      </c>
      <c r="G189" s="198" t="str">
        <f t="shared" si="140"/>
        <v>22014</v>
      </c>
      <c r="H189" s="198" t="str">
        <f t="shared" si="141"/>
        <v>febrero</v>
      </c>
      <c r="I189" s="114">
        <f>VLOOKUP(B189,'Base de Datos'!$E$7:$W$271,14,0)</f>
        <v>0</v>
      </c>
      <c r="J189" s="200">
        <f t="shared" si="142"/>
        <v>1900</v>
      </c>
      <c r="K189" s="199">
        <f t="shared" si="143"/>
        <v>1</v>
      </c>
      <c r="L189" s="199" t="str">
        <f t="shared" si="144"/>
        <v>11900</v>
      </c>
      <c r="M189" s="199" t="str">
        <f t="shared" si="145"/>
        <v>enero</v>
      </c>
      <c r="N189" s="199">
        <f t="shared" ca="1" si="146"/>
        <v>44228</v>
      </c>
      <c r="O189" s="242" t="str">
        <f t="shared" ca="1" si="147"/>
        <v>SI</v>
      </c>
      <c r="P189" s="242" t="str">
        <f t="shared" si="156"/>
        <v/>
      </c>
      <c r="Q189" s="242" t="str">
        <f t="shared" si="148"/>
        <v/>
      </c>
      <c r="R189" s="242" t="str">
        <f t="shared" si="149"/>
        <v/>
      </c>
      <c r="S189" s="242" t="str">
        <f t="shared" si="150"/>
        <v/>
      </c>
      <c r="T189" s="242" t="str">
        <f t="shared" si="151"/>
        <v/>
      </c>
      <c r="U189" s="242" t="str">
        <f t="shared" si="152"/>
        <v/>
      </c>
      <c r="V189" s="242" t="str">
        <f t="shared" si="158"/>
        <v/>
      </c>
      <c r="W189" s="242" t="str">
        <f t="shared" si="153"/>
        <v/>
      </c>
      <c r="X189" s="242" t="str">
        <f t="shared" si="154"/>
        <v/>
      </c>
      <c r="Y189" s="242" t="str">
        <f t="shared" si="157"/>
        <v/>
      </c>
      <c r="Z189" s="242" t="str">
        <f t="shared" si="155"/>
        <v/>
      </c>
      <c r="AA189" s="242" t="str">
        <f t="shared" si="173"/>
        <v/>
      </c>
      <c r="AB189" s="242" t="str">
        <f t="shared" si="165"/>
        <v/>
      </c>
      <c r="AC189" s="242" t="str">
        <f t="shared" si="171"/>
        <v/>
      </c>
      <c r="AD189" s="242" t="str">
        <f t="shared" si="178"/>
        <v/>
      </c>
      <c r="AE189" s="242" t="str">
        <f t="shared" si="181"/>
        <v/>
      </c>
      <c r="AF189" s="242" t="str">
        <f t="shared" si="188"/>
        <v/>
      </c>
      <c r="AG189" s="242" t="str">
        <f t="shared" si="195"/>
        <v/>
      </c>
      <c r="AH189" s="242" t="str">
        <f t="shared" si="200"/>
        <v/>
      </c>
      <c r="AI189" s="242" t="str">
        <f t="shared" si="179"/>
        <v/>
      </c>
      <c r="AJ189" s="242" t="str">
        <f t="shared" si="183"/>
        <v/>
      </c>
      <c r="AK189" s="242" t="str">
        <f t="shared" si="189"/>
        <v/>
      </c>
      <c r="AL189" s="242" t="str">
        <f t="shared" si="192"/>
        <v/>
      </c>
      <c r="AM189" s="242" t="str">
        <f t="shared" si="196"/>
        <v/>
      </c>
      <c r="AN189" s="199" t="str">
        <f t="shared" si="184"/>
        <v/>
      </c>
      <c r="AO189" s="199" t="str">
        <f t="shared" si="190"/>
        <v/>
      </c>
      <c r="AP189" s="199" t="str">
        <f t="shared" si="198"/>
        <v/>
      </c>
      <c r="AQ189" s="199" t="str">
        <f t="shared" si="180"/>
        <v/>
      </c>
      <c r="AR189" s="199" t="str">
        <f t="shared" si="185"/>
        <v/>
      </c>
      <c r="AS189" s="199" t="str">
        <f t="shared" si="193"/>
        <v/>
      </c>
      <c r="AT189" s="199" t="str">
        <f t="shared" si="194"/>
        <v/>
      </c>
      <c r="AU189" s="199" t="str">
        <f t="shared" si="199"/>
        <v/>
      </c>
      <c r="AV189" s="199" t="str">
        <f t="shared" si="182"/>
        <v/>
      </c>
      <c r="AW189" s="199" t="str">
        <f t="shared" si="187"/>
        <v/>
      </c>
      <c r="AX189" s="199" t="str">
        <f t="shared" si="191"/>
        <v/>
      </c>
      <c r="AY189" s="199" t="str">
        <f t="shared" si="197"/>
        <v/>
      </c>
    </row>
    <row r="190" spans="1:51" ht="20.399999999999999" x14ac:dyDescent="0.3">
      <c r="A190" s="191">
        <v>188</v>
      </c>
      <c r="B190" s="225" t="s">
        <v>246</v>
      </c>
      <c r="C190" s="120" t="s">
        <v>228</v>
      </c>
      <c r="D190" s="139">
        <v>2014</v>
      </c>
      <c r="E190" s="124">
        <v>41675</v>
      </c>
      <c r="F190" s="198">
        <f t="shared" si="139"/>
        <v>2</v>
      </c>
      <c r="G190" s="198" t="str">
        <f t="shared" si="140"/>
        <v>22014</v>
      </c>
      <c r="H190" s="198" t="str">
        <f t="shared" si="141"/>
        <v>febrero</v>
      </c>
      <c r="I190" s="114">
        <f>VLOOKUP(B190,'Base de Datos'!$E$7:$W$271,14,0)</f>
        <v>0</v>
      </c>
      <c r="J190" s="200">
        <f t="shared" si="142"/>
        <v>1900</v>
      </c>
      <c r="K190" s="199">
        <f t="shared" si="143"/>
        <v>1</v>
      </c>
      <c r="L190" s="199" t="str">
        <f t="shared" si="144"/>
        <v>11900</v>
      </c>
      <c r="M190" s="199" t="str">
        <f t="shared" si="145"/>
        <v>enero</v>
      </c>
      <c r="N190" s="199">
        <f t="shared" ca="1" si="146"/>
        <v>44228</v>
      </c>
      <c r="O190" s="242" t="str">
        <f t="shared" ca="1" si="147"/>
        <v>SI</v>
      </c>
      <c r="P190" s="242" t="str">
        <f t="shared" si="156"/>
        <v/>
      </c>
      <c r="Q190" s="242" t="str">
        <f t="shared" si="148"/>
        <v/>
      </c>
      <c r="R190" s="242" t="str">
        <f t="shared" si="149"/>
        <v/>
      </c>
      <c r="S190" s="242" t="str">
        <f t="shared" si="150"/>
        <v/>
      </c>
      <c r="T190" s="242" t="str">
        <f t="shared" si="151"/>
        <v/>
      </c>
      <c r="U190" s="242" t="str">
        <f t="shared" si="152"/>
        <v/>
      </c>
      <c r="V190" s="242" t="str">
        <f t="shared" si="158"/>
        <v/>
      </c>
      <c r="W190" s="242" t="str">
        <f t="shared" si="153"/>
        <v/>
      </c>
      <c r="X190" s="242" t="str">
        <f t="shared" si="154"/>
        <v/>
      </c>
      <c r="Y190" s="242" t="str">
        <f t="shared" si="157"/>
        <v/>
      </c>
      <c r="Z190" s="242" t="str">
        <f t="shared" si="155"/>
        <v/>
      </c>
      <c r="AA190" s="242" t="str">
        <f t="shared" si="173"/>
        <v/>
      </c>
      <c r="AB190" s="242" t="str">
        <f t="shared" si="165"/>
        <v/>
      </c>
      <c r="AC190" s="242" t="str">
        <f t="shared" si="171"/>
        <v/>
      </c>
      <c r="AD190" s="242" t="str">
        <f t="shared" si="178"/>
        <v/>
      </c>
      <c r="AE190" s="242" t="str">
        <f t="shared" si="181"/>
        <v/>
      </c>
      <c r="AF190" s="242" t="str">
        <f t="shared" si="188"/>
        <v/>
      </c>
      <c r="AG190" s="242" t="str">
        <f t="shared" si="195"/>
        <v/>
      </c>
      <c r="AH190" s="242" t="str">
        <f t="shared" si="200"/>
        <v/>
      </c>
      <c r="AI190" s="242" t="str">
        <f t="shared" si="179"/>
        <v/>
      </c>
      <c r="AJ190" s="242" t="str">
        <f t="shared" si="183"/>
        <v/>
      </c>
      <c r="AK190" s="242" t="str">
        <f t="shared" si="189"/>
        <v/>
      </c>
      <c r="AL190" s="242" t="str">
        <f t="shared" si="192"/>
        <v/>
      </c>
      <c r="AM190" s="242" t="str">
        <f t="shared" si="196"/>
        <v/>
      </c>
      <c r="AN190" s="199" t="str">
        <f t="shared" si="184"/>
        <v/>
      </c>
      <c r="AO190" s="199" t="str">
        <f t="shared" si="190"/>
        <v/>
      </c>
      <c r="AP190" s="199" t="str">
        <f t="shared" si="198"/>
        <v/>
      </c>
      <c r="AQ190" s="199" t="str">
        <f t="shared" si="180"/>
        <v/>
      </c>
      <c r="AR190" s="199" t="str">
        <f t="shared" si="185"/>
        <v/>
      </c>
      <c r="AS190" s="199" t="str">
        <f t="shared" si="193"/>
        <v/>
      </c>
      <c r="AT190" s="199" t="str">
        <f t="shared" si="194"/>
        <v/>
      </c>
      <c r="AU190" s="199" t="str">
        <f t="shared" si="199"/>
        <v/>
      </c>
      <c r="AV190" s="199" t="str">
        <f t="shared" si="182"/>
        <v/>
      </c>
      <c r="AW190" s="199" t="str">
        <f t="shared" si="187"/>
        <v/>
      </c>
      <c r="AX190" s="199" t="str">
        <f t="shared" si="191"/>
        <v/>
      </c>
      <c r="AY190" s="199" t="str">
        <f t="shared" si="197"/>
        <v/>
      </c>
    </row>
    <row r="191" spans="1:51" ht="20.399999999999999" x14ac:dyDescent="0.3">
      <c r="A191" s="191">
        <v>189</v>
      </c>
      <c r="B191" s="225" t="s">
        <v>248</v>
      </c>
      <c r="C191" s="120" t="s">
        <v>224</v>
      </c>
      <c r="D191" s="139">
        <v>2014</v>
      </c>
      <c r="E191" s="124">
        <v>41675</v>
      </c>
      <c r="F191" s="198">
        <f t="shared" si="139"/>
        <v>2</v>
      </c>
      <c r="G191" s="198" t="str">
        <f t="shared" si="140"/>
        <v>22014</v>
      </c>
      <c r="H191" s="198" t="str">
        <f t="shared" si="141"/>
        <v>febrero</v>
      </c>
      <c r="I191" s="114">
        <f>VLOOKUP(B191,'Base de Datos'!$E$7:$W$271,14,0)</f>
        <v>0</v>
      </c>
      <c r="J191" s="200">
        <f t="shared" si="142"/>
        <v>1900</v>
      </c>
      <c r="K191" s="199">
        <f t="shared" si="143"/>
        <v>1</v>
      </c>
      <c r="L191" s="199" t="str">
        <f t="shared" si="144"/>
        <v>11900</v>
      </c>
      <c r="M191" s="199" t="str">
        <f t="shared" si="145"/>
        <v>enero</v>
      </c>
      <c r="N191" s="199">
        <f t="shared" ca="1" si="146"/>
        <v>44228</v>
      </c>
      <c r="O191" s="242" t="str">
        <f t="shared" ca="1" si="147"/>
        <v>SI</v>
      </c>
      <c r="P191" s="242" t="str">
        <f t="shared" si="156"/>
        <v/>
      </c>
      <c r="Q191" s="242" t="str">
        <f t="shared" si="148"/>
        <v/>
      </c>
      <c r="R191" s="242" t="str">
        <f t="shared" si="149"/>
        <v/>
      </c>
      <c r="S191" s="242" t="str">
        <f t="shared" si="150"/>
        <v/>
      </c>
      <c r="T191" s="242" t="str">
        <f t="shared" si="151"/>
        <v/>
      </c>
      <c r="U191" s="242" t="str">
        <f t="shared" si="152"/>
        <v/>
      </c>
      <c r="V191" s="242" t="str">
        <f t="shared" si="158"/>
        <v/>
      </c>
      <c r="W191" s="242" t="str">
        <f t="shared" si="153"/>
        <v/>
      </c>
      <c r="X191" s="242" t="str">
        <f t="shared" si="154"/>
        <v/>
      </c>
      <c r="Y191" s="242" t="str">
        <f t="shared" si="157"/>
        <v/>
      </c>
      <c r="Z191" s="242" t="str">
        <f t="shared" si="155"/>
        <v/>
      </c>
      <c r="AA191" s="242" t="str">
        <f t="shared" si="173"/>
        <v/>
      </c>
      <c r="AB191" s="242" t="str">
        <f t="shared" si="165"/>
        <v/>
      </c>
      <c r="AC191" s="242" t="str">
        <f t="shared" si="171"/>
        <v/>
      </c>
      <c r="AD191" s="242" t="str">
        <f t="shared" si="178"/>
        <v/>
      </c>
      <c r="AE191" s="242" t="str">
        <f t="shared" si="181"/>
        <v/>
      </c>
      <c r="AF191" s="242" t="str">
        <f t="shared" si="188"/>
        <v/>
      </c>
      <c r="AG191" s="242" t="str">
        <f t="shared" si="195"/>
        <v/>
      </c>
      <c r="AH191" s="242" t="str">
        <f t="shared" si="200"/>
        <v/>
      </c>
      <c r="AI191" s="242" t="str">
        <f t="shared" ref="AI191:AI222" si="201">IF(AND(E191&lt;$AI$2,I191&gt;$AI$2),"1","")</f>
        <v/>
      </c>
      <c r="AJ191" s="242" t="str">
        <f t="shared" si="183"/>
        <v/>
      </c>
      <c r="AK191" s="242" t="str">
        <f t="shared" si="189"/>
        <v/>
      </c>
      <c r="AL191" s="242" t="str">
        <f t="shared" si="192"/>
        <v/>
      </c>
      <c r="AM191" s="242" t="str">
        <f t="shared" si="196"/>
        <v/>
      </c>
      <c r="AN191" s="199" t="str">
        <f t="shared" si="184"/>
        <v/>
      </c>
      <c r="AO191" s="199" t="str">
        <f t="shared" si="190"/>
        <v/>
      </c>
      <c r="AP191" s="199" t="str">
        <f t="shared" si="198"/>
        <v/>
      </c>
      <c r="AQ191" s="199" t="str">
        <f t="shared" si="180"/>
        <v/>
      </c>
      <c r="AR191" s="199" t="str">
        <f t="shared" si="185"/>
        <v/>
      </c>
      <c r="AS191" s="199" t="str">
        <f t="shared" si="193"/>
        <v/>
      </c>
      <c r="AT191" s="199" t="str">
        <f t="shared" si="194"/>
        <v/>
      </c>
      <c r="AU191" s="199" t="str">
        <f t="shared" si="199"/>
        <v/>
      </c>
      <c r="AV191" s="199" t="str">
        <f t="shared" si="182"/>
        <v/>
      </c>
      <c r="AW191" s="199" t="str">
        <f t="shared" si="187"/>
        <v/>
      </c>
      <c r="AX191" s="199" t="str">
        <f t="shared" si="191"/>
        <v/>
      </c>
      <c r="AY191" s="199" t="str">
        <f t="shared" si="197"/>
        <v/>
      </c>
    </row>
    <row r="192" spans="1:51" x14ac:dyDescent="0.3">
      <c r="A192" s="191">
        <v>190</v>
      </c>
      <c r="B192" s="232" t="s">
        <v>253</v>
      </c>
      <c r="C192" s="129" t="s">
        <v>140</v>
      </c>
      <c r="D192" s="139">
        <v>2014</v>
      </c>
      <c r="E192" s="133">
        <v>41675</v>
      </c>
      <c r="F192" s="198">
        <f t="shared" si="139"/>
        <v>2</v>
      </c>
      <c r="G192" s="198" t="str">
        <f t="shared" si="140"/>
        <v>22014</v>
      </c>
      <c r="H192" s="198" t="str">
        <f t="shared" si="141"/>
        <v>febrero</v>
      </c>
      <c r="I192" s="114">
        <f>VLOOKUP(B192,'Base de Datos'!$E$7:$W$271,14,0)</f>
        <v>0</v>
      </c>
      <c r="J192" s="200">
        <f t="shared" si="142"/>
        <v>1900</v>
      </c>
      <c r="K192" s="199">
        <f t="shared" si="143"/>
        <v>1</v>
      </c>
      <c r="L192" s="199" t="str">
        <f t="shared" si="144"/>
        <v>11900</v>
      </c>
      <c r="M192" s="199" t="str">
        <f t="shared" si="145"/>
        <v>enero</v>
      </c>
      <c r="N192" s="199">
        <f t="shared" ca="1" si="146"/>
        <v>44228</v>
      </c>
      <c r="O192" s="242" t="str">
        <f t="shared" ca="1" si="147"/>
        <v>SI</v>
      </c>
      <c r="P192" s="242" t="str">
        <f t="shared" si="156"/>
        <v/>
      </c>
      <c r="Q192" s="242" t="str">
        <f t="shared" si="148"/>
        <v/>
      </c>
      <c r="R192" s="242" t="str">
        <f t="shared" si="149"/>
        <v/>
      </c>
      <c r="S192" s="242" t="str">
        <f t="shared" si="150"/>
        <v/>
      </c>
      <c r="T192" s="242" t="str">
        <f t="shared" si="151"/>
        <v/>
      </c>
      <c r="U192" s="242" t="str">
        <f t="shared" si="152"/>
        <v/>
      </c>
      <c r="V192" s="242" t="str">
        <f t="shared" si="158"/>
        <v/>
      </c>
      <c r="W192" s="242" t="str">
        <f t="shared" si="153"/>
        <v/>
      </c>
      <c r="X192" s="242" t="str">
        <f t="shared" si="154"/>
        <v/>
      </c>
      <c r="Y192" s="242" t="str">
        <f t="shared" si="157"/>
        <v/>
      </c>
      <c r="Z192" s="242" t="str">
        <f t="shared" si="155"/>
        <v/>
      </c>
      <c r="AA192" s="242" t="str">
        <f t="shared" si="173"/>
        <v/>
      </c>
      <c r="AB192" s="242" t="str">
        <f t="shared" si="165"/>
        <v/>
      </c>
      <c r="AC192" s="242" t="str">
        <f t="shared" si="171"/>
        <v/>
      </c>
      <c r="AD192" s="242" t="str">
        <f t="shared" si="178"/>
        <v/>
      </c>
      <c r="AE192" s="242" t="str">
        <f t="shared" si="181"/>
        <v/>
      </c>
      <c r="AF192" s="242" t="str">
        <f t="shared" si="188"/>
        <v/>
      </c>
      <c r="AG192" s="242" t="str">
        <f t="shared" si="195"/>
        <v/>
      </c>
      <c r="AH192" s="242" t="str">
        <f t="shared" si="200"/>
        <v/>
      </c>
      <c r="AI192" s="242" t="str">
        <f t="shared" si="201"/>
        <v/>
      </c>
      <c r="AJ192" s="242" t="str">
        <f t="shared" si="183"/>
        <v/>
      </c>
      <c r="AK192" s="242" t="str">
        <f t="shared" si="189"/>
        <v/>
      </c>
      <c r="AL192" s="242" t="str">
        <f t="shared" si="192"/>
        <v/>
      </c>
      <c r="AM192" s="242" t="str">
        <f t="shared" si="196"/>
        <v/>
      </c>
      <c r="AN192" s="199" t="str">
        <f t="shared" si="184"/>
        <v/>
      </c>
      <c r="AO192" s="199" t="str">
        <f t="shared" si="190"/>
        <v/>
      </c>
      <c r="AP192" s="199" t="str">
        <f t="shared" si="198"/>
        <v/>
      </c>
      <c r="AQ192" s="199" t="str">
        <f t="shared" si="180"/>
        <v/>
      </c>
      <c r="AR192" s="199" t="str">
        <f t="shared" si="185"/>
        <v/>
      </c>
      <c r="AS192" s="199" t="str">
        <f t="shared" si="193"/>
        <v/>
      </c>
      <c r="AT192" s="199" t="str">
        <f t="shared" si="194"/>
        <v/>
      </c>
      <c r="AU192" s="199" t="str">
        <f t="shared" si="199"/>
        <v/>
      </c>
      <c r="AV192" s="199" t="str">
        <f t="shared" si="182"/>
        <v/>
      </c>
      <c r="AW192" s="199" t="str">
        <f t="shared" si="187"/>
        <v/>
      </c>
      <c r="AX192" s="199" t="str">
        <f t="shared" si="191"/>
        <v/>
      </c>
      <c r="AY192" s="199" t="str">
        <f t="shared" si="197"/>
        <v/>
      </c>
    </row>
    <row r="193" spans="1:51" x14ac:dyDescent="0.3">
      <c r="A193" s="191">
        <v>191</v>
      </c>
      <c r="B193" s="225" t="s">
        <v>250</v>
      </c>
      <c r="C193" s="120" t="s">
        <v>251</v>
      </c>
      <c r="D193" s="139">
        <v>2014</v>
      </c>
      <c r="E193" s="124">
        <v>41675</v>
      </c>
      <c r="F193" s="198">
        <f t="shared" si="139"/>
        <v>2</v>
      </c>
      <c r="G193" s="198" t="str">
        <f t="shared" si="140"/>
        <v>22014</v>
      </c>
      <c r="H193" s="198" t="str">
        <f t="shared" si="141"/>
        <v>febrero</v>
      </c>
      <c r="I193" s="114">
        <f>VLOOKUP(B193,'Base de Datos'!$E$7:$W$271,14,0)</f>
        <v>0</v>
      </c>
      <c r="J193" s="200">
        <f t="shared" si="142"/>
        <v>1900</v>
      </c>
      <c r="K193" s="199">
        <f t="shared" si="143"/>
        <v>1</v>
      </c>
      <c r="L193" s="199" t="str">
        <f t="shared" si="144"/>
        <v>11900</v>
      </c>
      <c r="M193" s="199" t="str">
        <f t="shared" si="145"/>
        <v>enero</v>
      </c>
      <c r="N193" s="199">
        <f t="shared" ca="1" si="146"/>
        <v>44228</v>
      </c>
      <c r="O193" s="242" t="str">
        <f t="shared" ca="1" si="147"/>
        <v>SI</v>
      </c>
      <c r="P193" s="242" t="str">
        <f t="shared" si="156"/>
        <v/>
      </c>
      <c r="Q193" s="242" t="str">
        <f t="shared" si="148"/>
        <v/>
      </c>
      <c r="R193" s="242" t="str">
        <f t="shared" si="149"/>
        <v/>
      </c>
      <c r="S193" s="242" t="str">
        <f t="shared" si="150"/>
        <v/>
      </c>
      <c r="T193" s="242" t="str">
        <f t="shared" si="151"/>
        <v/>
      </c>
      <c r="U193" s="242" t="str">
        <f t="shared" si="152"/>
        <v/>
      </c>
      <c r="V193" s="242" t="str">
        <f t="shared" si="158"/>
        <v/>
      </c>
      <c r="W193" s="242" t="str">
        <f t="shared" si="153"/>
        <v/>
      </c>
      <c r="X193" s="242" t="str">
        <f t="shared" si="154"/>
        <v/>
      </c>
      <c r="Y193" s="242" t="str">
        <f t="shared" si="157"/>
        <v/>
      </c>
      <c r="Z193" s="242" t="str">
        <f t="shared" si="155"/>
        <v/>
      </c>
      <c r="AA193" s="242" t="str">
        <f t="shared" si="173"/>
        <v/>
      </c>
      <c r="AB193" s="242" t="str">
        <f t="shared" si="165"/>
        <v/>
      </c>
      <c r="AC193" s="242" t="str">
        <f t="shared" si="171"/>
        <v/>
      </c>
      <c r="AD193" s="242" t="str">
        <f t="shared" si="178"/>
        <v/>
      </c>
      <c r="AE193" s="242" t="str">
        <f t="shared" si="181"/>
        <v/>
      </c>
      <c r="AF193" s="242" t="str">
        <f t="shared" si="188"/>
        <v/>
      </c>
      <c r="AG193" s="242" t="str">
        <f t="shared" si="195"/>
        <v/>
      </c>
      <c r="AH193" s="242" t="str">
        <f t="shared" si="200"/>
        <v/>
      </c>
      <c r="AI193" s="242" t="str">
        <f t="shared" si="201"/>
        <v/>
      </c>
      <c r="AJ193" s="242" t="str">
        <f t="shared" si="183"/>
        <v/>
      </c>
      <c r="AK193" s="242" t="str">
        <f t="shared" si="189"/>
        <v/>
      </c>
      <c r="AL193" s="242" t="str">
        <f t="shared" si="192"/>
        <v/>
      </c>
      <c r="AM193" s="242" t="str">
        <f t="shared" si="196"/>
        <v/>
      </c>
      <c r="AN193" s="199" t="str">
        <f t="shared" si="184"/>
        <v/>
      </c>
      <c r="AO193" s="199" t="str">
        <f t="shared" si="190"/>
        <v/>
      </c>
      <c r="AP193" s="199" t="str">
        <f t="shared" si="198"/>
        <v/>
      </c>
      <c r="AQ193" s="199" t="str">
        <f t="shared" si="180"/>
        <v/>
      </c>
      <c r="AR193" s="199" t="str">
        <f t="shared" si="185"/>
        <v/>
      </c>
      <c r="AS193" s="199" t="str">
        <f t="shared" si="193"/>
        <v/>
      </c>
      <c r="AT193" s="199" t="str">
        <f t="shared" si="194"/>
        <v/>
      </c>
      <c r="AU193" s="199" t="str">
        <f t="shared" si="199"/>
        <v/>
      </c>
      <c r="AV193" s="199" t="str">
        <f t="shared" si="182"/>
        <v/>
      </c>
      <c r="AW193" s="199" t="str">
        <f t="shared" si="187"/>
        <v/>
      </c>
      <c r="AX193" s="199" t="str">
        <f t="shared" si="191"/>
        <v/>
      </c>
      <c r="AY193" s="199" t="str">
        <f t="shared" si="197"/>
        <v/>
      </c>
    </row>
    <row r="194" spans="1:51" ht="20.399999999999999" x14ac:dyDescent="0.3">
      <c r="A194" s="191">
        <v>192</v>
      </c>
      <c r="B194" s="225" t="s">
        <v>553</v>
      </c>
      <c r="C194" s="120" t="s">
        <v>554</v>
      </c>
      <c r="D194" s="139">
        <v>2014</v>
      </c>
      <c r="E194" s="124">
        <v>41887</v>
      </c>
      <c r="F194" s="198">
        <f t="shared" si="139"/>
        <v>9</v>
      </c>
      <c r="G194" s="198" t="str">
        <f t="shared" si="140"/>
        <v>92014</v>
      </c>
      <c r="H194" s="198" t="str">
        <f t="shared" si="141"/>
        <v>septiembre</v>
      </c>
      <c r="I194" s="114">
        <f>VLOOKUP(B194,'Base de Datos'!$E$7:$W$271,14,0)</f>
        <v>0</v>
      </c>
      <c r="J194" s="200">
        <f t="shared" si="142"/>
        <v>1900</v>
      </c>
      <c r="K194" s="199">
        <f t="shared" si="143"/>
        <v>1</v>
      </c>
      <c r="L194" s="199" t="str">
        <f t="shared" si="144"/>
        <v>11900</v>
      </c>
      <c r="M194" s="199" t="str">
        <f t="shared" si="145"/>
        <v>enero</v>
      </c>
      <c r="N194" s="199">
        <f t="shared" ca="1" si="146"/>
        <v>44228</v>
      </c>
      <c r="O194" s="242" t="str">
        <f t="shared" ca="1" si="147"/>
        <v>SI</v>
      </c>
      <c r="P194" s="242" t="str">
        <f t="shared" si="156"/>
        <v/>
      </c>
      <c r="Q194" s="242" t="str">
        <f t="shared" si="148"/>
        <v/>
      </c>
      <c r="R194" s="242" t="str">
        <f t="shared" si="149"/>
        <v/>
      </c>
      <c r="S194" s="242" t="str">
        <f t="shared" si="150"/>
        <v/>
      </c>
      <c r="T194" s="242" t="str">
        <f t="shared" si="151"/>
        <v/>
      </c>
      <c r="U194" s="242" t="str">
        <f t="shared" si="152"/>
        <v/>
      </c>
      <c r="V194" s="242" t="str">
        <f t="shared" si="158"/>
        <v/>
      </c>
      <c r="W194" s="242" t="str">
        <f t="shared" si="153"/>
        <v/>
      </c>
      <c r="X194" s="242" t="str">
        <f t="shared" si="154"/>
        <v/>
      </c>
      <c r="Y194" s="242" t="str">
        <f t="shared" si="157"/>
        <v/>
      </c>
      <c r="Z194" s="242" t="str">
        <f t="shared" si="155"/>
        <v/>
      </c>
      <c r="AA194" s="242" t="str">
        <f t="shared" si="173"/>
        <v/>
      </c>
      <c r="AB194" s="242" t="str">
        <f t="shared" si="165"/>
        <v/>
      </c>
      <c r="AC194" s="242" t="str">
        <f t="shared" si="171"/>
        <v/>
      </c>
      <c r="AD194" s="242" t="str">
        <f t="shared" si="178"/>
        <v/>
      </c>
      <c r="AE194" s="242" t="str">
        <f t="shared" si="181"/>
        <v/>
      </c>
      <c r="AF194" s="242" t="str">
        <f t="shared" si="188"/>
        <v/>
      </c>
      <c r="AG194" s="242" t="str">
        <f t="shared" si="195"/>
        <v/>
      </c>
      <c r="AH194" s="242" t="str">
        <f t="shared" si="200"/>
        <v/>
      </c>
      <c r="AI194" s="242" t="str">
        <f t="shared" si="201"/>
        <v/>
      </c>
      <c r="AJ194" s="242" t="str">
        <f t="shared" si="183"/>
        <v/>
      </c>
      <c r="AK194" s="242" t="str">
        <f t="shared" si="189"/>
        <v/>
      </c>
      <c r="AL194" s="242" t="str">
        <f t="shared" si="192"/>
        <v/>
      </c>
      <c r="AM194" s="242" t="str">
        <f t="shared" si="196"/>
        <v/>
      </c>
      <c r="AN194" s="199" t="str">
        <f t="shared" si="184"/>
        <v/>
      </c>
      <c r="AO194" s="199" t="str">
        <f t="shared" si="190"/>
        <v/>
      </c>
      <c r="AP194" s="199" t="str">
        <f t="shared" si="198"/>
        <v/>
      </c>
      <c r="AQ194" s="199" t="str">
        <f t="shared" ref="AQ194:AQ225" si="202">IF(AND(E194&lt;$AQ$2,I194&gt;$AQ$2),"1","")</f>
        <v/>
      </c>
      <c r="AR194" s="199" t="str">
        <f t="shared" si="185"/>
        <v/>
      </c>
      <c r="AS194" s="199" t="str">
        <f t="shared" si="193"/>
        <v/>
      </c>
      <c r="AT194" s="199" t="str">
        <f t="shared" si="194"/>
        <v/>
      </c>
      <c r="AU194" s="199" t="str">
        <f t="shared" si="199"/>
        <v/>
      </c>
      <c r="AV194" s="199" t="str">
        <f t="shared" si="182"/>
        <v/>
      </c>
      <c r="AW194" s="199" t="str">
        <f t="shared" si="187"/>
        <v/>
      </c>
      <c r="AX194" s="199" t="str">
        <f t="shared" si="191"/>
        <v/>
      </c>
      <c r="AY194" s="199" t="str">
        <f t="shared" si="197"/>
        <v/>
      </c>
    </row>
    <row r="195" spans="1:51" x14ac:dyDescent="0.3">
      <c r="A195" s="191">
        <v>193</v>
      </c>
      <c r="B195" s="225" t="s">
        <v>273</v>
      </c>
      <c r="C195" s="120" t="s">
        <v>126</v>
      </c>
      <c r="D195" s="139">
        <v>2014</v>
      </c>
      <c r="E195" s="124">
        <v>41738</v>
      </c>
      <c r="F195" s="198">
        <f t="shared" ref="F195:F258" si="203">MONTH(E195)</f>
        <v>4</v>
      </c>
      <c r="G195" s="198" t="str">
        <f t="shared" ref="G195:G258" si="204">CONCATENATE(F195,D195)</f>
        <v>42014</v>
      </c>
      <c r="H195" s="198" t="str">
        <f t="shared" ref="H195:H261" si="205">TEXT(E195,"MMMM")</f>
        <v>abril</v>
      </c>
      <c r="I195" s="114">
        <f>VLOOKUP(B195,'Base de Datos'!$E$7:$W$271,14,0)</f>
        <v>0</v>
      </c>
      <c r="J195" s="200">
        <f t="shared" ref="J195:J258" si="206">YEAR(I195)</f>
        <v>1900</v>
      </c>
      <c r="K195" s="199">
        <f t="shared" ref="K195:K261" si="207">MONTH(I195)</f>
        <v>1</v>
      </c>
      <c r="L195" s="199" t="str">
        <f t="shared" ref="L195:L258" si="208">CONCATENATE(K195,J195)</f>
        <v>11900</v>
      </c>
      <c r="M195" s="199" t="str">
        <f t="shared" ref="M195:M261" si="209">TEXT(I195,"mmmm")</f>
        <v>enero</v>
      </c>
      <c r="N195" s="199">
        <f t="shared" ref="N195:N261" ca="1" si="210">$O$1-I195</f>
        <v>44228</v>
      </c>
      <c r="O195" s="242" t="str">
        <f t="shared" ref="O195:O258" ca="1" si="211">IF(N195&gt;0,"SI","NO")</f>
        <v>SI</v>
      </c>
      <c r="P195" s="242" t="str">
        <f t="shared" si="156"/>
        <v/>
      </c>
      <c r="Q195" s="242" t="str">
        <f t="shared" ref="Q195:Q261" si="212">IF(AND(E195&lt;$Q$2,I195&gt;$Q$2),"1","")</f>
        <v/>
      </c>
      <c r="R195" s="242" t="str">
        <f t="shared" ref="R195:R261" si="213">IF(AND(E195&lt;$R$2,I195&gt;$R$2),"1","")</f>
        <v/>
      </c>
      <c r="S195" s="242" t="str">
        <f t="shared" ref="S195:S261" si="214">IF(AND(E195&lt;$S$2,I195&gt;$S$2),"1","")</f>
        <v/>
      </c>
      <c r="T195" s="242" t="str">
        <f t="shared" ref="T195:T261" si="215">IF(AND(E195&lt;$T$2,I195&gt;$T$2),"1","")</f>
        <v/>
      </c>
      <c r="U195" s="242" t="str">
        <f t="shared" ref="U195:U261" si="216">IF(AND(E195&lt;$U$2,I195&gt;$U$2),"1","")</f>
        <v/>
      </c>
      <c r="V195" s="242" t="str">
        <f t="shared" si="158"/>
        <v/>
      </c>
      <c r="W195" s="242" t="str">
        <f t="shared" ref="W195:W261" si="217">IF(AND(E195&lt;$W$2,I195&gt;$W$2),"1","")</f>
        <v/>
      </c>
      <c r="X195" s="242" t="str">
        <f t="shared" ref="X195:X261" si="218">IF(AND(E195&lt;$X$2,I195&gt;$X$2),"1","")</f>
        <v/>
      </c>
      <c r="Y195" s="242" t="str">
        <f t="shared" si="157"/>
        <v/>
      </c>
      <c r="Z195" s="242" t="str">
        <f t="shared" ref="Z195:Z261" si="219">IF(AND(E195&lt;$Z$2,I195&gt;$Z$2),"1","")</f>
        <v/>
      </c>
      <c r="AA195" s="242" t="str">
        <f t="shared" si="173"/>
        <v/>
      </c>
      <c r="AB195" s="242" t="str">
        <f t="shared" si="165"/>
        <v/>
      </c>
      <c r="AC195" s="242" t="str">
        <f t="shared" si="171"/>
        <v/>
      </c>
      <c r="AD195" s="242" t="str">
        <f t="shared" si="178"/>
        <v/>
      </c>
      <c r="AE195" s="242" t="str">
        <f t="shared" si="181"/>
        <v/>
      </c>
      <c r="AF195" s="242" t="str">
        <f t="shared" si="188"/>
        <v/>
      </c>
      <c r="AG195" s="242" t="str">
        <f t="shared" si="195"/>
        <v/>
      </c>
      <c r="AH195" s="242" t="str">
        <f t="shared" si="200"/>
        <v/>
      </c>
      <c r="AI195" s="242" t="str">
        <f t="shared" si="201"/>
        <v/>
      </c>
      <c r="AJ195" s="242" t="str">
        <f t="shared" si="183"/>
        <v/>
      </c>
      <c r="AK195" s="242" t="str">
        <f t="shared" si="189"/>
        <v/>
      </c>
      <c r="AL195" s="242" t="str">
        <f t="shared" si="192"/>
        <v/>
      </c>
      <c r="AM195" s="242" t="str">
        <f t="shared" si="196"/>
        <v/>
      </c>
      <c r="AN195" s="199" t="str">
        <f t="shared" si="184"/>
        <v/>
      </c>
      <c r="AO195" s="199" t="str">
        <f t="shared" si="190"/>
        <v/>
      </c>
      <c r="AP195" s="199" t="str">
        <f t="shared" si="198"/>
        <v/>
      </c>
      <c r="AQ195" s="199" t="str">
        <f t="shared" si="202"/>
        <v/>
      </c>
      <c r="AR195" s="199" t="str">
        <f t="shared" si="185"/>
        <v/>
      </c>
      <c r="AS195" s="199" t="str">
        <f t="shared" si="193"/>
        <v/>
      </c>
      <c r="AT195" s="199" t="str">
        <f t="shared" si="194"/>
        <v/>
      </c>
      <c r="AU195" s="199" t="str">
        <f t="shared" si="199"/>
        <v/>
      </c>
      <c r="AV195" s="199" t="str">
        <f t="shared" si="182"/>
        <v/>
      </c>
      <c r="AW195" s="199" t="str">
        <f t="shared" si="187"/>
        <v/>
      </c>
      <c r="AX195" s="199" t="str">
        <f t="shared" si="191"/>
        <v/>
      </c>
      <c r="AY195" s="199" t="str">
        <f t="shared" si="197"/>
        <v/>
      </c>
    </row>
    <row r="196" spans="1:51" ht="20.399999999999999" x14ac:dyDescent="0.3">
      <c r="A196" s="191">
        <v>194</v>
      </c>
      <c r="B196" s="225" t="s">
        <v>267</v>
      </c>
      <c r="C196" s="120" t="s">
        <v>1035</v>
      </c>
      <c r="D196" s="139">
        <v>2014</v>
      </c>
      <c r="E196" s="124">
        <v>41708</v>
      </c>
      <c r="F196" s="198">
        <f t="shared" si="203"/>
        <v>3</v>
      </c>
      <c r="G196" s="198" t="str">
        <f t="shared" si="204"/>
        <v>32014</v>
      </c>
      <c r="H196" s="198" t="str">
        <f t="shared" si="205"/>
        <v>marzo</v>
      </c>
      <c r="I196" s="114">
        <f>VLOOKUP(B196,'Base de Datos'!$E$7:$W$271,14,0)</f>
        <v>0</v>
      </c>
      <c r="J196" s="200">
        <f t="shared" si="206"/>
        <v>1900</v>
      </c>
      <c r="K196" s="199">
        <f t="shared" si="207"/>
        <v>1</v>
      </c>
      <c r="L196" s="199" t="str">
        <f t="shared" si="208"/>
        <v>11900</v>
      </c>
      <c r="M196" s="199" t="str">
        <f t="shared" si="209"/>
        <v>enero</v>
      </c>
      <c r="N196" s="199">
        <f t="shared" ca="1" si="210"/>
        <v>44228</v>
      </c>
      <c r="O196" s="242" t="str">
        <f t="shared" ca="1" si="211"/>
        <v>SI</v>
      </c>
      <c r="P196" s="242" t="str">
        <f t="shared" ref="P196:P261" si="220">IF(AND(E196&lt;$P$2,I196&gt;$P$2),"1","")</f>
        <v/>
      </c>
      <c r="Q196" s="242" t="str">
        <f t="shared" si="212"/>
        <v/>
      </c>
      <c r="R196" s="242" t="str">
        <f t="shared" si="213"/>
        <v/>
      </c>
      <c r="S196" s="242" t="str">
        <f t="shared" si="214"/>
        <v/>
      </c>
      <c r="T196" s="242" t="str">
        <f t="shared" si="215"/>
        <v/>
      </c>
      <c r="U196" s="242" t="str">
        <f t="shared" si="216"/>
        <v/>
      </c>
      <c r="V196" s="242" t="str">
        <f t="shared" si="158"/>
        <v/>
      </c>
      <c r="W196" s="242" t="str">
        <f t="shared" si="217"/>
        <v/>
      </c>
      <c r="X196" s="242" t="str">
        <f t="shared" si="218"/>
        <v/>
      </c>
      <c r="Y196" s="242" t="str">
        <f t="shared" si="157"/>
        <v/>
      </c>
      <c r="Z196" s="242" t="str">
        <f t="shared" si="219"/>
        <v/>
      </c>
      <c r="AA196" s="242" t="str">
        <f t="shared" si="173"/>
        <v/>
      </c>
      <c r="AB196" s="242" t="str">
        <f t="shared" si="165"/>
        <v/>
      </c>
      <c r="AC196" s="242" t="str">
        <f t="shared" si="171"/>
        <v/>
      </c>
      <c r="AD196" s="242" t="str">
        <f t="shared" si="178"/>
        <v/>
      </c>
      <c r="AE196" s="242" t="str">
        <f t="shared" si="181"/>
        <v/>
      </c>
      <c r="AF196" s="242" t="str">
        <f t="shared" si="188"/>
        <v/>
      </c>
      <c r="AG196" s="242" t="str">
        <f t="shared" si="195"/>
        <v/>
      </c>
      <c r="AH196" s="242" t="str">
        <f t="shared" si="200"/>
        <v/>
      </c>
      <c r="AI196" s="242" t="str">
        <f t="shared" si="201"/>
        <v/>
      </c>
      <c r="AJ196" s="242" t="str">
        <f t="shared" si="183"/>
        <v/>
      </c>
      <c r="AK196" s="242" t="str">
        <f t="shared" si="189"/>
        <v/>
      </c>
      <c r="AL196" s="242" t="str">
        <f t="shared" si="192"/>
        <v/>
      </c>
      <c r="AM196" s="242" t="str">
        <f t="shared" si="196"/>
        <v/>
      </c>
      <c r="AN196" s="199" t="str">
        <f t="shared" si="184"/>
        <v/>
      </c>
      <c r="AO196" s="199" t="str">
        <f t="shared" si="190"/>
        <v/>
      </c>
      <c r="AP196" s="199" t="str">
        <f t="shared" si="198"/>
        <v/>
      </c>
      <c r="AQ196" s="199" t="str">
        <f t="shared" si="202"/>
        <v/>
      </c>
      <c r="AR196" s="199" t="str">
        <f t="shared" si="185"/>
        <v/>
      </c>
      <c r="AS196" s="199" t="str">
        <f t="shared" si="193"/>
        <v/>
      </c>
      <c r="AT196" s="199" t="str">
        <f t="shared" si="194"/>
        <v/>
      </c>
      <c r="AU196" s="199" t="str">
        <f t="shared" si="199"/>
        <v/>
      </c>
      <c r="AV196" s="199" t="str">
        <f t="shared" ref="AV196:AV227" si="221">IF(AND(E196&lt;$AV$2,I196&gt;$AV$2),"1","")</f>
        <v/>
      </c>
      <c r="AW196" s="199" t="str">
        <f t="shared" si="187"/>
        <v/>
      </c>
      <c r="AX196" s="199" t="str">
        <f t="shared" si="191"/>
        <v/>
      </c>
      <c r="AY196" s="199" t="str">
        <f t="shared" si="197"/>
        <v/>
      </c>
    </row>
    <row r="197" spans="1:51" x14ac:dyDescent="0.3">
      <c r="A197" s="191">
        <v>195</v>
      </c>
      <c r="B197" s="225" t="s">
        <v>555</v>
      </c>
      <c r="C197" s="120" t="s">
        <v>1066</v>
      </c>
      <c r="D197" s="139">
        <v>2014</v>
      </c>
      <c r="E197" s="124">
        <v>41891</v>
      </c>
      <c r="F197" s="198">
        <f t="shared" si="203"/>
        <v>9</v>
      </c>
      <c r="G197" s="198" t="str">
        <f t="shared" si="204"/>
        <v>92014</v>
      </c>
      <c r="H197" s="198" t="str">
        <f t="shared" si="205"/>
        <v>septiembre</v>
      </c>
      <c r="I197" s="114">
        <f>VLOOKUP(B197,'Base de Datos'!$E$7:$W$271,14,0)</f>
        <v>0</v>
      </c>
      <c r="J197" s="200">
        <f t="shared" si="206"/>
        <v>1900</v>
      </c>
      <c r="K197" s="199">
        <f t="shared" si="207"/>
        <v>1</v>
      </c>
      <c r="L197" s="199" t="str">
        <f t="shared" si="208"/>
        <v>11900</v>
      </c>
      <c r="M197" s="199" t="str">
        <f t="shared" si="209"/>
        <v>enero</v>
      </c>
      <c r="N197" s="199">
        <f t="shared" ca="1" si="210"/>
        <v>44228</v>
      </c>
      <c r="O197" s="242" t="str">
        <f t="shared" ca="1" si="211"/>
        <v>SI</v>
      </c>
      <c r="P197" s="242" t="str">
        <f t="shared" si="220"/>
        <v/>
      </c>
      <c r="Q197" s="242" t="str">
        <f t="shared" si="212"/>
        <v/>
      </c>
      <c r="R197" s="242" t="str">
        <f t="shared" si="213"/>
        <v/>
      </c>
      <c r="S197" s="242" t="str">
        <f t="shared" si="214"/>
        <v/>
      </c>
      <c r="T197" s="242" t="str">
        <f t="shared" si="215"/>
        <v/>
      </c>
      <c r="U197" s="242" t="str">
        <f t="shared" si="216"/>
        <v/>
      </c>
      <c r="V197" s="242" t="str">
        <f t="shared" si="158"/>
        <v/>
      </c>
      <c r="W197" s="242" t="str">
        <f t="shared" si="217"/>
        <v/>
      </c>
      <c r="X197" s="242" t="str">
        <f t="shared" si="218"/>
        <v/>
      </c>
      <c r="Y197" s="242" t="str">
        <f t="shared" si="157"/>
        <v/>
      </c>
      <c r="Z197" s="242" t="str">
        <f t="shared" si="219"/>
        <v/>
      </c>
      <c r="AA197" s="242" t="str">
        <f t="shared" si="173"/>
        <v/>
      </c>
      <c r="AB197" s="242" t="str">
        <f t="shared" si="165"/>
        <v/>
      </c>
      <c r="AC197" s="242" t="str">
        <f t="shared" si="171"/>
        <v/>
      </c>
      <c r="AD197" s="242" t="str">
        <f t="shared" si="178"/>
        <v/>
      </c>
      <c r="AE197" s="242" t="str">
        <f t="shared" si="181"/>
        <v/>
      </c>
      <c r="AF197" s="242" t="str">
        <f t="shared" si="188"/>
        <v/>
      </c>
      <c r="AG197" s="242" t="str">
        <f t="shared" si="195"/>
        <v/>
      </c>
      <c r="AH197" s="242" t="str">
        <f t="shared" si="200"/>
        <v/>
      </c>
      <c r="AI197" s="242" t="str">
        <f t="shared" si="201"/>
        <v/>
      </c>
      <c r="AJ197" s="242" t="str">
        <f t="shared" si="183"/>
        <v/>
      </c>
      <c r="AK197" s="242" t="str">
        <f t="shared" si="189"/>
        <v/>
      </c>
      <c r="AL197" s="242" t="str">
        <f t="shared" si="192"/>
        <v/>
      </c>
      <c r="AM197" s="242" t="str">
        <f t="shared" si="196"/>
        <v/>
      </c>
      <c r="AN197" s="199" t="str">
        <f t="shared" si="184"/>
        <v/>
      </c>
      <c r="AO197" s="199" t="str">
        <f t="shared" si="190"/>
        <v/>
      </c>
      <c r="AP197" s="199" t="str">
        <f t="shared" si="198"/>
        <v/>
      </c>
      <c r="AQ197" s="199" t="str">
        <f t="shared" si="202"/>
        <v/>
      </c>
      <c r="AR197" s="199" t="str">
        <f t="shared" si="185"/>
        <v/>
      </c>
      <c r="AS197" s="199" t="str">
        <f t="shared" si="193"/>
        <v/>
      </c>
      <c r="AT197" s="199" t="str">
        <f t="shared" si="194"/>
        <v/>
      </c>
      <c r="AU197" s="199" t="str">
        <f t="shared" si="199"/>
        <v/>
      </c>
      <c r="AV197" s="199" t="str">
        <f t="shared" si="221"/>
        <v/>
      </c>
      <c r="AW197" s="199" t="str">
        <f t="shared" si="187"/>
        <v/>
      </c>
      <c r="AX197" s="199" t="str">
        <f t="shared" si="191"/>
        <v/>
      </c>
      <c r="AY197" s="199" t="str">
        <f t="shared" si="197"/>
        <v/>
      </c>
    </row>
    <row r="198" spans="1:51" x14ac:dyDescent="0.3">
      <c r="A198" s="191">
        <v>196</v>
      </c>
      <c r="B198" s="236" t="str">
        <f>+'Base de Datos'!E262</f>
        <v>140372-0-2014</v>
      </c>
      <c r="C198" s="212" t="str">
        <f>+'Base de Datos'!F262</f>
        <v>CAJA COLOMBIANA DE SUBSIDIO FAMILIAR – COLSUBSIDIO</v>
      </c>
      <c r="D198" s="212">
        <f>YEAR(E198)</f>
        <v>2014</v>
      </c>
      <c r="E198" s="213">
        <f>+'Base de Datos'!M262</f>
        <v>41982</v>
      </c>
      <c r="F198" s="198">
        <f t="shared" si="203"/>
        <v>12</v>
      </c>
      <c r="G198" s="198" t="str">
        <f t="shared" si="204"/>
        <v>122014</v>
      </c>
      <c r="H198" s="198" t="str">
        <f t="shared" si="205"/>
        <v>diciembre</v>
      </c>
      <c r="I198" s="114">
        <f>VLOOKUP(B198,'Base de Datos'!$E$7:$W$271,14,0)</f>
        <v>0</v>
      </c>
      <c r="J198" s="200">
        <f t="shared" si="206"/>
        <v>1900</v>
      </c>
      <c r="K198" s="199">
        <f t="shared" si="207"/>
        <v>1</v>
      </c>
      <c r="L198" s="199" t="str">
        <f t="shared" si="208"/>
        <v>11900</v>
      </c>
      <c r="M198" s="199" t="str">
        <f t="shared" si="209"/>
        <v>enero</v>
      </c>
      <c r="N198" s="199">
        <f t="shared" ca="1" si="210"/>
        <v>44228</v>
      </c>
      <c r="O198" s="242" t="str">
        <f t="shared" ca="1" si="211"/>
        <v>SI</v>
      </c>
      <c r="P198" s="242" t="str">
        <f t="shared" si="220"/>
        <v/>
      </c>
      <c r="Q198" s="242" t="str">
        <f t="shared" si="212"/>
        <v/>
      </c>
      <c r="R198" s="242" t="str">
        <f t="shared" si="213"/>
        <v/>
      </c>
      <c r="S198" s="242" t="str">
        <f t="shared" si="214"/>
        <v/>
      </c>
      <c r="T198" s="242" t="str">
        <f t="shared" si="215"/>
        <v/>
      </c>
      <c r="U198" s="242" t="str">
        <f t="shared" si="216"/>
        <v/>
      </c>
      <c r="V198" s="242" t="str">
        <f t="shared" si="158"/>
        <v/>
      </c>
      <c r="W198" s="242" t="str">
        <f t="shared" si="217"/>
        <v/>
      </c>
      <c r="X198" s="242" t="str">
        <f t="shared" si="218"/>
        <v/>
      </c>
      <c r="Y198" s="242" t="str">
        <f t="shared" ref="Y198:Y261" si="222">IF(AND(E198&lt;$Y$2,I198&gt;$Y$2),"1","")</f>
        <v/>
      </c>
      <c r="Z198" s="242" t="str">
        <f t="shared" si="219"/>
        <v/>
      </c>
      <c r="AA198" s="242" t="str">
        <f t="shared" si="173"/>
        <v/>
      </c>
      <c r="AB198" s="242" t="str">
        <f t="shared" si="165"/>
        <v/>
      </c>
      <c r="AC198" s="242" t="str">
        <f t="shared" si="171"/>
        <v/>
      </c>
      <c r="AD198" s="242" t="str">
        <f t="shared" si="178"/>
        <v/>
      </c>
      <c r="AE198" s="242" t="str">
        <f t="shared" si="181"/>
        <v/>
      </c>
      <c r="AF198" s="242" t="str">
        <f t="shared" si="188"/>
        <v/>
      </c>
      <c r="AG198" s="242" t="str">
        <f t="shared" si="195"/>
        <v/>
      </c>
      <c r="AH198" s="242" t="str">
        <f t="shared" si="200"/>
        <v/>
      </c>
      <c r="AI198" s="242" t="str">
        <f t="shared" si="201"/>
        <v/>
      </c>
      <c r="AJ198" s="242" t="str">
        <f t="shared" si="183"/>
        <v/>
      </c>
      <c r="AK198" s="242" t="str">
        <f t="shared" si="189"/>
        <v/>
      </c>
      <c r="AL198" s="242" t="str">
        <f t="shared" si="192"/>
        <v/>
      </c>
      <c r="AM198" s="242" t="str">
        <f t="shared" si="196"/>
        <v/>
      </c>
      <c r="AN198" s="199" t="str">
        <f t="shared" si="184"/>
        <v/>
      </c>
      <c r="AO198" s="199" t="str">
        <f t="shared" si="190"/>
        <v/>
      </c>
      <c r="AP198" s="199" t="str">
        <f t="shared" si="198"/>
        <v/>
      </c>
      <c r="AQ198" s="199" t="str">
        <f t="shared" si="202"/>
        <v/>
      </c>
      <c r="AR198" s="199" t="str">
        <f t="shared" si="185"/>
        <v/>
      </c>
      <c r="AS198" s="199" t="str">
        <f t="shared" si="193"/>
        <v/>
      </c>
      <c r="AT198" s="199" t="str">
        <f t="shared" si="194"/>
        <v/>
      </c>
      <c r="AU198" s="199" t="str">
        <f t="shared" si="199"/>
        <v/>
      </c>
      <c r="AV198" s="199" t="str">
        <f t="shared" si="221"/>
        <v/>
      </c>
      <c r="AW198" s="199" t="str">
        <f t="shared" si="187"/>
        <v/>
      </c>
      <c r="AX198" s="199" t="str">
        <f t="shared" si="191"/>
        <v/>
      </c>
      <c r="AY198" s="199" t="str">
        <f t="shared" si="197"/>
        <v/>
      </c>
    </row>
    <row r="199" spans="1:51" x14ac:dyDescent="0.3">
      <c r="A199" s="191">
        <v>197</v>
      </c>
      <c r="B199" s="225" t="s">
        <v>240</v>
      </c>
      <c r="C199" s="120" t="s">
        <v>290</v>
      </c>
      <c r="D199" s="139">
        <v>2013</v>
      </c>
      <c r="E199" s="124">
        <v>41655</v>
      </c>
      <c r="F199" s="198">
        <f t="shared" si="203"/>
        <v>1</v>
      </c>
      <c r="G199" s="198" t="str">
        <f t="shared" si="204"/>
        <v>12013</v>
      </c>
      <c r="H199" s="198" t="str">
        <f t="shared" si="205"/>
        <v>enero</v>
      </c>
      <c r="I199" s="114">
        <f>VLOOKUP(B199,'Base de Datos'!$E$7:$W$271,14,0)</f>
        <v>0</v>
      </c>
      <c r="J199" s="200">
        <f t="shared" si="206"/>
        <v>1900</v>
      </c>
      <c r="K199" s="199">
        <f t="shared" si="207"/>
        <v>1</v>
      </c>
      <c r="L199" s="199" t="str">
        <f t="shared" si="208"/>
        <v>11900</v>
      </c>
      <c r="M199" s="199" t="str">
        <f t="shared" si="209"/>
        <v>enero</v>
      </c>
      <c r="N199" s="199">
        <f t="shared" ca="1" si="210"/>
        <v>44228</v>
      </c>
      <c r="O199" s="242" t="str">
        <f t="shared" ca="1" si="211"/>
        <v>SI</v>
      </c>
      <c r="P199" s="242" t="str">
        <f t="shared" si="220"/>
        <v/>
      </c>
      <c r="Q199" s="242" t="str">
        <f t="shared" si="212"/>
        <v/>
      </c>
      <c r="R199" s="242" t="str">
        <f t="shared" si="213"/>
        <v/>
      </c>
      <c r="S199" s="242" t="str">
        <f t="shared" si="214"/>
        <v/>
      </c>
      <c r="T199" s="242" t="str">
        <f t="shared" si="215"/>
        <v/>
      </c>
      <c r="U199" s="242" t="str">
        <f t="shared" si="216"/>
        <v/>
      </c>
      <c r="V199" s="242" t="str">
        <f t="shared" ref="V199:V261" si="223">IF(AND(E199&lt;$V$2,I199&gt;$V$2),"1","")</f>
        <v/>
      </c>
      <c r="W199" s="242" t="str">
        <f t="shared" si="217"/>
        <v/>
      </c>
      <c r="X199" s="242" t="str">
        <f t="shared" si="218"/>
        <v/>
      </c>
      <c r="Y199" s="242" t="str">
        <f t="shared" si="222"/>
        <v/>
      </c>
      <c r="Z199" s="242" t="str">
        <f t="shared" si="219"/>
        <v/>
      </c>
      <c r="AA199" s="242" t="str">
        <f t="shared" si="173"/>
        <v/>
      </c>
      <c r="AB199" s="242" t="str">
        <f t="shared" si="165"/>
        <v/>
      </c>
      <c r="AC199" s="242" t="str">
        <f t="shared" si="171"/>
        <v/>
      </c>
      <c r="AD199" s="242" t="str">
        <f t="shared" si="178"/>
        <v/>
      </c>
      <c r="AE199" s="242" t="str">
        <f t="shared" si="181"/>
        <v/>
      </c>
      <c r="AF199" s="242" t="str">
        <f t="shared" si="188"/>
        <v/>
      </c>
      <c r="AG199" s="242" t="str">
        <f t="shared" si="195"/>
        <v/>
      </c>
      <c r="AH199" s="242" t="str">
        <f t="shared" si="200"/>
        <v/>
      </c>
      <c r="AI199" s="242" t="str">
        <f t="shared" si="201"/>
        <v/>
      </c>
      <c r="AJ199" s="242" t="str">
        <f t="shared" ref="AJ199:AJ230" si="224">IF(AND(E199&lt;$AJ$2,I199&gt;$AJ$2),"1","")</f>
        <v/>
      </c>
      <c r="AK199" s="242" t="str">
        <f t="shared" si="189"/>
        <v/>
      </c>
      <c r="AL199" s="242" t="str">
        <f t="shared" si="192"/>
        <v/>
      </c>
      <c r="AM199" s="242" t="str">
        <f t="shared" si="196"/>
        <v/>
      </c>
      <c r="AN199" s="199" t="str">
        <f t="shared" ref="AN199:AN230" si="225">IF(AND(E199&lt;$AN$2,I199&gt;$AN$2),"1","")</f>
        <v/>
      </c>
      <c r="AO199" s="199" t="str">
        <f t="shared" si="190"/>
        <v/>
      </c>
      <c r="AP199" s="199" t="str">
        <f t="shared" si="198"/>
        <v/>
      </c>
      <c r="AQ199" s="199" t="str">
        <f t="shared" si="202"/>
        <v/>
      </c>
      <c r="AR199" s="199" t="str">
        <f t="shared" ref="AR199:AR230" si="226">IF(AND(E199&lt;$AR$2,I199&gt;$AR$2),"1","")</f>
        <v/>
      </c>
      <c r="AS199" s="199" t="str">
        <f t="shared" si="193"/>
        <v/>
      </c>
      <c r="AT199" s="199" t="str">
        <f t="shared" si="194"/>
        <v/>
      </c>
      <c r="AU199" s="199" t="str">
        <f t="shared" si="199"/>
        <v/>
      </c>
      <c r="AV199" s="199" t="str">
        <f t="shared" si="221"/>
        <v/>
      </c>
      <c r="AW199" s="199" t="str">
        <f t="shared" si="187"/>
        <v/>
      </c>
      <c r="AX199" s="199" t="str">
        <f t="shared" si="191"/>
        <v/>
      </c>
      <c r="AY199" s="199" t="str">
        <f t="shared" si="197"/>
        <v/>
      </c>
    </row>
    <row r="200" spans="1:51" x14ac:dyDescent="0.3">
      <c r="A200" s="191">
        <v>198</v>
      </c>
      <c r="B200" s="231" t="s">
        <v>1112</v>
      </c>
      <c r="C200" s="120" t="s">
        <v>1113</v>
      </c>
      <c r="D200" s="139">
        <v>2014</v>
      </c>
      <c r="E200" s="124">
        <v>41929</v>
      </c>
      <c r="F200" s="198">
        <f t="shared" si="203"/>
        <v>10</v>
      </c>
      <c r="G200" s="198" t="str">
        <f t="shared" si="204"/>
        <v>102014</v>
      </c>
      <c r="H200" s="198" t="str">
        <f t="shared" si="205"/>
        <v>octubre</v>
      </c>
      <c r="I200" s="114">
        <f>VLOOKUP(B200,'Base de Datos'!$E$7:$W$271,14,0)</f>
        <v>0</v>
      </c>
      <c r="J200" s="200">
        <f t="shared" si="206"/>
        <v>1900</v>
      </c>
      <c r="K200" s="199">
        <f t="shared" si="207"/>
        <v>1</v>
      </c>
      <c r="L200" s="199" t="str">
        <f t="shared" si="208"/>
        <v>11900</v>
      </c>
      <c r="M200" s="199" t="str">
        <f t="shared" si="209"/>
        <v>enero</v>
      </c>
      <c r="N200" s="199">
        <f t="shared" ca="1" si="210"/>
        <v>44228</v>
      </c>
      <c r="O200" s="242" t="str">
        <f t="shared" ca="1" si="211"/>
        <v>SI</v>
      </c>
      <c r="P200" s="242" t="str">
        <f t="shared" si="220"/>
        <v/>
      </c>
      <c r="Q200" s="242" t="str">
        <f t="shared" si="212"/>
        <v/>
      </c>
      <c r="R200" s="242" t="str">
        <f t="shared" si="213"/>
        <v/>
      </c>
      <c r="S200" s="242" t="str">
        <f t="shared" si="214"/>
        <v/>
      </c>
      <c r="T200" s="242" t="str">
        <f t="shared" si="215"/>
        <v/>
      </c>
      <c r="U200" s="242" t="str">
        <f t="shared" si="216"/>
        <v/>
      </c>
      <c r="V200" s="242" t="str">
        <f t="shared" si="223"/>
        <v/>
      </c>
      <c r="W200" s="242" t="str">
        <f t="shared" si="217"/>
        <v/>
      </c>
      <c r="X200" s="242" t="str">
        <f t="shared" si="218"/>
        <v/>
      </c>
      <c r="Y200" s="242" t="str">
        <f t="shared" si="222"/>
        <v/>
      </c>
      <c r="Z200" s="242" t="str">
        <f t="shared" si="219"/>
        <v/>
      </c>
      <c r="AA200" s="242" t="str">
        <f t="shared" si="173"/>
        <v/>
      </c>
      <c r="AB200" s="242" t="str">
        <f t="shared" si="165"/>
        <v/>
      </c>
      <c r="AC200" s="242" t="str">
        <f t="shared" si="171"/>
        <v/>
      </c>
      <c r="AD200" s="242" t="str">
        <f t="shared" si="178"/>
        <v/>
      </c>
      <c r="AE200" s="242" t="str">
        <f t="shared" si="181"/>
        <v/>
      </c>
      <c r="AF200" s="242" t="str">
        <f t="shared" si="188"/>
        <v/>
      </c>
      <c r="AG200" s="242" t="str">
        <f t="shared" si="195"/>
        <v/>
      </c>
      <c r="AH200" s="242" t="str">
        <f t="shared" si="200"/>
        <v/>
      </c>
      <c r="AI200" s="242" t="str">
        <f t="shared" si="201"/>
        <v/>
      </c>
      <c r="AJ200" s="242" t="str">
        <f t="shared" si="224"/>
        <v/>
      </c>
      <c r="AK200" s="242" t="str">
        <f t="shared" si="189"/>
        <v/>
      </c>
      <c r="AL200" s="242" t="str">
        <f t="shared" si="192"/>
        <v/>
      </c>
      <c r="AM200" s="242" t="str">
        <f t="shared" si="196"/>
        <v/>
      </c>
      <c r="AN200" s="199" t="str">
        <f t="shared" si="225"/>
        <v/>
      </c>
      <c r="AO200" s="199" t="str">
        <f t="shared" si="190"/>
        <v/>
      </c>
      <c r="AP200" s="199" t="str">
        <f t="shared" si="198"/>
        <v/>
      </c>
      <c r="AQ200" s="199" t="str">
        <f t="shared" si="202"/>
        <v/>
      </c>
      <c r="AR200" s="199" t="str">
        <f t="shared" si="226"/>
        <v/>
      </c>
      <c r="AS200" s="199" t="str">
        <f t="shared" si="193"/>
        <v/>
      </c>
      <c r="AT200" s="199" t="str">
        <f t="shared" si="194"/>
        <v/>
      </c>
      <c r="AU200" s="199" t="str">
        <f t="shared" si="199"/>
        <v/>
      </c>
      <c r="AV200" s="199" t="str">
        <f t="shared" si="221"/>
        <v/>
      </c>
      <c r="AW200" s="199" t="str">
        <f t="shared" si="187"/>
        <v/>
      </c>
      <c r="AX200" s="199" t="str">
        <f t="shared" si="191"/>
        <v/>
      </c>
      <c r="AY200" s="199" t="str">
        <f t="shared" si="197"/>
        <v/>
      </c>
    </row>
    <row r="201" spans="1:51" ht="20.399999999999999" x14ac:dyDescent="0.3">
      <c r="A201" s="191">
        <v>199</v>
      </c>
      <c r="B201" s="225" t="s">
        <v>405</v>
      </c>
      <c r="C201" s="120" t="s">
        <v>238</v>
      </c>
      <c r="D201" s="139">
        <v>2013</v>
      </c>
      <c r="E201" s="124">
        <v>41662</v>
      </c>
      <c r="F201" s="198">
        <f t="shared" si="203"/>
        <v>1</v>
      </c>
      <c r="G201" s="198" t="str">
        <f t="shared" si="204"/>
        <v>12013</v>
      </c>
      <c r="H201" s="198" t="str">
        <f t="shared" si="205"/>
        <v>enero</v>
      </c>
      <c r="I201" s="114">
        <f>VLOOKUP(B201,'Base de Datos'!$E$7:$W$271,14,0)</f>
        <v>0</v>
      </c>
      <c r="J201" s="200">
        <f t="shared" si="206"/>
        <v>1900</v>
      </c>
      <c r="K201" s="199">
        <f t="shared" si="207"/>
        <v>1</v>
      </c>
      <c r="L201" s="199" t="str">
        <f t="shared" si="208"/>
        <v>11900</v>
      </c>
      <c r="M201" s="199" t="str">
        <f t="shared" si="209"/>
        <v>enero</v>
      </c>
      <c r="N201" s="199">
        <f t="shared" ca="1" si="210"/>
        <v>44228</v>
      </c>
      <c r="O201" s="242" t="str">
        <f t="shared" ca="1" si="211"/>
        <v>SI</v>
      </c>
      <c r="P201" s="242" t="str">
        <f t="shared" si="220"/>
        <v/>
      </c>
      <c r="Q201" s="242" t="str">
        <f t="shared" si="212"/>
        <v/>
      </c>
      <c r="R201" s="242" t="str">
        <f t="shared" si="213"/>
        <v/>
      </c>
      <c r="S201" s="242" t="str">
        <f t="shared" si="214"/>
        <v/>
      </c>
      <c r="T201" s="242" t="str">
        <f t="shared" si="215"/>
        <v/>
      </c>
      <c r="U201" s="242" t="str">
        <f t="shared" si="216"/>
        <v/>
      </c>
      <c r="V201" s="242" t="str">
        <f t="shared" si="223"/>
        <v/>
      </c>
      <c r="W201" s="242" t="str">
        <f t="shared" si="217"/>
        <v/>
      </c>
      <c r="X201" s="242" t="str">
        <f t="shared" si="218"/>
        <v/>
      </c>
      <c r="Y201" s="242" t="str">
        <f t="shared" si="222"/>
        <v/>
      </c>
      <c r="Z201" s="242" t="str">
        <f t="shared" si="219"/>
        <v/>
      </c>
      <c r="AA201" s="242" t="str">
        <f t="shared" si="173"/>
        <v/>
      </c>
      <c r="AB201" s="242" t="str">
        <f t="shared" si="165"/>
        <v/>
      </c>
      <c r="AC201" s="242" t="str">
        <f t="shared" si="171"/>
        <v/>
      </c>
      <c r="AD201" s="242" t="str">
        <f t="shared" si="178"/>
        <v/>
      </c>
      <c r="AE201" s="242" t="str">
        <f t="shared" si="181"/>
        <v/>
      </c>
      <c r="AF201" s="242" t="str">
        <f t="shared" si="188"/>
        <v/>
      </c>
      <c r="AG201" s="242" t="str">
        <f t="shared" si="195"/>
        <v/>
      </c>
      <c r="AH201" s="242" t="str">
        <f t="shared" si="200"/>
        <v/>
      </c>
      <c r="AI201" s="242" t="str">
        <f t="shared" si="201"/>
        <v/>
      </c>
      <c r="AJ201" s="242" t="str">
        <f t="shared" si="224"/>
        <v/>
      </c>
      <c r="AK201" s="242" t="str">
        <f t="shared" si="189"/>
        <v/>
      </c>
      <c r="AL201" s="242" t="str">
        <f t="shared" si="192"/>
        <v/>
      </c>
      <c r="AM201" s="242" t="str">
        <f t="shared" si="196"/>
        <v/>
      </c>
      <c r="AN201" s="199" t="str">
        <f t="shared" si="225"/>
        <v/>
      </c>
      <c r="AO201" s="199" t="str">
        <f t="shared" si="190"/>
        <v/>
      </c>
      <c r="AP201" s="199" t="str">
        <f t="shared" si="198"/>
        <v/>
      </c>
      <c r="AQ201" s="199" t="str">
        <f t="shared" si="202"/>
        <v/>
      </c>
      <c r="AR201" s="199" t="str">
        <f t="shared" si="226"/>
        <v/>
      </c>
      <c r="AS201" s="199" t="str">
        <f t="shared" si="193"/>
        <v/>
      </c>
      <c r="AT201" s="199" t="str">
        <f t="shared" si="194"/>
        <v/>
      </c>
      <c r="AU201" s="199" t="str">
        <f t="shared" si="199"/>
        <v/>
      </c>
      <c r="AV201" s="199" t="str">
        <f t="shared" si="221"/>
        <v/>
      </c>
      <c r="AW201" s="199" t="str">
        <f t="shared" ref="AW201:AW232" si="227">IF(AND(E201&lt;$AW$2,I201&gt;$AW$2),"1","")</f>
        <v/>
      </c>
      <c r="AX201" s="199" t="str">
        <f t="shared" si="191"/>
        <v/>
      </c>
      <c r="AY201" s="199" t="str">
        <f t="shared" si="197"/>
        <v/>
      </c>
    </row>
    <row r="202" spans="1:51" ht="20.399999999999999" x14ac:dyDescent="0.3">
      <c r="A202" s="191">
        <v>200</v>
      </c>
      <c r="B202" s="225" t="s">
        <v>1070</v>
      </c>
      <c r="C202" s="148" t="s">
        <v>1071</v>
      </c>
      <c r="D202" s="139">
        <v>2014</v>
      </c>
      <c r="E202" s="124">
        <v>41911</v>
      </c>
      <c r="F202" s="198">
        <f t="shared" si="203"/>
        <v>9</v>
      </c>
      <c r="G202" s="198" t="str">
        <f t="shared" si="204"/>
        <v>92014</v>
      </c>
      <c r="H202" s="198" t="str">
        <f t="shared" si="205"/>
        <v>septiembre</v>
      </c>
      <c r="I202" s="114">
        <f>VLOOKUP(B202,'Base de Datos'!$E$7:$W$271,14,0)</f>
        <v>0</v>
      </c>
      <c r="J202" s="200">
        <f t="shared" si="206"/>
        <v>1900</v>
      </c>
      <c r="K202" s="199">
        <f t="shared" si="207"/>
        <v>1</v>
      </c>
      <c r="L202" s="199" t="str">
        <f t="shared" si="208"/>
        <v>11900</v>
      </c>
      <c r="M202" s="199" t="str">
        <f t="shared" si="209"/>
        <v>enero</v>
      </c>
      <c r="N202" s="199">
        <f t="shared" ca="1" si="210"/>
        <v>44228</v>
      </c>
      <c r="O202" s="242" t="str">
        <f t="shared" ca="1" si="211"/>
        <v>SI</v>
      </c>
      <c r="P202" s="242" t="str">
        <f t="shared" si="220"/>
        <v/>
      </c>
      <c r="Q202" s="242" t="str">
        <f t="shared" si="212"/>
        <v/>
      </c>
      <c r="R202" s="242" t="str">
        <f t="shared" si="213"/>
        <v/>
      </c>
      <c r="S202" s="242" t="str">
        <f t="shared" si="214"/>
        <v/>
      </c>
      <c r="T202" s="242" t="str">
        <f t="shared" si="215"/>
        <v/>
      </c>
      <c r="U202" s="242" t="str">
        <f t="shared" si="216"/>
        <v/>
      </c>
      <c r="V202" s="242" t="str">
        <f t="shared" si="223"/>
        <v/>
      </c>
      <c r="W202" s="242" t="str">
        <f t="shared" si="217"/>
        <v/>
      </c>
      <c r="X202" s="242" t="str">
        <f t="shared" si="218"/>
        <v/>
      </c>
      <c r="Y202" s="242" t="str">
        <f t="shared" si="222"/>
        <v/>
      </c>
      <c r="Z202" s="242" t="str">
        <f t="shared" si="219"/>
        <v/>
      </c>
      <c r="AA202" s="242" t="str">
        <f t="shared" si="173"/>
        <v/>
      </c>
      <c r="AB202" s="242" t="str">
        <f t="shared" ref="AB202:AB261" si="228">IF(AND(E202&lt;$AB$2,I202&gt;$AB$2),"1","")</f>
        <v/>
      </c>
      <c r="AC202" s="242" t="str">
        <f t="shared" si="171"/>
        <v/>
      </c>
      <c r="AD202" s="242" t="str">
        <f t="shared" si="178"/>
        <v/>
      </c>
      <c r="AE202" s="242" t="str">
        <f t="shared" si="181"/>
        <v/>
      </c>
      <c r="AF202" s="242" t="str">
        <f t="shared" si="188"/>
        <v/>
      </c>
      <c r="AG202" s="242" t="str">
        <f t="shared" si="195"/>
        <v/>
      </c>
      <c r="AH202" s="242" t="str">
        <f t="shared" si="200"/>
        <v/>
      </c>
      <c r="AI202" s="242" t="str">
        <f t="shared" si="201"/>
        <v/>
      </c>
      <c r="AJ202" s="242" t="str">
        <f t="shared" si="224"/>
        <v/>
      </c>
      <c r="AK202" s="242" t="str">
        <f t="shared" si="189"/>
        <v/>
      </c>
      <c r="AL202" s="242" t="str">
        <f t="shared" si="192"/>
        <v/>
      </c>
      <c r="AM202" s="242" t="str">
        <f t="shared" si="196"/>
        <v/>
      </c>
      <c r="AN202" s="199" t="str">
        <f t="shared" si="225"/>
        <v/>
      </c>
      <c r="AO202" s="199" t="str">
        <f t="shared" si="190"/>
        <v/>
      </c>
      <c r="AP202" s="199" t="str">
        <f t="shared" si="198"/>
        <v/>
      </c>
      <c r="AQ202" s="199" t="str">
        <f t="shared" si="202"/>
        <v/>
      </c>
      <c r="AR202" s="199" t="str">
        <f t="shared" si="226"/>
        <v/>
      </c>
      <c r="AS202" s="199" t="str">
        <f t="shared" si="193"/>
        <v/>
      </c>
      <c r="AT202" s="199" t="str">
        <f t="shared" si="194"/>
        <v/>
      </c>
      <c r="AU202" s="199" t="str">
        <f t="shared" si="199"/>
        <v/>
      </c>
      <c r="AV202" s="199" t="str">
        <f t="shared" si="221"/>
        <v/>
      </c>
      <c r="AW202" s="199" t="str">
        <f t="shared" si="227"/>
        <v/>
      </c>
      <c r="AX202" s="199" t="str">
        <f t="shared" si="191"/>
        <v/>
      </c>
      <c r="AY202" s="199" t="str">
        <f t="shared" si="197"/>
        <v/>
      </c>
    </row>
    <row r="203" spans="1:51" x14ac:dyDescent="0.3">
      <c r="A203" s="191">
        <v>201</v>
      </c>
      <c r="B203" s="236" t="str">
        <f>+'Base de Datos'!E261</f>
        <v>140370-0-2014</v>
      </c>
      <c r="C203" s="212" t="str">
        <f>+'Base de Datos'!F261</f>
        <v>RIGOBERTO GÓMEZ JAIMES</v>
      </c>
      <c r="D203" s="212">
        <f>YEAR(E203)</f>
        <v>2014</v>
      </c>
      <c r="E203" s="213">
        <f>+'Base de Datos'!M261</f>
        <v>41982</v>
      </c>
      <c r="F203" s="198">
        <f t="shared" si="203"/>
        <v>12</v>
      </c>
      <c r="G203" s="198" t="str">
        <f t="shared" si="204"/>
        <v>122014</v>
      </c>
      <c r="H203" s="198" t="str">
        <f t="shared" si="205"/>
        <v>diciembre</v>
      </c>
      <c r="I203" s="114">
        <f>VLOOKUP(B203,'Base de Datos'!$E$7:$W$271,14,0)</f>
        <v>0</v>
      </c>
      <c r="J203" s="200">
        <f t="shared" si="206"/>
        <v>1900</v>
      </c>
      <c r="K203" s="199">
        <f t="shared" si="207"/>
        <v>1</v>
      </c>
      <c r="L203" s="199" t="str">
        <f t="shared" si="208"/>
        <v>11900</v>
      </c>
      <c r="M203" s="199" t="str">
        <f t="shared" si="209"/>
        <v>enero</v>
      </c>
      <c r="N203" s="199">
        <f t="shared" ca="1" si="210"/>
        <v>44228</v>
      </c>
      <c r="O203" s="242" t="str">
        <f t="shared" ca="1" si="211"/>
        <v>SI</v>
      </c>
      <c r="P203" s="242" t="str">
        <f t="shared" si="220"/>
        <v/>
      </c>
      <c r="Q203" s="242" t="str">
        <f t="shared" si="212"/>
        <v/>
      </c>
      <c r="R203" s="242" t="str">
        <f t="shared" si="213"/>
        <v/>
      </c>
      <c r="S203" s="242" t="str">
        <f t="shared" si="214"/>
        <v/>
      </c>
      <c r="T203" s="242" t="str">
        <f t="shared" si="215"/>
        <v/>
      </c>
      <c r="U203" s="242" t="str">
        <f t="shared" si="216"/>
        <v/>
      </c>
      <c r="V203" s="242" t="str">
        <f t="shared" si="223"/>
        <v/>
      </c>
      <c r="W203" s="242" t="str">
        <f t="shared" si="217"/>
        <v/>
      </c>
      <c r="X203" s="242" t="str">
        <f t="shared" si="218"/>
        <v/>
      </c>
      <c r="Y203" s="242" t="str">
        <f t="shared" si="222"/>
        <v/>
      </c>
      <c r="Z203" s="242" t="str">
        <f t="shared" si="219"/>
        <v/>
      </c>
      <c r="AA203" s="242" t="str">
        <f t="shared" si="173"/>
        <v/>
      </c>
      <c r="AB203" s="242" t="str">
        <f t="shared" si="228"/>
        <v/>
      </c>
      <c r="AC203" s="242" t="str">
        <f t="shared" si="171"/>
        <v/>
      </c>
      <c r="AD203" s="242" t="str">
        <f t="shared" si="178"/>
        <v/>
      </c>
      <c r="AE203" s="242" t="str">
        <f t="shared" si="181"/>
        <v/>
      </c>
      <c r="AF203" s="242" t="str">
        <f t="shared" si="188"/>
        <v/>
      </c>
      <c r="AG203" s="242" t="str">
        <f t="shared" si="195"/>
        <v/>
      </c>
      <c r="AH203" s="242" t="str">
        <f t="shared" si="200"/>
        <v/>
      </c>
      <c r="AI203" s="242" t="str">
        <f t="shared" si="201"/>
        <v/>
      </c>
      <c r="AJ203" s="242" t="str">
        <f t="shared" si="224"/>
        <v/>
      </c>
      <c r="AK203" s="242" t="str">
        <f t="shared" si="189"/>
        <v/>
      </c>
      <c r="AL203" s="242" t="str">
        <f t="shared" si="192"/>
        <v/>
      </c>
      <c r="AM203" s="242" t="str">
        <f t="shared" si="196"/>
        <v/>
      </c>
      <c r="AN203" s="199" t="str">
        <f t="shared" si="225"/>
        <v/>
      </c>
      <c r="AO203" s="199" t="str">
        <f t="shared" si="190"/>
        <v/>
      </c>
      <c r="AP203" s="199" t="str">
        <f t="shared" si="198"/>
        <v/>
      </c>
      <c r="AQ203" s="199" t="str">
        <f t="shared" si="202"/>
        <v/>
      </c>
      <c r="AR203" s="199" t="str">
        <f t="shared" si="226"/>
        <v/>
      </c>
      <c r="AS203" s="199" t="str">
        <f t="shared" si="193"/>
        <v/>
      </c>
      <c r="AT203" s="199" t="str">
        <f t="shared" si="194"/>
        <v/>
      </c>
      <c r="AU203" s="199" t="str">
        <f t="shared" si="199"/>
        <v/>
      </c>
      <c r="AV203" s="199" t="str">
        <f t="shared" si="221"/>
        <v/>
      </c>
      <c r="AW203" s="199" t="str">
        <f t="shared" si="227"/>
        <v/>
      </c>
      <c r="AX203" s="199" t="str">
        <f t="shared" si="191"/>
        <v/>
      </c>
      <c r="AY203" s="199" t="str">
        <f t="shared" si="197"/>
        <v/>
      </c>
    </row>
    <row r="204" spans="1:51" x14ac:dyDescent="0.3">
      <c r="A204" s="191">
        <v>202</v>
      </c>
      <c r="B204" s="225" t="s">
        <v>556</v>
      </c>
      <c r="C204" s="120" t="s">
        <v>1004</v>
      </c>
      <c r="D204" s="139">
        <v>2014</v>
      </c>
      <c r="E204" s="124">
        <v>41893</v>
      </c>
      <c r="F204" s="198">
        <f t="shared" si="203"/>
        <v>9</v>
      </c>
      <c r="G204" s="198" t="str">
        <f t="shared" si="204"/>
        <v>92014</v>
      </c>
      <c r="H204" s="198" t="str">
        <f t="shared" si="205"/>
        <v>septiembre</v>
      </c>
      <c r="I204" s="114">
        <f>VLOOKUP(B204,'Base de Datos'!$E$7:$W$271,14,0)</f>
        <v>0</v>
      </c>
      <c r="J204" s="200">
        <f t="shared" si="206"/>
        <v>1900</v>
      </c>
      <c r="K204" s="199">
        <f t="shared" si="207"/>
        <v>1</v>
      </c>
      <c r="L204" s="199" t="str">
        <f t="shared" si="208"/>
        <v>11900</v>
      </c>
      <c r="M204" s="199" t="str">
        <f t="shared" si="209"/>
        <v>enero</v>
      </c>
      <c r="N204" s="199">
        <f t="shared" ca="1" si="210"/>
        <v>44228</v>
      </c>
      <c r="O204" s="242" t="str">
        <f t="shared" ca="1" si="211"/>
        <v>SI</v>
      </c>
      <c r="P204" s="242" t="str">
        <f t="shared" si="220"/>
        <v/>
      </c>
      <c r="Q204" s="242" t="str">
        <f t="shared" si="212"/>
        <v/>
      </c>
      <c r="R204" s="242" t="str">
        <f t="shared" si="213"/>
        <v/>
      </c>
      <c r="S204" s="242" t="str">
        <f t="shared" si="214"/>
        <v/>
      </c>
      <c r="T204" s="242" t="str">
        <f t="shared" si="215"/>
        <v/>
      </c>
      <c r="U204" s="242" t="str">
        <f t="shared" si="216"/>
        <v/>
      </c>
      <c r="V204" s="242" t="str">
        <f t="shared" si="223"/>
        <v/>
      </c>
      <c r="W204" s="242" t="str">
        <f t="shared" si="217"/>
        <v/>
      </c>
      <c r="X204" s="242" t="str">
        <f t="shared" si="218"/>
        <v/>
      </c>
      <c r="Y204" s="242" t="str">
        <f t="shared" si="222"/>
        <v/>
      </c>
      <c r="Z204" s="242" t="str">
        <f t="shared" si="219"/>
        <v/>
      </c>
      <c r="AA204" s="242" t="str">
        <f t="shared" si="173"/>
        <v/>
      </c>
      <c r="AB204" s="242" t="str">
        <f t="shared" si="228"/>
        <v/>
      </c>
      <c r="AC204" s="242" t="str">
        <f t="shared" si="171"/>
        <v/>
      </c>
      <c r="AD204" s="242" t="str">
        <f t="shared" si="178"/>
        <v/>
      </c>
      <c r="AE204" s="242" t="str">
        <f t="shared" si="181"/>
        <v/>
      </c>
      <c r="AF204" s="242" t="str">
        <f t="shared" si="188"/>
        <v/>
      </c>
      <c r="AG204" s="242" t="str">
        <f t="shared" si="195"/>
        <v/>
      </c>
      <c r="AH204" s="242" t="str">
        <f t="shared" si="200"/>
        <v/>
      </c>
      <c r="AI204" s="242" t="str">
        <f t="shared" si="201"/>
        <v/>
      </c>
      <c r="AJ204" s="242" t="str">
        <f t="shared" si="224"/>
        <v/>
      </c>
      <c r="AK204" s="242" t="str">
        <f t="shared" si="189"/>
        <v/>
      </c>
      <c r="AL204" s="242" t="str">
        <f t="shared" si="192"/>
        <v/>
      </c>
      <c r="AM204" s="242" t="str">
        <f t="shared" si="196"/>
        <v/>
      </c>
      <c r="AN204" s="199" t="str">
        <f t="shared" si="225"/>
        <v/>
      </c>
      <c r="AO204" s="199" t="str">
        <f t="shared" si="190"/>
        <v/>
      </c>
      <c r="AP204" s="199" t="str">
        <f t="shared" si="198"/>
        <v/>
      </c>
      <c r="AQ204" s="199" t="str">
        <f t="shared" si="202"/>
        <v/>
      </c>
      <c r="AR204" s="199" t="str">
        <f t="shared" si="226"/>
        <v/>
      </c>
      <c r="AS204" s="199" t="str">
        <f t="shared" si="193"/>
        <v/>
      </c>
      <c r="AT204" s="199" t="str">
        <f t="shared" si="194"/>
        <v/>
      </c>
      <c r="AU204" s="199" t="str">
        <f t="shared" si="199"/>
        <v/>
      </c>
      <c r="AV204" s="199" t="str">
        <f t="shared" si="221"/>
        <v/>
      </c>
      <c r="AW204" s="199" t="str">
        <f t="shared" si="227"/>
        <v/>
      </c>
      <c r="AX204" s="199" t="str">
        <f t="shared" si="191"/>
        <v/>
      </c>
      <c r="AY204" s="199" t="str">
        <f t="shared" si="197"/>
        <v/>
      </c>
    </row>
    <row r="205" spans="1:51" x14ac:dyDescent="0.3">
      <c r="A205" s="191">
        <v>203</v>
      </c>
      <c r="B205" s="225" t="s">
        <v>302</v>
      </c>
      <c r="C205" s="120" t="s">
        <v>303</v>
      </c>
      <c r="D205" s="139">
        <v>2014</v>
      </c>
      <c r="E205" s="124">
        <v>41835</v>
      </c>
      <c r="F205" s="198">
        <f t="shared" si="203"/>
        <v>7</v>
      </c>
      <c r="G205" s="198" t="str">
        <f t="shared" si="204"/>
        <v>72014</v>
      </c>
      <c r="H205" s="198" t="str">
        <f t="shared" si="205"/>
        <v>julio</v>
      </c>
      <c r="I205" s="114">
        <f>VLOOKUP(B205,'Base de Datos'!$E$7:$W$271,14,0)</f>
        <v>0</v>
      </c>
      <c r="J205" s="200">
        <f t="shared" si="206"/>
        <v>1900</v>
      </c>
      <c r="K205" s="199">
        <f t="shared" si="207"/>
        <v>1</v>
      </c>
      <c r="L205" s="199" t="str">
        <f t="shared" si="208"/>
        <v>11900</v>
      </c>
      <c r="M205" s="199" t="str">
        <f t="shared" si="209"/>
        <v>enero</v>
      </c>
      <c r="N205" s="199">
        <f t="shared" ca="1" si="210"/>
        <v>44228</v>
      </c>
      <c r="O205" s="242" t="str">
        <f t="shared" ca="1" si="211"/>
        <v>SI</v>
      </c>
      <c r="P205" s="242" t="str">
        <f t="shared" si="220"/>
        <v/>
      </c>
      <c r="Q205" s="242" t="str">
        <f t="shared" si="212"/>
        <v/>
      </c>
      <c r="R205" s="242" t="str">
        <f t="shared" si="213"/>
        <v/>
      </c>
      <c r="S205" s="242" t="str">
        <f t="shared" si="214"/>
        <v/>
      </c>
      <c r="T205" s="242" t="str">
        <f t="shared" si="215"/>
        <v/>
      </c>
      <c r="U205" s="242" t="str">
        <f t="shared" si="216"/>
        <v/>
      </c>
      <c r="V205" s="242" t="str">
        <f t="shared" si="223"/>
        <v/>
      </c>
      <c r="W205" s="242" t="str">
        <f t="shared" si="217"/>
        <v/>
      </c>
      <c r="X205" s="242" t="str">
        <f t="shared" si="218"/>
        <v/>
      </c>
      <c r="Y205" s="242" t="str">
        <f t="shared" si="222"/>
        <v/>
      </c>
      <c r="Z205" s="242" t="str">
        <f t="shared" si="219"/>
        <v/>
      </c>
      <c r="AA205" s="242" t="str">
        <f t="shared" si="173"/>
        <v/>
      </c>
      <c r="AB205" s="242" t="str">
        <f t="shared" si="228"/>
        <v/>
      </c>
      <c r="AC205" s="242" t="str">
        <f t="shared" si="171"/>
        <v/>
      </c>
      <c r="AD205" s="242" t="str">
        <f t="shared" si="178"/>
        <v/>
      </c>
      <c r="AE205" s="242" t="str">
        <f t="shared" si="181"/>
        <v/>
      </c>
      <c r="AF205" s="242" t="str">
        <f t="shared" si="188"/>
        <v/>
      </c>
      <c r="AG205" s="242" t="str">
        <f t="shared" si="195"/>
        <v/>
      </c>
      <c r="AH205" s="242" t="str">
        <f t="shared" si="200"/>
        <v/>
      </c>
      <c r="AI205" s="242" t="str">
        <f t="shared" si="201"/>
        <v/>
      </c>
      <c r="AJ205" s="242" t="str">
        <f t="shared" si="224"/>
        <v/>
      </c>
      <c r="AK205" s="242" t="str">
        <f t="shared" si="189"/>
        <v/>
      </c>
      <c r="AL205" s="242" t="str">
        <f t="shared" si="192"/>
        <v/>
      </c>
      <c r="AM205" s="242" t="str">
        <f t="shared" si="196"/>
        <v/>
      </c>
      <c r="AN205" s="199" t="str">
        <f t="shared" si="225"/>
        <v/>
      </c>
      <c r="AO205" s="199" t="str">
        <f t="shared" si="190"/>
        <v/>
      </c>
      <c r="AP205" s="199" t="str">
        <f t="shared" si="198"/>
        <v/>
      </c>
      <c r="AQ205" s="199" t="str">
        <f t="shared" si="202"/>
        <v/>
      </c>
      <c r="AR205" s="199" t="str">
        <f t="shared" si="226"/>
        <v/>
      </c>
      <c r="AS205" s="199" t="str">
        <f t="shared" si="193"/>
        <v/>
      </c>
      <c r="AT205" s="199" t="str">
        <f t="shared" si="194"/>
        <v/>
      </c>
      <c r="AU205" s="199" t="str">
        <f t="shared" si="199"/>
        <v/>
      </c>
      <c r="AV205" s="199" t="str">
        <f t="shared" si="221"/>
        <v/>
      </c>
      <c r="AW205" s="199" t="str">
        <f t="shared" si="227"/>
        <v/>
      </c>
      <c r="AX205" s="199" t="str">
        <f t="shared" si="191"/>
        <v/>
      </c>
      <c r="AY205" s="199" t="str">
        <f t="shared" si="197"/>
        <v/>
      </c>
    </row>
    <row r="206" spans="1:51" x14ac:dyDescent="0.3">
      <c r="A206" s="191">
        <v>204</v>
      </c>
      <c r="B206" s="231" t="s">
        <v>1068</v>
      </c>
      <c r="C206" s="120" t="s">
        <v>1069</v>
      </c>
      <c r="D206" s="139">
        <v>2014</v>
      </c>
      <c r="E206" s="124">
        <v>41900</v>
      </c>
      <c r="F206" s="198">
        <f t="shared" si="203"/>
        <v>9</v>
      </c>
      <c r="G206" s="198" t="str">
        <f t="shared" si="204"/>
        <v>92014</v>
      </c>
      <c r="H206" s="198" t="str">
        <f t="shared" si="205"/>
        <v>septiembre</v>
      </c>
      <c r="I206" s="114">
        <f>VLOOKUP(B206,'Base de Datos'!$E$7:$W$271,14,0)</f>
        <v>0</v>
      </c>
      <c r="J206" s="200">
        <f t="shared" si="206"/>
        <v>1900</v>
      </c>
      <c r="K206" s="199">
        <f t="shared" si="207"/>
        <v>1</v>
      </c>
      <c r="L206" s="199" t="str">
        <f t="shared" si="208"/>
        <v>11900</v>
      </c>
      <c r="M206" s="199" t="str">
        <f t="shared" si="209"/>
        <v>enero</v>
      </c>
      <c r="N206" s="199">
        <f t="shared" ca="1" si="210"/>
        <v>44228</v>
      </c>
      <c r="O206" s="242" t="str">
        <f t="shared" ca="1" si="211"/>
        <v>SI</v>
      </c>
      <c r="P206" s="242" t="str">
        <f t="shared" si="220"/>
        <v/>
      </c>
      <c r="Q206" s="242" t="str">
        <f t="shared" si="212"/>
        <v/>
      </c>
      <c r="R206" s="242" t="str">
        <f t="shared" si="213"/>
        <v/>
      </c>
      <c r="S206" s="242" t="str">
        <f t="shared" si="214"/>
        <v/>
      </c>
      <c r="T206" s="242" t="str">
        <f t="shared" si="215"/>
        <v/>
      </c>
      <c r="U206" s="242" t="str">
        <f t="shared" si="216"/>
        <v/>
      </c>
      <c r="V206" s="242" t="str">
        <f t="shared" si="223"/>
        <v/>
      </c>
      <c r="W206" s="242" t="str">
        <f t="shared" si="217"/>
        <v/>
      </c>
      <c r="X206" s="242" t="str">
        <f t="shared" si="218"/>
        <v/>
      </c>
      <c r="Y206" s="242" t="str">
        <f t="shared" si="222"/>
        <v/>
      </c>
      <c r="Z206" s="242" t="str">
        <f t="shared" si="219"/>
        <v/>
      </c>
      <c r="AA206" s="242" t="str">
        <f t="shared" si="173"/>
        <v/>
      </c>
      <c r="AB206" s="242" t="str">
        <f t="shared" si="228"/>
        <v/>
      </c>
      <c r="AC206" s="242" t="str">
        <f t="shared" si="171"/>
        <v/>
      </c>
      <c r="AD206" s="242" t="str">
        <f t="shared" si="178"/>
        <v/>
      </c>
      <c r="AE206" s="242" t="str">
        <f t="shared" si="181"/>
        <v/>
      </c>
      <c r="AF206" s="242" t="str">
        <f t="shared" si="188"/>
        <v/>
      </c>
      <c r="AG206" s="242" t="str">
        <f t="shared" si="195"/>
        <v/>
      </c>
      <c r="AH206" s="242" t="str">
        <f t="shared" si="200"/>
        <v/>
      </c>
      <c r="AI206" s="242" t="str">
        <f t="shared" si="201"/>
        <v/>
      </c>
      <c r="AJ206" s="242" t="str">
        <f t="shared" si="224"/>
        <v/>
      </c>
      <c r="AK206" s="242" t="str">
        <f t="shared" si="189"/>
        <v/>
      </c>
      <c r="AL206" s="242" t="str">
        <f t="shared" si="192"/>
        <v/>
      </c>
      <c r="AM206" s="242" t="str">
        <f t="shared" si="196"/>
        <v/>
      </c>
      <c r="AN206" s="199" t="str">
        <f t="shared" si="225"/>
        <v/>
      </c>
      <c r="AO206" s="199" t="str">
        <f t="shared" si="190"/>
        <v/>
      </c>
      <c r="AP206" s="199" t="str">
        <f t="shared" si="198"/>
        <v/>
      </c>
      <c r="AQ206" s="199" t="str">
        <f t="shared" si="202"/>
        <v/>
      </c>
      <c r="AR206" s="199" t="str">
        <f t="shared" si="226"/>
        <v/>
      </c>
      <c r="AS206" s="199" t="str">
        <f t="shared" si="193"/>
        <v/>
      </c>
      <c r="AT206" s="199" t="str">
        <f t="shared" si="194"/>
        <v/>
      </c>
      <c r="AU206" s="199" t="str">
        <f t="shared" si="199"/>
        <v/>
      </c>
      <c r="AV206" s="199" t="str">
        <f t="shared" si="221"/>
        <v/>
      </c>
      <c r="AW206" s="199" t="str">
        <f t="shared" si="227"/>
        <v/>
      </c>
      <c r="AX206" s="199" t="str">
        <f t="shared" si="191"/>
        <v/>
      </c>
      <c r="AY206" s="199" t="str">
        <f t="shared" si="197"/>
        <v/>
      </c>
    </row>
    <row r="207" spans="1:51" x14ac:dyDescent="0.3">
      <c r="A207" s="191">
        <v>205</v>
      </c>
      <c r="B207" s="225" t="s">
        <v>183</v>
      </c>
      <c r="C207" s="120" t="s">
        <v>184</v>
      </c>
      <c r="D207" s="127">
        <v>2013</v>
      </c>
      <c r="E207" s="124">
        <v>41506</v>
      </c>
      <c r="F207" s="198">
        <f t="shared" si="203"/>
        <v>8</v>
      </c>
      <c r="G207" s="198" t="str">
        <f t="shared" si="204"/>
        <v>82013</v>
      </c>
      <c r="H207" s="198" t="str">
        <f t="shared" si="205"/>
        <v>agosto</v>
      </c>
      <c r="I207" s="114">
        <f>VLOOKUP(B207,'Base de Datos'!$E$7:$W$271,14,0)</f>
        <v>1</v>
      </c>
      <c r="J207" s="200">
        <f t="shared" si="206"/>
        <v>1900</v>
      </c>
      <c r="K207" s="199">
        <f t="shared" si="207"/>
        <v>1</v>
      </c>
      <c r="L207" s="199" t="str">
        <f t="shared" si="208"/>
        <v>11900</v>
      </c>
      <c r="M207" s="199" t="str">
        <f t="shared" si="209"/>
        <v>enero</v>
      </c>
      <c r="N207" s="199">
        <f t="shared" ca="1" si="210"/>
        <v>44227</v>
      </c>
      <c r="O207" s="242" t="str">
        <f t="shared" ca="1" si="211"/>
        <v>SI</v>
      </c>
      <c r="P207" s="242" t="str">
        <f t="shared" si="220"/>
        <v/>
      </c>
      <c r="Q207" s="242" t="str">
        <f t="shared" si="212"/>
        <v/>
      </c>
      <c r="R207" s="242" t="str">
        <f t="shared" si="213"/>
        <v/>
      </c>
      <c r="S207" s="242" t="str">
        <f t="shared" si="214"/>
        <v/>
      </c>
      <c r="T207" s="242" t="str">
        <f t="shared" si="215"/>
        <v/>
      </c>
      <c r="U207" s="242" t="str">
        <f t="shared" si="216"/>
        <v/>
      </c>
      <c r="V207" s="242" t="str">
        <f t="shared" si="223"/>
        <v/>
      </c>
      <c r="W207" s="242" t="str">
        <f t="shared" si="217"/>
        <v/>
      </c>
      <c r="X207" s="242" t="str">
        <f t="shared" si="218"/>
        <v/>
      </c>
      <c r="Y207" s="242" t="str">
        <f t="shared" si="222"/>
        <v/>
      </c>
      <c r="Z207" s="242" t="str">
        <f t="shared" si="219"/>
        <v/>
      </c>
      <c r="AA207" s="242" t="str">
        <f t="shared" si="173"/>
        <v/>
      </c>
      <c r="AB207" s="242" t="str">
        <f t="shared" si="228"/>
        <v/>
      </c>
      <c r="AC207" s="242" t="str">
        <f t="shared" si="171"/>
        <v/>
      </c>
      <c r="AD207" s="242" t="str">
        <f t="shared" si="178"/>
        <v/>
      </c>
      <c r="AE207" s="242" t="str">
        <f t="shared" si="181"/>
        <v/>
      </c>
      <c r="AF207" s="242" t="str">
        <f t="shared" si="188"/>
        <v/>
      </c>
      <c r="AG207" s="242" t="str">
        <f t="shared" si="195"/>
        <v/>
      </c>
      <c r="AH207" s="242" t="str">
        <f t="shared" si="200"/>
        <v/>
      </c>
      <c r="AI207" s="242" t="str">
        <f t="shared" si="201"/>
        <v/>
      </c>
      <c r="AJ207" s="242" t="str">
        <f t="shared" si="224"/>
        <v/>
      </c>
      <c r="AK207" s="242" t="str">
        <f t="shared" ref="AK207:AK238" si="229">IF(AND(E207&lt;$AK$2,I207&gt;$AK$2),"1","")</f>
        <v/>
      </c>
      <c r="AL207" s="242" t="str">
        <f t="shared" si="192"/>
        <v/>
      </c>
      <c r="AM207" s="242" t="str">
        <f t="shared" si="196"/>
        <v/>
      </c>
      <c r="AN207" s="199" t="str">
        <f t="shared" si="225"/>
        <v/>
      </c>
      <c r="AO207" s="199" t="str">
        <f t="shared" ref="AO207:AO238" si="230">IF(AND(E207&lt;$AO$2,I207&gt;$AO$2),"1","")</f>
        <v/>
      </c>
      <c r="AP207" s="199" t="str">
        <f t="shared" si="198"/>
        <v/>
      </c>
      <c r="AQ207" s="199" t="str">
        <f t="shared" si="202"/>
        <v/>
      </c>
      <c r="AR207" s="199" t="str">
        <f t="shared" si="226"/>
        <v/>
      </c>
      <c r="AS207" s="199" t="str">
        <f t="shared" si="193"/>
        <v/>
      </c>
      <c r="AT207" s="199" t="str">
        <f t="shared" si="194"/>
        <v/>
      </c>
      <c r="AU207" s="199" t="str">
        <f t="shared" si="199"/>
        <v/>
      </c>
      <c r="AV207" s="199" t="str">
        <f t="shared" si="221"/>
        <v/>
      </c>
      <c r="AW207" s="199" t="str">
        <f t="shared" si="227"/>
        <v/>
      </c>
      <c r="AX207" s="199" t="str">
        <f t="shared" ref="AX207:AX238" si="231">IF(AND(E207&lt;$AX$2,I207&gt;$AX$2),"1","")</f>
        <v/>
      </c>
      <c r="AY207" s="199" t="str">
        <f t="shared" si="197"/>
        <v/>
      </c>
    </row>
    <row r="208" spans="1:51" x14ac:dyDescent="0.3">
      <c r="A208" s="191">
        <v>206</v>
      </c>
      <c r="B208" s="236" t="str">
        <f>+'Base de Datos'!E257</f>
        <v>140356-0-2014</v>
      </c>
      <c r="C208" s="212" t="str">
        <f>+'Base de Datos'!F257</f>
        <v>S.O.S. SOLUCIONES DE OFICINA &amp; SUMINISTROS S.A.S.</v>
      </c>
      <c r="D208" s="212">
        <f>YEAR(E208)</f>
        <v>2014</v>
      </c>
      <c r="E208" s="213">
        <f>+'Base de Datos'!M257</f>
        <v>41968</v>
      </c>
      <c r="F208" s="198">
        <f t="shared" si="203"/>
        <v>11</v>
      </c>
      <c r="G208" s="198" t="str">
        <f t="shared" si="204"/>
        <v>112014</v>
      </c>
      <c r="H208" s="198" t="str">
        <f t="shared" si="205"/>
        <v>noviembre</v>
      </c>
      <c r="I208" s="114">
        <f>VLOOKUP(B208,'Base de Datos'!$E$7:$W$271,14,0)</f>
        <v>0</v>
      </c>
      <c r="J208" s="200">
        <f t="shared" si="206"/>
        <v>1900</v>
      </c>
      <c r="K208" s="199">
        <f t="shared" si="207"/>
        <v>1</v>
      </c>
      <c r="L208" s="199" t="str">
        <f t="shared" si="208"/>
        <v>11900</v>
      </c>
      <c r="M208" s="199" t="str">
        <f t="shared" si="209"/>
        <v>enero</v>
      </c>
      <c r="N208" s="199">
        <f t="shared" ca="1" si="210"/>
        <v>44228</v>
      </c>
      <c r="O208" s="242" t="str">
        <f t="shared" ca="1" si="211"/>
        <v>SI</v>
      </c>
      <c r="P208" s="242" t="str">
        <f t="shared" si="220"/>
        <v/>
      </c>
      <c r="Q208" s="242" t="str">
        <f t="shared" si="212"/>
        <v/>
      </c>
      <c r="R208" s="242" t="str">
        <f t="shared" si="213"/>
        <v/>
      </c>
      <c r="S208" s="242" t="str">
        <f t="shared" si="214"/>
        <v/>
      </c>
      <c r="T208" s="242" t="str">
        <f t="shared" si="215"/>
        <v/>
      </c>
      <c r="U208" s="242" t="str">
        <f t="shared" si="216"/>
        <v/>
      </c>
      <c r="V208" s="242" t="str">
        <f t="shared" si="223"/>
        <v/>
      </c>
      <c r="W208" s="242" t="str">
        <f t="shared" si="217"/>
        <v/>
      </c>
      <c r="X208" s="242" t="str">
        <f t="shared" si="218"/>
        <v/>
      </c>
      <c r="Y208" s="242" t="str">
        <f t="shared" si="222"/>
        <v/>
      </c>
      <c r="Z208" s="242" t="str">
        <f t="shared" si="219"/>
        <v/>
      </c>
      <c r="AA208" s="242" t="str">
        <f t="shared" si="173"/>
        <v/>
      </c>
      <c r="AB208" s="242" t="str">
        <f t="shared" si="228"/>
        <v/>
      </c>
      <c r="AC208" s="242" t="str">
        <f t="shared" si="171"/>
        <v/>
      </c>
      <c r="AD208" s="242" t="str">
        <f t="shared" si="178"/>
        <v/>
      </c>
      <c r="AE208" s="242" t="str">
        <f t="shared" si="181"/>
        <v/>
      </c>
      <c r="AF208" s="242" t="str">
        <f t="shared" si="188"/>
        <v/>
      </c>
      <c r="AG208" s="242" t="str">
        <f t="shared" si="195"/>
        <v/>
      </c>
      <c r="AH208" s="242" t="str">
        <f t="shared" si="200"/>
        <v/>
      </c>
      <c r="AI208" s="242" t="str">
        <f t="shared" si="201"/>
        <v/>
      </c>
      <c r="AJ208" s="242" t="str">
        <f t="shared" si="224"/>
        <v/>
      </c>
      <c r="AK208" s="242" t="str">
        <f t="shared" si="229"/>
        <v/>
      </c>
      <c r="AL208" s="242" t="str">
        <f t="shared" ref="AL208:AL239" si="232">IF(AND(E208&lt;$AL$2,I208&gt;$AL$2),"1","")</f>
        <v/>
      </c>
      <c r="AM208" s="242" t="str">
        <f t="shared" si="196"/>
        <v/>
      </c>
      <c r="AN208" s="199" t="str">
        <f t="shared" si="225"/>
        <v/>
      </c>
      <c r="AO208" s="199" t="str">
        <f t="shared" si="230"/>
        <v/>
      </c>
      <c r="AP208" s="199" t="str">
        <f t="shared" si="198"/>
        <v/>
      </c>
      <c r="AQ208" s="199" t="str">
        <f t="shared" si="202"/>
        <v/>
      </c>
      <c r="AR208" s="199" t="str">
        <f t="shared" si="226"/>
        <v/>
      </c>
      <c r="AS208" s="199" t="str">
        <f t="shared" ref="AS208:AS239" si="233">IF(AND(E208&lt;$AS$2,I208&gt;$AS$2),"1","")</f>
        <v/>
      </c>
      <c r="AT208" s="199" t="str">
        <f t="shared" si="194"/>
        <v/>
      </c>
      <c r="AU208" s="199" t="str">
        <f t="shared" si="199"/>
        <v/>
      </c>
      <c r="AV208" s="199" t="str">
        <f t="shared" si="221"/>
        <v/>
      </c>
      <c r="AW208" s="199" t="str">
        <f t="shared" si="227"/>
        <v/>
      </c>
      <c r="AX208" s="199" t="str">
        <f t="shared" si="231"/>
        <v/>
      </c>
      <c r="AY208" s="199" t="str">
        <f t="shared" si="197"/>
        <v/>
      </c>
    </row>
    <row r="209" spans="1:51" x14ac:dyDescent="0.3">
      <c r="A209" s="191">
        <v>207</v>
      </c>
      <c r="B209" s="236" t="str">
        <f>+'Base de Datos'!E256</f>
        <v>140345-0-2014</v>
      </c>
      <c r="C209" s="212" t="str">
        <f>+'Base de Datos'!F256</f>
        <v>JOHN KENNEDY LEON CASTIBLANCO</v>
      </c>
      <c r="D209" s="212">
        <f>YEAR(E209)</f>
        <v>2014</v>
      </c>
      <c r="E209" s="213">
        <f>+'Base de Datos'!M256</f>
        <v>41956</v>
      </c>
      <c r="F209" s="198">
        <f t="shared" si="203"/>
        <v>11</v>
      </c>
      <c r="G209" s="198" t="str">
        <f t="shared" si="204"/>
        <v>112014</v>
      </c>
      <c r="H209" s="198" t="str">
        <f t="shared" si="205"/>
        <v>noviembre</v>
      </c>
      <c r="I209" s="114">
        <f>VLOOKUP(B209,'Base de Datos'!$E$7:$W$271,14,0)</f>
        <v>0</v>
      </c>
      <c r="J209" s="200">
        <f t="shared" si="206"/>
        <v>1900</v>
      </c>
      <c r="K209" s="199">
        <f t="shared" si="207"/>
        <v>1</v>
      </c>
      <c r="L209" s="199" t="str">
        <f t="shared" si="208"/>
        <v>11900</v>
      </c>
      <c r="M209" s="199" t="str">
        <f t="shared" si="209"/>
        <v>enero</v>
      </c>
      <c r="N209" s="199">
        <f t="shared" ca="1" si="210"/>
        <v>44228</v>
      </c>
      <c r="O209" s="242" t="str">
        <f t="shared" ca="1" si="211"/>
        <v>SI</v>
      </c>
      <c r="P209" s="242" t="str">
        <f t="shared" si="220"/>
        <v/>
      </c>
      <c r="Q209" s="242" t="str">
        <f t="shared" si="212"/>
        <v/>
      </c>
      <c r="R209" s="242" t="str">
        <f t="shared" si="213"/>
        <v/>
      </c>
      <c r="S209" s="242" t="str">
        <f t="shared" si="214"/>
        <v/>
      </c>
      <c r="T209" s="242" t="str">
        <f t="shared" si="215"/>
        <v/>
      </c>
      <c r="U209" s="242" t="str">
        <f t="shared" si="216"/>
        <v/>
      </c>
      <c r="V209" s="242" t="str">
        <f t="shared" si="223"/>
        <v/>
      </c>
      <c r="W209" s="242" t="str">
        <f t="shared" si="217"/>
        <v/>
      </c>
      <c r="X209" s="242" t="str">
        <f t="shared" si="218"/>
        <v/>
      </c>
      <c r="Y209" s="242" t="str">
        <f t="shared" si="222"/>
        <v/>
      </c>
      <c r="Z209" s="242" t="str">
        <f t="shared" si="219"/>
        <v/>
      </c>
      <c r="AA209" s="242" t="str">
        <f t="shared" si="173"/>
        <v/>
      </c>
      <c r="AB209" s="242" t="str">
        <f t="shared" si="228"/>
        <v/>
      </c>
      <c r="AC209" s="242" t="str">
        <f t="shared" si="171"/>
        <v/>
      </c>
      <c r="AD209" s="242" t="str">
        <f t="shared" si="178"/>
        <v/>
      </c>
      <c r="AE209" s="242" t="str">
        <f t="shared" si="181"/>
        <v/>
      </c>
      <c r="AF209" s="242" t="str">
        <f t="shared" si="188"/>
        <v/>
      </c>
      <c r="AG209" s="242" t="str">
        <f t="shared" si="195"/>
        <v/>
      </c>
      <c r="AH209" s="242" t="str">
        <f t="shared" si="200"/>
        <v/>
      </c>
      <c r="AI209" s="242" t="str">
        <f t="shared" si="201"/>
        <v/>
      </c>
      <c r="AJ209" s="242" t="str">
        <f t="shared" si="224"/>
        <v/>
      </c>
      <c r="AK209" s="242" t="str">
        <f t="shared" si="229"/>
        <v/>
      </c>
      <c r="AL209" s="242" t="str">
        <f t="shared" si="232"/>
        <v/>
      </c>
      <c r="AM209" s="242" t="str">
        <f t="shared" si="196"/>
        <v/>
      </c>
      <c r="AN209" s="199" t="str">
        <f t="shared" si="225"/>
        <v/>
      </c>
      <c r="AO209" s="199" t="str">
        <f t="shared" si="230"/>
        <v/>
      </c>
      <c r="AP209" s="199" t="str">
        <f t="shared" si="198"/>
        <v/>
      </c>
      <c r="AQ209" s="199" t="str">
        <f t="shared" si="202"/>
        <v/>
      </c>
      <c r="AR209" s="199" t="str">
        <f t="shared" si="226"/>
        <v/>
      </c>
      <c r="AS209" s="199" t="str">
        <f t="shared" si="233"/>
        <v/>
      </c>
      <c r="AT209" s="199" t="str">
        <f t="shared" si="194"/>
        <v/>
      </c>
      <c r="AU209" s="199" t="str">
        <f t="shared" si="199"/>
        <v/>
      </c>
      <c r="AV209" s="199" t="str">
        <f t="shared" si="221"/>
        <v/>
      </c>
      <c r="AW209" s="199" t="str">
        <f t="shared" si="227"/>
        <v/>
      </c>
      <c r="AX209" s="199" t="str">
        <f t="shared" si="231"/>
        <v/>
      </c>
      <c r="AY209" s="199" t="str">
        <f t="shared" si="197"/>
        <v/>
      </c>
    </row>
    <row r="210" spans="1:51" x14ac:dyDescent="0.3">
      <c r="A210" s="191">
        <v>208</v>
      </c>
      <c r="B210" s="236" t="str">
        <f>+'Base de Datos'!E260</f>
        <v>140358-0-2014</v>
      </c>
      <c r="C210" s="212" t="str">
        <f>+'Base de Datos'!F260</f>
        <v>ORGANIZACIÓN TERPEL S.A.</v>
      </c>
      <c r="D210" s="212">
        <f>YEAR(E210)</f>
        <v>2014</v>
      </c>
      <c r="E210" s="213">
        <f>+'Base de Datos'!M260</f>
        <v>41961</v>
      </c>
      <c r="F210" s="198">
        <f t="shared" si="203"/>
        <v>11</v>
      </c>
      <c r="G210" s="198" t="str">
        <f t="shared" si="204"/>
        <v>112014</v>
      </c>
      <c r="H210" s="198" t="str">
        <f t="shared" si="205"/>
        <v>noviembre</v>
      </c>
      <c r="I210" s="114">
        <f>VLOOKUP(B210,'Base de Datos'!$E$7:$W$271,14,0)</f>
        <v>0</v>
      </c>
      <c r="J210" s="200">
        <f t="shared" si="206"/>
        <v>1900</v>
      </c>
      <c r="K210" s="199">
        <f t="shared" si="207"/>
        <v>1</v>
      </c>
      <c r="L210" s="199" t="str">
        <f t="shared" si="208"/>
        <v>11900</v>
      </c>
      <c r="M210" s="199" t="str">
        <f t="shared" si="209"/>
        <v>enero</v>
      </c>
      <c r="N210" s="199">
        <f t="shared" ca="1" si="210"/>
        <v>44228</v>
      </c>
      <c r="O210" s="242" t="str">
        <f t="shared" ca="1" si="211"/>
        <v>SI</v>
      </c>
      <c r="P210" s="242" t="str">
        <f t="shared" si="220"/>
        <v/>
      </c>
      <c r="Q210" s="242" t="str">
        <f t="shared" si="212"/>
        <v/>
      </c>
      <c r="R210" s="242" t="str">
        <f t="shared" si="213"/>
        <v/>
      </c>
      <c r="S210" s="242" t="str">
        <f t="shared" si="214"/>
        <v/>
      </c>
      <c r="T210" s="242" t="str">
        <f t="shared" si="215"/>
        <v/>
      </c>
      <c r="U210" s="242" t="str">
        <f t="shared" si="216"/>
        <v/>
      </c>
      <c r="V210" s="242" t="str">
        <f t="shared" si="223"/>
        <v/>
      </c>
      <c r="W210" s="242" t="str">
        <f t="shared" si="217"/>
        <v/>
      </c>
      <c r="X210" s="242" t="str">
        <f t="shared" si="218"/>
        <v/>
      </c>
      <c r="Y210" s="242" t="str">
        <f t="shared" si="222"/>
        <v/>
      </c>
      <c r="Z210" s="242" t="str">
        <f t="shared" si="219"/>
        <v/>
      </c>
      <c r="AA210" s="242" t="str">
        <f t="shared" si="173"/>
        <v/>
      </c>
      <c r="AB210" s="242" t="str">
        <f t="shared" si="228"/>
        <v/>
      </c>
      <c r="AC210" s="242" t="str">
        <f t="shared" si="171"/>
        <v/>
      </c>
      <c r="AD210" s="242" t="str">
        <f t="shared" si="178"/>
        <v/>
      </c>
      <c r="AE210" s="242" t="str">
        <f t="shared" si="181"/>
        <v/>
      </c>
      <c r="AF210" s="242" t="str">
        <f t="shared" si="188"/>
        <v/>
      </c>
      <c r="AG210" s="242" t="str">
        <f t="shared" si="195"/>
        <v/>
      </c>
      <c r="AH210" s="242" t="str">
        <f t="shared" si="200"/>
        <v/>
      </c>
      <c r="AI210" s="242" t="str">
        <f t="shared" si="201"/>
        <v/>
      </c>
      <c r="AJ210" s="242" t="str">
        <f t="shared" si="224"/>
        <v/>
      </c>
      <c r="AK210" s="242" t="str">
        <f t="shared" si="229"/>
        <v/>
      </c>
      <c r="AL210" s="242" t="str">
        <f t="shared" si="232"/>
        <v/>
      </c>
      <c r="AM210" s="242" t="str">
        <f t="shared" si="196"/>
        <v/>
      </c>
      <c r="AN210" s="199" t="str">
        <f t="shared" si="225"/>
        <v/>
      </c>
      <c r="AO210" s="199" t="str">
        <f t="shared" si="230"/>
        <v/>
      </c>
      <c r="AP210" s="199" t="str">
        <f t="shared" si="198"/>
        <v/>
      </c>
      <c r="AQ210" s="199" t="str">
        <f t="shared" si="202"/>
        <v/>
      </c>
      <c r="AR210" s="199" t="str">
        <f t="shared" si="226"/>
        <v/>
      </c>
      <c r="AS210" s="199" t="str">
        <f t="shared" si="233"/>
        <v/>
      </c>
      <c r="AT210" s="199" t="str">
        <f t="shared" si="194"/>
        <v/>
      </c>
      <c r="AU210" s="199" t="str">
        <f t="shared" si="199"/>
        <v/>
      </c>
      <c r="AV210" s="199" t="str">
        <f t="shared" si="221"/>
        <v/>
      </c>
      <c r="AW210" s="199" t="str">
        <f t="shared" si="227"/>
        <v/>
      </c>
      <c r="AX210" s="199" t="str">
        <f t="shared" si="231"/>
        <v/>
      </c>
      <c r="AY210" s="199" t="str">
        <f t="shared" si="197"/>
        <v/>
      </c>
    </row>
    <row r="211" spans="1:51" x14ac:dyDescent="0.3">
      <c r="A211" s="191">
        <v>209</v>
      </c>
      <c r="B211" s="236" t="str">
        <f>+'Base de Datos'!E250</f>
        <v>140344-0-2014</v>
      </c>
      <c r="C211" s="212" t="str">
        <f>+'Base de Datos'!F250</f>
        <v>GUSTAVO ADOLFO BARRETO CASANOVA</v>
      </c>
      <c r="D211" s="212">
        <f>YEAR(E211)</f>
        <v>2014</v>
      </c>
      <c r="E211" s="213">
        <f>+'Base de Datos'!M250</f>
        <v>41957</v>
      </c>
      <c r="F211" s="198">
        <f t="shared" si="203"/>
        <v>11</v>
      </c>
      <c r="G211" s="198" t="str">
        <f t="shared" si="204"/>
        <v>112014</v>
      </c>
      <c r="H211" s="198" t="str">
        <f t="shared" si="205"/>
        <v>noviembre</v>
      </c>
      <c r="I211" s="114">
        <f>VLOOKUP(B211,'Base de Datos'!$E$7:$W$271,14,0)</f>
        <v>0</v>
      </c>
      <c r="J211" s="200">
        <f t="shared" si="206"/>
        <v>1900</v>
      </c>
      <c r="K211" s="199">
        <f t="shared" si="207"/>
        <v>1</v>
      </c>
      <c r="L211" s="199" t="str">
        <f t="shared" si="208"/>
        <v>11900</v>
      </c>
      <c r="M211" s="199" t="str">
        <f t="shared" si="209"/>
        <v>enero</v>
      </c>
      <c r="N211" s="199">
        <f t="shared" ca="1" si="210"/>
        <v>44228</v>
      </c>
      <c r="O211" s="242" t="str">
        <f t="shared" ca="1" si="211"/>
        <v>SI</v>
      </c>
      <c r="P211" s="242" t="str">
        <f t="shared" si="220"/>
        <v/>
      </c>
      <c r="Q211" s="242" t="str">
        <f t="shared" si="212"/>
        <v/>
      </c>
      <c r="R211" s="242" t="str">
        <f t="shared" si="213"/>
        <v/>
      </c>
      <c r="S211" s="242" t="str">
        <f t="shared" si="214"/>
        <v/>
      </c>
      <c r="T211" s="242" t="str">
        <f t="shared" si="215"/>
        <v/>
      </c>
      <c r="U211" s="242" t="str">
        <f t="shared" si="216"/>
        <v/>
      </c>
      <c r="V211" s="242" t="str">
        <f t="shared" si="223"/>
        <v/>
      </c>
      <c r="W211" s="242" t="str">
        <f t="shared" si="217"/>
        <v/>
      </c>
      <c r="X211" s="242" t="str">
        <f t="shared" si="218"/>
        <v/>
      </c>
      <c r="Y211" s="242" t="str">
        <f t="shared" si="222"/>
        <v/>
      </c>
      <c r="Z211" s="242" t="str">
        <f t="shared" si="219"/>
        <v/>
      </c>
      <c r="AA211" s="242" t="str">
        <f t="shared" si="173"/>
        <v/>
      </c>
      <c r="AB211" s="242" t="str">
        <f t="shared" si="228"/>
        <v/>
      </c>
      <c r="AC211" s="242" t="str">
        <f t="shared" si="171"/>
        <v/>
      </c>
      <c r="AD211" s="242" t="str">
        <f t="shared" si="178"/>
        <v/>
      </c>
      <c r="AE211" s="242" t="str">
        <f t="shared" si="181"/>
        <v/>
      </c>
      <c r="AF211" s="242" t="str">
        <f t="shared" si="188"/>
        <v/>
      </c>
      <c r="AG211" s="242" t="str">
        <f t="shared" si="195"/>
        <v/>
      </c>
      <c r="AH211" s="242" t="str">
        <f t="shared" si="200"/>
        <v/>
      </c>
      <c r="AI211" s="242" t="str">
        <f t="shared" si="201"/>
        <v/>
      </c>
      <c r="AJ211" s="242" t="str">
        <f t="shared" si="224"/>
        <v/>
      </c>
      <c r="AK211" s="242" t="str">
        <f t="shared" si="229"/>
        <v/>
      </c>
      <c r="AL211" s="242" t="str">
        <f t="shared" si="232"/>
        <v/>
      </c>
      <c r="AM211" s="242" t="str">
        <f t="shared" si="196"/>
        <v/>
      </c>
      <c r="AN211" s="199" t="str">
        <f t="shared" si="225"/>
        <v/>
      </c>
      <c r="AO211" s="199" t="str">
        <f t="shared" si="230"/>
        <v/>
      </c>
      <c r="AP211" s="199" t="str">
        <f t="shared" si="198"/>
        <v/>
      </c>
      <c r="AQ211" s="199" t="str">
        <f t="shared" si="202"/>
        <v/>
      </c>
      <c r="AR211" s="199" t="str">
        <f t="shared" si="226"/>
        <v/>
      </c>
      <c r="AS211" s="199" t="str">
        <f t="shared" si="233"/>
        <v/>
      </c>
      <c r="AT211" s="199" t="str">
        <f t="shared" ref="AT211:AT242" si="234">IF(AND(E211&lt;$AT$2,I211&gt;$AT$2),"1","")</f>
        <v/>
      </c>
      <c r="AU211" s="199" t="str">
        <f t="shared" si="199"/>
        <v/>
      </c>
      <c r="AV211" s="199" t="str">
        <f t="shared" si="221"/>
        <v/>
      </c>
      <c r="AW211" s="199" t="str">
        <f t="shared" si="227"/>
        <v/>
      </c>
      <c r="AX211" s="199" t="str">
        <f t="shared" si="231"/>
        <v/>
      </c>
      <c r="AY211" s="199" t="str">
        <f t="shared" si="197"/>
        <v/>
      </c>
    </row>
    <row r="212" spans="1:51" x14ac:dyDescent="0.3">
      <c r="A212" s="191">
        <v>210</v>
      </c>
      <c r="B212" s="225" t="s">
        <v>252</v>
      </c>
      <c r="C212" s="120" t="s">
        <v>86</v>
      </c>
      <c r="D212" s="139">
        <v>2014</v>
      </c>
      <c r="E212" s="124">
        <v>41717</v>
      </c>
      <c r="F212" s="198">
        <f t="shared" si="203"/>
        <v>3</v>
      </c>
      <c r="G212" s="198" t="str">
        <f t="shared" si="204"/>
        <v>32014</v>
      </c>
      <c r="H212" s="198" t="str">
        <f t="shared" si="205"/>
        <v>marzo</v>
      </c>
      <c r="I212" s="114">
        <f>VLOOKUP(B212,'Base de Datos'!$E$7:$W$271,14,0)</f>
        <v>0</v>
      </c>
      <c r="J212" s="200">
        <f t="shared" si="206"/>
        <v>1900</v>
      </c>
      <c r="K212" s="199">
        <f t="shared" si="207"/>
        <v>1</v>
      </c>
      <c r="L212" s="199" t="str">
        <f t="shared" si="208"/>
        <v>11900</v>
      </c>
      <c r="M212" s="199" t="str">
        <f t="shared" si="209"/>
        <v>enero</v>
      </c>
      <c r="N212" s="199">
        <f t="shared" ca="1" si="210"/>
        <v>44228</v>
      </c>
      <c r="O212" s="242" t="str">
        <f t="shared" ca="1" si="211"/>
        <v>SI</v>
      </c>
      <c r="P212" s="242" t="str">
        <f t="shared" si="220"/>
        <v/>
      </c>
      <c r="Q212" s="242" t="str">
        <f t="shared" si="212"/>
        <v/>
      </c>
      <c r="R212" s="242" t="str">
        <f t="shared" si="213"/>
        <v/>
      </c>
      <c r="S212" s="242" t="str">
        <f t="shared" si="214"/>
        <v/>
      </c>
      <c r="T212" s="242" t="str">
        <f t="shared" si="215"/>
        <v/>
      </c>
      <c r="U212" s="242" t="str">
        <f t="shared" si="216"/>
        <v/>
      </c>
      <c r="V212" s="242" t="str">
        <f t="shared" si="223"/>
        <v/>
      </c>
      <c r="W212" s="242" t="str">
        <f t="shared" si="217"/>
        <v/>
      </c>
      <c r="X212" s="242" t="str">
        <f t="shared" si="218"/>
        <v/>
      </c>
      <c r="Y212" s="242" t="str">
        <f t="shared" si="222"/>
        <v/>
      </c>
      <c r="Z212" s="242" t="str">
        <f t="shared" si="219"/>
        <v/>
      </c>
      <c r="AA212" s="242" t="str">
        <f t="shared" si="173"/>
        <v/>
      </c>
      <c r="AB212" s="242" t="str">
        <f t="shared" si="228"/>
        <v/>
      </c>
      <c r="AC212" s="242" t="str">
        <f t="shared" ref="AC212:AC261" si="235">IF(AND(E212&lt;$AC$2,I212&gt;$AC$2),"1","")</f>
        <v/>
      </c>
      <c r="AD212" s="242" t="str">
        <f t="shared" si="178"/>
        <v/>
      </c>
      <c r="AE212" s="242" t="str">
        <f t="shared" si="181"/>
        <v/>
      </c>
      <c r="AF212" s="242" t="str">
        <f t="shared" si="188"/>
        <v/>
      </c>
      <c r="AG212" s="242" t="str">
        <f t="shared" si="195"/>
        <v/>
      </c>
      <c r="AH212" s="242" t="str">
        <f t="shared" si="200"/>
        <v/>
      </c>
      <c r="AI212" s="242" t="str">
        <f t="shared" si="201"/>
        <v/>
      </c>
      <c r="AJ212" s="242" t="str">
        <f t="shared" si="224"/>
        <v/>
      </c>
      <c r="AK212" s="242" t="str">
        <f t="shared" si="229"/>
        <v/>
      </c>
      <c r="AL212" s="242" t="str">
        <f t="shared" si="232"/>
        <v/>
      </c>
      <c r="AM212" s="242" t="str">
        <f t="shared" si="196"/>
        <v/>
      </c>
      <c r="AN212" s="199" t="str">
        <f t="shared" si="225"/>
        <v/>
      </c>
      <c r="AO212" s="199" t="str">
        <f t="shared" si="230"/>
        <v/>
      </c>
      <c r="AP212" s="199" t="str">
        <f t="shared" si="198"/>
        <v/>
      </c>
      <c r="AQ212" s="199" t="str">
        <f t="shared" si="202"/>
        <v/>
      </c>
      <c r="AR212" s="199" t="str">
        <f t="shared" si="226"/>
        <v/>
      </c>
      <c r="AS212" s="199" t="str">
        <f t="shared" si="233"/>
        <v/>
      </c>
      <c r="AT212" s="199" t="str">
        <f t="shared" si="234"/>
        <v/>
      </c>
      <c r="AU212" s="199" t="str">
        <f t="shared" si="199"/>
        <v/>
      </c>
      <c r="AV212" s="199" t="str">
        <f t="shared" si="221"/>
        <v/>
      </c>
      <c r="AW212" s="199" t="str">
        <f t="shared" si="227"/>
        <v/>
      </c>
      <c r="AX212" s="199" t="str">
        <f t="shared" si="231"/>
        <v/>
      </c>
      <c r="AY212" s="199" t="str">
        <f t="shared" si="197"/>
        <v/>
      </c>
    </row>
    <row r="213" spans="1:51" ht="20.399999999999999" x14ac:dyDescent="0.3">
      <c r="A213" s="191">
        <v>211</v>
      </c>
      <c r="B213" s="230" t="s">
        <v>175</v>
      </c>
      <c r="C213" s="120" t="s">
        <v>176</v>
      </c>
      <c r="D213" s="127">
        <v>2013</v>
      </c>
      <c r="E213" s="124">
        <v>41472</v>
      </c>
      <c r="F213" s="198">
        <f t="shared" si="203"/>
        <v>7</v>
      </c>
      <c r="G213" s="198" t="str">
        <f t="shared" si="204"/>
        <v>72013</v>
      </c>
      <c r="H213" s="198" t="str">
        <f t="shared" si="205"/>
        <v>julio</v>
      </c>
      <c r="I213" s="114">
        <f>VLOOKUP(B213,'Base de Datos'!$E$7:$W$271,14,0)</f>
        <v>1</v>
      </c>
      <c r="J213" s="200">
        <f t="shared" si="206"/>
        <v>1900</v>
      </c>
      <c r="K213" s="199">
        <f t="shared" si="207"/>
        <v>1</v>
      </c>
      <c r="L213" s="199" t="str">
        <f t="shared" si="208"/>
        <v>11900</v>
      </c>
      <c r="M213" s="199" t="str">
        <f t="shared" si="209"/>
        <v>enero</v>
      </c>
      <c r="N213" s="199">
        <f t="shared" ca="1" si="210"/>
        <v>44227</v>
      </c>
      <c r="O213" s="242" t="str">
        <f t="shared" ca="1" si="211"/>
        <v>SI</v>
      </c>
      <c r="P213" s="242" t="str">
        <f t="shared" si="220"/>
        <v/>
      </c>
      <c r="Q213" s="242" t="str">
        <f t="shared" si="212"/>
        <v/>
      </c>
      <c r="R213" s="242" t="str">
        <f t="shared" si="213"/>
        <v/>
      </c>
      <c r="S213" s="242" t="str">
        <f t="shared" si="214"/>
        <v/>
      </c>
      <c r="T213" s="242" t="str">
        <f t="shared" si="215"/>
        <v/>
      </c>
      <c r="U213" s="242" t="str">
        <f t="shared" si="216"/>
        <v/>
      </c>
      <c r="V213" s="242" t="str">
        <f t="shared" si="223"/>
        <v/>
      </c>
      <c r="W213" s="242" t="str">
        <f t="shared" si="217"/>
        <v/>
      </c>
      <c r="X213" s="242" t="str">
        <f t="shared" si="218"/>
        <v/>
      </c>
      <c r="Y213" s="242" t="str">
        <f t="shared" si="222"/>
        <v/>
      </c>
      <c r="Z213" s="242" t="str">
        <f t="shared" si="219"/>
        <v/>
      </c>
      <c r="AA213" s="242" t="str">
        <f t="shared" si="173"/>
        <v/>
      </c>
      <c r="AB213" s="242" t="str">
        <f t="shared" si="228"/>
        <v/>
      </c>
      <c r="AC213" s="242" t="str">
        <f t="shared" si="235"/>
        <v/>
      </c>
      <c r="AD213" s="242" t="str">
        <f t="shared" si="178"/>
        <v/>
      </c>
      <c r="AE213" s="242" t="str">
        <f t="shared" si="181"/>
        <v/>
      </c>
      <c r="AF213" s="242" t="str">
        <f t="shared" si="188"/>
        <v/>
      </c>
      <c r="AG213" s="242" t="str">
        <f t="shared" si="195"/>
        <v/>
      </c>
      <c r="AH213" s="242" t="str">
        <f t="shared" si="200"/>
        <v/>
      </c>
      <c r="AI213" s="242" t="str">
        <f t="shared" si="201"/>
        <v/>
      </c>
      <c r="AJ213" s="242" t="str">
        <f t="shared" si="224"/>
        <v/>
      </c>
      <c r="AK213" s="242" t="str">
        <f t="shared" si="229"/>
        <v/>
      </c>
      <c r="AL213" s="242" t="str">
        <f t="shared" si="232"/>
        <v/>
      </c>
      <c r="AM213" s="242" t="str">
        <f t="shared" ref="AM213:AM244" si="236">IF(AND(E213&lt;$AM$2,I213&gt;$AM$2),"1","")</f>
        <v/>
      </c>
      <c r="AN213" s="199" t="str">
        <f t="shared" si="225"/>
        <v/>
      </c>
      <c r="AO213" s="199" t="str">
        <f t="shared" si="230"/>
        <v/>
      </c>
      <c r="AP213" s="199" t="str">
        <f t="shared" si="198"/>
        <v/>
      </c>
      <c r="AQ213" s="199" t="str">
        <f t="shared" si="202"/>
        <v/>
      </c>
      <c r="AR213" s="199" t="str">
        <f t="shared" si="226"/>
        <v/>
      </c>
      <c r="AS213" s="199" t="str">
        <f t="shared" si="233"/>
        <v/>
      </c>
      <c r="AT213" s="199" t="str">
        <f t="shared" si="234"/>
        <v/>
      </c>
      <c r="AU213" s="199" t="str">
        <f t="shared" si="199"/>
        <v/>
      </c>
      <c r="AV213" s="199" t="str">
        <f t="shared" si="221"/>
        <v/>
      </c>
      <c r="AW213" s="199" t="str">
        <f t="shared" si="227"/>
        <v/>
      </c>
      <c r="AX213" s="199" t="str">
        <f t="shared" si="231"/>
        <v/>
      </c>
      <c r="AY213" s="199" t="str">
        <f t="shared" si="197"/>
        <v/>
      </c>
    </row>
    <row r="214" spans="1:51" x14ac:dyDescent="0.3">
      <c r="A214" s="191">
        <v>212</v>
      </c>
      <c r="B214" s="225" t="s">
        <v>279</v>
      </c>
      <c r="C214" s="120" t="s">
        <v>53</v>
      </c>
      <c r="D214" s="139">
        <v>2014</v>
      </c>
      <c r="E214" s="124">
        <v>41757</v>
      </c>
      <c r="F214" s="198">
        <f t="shared" si="203"/>
        <v>4</v>
      </c>
      <c r="G214" s="198" t="str">
        <f t="shared" si="204"/>
        <v>42014</v>
      </c>
      <c r="H214" s="198" t="str">
        <f t="shared" si="205"/>
        <v>abril</v>
      </c>
      <c r="I214" s="114">
        <f>VLOOKUP(B214,'Base de Datos'!$E$7:$W$271,14,0)</f>
        <v>1</v>
      </c>
      <c r="J214" s="200">
        <f t="shared" si="206"/>
        <v>1900</v>
      </c>
      <c r="K214" s="199">
        <f t="shared" si="207"/>
        <v>1</v>
      </c>
      <c r="L214" s="199" t="str">
        <f t="shared" si="208"/>
        <v>11900</v>
      </c>
      <c r="M214" s="199" t="str">
        <f t="shared" si="209"/>
        <v>enero</v>
      </c>
      <c r="N214" s="199">
        <f t="shared" ca="1" si="210"/>
        <v>44227</v>
      </c>
      <c r="O214" s="242" t="str">
        <f t="shared" ca="1" si="211"/>
        <v>SI</v>
      </c>
      <c r="P214" s="242" t="str">
        <f t="shared" si="220"/>
        <v/>
      </c>
      <c r="Q214" s="242" t="str">
        <f t="shared" si="212"/>
        <v/>
      </c>
      <c r="R214" s="242" t="str">
        <f t="shared" si="213"/>
        <v/>
      </c>
      <c r="S214" s="242" t="str">
        <f t="shared" si="214"/>
        <v/>
      </c>
      <c r="T214" s="242" t="str">
        <f t="shared" si="215"/>
        <v/>
      </c>
      <c r="U214" s="242" t="str">
        <f t="shared" si="216"/>
        <v/>
      </c>
      <c r="V214" s="242" t="str">
        <f t="shared" si="223"/>
        <v/>
      </c>
      <c r="W214" s="242" t="str">
        <f t="shared" si="217"/>
        <v/>
      </c>
      <c r="X214" s="242" t="str">
        <f t="shared" si="218"/>
        <v/>
      </c>
      <c r="Y214" s="242" t="str">
        <f t="shared" si="222"/>
        <v/>
      </c>
      <c r="Z214" s="242" t="str">
        <f t="shared" si="219"/>
        <v/>
      </c>
      <c r="AA214" s="242" t="str">
        <f t="shared" ref="AA214:AA261" si="237">IF(AND(E214&lt;$AA$2,I214&gt;$AA$2),"1","")</f>
        <v/>
      </c>
      <c r="AB214" s="242" t="str">
        <f t="shared" si="228"/>
        <v/>
      </c>
      <c r="AC214" s="242" t="str">
        <f t="shared" si="235"/>
        <v/>
      </c>
      <c r="AD214" s="242" t="str">
        <f t="shared" si="178"/>
        <v/>
      </c>
      <c r="AE214" s="242" t="str">
        <f t="shared" si="181"/>
        <v/>
      </c>
      <c r="AF214" s="242" t="str">
        <f t="shared" si="188"/>
        <v/>
      </c>
      <c r="AG214" s="242" t="str">
        <f t="shared" si="195"/>
        <v/>
      </c>
      <c r="AH214" s="242" t="str">
        <f t="shared" si="200"/>
        <v/>
      </c>
      <c r="AI214" s="242" t="str">
        <f t="shared" si="201"/>
        <v/>
      </c>
      <c r="AJ214" s="242" t="str">
        <f t="shared" si="224"/>
        <v/>
      </c>
      <c r="AK214" s="242" t="str">
        <f t="shared" si="229"/>
        <v/>
      </c>
      <c r="AL214" s="242" t="str">
        <f t="shared" si="232"/>
        <v/>
      </c>
      <c r="AM214" s="242" t="str">
        <f t="shared" si="236"/>
        <v/>
      </c>
      <c r="AN214" s="199" t="str">
        <f t="shared" si="225"/>
        <v/>
      </c>
      <c r="AO214" s="199" t="str">
        <f t="shared" si="230"/>
        <v/>
      </c>
      <c r="AP214" s="199" t="str">
        <f t="shared" si="198"/>
        <v/>
      </c>
      <c r="AQ214" s="199" t="str">
        <f t="shared" si="202"/>
        <v/>
      </c>
      <c r="AR214" s="199" t="str">
        <f t="shared" si="226"/>
        <v/>
      </c>
      <c r="AS214" s="199" t="str">
        <f t="shared" si="233"/>
        <v/>
      </c>
      <c r="AT214" s="199" t="str">
        <f t="shared" si="234"/>
        <v/>
      </c>
      <c r="AU214" s="199" t="str">
        <f t="shared" si="199"/>
        <v/>
      </c>
      <c r="AV214" s="199" t="str">
        <f t="shared" si="221"/>
        <v/>
      </c>
      <c r="AW214" s="199" t="str">
        <f t="shared" si="227"/>
        <v/>
      </c>
      <c r="AX214" s="199" t="str">
        <f t="shared" si="231"/>
        <v/>
      </c>
      <c r="AY214" s="199" t="str">
        <f t="shared" si="197"/>
        <v/>
      </c>
    </row>
    <row r="215" spans="1:51" x14ac:dyDescent="0.3">
      <c r="A215" s="191">
        <v>213</v>
      </c>
      <c r="B215" s="236" t="str">
        <f>+'Base de Datos'!E251</f>
        <v>140315-0-2014</v>
      </c>
      <c r="C215" s="212" t="str">
        <f>+'Base de Datos'!F251</f>
        <v>PROSEGUR TECNOLOGÍA S.A.S.</v>
      </c>
      <c r="D215" s="212">
        <f>YEAR(E215)</f>
        <v>2014</v>
      </c>
      <c r="E215" s="213">
        <f>+'Base de Datos'!M251</f>
        <v>41941</v>
      </c>
      <c r="F215" s="198">
        <f t="shared" si="203"/>
        <v>10</v>
      </c>
      <c r="G215" s="198" t="str">
        <f t="shared" si="204"/>
        <v>102014</v>
      </c>
      <c r="H215" s="198" t="str">
        <f t="shared" si="205"/>
        <v>octubre</v>
      </c>
      <c r="I215" s="114">
        <f>VLOOKUP(B215,'Base de Datos'!$E$7:$W$271,14,0)</f>
        <v>3</v>
      </c>
      <c r="J215" s="200">
        <f t="shared" si="206"/>
        <v>1900</v>
      </c>
      <c r="K215" s="199">
        <f t="shared" si="207"/>
        <v>1</v>
      </c>
      <c r="L215" s="199" t="str">
        <f t="shared" si="208"/>
        <v>11900</v>
      </c>
      <c r="M215" s="199" t="str">
        <f t="shared" si="209"/>
        <v>enero</v>
      </c>
      <c r="N215" s="199">
        <f t="shared" ca="1" si="210"/>
        <v>44225</v>
      </c>
      <c r="O215" s="242" t="str">
        <f t="shared" ca="1" si="211"/>
        <v>SI</v>
      </c>
      <c r="P215" s="242" t="str">
        <f t="shared" si="220"/>
        <v/>
      </c>
      <c r="Q215" s="242" t="str">
        <f t="shared" si="212"/>
        <v/>
      </c>
      <c r="R215" s="242" t="str">
        <f t="shared" si="213"/>
        <v/>
      </c>
      <c r="S215" s="242" t="str">
        <f t="shared" si="214"/>
        <v/>
      </c>
      <c r="T215" s="242" t="str">
        <f t="shared" si="215"/>
        <v/>
      </c>
      <c r="U215" s="242" t="str">
        <f t="shared" si="216"/>
        <v/>
      </c>
      <c r="V215" s="242" t="str">
        <f t="shared" si="223"/>
        <v/>
      </c>
      <c r="W215" s="242" t="str">
        <f t="shared" si="217"/>
        <v/>
      </c>
      <c r="X215" s="242" t="str">
        <f t="shared" si="218"/>
        <v/>
      </c>
      <c r="Y215" s="242" t="str">
        <f t="shared" si="222"/>
        <v/>
      </c>
      <c r="Z215" s="242" t="str">
        <f t="shared" si="219"/>
        <v/>
      </c>
      <c r="AA215" s="242" t="str">
        <f t="shared" si="237"/>
        <v/>
      </c>
      <c r="AB215" s="242" t="str">
        <f t="shared" si="228"/>
        <v/>
      </c>
      <c r="AC215" s="242" t="str">
        <f t="shared" si="235"/>
        <v/>
      </c>
      <c r="AD215" s="242" t="str">
        <f t="shared" si="178"/>
        <v/>
      </c>
      <c r="AE215" s="242" t="str">
        <f t="shared" si="181"/>
        <v/>
      </c>
      <c r="AF215" s="242" t="str">
        <f t="shared" si="188"/>
        <v/>
      </c>
      <c r="AG215" s="242" t="str">
        <f t="shared" si="195"/>
        <v/>
      </c>
      <c r="AH215" s="242" t="str">
        <f t="shared" si="200"/>
        <v/>
      </c>
      <c r="AI215" s="242" t="str">
        <f t="shared" si="201"/>
        <v/>
      </c>
      <c r="AJ215" s="242" t="str">
        <f t="shared" si="224"/>
        <v/>
      </c>
      <c r="AK215" s="242" t="str">
        <f t="shared" si="229"/>
        <v/>
      </c>
      <c r="AL215" s="242" t="str">
        <f t="shared" si="232"/>
        <v/>
      </c>
      <c r="AM215" s="242" t="str">
        <f t="shared" si="236"/>
        <v/>
      </c>
      <c r="AN215" s="199" t="str">
        <f t="shared" si="225"/>
        <v/>
      </c>
      <c r="AO215" s="199" t="str">
        <f t="shared" si="230"/>
        <v/>
      </c>
      <c r="AP215" s="199" t="str">
        <f t="shared" si="198"/>
        <v/>
      </c>
      <c r="AQ215" s="199" t="str">
        <f t="shared" si="202"/>
        <v/>
      </c>
      <c r="AR215" s="199" t="str">
        <f t="shared" si="226"/>
        <v/>
      </c>
      <c r="AS215" s="199" t="str">
        <f t="shared" si="233"/>
        <v/>
      </c>
      <c r="AT215" s="199" t="str">
        <f t="shared" si="234"/>
        <v/>
      </c>
      <c r="AU215" s="199" t="str">
        <f t="shared" si="199"/>
        <v/>
      </c>
      <c r="AV215" s="199" t="str">
        <f t="shared" si="221"/>
        <v/>
      </c>
      <c r="AW215" s="199" t="str">
        <f t="shared" si="227"/>
        <v/>
      </c>
      <c r="AX215" s="199" t="str">
        <f t="shared" si="231"/>
        <v/>
      </c>
      <c r="AY215" s="199" t="str">
        <f t="shared" si="197"/>
        <v/>
      </c>
    </row>
    <row r="216" spans="1:51" x14ac:dyDescent="0.3">
      <c r="A216" s="191">
        <v>214</v>
      </c>
      <c r="B216" s="225" t="s">
        <v>294</v>
      </c>
      <c r="C216" s="120" t="s">
        <v>295</v>
      </c>
      <c r="D216" s="139">
        <v>2014</v>
      </c>
      <c r="E216" s="124">
        <v>41821</v>
      </c>
      <c r="F216" s="198">
        <f t="shared" si="203"/>
        <v>7</v>
      </c>
      <c r="G216" s="198" t="str">
        <f t="shared" si="204"/>
        <v>72014</v>
      </c>
      <c r="H216" s="198" t="str">
        <f t="shared" si="205"/>
        <v>julio</v>
      </c>
      <c r="I216" s="114">
        <f>VLOOKUP(B216,'Base de Datos'!$E$7:$W$271,14,0)</f>
        <v>1</v>
      </c>
      <c r="J216" s="200">
        <f t="shared" si="206"/>
        <v>1900</v>
      </c>
      <c r="K216" s="199">
        <f t="shared" si="207"/>
        <v>1</v>
      </c>
      <c r="L216" s="199" t="str">
        <f t="shared" si="208"/>
        <v>11900</v>
      </c>
      <c r="M216" s="199" t="str">
        <f t="shared" si="209"/>
        <v>enero</v>
      </c>
      <c r="N216" s="199">
        <f t="shared" ca="1" si="210"/>
        <v>44227</v>
      </c>
      <c r="O216" s="242" t="str">
        <f t="shared" ca="1" si="211"/>
        <v>SI</v>
      </c>
      <c r="P216" s="242" t="str">
        <f t="shared" si="220"/>
        <v/>
      </c>
      <c r="Q216" s="242" t="str">
        <f t="shared" si="212"/>
        <v/>
      </c>
      <c r="R216" s="242" t="str">
        <f t="shared" si="213"/>
        <v/>
      </c>
      <c r="S216" s="242" t="str">
        <f t="shared" si="214"/>
        <v/>
      </c>
      <c r="T216" s="242" t="str">
        <f t="shared" si="215"/>
        <v/>
      </c>
      <c r="U216" s="242" t="str">
        <f t="shared" si="216"/>
        <v/>
      </c>
      <c r="V216" s="242" t="str">
        <f t="shared" si="223"/>
        <v/>
      </c>
      <c r="W216" s="242" t="str">
        <f t="shared" si="217"/>
        <v/>
      </c>
      <c r="X216" s="242" t="str">
        <f t="shared" si="218"/>
        <v/>
      </c>
      <c r="Y216" s="242" t="str">
        <f t="shared" si="222"/>
        <v/>
      </c>
      <c r="Z216" s="242" t="str">
        <f t="shared" si="219"/>
        <v/>
      </c>
      <c r="AA216" s="242" t="str">
        <f t="shared" si="237"/>
        <v/>
      </c>
      <c r="AB216" s="242" t="str">
        <f t="shared" si="228"/>
        <v/>
      </c>
      <c r="AC216" s="242" t="str">
        <f t="shared" si="235"/>
        <v/>
      </c>
      <c r="AD216" s="242" t="str">
        <f t="shared" si="178"/>
        <v/>
      </c>
      <c r="AE216" s="242" t="str">
        <f t="shared" si="181"/>
        <v/>
      </c>
      <c r="AF216" s="242" t="str">
        <f t="shared" si="188"/>
        <v/>
      </c>
      <c r="AG216" s="242" t="str">
        <f t="shared" si="195"/>
        <v/>
      </c>
      <c r="AH216" s="242" t="str">
        <f t="shared" si="200"/>
        <v/>
      </c>
      <c r="AI216" s="242" t="str">
        <f t="shared" si="201"/>
        <v/>
      </c>
      <c r="AJ216" s="242" t="str">
        <f t="shared" si="224"/>
        <v/>
      </c>
      <c r="AK216" s="242" t="str">
        <f t="shared" si="229"/>
        <v/>
      </c>
      <c r="AL216" s="242" t="str">
        <f t="shared" si="232"/>
        <v/>
      </c>
      <c r="AM216" s="242" t="str">
        <f t="shared" si="236"/>
        <v/>
      </c>
      <c r="AN216" s="199" t="str">
        <f t="shared" si="225"/>
        <v/>
      </c>
      <c r="AO216" s="199" t="str">
        <f t="shared" si="230"/>
        <v/>
      </c>
      <c r="AP216" s="199" t="str">
        <f t="shared" si="198"/>
        <v/>
      </c>
      <c r="AQ216" s="199" t="str">
        <f t="shared" si="202"/>
        <v/>
      </c>
      <c r="AR216" s="199" t="str">
        <f t="shared" si="226"/>
        <v/>
      </c>
      <c r="AS216" s="199" t="str">
        <f t="shared" si="233"/>
        <v/>
      </c>
      <c r="AT216" s="199" t="str">
        <f t="shared" si="234"/>
        <v/>
      </c>
      <c r="AU216" s="199" t="str">
        <f t="shared" si="199"/>
        <v/>
      </c>
      <c r="AV216" s="199" t="str">
        <f t="shared" si="221"/>
        <v/>
      </c>
      <c r="AW216" s="199" t="str">
        <f t="shared" si="227"/>
        <v/>
      </c>
      <c r="AX216" s="199" t="str">
        <f t="shared" si="231"/>
        <v/>
      </c>
      <c r="AY216" s="199" t="str">
        <f t="shared" ref="AY216:AY247" si="238">IF(AND(E216&lt;$AY$2,I216&gt;$AY$2),"1","")</f>
        <v/>
      </c>
    </row>
    <row r="217" spans="1:51" ht="20.399999999999999" x14ac:dyDescent="0.3">
      <c r="A217" s="191">
        <v>215</v>
      </c>
      <c r="B217" s="225" t="s">
        <v>268</v>
      </c>
      <c r="C217" s="120" t="s">
        <v>269</v>
      </c>
      <c r="D217" s="139">
        <v>2014</v>
      </c>
      <c r="E217" s="124">
        <v>41732</v>
      </c>
      <c r="F217" s="198">
        <f t="shared" si="203"/>
        <v>4</v>
      </c>
      <c r="G217" s="198" t="str">
        <f t="shared" si="204"/>
        <v>42014</v>
      </c>
      <c r="H217" s="198" t="str">
        <f t="shared" si="205"/>
        <v>abril</v>
      </c>
      <c r="I217" s="114">
        <f>VLOOKUP(B217,'Base de Datos'!$E$7:$W$271,14,0)</f>
        <v>0</v>
      </c>
      <c r="J217" s="200">
        <f t="shared" si="206"/>
        <v>1900</v>
      </c>
      <c r="K217" s="199">
        <f t="shared" si="207"/>
        <v>1</v>
      </c>
      <c r="L217" s="199" t="str">
        <f t="shared" si="208"/>
        <v>11900</v>
      </c>
      <c r="M217" s="199" t="str">
        <f t="shared" si="209"/>
        <v>enero</v>
      </c>
      <c r="N217" s="199">
        <f t="shared" ca="1" si="210"/>
        <v>44228</v>
      </c>
      <c r="O217" s="242" t="str">
        <f t="shared" ca="1" si="211"/>
        <v>SI</v>
      </c>
      <c r="P217" s="242" t="str">
        <f t="shared" si="220"/>
        <v/>
      </c>
      <c r="Q217" s="242" t="str">
        <f t="shared" si="212"/>
        <v/>
      </c>
      <c r="R217" s="242" t="str">
        <f t="shared" si="213"/>
        <v/>
      </c>
      <c r="S217" s="242" t="str">
        <f t="shared" si="214"/>
        <v/>
      </c>
      <c r="T217" s="242" t="str">
        <f t="shared" si="215"/>
        <v/>
      </c>
      <c r="U217" s="242" t="str">
        <f t="shared" si="216"/>
        <v/>
      </c>
      <c r="V217" s="242" t="str">
        <f t="shared" si="223"/>
        <v/>
      </c>
      <c r="W217" s="242" t="str">
        <f t="shared" si="217"/>
        <v/>
      </c>
      <c r="X217" s="242" t="str">
        <f t="shared" si="218"/>
        <v/>
      </c>
      <c r="Y217" s="242" t="str">
        <f t="shared" si="222"/>
        <v/>
      </c>
      <c r="Z217" s="242" t="str">
        <f t="shared" si="219"/>
        <v/>
      </c>
      <c r="AA217" s="242" t="str">
        <f t="shared" si="237"/>
        <v/>
      </c>
      <c r="AB217" s="242" t="str">
        <f t="shared" si="228"/>
        <v/>
      </c>
      <c r="AC217" s="242" t="str">
        <f t="shared" si="235"/>
        <v/>
      </c>
      <c r="AD217" s="242" t="str">
        <f t="shared" si="178"/>
        <v/>
      </c>
      <c r="AE217" s="242" t="str">
        <f t="shared" si="181"/>
        <v/>
      </c>
      <c r="AF217" s="242" t="str">
        <f t="shared" si="188"/>
        <v/>
      </c>
      <c r="AG217" s="242" t="str">
        <f t="shared" si="195"/>
        <v/>
      </c>
      <c r="AH217" s="242" t="str">
        <f t="shared" si="200"/>
        <v/>
      </c>
      <c r="AI217" s="242" t="str">
        <f t="shared" si="201"/>
        <v/>
      </c>
      <c r="AJ217" s="242" t="str">
        <f t="shared" si="224"/>
        <v/>
      </c>
      <c r="AK217" s="242" t="str">
        <f t="shared" si="229"/>
        <v/>
      </c>
      <c r="AL217" s="242" t="str">
        <f t="shared" si="232"/>
        <v/>
      </c>
      <c r="AM217" s="242" t="str">
        <f t="shared" si="236"/>
        <v/>
      </c>
      <c r="AN217" s="199" t="str">
        <f t="shared" si="225"/>
        <v/>
      </c>
      <c r="AO217" s="199" t="str">
        <f t="shared" si="230"/>
        <v/>
      </c>
      <c r="AP217" s="199" t="str">
        <f t="shared" si="198"/>
        <v/>
      </c>
      <c r="AQ217" s="199" t="str">
        <f t="shared" si="202"/>
        <v/>
      </c>
      <c r="AR217" s="199" t="str">
        <f t="shared" si="226"/>
        <v/>
      </c>
      <c r="AS217" s="199" t="str">
        <f t="shared" si="233"/>
        <v/>
      </c>
      <c r="AT217" s="199" t="str">
        <f t="shared" si="234"/>
        <v/>
      </c>
      <c r="AU217" s="199" t="str">
        <f t="shared" si="199"/>
        <v/>
      </c>
      <c r="AV217" s="199" t="str">
        <f t="shared" si="221"/>
        <v/>
      </c>
      <c r="AW217" s="199" t="str">
        <f t="shared" si="227"/>
        <v/>
      </c>
      <c r="AX217" s="199" t="str">
        <f t="shared" si="231"/>
        <v/>
      </c>
      <c r="AY217" s="199" t="str">
        <f t="shared" si="238"/>
        <v/>
      </c>
    </row>
    <row r="218" spans="1:51" x14ac:dyDescent="0.3">
      <c r="A218" s="191">
        <v>216</v>
      </c>
      <c r="B218" s="225" t="s">
        <v>400</v>
      </c>
      <c r="C218" s="120" t="s">
        <v>198</v>
      </c>
      <c r="D218" s="139">
        <v>2014</v>
      </c>
      <c r="E218" s="124">
        <v>41793</v>
      </c>
      <c r="F218" s="198">
        <f t="shared" si="203"/>
        <v>6</v>
      </c>
      <c r="G218" s="198" t="str">
        <f t="shared" si="204"/>
        <v>62014</v>
      </c>
      <c r="H218" s="198" t="str">
        <f t="shared" si="205"/>
        <v>junio</v>
      </c>
      <c r="I218" s="114">
        <f>VLOOKUP(B218,'Base de Datos'!$E$7:$W$271,14,0)</f>
        <v>0</v>
      </c>
      <c r="J218" s="200">
        <f t="shared" si="206"/>
        <v>1900</v>
      </c>
      <c r="K218" s="199">
        <f t="shared" si="207"/>
        <v>1</v>
      </c>
      <c r="L218" s="199" t="str">
        <f t="shared" si="208"/>
        <v>11900</v>
      </c>
      <c r="M218" s="199" t="str">
        <f t="shared" si="209"/>
        <v>enero</v>
      </c>
      <c r="N218" s="199">
        <f t="shared" ca="1" si="210"/>
        <v>44228</v>
      </c>
      <c r="O218" s="242" t="str">
        <f t="shared" ca="1" si="211"/>
        <v>SI</v>
      </c>
      <c r="P218" s="242" t="str">
        <f t="shared" si="220"/>
        <v/>
      </c>
      <c r="Q218" s="242" t="str">
        <f t="shared" si="212"/>
        <v/>
      </c>
      <c r="R218" s="242" t="str">
        <f t="shared" si="213"/>
        <v/>
      </c>
      <c r="S218" s="242" t="str">
        <f t="shared" si="214"/>
        <v/>
      </c>
      <c r="T218" s="242" t="str">
        <f t="shared" si="215"/>
        <v/>
      </c>
      <c r="U218" s="242" t="str">
        <f t="shared" si="216"/>
        <v/>
      </c>
      <c r="V218" s="242" t="str">
        <f t="shared" si="223"/>
        <v/>
      </c>
      <c r="W218" s="242" t="str">
        <f t="shared" si="217"/>
        <v/>
      </c>
      <c r="X218" s="242" t="str">
        <f t="shared" si="218"/>
        <v/>
      </c>
      <c r="Y218" s="242" t="str">
        <f t="shared" si="222"/>
        <v/>
      </c>
      <c r="Z218" s="242" t="str">
        <f t="shared" si="219"/>
        <v/>
      </c>
      <c r="AA218" s="242" t="str">
        <f t="shared" si="237"/>
        <v/>
      </c>
      <c r="AB218" s="242" t="str">
        <f t="shared" si="228"/>
        <v/>
      </c>
      <c r="AC218" s="242" t="str">
        <f t="shared" si="235"/>
        <v/>
      </c>
      <c r="AD218" s="242" t="str">
        <f t="shared" si="178"/>
        <v/>
      </c>
      <c r="AE218" s="242" t="str">
        <f t="shared" si="181"/>
        <v/>
      </c>
      <c r="AF218" s="242" t="str">
        <f t="shared" si="188"/>
        <v/>
      </c>
      <c r="AG218" s="242" t="str">
        <f t="shared" si="195"/>
        <v/>
      </c>
      <c r="AH218" s="242" t="str">
        <f t="shared" si="200"/>
        <v/>
      </c>
      <c r="AI218" s="242" t="str">
        <f t="shared" si="201"/>
        <v/>
      </c>
      <c r="AJ218" s="242" t="str">
        <f t="shared" si="224"/>
        <v/>
      </c>
      <c r="AK218" s="242" t="str">
        <f t="shared" si="229"/>
        <v/>
      </c>
      <c r="AL218" s="242" t="str">
        <f t="shared" si="232"/>
        <v/>
      </c>
      <c r="AM218" s="242" t="str">
        <f t="shared" si="236"/>
        <v/>
      </c>
      <c r="AN218" s="199" t="str">
        <f t="shared" si="225"/>
        <v/>
      </c>
      <c r="AO218" s="199" t="str">
        <f t="shared" si="230"/>
        <v/>
      </c>
      <c r="AP218" s="199" t="str">
        <f t="shared" ref="AP218:AP249" si="239">IF(AND(E218&lt;$AP$2,I218&gt;$AP$2),"1","")</f>
        <v/>
      </c>
      <c r="AQ218" s="199" t="str">
        <f t="shared" si="202"/>
        <v/>
      </c>
      <c r="AR218" s="199" t="str">
        <f t="shared" si="226"/>
        <v/>
      </c>
      <c r="AS218" s="199" t="str">
        <f t="shared" si="233"/>
        <v/>
      </c>
      <c r="AT218" s="199" t="str">
        <f t="shared" si="234"/>
        <v/>
      </c>
      <c r="AU218" s="199" t="str">
        <f t="shared" ref="AU218:AU249" si="240">IF(AND(E218&lt;$AU$2,I218&gt;$AU$2),"1","")</f>
        <v/>
      </c>
      <c r="AV218" s="199" t="str">
        <f t="shared" si="221"/>
        <v/>
      </c>
      <c r="AW218" s="199" t="str">
        <f t="shared" si="227"/>
        <v/>
      </c>
      <c r="AX218" s="199" t="str">
        <f t="shared" si="231"/>
        <v/>
      </c>
      <c r="AY218" s="199" t="str">
        <f t="shared" si="238"/>
        <v/>
      </c>
    </row>
    <row r="219" spans="1:51" ht="20.399999999999999" x14ac:dyDescent="0.3">
      <c r="A219" s="191">
        <v>217</v>
      </c>
      <c r="B219" s="225" t="s">
        <v>187</v>
      </c>
      <c r="C219" s="120" t="s">
        <v>188</v>
      </c>
      <c r="D219" s="127">
        <v>2013</v>
      </c>
      <c r="E219" s="124">
        <v>41523</v>
      </c>
      <c r="F219" s="198">
        <f t="shared" si="203"/>
        <v>9</v>
      </c>
      <c r="G219" s="198" t="str">
        <f t="shared" si="204"/>
        <v>92013</v>
      </c>
      <c r="H219" s="198" t="str">
        <f t="shared" si="205"/>
        <v>septiembre</v>
      </c>
      <c r="I219" s="114">
        <f>VLOOKUP(B219,'Base de Datos'!$E$7:$W$271,14,0)</f>
        <v>3</v>
      </c>
      <c r="J219" s="200">
        <f t="shared" si="206"/>
        <v>1900</v>
      </c>
      <c r="K219" s="199">
        <f t="shared" si="207"/>
        <v>1</v>
      </c>
      <c r="L219" s="199" t="str">
        <f t="shared" si="208"/>
        <v>11900</v>
      </c>
      <c r="M219" s="199" t="str">
        <f t="shared" si="209"/>
        <v>enero</v>
      </c>
      <c r="N219" s="199">
        <f t="shared" ca="1" si="210"/>
        <v>44225</v>
      </c>
      <c r="O219" s="242" t="str">
        <f t="shared" ca="1" si="211"/>
        <v>SI</v>
      </c>
      <c r="P219" s="242" t="str">
        <f t="shared" si="220"/>
        <v/>
      </c>
      <c r="Q219" s="242" t="str">
        <f t="shared" si="212"/>
        <v/>
      </c>
      <c r="R219" s="242" t="str">
        <f t="shared" si="213"/>
        <v/>
      </c>
      <c r="S219" s="242" t="str">
        <f t="shared" si="214"/>
        <v/>
      </c>
      <c r="T219" s="242" t="str">
        <f t="shared" si="215"/>
        <v/>
      </c>
      <c r="U219" s="242" t="str">
        <f t="shared" si="216"/>
        <v/>
      </c>
      <c r="V219" s="242" t="str">
        <f t="shared" si="223"/>
        <v/>
      </c>
      <c r="W219" s="242" t="str">
        <f t="shared" si="217"/>
        <v/>
      </c>
      <c r="X219" s="242" t="str">
        <f t="shared" si="218"/>
        <v/>
      </c>
      <c r="Y219" s="242" t="str">
        <f t="shared" si="222"/>
        <v/>
      </c>
      <c r="Z219" s="242" t="str">
        <f t="shared" si="219"/>
        <v/>
      </c>
      <c r="AA219" s="242" t="str">
        <f t="shared" si="237"/>
        <v/>
      </c>
      <c r="AB219" s="242" t="str">
        <f t="shared" si="228"/>
        <v/>
      </c>
      <c r="AC219" s="242" t="str">
        <f t="shared" si="235"/>
        <v/>
      </c>
      <c r="AD219" s="242" t="str">
        <f t="shared" si="178"/>
        <v/>
      </c>
      <c r="AE219" s="242" t="str">
        <f t="shared" si="181"/>
        <v/>
      </c>
      <c r="AF219" s="242" t="str">
        <f t="shared" si="188"/>
        <v/>
      </c>
      <c r="AG219" s="242" t="str">
        <f t="shared" si="195"/>
        <v/>
      </c>
      <c r="AH219" s="242" t="str">
        <f t="shared" si="200"/>
        <v/>
      </c>
      <c r="AI219" s="242" t="str">
        <f t="shared" si="201"/>
        <v/>
      </c>
      <c r="AJ219" s="242" t="str">
        <f t="shared" si="224"/>
        <v/>
      </c>
      <c r="AK219" s="242" t="str">
        <f t="shared" si="229"/>
        <v/>
      </c>
      <c r="AL219" s="242" t="str">
        <f t="shared" si="232"/>
        <v/>
      </c>
      <c r="AM219" s="242" t="str">
        <f t="shared" si="236"/>
        <v/>
      </c>
      <c r="AN219" s="199" t="str">
        <f t="shared" si="225"/>
        <v/>
      </c>
      <c r="AO219" s="199" t="str">
        <f t="shared" si="230"/>
        <v/>
      </c>
      <c r="AP219" s="199" t="str">
        <f t="shared" si="239"/>
        <v/>
      </c>
      <c r="AQ219" s="199" t="str">
        <f t="shared" si="202"/>
        <v/>
      </c>
      <c r="AR219" s="199" t="str">
        <f t="shared" si="226"/>
        <v/>
      </c>
      <c r="AS219" s="199" t="str">
        <f t="shared" si="233"/>
        <v/>
      </c>
      <c r="AT219" s="199" t="str">
        <f t="shared" si="234"/>
        <v/>
      </c>
      <c r="AU219" s="199" t="str">
        <f t="shared" si="240"/>
        <v/>
      </c>
      <c r="AV219" s="199" t="str">
        <f t="shared" si="221"/>
        <v/>
      </c>
      <c r="AW219" s="199" t="str">
        <f t="shared" si="227"/>
        <v/>
      </c>
      <c r="AX219" s="199" t="str">
        <f t="shared" si="231"/>
        <v/>
      </c>
      <c r="AY219" s="199" t="str">
        <f t="shared" si="238"/>
        <v/>
      </c>
    </row>
    <row r="220" spans="1:51" x14ac:dyDescent="0.3">
      <c r="A220" s="191">
        <v>218</v>
      </c>
      <c r="B220" s="233" t="s">
        <v>288</v>
      </c>
      <c r="C220" s="144" t="s">
        <v>12</v>
      </c>
      <c r="D220" s="146">
        <v>2014</v>
      </c>
      <c r="E220" s="147">
        <v>41738</v>
      </c>
      <c r="F220" s="198">
        <f t="shared" si="203"/>
        <v>4</v>
      </c>
      <c r="G220" s="198" t="str">
        <f t="shared" si="204"/>
        <v>42014</v>
      </c>
      <c r="H220" s="198" t="str">
        <f t="shared" si="205"/>
        <v>abril</v>
      </c>
      <c r="I220" s="114">
        <f>VLOOKUP(B220,'Base de Datos'!$E$7:$W$271,14,0)</f>
        <v>0</v>
      </c>
      <c r="J220" s="200">
        <f t="shared" si="206"/>
        <v>1900</v>
      </c>
      <c r="K220" s="199">
        <f t="shared" si="207"/>
        <v>1</v>
      </c>
      <c r="L220" s="199" t="str">
        <f t="shared" si="208"/>
        <v>11900</v>
      </c>
      <c r="M220" s="199" t="str">
        <f t="shared" si="209"/>
        <v>enero</v>
      </c>
      <c r="N220" s="199">
        <f t="shared" ca="1" si="210"/>
        <v>44228</v>
      </c>
      <c r="O220" s="242" t="str">
        <f t="shared" ca="1" si="211"/>
        <v>SI</v>
      </c>
      <c r="P220" s="242" t="str">
        <f t="shared" si="220"/>
        <v/>
      </c>
      <c r="Q220" s="242" t="str">
        <f t="shared" si="212"/>
        <v/>
      </c>
      <c r="R220" s="242" t="str">
        <f t="shared" si="213"/>
        <v/>
      </c>
      <c r="S220" s="242" t="str">
        <f t="shared" si="214"/>
        <v/>
      </c>
      <c r="T220" s="242" t="str">
        <f t="shared" si="215"/>
        <v/>
      </c>
      <c r="U220" s="242" t="str">
        <f t="shared" si="216"/>
        <v/>
      </c>
      <c r="V220" s="242" t="str">
        <f t="shared" si="223"/>
        <v/>
      </c>
      <c r="W220" s="242" t="str">
        <f t="shared" si="217"/>
        <v/>
      </c>
      <c r="X220" s="242" t="str">
        <f t="shared" si="218"/>
        <v/>
      </c>
      <c r="Y220" s="242" t="str">
        <f t="shared" si="222"/>
        <v/>
      </c>
      <c r="Z220" s="242" t="str">
        <f t="shared" si="219"/>
        <v/>
      </c>
      <c r="AA220" s="242" t="str">
        <f t="shared" si="237"/>
        <v/>
      </c>
      <c r="AB220" s="242" t="str">
        <f t="shared" si="228"/>
        <v/>
      </c>
      <c r="AC220" s="242" t="str">
        <f t="shared" si="235"/>
        <v/>
      </c>
      <c r="AD220" s="242" t="str">
        <f t="shared" si="178"/>
        <v/>
      </c>
      <c r="AE220" s="242" t="str">
        <f t="shared" si="181"/>
        <v/>
      </c>
      <c r="AF220" s="242" t="str">
        <f t="shared" si="188"/>
        <v/>
      </c>
      <c r="AG220" s="242" t="str">
        <f t="shared" si="195"/>
        <v/>
      </c>
      <c r="AH220" s="242" t="str">
        <f t="shared" si="200"/>
        <v/>
      </c>
      <c r="AI220" s="242" t="str">
        <f t="shared" si="201"/>
        <v/>
      </c>
      <c r="AJ220" s="242" t="str">
        <f t="shared" si="224"/>
        <v/>
      </c>
      <c r="AK220" s="242" t="str">
        <f t="shared" si="229"/>
        <v/>
      </c>
      <c r="AL220" s="242" t="str">
        <f t="shared" si="232"/>
        <v/>
      </c>
      <c r="AM220" s="242" t="str">
        <f t="shared" si="236"/>
        <v/>
      </c>
      <c r="AN220" s="199" t="str">
        <f t="shared" si="225"/>
        <v/>
      </c>
      <c r="AO220" s="199" t="str">
        <f t="shared" si="230"/>
        <v/>
      </c>
      <c r="AP220" s="199" t="str">
        <f t="shared" si="239"/>
        <v/>
      </c>
      <c r="AQ220" s="199" t="str">
        <f t="shared" si="202"/>
        <v/>
      </c>
      <c r="AR220" s="199" t="str">
        <f t="shared" si="226"/>
        <v/>
      </c>
      <c r="AS220" s="199" t="str">
        <f t="shared" si="233"/>
        <v/>
      </c>
      <c r="AT220" s="199" t="str">
        <f t="shared" si="234"/>
        <v/>
      </c>
      <c r="AU220" s="199" t="str">
        <f t="shared" si="240"/>
        <v/>
      </c>
      <c r="AV220" s="199" t="str">
        <f t="shared" si="221"/>
        <v/>
      </c>
      <c r="AW220" s="199" t="str">
        <f t="shared" si="227"/>
        <v/>
      </c>
      <c r="AX220" s="199" t="str">
        <f t="shared" si="231"/>
        <v/>
      </c>
      <c r="AY220" s="199" t="str">
        <f t="shared" si="238"/>
        <v/>
      </c>
    </row>
    <row r="221" spans="1:51" ht="30.6" x14ac:dyDescent="0.3">
      <c r="A221" s="191">
        <v>219</v>
      </c>
      <c r="B221" s="376" t="s">
        <v>1109</v>
      </c>
      <c r="C221" s="380" t="s">
        <v>1110</v>
      </c>
      <c r="D221" s="146">
        <v>2014</v>
      </c>
      <c r="E221" s="384">
        <v>41921</v>
      </c>
      <c r="F221" s="198">
        <f t="shared" si="203"/>
        <v>10</v>
      </c>
      <c r="G221" s="198" t="str">
        <f t="shared" si="204"/>
        <v>102014</v>
      </c>
      <c r="H221" s="198" t="str">
        <f t="shared" si="205"/>
        <v>octubre</v>
      </c>
      <c r="I221" s="114">
        <f>VLOOKUP(B221,'Base de Datos'!$E$7:$W$271,14,0)</f>
        <v>1</v>
      </c>
      <c r="J221" s="200">
        <f t="shared" si="206"/>
        <v>1900</v>
      </c>
      <c r="K221" s="199">
        <f t="shared" si="207"/>
        <v>1</v>
      </c>
      <c r="L221" s="199" t="str">
        <f t="shared" si="208"/>
        <v>11900</v>
      </c>
      <c r="M221" s="199" t="str">
        <f t="shared" si="209"/>
        <v>enero</v>
      </c>
      <c r="N221" s="199">
        <f t="shared" ca="1" si="210"/>
        <v>44227</v>
      </c>
      <c r="O221" s="242" t="str">
        <f t="shared" ca="1" si="211"/>
        <v>SI</v>
      </c>
      <c r="P221" s="242" t="str">
        <f t="shared" si="220"/>
        <v/>
      </c>
      <c r="Q221" s="242" t="str">
        <f t="shared" si="212"/>
        <v/>
      </c>
      <c r="R221" s="242" t="str">
        <f t="shared" si="213"/>
        <v/>
      </c>
      <c r="S221" s="242" t="str">
        <f t="shared" si="214"/>
        <v/>
      </c>
      <c r="T221" s="242" t="str">
        <f t="shared" si="215"/>
        <v/>
      </c>
      <c r="U221" s="242" t="str">
        <f t="shared" si="216"/>
        <v/>
      </c>
      <c r="V221" s="242" t="str">
        <f t="shared" si="223"/>
        <v/>
      </c>
      <c r="W221" s="242" t="str">
        <f t="shared" si="217"/>
        <v/>
      </c>
      <c r="X221" s="242" t="str">
        <f t="shared" si="218"/>
        <v/>
      </c>
      <c r="Y221" s="242" t="str">
        <f t="shared" si="222"/>
        <v/>
      </c>
      <c r="Z221" s="242" t="str">
        <f t="shared" si="219"/>
        <v/>
      </c>
      <c r="AA221" s="242" t="str">
        <f t="shared" si="237"/>
        <v/>
      </c>
      <c r="AB221" s="242" t="str">
        <f t="shared" si="228"/>
        <v/>
      </c>
      <c r="AC221" s="242" t="str">
        <f t="shared" si="235"/>
        <v/>
      </c>
      <c r="AD221" s="242" t="str">
        <f t="shared" si="178"/>
        <v/>
      </c>
      <c r="AE221" s="242" t="str">
        <f t="shared" si="181"/>
        <v/>
      </c>
      <c r="AF221" s="242" t="str">
        <f t="shared" si="188"/>
        <v/>
      </c>
      <c r="AG221" s="242" t="str">
        <f t="shared" si="195"/>
        <v/>
      </c>
      <c r="AH221" s="242" t="str">
        <f t="shared" si="200"/>
        <v/>
      </c>
      <c r="AI221" s="242" t="str">
        <f t="shared" si="201"/>
        <v/>
      </c>
      <c r="AJ221" s="242" t="str">
        <f t="shared" si="224"/>
        <v/>
      </c>
      <c r="AK221" s="242" t="str">
        <f t="shared" si="229"/>
        <v/>
      </c>
      <c r="AL221" s="242" t="str">
        <f t="shared" si="232"/>
        <v/>
      </c>
      <c r="AM221" s="242" t="str">
        <f t="shared" si="236"/>
        <v/>
      </c>
      <c r="AN221" s="199" t="str">
        <f t="shared" si="225"/>
        <v/>
      </c>
      <c r="AO221" s="199" t="str">
        <f t="shared" si="230"/>
        <v/>
      </c>
      <c r="AP221" s="199" t="str">
        <f t="shared" si="239"/>
        <v/>
      </c>
      <c r="AQ221" s="199" t="str">
        <f t="shared" si="202"/>
        <v/>
      </c>
      <c r="AR221" s="199" t="str">
        <f t="shared" si="226"/>
        <v/>
      </c>
      <c r="AS221" s="199" t="str">
        <f t="shared" si="233"/>
        <v/>
      </c>
      <c r="AT221" s="199" t="str">
        <f t="shared" si="234"/>
        <v/>
      </c>
      <c r="AU221" s="199" t="str">
        <f t="shared" si="240"/>
        <v/>
      </c>
      <c r="AV221" s="199" t="str">
        <f t="shared" si="221"/>
        <v/>
      </c>
      <c r="AW221" s="199" t="str">
        <f t="shared" si="227"/>
        <v/>
      </c>
      <c r="AX221" s="199" t="str">
        <f t="shared" si="231"/>
        <v/>
      </c>
      <c r="AY221" s="199" t="str">
        <f t="shared" si="238"/>
        <v/>
      </c>
    </row>
    <row r="222" spans="1:51" x14ac:dyDescent="0.3">
      <c r="A222" s="191">
        <v>220</v>
      </c>
      <c r="B222" s="377" t="str">
        <f>+'Base de Datos'!E263</f>
        <v>140377-0-2014</v>
      </c>
      <c r="C222" s="381" t="str">
        <f>+'Base de Datos'!F263</f>
        <v>GAMMA INGENIEROS S A</v>
      </c>
      <c r="D222" s="381">
        <f>YEAR(E222)</f>
        <v>2015</v>
      </c>
      <c r="E222" s="385">
        <f>+'Base de Datos'!M263</f>
        <v>42023</v>
      </c>
      <c r="F222" s="198">
        <f t="shared" si="203"/>
        <v>1</v>
      </c>
      <c r="G222" s="198" t="str">
        <f t="shared" si="204"/>
        <v>12015</v>
      </c>
      <c r="H222" s="198" t="str">
        <f t="shared" si="205"/>
        <v>enero</v>
      </c>
      <c r="I222" s="114">
        <f>VLOOKUP(B222,'Base de Datos'!$E$7:$W$271,14,0)</f>
        <v>0</v>
      </c>
      <c r="J222" s="200">
        <f t="shared" si="206"/>
        <v>1900</v>
      </c>
      <c r="K222" s="199">
        <f t="shared" si="207"/>
        <v>1</v>
      </c>
      <c r="L222" s="199" t="str">
        <f t="shared" si="208"/>
        <v>11900</v>
      </c>
      <c r="M222" s="199" t="str">
        <f t="shared" si="209"/>
        <v>enero</v>
      </c>
      <c r="N222" s="199">
        <f t="shared" ca="1" si="210"/>
        <v>44228</v>
      </c>
      <c r="O222" s="242" t="str">
        <f t="shared" ca="1" si="211"/>
        <v>SI</v>
      </c>
      <c r="P222" s="242" t="str">
        <f t="shared" si="220"/>
        <v/>
      </c>
      <c r="Q222" s="242" t="str">
        <f t="shared" si="212"/>
        <v/>
      </c>
      <c r="R222" s="242" t="str">
        <f t="shared" si="213"/>
        <v/>
      </c>
      <c r="S222" s="242" t="str">
        <f t="shared" si="214"/>
        <v/>
      </c>
      <c r="T222" s="242" t="str">
        <f t="shared" si="215"/>
        <v/>
      </c>
      <c r="U222" s="242" t="str">
        <f t="shared" si="216"/>
        <v/>
      </c>
      <c r="V222" s="242" t="str">
        <f t="shared" si="223"/>
        <v/>
      </c>
      <c r="W222" s="242" t="str">
        <f t="shared" si="217"/>
        <v/>
      </c>
      <c r="X222" s="242" t="str">
        <f t="shared" si="218"/>
        <v/>
      </c>
      <c r="Y222" s="242" t="str">
        <f t="shared" si="222"/>
        <v/>
      </c>
      <c r="Z222" s="242" t="str">
        <f t="shared" si="219"/>
        <v/>
      </c>
      <c r="AA222" s="242" t="str">
        <f t="shared" si="237"/>
        <v/>
      </c>
      <c r="AB222" s="242" t="str">
        <f t="shared" si="228"/>
        <v/>
      </c>
      <c r="AC222" s="242" t="str">
        <f t="shared" si="235"/>
        <v/>
      </c>
      <c r="AD222" s="242" t="str">
        <f t="shared" ref="AD222:AD261" si="241">IF(AND(E222&lt;$AD$2,I222&gt;$AD$2),"1","")</f>
        <v/>
      </c>
      <c r="AE222" s="242" t="str">
        <f t="shared" si="181"/>
        <v/>
      </c>
      <c r="AF222" s="242" t="str">
        <f t="shared" si="188"/>
        <v/>
      </c>
      <c r="AG222" s="242" t="str">
        <f t="shared" si="195"/>
        <v/>
      </c>
      <c r="AH222" s="242" t="str">
        <f t="shared" si="200"/>
        <v/>
      </c>
      <c r="AI222" s="242" t="str">
        <f t="shared" si="201"/>
        <v/>
      </c>
      <c r="AJ222" s="242" t="str">
        <f t="shared" si="224"/>
        <v/>
      </c>
      <c r="AK222" s="242" t="str">
        <f t="shared" si="229"/>
        <v/>
      </c>
      <c r="AL222" s="242" t="str">
        <f t="shared" si="232"/>
        <v/>
      </c>
      <c r="AM222" s="242" t="str">
        <f t="shared" si="236"/>
        <v/>
      </c>
      <c r="AN222" s="199" t="str">
        <f t="shared" si="225"/>
        <v/>
      </c>
      <c r="AO222" s="199" t="str">
        <f t="shared" si="230"/>
        <v/>
      </c>
      <c r="AP222" s="199" t="str">
        <f t="shared" si="239"/>
        <v/>
      </c>
      <c r="AQ222" s="199" t="str">
        <f t="shared" si="202"/>
        <v/>
      </c>
      <c r="AR222" s="199" t="str">
        <f t="shared" si="226"/>
        <v/>
      </c>
      <c r="AS222" s="199" t="str">
        <f t="shared" si="233"/>
        <v/>
      </c>
      <c r="AT222" s="199" t="str">
        <f t="shared" si="234"/>
        <v/>
      </c>
      <c r="AU222" s="199" t="str">
        <f t="shared" si="240"/>
        <v/>
      </c>
      <c r="AV222" s="199" t="str">
        <f t="shared" si="221"/>
        <v/>
      </c>
      <c r="AW222" s="199" t="str">
        <f t="shared" si="227"/>
        <v/>
      </c>
      <c r="AX222" s="199" t="str">
        <f t="shared" si="231"/>
        <v/>
      </c>
      <c r="AY222" s="199" t="str">
        <f t="shared" si="238"/>
        <v/>
      </c>
    </row>
    <row r="223" spans="1:51" ht="20.399999999999999" x14ac:dyDescent="0.3">
      <c r="A223" s="201">
        <v>221</v>
      </c>
      <c r="B223" s="233" t="s">
        <v>309</v>
      </c>
      <c r="C223" s="144" t="s">
        <v>70</v>
      </c>
      <c r="D223" s="146">
        <v>2013</v>
      </c>
      <c r="E223" s="147">
        <v>41864</v>
      </c>
      <c r="F223" s="198">
        <f t="shared" si="203"/>
        <v>8</v>
      </c>
      <c r="G223" s="198" t="str">
        <f t="shared" si="204"/>
        <v>82013</v>
      </c>
      <c r="H223" s="198" t="str">
        <f t="shared" si="205"/>
        <v>agosto</v>
      </c>
      <c r="I223" s="114">
        <f>VLOOKUP(B223,'Base de Datos'!$E$7:$W$271,14,0)</f>
        <v>1</v>
      </c>
      <c r="J223" s="200">
        <f t="shared" si="206"/>
        <v>1900</v>
      </c>
      <c r="K223" s="199">
        <f t="shared" si="207"/>
        <v>1</v>
      </c>
      <c r="L223" s="199" t="str">
        <f t="shared" si="208"/>
        <v>11900</v>
      </c>
      <c r="M223" s="199" t="str">
        <f t="shared" si="209"/>
        <v>enero</v>
      </c>
      <c r="N223" s="199">
        <f t="shared" ca="1" si="210"/>
        <v>44227</v>
      </c>
      <c r="O223" s="242" t="str">
        <f t="shared" ca="1" si="211"/>
        <v>SI</v>
      </c>
      <c r="P223" s="242" t="str">
        <f t="shared" si="220"/>
        <v/>
      </c>
      <c r="Q223" s="242" t="str">
        <f t="shared" si="212"/>
        <v/>
      </c>
      <c r="R223" s="242" t="str">
        <f t="shared" si="213"/>
        <v/>
      </c>
      <c r="S223" s="242" t="str">
        <f t="shared" si="214"/>
        <v/>
      </c>
      <c r="T223" s="242" t="str">
        <f t="shared" si="215"/>
        <v/>
      </c>
      <c r="U223" s="242" t="str">
        <f t="shared" si="216"/>
        <v/>
      </c>
      <c r="V223" s="242" t="str">
        <f t="shared" si="223"/>
        <v/>
      </c>
      <c r="W223" s="242" t="str">
        <f t="shared" si="217"/>
        <v/>
      </c>
      <c r="X223" s="242" t="str">
        <f t="shared" si="218"/>
        <v/>
      </c>
      <c r="Y223" s="242" t="str">
        <f t="shared" si="222"/>
        <v/>
      </c>
      <c r="Z223" s="242" t="str">
        <f t="shared" si="219"/>
        <v/>
      </c>
      <c r="AA223" s="242" t="str">
        <f t="shared" si="237"/>
        <v/>
      </c>
      <c r="AB223" s="242" t="str">
        <f t="shared" si="228"/>
        <v/>
      </c>
      <c r="AC223" s="242" t="str">
        <f t="shared" si="235"/>
        <v/>
      </c>
      <c r="AD223" s="242" t="str">
        <f t="shared" si="241"/>
        <v/>
      </c>
      <c r="AE223" s="242" t="str">
        <f t="shared" si="181"/>
        <v/>
      </c>
      <c r="AF223" s="242" t="str">
        <f t="shared" si="188"/>
        <v/>
      </c>
      <c r="AG223" s="242" t="str">
        <f t="shared" si="195"/>
        <v/>
      </c>
      <c r="AH223" s="242" t="str">
        <f t="shared" si="200"/>
        <v/>
      </c>
      <c r="AI223" s="242" t="str">
        <f t="shared" ref="AI223:AI254" si="242">IF(AND(E223&lt;$AI$2,I223&gt;$AI$2),"1","")</f>
        <v/>
      </c>
      <c r="AJ223" s="242" t="str">
        <f t="shared" si="224"/>
        <v/>
      </c>
      <c r="AK223" s="242" t="str">
        <f t="shared" si="229"/>
        <v/>
      </c>
      <c r="AL223" s="242" t="str">
        <f t="shared" si="232"/>
        <v/>
      </c>
      <c r="AM223" s="242" t="str">
        <f t="shared" si="236"/>
        <v/>
      </c>
      <c r="AN223" s="199" t="str">
        <f t="shared" si="225"/>
        <v/>
      </c>
      <c r="AO223" s="199" t="str">
        <f t="shared" si="230"/>
        <v/>
      </c>
      <c r="AP223" s="199" t="str">
        <f t="shared" si="239"/>
        <v/>
      </c>
      <c r="AQ223" s="199" t="str">
        <f t="shared" si="202"/>
        <v/>
      </c>
      <c r="AR223" s="199" t="str">
        <f t="shared" si="226"/>
        <v/>
      </c>
      <c r="AS223" s="199" t="str">
        <f t="shared" si="233"/>
        <v/>
      </c>
      <c r="AT223" s="199" t="str">
        <f t="shared" si="234"/>
        <v/>
      </c>
      <c r="AU223" s="199" t="str">
        <f t="shared" si="240"/>
        <v/>
      </c>
      <c r="AV223" s="199" t="str">
        <f t="shared" si="221"/>
        <v/>
      </c>
      <c r="AW223" s="199" t="str">
        <f t="shared" si="227"/>
        <v/>
      </c>
      <c r="AX223" s="199" t="str">
        <f t="shared" si="231"/>
        <v/>
      </c>
      <c r="AY223" s="199" t="str">
        <f t="shared" si="238"/>
        <v/>
      </c>
    </row>
    <row r="224" spans="1:51" x14ac:dyDescent="0.3">
      <c r="A224" s="201">
        <v>222</v>
      </c>
      <c r="B224" s="233" t="s">
        <v>307</v>
      </c>
      <c r="C224" s="144" t="s">
        <v>144</v>
      </c>
      <c r="D224" s="146">
        <v>2014</v>
      </c>
      <c r="E224" s="147">
        <v>41850</v>
      </c>
      <c r="F224" s="198">
        <f t="shared" si="203"/>
        <v>7</v>
      </c>
      <c r="G224" s="198" t="str">
        <f t="shared" si="204"/>
        <v>72014</v>
      </c>
      <c r="H224" s="198" t="str">
        <f t="shared" si="205"/>
        <v>julio</v>
      </c>
      <c r="I224" s="114">
        <f>VLOOKUP(B224,'Base de Datos'!$E$7:$W$271,14,0)</f>
        <v>1</v>
      </c>
      <c r="J224" s="200">
        <f t="shared" si="206"/>
        <v>1900</v>
      </c>
      <c r="K224" s="199">
        <f t="shared" si="207"/>
        <v>1</v>
      </c>
      <c r="L224" s="199" t="str">
        <f t="shared" si="208"/>
        <v>11900</v>
      </c>
      <c r="M224" s="199" t="str">
        <f t="shared" si="209"/>
        <v>enero</v>
      </c>
      <c r="N224" s="199">
        <f t="shared" ca="1" si="210"/>
        <v>44227</v>
      </c>
      <c r="O224" s="242" t="str">
        <f t="shared" ca="1" si="211"/>
        <v>SI</v>
      </c>
      <c r="P224" s="242" t="str">
        <f t="shared" si="220"/>
        <v/>
      </c>
      <c r="Q224" s="242" t="str">
        <f t="shared" si="212"/>
        <v/>
      </c>
      <c r="R224" s="242" t="str">
        <f t="shared" si="213"/>
        <v/>
      </c>
      <c r="S224" s="242" t="str">
        <f t="shared" si="214"/>
        <v/>
      </c>
      <c r="T224" s="242" t="str">
        <f t="shared" si="215"/>
        <v/>
      </c>
      <c r="U224" s="242" t="str">
        <f t="shared" si="216"/>
        <v/>
      </c>
      <c r="V224" s="242" t="str">
        <f t="shared" si="223"/>
        <v/>
      </c>
      <c r="W224" s="242" t="str">
        <f t="shared" si="217"/>
        <v/>
      </c>
      <c r="X224" s="242" t="str">
        <f t="shared" si="218"/>
        <v/>
      </c>
      <c r="Y224" s="242" t="str">
        <f t="shared" si="222"/>
        <v/>
      </c>
      <c r="Z224" s="242" t="str">
        <f t="shared" si="219"/>
        <v/>
      </c>
      <c r="AA224" s="242" t="str">
        <f t="shared" si="237"/>
        <v/>
      </c>
      <c r="AB224" s="242" t="str">
        <f t="shared" si="228"/>
        <v/>
      </c>
      <c r="AC224" s="242" t="str">
        <f t="shared" si="235"/>
        <v/>
      </c>
      <c r="AD224" s="242" t="str">
        <f t="shared" si="241"/>
        <v/>
      </c>
      <c r="AE224" s="242" t="str">
        <f t="shared" si="181"/>
        <v/>
      </c>
      <c r="AF224" s="242" t="str">
        <f t="shared" si="188"/>
        <v/>
      </c>
      <c r="AG224" s="242" t="str">
        <f t="shared" si="195"/>
        <v/>
      </c>
      <c r="AH224" s="242" t="str">
        <f t="shared" si="200"/>
        <v/>
      </c>
      <c r="AI224" s="242" t="str">
        <f t="shared" si="242"/>
        <v/>
      </c>
      <c r="AJ224" s="242" t="str">
        <f t="shared" si="224"/>
        <v/>
      </c>
      <c r="AK224" s="242" t="str">
        <f t="shared" si="229"/>
        <v/>
      </c>
      <c r="AL224" s="242" t="str">
        <f t="shared" si="232"/>
        <v/>
      </c>
      <c r="AM224" s="242" t="str">
        <f t="shared" si="236"/>
        <v/>
      </c>
      <c r="AN224" s="199" t="str">
        <f t="shared" si="225"/>
        <v/>
      </c>
      <c r="AO224" s="199" t="str">
        <f t="shared" si="230"/>
        <v/>
      </c>
      <c r="AP224" s="199" t="str">
        <f t="shared" si="239"/>
        <v/>
      </c>
      <c r="AQ224" s="199" t="str">
        <f t="shared" si="202"/>
        <v/>
      </c>
      <c r="AR224" s="199" t="str">
        <f t="shared" si="226"/>
        <v/>
      </c>
      <c r="AS224" s="199" t="str">
        <f t="shared" si="233"/>
        <v/>
      </c>
      <c r="AT224" s="199" t="str">
        <f t="shared" si="234"/>
        <v/>
      </c>
      <c r="AU224" s="199" t="str">
        <f t="shared" si="240"/>
        <v/>
      </c>
      <c r="AV224" s="199" t="str">
        <f t="shared" si="221"/>
        <v/>
      </c>
      <c r="AW224" s="199" t="str">
        <f t="shared" si="227"/>
        <v/>
      </c>
      <c r="AX224" s="199" t="str">
        <f t="shared" si="231"/>
        <v/>
      </c>
      <c r="AY224" s="199" t="str">
        <f t="shared" si="238"/>
        <v/>
      </c>
    </row>
    <row r="225" spans="1:51" x14ac:dyDescent="0.3">
      <c r="A225" s="201">
        <v>223</v>
      </c>
      <c r="B225" s="377" t="str">
        <f>+'Base de Datos'!E265</f>
        <v>140385-0-2014</v>
      </c>
      <c r="C225" s="381" t="str">
        <f>+'Base de Datos'!F265</f>
        <v>S.O.S. SOLUCIONES DE OFICINA &amp; SUMINISTROS S.A.S.</v>
      </c>
      <c r="D225" s="381">
        <f>YEAR(E225)</f>
        <v>2014</v>
      </c>
      <c r="E225" s="385">
        <f>+'Base de Datos'!M265</f>
        <v>41988</v>
      </c>
      <c r="F225" s="198">
        <f t="shared" si="203"/>
        <v>12</v>
      </c>
      <c r="G225" s="198" t="str">
        <f t="shared" si="204"/>
        <v>122014</v>
      </c>
      <c r="H225" s="198" t="str">
        <f t="shared" si="205"/>
        <v>diciembre</v>
      </c>
      <c r="I225" s="114">
        <f>VLOOKUP(B225,'Base de Datos'!$E$7:$W$271,14,0)</f>
        <v>0</v>
      </c>
      <c r="J225" s="200">
        <f t="shared" si="206"/>
        <v>1900</v>
      </c>
      <c r="K225" s="199">
        <f t="shared" si="207"/>
        <v>1</v>
      </c>
      <c r="L225" s="199" t="str">
        <f t="shared" si="208"/>
        <v>11900</v>
      </c>
      <c r="M225" s="199" t="str">
        <f t="shared" si="209"/>
        <v>enero</v>
      </c>
      <c r="N225" s="199">
        <f t="shared" ca="1" si="210"/>
        <v>44228</v>
      </c>
      <c r="O225" s="242" t="str">
        <f t="shared" ca="1" si="211"/>
        <v>SI</v>
      </c>
      <c r="P225" s="242" t="str">
        <f t="shared" si="220"/>
        <v/>
      </c>
      <c r="Q225" s="242" t="str">
        <f t="shared" si="212"/>
        <v/>
      </c>
      <c r="R225" s="242" t="str">
        <f t="shared" si="213"/>
        <v/>
      </c>
      <c r="S225" s="242" t="str">
        <f t="shared" si="214"/>
        <v/>
      </c>
      <c r="T225" s="242" t="str">
        <f t="shared" si="215"/>
        <v/>
      </c>
      <c r="U225" s="242" t="str">
        <f t="shared" si="216"/>
        <v/>
      </c>
      <c r="V225" s="242" t="str">
        <f t="shared" si="223"/>
        <v/>
      </c>
      <c r="W225" s="242" t="str">
        <f t="shared" si="217"/>
        <v/>
      </c>
      <c r="X225" s="242" t="str">
        <f t="shared" si="218"/>
        <v/>
      </c>
      <c r="Y225" s="242" t="str">
        <f t="shared" si="222"/>
        <v/>
      </c>
      <c r="Z225" s="242" t="str">
        <f t="shared" si="219"/>
        <v/>
      </c>
      <c r="AA225" s="242" t="str">
        <f t="shared" si="237"/>
        <v/>
      </c>
      <c r="AB225" s="242" t="str">
        <f t="shared" si="228"/>
        <v/>
      </c>
      <c r="AC225" s="242" t="str">
        <f t="shared" si="235"/>
        <v/>
      </c>
      <c r="AD225" s="242" t="str">
        <f t="shared" si="241"/>
        <v/>
      </c>
      <c r="AE225" s="242" t="str">
        <f t="shared" si="181"/>
        <v/>
      </c>
      <c r="AF225" s="242" t="str">
        <f t="shared" si="188"/>
        <v/>
      </c>
      <c r="AG225" s="242" t="str">
        <f t="shared" si="195"/>
        <v/>
      </c>
      <c r="AH225" s="242" t="str">
        <f t="shared" si="200"/>
        <v/>
      </c>
      <c r="AI225" s="242" t="str">
        <f t="shared" si="242"/>
        <v/>
      </c>
      <c r="AJ225" s="242" t="str">
        <f t="shared" si="224"/>
        <v/>
      </c>
      <c r="AK225" s="242" t="str">
        <f t="shared" si="229"/>
        <v/>
      </c>
      <c r="AL225" s="242" t="str">
        <f t="shared" si="232"/>
        <v/>
      </c>
      <c r="AM225" s="242" t="str">
        <f t="shared" si="236"/>
        <v/>
      </c>
      <c r="AN225" s="199" t="str">
        <f t="shared" si="225"/>
        <v/>
      </c>
      <c r="AO225" s="199" t="str">
        <f t="shared" si="230"/>
        <v/>
      </c>
      <c r="AP225" s="199" t="str">
        <f t="shared" si="239"/>
        <v/>
      </c>
      <c r="AQ225" s="199" t="str">
        <f t="shared" si="202"/>
        <v/>
      </c>
      <c r="AR225" s="199" t="str">
        <f t="shared" si="226"/>
        <v/>
      </c>
      <c r="AS225" s="199" t="str">
        <f t="shared" si="233"/>
        <v/>
      </c>
      <c r="AT225" s="199" t="str">
        <f t="shared" si="234"/>
        <v/>
      </c>
      <c r="AU225" s="199" t="str">
        <f t="shared" si="240"/>
        <v/>
      </c>
      <c r="AV225" s="199" t="str">
        <f t="shared" si="221"/>
        <v/>
      </c>
      <c r="AW225" s="199" t="str">
        <f t="shared" si="227"/>
        <v/>
      </c>
      <c r="AX225" s="199" t="str">
        <f t="shared" si="231"/>
        <v/>
      </c>
      <c r="AY225" s="199" t="str">
        <f t="shared" si="238"/>
        <v/>
      </c>
    </row>
    <row r="226" spans="1:51" x14ac:dyDescent="0.3">
      <c r="A226" s="201">
        <v>224</v>
      </c>
      <c r="B226" s="233" t="s">
        <v>283</v>
      </c>
      <c r="C226" s="144" t="s">
        <v>284</v>
      </c>
      <c r="D226" s="146">
        <v>2014</v>
      </c>
      <c r="E226" s="147">
        <v>41807</v>
      </c>
      <c r="F226" s="198">
        <f t="shared" si="203"/>
        <v>6</v>
      </c>
      <c r="G226" s="198" t="str">
        <f t="shared" si="204"/>
        <v>62014</v>
      </c>
      <c r="H226" s="198" t="str">
        <f t="shared" si="205"/>
        <v>junio</v>
      </c>
      <c r="I226" s="114">
        <f>VLOOKUP(B226,'Base de Datos'!$E$7:$W$271,14,0)</f>
        <v>2</v>
      </c>
      <c r="J226" s="200">
        <f t="shared" si="206"/>
        <v>1900</v>
      </c>
      <c r="K226" s="199">
        <f t="shared" si="207"/>
        <v>1</v>
      </c>
      <c r="L226" s="199" t="str">
        <f t="shared" si="208"/>
        <v>11900</v>
      </c>
      <c r="M226" s="199" t="str">
        <f t="shared" si="209"/>
        <v>enero</v>
      </c>
      <c r="N226" s="199">
        <f t="shared" ca="1" si="210"/>
        <v>44226</v>
      </c>
      <c r="O226" s="242" t="str">
        <f t="shared" ca="1" si="211"/>
        <v>SI</v>
      </c>
      <c r="P226" s="242" t="str">
        <f t="shared" si="220"/>
        <v/>
      </c>
      <c r="Q226" s="242" t="str">
        <f t="shared" si="212"/>
        <v/>
      </c>
      <c r="R226" s="242" t="str">
        <f t="shared" si="213"/>
        <v/>
      </c>
      <c r="S226" s="242" t="str">
        <f t="shared" si="214"/>
        <v/>
      </c>
      <c r="T226" s="242" t="str">
        <f t="shared" si="215"/>
        <v/>
      </c>
      <c r="U226" s="242" t="str">
        <f t="shared" si="216"/>
        <v/>
      </c>
      <c r="V226" s="242" t="str">
        <f t="shared" si="223"/>
        <v/>
      </c>
      <c r="W226" s="242" t="str">
        <f t="shared" si="217"/>
        <v/>
      </c>
      <c r="X226" s="242" t="str">
        <f t="shared" si="218"/>
        <v/>
      </c>
      <c r="Y226" s="242" t="str">
        <f t="shared" si="222"/>
        <v/>
      </c>
      <c r="Z226" s="242" t="str">
        <f t="shared" si="219"/>
        <v/>
      </c>
      <c r="AA226" s="242" t="str">
        <f t="shared" si="237"/>
        <v/>
      </c>
      <c r="AB226" s="242" t="str">
        <f t="shared" si="228"/>
        <v/>
      </c>
      <c r="AC226" s="242" t="str">
        <f t="shared" si="235"/>
        <v/>
      </c>
      <c r="AD226" s="242" t="str">
        <f t="shared" si="241"/>
        <v/>
      </c>
      <c r="AE226" s="242" t="str">
        <f t="shared" si="181"/>
        <v/>
      </c>
      <c r="AF226" s="242" t="str">
        <f t="shared" si="188"/>
        <v/>
      </c>
      <c r="AG226" s="242" t="str">
        <f t="shared" si="195"/>
        <v/>
      </c>
      <c r="AH226" s="242" t="str">
        <f t="shared" si="200"/>
        <v/>
      </c>
      <c r="AI226" s="242" t="str">
        <f t="shared" si="242"/>
        <v/>
      </c>
      <c r="AJ226" s="242" t="str">
        <f t="shared" si="224"/>
        <v/>
      </c>
      <c r="AK226" s="242" t="str">
        <f t="shared" si="229"/>
        <v/>
      </c>
      <c r="AL226" s="242" t="str">
        <f t="shared" si="232"/>
        <v/>
      </c>
      <c r="AM226" s="242" t="str">
        <f t="shared" si="236"/>
        <v/>
      </c>
      <c r="AN226" s="199" t="str">
        <f t="shared" si="225"/>
        <v/>
      </c>
      <c r="AO226" s="199" t="str">
        <f t="shared" si="230"/>
        <v/>
      </c>
      <c r="AP226" s="199" t="str">
        <f t="shared" si="239"/>
        <v/>
      </c>
      <c r="AQ226" s="199" t="str">
        <f t="shared" ref="AQ226:AQ261" si="243">IF(AND(E226&lt;$AQ$2,I226&gt;$AQ$2),"1","")</f>
        <v/>
      </c>
      <c r="AR226" s="199" t="str">
        <f t="shared" si="226"/>
        <v/>
      </c>
      <c r="AS226" s="199" t="str">
        <f t="shared" si="233"/>
        <v/>
      </c>
      <c r="AT226" s="199" t="str">
        <f t="shared" si="234"/>
        <v/>
      </c>
      <c r="AU226" s="199" t="str">
        <f t="shared" si="240"/>
        <v/>
      </c>
      <c r="AV226" s="199" t="str">
        <f t="shared" si="221"/>
        <v/>
      </c>
      <c r="AW226" s="199" t="str">
        <f t="shared" si="227"/>
        <v/>
      </c>
      <c r="AX226" s="199" t="str">
        <f t="shared" si="231"/>
        <v/>
      </c>
      <c r="AY226" s="199" t="str">
        <f t="shared" si="238"/>
        <v/>
      </c>
    </row>
    <row r="227" spans="1:51" ht="20.399999999999999" x14ac:dyDescent="0.3">
      <c r="A227" s="201">
        <v>225</v>
      </c>
      <c r="B227" s="233" t="s">
        <v>291</v>
      </c>
      <c r="C227" s="144" t="s">
        <v>1047</v>
      </c>
      <c r="D227" s="146">
        <v>2014</v>
      </c>
      <c r="E227" s="147">
        <v>41808</v>
      </c>
      <c r="F227" s="198">
        <f t="shared" si="203"/>
        <v>6</v>
      </c>
      <c r="G227" s="198" t="str">
        <f t="shared" si="204"/>
        <v>62014</v>
      </c>
      <c r="H227" s="198" t="str">
        <f t="shared" si="205"/>
        <v>junio</v>
      </c>
      <c r="I227" s="114">
        <f>VLOOKUP(B227,'Base de Datos'!$E$7:$W$271,14,0)</f>
        <v>2</v>
      </c>
      <c r="J227" s="200">
        <f t="shared" si="206"/>
        <v>1900</v>
      </c>
      <c r="K227" s="199">
        <f t="shared" si="207"/>
        <v>1</v>
      </c>
      <c r="L227" s="199" t="str">
        <f t="shared" si="208"/>
        <v>11900</v>
      </c>
      <c r="M227" s="199" t="str">
        <f t="shared" si="209"/>
        <v>enero</v>
      </c>
      <c r="N227" s="199">
        <f t="shared" ca="1" si="210"/>
        <v>44226</v>
      </c>
      <c r="O227" s="242" t="str">
        <f t="shared" ca="1" si="211"/>
        <v>SI</v>
      </c>
      <c r="P227" s="242" t="str">
        <f t="shared" si="220"/>
        <v/>
      </c>
      <c r="Q227" s="242" t="str">
        <f t="shared" si="212"/>
        <v/>
      </c>
      <c r="R227" s="242" t="str">
        <f t="shared" si="213"/>
        <v/>
      </c>
      <c r="S227" s="242" t="str">
        <f t="shared" si="214"/>
        <v/>
      </c>
      <c r="T227" s="242" t="str">
        <f t="shared" si="215"/>
        <v/>
      </c>
      <c r="U227" s="242" t="str">
        <f t="shared" si="216"/>
        <v/>
      </c>
      <c r="V227" s="242" t="str">
        <f t="shared" si="223"/>
        <v/>
      </c>
      <c r="W227" s="242" t="str">
        <f t="shared" si="217"/>
        <v/>
      </c>
      <c r="X227" s="242" t="str">
        <f t="shared" si="218"/>
        <v/>
      </c>
      <c r="Y227" s="242" t="str">
        <f t="shared" si="222"/>
        <v/>
      </c>
      <c r="Z227" s="242" t="str">
        <f t="shared" si="219"/>
        <v/>
      </c>
      <c r="AA227" s="242" t="str">
        <f t="shared" si="237"/>
        <v/>
      </c>
      <c r="AB227" s="242" t="str">
        <f t="shared" si="228"/>
        <v/>
      </c>
      <c r="AC227" s="242" t="str">
        <f t="shared" si="235"/>
        <v/>
      </c>
      <c r="AD227" s="242" t="str">
        <f t="shared" si="241"/>
        <v/>
      </c>
      <c r="AE227" s="242" t="str">
        <f t="shared" ref="AE227:AE261" si="244">IF(AND(E227&lt;$AE$2,I227&gt;$AE$2),"1","")</f>
        <v/>
      </c>
      <c r="AF227" s="242" t="str">
        <f t="shared" si="188"/>
        <v/>
      </c>
      <c r="AG227" s="242" t="str">
        <f t="shared" si="195"/>
        <v/>
      </c>
      <c r="AH227" s="242" t="str">
        <f t="shared" si="200"/>
        <v/>
      </c>
      <c r="AI227" s="242" t="str">
        <f t="shared" si="242"/>
        <v/>
      </c>
      <c r="AJ227" s="242" t="str">
        <f t="shared" si="224"/>
        <v/>
      </c>
      <c r="AK227" s="242" t="str">
        <f t="shared" si="229"/>
        <v/>
      </c>
      <c r="AL227" s="242" t="str">
        <f t="shared" si="232"/>
        <v/>
      </c>
      <c r="AM227" s="242" t="str">
        <f t="shared" si="236"/>
        <v/>
      </c>
      <c r="AN227" s="199" t="str">
        <f t="shared" si="225"/>
        <v/>
      </c>
      <c r="AO227" s="199" t="str">
        <f t="shared" si="230"/>
        <v/>
      </c>
      <c r="AP227" s="199" t="str">
        <f t="shared" si="239"/>
        <v/>
      </c>
      <c r="AQ227" s="199" t="str">
        <f t="shared" si="243"/>
        <v/>
      </c>
      <c r="AR227" s="199" t="str">
        <f t="shared" si="226"/>
        <v/>
      </c>
      <c r="AS227" s="199" t="str">
        <f t="shared" si="233"/>
        <v/>
      </c>
      <c r="AT227" s="199" t="str">
        <f t="shared" si="234"/>
        <v/>
      </c>
      <c r="AU227" s="199" t="str">
        <f t="shared" si="240"/>
        <v/>
      </c>
      <c r="AV227" s="199" t="str">
        <f t="shared" si="221"/>
        <v/>
      </c>
      <c r="AW227" s="199" t="str">
        <f t="shared" si="227"/>
        <v/>
      </c>
      <c r="AX227" s="199" t="str">
        <f t="shared" si="231"/>
        <v/>
      </c>
      <c r="AY227" s="199" t="str">
        <f t="shared" si="238"/>
        <v/>
      </c>
    </row>
    <row r="228" spans="1:51" x14ac:dyDescent="0.3">
      <c r="A228" s="201">
        <v>226</v>
      </c>
      <c r="B228" s="233" t="s">
        <v>274</v>
      </c>
      <c r="C228" s="144" t="s">
        <v>275</v>
      </c>
      <c r="D228" s="146">
        <v>2014</v>
      </c>
      <c r="E228" s="147">
        <v>41752</v>
      </c>
      <c r="F228" s="198">
        <f t="shared" si="203"/>
        <v>4</v>
      </c>
      <c r="G228" s="198" t="str">
        <f t="shared" si="204"/>
        <v>42014</v>
      </c>
      <c r="H228" s="198" t="str">
        <f t="shared" si="205"/>
        <v>abril</v>
      </c>
      <c r="I228" s="114">
        <f>VLOOKUP(B228,'Base de Datos'!$E$7:$W$271,14,0)</f>
        <v>0</v>
      </c>
      <c r="J228" s="200">
        <f t="shared" si="206"/>
        <v>1900</v>
      </c>
      <c r="K228" s="199">
        <f t="shared" si="207"/>
        <v>1</v>
      </c>
      <c r="L228" s="199" t="str">
        <f t="shared" si="208"/>
        <v>11900</v>
      </c>
      <c r="M228" s="199" t="str">
        <f t="shared" si="209"/>
        <v>enero</v>
      </c>
      <c r="N228" s="199">
        <f t="shared" ca="1" si="210"/>
        <v>44228</v>
      </c>
      <c r="O228" s="242" t="str">
        <f t="shared" ca="1" si="211"/>
        <v>SI</v>
      </c>
      <c r="P228" s="242" t="str">
        <f t="shared" si="220"/>
        <v/>
      </c>
      <c r="Q228" s="242" t="str">
        <f t="shared" si="212"/>
        <v/>
      </c>
      <c r="R228" s="242" t="str">
        <f t="shared" si="213"/>
        <v/>
      </c>
      <c r="S228" s="242" t="str">
        <f t="shared" si="214"/>
        <v/>
      </c>
      <c r="T228" s="242" t="str">
        <f t="shared" si="215"/>
        <v/>
      </c>
      <c r="U228" s="242" t="str">
        <f t="shared" si="216"/>
        <v/>
      </c>
      <c r="V228" s="242" t="str">
        <f t="shared" si="223"/>
        <v/>
      </c>
      <c r="W228" s="242" t="str">
        <f t="shared" si="217"/>
        <v/>
      </c>
      <c r="X228" s="242" t="str">
        <f t="shared" si="218"/>
        <v/>
      </c>
      <c r="Y228" s="242" t="str">
        <f t="shared" si="222"/>
        <v/>
      </c>
      <c r="Z228" s="242" t="str">
        <f t="shared" si="219"/>
        <v/>
      </c>
      <c r="AA228" s="242" t="str">
        <f t="shared" si="237"/>
        <v/>
      </c>
      <c r="AB228" s="242" t="str">
        <f t="shared" si="228"/>
        <v/>
      </c>
      <c r="AC228" s="242" t="str">
        <f t="shared" si="235"/>
        <v/>
      </c>
      <c r="AD228" s="242" t="str">
        <f t="shared" si="241"/>
        <v/>
      </c>
      <c r="AE228" s="242" t="str">
        <f t="shared" si="244"/>
        <v/>
      </c>
      <c r="AF228" s="242" t="str">
        <f t="shared" si="188"/>
        <v/>
      </c>
      <c r="AG228" s="242" t="str">
        <f t="shared" si="195"/>
        <v/>
      </c>
      <c r="AH228" s="242" t="str">
        <f t="shared" si="200"/>
        <v/>
      </c>
      <c r="AI228" s="242" t="str">
        <f t="shared" si="242"/>
        <v/>
      </c>
      <c r="AJ228" s="242" t="str">
        <f t="shared" si="224"/>
        <v/>
      </c>
      <c r="AK228" s="242" t="str">
        <f t="shared" si="229"/>
        <v/>
      </c>
      <c r="AL228" s="242" t="str">
        <f t="shared" si="232"/>
        <v/>
      </c>
      <c r="AM228" s="242" t="str">
        <f t="shared" si="236"/>
        <v/>
      </c>
      <c r="AN228" s="199" t="str">
        <f t="shared" si="225"/>
        <v/>
      </c>
      <c r="AO228" s="199" t="str">
        <f t="shared" si="230"/>
        <v/>
      </c>
      <c r="AP228" s="199" t="str">
        <f t="shared" si="239"/>
        <v/>
      </c>
      <c r="AQ228" s="199" t="str">
        <f t="shared" si="243"/>
        <v/>
      </c>
      <c r="AR228" s="199" t="str">
        <f t="shared" si="226"/>
        <v/>
      </c>
      <c r="AS228" s="199" t="str">
        <f t="shared" si="233"/>
        <v/>
      </c>
      <c r="AT228" s="199" t="str">
        <f t="shared" si="234"/>
        <v/>
      </c>
      <c r="AU228" s="199" t="str">
        <f t="shared" si="240"/>
        <v/>
      </c>
      <c r="AV228" s="199" t="str">
        <f t="shared" ref="AV228:AV261" si="245">IF(AND(E228&lt;$AV$2,I228&gt;$AV$2),"1","")</f>
        <v/>
      </c>
      <c r="AW228" s="199" t="str">
        <f t="shared" si="227"/>
        <v/>
      </c>
      <c r="AX228" s="199" t="str">
        <f t="shared" si="231"/>
        <v/>
      </c>
      <c r="AY228" s="199" t="str">
        <f t="shared" si="238"/>
        <v/>
      </c>
    </row>
    <row r="229" spans="1:51" ht="20.399999999999999" x14ac:dyDescent="0.3">
      <c r="A229" s="201">
        <v>227</v>
      </c>
      <c r="B229" s="233" t="s">
        <v>276</v>
      </c>
      <c r="C229" s="144" t="s">
        <v>277</v>
      </c>
      <c r="D229" s="146">
        <v>2014</v>
      </c>
      <c r="E229" s="147">
        <v>41753</v>
      </c>
      <c r="F229" s="198">
        <f t="shared" si="203"/>
        <v>4</v>
      </c>
      <c r="G229" s="198" t="str">
        <f t="shared" si="204"/>
        <v>42014</v>
      </c>
      <c r="H229" s="198" t="str">
        <f t="shared" si="205"/>
        <v>abril</v>
      </c>
      <c r="I229" s="114">
        <f>VLOOKUP(B229,'Base de Datos'!$E$7:$W$271,14,0)</f>
        <v>0</v>
      </c>
      <c r="J229" s="200">
        <f t="shared" si="206"/>
        <v>1900</v>
      </c>
      <c r="K229" s="199">
        <f t="shared" si="207"/>
        <v>1</v>
      </c>
      <c r="L229" s="199" t="str">
        <f t="shared" si="208"/>
        <v>11900</v>
      </c>
      <c r="M229" s="199" t="str">
        <f t="shared" si="209"/>
        <v>enero</v>
      </c>
      <c r="N229" s="199">
        <f t="shared" ca="1" si="210"/>
        <v>44228</v>
      </c>
      <c r="O229" s="242" t="str">
        <f t="shared" ca="1" si="211"/>
        <v>SI</v>
      </c>
      <c r="P229" s="242" t="str">
        <f t="shared" si="220"/>
        <v/>
      </c>
      <c r="Q229" s="242" t="str">
        <f t="shared" si="212"/>
        <v/>
      </c>
      <c r="R229" s="242" t="str">
        <f t="shared" si="213"/>
        <v/>
      </c>
      <c r="S229" s="242" t="str">
        <f t="shared" si="214"/>
        <v/>
      </c>
      <c r="T229" s="242" t="str">
        <f t="shared" si="215"/>
        <v/>
      </c>
      <c r="U229" s="242" t="str">
        <f t="shared" si="216"/>
        <v/>
      </c>
      <c r="V229" s="242" t="str">
        <f t="shared" si="223"/>
        <v/>
      </c>
      <c r="W229" s="242" t="str">
        <f t="shared" si="217"/>
        <v/>
      </c>
      <c r="X229" s="242" t="str">
        <f t="shared" si="218"/>
        <v/>
      </c>
      <c r="Y229" s="242" t="str">
        <f t="shared" si="222"/>
        <v/>
      </c>
      <c r="Z229" s="242" t="str">
        <f t="shared" si="219"/>
        <v/>
      </c>
      <c r="AA229" s="242" t="str">
        <f t="shared" si="237"/>
        <v/>
      </c>
      <c r="AB229" s="242" t="str">
        <f t="shared" si="228"/>
        <v/>
      </c>
      <c r="AC229" s="242" t="str">
        <f t="shared" si="235"/>
        <v/>
      </c>
      <c r="AD229" s="242" t="str">
        <f t="shared" si="241"/>
        <v/>
      </c>
      <c r="AE229" s="242" t="str">
        <f t="shared" si="244"/>
        <v/>
      </c>
      <c r="AF229" s="242" t="str">
        <f t="shared" si="188"/>
        <v/>
      </c>
      <c r="AG229" s="242" t="str">
        <f t="shared" si="195"/>
        <v/>
      </c>
      <c r="AH229" s="242" t="str">
        <f t="shared" si="200"/>
        <v/>
      </c>
      <c r="AI229" s="242" t="str">
        <f t="shared" si="242"/>
        <v/>
      </c>
      <c r="AJ229" s="242" t="str">
        <f t="shared" si="224"/>
        <v/>
      </c>
      <c r="AK229" s="242" t="str">
        <f t="shared" si="229"/>
        <v/>
      </c>
      <c r="AL229" s="242" t="str">
        <f t="shared" si="232"/>
        <v/>
      </c>
      <c r="AM229" s="242" t="str">
        <f t="shared" si="236"/>
        <v/>
      </c>
      <c r="AN229" s="199" t="str">
        <f t="shared" si="225"/>
        <v/>
      </c>
      <c r="AO229" s="199" t="str">
        <f t="shared" si="230"/>
        <v/>
      </c>
      <c r="AP229" s="199" t="str">
        <f t="shared" si="239"/>
        <v/>
      </c>
      <c r="AQ229" s="199" t="str">
        <f t="shared" si="243"/>
        <v/>
      </c>
      <c r="AR229" s="199" t="str">
        <f t="shared" si="226"/>
        <v/>
      </c>
      <c r="AS229" s="199" t="str">
        <f t="shared" si="233"/>
        <v/>
      </c>
      <c r="AT229" s="199" t="str">
        <f t="shared" si="234"/>
        <v/>
      </c>
      <c r="AU229" s="199" t="str">
        <f t="shared" si="240"/>
        <v/>
      </c>
      <c r="AV229" s="199" t="str">
        <f t="shared" si="245"/>
        <v/>
      </c>
      <c r="AW229" s="199" t="str">
        <f t="shared" si="227"/>
        <v/>
      </c>
      <c r="AX229" s="199" t="str">
        <f t="shared" si="231"/>
        <v/>
      </c>
      <c r="AY229" s="199" t="str">
        <f t="shared" si="238"/>
        <v/>
      </c>
    </row>
    <row r="230" spans="1:51" x14ac:dyDescent="0.3">
      <c r="A230" s="201">
        <v>228</v>
      </c>
      <c r="B230" s="377" t="str">
        <f>+'Base de Datos'!E253</f>
        <v>140310-0-2014</v>
      </c>
      <c r="C230" s="381" t="str">
        <f>+'Base de Datos'!F253</f>
        <v>TECOLSOF SAS</v>
      </c>
      <c r="D230" s="381">
        <f>YEAR(E230)</f>
        <v>2014</v>
      </c>
      <c r="E230" s="385">
        <f>+'Base de Datos'!M253</f>
        <v>41935</v>
      </c>
      <c r="F230" s="198">
        <f t="shared" si="203"/>
        <v>10</v>
      </c>
      <c r="G230" s="198" t="str">
        <f t="shared" si="204"/>
        <v>102014</v>
      </c>
      <c r="H230" s="198" t="str">
        <f t="shared" si="205"/>
        <v>octubre</v>
      </c>
      <c r="I230" s="114">
        <f>VLOOKUP(B230,'Base de Datos'!$E$7:$W$271,14,0)</f>
        <v>1</v>
      </c>
      <c r="J230" s="200">
        <f t="shared" si="206"/>
        <v>1900</v>
      </c>
      <c r="K230" s="199">
        <f t="shared" si="207"/>
        <v>1</v>
      </c>
      <c r="L230" s="199" t="str">
        <f t="shared" si="208"/>
        <v>11900</v>
      </c>
      <c r="M230" s="199" t="str">
        <f t="shared" si="209"/>
        <v>enero</v>
      </c>
      <c r="N230" s="199">
        <f t="shared" ca="1" si="210"/>
        <v>44227</v>
      </c>
      <c r="O230" s="242" t="str">
        <f t="shared" ca="1" si="211"/>
        <v>SI</v>
      </c>
      <c r="P230" s="242" t="str">
        <f t="shared" si="220"/>
        <v/>
      </c>
      <c r="Q230" s="242" t="str">
        <f t="shared" si="212"/>
        <v/>
      </c>
      <c r="R230" s="242" t="str">
        <f t="shared" si="213"/>
        <v/>
      </c>
      <c r="S230" s="242" t="str">
        <f t="shared" si="214"/>
        <v/>
      </c>
      <c r="T230" s="242" t="str">
        <f t="shared" si="215"/>
        <v/>
      </c>
      <c r="U230" s="242" t="str">
        <f t="shared" si="216"/>
        <v/>
      </c>
      <c r="V230" s="242" t="str">
        <f t="shared" si="223"/>
        <v/>
      </c>
      <c r="W230" s="242" t="str">
        <f t="shared" si="217"/>
        <v/>
      </c>
      <c r="X230" s="242" t="str">
        <f t="shared" si="218"/>
        <v/>
      </c>
      <c r="Y230" s="242" t="str">
        <f t="shared" si="222"/>
        <v/>
      </c>
      <c r="Z230" s="242" t="str">
        <f t="shared" si="219"/>
        <v/>
      </c>
      <c r="AA230" s="242" t="str">
        <f t="shared" si="237"/>
        <v/>
      </c>
      <c r="AB230" s="242" t="str">
        <f t="shared" si="228"/>
        <v/>
      </c>
      <c r="AC230" s="242" t="str">
        <f t="shared" si="235"/>
        <v/>
      </c>
      <c r="AD230" s="242" t="str">
        <f t="shared" si="241"/>
        <v/>
      </c>
      <c r="AE230" s="242" t="str">
        <f t="shared" si="244"/>
        <v/>
      </c>
      <c r="AF230" s="242" t="str">
        <f t="shared" si="188"/>
        <v/>
      </c>
      <c r="AG230" s="242" t="str">
        <f t="shared" si="195"/>
        <v/>
      </c>
      <c r="AH230" s="242" t="str">
        <f t="shared" si="200"/>
        <v/>
      </c>
      <c r="AI230" s="242" t="str">
        <f t="shared" si="242"/>
        <v/>
      </c>
      <c r="AJ230" s="242" t="str">
        <f t="shared" si="224"/>
        <v/>
      </c>
      <c r="AK230" s="242" t="str">
        <f t="shared" si="229"/>
        <v/>
      </c>
      <c r="AL230" s="242" t="str">
        <f t="shared" si="232"/>
        <v/>
      </c>
      <c r="AM230" s="242" t="str">
        <f t="shared" si="236"/>
        <v/>
      </c>
      <c r="AN230" s="199" t="str">
        <f t="shared" si="225"/>
        <v/>
      </c>
      <c r="AO230" s="199" t="str">
        <f t="shared" si="230"/>
        <v/>
      </c>
      <c r="AP230" s="199" t="str">
        <f t="shared" si="239"/>
        <v/>
      </c>
      <c r="AQ230" s="199" t="str">
        <f t="shared" si="243"/>
        <v/>
      </c>
      <c r="AR230" s="199" t="str">
        <f t="shared" si="226"/>
        <v/>
      </c>
      <c r="AS230" s="199" t="str">
        <f t="shared" si="233"/>
        <v/>
      </c>
      <c r="AT230" s="199" t="str">
        <f t="shared" si="234"/>
        <v/>
      </c>
      <c r="AU230" s="199" t="str">
        <f t="shared" si="240"/>
        <v/>
      </c>
      <c r="AV230" s="199" t="str">
        <f t="shared" si="245"/>
        <v/>
      </c>
      <c r="AW230" s="199" t="str">
        <f t="shared" si="227"/>
        <v/>
      </c>
      <c r="AX230" s="199" t="str">
        <f t="shared" si="231"/>
        <v/>
      </c>
      <c r="AY230" s="199" t="str">
        <f t="shared" si="238"/>
        <v/>
      </c>
    </row>
    <row r="231" spans="1:51" x14ac:dyDescent="0.3">
      <c r="A231" s="201">
        <v>229</v>
      </c>
      <c r="B231" s="233" t="s">
        <v>300</v>
      </c>
      <c r="C231" s="144" t="s">
        <v>301</v>
      </c>
      <c r="D231" s="146">
        <v>2014</v>
      </c>
      <c r="E231" s="147">
        <v>41824</v>
      </c>
      <c r="F231" s="198">
        <f t="shared" si="203"/>
        <v>7</v>
      </c>
      <c r="G231" s="198" t="str">
        <f t="shared" si="204"/>
        <v>72014</v>
      </c>
      <c r="H231" s="198" t="str">
        <f t="shared" si="205"/>
        <v>julio</v>
      </c>
      <c r="I231" s="114">
        <f>VLOOKUP(B231,'Base de Datos'!$E$7:$W$271,14,0)</f>
        <v>2</v>
      </c>
      <c r="J231" s="200">
        <f t="shared" si="206"/>
        <v>1900</v>
      </c>
      <c r="K231" s="199">
        <f t="shared" si="207"/>
        <v>1</v>
      </c>
      <c r="L231" s="199" t="str">
        <f t="shared" si="208"/>
        <v>11900</v>
      </c>
      <c r="M231" s="199" t="str">
        <f t="shared" si="209"/>
        <v>enero</v>
      </c>
      <c r="N231" s="199">
        <f t="shared" ca="1" si="210"/>
        <v>44226</v>
      </c>
      <c r="O231" s="242" t="str">
        <f t="shared" ca="1" si="211"/>
        <v>SI</v>
      </c>
      <c r="P231" s="242" t="str">
        <f t="shared" si="220"/>
        <v/>
      </c>
      <c r="Q231" s="242" t="str">
        <f t="shared" si="212"/>
        <v/>
      </c>
      <c r="R231" s="242" t="str">
        <f t="shared" si="213"/>
        <v/>
      </c>
      <c r="S231" s="242" t="str">
        <f t="shared" si="214"/>
        <v/>
      </c>
      <c r="T231" s="242" t="str">
        <f t="shared" si="215"/>
        <v/>
      </c>
      <c r="U231" s="242" t="str">
        <f t="shared" si="216"/>
        <v/>
      </c>
      <c r="V231" s="242" t="str">
        <f t="shared" si="223"/>
        <v/>
      </c>
      <c r="W231" s="242" t="str">
        <f t="shared" si="217"/>
        <v/>
      </c>
      <c r="X231" s="242" t="str">
        <f t="shared" si="218"/>
        <v/>
      </c>
      <c r="Y231" s="242" t="str">
        <f t="shared" si="222"/>
        <v/>
      </c>
      <c r="Z231" s="242" t="str">
        <f t="shared" si="219"/>
        <v/>
      </c>
      <c r="AA231" s="242" t="str">
        <f t="shared" si="237"/>
        <v/>
      </c>
      <c r="AB231" s="242" t="str">
        <f t="shared" si="228"/>
        <v/>
      </c>
      <c r="AC231" s="242" t="str">
        <f t="shared" si="235"/>
        <v/>
      </c>
      <c r="AD231" s="242" t="str">
        <f t="shared" si="241"/>
        <v/>
      </c>
      <c r="AE231" s="242" t="str">
        <f t="shared" si="244"/>
        <v/>
      </c>
      <c r="AF231" s="242" t="str">
        <f t="shared" si="188"/>
        <v/>
      </c>
      <c r="AG231" s="242" t="str">
        <f t="shared" si="195"/>
        <v/>
      </c>
      <c r="AH231" s="242" t="str">
        <f t="shared" si="200"/>
        <v/>
      </c>
      <c r="AI231" s="242" t="str">
        <f t="shared" si="242"/>
        <v/>
      </c>
      <c r="AJ231" s="242" t="str">
        <f t="shared" ref="AJ231:AJ261" si="246">IF(AND(E231&lt;$AJ$2,I231&gt;$AJ$2),"1","")</f>
        <v/>
      </c>
      <c r="AK231" s="242" t="str">
        <f t="shared" si="229"/>
        <v/>
      </c>
      <c r="AL231" s="242" t="str">
        <f t="shared" si="232"/>
        <v/>
      </c>
      <c r="AM231" s="242" t="str">
        <f t="shared" si="236"/>
        <v/>
      </c>
      <c r="AN231" s="199" t="str">
        <f t="shared" ref="AN231:AN261" si="247">IF(AND(E231&lt;$AN$2,I231&gt;$AN$2),"1","")</f>
        <v/>
      </c>
      <c r="AO231" s="199" t="str">
        <f t="shared" si="230"/>
        <v/>
      </c>
      <c r="AP231" s="199" t="str">
        <f t="shared" si="239"/>
        <v/>
      </c>
      <c r="AQ231" s="199" t="str">
        <f t="shared" si="243"/>
        <v/>
      </c>
      <c r="AR231" s="199" t="str">
        <f t="shared" ref="AR231:AR261" si="248">IF(AND(E231&lt;$AR$2,I231&gt;$AR$2),"1","")</f>
        <v/>
      </c>
      <c r="AS231" s="199" t="str">
        <f t="shared" si="233"/>
        <v/>
      </c>
      <c r="AT231" s="199" t="str">
        <f t="shared" si="234"/>
        <v/>
      </c>
      <c r="AU231" s="199" t="str">
        <f t="shared" si="240"/>
        <v/>
      </c>
      <c r="AV231" s="199" t="str">
        <f t="shared" si="245"/>
        <v/>
      </c>
      <c r="AW231" s="199" t="str">
        <f t="shared" si="227"/>
        <v/>
      </c>
      <c r="AX231" s="199" t="str">
        <f t="shared" si="231"/>
        <v/>
      </c>
      <c r="AY231" s="199" t="str">
        <f t="shared" si="238"/>
        <v/>
      </c>
    </row>
    <row r="232" spans="1:51" ht="20.399999999999999" x14ac:dyDescent="0.3">
      <c r="A232" s="201">
        <v>230</v>
      </c>
      <c r="B232" s="225" t="s">
        <v>1105</v>
      </c>
      <c r="C232" s="120" t="s">
        <v>100</v>
      </c>
      <c r="D232" s="146">
        <v>2014</v>
      </c>
      <c r="E232" s="124">
        <v>41703</v>
      </c>
      <c r="F232" s="198">
        <f t="shared" si="203"/>
        <v>3</v>
      </c>
      <c r="G232" s="198" t="str">
        <f t="shared" si="204"/>
        <v>32014</v>
      </c>
      <c r="H232" s="198" t="str">
        <f t="shared" si="205"/>
        <v>marzo</v>
      </c>
      <c r="I232" s="114">
        <f>VLOOKUP(B232,'Base de Datos'!$E$7:$W$271,14,0)</f>
        <v>1</v>
      </c>
      <c r="J232" s="200">
        <f t="shared" si="206"/>
        <v>1900</v>
      </c>
      <c r="K232" s="199">
        <f t="shared" si="207"/>
        <v>1</v>
      </c>
      <c r="L232" s="199" t="str">
        <f t="shared" si="208"/>
        <v>11900</v>
      </c>
      <c r="M232" s="199" t="str">
        <f t="shared" si="209"/>
        <v>enero</v>
      </c>
      <c r="N232" s="199">
        <f t="shared" ca="1" si="210"/>
        <v>44227</v>
      </c>
      <c r="O232" s="242" t="str">
        <f t="shared" ca="1" si="211"/>
        <v>SI</v>
      </c>
      <c r="P232" s="242" t="str">
        <f t="shared" si="220"/>
        <v/>
      </c>
      <c r="Q232" s="242" t="str">
        <f t="shared" si="212"/>
        <v/>
      </c>
      <c r="R232" s="242" t="str">
        <f t="shared" si="213"/>
        <v/>
      </c>
      <c r="S232" s="242" t="str">
        <f t="shared" si="214"/>
        <v/>
      </c>
      <c r="T232" s="242" t="str">
        <f t="shared" si="215"/>
        <v/>
      </c>
      <c r="U232" s="242" t="str">
        <f t="shared" si="216"/>
        <v/>
      </c>
      <c r="V232" s="242" t="str">
        <f t="shared" si="223"/>
        <v/>
      </c>
      <c r="W232" s="242" t="str">
        <f t="shared" si="217"/>
        <v/>
      </c>
      <c r="X232" s="242" t="str">
        <f t="shared" si="218"/>
        <v/>
      </c>
      <c r="Y232" s="242" t="str">
        <f t="shared" si="222"/>
        <v/>
      </c>
      <c r="Z232" s="242" t="str">
        <f t="shared" si="219"/>
        <v/>
      </c>
      <c r="AA232" s="242" t="str">
        <f t="shared" si="237"/>
        <v/>
      </c>
      <c r="AB232" s="242" t="str">
        <f t="shared" si="228"/>
        <v/>
      </c>
      <c r="AC232" s="242" t="str">
        <f t="shared" si="235"/>
        <v/>
      </c>
      <c r="AD232" s="242" t="str">
        <f t="shared" si="241"/>
        <v/>
      </c>
      <c r="AE232" s="242" t="str">
        <f t="shared" si="244"/>
        <v/>
      </c>
      <c r="AF232" s="242" t="str">
        <f t="shared" si="188"/>
        <v/>
      </c>
      <c r="AG232" s="242" t="str">
        <f t="shared" si="195"/>
        <v/>
      </c>
      <c r="AH232" s="242" t="str">
        <f t="shared" si="200"/>
        <v/>
      </c>
      <c r="AI232" s="242" t="str">
        <f t="shared" si="242"/>
        <v/>
      </c>
      <c r="AJ232" s="242" t="str">
        <f t="shared" si="246"/>
        <v/>
      </c>
      <c r="AK232" s="242" t="str">
        <f t="shared" si="229"/>
        <v/>
      </c>
      <c r="AL232" s="242" t="str">
        <f t="shared" si="232"/>
        <v/>
      </c>
      <c r="AM232" s="242" t="str">
        <f t="shared" si="236"/>
        <v/>
      </c>
      <c r="AN232" s="199" t="str">
        <f t="shared" si="247"/>
        <v/>
      </c>
      <c r="AO232" s="199" t="str">
        <f t="shared" si="230"/>
        <v/>
      </c>
      <c r="AP232" s="199" t="str">
        <f t="shared" si="239"/>
        <v/>
      </c>
      <c r="AQ232" s="199" t="str">
        <f t="shared" si="243"/>
        <v/>
      </c>
      <c r="AR232" s="199" t="str">
        <f t="shared" si="248"/>
        <v/>
      </c>
      <c r="AS232" s="199" t="str">
        <f t="shared" si="233"/>
        <v/>
      </c>
      <c r="AT232" s="199" t="str">
        <f t="shared" si="234"/>
        <v/>
      </c>
      <c r="AU232" s="199" t="str">
        <f t="shared" si="240"/>
        <v/>
      </c>
      <c r="AV232" s="199" t="str">
        <f t="shared" si="245"/>
        <v/>
      </c>
      <c r="AW232" s="199" t="str">
        <f t="shared" si="227"/>
        <v/>
      </c>
      <c r="AX232" s="199" t="str">
        <f t="shared" si="231"/>
        <v/>
      </c>
      <c r="AY232" s="199" t="str">
        <f t="shared" si="238"/>
        <v/>
      </c>
    </row>
    <row r="233" spans="1:51" ht="20.399999999999999" x14ac:dyDescent="0.3">
      <c r="A233" s="201">
        <v>231</v>
      </c>
      <c r="B233" s="225" t="s">
        <v>287</v>
      </c>
      <c r="C233" s="120" t="s">
        <v>1046</v>
      </c>
      <c r="D233" s="146">
        <v>2014</v>
      </c>
      <c r="E233" s="124">
        <v>41811</v>
      </c>
      <c r="F233" s="198">
        <f t="shared" si="203"/>
        <v>6</v>
      </c>
      <c r="G233" s="198" t="str">
        <f t="shared" si="204"/>
        <v>62014</v>
      </c>
      <c r="H233" s="198" t="str">
        <f t="shared" si="205"/>
        <v>junio</v>
      </c>
      <c r="I233" s="114">
        <f>VLOOKUP(B233,'Base de Datos'!$E$7:$W$271,14,0)</f>
        <v>2</v>
      </c>
      <c r="J233" s="200">
        <f t="shared" si="206"/>
        <v>1900</v>
      </c>
      <c r="K233" s="199">
        <f t="shared" si="207"/>
        <v>1</v>
      </c>
      <c r="L233" s="199" t="str">
        <f t="shared" si="208"/>
        <v>11900</v>
      </c>
      <c r="M233" s="199" t="str">
        <f t="shared" si="209"/>
        <v>enero</v>
      </c>
      <c r="N233" s="199">
        <f t="shared" ca="1" si="210"/>
        <v>44226</v>
      </c>
      <c r="O233" s="242" t="str">
        <f t="shared" ca="1" si="211"/>
        <v>SI</v>
      </c>
      <c r="P233" s="242" t="str">
        <f t="shared" si="220"/>
        <v/>
      </c>
      <c r="Q233" s="242" t="str">
        <f t="shared" si="212"/>
        <v/>
      </c>
      <c r="R233" s="242" t="str">
        <f t="shared" si="213"/>
        <v/>
      </c>
      <c r="S233" s="242" t="str">
        <f t="shared" si="214"/>
        <v/>
      </c>
      <c r="T233" s="242" t="str">
        <f t="shared" si="215"/>
        <v/>
      </c>
      <c r="U233" s="242" t="str">
        <f t="shared" si="216"/>
        <v/>
      </c>
      <c r="V233" s="242" t="str">
        <f t="shared" si="223"/>
        <v/>
      </c>
      <c r="W233" s="242" t="str">
        <f t="shared" si="217"/>
        <v/>
      </c>
      <c r="X233" s="242" t="str">
        <f t="shared" si="218"/>
        <v/>
      </c>
      <c r="Y233" s="242" t="str">
        <f t="shared" si="222"/>
        <v/>
      </c>
      <c r="Z233" s="242" t="str">
        <f t="shared" si="219"/>
        <v/>
      </c>
      <c r="AA233" s="242" t="str">
        <f t="shared" si="237"/>
        <v/>
      </c>
      <c r="AB233" s="242" t="str">
        <f t="shared" si="228"/>
        <v/>
      </c>
      <c r="AC233" s="242" t="str">
        <f t="shared" si="235"/>
        <v/>
      </c>
      <c r="AD233" s="242" t="str">
        <f t="shared" si="241"/>
        <v/>
      </c>
      <c r="AE233" s="242" t="str">
        <f t="shared" si="244"/>
        <v/>
      </c>
      <c r="AF233" s="242" t="str">
        <f t="shared" si="188"/>
        <v/>
      </c>
      <c r="AG233" s="242" t="str">
        <f t="shared" si="195"/>
        <v/>
      </c>
      <c r="AH233" s="242" t="str">
        <f t="shared" si="200"/>
        <v/>
      </c>
      <c r="AI233" s="242" t="str">
        <f t="shared" si="242"/>
        <v/>
      </c>
      <c r="AJ233" s="242" t="str">
        <f t="shared" si="246"/>
        <v/>
      </c>
      <c r="AK233" s="242" t="str">
        <f t="shared" si="229"/>
        <v/>
      </c>
      <c r="AL233" s="242" t="str">
        <f t="shared" si="232"/>
        <v/>
      </c>
      <c r="AM233" s="242" t="str">
        <f t="shared" si="236"/>
        <v/>
      </c>
      <c r="AN233" s="199" t="str">
        <f t="shared" si="247"/>
        <v/>
      </c>
      <c r="AO233" s="199" t="str">
        <f t="shared" si="230"/>
        <v/>
      </c>
      <c r="AP233" s="199" t="str">
        <f t="shared" si="239"/>
        <v/>
      </c>
      <c r="AQ233" s="199" t="str">
        <f t="shared" si="243"/>
        <v/>
      </c>
      <c r="AR233" s="199" t="str">
        <f t="shared" si="248"/>
        <v/>
      </c>
      <c r="AS233" s="199" t="str">
        <f t="shared" si="233"/>
        <v/>
      </c>
      <c r="AT233" s="199" t="str">
        <f t="shared" si="234"/>
        <v/>
      </c>
      <c r="AU233" s="199" t="str">
        <f t="shared" si="240"/>
        <v/>
      </c>
      <c r="AV233" s="199" t="str">
        <f t="shared" si="245"/>
        <v/>
      </c>
      <c r="AW233" s="199" t="str">
        <f t="shared" ref="AW233:AW261" si="249">IF(AND(E233&lt;$AW$2,I233&gt;$AW$2),"1","")</f>
        <v/>
      </c>
      <c r="AX233" s="199" t="str">
        <f t="shared" si="231"/>
        <v/>
      </c>
      <c r="AY233" s="199" t="str">
        <f t="shared" si="238"/>
        <v/>
      </c>
    </row>
    <row r="234" spans="1:51" ht="30.6" x14ac:dyDescent="0.3">
      <c r="A234" s="201">
        <v>232</v>
      </c>
      <c r="B234" s="225" t="s">
        <v>1159</v>
      </c>
      <c r="C234" s="120" t="s">
        <v>1160</v>
      </c>
      <c r="D234" s="146">
        <v>2014</v>
      </c>
      <c r="E234" s="124">
        <v>41926</v>
      </c>
      <c r="F234" s="198">
        <f t="shared" si="203"/>
        <v>10</v>
      </c>
      <c r="G234" s="198" t="str">
        <f t="shared" si="204"/>
        <v>102014</v>
      </c>
      <c r="H234" s="198" t="str">
        <f t="shared" si="205"/>
        <v>octubre</v>
      </c>
      <c r="I234" s="114">
        <f>VLOOKUP(B234,'Base de Datos'!$E$7:$W$271,14,0)</f>
        <v>0</v>
      </c>
      <c r="J234" s="200">
        <f t="shared" si="206"/>
        <v>1900</v>
      </c>
      <c r="K234" s="199">
        <f t="shared" si="207"/>
        <v>1</v>
      </c>
      <c r="L234" s="199" t="str">
        <f t="shared" si="208"/>
        <v>11900</v>
      </c>
      <c r="M234" s="199" t="str">
        <f t="shared" si="209"/>
        <v>enero</v>
      </c>
      <c r="N234" s="199">
        <f t="shared" ca="1" si="210"/>
        <v>44228</v>
      </c>
      <c r="O234" s="242" t="str">
        <f t="shared" ca="1" si="211"/>
        <v>SI</v>
      </c>
      <c r="P234" s="242" t="str">
        <f t="shared" si="220"/>
        <v/>
      </c>
      <c r="Q234" s="242" t="str">
        <f t="shared" si="212"/>
        <v/>
      </c>
      <c r="R234" s="242" t="str">
        <f t="shared" si="213"/>
        <v/>
      </c>
      <c r="S234" s="242" t="str">
        <f t="shared" si="214"/>
        <v/>
      </c>
      <c r="T234" s="242" t="str">
        <f t="shared" si="215"/>
        <v/>
      </c>
      <c r="U234" s="242" t="str">
        <f t="shared" si="216"/>
        <v/>
      </c>
      <c r="V234" s="242" t="str">
        <f t="shared" si="223"/>
        <v/>
      </c>
      <c r="W234" s="242" t="str">
        <f t="shared" si="217"/>
        <v/>
      </c>
      <c r="X234" s="242" t="str">
        <f t="shared" si="218"/>
        <v/>
      </c>
      <c r="Y234" s="242" t="str">
        <f t="shared" si="222"/>
        <v/>
      </c>
      <c r="Z234" s="242" t="str">
        <f t="shared" si="219"/>
        <v/>
      </c>
      <c r="AA234" s="242" t="str">
        <f t="shared" si="237"/>
        <v/>
      </c>
      <c r="AB234" s="242" t="str">
        <f t="shared" si="228"/>
        <v/>
      </c>
      <c r="AC234" s="242" t="str">
        <f t="shared" si="235"/>
        <v/>
      </c>
      <c r="AD234" s="242" t="str">
        <f t="shared" si="241"/>
        <v/>
      </c>
      <c r="AE234" s="242" t="str">
        <f t="shared" si="244"/>
        <v/>
      </c>
      <c r="AF234" s="242" t="str">
        <f t="shared" si="188"/>
        <v/>
      </c>
      <c r="AG234" s="242" t="str">
        <f t="shared" si="195"/>
        <v/>
      </c>
      <c r="AH234" s="242" t="str">
        <f t="shared" si="200"/>
        <v/>
      </c>
      <c r="AI234" s="242" t="str">
        <f t="shared" si="242"/>
        <v/>
      </c>
      <c r="AJ234" s="242" t="str">
        <f t="shared" si="246"/>
        <v/>
      </c>
      <c r="AK234" s="242" t="str">
        <f t="shared" si="229"/>
        <v/>
      </c>
      <c r="AL234" s="242" t="str">
        <f t="shared" si="232"/>
        <v/>
      </c>
      <c r="AM234" s="242" t="str">
        <f t="shared" si="236"/>
        <v/>
      </c>
      <c r="AN234" s="199" t="str">
        <f t="shared" si="247"/>
        <v/>
      </c>
      <c r="AO234" s="199" t="str">
        <f t="shared" si="230"/>
        <v/>
      </c>
      <c r="AP234" s="199" t="str">
        <f t="shared" si="239"/>
        <v/>
      </c>
      <c r="AQ234" s="199" t="str">
        <f t="shared" si="243"/>
        <v/>
      </c>
      <c r="AR234" s="199" t="str">
        <f t="shared" si="248"/>
        <v/>
      </c>
      <c r="AS234" s="199" t="str">
        <f t="shared" si="233"/>
        <v/>
      </c>
      <c r="AT234" s="199" t="str">
        <f t="shared" si="234"/>
        <v/>
      </c>
      <c r="AU234" s="199" t="str">
        <f t="shared" si="240"/>
        <v/>
      </c>
      <c r="AV234" s="199" t="str">
        <f t="shared" si="245"/>
        <v/>
      </c>
      <c r="AW234" s="199" t="str">
        <f t="shared" si="249"/>
        <v/>
      </c>
      <c r="AX234" s="199" t="str">
        <f t="shared" si="231"/>
        <v/>
      </c>
      <c r="AY234" s="199" t="str">
        <f t="shared" si="238"/>
        <v/>
      </c>
    </row>
    <row r="235" spans="1:51" ht="20.399999999999999" x14ac:dyDescent="0.3">
      <c r="A235" s="201">
        <v>233</v>
      </c>
      <c r="B235" s="225" t="s">
        <v>278</v>
      </c>
      <c r="C235" s="120" t="s">
        <v>15</v>
      </c>
      <c r="D235" s="146">
        <v>2014</v>
      </c>
      <c r="E235" s="124">
        <v>41775</v>
      </c>
      <c r="F235" s="198">
        <f t="shared" si="203"/>
        <v>5</v>
      </c>
      <c r="G235" s="198" t="str">
        <f t="shared" si="204"/>
        <v>52014</v>
      </c>
      <c r="H235" s="198" t="str">
        <f t="shared" si="205"/>
        <v>mayo</v>
      </c>
      <c r="I235" s="114">
        <f>VLOOKUP(B235,'Base de Datos'!$E$7:$W$271,14,0)</f>
        <v>0</v>
      </c>
      <c r="J235" s="200">
        <f t="shared" si="206"/>
        <v>1900</v>
      </c>
      <c r="K235" s="199">
        <f t="shared" si="207"/>
        <v>1</v>
      </c>
      <c r="L235" s="199" t="str">
        <f t="shared" si="208"/>
        <v>11900</v>
      </c>
      <c r="M235" s="199" t="str">
        <f t="shared" si="209"/>
        <v>enero</v>
      </c>
      <c r="N235" s="199">
        <f t="shared" ca="1" si="210"/>
        <v>44228</v>
      </c>
      <c r="O235" s="242" t="str">
        <f t="shared" ca="1" si="211"/>
        <v>SI</v>
      </c>
      <c r="P235" s="242" t="str">
        <f t="shared" si="220"/>
        <v/>
      </c>
      <c r="Q235" s="242" t="str">
        <f t="shared" si="212"/>
        <v/>
      </c>
      <c r="R235" s="242" t="str">
        <f t="shared" si="213"/>
        <v/>
      </c>
      <c r="S235" s="242" t="str">
        <f t="shared" si="214"/>
        <v/>
      </c>
      <c r="T235" s="242" t="str">
        <f t="shared" si="215"/>
        <v/>
      </c>
      <c r="U235" s="242" t="str">
        <f t="shared" si="216"/>
        <v/>
      </c>
      <c r="V235" s="242" t="str">
        <f t="shared" si="223"/>
        <v/>
      </c>
      <c r="W235" s="242" t="str">
        <f t="shared" si="217"/>
        <v/>
      </c>
      <c r="X235" s="242" t="str">
        <f t="shared" si="218"/>
        <v/>
      </c>
      <c r="Y235" s="242" t="str">
        <f t="shared" si="222"/>
        <v/>
      </c>
      <c r="Z235" s="242" t="str">
        <f t="shared" si="219"/>
        <v/>
      </c>
      <c r="AA235" s="242" t="str">
        <f t="shared" si="237"/>
        <v/>
      </c>
      <c r="AB235" s="242" t="str">
        <f t="shared" si="228"/>
        <v/>
      </c>
      <c r="AC235" s="242" t="str">
        <f t="shared" si="235"/>
        <v/>
      </c>
      <c r="AD235" s="242" t="str">
        <f t="shared" si="241"/>
        <v/>
      </c>
      <c r="AE235" s="242" t="str">
        <f t="shared" si="244"/>
        <v/>
      </c>
      <c r="AF235" s="242" t="str">
        <f t="shared" ref="AF235:AF261" si="250">IF(AND(E235&lt;$AF$2,I235&gt;$AF$2),"1","")</f>
        <v/>
      </c>
      <c r="AG235" s="242" t="str">
        <f t="shared" si="195"/>
        <v/>
      </c>
      <c r="AH235" s="242" t="str">
        <f t="shared" si="200"/>
        <v/>
      </c>
      <c r="AI235" s="242" t="str">
        <f t="shared" si="242"/>
        <v/>
      </c>
      <c r="AJ235" s="242" t="str">
        <f t="shared" si="246"/>
        <v/>
      </c>
      <c r="AK235" s="242" t="str">
        <f t="shared" si="229"/>
        <v/>
      </c>
      <c r="AL235" s="242" t="str">
        <f t="shared" si="232"/>
        <v/>
      </c>
      <c r="AM235" s="242" t="str">
        <f t="shared" si="236"/>
        <v/>
      </c>
      <c r="AN235" s="199" t="str">
        <f t="shared" si="247"/>
        <v/>
      </c>
      <c r="AO235" s="199" t="str">
        <f t="shared" si="230"/>
        <v/>
      </c>
      <c r="AP235" s="199" t="str">
        <f t="shared" si="239"/>
        <v/>
      </c>
      <c r="AQ235" s="199" t="str">
        <f t="shared" si="243"/>
        <v/>
      </c>
      <c r="AR235" s="199" t="str">
        <f t="shared" si="248"/>
        <v/>
      </c>
      <c r="AS235" s="199" t="str">
        <f t="shared" si="233"/>
        <v/>
      </c>
      <c r="AT235" s="199" t="str">
        <f t="shared" si="234"/>
        <v/>
      </c>
      <c r="AU235" s="199" t="str">
        <f t="shared" si="240"/>
        <v/>
      </c>
      <c r="AV235" s="199" t="str">
        <f t="shared" si="245"/>
        <v/>
      </c>
      <c r="AW235" s="199" t="str">
        <f t="shared" si="249"/>
        <v/>
      </c>
      <c r="AX235" s="199" t="str">
        <f t="shared" si="231"/>
        <v/>
      </c>
      <c r="AY235" s="199" t="str">
        <f t="shared" si="238"/>
        <v/>
      </c>
    </row>
    <row r="236" spans="1:51" x14ac:dyDescent="0.3">
      <c r="B236" s="225" t="s">
        <v>297</v>
      </c>
      <c r="C236" s="120" t="s">
        <v>999</v>
      </c>
      <c r="D236" s="146">
        <v>2014</v>
      </c>
      <c r="E236" s="124">
        <v>41835</v>
      </c>
      <c r="F236" s="198">
        <f t="shared" si="203"/>
        <v>7</v>
      </c>
      <c r="G236" s="198" t="str">
        <f t="shared" si="204"/>
        <v>72014</v>
      </c>
      <c r="H236" s="198" t="str">
        <f t="shared" si="205"/>
        <v>julio</v>
      </c>
      <c r="I236" s="114">
        <f>VLOOKUP(B236,'Base de Datos'!$E$7:$W$271,14,0)</f>
        <v>1</v>
      </c>
      <c r="J236" s="200">
        <f t="shared" si="206"/>
        <v>1900</v>
      </c>
      <c r="K236" s="199">
        <f t="shared" si="207"/>
        <v>1</v>
      </c>
      <c r="L236" s="199" t="str">
        <f t="shared" si="208"/>
        <v>11900</v>
      </c>
      <c r="M236" s="199" t="str">
        <f t="shared" si="209"/>
        <v>enero</v>
      </c>
      <c r="N236" s="199">
        <f t="shared" ca="1" si="210"/>
        <v>44227</v>
      </c>
      <c r="O236" s="242" t="str">
        <f t="shared" ca="1" si="211"/>
        <v>SI</v>
      </c>
      <c r="P236" s="242" t="str">
        <f t="shared" si="220"/>
        <v/>
      </c>
      <c r="Q236" s="242" t="str">
        <f t="shared" si="212"/>
        <v/>
      </c>
      <c r="R236" s="242" t="str">
        <f t="shared" si="213"/>
        <v/>
      </c>
      <c r="S236" s="242" t="str">
        <f t="shared" si="214"/>
        <v/>
      </c>
      <c r="T236" s="242" t="str">
        <f t="shared" si="215"/>
        <v/>
      </c>
      <c r="U236" s="242" t="str">
        <f t="shared" si="216"/>
        <v/>
      </c>
      <c r="V236" s="242" t="str">
        <f t="shared" si="223"/>
        <v/>
      </c>
      <c r="W236" s="242" t="str">
        <f t="shared" si="217"/>
        <v/>
      </c>
      <c r="X236" s="242" t="str">
        <f t="shared" si="218"/>
        <v/>
      </c>
      <c r="Y236" s="242" t="str">
        <f t="shared" si="222"/>
        <v/>
      </c>
      <c r="Z236" s="242" t="str">
        <f t="shared" si="219"/>
        <v/>
      </c>
      <c r="AA236" s="242" t="str">
        <f t="shared" si="237"/>
        <v/>
      </c>
      <c r="AB236" s="242" t="str">
        <f t="shared" si="228"/>
        <v/>
      </c>
      <c r="AC236" s="242" t="str">
        <f t="shared" si="235"/>
        <v/>
      </c>
      <c r="AD236" s="242" t="str">
        <f t="shared" si="241"/>
        <v/>
      </c>
      <c r="AE236" s="242" t="str">
        <f t="shared" si="244"/>
        <v/>
      </c>
      <c r="AF236" s="242" t="str">
        <f t="shared" si="250"/>
        <v/>
      </c>
      <c r="AG236" s="242" t="str">
        <f t="shared" si="195"/>
        <v/>
      </c>
      <c r="AH236" s="242" t="str">
        <f t="shared" si="200"/>
        <v/>
      </c>
      <c r="AI236" s="242" t="str">
        <f t="shared" si="242"/>
        <v/>
      </c>
      <c r="AJ236" s="242" t="str">
        <f t="shared" si="246"/>
        <v/>
      </c>
      <c r="AK236" s="242" t="str">
        <f t="shared" si="229"/>
        <v/>
      </c>
      <c r="AL236" s="242" t="str">
        <f t="shared" si="232"/>
        <v/>
      </c>
      <c r="AM236" s="242" t="str">
        <f t="shared" si="236"/>
        <v/>
      </c>
      <c r="AN236" s="199" t="str">
        <f t="shared" si="247"/>
        <v/>
      </c>
      <c r="AO236" s="199" t="str">
        <f t="shared" si="230"/>
        <v/>
      </c>
      <c r="AP236" s="199" t="str">
        <f t="shared" si="239"/>
        <v/>
      </c>
      <c r="AQ236" s="199" t="str">
        <f t="shared" si="243"/>
        <v/>
      </c>
      <c r="AR236" s="199" t="str">
        <f t="shared" si="248"/>
        <v/>
      </c>
      <c r="AS236" s="199" t="str">
        <f t="shared" si="233"/>
        <v/>
      </c>
      <c r="AT236" s="199" t="str">
        <f t="shared" si="234"/>
        <v/>
      </c>
      <c r="AU236" s="199" t="str">
        <f t="shared" si="240"/>
        <v/>
      </c>
      <c r="AV236" s="199" t="str">
        <f t="shared" si="245"/>
        <v/>
      </c>
      <c r="AW236" s="199" t="str">
        <f t="shared" si="249"/>
        <v/>
      </c>
      <c r="AX236" s="199" t="str">
        <f t="shared" si="231"/>
        <v/>
      </c>
      <c r="AY236" s="199" t="str">
        <f t="shared" si="238"/>
        <v/>
      </c>
    </row>
    <row r="237" spans="1:51" x14ac:dyDescent="0.3">
      <c r="B237" s="236" t="str">
        <f>+'Base de Datos'!E264</f>
        <v>140382-0-2014</v>
      </c>
      <c r="C237" s="212" t="str">
        <f>+'Base de Datos'!F264</f>
        <v>VIGILANCIA ACOSTA LIMITADA</v>
      </c>
      <c r="D237" s="381">
        <f>YEAR(E237)</f>
        <v>2014</v>
      </c>
      <c r="E237" s="213">
        <f>+'Base de Datos'!M264</f>
        <v>41989</v>
      </c>
      <c r="F237" s="198">
        <f t="shared" si="203"/>
        <v>12</v>
      </c>
      <c r="G237" s="198" t="str">
        <f t="shared" si="204"/>
        <v>122014</v>
      </c>
      <c r="H237" s="198" t="str">
        <f t="shared" si="205"/>
        <v>diciembre</v>
      </c>
      <c r="I237" s="114">
        <f>VLOOKUP(B237,'Base de Datos'!$E$7:$W$271,14,0)</f>
        <v>0</v>
      </c>
      <c r="J237" s="200">
        <f t="shared" si="206"/>
        <v>1900</v>
      </c>
      <c r="K237" s="199">
        <f t="shared" si="207"/>
        <v>1</v>
      </c>
      <c r="L237" s="199" t="str">
        <f t="shared" si="208"/>
        <v>11900</v>
      </c>
      <c r="M237" s="199" t="str">
        <f t="shared" si="209"/>
        <v>enero</v>
      </c>
      <c r="N237" s="199">
        <f t="shared" ca="1" si="210"/>
        <v>44228</v>
      </c>
      <c r="O237" s="242" t="str">
        <f t="shared" ca="1" si="211"/>
        <v>SI</v>
      </c>
      <c r="P237" s="242" t="str">
        <f t="shared" si="220"/>
        <v/>
      </c>
      <c r="Q237" s="242" t="str">
        <f t="shared" si="212"/>
        <v/>
      </c>
      <c r="R237" s="242" t="str">
        <f t="shared" si="213"/>
        <v/>
      </c>
      <c r="S237" s="242" t="str">
        <f t="shared" si="214"/>
        <v/>
      </c>
      <c r="T237" s="242" t="str">
        <f t="shared" si="215"/>
        <v/>
      </c>
      <c r="U237" s="242" t="str">
        <f t="shared" si="216"/>
        <v/>
      </c>
      <c r="V237" s="242" t="str">
        <f t="shared" si="223"/>
        <v/>
      </c>
      <c r="W237" s="242" t="str">
        <f t="shared" si="217"/>
        <v/>
      </c>
      <c r="X237" s="242" t="str">
        <f t="shared" si="218"/>
        <v/>
      </c>
      <c r="Y237" s="242" t="str">
        <f t="shared" si="222"/>
        <v/>
      </c>
      <c r="Z237" s="242" t="str">
        <f t="shared" si="219"/>
        <v/>
      </c>
      <c r="AA237" s="242" t="str">
        <f t="shared" si="237"/>
        <v/>
      </c>
      <c r="AB237" s="242" t="str">
        <f t="shared" si="228"/>
        <v/>
      </c>
      <c r="AC237" s="242" t="str">
        <f t="shared" si="235"/>
        <v/>
      </c>
      <c r="AD237" s="242" t="str">
        <f t="shared" si="241"/>
        <v/>
      </c>
      <c r="AE237" s="242" t="str">
        <f t="shared" si="244"/>
        <v/>
      </c>
      <c r="AF237" s="242" t="str">
        <f t="shared" si="250"/>
        <v/>
      </c>
      <c r="AG237" s="242" t="str">
        <f t="shared" si="195"/>
        <v/>
      </c>
      <c r="AH237" s="242" t="str">
        <f t="shared" si="200"/>
        <v/>
      </c>
      <c r="AI237" s="242" t="str">
        <f t="shared" si="242"/>
        <v/>
      </c>
      <c r="AJ237" s="242" t="str">
        <f t="shared" si="246"/>
        <v/>
      </c>
      <c r="AK237" s="242" t="str">
        <f t="shared" si="229"/>
        <v/>
      </c>
      <c r="AL237" s="242" t="str">
        <f t="shared" si="232"/>
        <v/>
      </c>
      <c r="AM237" s="242" t="str">
        <f t="shared" si="236"/>
        <v/>
      </c>
      <c r="AN237" s="199" t="str">
        <f t="shared" si="247"/>
        <v/>
      </c>
      <c r="AO237" s="199" t="str">
        <f t="shared" si="230"/>
        <v/>
      </c>
      <c r="AP237" s="199" t="str">
        <f t="shared" si="239"/>
        <v/>
      </c>
      <c r="AQ237" s="199" t="str">
        <f t="shared" si="243"/>
        <v/>
      </c>
      <c r="AR237" s="199" t="str">
        <f t="shared" si="248"/>
        <v/>
      </c>
      <c r="AS237" s="199" t="str">
        <f t="shared" si="233"/>
        <v/>
      </c>
      <c r="AT237" s="199" t="str">
        <f t="shared" si="234"/>
        <v/>
      </c>
      <c r="AU237" s="199" t="str">
        <f t="shared" si="240"/>
        <v/>
      </c>
      <c r="AV237" s="199" t="str">
        <f t="shared" si="245"/>
        <v/>
      </c>
      <c r="AW237" s="199" t="str">
        <f t="shared" si="249"/>
        <v/>
      </c>
      <c r="AX237" s="199" t="str">
        <f t="shared" si="231"/>
        <v/>
      </c>
      <c r="AY237" s="199" t="str">
        <f t="shared" si="238"/>
        <v/>
      </c>
    </row>
    <row r="238" spans="1:51" x14ac:dyDescent="0.3">
      <c r="B238" s="236" t="str">
        <f>+'Base de Datos'!E267</f>
        <v>140396-0-2014</v>
      </c>
      <c r="C238" s="212" t="str">
        <f>+'Base de Datos'!F267</f>
        <v>KAWAK SAS</v>
      </c>
      <c r="D238" s="212">
        <f>YEAR(E238)</f>
        <v>2015</v>
      </c>
      <c r="E238" s="213">
        <f>+'Base de Datos'!M267</f>
        <v>42045</v>
      </c>
      <c r="F238" s="198">
        <f t="shared" si="203"/>
        <v>2</v>
      </c>
      <c r="G238" s="198" t="str">
        <f t="shared" si="204"/>
        <v>22015</v>
      </c>
      <c r="H238" s="198" t="str">
        <f t="shared" si="205"/>
        <v>febrero</v>
      </c>
      <c r="I238" s="114">
        <f>VLOOKUP(B238,'Base de Datos'!$E$7:$W$271,14,0)</f>
        <v>3</v>
      </c>
      <c r="J238" s="200">
        <f t="shared" si="206"/>
        <v>1900</v>
      </c>
      <c r="K238" s="199">
        <f t="shared" si="207"/>
        <v>1</v>
      </c>
      <c r="L238" s="199" t="str">
        <f t="shared" si="208"/>
        <v>11900</v>
      </c>
      <c r="M238" s="199" t="str">
        <f t="shared" si="209"/>
        <v>enero</v>
      </c>
      <c r="N238" s="199">
        <f t="shared" ca="1" si="210"/>
        <v>44225</v>
      </c>
      <c r="O238" s="242" t="str">
        <f t="shared" ca="1" si="211"/>
        <v>SI</v>
      </c>
      <c r="P238" s="242" t="str">
        <f t="shared" si="220"/>
        <v/>
      </c>
      <c r="Q238" s="242" t="str">
        <f t="shared" si="212"/>
        <v/>
      </c>
      <c r="R238" s="242" t="str">
        <f t="shared" si="213"/>
        <v/>
      </c>
      <c r="S238" s="242" t="str">
        <f t="shared" si="214"/>
        <v/>
      </c>
      <c r="T238" s="242" t="str">
        <f t="shared" si="215"/>
        <v/>
      </c>
      <c r="U238" s="242" t="str">
        <f t="shared" si="216"/>
        <v/>
      </c>
      <c r="V238" s="242" t="str">
        <f t="shared" si="223"/>
        <v/>
      </c>
      <c r="W238" s="242" t="str">
        <f t="shared" si="217"/>
        <v/>
      </c>
      <c r="X238" s="242" t="str">
        <f t="shared" si="218"/>
        <v/>
      </c>
      <c r="Y238" s="242" t="str">
        <f t="shared" si="222"/>
        <v/>
      </c>
      <c r="Z238" s="242" t="str">
        <f t="shared" si="219"/>
        <v/>
      </c>
      <c r="AA238" s="242" t="str">
        <f t="shared" si="237"/>
        <v/>
      </c>
      <c r="AB238" s="242" t="str">
        <f t="shared" si="228"/>
        <v/>
      </c>
      <c r="AC238" s="242" t="str">
        <f t="shared" si="235"/>
        <v/>
      </c>
      <c r="AD238" s="242" t="str">
        <f t="shared" si="241"/>
        <v/>
      </c>
      <c r="AE238" s="242" t="str">
        <f t="shared" si="244"/>
        <v/>
      </c>
      <c r="AF238" s="242" t="str">
        <f t="shared" si="250"/>
        <v/>
      </c>
      <c r="AG238" s="242" t="str">
        <f t="shared" si="195"/>
        <v/>
      </c>
      <c r="AH238" s="242" t="str">
        <f t="shared" si="200"/>
        <v/>
      </c>
      <c r="AI238" s="242" t="str">
        <f t="shared" si="242"/>
        <v/>
      </c>
      <c r="AJ238" s="242" t="str">
        <f t="shared" si="246"/>
        <v/>
      </c>
      <c r="AK238" s="242" t="str">
        <f t="shared" si="229"/>
        <v/>
      </c>
      <c r="AL238" s="242" t="str">
        <f t="shared" si="232"/>
        <v/>
      </c>
      <c r="AM238" s="242" t="str">
        <f t="shared" si="236"/>
        <v/>
      </c>
      <c r="AN238" s="199" t="str">
        <f t="shared" si="247"/>
        <v/>
      </c>
      <c r="AO238" s="199" t="str">
        <f t="shared" si="230"/>
        <v/>
      </c>
      <c r="AP238" s="199" t="str">
        <f t="shared" si="239"/>
        <v/>
      </c>
      <c r="AQ238" s="199" t="str">
        <f t="shared" si="243"/>
        <v/>
      </c>
      <c r="AR238" s="199" t="str">
        <f t="shared" si="248"/>
        <v/>
      </c>
      <c r="AS238" s="199" t="str">
        <f t="shared" si="233"/>
        <v/>
      </c>
      <c r="AT238" s="199" t="str">
        <f t="shared" si="234"/>
        <v/>
      </c>
      <c r="AU238" s="199" t="str">
        <f t="shared" si="240"/>
        <v/>
      </c>
      <c r="AV238" s="199" t="str">
        <f t="shared" si="245"/>
        <v/>
      </c>
      <c r="AW238" s="199" t="str">
        <f t="shared" si="249"/>
        <v/>
      </c>
      <c r="AX238" s="199" t="str">
        <f t="shared" si="231"/>
        <v/>
      </c>
      <c r="AY238" s="199" t="str">
        <f t="shared" si="238"/>
        <v/>
      </c>
    </row>
    <row r="239" spans="1:51" x14ac:dyDescent="0.3">
      <c r="B239" s="225" t="s">
        <v>401</v>
      </c>
      <c r="C239" s="120" t="s">
        <v>547</v>
      </c>
      <c r="D239" s="139">
        <v>2014</v>
      </c>
      <c r="E239" s="124">
        <v>41837</v>
      </c>
      <c r="F239" s="198">
        <f t="shared" si="203"/>
        <v>7</v>
      </c>
      <c r="G239" s="198" t="str">
        <f t="shared" si="204"/>
        <v>72014</v>
      </c>
      <c r="H239" s="198" t="str">
        <f t="shared" si="205"/>
        <v>julio</v>
      </c>
      <c r="I239" s="114">
        <f>VLOOKUP(B239,'Base de Datos'!$E$7:$W$271,14,0)</f>
        <v>1</v>
      </c>
      <c r="J239" s="200">
        <f t="shared" si="206"/>
        <v>1900</v>
      </c>
      <c r="K239" s="199">
        <f t="shared" si="207"/>
        <v>1</v>
      </c>
      <c r="L239" s="199" t="str">
        <f t="shared" si="208"/>
        <v>11900</v>
      </c>
      <c r="M239" s="199" t="str">
        <f t="shared" si="209"/>
        <v>enero</v>
      </c>
      <c r="N239" s="199">
        <f t="shared" ca="1" si="210"/>
        <v>44227</v>
      </c>
      <c r="O239" s="242" t="str">
        <f t="shared" ca="1" si="211"/>
        <v>SI</v>
      </c>
      <c r="P239" s="242" t="str">
        <f t="shared" si="220"/>
        <v/>
      </c>
      <c r="Q239" s="242" t="str">
        <f t="shared" si="212"/>
        <v/>
      </c>
      <c r="R239" s="242" t="str">
        <f t="shared" si="213"/>
        <v/>
      </c>
      <c r="S239" s="242" t="str">
        <f t="shared" si="214"/>
        <v/>
      </c>
      <c r="T239" s="242" t="str">
        <f t="shared" si="215"/>
        <v/>
      </c>
      <c r="U239" s="242" t="str">
        <f t="shared" si="216"/>
        <v/>
      </c>
      <c r="V239" s="242" t="str">
        <f t="shared" si="223"/>
        <v/>
      </c>
      <c r="W239" s="242" t="str">
        <f t="shared" si="217"/>
        <v/>
      </c>
      <c r="X239" s="242" t="str">
        <f t="shared" si="218"/>
        <v/>
      </c>
      <c r="Y239" s="242" t="str">
        <f t="shared" si="222"/>
        <v/>
      </c>
      <c r="Z239" s="242" t="str">
        <f t="shared" si="219"/>
        <v/>
      </c>
      <c r="AA239" s="242" t="str">
        <f t="shared" si="237"/>
        <v/>
      </c>
      <c r="AB239" s="242" t="str">
        <f t="shared" si="228"/>
        <v/>
      </c>
      <c r="AC239" s="242" t="str">
        <f t="shared" si="235"/>
        <v/>
      </c>
      <c r="AD239" s="242" t="str">
        <f t="shared" si="241"/>
        <v/>
      </c>
      <c r="AE239" s="242" t="str">
        <f t="shared" si="244"/>
        <v/>
      </c>
      <c r="AF239" s="242" t="str">
        <f t="shared" si="250"/>
        <v/>
      </c>
      <c r="AG239" s="242" t="str">
        <f t="shared" si="195"/>
        <v/>
      </c>
      <c r="AH239" s="242" t="str">
        <f t="shared" si="200"/>
        <v/>
      </c>
      <c r="AI239" s="242" t="str">
        <f t="shared" si="242"/>
        <v/>
      </c>
      <c r="AJ239" s="242" t="str">
        <f t="shared" si="246"/>
        <v/>
      </c>
      <c r="AK239" s="242" t="str">
        <f t="shared" ref="AK239:AK261" si="251">IF(AND(E239&lt;$AK$2,I239&gt;$AK$2),"1","")</f>
        <v/>
      </c>
      <c r="AL239" s="242" t="str">
        <f t="shared" si="232"/>
        <v/>
      </c>
      <c r="AM239" s="242" t="str">
        <f t="shared" si="236"/>
        <v/>
      </c>
      <c r="AN239" s="199" t="str">
        <f t="shared" si="247"/>
        <v/>
      </c>
      <c r="AO239" s="199" t="str">
        <f t="shared" ref="AO239:AO261" si="252">IF(AND(E239&lt;$AO$2,I239&gt;$AO$2),"1","")</f>
        <v/>
      </c>
      <c r="AP239" s="199" t="str">
        <f t="shared" si="239"/>
        <v/>
      </c>
      <c r="AQ239" s="199" t="str">
        <f t="shared" si="243"/>
        <v/>
      </c>
      <c r="AR239" s="199" t="str">
        <f t="shared" si="248"/>
        <v/>
      </c>
      <c r="AS239" s="199" t="str">
        <f t="shared" si="233"/>
        <v/>
      </c>
      <c r="AT239" s="199" t="str">
        <f t="shared" si="234"/>
        <v/>
      </c>
      <c r="AU239" s="199" t="str">
        <f t="shared" si="240"/>
        <v/>
      </c>
      <c r="AV239" s="199" t="str">
        <f t="shared" si="245"/>
        <v/>
      </c>
      <c r="AW239" s="199" t="str">
        <f t="shared" si="249"/>
        <v/>
      </c>
      <c r="AX239" s="199" t="str">
        <f t="shared" ref="AX239:AX261" si="253">IF(AND(E239&lt;$AX$2,I239&gt;$AX$2),"1","")</f>
        <v/>
      </c>
      <c r="AY239" s="199" t="str">
        <f t="shared" si="238"/>
        <v/>
      </c>
    </row>
    <row r="240" spans="1:51" ht="20.399999999999999" x14ac:dyDescent="0.3">
      <c r="B240" s="225" t="s">
        <v>292</v>
      </c>
      <c r="C240" s="120" t="s">
        <v>293</v>
      </c>
      <c r="D240" s="139">
        <v>2014</v>
      </c>
      <c r="E240" s="124">
        <v>41799</v>
      </c>
      <c r="F240" s="198">
        <f t="shared" si="203"/>
        <v>6</v>
      </c>
      <c r="G240" s="198" t="str">
        <f t="shared" si="204"/>
        <v>62014</v>
      </c>
      <c r="H240" s="198" t="str">
        <f t="shared" si="205"/>
        <v>junio</v>
      </c>
      <c r="I240" s="114">
        <f>VLOOKUP(B240,'Base de Datos'!$E$7:$W$271,14,0)</f>
        <v>1</v>
      </c>
      <c r="J240" s="200">
        <f t="shared" si="206"/>
        <v>1900</v>
      </c>
      <c r="K240" s="199">
        <f t="shared" si="207"/>
        <v>1</v>
      </c>
      <c r="L240" s="199" t="str">
        <f t="shared" si="208"/>
        <v>11900</v>
      </c>
      <c r="M240" s="199" t="str">
        <f t="shared" si="209"/>
        <v>enero</v>
      </c>
      <c r="N240" s="199">
        <f t="shared" ca="1" si="210"/>
        <v>44227</v>
      </c>
      <c r="O240" s="242" t="str">
        <f t="shared" ca="1" si="211"/>
        <v>SI</v>
      </c>
      <c r="P240" s="242" t="str">
        <f t="shared" si="220"/>
        <v/>
      </c>
      <c r="Q240" s="242" t="str">
        <f t="shared" si="212"/>
        <v/>
      </c>
      <c r="R240" s="242" t="str">
        <f t="shared" si="213"/>
        <v/>
      </c>
      <c r="S240" s="242" t="str">
        <f t="shared" si="214"/>
        <v/>
      </c>
      <c r="T240" s="242" t="str">
        <f t="shared" si="215"/>
        <v/>
      </c>
      <c r="U240" s="242" t="str">
        <f t="shared" si="216"/>
        <v/>
      </c>
      <c r="V240" s="242" t="str">
        <f t="shared" si="223"/>
        <v/>
      </c>
      <c r="W240" s="242" t="str">
        <f t="shared" si="217"/>
        <v/>
      </c>
      <c r="X240" s="242" t="str">
        <f t="shared" si="218"/>
        <v/>
      </c>
      <c r="Y240" s="242" t="str">
        <f t="shared" si="222"/>
        <v/>
      </c>
      <c r="Z240" s="242" t="str">
        <f t="shared" si="219"/>
        <v/>
      </c>
      <c r="AA240" s="242" t="str">
        <f t="shared" si="237"/>
        <v/>
      </c>
      <c r="AB240" s="242" t="str">
        <f t="shared" si="228"/>
        <v/>
      </c>
      <c r="AC240" s="242" t="str">
        <f t="shared" si="235"/>
        <v/>
      </c>
      <c r="AD240" s="242" t="str">
        <f t="shared" si="241"/>
        <v/>
      </c>
      <c r="AE240" s="242" t="str">
        <f t="shared" si="244"/>
        <v/>
      </c>
      <c r="AF240" s="242" t="str">
        <f t="shared" si="250"/>
        <v/>
      </c>
      <c r="AG240" s="242" t="str">
        <f t="shared" si="195"/>
        <v/>
      </c>
      <c r="AH240" s="242" t="str">
        <f t="shared" si="200"/>
        <v/>
      </c>
      <c r="AI240" s="242" t="str">
        <f t="shared" si="242"/>
        <v/>
      </c>
      <c r="AJ240" s="242" t="str">
        <f t="shared" si="246"/>
        <v/>
      </c>
      <c r="AK240" s="242" t="str">
        <f t="shared" si="251"/>
        <v/>
      </c>
      <c r="AL240" s="242" t="str">
        <f t="shared" ref="AL240:AL261" si="254">IF(AND(E240&lt;$AL$2,I240&gt;$AL$2),"1","")</f>
        <v/>
      </c>
      <c r="AM240" s="242" t="str">
        <f t="shared" si="236"/>
        <v/>
      </c>
      <c r="AN240" s="199" t="str">
        <f t="shared" si="247"/>
        <v/>
      </c>
      <c r="AO240" s="199" t="str">
        <f t="shared" si="252"/>
        <v/>
      </c>
      <c r="AP240" s="199" t="str">
        <f t="shared" si="239"/>
        <v/>
      </c>
      <c r="AQ240" s="199" t="str">
        <f t="shared" si="243"/>
        <v/>
      </c>
      <c r="AR240" s="199" t="str">
        <f t="shared" si="248"/>
        <v/>
      </c>
      <c r="AS240" s="199" t="str">
        <f t="shared" ref="AS240:AS261" si="255">IF(AND(E240&lt;$AS$2,I240&gt;$AS$2),"1","")</f>
        <v/>
      </c>
      <c r="AT240" s="199" t="str">
        <f t="shared" si="234"/>
        <v/>
      </c>
      <c r="AU240" s="199" t="str">
        <f t="shared" si="240"/>
        <v/>
      </c>
      <c r="AV240" s="199" t="str">
        <f t="shared" si="245"/>
        <v/>
      </c>
      <c r="AW240" s="199" t="str">
        <f t="shared" si="249"/>
        <v/>
      </c>
      <c r="AX240" s="199" t="str">
        <f t="shared" si="253"/>
        <v/>
      </c>
      <c r="AY240" s="199" t="str">
        <f t="shared" si="238"/>
        <v/>
      </c>
    </row>
    <row r="241" spans="2:51" x14ac:dyDescent="0.3">
      <c r="B241" s="236" t="str">
        <f>+'Base de Datos'!E270</f>
        <v>140418-0-2014</v>
      </c>
      <c r="C241" s="212" t="str">
        <f>+'Base de Datos'!F270</f>
        <v>CENTURY MEDIA SAS</v>
      </c>
      <c r="D241" s="212">
        <f>YEAR(E241)</f>
        <v>2015</v>
      </c>
      <c r="E241" s="213">
        <f>+'Base de Datos'!M270</f>
        <v>42017</v>
      </c>
      <c r="F241" s="198">
        <f t="shared" si="203"/>
        <v>1</v>
      </c>
      <c r="G241" s="198" t="str">
        <f t="shared" si="204"/>
        <v>12015</v>
      </c>
      <c r="H241" s="198" t="str">
        <f t="shared" si="205"/>
        <v>enero</v>
      </c>
      <c r="I241" s="114">
        <f>VLOOKUP(B241,'Base de Datos'!$E$7:$W$271,14,0)</f>
        <v>2</v>
      </c>
      <c r="J241" s="200">
        <f t="shared" si="206"/>
        <v>1900</v>
      </c>
      <c r="K241" s="374">
        <f t="shared" si="207"/>
        <v>1</v>
      </c>
      <c r="L241" s="374" t="str">
        <f t="shared" si="208"/>
        <v>11900</v>
      </c>
      <c r="M241" s="374" t="str">
        <f t="shared" si="209"/>
        <v>enero</v>
      </c>
      <c r="N241" s="374">
        <f t="shared" ca="1" si="210"/>
        <v>44226</v>
      </c>
      <c r="O241" s="242" t="str">
        <f t="shared" ca="1" si="211"/>
        <v>SI</v>
      </c>
      <c r="P241" s="242" t="str">
        <f t="shared" si="220"/>
        <v/>
      </c>
      <c r="Q241" s="242" t="str">
        <f t="shared" si="212"/>
        <v/>
      </c>
      <c r="R241" s="242" t="str">
        <f t="shared" si="213"/>
        <v/>
      </c>
      <c r="S241" s="242" t="str">
        <f t="shared" si="214"/>
        <v/>
      </c>
      <c r="T241" s="242" t="str">
        <f t="shared" si="215"/>
        <v/>
      </c>
      <c r="U241" s="242" t="str">
        <f t="shared" si="216"/>
        <v/>
      </c>
      <c r="V241" s="242" t="str">
        <f t="shared" si="223"/>
        <v/>
      </c>
      <c r="W241" s="242" t="str">
        <f t="shared" si="217"/>
        <v/>
      </c>
      <c r="X241" s="242" t="str">
        <f t="shared" si="218"/>
        <v/>
      </c>
      <c r="Y241" s="242" t="str">
        <f t="shared" si="222"/>
        <v/>
      </c>
      <c r="Z241" s="242" t="str">
        <f t="shared" si="219"/>
        <v/>
      </c>
      <c r="AA241" s="242" t="str">
        <f t="shared" si="237"/>
        <v/>
      </c>
      <c r="AB241" s="242" t="str">
        <f t="shared" si="228"/>
        <v/>
      </c>
      <c r="AC241" s="242" t="str">
        <f t="shared" si="235"/>
        <v/>
      </c>
      <c r="AD241" s="242" t="str">
        <f t="shared" si="241"/>
        <v/>
      </c>
      <c r="AE241" s="242" t="str">
        <f t="shared" si="244"/>
        <v/>
      </c>
      <c r="AF241" s="242" t="str">
        <f t="shared" si="250"/>
        <v/>
      </c>
      <c r="AG241" s="242" t="str">
        <f t="shared" si="195"/>
        <v/>
      </c>
      <c r="AH241" s="242" t="str">
        <f t="shared" si="200"/>
        <v/>
      </c>
      <c r="AI241" s="242" t="str">
        <f t="shared" si="242"/>
        <v/>
      </c>
      <c r="AJ241" s="242" t="str">
        <f t="shared" si="246"/>
        <v/>
      </c>
      <c r="AK241" s="242" t="str">
        <f t="shared" si="251"/>
        <v/>
      </c>
      <c r="AL241" s="242" t="str">
        <f t="shared" si="254"/>
        <v/>
      </c>
      <c r="AM241" s="242" t="str">
        <f t="shared" si="236"/>
        <v/>
      </c>
      <c r="AN241" s="199" t="str">
        <f t="shared" si="247"/>
        <v/>
      </c>
      <c r="AO241" s="199" t="str">
        <f t="shared" si="252"/>
        <v/>
      </c>
      <c r="AP241" s="199" t="str">
        <f t="shared" si="239"/>
        <v/>
      </c>
      <c r="AQ241" s="199" t="str">
        <f t="shared" si="243"/>
        <v/>
      </c>
      <c r="AR241" s="199" t="str">
        <f t="shared" si="248"/>
        <v/>
      </c>
      <c r="AS241" s="199" t="str">
        <f t="shared" si="255"/>
        <v/>
      </c>
      <c r="AT241" s="199" t="str">
        <f t="shared" si="234"/>
        <v/>
      </c>
      <c r="AU241" s="199" t="str">
        <f t="shared" si="240"/>
        <v/>
      </c>
      <c r="AV241" s="199" t="str">
        <f t="shared" si="245"/>
        <v/>
      </c>
      <c r="AW241" s="199" t="str">
        <f t="shared" si="249"/>
        <v/>
      </c>
      <c r="AX241" s="199" t="str">
        <f t="shared" si="253"/>
        <v/>
      </c>
      <c r="AY241" s="199" t="str">
        <f t="shared" si="238"/>
        <v/>
      </c>
    </row>
    <row r="242" spans="2:51" ht="20.399999999999999" x14ac:dyDescent="0.3">
      <c r="B242" s="225" t="s">
        <v>298</v>
      </c>
      <c r="C242" s="120" t="s">
        <v>90</v>
      </c>
      <c r="D242" s="139">
        <v>2014</v>
      </c>
      <c r="E242" s="124">
        <v>41838</v>
      </c>
      <c r="F242" s="198">
        <f t="shared" si="203"/>
        <v>7</v>
      </c>
      <c r="G242" s="198" t="str">
        <f t="shared" si="204"/>
        <v>72014</v>
      </c>
      <c r="H242" s="198" t="str">
        <f t="shared" si="205"/>
        <v>julio</v>
      </c>
      <c r="I242" s="114">
        <f>VLOOKUP(B242,'Base de Datos'!$E$7:$W$271,14,0)</f>
        <v>0</v>
      </c>
      <c r="J242" s="200">
        <f t="shared" si="206"/>
        <v>1900</v>
      </c>
      <c r="K242" s="199">
        <f t="shared" si="207"/>
        <v>1</v>
      </c>
      <c r="L242" s="199" t="str">
        <f t="shared" si="208"/>
        <v>11900</v>
      </c>
      <c r="M242" s="199" t="str">
        <f t="shared" si="209"/>
        <v>enero</v>
      </c>
      <c r="N242" s="199">
        <f t="shared" ca="1" si="210"/>
        <v>44228</v>
      </c>
      <c r="O242" s="242" t="str">
        <f t="shared" ca="1" si="211"/>
        <v>SI</v>
      </c>
      <c r="P242" s="242" t="str">
        <f t="shared" si="220"/>
        <v/>
      </c>
      <c r="Q242" s="242" t="str">
        <f t="shared" si="212"/>
        <v/>
      </c>
      <c r="R242" s="242" t="str">
        <f t="shared" si="213"/>
        <v/>
      </c>
      <c r="S242" s="242" t="str">
        <f t="shared" si="214"/>
        <v/>
      </c>
      <c r="T242" s="242" t="str">
        <f t="shared" si="215"/>
        <v/>
      </c>
      <c r="U242" s="242" t="str">
        <f t="shared" si="216"/>
        <v/>
      </c>
      <c r="V242" s="242" t="str">
        <f t="shared" si="223"/>
        <v/>
      </c>
      <c r="W242" s="242" t="str">
        <f t="shared" si="217"/>
        <v/>
      </c>
      <c r="X242" s="242" t="str">
        <f t="shared" si="218"/>
        <v/>
      </c>
      <c r="Y242" s="242" t="str">
        <f t="shared" si="222"/>
        <v/>
      </c>
      <c r="Z242" s="242" t="str">
        <f t="shared" si="219"/>
        <v/>
      </c>
      <c r="AA242" s="242" t="str">
        <f t="shared" si="237"/>
        <v/>
      </c>
      <c r="AB242" s="242" t="str">
        <f t="shared" si="228"/>
        <v/>
      </c>
      <c r="AC242" s="242" t="str">
        <f t="shared" si="235"/>
        <v/>
      </c>
      <c r="AD242" s="242" t="str">
        <f t="shared" si="241"/>
        <v/>
      </c>
      <c r="AE242" s="242" t="str">
        <f t="shared" si="244"/>
        <v/>
      </c>
      <c r="AF242" s="242" t="str">
        <f t="shared" si="250"/>
        <v/>
      </c>
      <c r="AG242" s="242" t="str">
        <f t="shared" si="195"/>
        <v/>
      </c>
      <c r="AH242" s="242" t="str">
        <f t="shared" si="200"/>
        <v/>
      </c>
      <c r="AI242" s="242" t="str">
        <f t="shared" si="242"/>
        <v/>
      </c>
      <c r="AJ242" s="242" t="str">
        <f t="shared" si="246"/>
        <v/>
      </c>
      <c r="AK242" s="242" t="str">
        <f t="shared" si="251"/>
        <v/>
      </c>
      <c r="AL242" s="242" t="str">
        <f t="shared" si="254"/>
        <v/>
      </c>
      <c r="AM242" s="242" t="str">
        <f t="shared" si="236"/>
        <v/>
      </c>
      <c r="AN242" s="199" t="str">
        <f t="shared" si="247"/>
        <v/>
      </c>
      <c r="AO242" s="199" t="str">
        <f t="shared" si="252"/>
        <v/>
      </c>
      <c r="AP242" s="199" t="str">
        <f t="shared" si="239"/>
        <v/>
      </c>
      <c r="AQ242" s="199" t="str">
        <f t="shared" si="243"/>
        <v/>
      </c>
      <c r="AR242" s="199" t="str">
        <f t="shared" si="248"/>
        <v/>
      </c>
      <c r="AS242" s="199" t="str">
        <f t="shared" si="255"/>
        <v/>
      </c>
      <c r="AT242" s="199" t="str">
        <f t="shared" si="234"/>
        <v/>
      </c>
      <c r="AU242" s="199" t="str">
        <f t="shared" si="240"/>
        <v/>
      </c>
      <c r="AV242" s="199" t="str">
        <f t="shared" si="245"/>
        <v/>
      </c>
      <c r="AW242" s="199" t="str">
        <f t="shared" si="249"/>
        <v/>
      </c>
      <c r="AX242" s="199" t="str">
        <f t="shared" si="253"/>
        <v/>
      </c>
      <c r="AY242" s="199" t="str">
        <f t="shared" si="238"/>
        <v/>
      </c>
    </row>
    <row r="243" spans="2:51" x14ac:dyDescent="0.3">
      <c r="B243" s="236" t="str">
        <f>+'Base de Datos'!E258</f>
        <v>140351-0-2014</v>
      </c>
      <c r="C243" s="212" t="str">
        <f>+'Base de Datos'!F258</f>
        <v>J.A. ZABALA &amp; CONSULTORES ASOCIADOS LTDA.</v>
      </c>
      <c r="D243" s="212">
        <f>YEAR(E243)</f>
        <v>2014</v>
      </c>
      <c r="E243" s="213">
        <f>+'Base de Datos'!M258</f>
        <v>41963</v>
      </c>
      <c r="F243" s="198">
        <f t="shared" si="203"/>
        <v>11</v>
      </c>
      <c r="G243" s="198" t="str">
        <f t="shared" si="204"/>
        <v>112014</v>
      </c>
      <c r="H243" s="198" t="str">
        <f t="shared" si="205"/>
        <v>noviembre</v>
      </c>
      <c r="I243" s="114">
        <f>VLOOKUP(B243,'Base de Datos'!$E$7:$W$271,14,0)</f>
        <v>0</v>
      </c>
      <c r="J243" s="200">
        <f t="shared" si="206"/>
        <v>1900</v>
      </c>
      <c r="K243" s="199">
        <f t="shared" si="207"/>
        <v>1</v>
      </c>
      <c r="L243" s="199" t="str">
        <f t="shared" si="208"/>
        <v>11900</v>
      </c>
      <c r="M243" s="199" t="str">
        <f t="shared" si="209"/>
        <v>enero</v>
      </c>
      <c r="N243" s="199">
        <f t="shared" ca="1" si="210"/>
        <v>44228</v>
      </c>
      <c r="O243" s="242" t="str">
        <f t="shared" ca="1" si="211"/>
        <v>SI</v>
      </c>
      <c r="P243" s="242" t="str">
        <f t="shared" si="220"/>
        <v/>
      </c>
      <c r="Q243" s="242" t="str">
        <f t="shared" si="212"/>
        <v/>
      </c>
      <c r="R243" s="242" t="str">
        <f t="shared" si="213"/>
        <v/>
      </c>
      <c r="S243" s="242" t="str">
        <f t="shared" si="214"/>
        <v/>
      </c>
      <c r="T243" s="242" t="str">
        <f t="shared" si="215"/>
        <v/>
      </c>
      <c r="U243" s="242" t="str">
        <f t="shared" si="216"/>
        <v/>
      </c>
      <c r="V243" s="242" t="str">
        <f t="shared" si="223"/>
        <v/>
      </c>
      <c r="W243" s="242" t="str">
        <f t="shared" si="217"/>
        <v/>
      </c>
      <c r="X243" s="242" t="str">
        <f t="shared" si="218"/>
        <v/>
      </c>
      <c r="Y243" s="242" t="str">
        <f t="shared" si="222"/>
        <v/>
      </c>
      <c r="Z243" s="242" t="str">
        <f t="shared" si="219"/>
        <v/>
      </c>
      <c r="AA243" s="242" t="str">
        <f t="shared" si="237"/>
        <v/>
      </c>
      <c r="AB243" s="242" t="str">
        <f t="shared" si="228"/>
        <v/>
      </c>
      <c r="AC243" s="242" t="str">
        <f t="shared" si="235"/>
        <v/>
      </c>
      <c r="AD243" s="242" t="str">
        <f t="shared" si="241"/>
        <v/>
      </c>
      <c r="AE243" s="242" t="str">
        <f t="shared" si="244"/>
        <v/>
      </c>
      <c r="AF243" s="242" t="str">
        <f t="shared" si="250"/>
        <v/>
      </c>
      <c r="AG243" s="242" t="str">
        <f t="shared" si="195"/>
        <v/>
      </c>
      <c r="AH243" s="242" t="str">
        <f t="shared" si="200"/>
        <v/>
      </c>
      <c r="AI243" s="242" t="str">
        <f t="shared" si="242"/>
        <v/>
      </c>
      <c r="AJ243" s="242" t="str">
        <f t="shared" si="246"/>
        <v/>
      </c>
      <c r="AK243" s="242" t="str">
        <f t="shared" si="251"/>
        <v/>
      </c>
      <c r="AL243" s="242" t="str">
        <f t="shared" si="254"/>
        <v/>
      </c>
      <c r="AM243" s="242" t="str">
        <f t="shared" si="236"/>
        <v/>
      </c>
      <c r="AN243" s="199" t="str">
        <f t="shared" si="247"/>
        <v/>
      </c>
      <c r="AO243" s="199" t="str">
        <f t="shared" si="252"/>
        <v/>
      </c>
      <c r="AP243" s="199" t="str">
        <f t="shared" si="239"/>
        <v/>
      </c>
      <c r="AQ243" s="199" t="str">
        <f t="shared" si="243"/>
        <v/>
      </c>
      <c r="AR243" s="199" t="str">
        <f t="shared" si="248"/>
        <v/>
      </c>
      <c r="AS243" s="199" t="str">
        <f t="shared" si="255"/>
        <v/>
      </c>
      <c r="AT243" s="199" t="str">
        <f t="shared" ref="AT243:AT261" si="256">IF(AND(E243&lt;$AT$2,I243&gt;$AT$2),"1","")</f>
        <v/>
      </c>
      <c r="AU243" s="199" t="str">
        <f t="shared" si="240"/>
        <v/>
      </c>
      <c r="AV243" s="199" t="str">
        <f t="shared" si="245"/>
        <v/>
      </c>
      <c r="AW243" s="199" t="str">
        <f t="shared" si="249"/>
        <v/>
      </c>
      <c r="AX243" s="199" t="str">
        <f t="shared" si="253"/>
        <v/>
      </c>
      <c r="AY243" s="199" t="str">
        <f t="shared" si="238"/>
        <v/>
      </c>
    </row>
    <row r="244" spans="2:51" ht="20.399999999999999" x14ac:dyDescent="0.3">
      <c r="B244" s="225" t="s">
        <v>1100</v>
      </c>
      <c r="C244" s="120" t="s">
        <v>1101</v>
      </c>
      <c r="D244" s="139">
        <v>2014</v>
      </c>
      <c r="E244" s="124">
        <v>41842</v>
      </c>
      <c r="F244" s="198">
        <f t="shared" si="203"/>
        <v>7</v>
      </c>
      <c r="G244" s="198" t="str">
        <f t="shared" si="204"/>
        <v>72014</v>
      </c>
      <c r="H244" s="198" t="str">
        <f t="shared" si="205"/>
        <v>julio</v>
      </c>
      <c r="I244" s="114">
        <f>VLOOKUP(B244,'Base de Datos'!$E$7:$W$271,14,0)</f>
        <v>0</v>
      </c>
      <c r="J244" s="200">
        <f t="shared" si="206"/>
        <v>1900</v>
      </c>
      <c r="K244" s="199">
        <f t="shared" si="207"/>
        <v>1</v>
      </c>
      <c r="L244" s="199" t="str">
        <f t="shared" si="208"/>
        <v>11900</v>
      </c>
      <c r="M244" s="199" t="str">
        <f t="shared" si="209"/>
        <v>enero</v>
      </c>
      <c r="N244" s="199">
        <f t="shared" ca="1" si="210"/>
        <v>44228</v>
      </c>
      <c r="O244" s="242" t="str">
        <f t="shared" ca="1" si="211"/>
        <v>SI</v>
      </c>
      <c r="P244" s="242" t="str">
        <f t="shared" si="220"/>
        <v/>
      </c>
      <c r="Q244" s="242" t="str">
        <f t="shared" si="212"/>
        <v/>
      </c>
      <c r="R244" s="242" t="str">
        <f t="shared" si="213"/>
        <v/>
      </c>
      <c r="S244" s="242" t="str">
        <f t="shared" si="214"/>
        <v/>
      </c>
      <c r="T244" s="242" t="str">
        <f t="shared" si="215"/>
        <v/>
      </c>
      <c r="U244" s="242" t="str">
        <f t="shared" si="216"/>
        <v/>
      </c>
      <c r="V244" s="242" t="str">
        <f t="shared" si="223"/>
        <v/>
      </c>
      <c r="W244" s="242" t="str">
        <f t="shared" si="217"/>
        <v/>
      </c>
      <c r="X244" s="242" t="str">
        <f t="shared" si="218"/>
        <v/>
      </c>
      <c r="Y244" s="242" t="str">
        <f t="shared" si="222"/>
        <v/>
      </c>
      <c r="Z244" s="242" t="str">
        <f t="shared" si="219"/>
        <v/>
      </c>
      <c r="AA244" s="242" t="str">
        <f t="shared" si="237"/>
        <v/>
      </c>
      <c r="AB244" s="242" t="str">
        <f t="shared" si="228"/>
        <v/>
      </c>
      <c r="AC244" s="242" t="str">
        <f t="shared" si="235"/>
        <v/>
      </c>
      <c r="AD244" s="242" t="str">
        <f t="shared" si="241"/>
        <v/>
      </c>
      <c r="AE244" s="242" t="str">
        <f t="shared" si="244"/>
        <v/>
      </c>
      <c r="AF244" s="242" t="str">
        <f t="shared" si="250"/>
        <v/>
      </c>
      <c r="AG244" s="242" t="str">
        <f t="shared" si="195"/>
        <v/>
      </c>
      <c r="AH244" s="242" t="str">
        <f t="shared" si="200"/>
        <v/>
      </c>
      <c r="AI244" s="242" t="str">
        <f t="shared" si="242"/>
        <v/>
      </c>
      <c r="AJ244" s="242" t="str">
        <f t="shared" si="246"/>
        <v/>
      </c>
      <c r="AK244" s="242" t="str">
        <f t="shared" si="251"/>
        <v/>
      </c>
      <c r="AL244" s="242" t="str">
        <f t="shared" si="254"/>
        <v/>
      </c>
      <c r="AM244" s="242" t="str">
        <f t="shared" si="236"/>
        <v/>
      </c>
      <c r="AN244" s="199" t="str">
        <f t="shared" si="247"/>
        <v/>
      </c>
      <c r="AO244" s="199" t="str">
        <f t="shared" si="252"/>
        <v/>
      </c>
      <c r="AP244" s="199" t="str">
        <f t="shared" si="239"/>
        <v/>
      </c>
      <c r="AQ244" s="199" t="str">
        <f t="shared" si="243"/>
        <v/>
      </c>
      <c r="AR244" s="199" t="str">
        <f t="shared" si="248"/>
        <v/>
      </c>
      <c r="AS244" s="199" t="str">
        <f t="shared" si="255"/>
        <v/>
      </c>
      <c r="AT244" s="199" t="str">
        <f t="shared" si="256"/>
        <v/>
      </c>
      <c r="AU244" s="199" t="str">
        <f t="shared" si="240"/>
        <v/>
      </c>
      <c r="AV244" s="199" t="str">
        <f t="shared" si="245"/>
        <v/>
      </c>
      <c r="AW244" s="199" t="str">
        <f t="shared" si="249"/>
        <v/>
      </c>
      <c r="AX244" s="199" t="str">
        <f t="shared" si="253"/>
        <v/>
      </c>
      <c r="AY244" s="199" t="str">
        <f t="shared" si="238"/>
        <v/>
      </c>
    </row>
    <row r="245" spans="2:51" x14ac:dyDescent="0.3">
      <c r="B245" s="236" t="str">
        <f>+'Base de Datos'!E249</f>
        <v>140342-0-2014</v>
      </c>
      <c r="C245" s="212" t="str">
        <f>+'Base de Datos'!F249</f>
        <v>EDITORES CONARTE SAS</v>
      </c>
      <c r="D245" s="212">
        <f>YEAR(E245)</f>
        <v>2014</v>
      </c>
      <c r="E245" s="213">
        <f>+'Base de Datos'!M249</f>
        <v>41968</v>
      </c>
      <c r="F245" s="198">
        <f t="shared" si="203"/>
        <v>11</v>
      </c>
      <c r="G245" s="198" t="str">
        <f t="shared" si="204"/>
        <v>112014</v>
      </c>
      <c r="H245" s="198" t="str">
        <f t="shared" si="205"/>
        <v>noviembre</v>
      </c>
      <c r="I245" s="114">
        <f>VLOOKUP(B245,'Base de Datos'!$E$7:$W$271,14,0)</f>
        <v>0</v>
      </c>
      <c r="J245" s="200">
        <f t="shared" si="206"/>
        <v>1900</v>
      </c>
      <c r="K245" s="199">
        <f t="shared" si="207"/>
        <v>1</v>
      </c>
      <c r="L245" s="199" t="str">
        <f t="shared" si="208"/>
        <v>11900</v>
      </c>
      <c r="M245" s="199" t="str">
        <f t="shared" si="209"/>
        <v>enero</v>
      </c>
      <c r="N245" s="199">
        <f t="shared" ca="1" si="210"/>
        <v>44228</v>
      </c>
      <c r="O245" s="242" t="str">
        <f t="shared" ca="1" si="211"/>
        <v>SI</v>
      </c>
      <c r="P245" s="242" t="str">
        <f t="shared" si="220"/>
        <v/>
      </c>
      <c r="Q245" s="242" t="str">
        <f t="shared" si="212"/>
        <v/>
      </c>
      <c r="R245" s="242" t="str">
        <f t="shared" si="213"/>
        <v/>
      </c>
      <c r="S245" s="242" t="str">
        <f t="shared" si="214"/>
        <v/>
      </c>
      <c r="T245" s="242" t="str">
        <f t="shared" si="215"/>
        <v/>
      </c>
      <c r="U245" s="242" t="str">
        <f t="shared" si="216"/>
        <v/>
      </c>
      <c r="V245" s="242" t="str">
        <f t="shared" si="223"/>
        <v/>
      </c>
      <c r="W245" s="242" t="str">
        <f t="shared" si="217"/>
        <v/>
      </c>
      <c r="X245" s="242" t="str">
        <f t="shared" si="218"/>
        <v/>
      </c>
      <c r="Y245" s="242" t="str">
        <f t="shared" si="222"/>
        <v/>
      </c>
      <c r="Z245" s="242" t="str">
        <f t="shared" si="219"/>
        <v/>
      </c>
      <c r="AA245" s="242" t="str">
        <f t="shared" si="237"/>
        <v/>
      </c>
      <c r="AB245" s="242" t="str">
        <f t="shared" si="228"/>
        <v/>
      </c>
      <c r="AC245" s="242" t="str">
        <f t="shared" si="235"/>
        <v/>
      </c>
      <c r="AD245" s="242" t="str">
        <f t="shared" si="241"/>
        <v/>
      </c>
      <c r="AE245" s="242" t="str">
        <f t="shared" si="244"/>
        <v/>
      </c>
      <c r="AF245" s="242" t="str">
        <f t="shared" si="250"/>
        <v/>
      </c>
      <c r="AG245" s="242" t="str">
        <f t="shared" ref="AG245:AG261" si="257">IF(AND(E245&lt;$AG$2,I245&gt;$AG$2),"1","")</f>
        <v/>
      </c>
      <c r="AH245" s="242" t="str">
        <f t="shared" si="200"/>
        <v/>
      </c>
      <c r="AI245" s="242" t="str">
        <f t="shared" si="242"/>
        <v/>
      </c>
      <c r="AJ245" s="242" t="str">
        <f t="shared" si="246"/>
        <v/>
      </c>
      <c r="AK245" s="242" t="str">
        <f t="shared" si="251"/>
        <v/>
      </c>
      <c r="AL245" s="242" t="str">
        <f t="shared" si="254"/>
        <v/>
      </c>
      <c r="AM245" s="242" t="str">
        <f t="shared" ref="AM245:AM261" si="258">IF(AND(E245&lt;$AM$2,I245&gt;$AM$2),"1","")</f>
        <v/>
      </c>
      <c r="AN245" s="199" t="str">
        <f t="shared" si="247"/>
        <v/>
      </c>
      <c r="AO245" s="199" t="str">
        <f t="shared" si="252"/>
        <v/>
      </c>
      <c r="AP245" s="199" t="str">
        <f t="shared" si="239"/>
        <v/>
      </c>
      <c r="AQ245" s="199" t="str">
        <f t="shared" si="243"/>
        <v/>
      </c>
      <c r="AR245" s="199" t="str">
        <f t="shared" si="248"/>
        <v/>
      </c>
      <c r="AS245" s="199" t="str">
        <f t="shared" si="255"/>
        <v/>
      </c>
      <c r="AT245" s="199" t="str">
        <f t="shared" si="256"/>
        <v/>
      </c>
      <c r="AU245" s="199" t="str">
        <f t="shared" si="240"/>
        <v/>
      </c>
      <c r="AV245" s="199" t="str">
        <f t="shared" si="245"/>
        <v/>
      </c>
      <c r="AW245" s="199" t="str">
        <f t="shared" si="249"/>
        <v/>
      </c>
      <c r="AX245" s="199" t="str">
        <f t="shared" si="253"/>
        <v/>
      </c>
      <c r="AY245" s="199" t="str">
        <f t="shared" si="238"/>
        <v/>
      </c>
    </row>
    <row r="246" spans="2:51" x14ac:dyDescent="0.3">
      <c r="B246" s="379" t="s">
        <v>548</v>
      </c>
      <c r="C246" s="183" t="s">
        <v>549</v>
      </c>
      <c r="D246" s="139">
        <v>2014</v>
      </c>
      <c r="E246" s="124">
        <v>41893</v>
      </c>
      <c r="F246" s="198">
        <f t="shared" si="203"/>
        <v>9</v>
      </c>
      <c r="G246" s="198" t="str">
        <f t="shared" si="204"/>
        <v>92014</v>
      </c>
      <c r="H246" s="198" t="str">
        <f t="shared" si="205"/>
        <v>septiembre</v>
      </c>
      <c r="I246" s="114">
        <f>VLOOKUP(B246,'Base de Datos'!$E$7:$W$271,14,0)</f>
        <v>0</v>
      </c>
      <c r="J246" s="200">
        <f t="shared" si="206"/>
        <v>1900</v>
      </c>
      <c r="K246" s="199">
        <f t="shared" si="207"/>
        <v>1</v>
      </c>
      <c r="L246" s="199" t="str">
        <f t="shared" si="208"/>
        <v>11900</v>
      </c>
      <c r="M246" s="199" t="str">
        <f t="shared" si="209"/>
        <v>enero</v>
      </c>
      <c r="N246" s="199">
        <f t="shared" ca="1" si="210"/>
        <v>44228</v>
      </c>
      <c r="O246" s="242" t="str">
        <f t="shared" ca="1" si="211"/>
        <v>SI</v>
      </c>
      <c r="P246" s="242" t="str">
        <f t="shared" si="220"/>
        <v/>
      </c>
      <c r="Q246" s="242" t="str">
        <f t="shared" si="212"/>
        <v/>
      </c>
      <c r="R246" s="242" t="str">
        <f t="shared" si="213"/>
        <v/>
      </c>
      <c r="S246" s="242" t="str">
        <f t="shared" si="214"/>
        <v/>
      </c>
      <c r="T246" s="242" t="str">
        <f t="shared" si="215"/>
        <v/>
      </c>
      <c r="U246" s="242" t="str">
        <f t="shared" si="216"/>
        <v/>
      </c>
      <c r="V246" s="242" t="str">
        <f t="shared" si="223"/>
        <v/>
      </c>
      <c r="W246" s="242" t="str">
        <f t="shared" si="217"/>
        <v/>
      </c>
      <c r="X246" s="242" t="str">
        <f t="shared" si="218"/>
        <v/>
      </c>
      <c r="Y246" s="242" t="str">
        <f t="shared" si="222"/>
        <v/>
      </c>
      <c r="Z246" s="242" t="str">
        <f t="shared" si="219"/>
        <v/>
      </c>
      <c r="AA246" s="242" t="str">
        <f t="shared" si="237"/>
        <v/>
      </c>
      <c r="AB246" s="242" t="str">
        <f t="shared" si="228"/>
        <v/>
      </c>
      <c r="AC246" s="242" t="str">
        <f t="shared" si="235"/>
        <v/>
      </c>
      <c r="AD246" s="242" t="str">
        <f t="shared" si="241"/>
        <v/>
      </c>
      <c r="AE246" s="242" t="str">
        <f t="shared" si="244"/>
        <v/>
      </c>
      <c r="AF246" s="242" t="str">
        <f t="shared" si="250"/>
        <v/>
      </c>
      <c r="AG246" s="242" t="str">
        <f t="shared" si="257"/>
        <v/>
      </c>
      <c r="AH246" s="242" t="str">
        <f t="shared" si="200"/>
        <v/>
      </c>
      <c r="AI246" s="242" t="str">
        <f t="shared" si="242"/>
        <v/>
      </c>
      <c r="AJ246" s="242" t="str">
        <f t="shared" si="246"/>
        <v/>
      </c>
      <c r="AK246" s="242" t="str">
        <f t="shared" si="251"/>
        <v/>
      </c>
      <c r="AL246" s="242" t="str">
        <f t="shared" si="254"/>
        <v/>
      </c>
      <c r="AM246" s="242" t="str">
        <f t="shared" si="258"/>
        <v/>
      </c>
      <c r="AN246" s="199" t="str">
        <f t="shared" si="247"/>
        <v/>
      </c>
      <c r="AO246" s="199" t="str">
        <f t="shared" si="252"/>
        <v/>
      </c>
      <c r="AP246" s="199" t="str">
        <f t="shared" si="239"/>
        <v/>
      </c>
      <c r="AQ246" s="199" t="str">
        <f t="shared" si="243"/>
        <v/>
      </c>
      <c r="AR246" s="199" t="str">
        <f t="shared" si="248"/>
        <v/>
      </c>
      <c r="AS246" s="199" t="str">
        <f t="shared" si="255"/>
        <v/>
      </c>
      <c r="AT246" s="199" t="str">
        <f t="shared" si="256"/>
        <v/>
      </c>
      <c r="AU246" s="199" t="str">
        <f t="shared" si="240"/>
        <v/>
      </c>
      <c r="AV246" s="199" t="str">
        <f t="shared" si="245"/>
        <v/>
      </c>
      <c r="AW246" s="199" t="str">
        <f t="shared" si="249"/>
        <v/>
      </c>
      <c r="AX246" s="199" t="str">
        <f t="shared" si="253"/>
        <v/>
      </c>
      <c r="AY246" s="199" t="str">
        <f t="shared" si="238"/>
        <v/>
      </c>
    </row>
    <row r="247" spans="2:51" x14ac:dyDescent="0.3">
      <c r="B247" s="225" t="s">
        <v>551</v>
      </c>
      <c r="C247" s="120" t="s">
        <v>552</v>
      </c>
      <c r="D247" s="139">
        <v>2014</v>
      </c>
      <c r="E247" s="124">
        <v>41896</v>
      </c>
      <c r="F247" s="198">
        <f t="shared" si="203"/>
        <v>9</v>
      </c>
      <c r="G247" s="198" t="str">
        <f t="shared" si="204"/>
        <v>92014</v>
      </c>
      <c r="H247" s="198" t="str">
        <f t="shared" si="205"/>
        <v>septiembre</v>
      </c>
      <c r="I247" s="114">
        <f>VLOOKUP(B247,'Base de Datos'!$E$7:$W$271,14,0)</f>
        <v>0</v>
      </c>
      <c r="J247" s="200">
        <f t="shared" si="206"/>
        <v>1900</v>
      </c>
      <c r="K247" s="199">
        <f t="shared" si="207"/>
        <v>1</v>
      </c>
      <c r="L247" s="199" t="str">
        <f t="shared" si="208"/>
        <v>11900</v>
      </c>
      <c r="M247" s="199" t="str">
        <f t="shared" si="209"/>
        <v>enero</v>
      </c>
      <c r="N247" s="199">
        <f t="shared" ca="1" si="210"/>
        <v>44228</v>
      </c>
      <c r="O247" s="242" t="str">
        <f t="shared" ca="1" si="211"/>
        <v>SI</v>
      </c>
      <c r="P247" s="242" t="str">
        <f t="shared" si="220"/>
        <v/>
      </c>
      <c r="Q247" s="242" t="str">
        <f t="shared" si="212"/>
        <v/>
      </c>
      <c r="R247" s="242" t="str">
        <f t="shared" si="213"/>
        <v/>
      </c>
      <c r="S247" s="242" t="str">
        <f t="shared" si="214"/>
        <v/>
      </c>
      <c r="T247" s="242" t="str">
        <f t="shared" si="215"/>
        <v/>
      </c>
      <c r="U247" s="242" t="str">
        <f t="shared" si="216"/>
        <v/>
      </c>
      <c r="V247" s="242" t="str">
        <f t="shared" si="223"/>
        <v/>
      </c>
      <c r="W247" s="242" t="str">
        <f t="shared" si="217"/>
        <v/>
      </c>
      <c r="X247" s="242" t="str">
        <f t="shared" si="218"/>
        <v/>
      </c>
      <c r="Y247" s="242" t="str">
        <f t="shared" si="222"/>
        <v/>
      </c>
      <c r="Z247" s="242" t="str">
        <f t="shared" si="219"/>
        <v/>
      </c>
      <c r="AA247" s="242" t="str">
        <f t="shared" si="237"/>
        <v/>
      </c>
      <c r="AB247" s="242" t="str">
        <f t="shared" si="228"/>
        <v/>
      </c>
      <c r="AC247" s="242" t="str">
        <f t="shared" si="235"/>
        <v/>
      </c>
      <c r="AD247" s="242" t="str">
        <f t="shared" si="241"/>
        <v/>
      </c>
      <c r="AE247" s="242" t="str">
        <f t="shared" si="244"/>
        <v/>
      </c>
      <c r="AF247" s="242" t="str">
        <f t="shared" si="250"/>
        <v/>
      </c>
      <c r="AG247" s="242" t="str">
        <f t="shared" si="257"/>
        <v/>
      </c>
      <c r="AH247" s="242" t="str">
        <f t="shared" si="200"/>
        <v/>
      </c>
      <c r="AI247" s="242" t="str">
        <f t="shared" si="242"/>
        <v/>
      </c>
      <c r="AJ247" s="242" t="str">
        <f t="shared" si="246"/>
        <v/>
      </c>
      <c r="AK247" s="242" t="str">
        <f t="shared" si="251"/>
        <v/>
      </c>
      <c r="AL247" s="242" t="str">
        <f t="shared" si="254"/>
        <v/>
      </c>
      <c r="AM247" s="242" t="str">
        <f t="shared" si="258"/>
        <v/>
      </c>
      <c r="AN247" s="199" t="str">
        <f t="shared" si="247"/>
        <v/>
      </c>
      <c r="AO247" s="199" t="str">
        <f t="shared" si="252"/>
        <v/>
      </c>
      <c r="AP247" s="199" t="str">
        <f t="shared" si="239"/>
        <v/>
      </c>
      <c r="AQ247" s="199" t="str">
        <f t="shared" si="243"/>
        <v/>
      </c>
      <c r="AR247" s="199" t="str">
        <f t="shared" si="248"/>
        <v/>
      </c>
      <c r="AS247" s="199" t="str">
        <f t="shared" si="255"/>
        <v/>
      </c>
      <c r="AT247" s="199" t="str">
        <f t="shared" si="256"/>
        <v/>
      </c>
      <c r="AU247" s="199" t="str">
        <f t="shared" si="240"/>
        <v/>
      </c>
      <c r="AV247" s="199" t="str">
        <f t="shared" si="245"/>
        <v/>
      </c>
      <c r="AW247" s="199" t="str">
        <f t="shared" si="249"/>
        <v/>
      </c>
      <c r="AX247" s="199" t="str">
        <f t="shared" si="253"/>
        <v/>
      </c>
      <c r="AY247" s="199" t="str">
        <f t="shared" si="238"/>
        <v/>
      </c>
    </row>
    <row r="248" spans="2:51" ht="20.399999999999999" x14ac:dyDescent="0.3">
      <c r="B248" s="224" t="s">
        <v>76</v>
      </c>
      <c r="C248" s="120" t="s">
        <v>77</v>
      </c>
      <c r="D248" s="135">
        <v>2012</v>
      </c>
      <c r="E248" s="123">
        <v>41263</v>
      </c>
      <c r="F248" s="198">
        <f t="shared" si="203"/>
        <v>12</v>
      </c>
      <c r="G248" s="198" t="str">
        <f t="shared" si="204"/>
        <v>122012</v>
      </c>
      <c r="H248" s="198" t="str">
        <f t="shared" si="205"/>
        <v>diciembre</v>
      </c>
      <c r="I248" s="114">
        <f>VLOOKUP(B248,'Base de Datos'!$E$7:$W$271,14,0)</f>
        <v>4</v>
      </c>
      <c r="J248" s="200">
        <f t="shared" si="206"/>
        <v>1900</v>
      </c>
      <c r="K248" s="199">
        <f t="shared" si="207"/>
        <v>1</v>
      </c>
      <c r="L248" s="199" t="str">
        <f t="shared" si="208"/>
        <v>11900</v>
      </c>
      <c r="M248" s="199" t="str">
        <f t="shared" si="209"/>
        <v>enero</v>
      </c>
      <c r="N248" s="199">
        <f t="shared" ca="1" si="210"/>
        <v>44224</v>
      </c>
      <c r="O248" s="242" t="str">
        <f t="shared" ca="1" si="211"/>
        <v>SI</v>
      </c>
      <c r="P248" s="242" t="str">
        <f t="shared" si="220"/>
        <v/>
      </c>
      <c r="Q248" s="242" t="str">
        <f t="shared" si="212"/>
        <v/>
      </c>
      <c r="R248" s="242" t="str">
        <f t="shared" si="213"/>
        <v/>
      </c>
      <c r="S248" s="242" t="str">
        <f t="shared" si="214"/>
        <v/>
      </c>
      <c r="T248" s="242" t="str">
        <f t="shared" si="215"/>
        <v/>
      </c>
      <c r="U248" s="242" t="str">
        <f t="shared" si="216"/>
        <v/>
      </c>
      <c r="V248" s="242" t="str">
        <f t="shared" si="223"/>
        <v/>
      </c>
      <c r="W248" s="242" t="str">
        <f t="shared" si="217"/>
        <v/>
      </c>
      <c r="X248" s="242" t="str">
        <f t="shared" si="218"/>
        <v/>
      </c>
      <c r="Y248" s="242" t="str">
        <f t="shared" si="222"/>
        <v/>
      </c>
      <c r="Z248" s="242" t="str">
        <f t="shared" si="219"/>
        <v/>
      </c>
      <c r="AA248" s="242" t="str">
        <f t="shared" si="237"/>
        <v/>
      </c>
      <c r="AB248" s="242" t="str">
        <f t="shared" si="228"/>
        <v/>
      </c>
      <c r="AC248" s="242" t="str">
        <f t="shared" si="235"/>
        <v/>
      </c>
      <c r="AD248" s="242" t="str">
        <f t="shared" si="241"/>
        <v/>
      </c>
      <c r="AE248" s="242" t="str">
        <f t="shared" si="244"/>
        <v/>
      </c>
      <c r="AF248" s="242" t="str">
        <f t="shared" si="250"/>
        <v/>
      </c>
      <c r="AG248" s="242" t="str">
        <f t="shared" si="257"/>
        <v/>
      </c>
      <c r="AH248" s="242" t="str">
        <f t="shared" si="200"/>
        <v/>
      </c>
      <c r="AI248" s="242" t="str">
        <f t="shared" si="242"/>
        <v/>
      </c>
      <c r="AJ248" s="242" t="str">
        <f t="shared" si="246"/>
        <v/>
      </c>
      <c r="AK248" s="242" t="str">
        <f t="shared" si="251"/>
        <v/>
      </c>
      <c r="AL248" s="242" t="str">
        <f t="shared" si="254"/>
        <v/>
      </c>
      <c r="AM248" s="242" t="str">
        <f t="shared" si="258"/>
        <v/>
      </c>
      <c r="AN248" s="199" t="str">
        <f t="shared" si="247"/>
        <v/>
      </c>
      <c r="AO248" s="199" t="str">
        <f t="shared" si="252"/>
        <v/>
      </c>
      <c r="AP248" s="199" t="str">
        <f t="shared" si="239"/>
        <v/>
      </c>
      <c r="AQ248" s="199" t="str">
        <f t="shared" si="243"/>
        <v/>
      </c>
      <c r="AR248" s="199" t="str">
        <f t="shared" si="248"/>
        <v/>
      </c>
      <c r="AS248" s="199" t="str">
        <f t="shared" si="255"/>
        <v/>
      </c>
      <c r="AT248" s="199" t="str">
        <f t="shared" si="256"/>
        <v/>
      </c>
      <c r="AU248" s="199" t="str">
        <f t="shared" si="240"/>
        <v/>
      </c>
      <c r="AV248" s="199" t="str">
        <f t="shared" si="245"/>
        <v/>
      </c>
      <c r="AW248" s="199" t="str">
        <f t="shared" si="249"/>
        <v/>
      </c>
      <c r="AX248" s="199" t="str">
        <f t="shared" si="253"/>
        <v/>
      </c>
      <c r="AY248" s="199">
        <v>1</v>
      </c>
    </row>
    <row r="249" spans="2:51" x14ac:dyDescent="0.3">
      <c r="B249" s="236" t="str">
        <f>+'Base de Datos'!E259</f>
        <v>140367-0-2014</v>
      </c>
      <c r="C249" s="212" t="str">
        <f>+'Base de Datos'!F259</f>
        <v>CENTRO DE RECURSOS EDUCATIVOS PARA LA COMPETITIVIDAD EMPRESARIAL LTDA - CRECE</v>
      </c>
      <c r="D249" s="212">
        <f>YEAR(E249)</f>
        <v>2015</v>
      </c>
      <c r="E249" s="213">
        <f>+'Base de Datos'!M259</f>
        <v>42031</v>
      </c>
      <c r="F249" s="198">
        <f t="shared" si="203"/>
        <v>1</v>
      </c>
      <c r="G249" s="198" t="str">
        <f t="shared" si="204"/>
        <v>12015</v>
      </c>
      <c r="H249" s="198" t="str">
        <f t="shared" si="205"/>
        <v>enero</v>
      </c>
      <c r="I249" s="114">
        <f>VLOOKUP(B249,'Base de Datos'!$E$7:$W$271,14,0)</f>
        <v>1</v>
      </c>
      <c r="J249" s="200">
        <f t="shared" si="206"/>
        <v>1900</v>
      </c>
      <c r="K249" s="199">
        <f t="shared" si="207"/>
        <v>1</v>
      </c>
      <c r="L249" s="199" t="str">
        <f t="shared" si="208"/>
        <v>11900</v>
      </c>
      <c r="M249" s="199" t="str">
        <f t="shared" si="209"/>
        <v>enero</v>
      </c>
      <c r="N249" s="199">
        <f t="shared" ca="1" si="210"/>
        <v>44227</v>
      </c>
      <c r="O249" s="242" t="str">
        <f t="shared" ca="1" si="211"/>
        <v>SI</v>
      </c>
      <c r="P249" s="242" t="str">
        <f t="shared" si="220"/>
        <v/>
      </c>
      <c r="Q249" s="242" t="str">
        <f t="shared" si="212"/>
        <v/>
      </c>
      <c r="R249" s="242" t="str">
        <f t="shared" si="213"/>
        <v/>
      </c>
      <c r="S249" s="242" t="str">
        <f t="shared" si="214"/>
        <v/>
      </c>
      <c r="T249" s="242" t="str">
        <f t="shared" si="215"/>
        <v/>
      </c>
      <c r="U249" s="242" t="str">
        <f t="shared" si="216"/>
        <v/>
      </c>
      <c r="V249" s="242" t="str">
        <f t="shared" si="223"/>
        <v/>
      </c>
      <c r="W249" s="242" t="str">
        <f t="shared" si="217"/>
        <v/>
      </c>
      <c r="X249" s="242" t="str">
        <f t="shared" si="218"/>
        <v/>
      </c>
      <c r="Y249" s="242" t="str">
        <f t="shared" si="222"/>
        <v/>
      </c>
      <c r="Z249" s="242" t="str">
        <f t="shared" si="219"/>
        <v/>
      </c>
      <c r="AA249" s="242" t="str">
        <f t="shared" si="237"/>
        <v/>
      </c>
      <c r="AB249" s="242" t="str">
        <f t="shared" si="228"/>
        <v/>
      </c>
      <c r="AC249" s="242" t="str">
        <f t="shared" si="235"/>
        <v/>
      </c>
      <c r="AD249" s="242" t="str">
        <f t="shared" si="241"/>
        <v/>
      </c>
      <c r="AE249" s="242" t="str">
        <f t="shared" si="244"/>
        <v/>
      </c>
      <c r="AF249" s="242" t="str">
        <f t="shared" si="250"/>
        <v/>
      </c>
      <c r="AG249" s="242" t="str">
        <f t="shared" si="257"/>
        <v/>
      </c>
      <c r="AH249" s="242" t="str">
        <f t="shared" si="200"/>
        <v/>
      </c>
      <c r="AI249" s="242" t="str">
        <f t="shared" si="242"/>
        <v/>
      </c>
      <c r="AJ249" s="242" t="str">
        <f t="shared" si="246"/>
        <v/>
      </c>
      <c r="AK249" s="242" t="str">
        <f t="shared" si="251"/>
        <v/>
      </c>
      <c r="AL249" s="242" t="str">
        <f t="shared" si="254"/>
        <v/>
      </c>
      <c r="AM249" s="242" t="str">
        <f t="shared" si="258"/>
        <v/>
      </c>
      <c r="AN249" s="199" t="str">
        <f t="shared" si="247"/>
        <v/>
      </c>
      <c r="AO249" s="199" t="str">
        <f t="shared" si="252"/>
        <v/>
      </c>
      <c r="AP249" s="199" t="str">
        <f t="shared" si="239"/>
        <v/>
      </c>
      <c r="AQ249" s="199" t="str">
        <f t="shared" si="243"/>
        <v/>
      </c>
      <c r="AR249" s="199" t="str">
        <f t="shared" si="248"/>
        <v/>
      </c>
      <c r="AS249" s="199" t="str">
        <f t="shared" si="255"/>
        <v/>
      </c>
      <c r="AT249" s="199" t="str">
        <f t="shared" si="256"/>
        <v/>
      </c>
      <c r="AU249" s="199" t="str">
        <f t="shared" si="240"/>
        <v/>
      </c>
      <c r="AV249" s="199" t="str">
        <f t="shared" si="245"/>
        <v/>
      </c>
      <c r="AW249" s="199" t="str">
        <f t="shared" si="249"/>
        <v/>
      </c>
      <c r="AX249" s="199" t="str">
        <f t="shared" si="253"/>
        <v/>
      </c>
      <c r="AY249" s="199" t="str">
        <f t="shared" ref="AY249:AY261" si="259">IF(AND(E249&lt;$AY$2,I249&gt;$AY$2),"1","")</f>
        <v/>
      </c>
    </row>
    <row r="250" spans="2:51" x14ac:dyDescent="0.3">
      <c r="B250" s="379" t="s">
        <v>1154</v>
      </c>
      <c r="C250" s="183" t="s">
        <v>33</v>
      </c>
      <c r="D250" s="139">
        <v>2014</v>
      </c>
      <c r="E250" s="124">
        <v>41912</v>
      </c>
      <c r="F250" s="198">
        <f t="shared" si="203"/>
        <v>9</v>
      </c>
      <c r="G250" s="198" t="str">
        <f t="shared" si="204"/>
        <v>92014</v>
      </c>
      <c r="H250" s="198" t="str">
        <f t="shared" si="205"/>
        <v>septiembre</v>
      </c>
      <c r="I250" s="114">
        <f>VLOOKUP(B250,'Base de Datos'!$E$7:$W$271,14,0)</f>
        <v>0</v>
      </c>
      <c r="J250" s="200">
        <f t="shared" si="206"/>
        <v>1900</v>
      </c>
      <c r="K250" s="199">
        <f t="shared" si="207"/>
        <v>1</v>
      </c>
      <c r="L250" s="199" t="str">
        <f t="shared" si="208"/>
        <v>11900</v>
      </c>
      <c r="M250" s="199" t="str">
        <f t="shared" si="209"/>
        <v>enero</v>
      </c>
      <c r="N250" s="199">
        <f t="shared" ca="1" si="210"/>
        <v>44228</v>
      </c>
      <c r="O250" s="242" t="str">
        <f t="shared" ca="1" si="211"/>
        <v>SI</v>
      </c>
      <c r="P250" s="242" t="str">
        <f t="shared" si="220"/>
        <v/>
      </c>
      <c r="Q250" s="242" t="str">
        <f t="shared" si="212"/>
        <v/>
      </c>
      <c r="R250" s="242" t="str">
        <f t="shared" si="213"/>
        <v/>
      </c>
      <c r="S250" s="242" t="str">
        <f t="shared" si="214"/>
        <v/>
      </c>
      <c r="T250" s="242" t="str">
        <f t="shared" si="215"/>
        <v/>
      </c>
      <c r="U250" s="242" t="str">
        <f t="shared" si="216"/>
        <v/>
      </c>
      <c r="V250" s="242" t="str">
        <f t="shared" si="223"/>
        <v/>
      </c>
      <c r="W250" s="242" t="str">
        <f t="shared" si="217"/>
        <v/>
      </c>
      <c r="X250" s="242" t="str">
        <f t="shared" si="218"/>
        <v/>
      </c>
      <c r="Y250" s="242" t="str">
        <f t="shared" si="222"/>
        <v/>
      </c>
      <c r="Z250" s="242" t="str">
        <f t="shared" si="219"/>
        <v/>
      </c>
      <c r="AA250" s="242" t="str">
        <f t="shared" si="237"/>
        <v/>
      </c>
      <c r="AB250" s="242" t="str">
        <f t="shared" si="228"/>
        <v/>
      </c>
      <c r="AC250" s="242" t="str">
        <f t="shared" si="235"/>
        <v/>
      </c>
      <c r="AD250" s="242" t="str">
        <f t="shared" si="241"/>
        <v/>
      </c>
      <c r="AE250" s="242" t="str">
        <f t="shared" si="244"/>
        <v/>
      </c>
      <c r="AF250" s="242" t="str">
        <f t="shared" si="250"/>
        <v/>
      </c>
      <c r="AG250" s="242" t="str">
        <f t="shared" si="257"/>
        <v/>
      </c>
      <c r="AH250" s="242" t="str">
        <f t="shared" si="200"/>
        <v/>
      </c>
      <c r="AI250" s="242" t="str">
        <f t="shared" si="242"/>
        <v/>
      </c>
      <c r="AJ250" s="242" t="str">
        <f t="shared" si="246"/>
        <v/>
      </c>
      <c r="AK250" s="242" t="str">
        <f t="shared" si="251"/>
        <v/>
      </c>
      <c r="AL250" s="242" t="str">
        <f t="shared" si="254"/>
        <v/>
      </c>
      <c r="AM250" s="242" t="str">
        <f t="shared" si="258"/>
        <v/>
      </c>
      <c r="AN250" s="199" t="str">
        <f t="shared" si="247"/>
        <v/>
      </c>
      <c r="AO250" s="199" t="str">
        <f t="shared" si="252"/>
        <v/>
      </c>
      <c r="AP250" s="199" t="str">
        <f t="shared" ref="AP250:AP261" si="260">IF(AND(E250&lt;$AP$2,I250&gt;$AP$2),"1","")</f>
        <v/>
      </c>
      <c r="AQ250" s="199" t="str">
        <f t="shared" si="243"/>
        <v/>
      </c>
      <c r="AR250" s="199" t="str">
        <f t="shared" si="248"/>
        <v/>
      </c>
      <c r="AS250" s="199" t="str">
        <f t="shared" si="255"/>
        <v/>
      </c>
      <c r="AT250" s="199" t="str">
        <f t="shared" si="256"/>
        <v/>
      </c>
      <c r="AU250" s="199" t="str">
        <f t="shared" ref="AU250:AU261" si="261">IF(AND(E250&lt;$AU$2,I250&gt;$AU$2),"1","")</f>
        <v/>
      </c>
      <c r="AV250" s="199" t="str">
        <f t="shared" si="245"/>
        <v/>
      </c>
      <c r="AW250" s="199" t="str">
        <f t="shared" si="249"/>
        <v/>
      </c>
      <c r="AX250" s="199" t="str">
        <f t="shared" si="253"/>
        <v/>
      </c>
      <c r="AY250" s="199" t="str">
        <f t="shared" si="259"/>
        <v/>
      </c>
    </row>
    <row r="251" spans="2:51" x14ac:dyDescent="0.3">
      <c r="B251" s="236" t="str">
        <f>+'Base de Datos'!E266</f>
        <v>140387-0-2014</v>
      </c>
      <c r="C251" s="212" t="str">
        <f>+'Base de Datos'!F266</f>
        <v>SERVIMETERS SA</v>
      </c>
      <c r="D251" s="212">
        <f>YEAR(E251)</f>
        <v>2015</v>
      </c>
      <c r="E251" s="213">
        <f>+'Base de Datos'!M266</f>
        <v>42037</v>
      </c>
      <c r="F251" s="198">
        <f t="shared" si="203"/>
        <v>2</v>
      </c>
      <c r="G251" s="198" t="str">
        <f t="shared" si="204"/>
        <v>22015</v>
      </c>
      <c r="H251" s="198" t="str">
        <f t="shared" si="205"/>
        <v>febrero</v>
      </c>
      <c r="I251" s="114">
        <f>VLOOKUP(B251,'Base de Datos'!$E$7:$W$271,14,0)</f>
        <v>0</v>
      </c>
      <c r="J251" s="200">
        <f t="shared" si="206"/>
        <v>1900</v>
      </c>
      <c r="K251" s="199">
        <f t="shared" si="207"/>
        <v>1</v>
      </c>
      <c r="L251" s="199" t="str">
        <f t="shared" si="208"/>
        <v>11900</v>
      </c>
      <c r="M251" s="199" t="str">
        <f t="shared" si="209"/>
        <v>enero</v>
      </c>
      <c r="N251" s="199">
        <f t="shared" ca="1" si="210"/>
        <v>44228</v>
      </c>
      <c r="O251" s="242" t="str">
        <f t="shared" ca="1" si="211"/>
        <v>SI</v>
      </c>
      <c r="P251" s="242" t="str">
        <f t="shared" si="220"/>
        <v/>
      </c>
      <c r="Q251" s="242" t="str">
        <f t="shared" si="212"/>
        <v/>
      </c>
      <c r="R251" s="242" t="str">
        <f t="shared" si="213"/>
        <v/>
      </c>
      <c r="S251" s="242" t="str">
        <f t="shared" si="214"/>
        <v/>
      </c>
      <c r="T251" s="242" t="str">
        <f t="shared" si="215"/>
        <v/>
      </c>
      <c r="U251" s="242" t="str">
        <f t="shared" si="216"/>
        <v/>
      </c>
      <c r="V251" s="242" t="str">
        <f t="shared" si="223"/>
        <v/>
      </c>
      <c r="W251" s="242" t="str">
        <f t="shared" si="217"/>
        <v/>
      </c>
      <c r="X251" s="242" t="str">
        <f t="shared" si="218"/>
        <v/>
      </c>
      <c r="Y251" s="242" t="str">
        <f t="shared" si="222"/>
        <v/>
      </c>
      <c r="Z251" s="242" t="str">
        <f t="shared" si="219"/>
        <v/>
      </c>
      <c r="AA251" s="242" t="str">
        <f t="shared" si="237"/>
        <v/>
      </c>
      <c r="AB251" s="242" t="str">
        <f t="shared" si="228"/>
        <v/>
      </c>
      <c r="AC251" s="242" t="str">
        <f t="shared" si="235"/>
        <v/>
      </c>
      <c r="AD251" s="242" t="str">
        <f t="shared" si="241"/>
        <v/>
      </c>
      <c r="AE251" s="242" t="str">
        <f t="shared" si="244"/>
        <v/>
      </c>
      <c r="AF251" s="242" t="str">
        <f t="shared" si="250"/>
        <v/>
      </c>
      <c r="AG251" s="242" t="str">
        <f t="shared" si="257"/>
        <v/>
      </c>
      <c r="AH251" s="242" t="str">
        <f t="shared" ref="AH251:AH261" si="262">IF(AND(E251&lt;$AH$2,I251&gt;$AH$2),"1","")</f>
        <v/>
      </c>
      <c r="AI251" s="242" t="str">
        <f t="shared" si="242"/>
        <v/>
      </c>
      <c r="AJ251" s="242" t="str">
        <f t="shared" si="246"/>
        <v/>
      </c>
      <c r="AK251" s="242" t="str">
        <f t="shared" si="251"/>
        <v/>
      </c>
      <c r="AL251" s="242" t="str">
        <f t="shared" si="254"/>
        <v/>
      </c>
      <c r="AM251" s="242" t="str">
        <f t="shared" si="258"/>
        <v/>
      </c>
      <c r="AN251" s="199" t="str">
        <f t="shared" si="247"/>
        <v/>
      </c>
      <c r="AO251" s="199" t="str">
        <f t="shared" si="252"/>
        <v/>
      </c>
      <c r="AP251" s="199" t="str">
        <f t="shared" si="260"/>
        <v/>
      </c>
      <c r="AQ251" s="199" t="str">
        <f t="shared" si="243"/>
        <v/>
      </c>
      <c r="AR251" s="199" t="str">
        <f t="shared" si="248"/>
        <v/>
      </c>
      <c r="AS251" s="199" t="str">
        <f t="shared" si="255"/>
        <v/>
      </c>
      <c r="AT251" s="199" t="str">
        <f t="shared" si="256"/>
        <v/>
      </c>
      <c r="AU251" s="199" t="str">
        <f t="shared" si="261"/>
        <v/>
      </c>
      <c r="AV251" s="199" t="str">
        <f t="shared" si="245"/>
        <v/>
      </c>
      <c r="AW251" s="199" t="str">
        <f t="shared" si="249"/>
        <v/>
      </c>
      <c r="AX251" s="199" t="str">
        <f t="shared" si="253"/>
        <v/>
      </c>
      <c r="AY251" s="199" t="str">
        <f t="shared" si="259"/>
        <v/>
      </c>
    </row>
    <row r="252" spans="2:51" x14ac:dyDescent="0.3">
      <c r="B252" s="234" t="s">
        <v>1157</v>
      </c>
      <c r="C252" s="184" t="s">
        <v>22</v>
      </c>
      <c r="D252" s="139">
        <v>2014</v>
      </c>
      <c r="E252" s="24">
        <v>41929</v>
      </c>
      <c r="F252" s="198">
        <f t="shared" si="203"/>
        <v>10</v>
      </c>
      <c r="G252" s="198" t="str">
        <f t="shared" si="204"/>
        <v>102014</v>
      </c>
      <c r="H252" s="198" t="str">
        <f t="shared" si="205"/>
        <v>octubre</v>
      </c>
      <c r="I252" s="114">
        <f>VLOOKUP(B252,'Base de Datos'!$E$7:$W$271,14,0)</f>
        <v>1</v>
      </c>
      <c r="J252" s="200">
        <f t="shared" si="206"/>
        <v>1900</v>
      </c>
      <c r="K252" s="199">
        <f t="shared" si="207"/>
        <v>1</v>
      </c>
      <c r="L252" s="199" t="str">
        <f t="shared" si="208"/>
        <v>11900</v>
      </c>
      <c r="M252" s="199" t="str">
        <f t="shared" si="209"/>
        <v>enero</v>
      </c>
      <c r="N252" s="199">
        <f t="shared" ca="1" si="210"/>
        <v>44227</v>
      </c>
      <c r="O252" s="242" t="str">
        <f t="shared" ca="1" si="211"/>
        <v>SI</v>
      </c>
      <c r="P252" s="242" t="str">
        <f t="shared" si="220"/>
        <v/>
      </c>
      <c r="Q252" s="242" t="str">
        <f t="shared" si="212"/>
        <v/>
      </c>
      <c r="R252" s="242" t="str">
        <f t="shared" si="213"/>
        <v/>
      </c>
      <c r="S252" s="242" t="str">
        <f t="shared" si="214"/>
        <v/>
      </c>
      <c r="T252" s="242" t="str">
        <f t="shared" si="215"/>
        <v/>
      </c>
      <c r="U252" s="242" t="str">
        <f t="shared" si="216"/>
        <v/>
      </c>
      <c r="V252" s="242" t="str">
        <f t="shared" si="223"/>
        <v/>
      </c>
      <c r="W252" s="242" t="str">
        <f t="shared" si="217"/>
        <v/>
      </c>
      <c r="X252" s="242" t="str">
        <f t="shared" si="218"/>
        <v/>
      </c>
      <c r="Y252" s="242" t="str">
        <f t="shared" si="222"/>
        <v/>
      </c>
      <c r="Z252" s="242" t="str">
        <f t="shared" si="219"/>
        <v/>
      </c>
      <c r="AA252" s="242" t="str">
        <f t="shared" si="237"/>
        <v/>
      </c>
      <c r="AB252" s="242" t="str">
        <f t="shared" si="228"/>
        <v/>
      </c>
      <c r="AC252" s="242" t="str">
        <f t="shared" si="235"/>
        <v/>
      </c>
      <c r="AD252" s="242" t="str">
        <f t="shared" si="241"/>
        <v/>
      </c>
      <c r="AE252" s="242" t="str">
        <f t="shared" si="244"/>
        <v/>
      </c>
      <c r="AF252" s="242" t="str">
        <f t="shared" si="250"/>
        <v/>
      </c>
      <c r="AG252" s="242" t="str">
        <f t="shared" si="257"/>
        <v/>
      </c>
      <c r="AH252" s="242" t="str">
        <f t="shared" si="262"/>
        <v/>
      </c>
      <c r="AI252" s="242" t="str">
        <f t="shared" si="242"/>
        <v/>
      </c>
      <c r="AJ252" s="242" t="str">
        <f t="shared" si="246"/>
        <v/>
      </c>
      <c r="AK252" s="242" t="str">
        <f t="shared" si="251"/>
        <v/>
      </c>
      <c r="AL252" s="242" t="str">
        <f t="shared" si="254"/>
        <v/>
      </c>
      <c r="AM252" s="242" t="str">
        <f t="shared" si="258"/>
        <v/>
      </c>
      <c r="AN252" s="199" t="str">
        <f t="shared" si="247"/>
        <v/>
      </c>
      <c r="AO252" s="199" t="str">
        <f t="shared" si="252"/>
        <v/>
      </c>
      <c r="AP252" s="199" t="str">
        <f t="shared" si="260"/>
        <v/>
      </c>
      <c r="AQ252" s="199" t="str">
        <f t="shared" si="243"/>
        <v/>
      </c>
      <c r="AR252" s="199" t="str">
        <f t="shared" si="248"/>
        <v/>
      </c>
      <c r="AS252" s="199" t="str">
        <f t="shared" si="255"/>
        <v/>
      </c>
      <c r="AT252" s="199" t="str">
        <f t="shared" si="256"/>
        <v/>
      </c>
      <c r="AU252" s="199" t="str">
        <f t="shared" si="261"/>
        <v/>
      </c>
      <c r="AV252" s="199" t="str">
        <f t="shared" si="245"/>
        <v/>
      </c>
      <c r="AW252" s="199" t="str">
        <f t="shared" si="249"/>
        <v/>
      </c>
      <c r="AX252" s="199" t="str">
        <f t="shared" si="253"/>
        <v/>
      </c>
      <c r="AY252" s="199" t="str">
        <f t="shared" si="259"/>
        <v/>
      </c>
    </row>
    <row r="253" spans="2:51" x14ac:dyDescent="0.3">
      <c r="B253" s="235" t="s">
        <v>1115</v>
      </c>
      <c r="C253" s="149" t="s">
        <v>1116</v>
      </c>
      <c r="D253" s="139">
        <v>2014</v>
      </c>
      <c r="E253" s="150">
        <v>41929</v>
      </c>
      <c r="F253" s="198">
        <f t="shared" si="203"/>
        <v>10</v>
      </c>
      <c r="G253" s="198" t="str">
        <f t="shared" si="204"/>
        <v>102014</v>
      </c>
      <c r="H253" s="198" t="str">
        <f t="shared" si="205"/>
        <v>octubre</v>
      </c>
      <c r="I253" s="114">
        <f>VLOOKUP(B253,'Base de Datos'!$E$7:$W$271,14,0)</f>
        <v>0</v>
      </c>
      <c r="J253" s="200">
        <f t="shared" si="206"/>
        <v>1900</v>
      </c>
      <c r="K253" s="199">
        <f t="shared" si="207"/>
        <v>1</v>
      </c>
      <c r="L253" s="199" t="str">
        <f t="shared" si="208"/>
        <v>11900</v>
      </c>
      <c r="M253" s="199" t="str">
        <f t="shared" si="209"/>
        <v>enero</v>
      </c>
      <c r="N253" s="199">
        <f t="shared" ca="1" si="210"/>
        <v>44228</v>
      </c>
      <c r="O253" s="242" t="str">
        <f t="shared" ca="1" si="211"/>
        <v>SI</v>
      </c>
      <c r="P253" s="242" t="str">
        <f t="shared" si="220"/>
        <v/>
      </c>
      <c r="Q253" s="242" t="str">
        <f t="shared" si="212"/>
        <v/>
      </c>
      <c r="R253" s="242" t="str">
        <f t="shared" si="213"/>
        <v/>
      </c>
      <c r="S253" s="242" t="str">
        <f t="shared" si="214"/>
        <v/>
      </c>
      <c r="T253" s="242" t="str">
        <f t="shared" si="215"/>
        <v/>
      </c>
      <c r="U253" s="242" t="str">
        <f t="shared" si="216"/>
        <v/>
      </c>
      <c r="V253" s="242" t="str">
        <f t="shared" si="223"/>
        <v/>
      </c>
      <c r="W253" s="242" t="str">
        <f t="shared" si="217"/>
        <v/>
      </c>
      <c r="X253" s="242" t="str">
        <f t="shared" si="218"/>
        <v/>
      </c>
      <c r="Y253" s="242" t="str">
        <f t="shared" si="222"/>
        <v/>
      </c>
      <c r="Z253" s="242" t="str">
        <f t="shared" si="219"/>
        <v/>
      </c>
      <c r="AA253" s="242" t="str">
        <f t="shared" si="237"/>
        <v/>
      </c>
      <c r="AB253" s="242" t="str">
        <f t="shared" si="228"/>
        <v/>
      </c>
      <c r="AC253" s="242" t="str">
        <f t="shared" si="235"/>
        <v/>
      </c>
      <c r="AD253" s="242" t="str">
        <f t="shared" si="241"/>
        <v/>
      </c>
      <c r="AE253" s="242" t="str">
        <f t="shared" si="244"/>
        <v/>
      </c>
      <c r="AF253" s="242" t="str">
        <f t="shared" si="250"/>
        <v/>
      </c>
      <c r="AG253" s="242" t="str">
        <f t="shared" si="257"/>
        <v/>
      </c>
      <c r="AH253" s="242" t="str">
        <f t="shared" si="262"/>
        <v/>
      </c>
      <c r="AI253" s="242" t="str">
        <f t="shared" si="242"/>
        <v/>
      </c>
      <c r="AJ253" s="242" t="str">
        <f t="shared" si="246"/>
        <v/>
      </c>
      <c r="AK253" s="242" t="str">
        <f t="shared" si="251"/>
        <v/>
      </c>
      <c r="AL253" s="242" t="str">
        <f t="shared" si="254"/>
        <v/>
      </c>
      <c r="AM253" s="242" t="str">
        <f t="shared" si="258"/>
        <v/>
      </c>
      <c r="AN253" s="199" t="str">
        <f t="shared" si="247"/>
        <v/>
      </c>
      <c r="AO253" s="199" t="str">
        <f t="shared" si="252"/>
        <v/>
      </c>
      <c r="AP253" s="199" t="str">
        <f t="shared" si="260"/>
        <v/>
      </c>
      <c r="AQ253" s="199" t="str">
        <f t="shared" si="243"/>
        <v/>
      </c>
      <c r="AR253" s="199" t="str">
        <f t="shared" si="248"/>
        <v/>
      </c>
      <c r="AS253" s="199" t="str">
        <f t="shared" si="255"/>
        <v/>
      </c>
      <c r="AT253" s="199" t="str">
        <f t="shared" si="256"/>
        <v/>
      </c>
      <c r="AU253" s="199" t="str">
        <f t="shared" si="261"/>
        <v/>
      </c>
      <c r="AV253" s="199" t="str">
        <f t="shared" si="245"/>
        <v/>
      </c>
      <c r="AW253" s="199" t="str">
        <f t="shared" si="249"/>
        <v/>
      </c>
      <c r="AX253" s="199" t="str">
        <f t="shared" si="253"/>
        <v/>
      </c>
      <c r="AY253" s="199" t="str">
        <f t="shared" si="259"/>
        <v/>
      </c>
    </row>
    <row r="254" spans="2:51" x14ac:dyDescent="0.3">
      <c r="B254" s="379" t="s">
        <v>1161</v>
      </c>
      <c r="C254" s="183" t="s">
        <v>1162</v>
      </c>
      <c r="D254" s="139">
        <v>2014</v>
      </c>
      <c r="E254" s="124">
        <v>41936</v>
      </c>
      <c r="F254" s="198">
        <f t="shared" si="203"/>
        <v>10</v>
      </c>
      <c r="G254" s="198" t="str">
        <f t="shared" si="204"/>
        <v>102014</v>
      </c>
      <c r="H254" s="198" t="str">
        <f t="shared" si="205"/>
        <v>octubre</v>
      </c>
      <c r="I254" s="114">
        <f>VLOOKUP(B254,'Base de Datos'!$E$7:$W$271,14,0)</f>
        <v>0</v>
      </c>
      <c r="J254" s="200">
        <f t="shared" si="206"/>
        <v>1900</v>
      </c>
      <c r="K254" s="199">
        <f t="shared" si="207"/>
        <v>1</v>
      </c>
      <c r="L254" s="199" t="str">
        <f t="shared" si="208"/>
        <v>11900</v>
      </c>
      <c r="M254" s="199" t="str">
        <f t="shared" si="209"/>
        <v>enero</v>
      </c>
      <c r="N254" s="199">
        <f t="shared" ca="1" si="210"/>
        <v>44228</v>
      </c>
      <c r="O254" s="242" t="str">
        <f t="shared" ca="1" si="211"/>
        <v>SI</v>
      </c>
      <c r="P254" s="242" t="str">
        <f t="shared" si="220"/>
        <v/>
      </c>
      <c r="Q254" s="242" t="str">
        <f t="shared" si="212"/>
        <v/>
      </c>
      <c r="R254" s="242" t="str">
        <f t="shared" si="213"/>
        <v/>
      </c>
      <c r="S254" s="242" t="str">
        <f t="shared" si="214"/>
        <v/>
      </c>
      <c r="T254" s="242" t="str">
        <f t="shared" si="215"/>
        <v/>
      </c>
      <c r="U254" s="242" t="str">
        <f t="shared" si="216"/>
        <v/>
      </c>
      <c r="V254" s="242" t="str">
        <f t="shared" si="223"/>
        <v/>
      </c>
      <c r="W254" s="242" t="str">
        <f t="shared" si="217"/>
        <v/>
      </c>
      <c r="X254" s="242" t="str">
        <f t="shared" si="218"/>
        <v/>
      </c>
      <c r="Y254" s="242" t="str">
        <f t="shared" si="222"/>
        <v/>
      </c>
      <c r="Z254" s="242" t="str">
        <f t="shared" si="219"/>
        <v/>
      </c>
      <c r="AA254" s="242" t="str">
        <f t="shared" si="237"/>
        <v/>
      </c>
      <c r="AB254" s="242" t="str">
        <f t="shared" si="228"/>
        <v/>
      </c>
      <c r="AC254" s="242" t="str">
        <f t="shared" si="235"/>
        <v/>
      </c>
      <c r="AD254" s="242" t="str">
        <f t="shared" si="241"/>
        <v/>
      </c>
      <c r="AE254" s="242" t="str">
        <f t="shared" si="244"/>
        <v/>
      </c>
      <c r="AF254" s="242" t="str">
        <f t="shared" si="250"/>
        <v/>
      </c>
      <c r="AG254" s="242" t="str">
        <f t="shared" si="257"/>
        <v/>
      </c>
      <c r="AH254" s="242" t="str">
        <f t="shared" si="262"/>
        <v/>
      </c>
      <c r="AI254" s="242" t="str">
        <f t="shared" si="242"/>
        <v/>
      </c>
      <c r="AJ254" s="242" t="str">
        <f t="shared" si="246"/>
        <v/>
      </c>
      <c r="AK254" s="242" t="str">
        <f t="shared" si="251"/>
        <v/>
      </c>
      <c r="AL254" s="242" t="str">
        <f t="shared" si="254"/>
        <v/>
      </c>
      <c r="AM254" s="242" t="str">
        <f t="shared" si="258"/>
        <v/>
      </c>
      <c r="AN254" s="199" t="str">
        <f t="shared" si="247"/>
        <v/>
      </c>
      <c r="AO254" s="199" t="str">
        <f t="shared" si="252"/>
        <v/>
      </c>
      <c r="AP254" s="199" t="str">
        <f t="shared" si="260"/>
        <v/>
      </c>
      <c r="AQ254" s="199" t="str">
        <f t="shared" si="243"/>
        <v/>
      </c>
      <c r="AR254" s="199" t="str">
        <f t="shared" si="248"/>
        <v/>
      </c>
      <c r="AS254" s="199" t="str">
        <f t="shared" si="255"/>
        <v/>
      </c>
      <c r="AT254" s="199" t="str">
        <f t="shared" si="256"/>
        <v/>
      </c>
      <c r="AU254" s="199" t="str">
        <f t="shared" si="261"/>
        <v/>
      </c>
      <c r="AV254" s="199" t="str">
        <f t="shared" si="245"/>
        <v/>
      </c>
      <c r="AW254" s="199" t="str">
        <f t="shared" si="249"/>
        <v/>
      </c>
      <c r="AX254" s="199" t="str">
        <f t="shared" si="253"/>
        <v/>
      </c>
      <c r="AY254" s="199" t="str">
        <f t="shared" si="259"/>
        <v/>
      </c>
    </row>
    <row r="255" spans="2:51" x14ac:dyDescent="0.3">
      <c r="B255" s="236" t="str">
        <f>+'Base de Datos'!E254</f>
        <v>140313-0-2014</v>
      </c>
      <c r="C255" s="212" t="str">
        <f>+'Base de Datos'!F254</f>
        <v>M@ICROTEL LTDA</v>
      </c>
      <c r="D255" s="212">
        <f>YEAR(E255)</f>
        <v>2014</v>
      </c>
      <c r="E255" s="213">
        <f>+'Base de Datos'!M254</f>
        <v>41969</v>
      </c>
      <c r="F255" s="198">
        <f t="shared" si="203"/>
        <v>11</v>
      </c>
      <c r="G255" s="198" t="str">
        <f t="shared" si="204"/>
        <v>112014</v>
      </c>
      <c r="H255" s="198" t="str">
        <f t="shared" si="205"/>
        <v>noviembre</v>
      </c>
      <c r="I255" s="114">
        <f>VLOOKUP(B255,'Base de Datos'!$E$7:$W$271,14,0)</f>
        <v>0</v>
      </c>
      <c r="J255" s="200">
        <f t="shared" si="206"/>
        <v>1900</v>
      </c>
      <c r="K255" s="199">
        <f t="shared" si="207"/>
        <v>1</v>
      </c>
      <c r="L255" s="199" t="str">
        <f t="shared" si="208"/>
        <v>11900</v>
      </c>
      <c r="M255" s="199" t="str">
        <f t="shared" si="209"/>
        <v>enero</v>
      </c>
      <c r="N255" s="199">
        <f t="shared" ca="1" si="210"/>
        <v>44228</v>
      </c>
      <c r="O255" s="242" t="str">
        <f t="shared" ca="1" si="211"/>
        <v>SI</v>
      </c>
      <c r="P255" s="242" t="str">
        <f t="shared" si="220"/>
        <v/>
      </c>
      <c r="Q255" s="242" t="str">
        <f t="shared" si="212"/>
        <v/>
      </c>
      <c r="R255" s="242" t="str">
        <f t="shared" si="213"/>
        <v/>
      </c>
      <c r="S255" s="242" t="str">
        <f t="shared" si="214"/>
        <v/>
      </c>
      <c r="T255" s="242" t="str">
        <f t="shared" si="215"/>
        <v/>
      </c>
      <c r="U255" s="242" t="str">
        <f t="shared" si="216"/>
        <v/>
      </c>
      <c r="V255" s="242" t="str">
        <f t="shared" si="223"/>
        <v/>
      </c>
      <c r="W255" s="242" t="str">
        <f t="shared" si="217"/>
        <v/>
      </c>
      <c r="X255" s="242" t="str">
        <f t="shared" si="218"/>
        <v/>
      </c>
      <c r="Y255" s="242" t="str">
        <f t="shared" si="222"/>
        <v/>
      </c>
      <c r="Z255" s="242" t="str">
        <f t="shared" si="219"/>
        <v/>
      </c>
      <c r="AA255" s="242" t="str">
        <f t="shared" si="237"/>
        <v/>
      </c>
      <c r="AB255" s="242" t="str">
        <f t="shared" si="228"/>
        <v/>
      </c>
      <c r="AC255" s="242" t="str">
        <f t="shared" si="235"/>
        <v/>
      </c>
      <c r="AD255" s="242" t="str">
        <f t="shared" si="241"/>
        <v/>
      </c>
      <c r="AE255" s="242" t="str">
        <f t="shared" si="244"/>
        <v/>
      </c>
      <c r="AF255" s="242" t="str">
        <f t="shared" si="250"/>
        <v/>
      </c>
      <c r="AG255" s="242" t="str">
        <f t="shared" si="257"/>
        <v/>
      </c>
      <c r="AH255" s="242" t="str">
        <f t="shared" si="262"/>
        <v/>
      </c>
      <c r="AI255" s="242" t="str">
        <f t="shared" ref="AI255:AI261" si="263">IF(AND(E255&lt;$AI$2,I255&gt;$AI$2),"1","")</f>
        <v/>
      </c>
      <c r="AJ255" s="242" t="str">
        <f t="shared" si="246"/>
        <v/>
      </c>
      <c r="AK255" s="242" t="str">
        <f t="shared" si="251"/>
        <v/>
      </c>
      <c r="AL255" s="242" t="str">
        <f t="shared" si="254"/>
        <v/>
      </c>
      <c r="AM255" s="242" t="str">
        <f t="shared" si="258"/>
        <v/>
      </c>
      <c r="AN255" s="199" t="str">
        <f t="shared" si="247"/>
        <v/>
      </c>
      <c r="AO255" s="199" t="str">
        <f t="shared" si="252"/>
        <v/>
      </c>
      <c r="AP255" s="199" t="str">
        <f t="shared" si="260"/>
        <v/>
      </c>
      <c r="AQ255" s="199" t="str">
        <f t="shared" si="243"/>
        <v/>
      </c>
      <c r="AR255" s="199" t="str">
        <f t="shared" si="248"/>
        <v/>
      </c>
      <c r="AS255" s="199" t="str">
        <f t="shared" si="255"/>
        <v/>
      </c>
      <c r="AT255" s="199" t="str">
        <f t="shared" si="256"/>
        <v/>
      </c>
      <c r="AU255" s="199" t="str">
        <f t="shared" si="261"/>
        <v/>
      </c>
      <c r="AV255" s="199" t="str">
        <f t="shared" si="245"/>
        <v/>
      </c>
      <c r="AW255" s="199" t="str">
        <f t="shared" si="249"/>
        <v/>
      </c>
      <c r="AX255" s="199" t="str">
        <f t="shared" si="253"/>
        <v/>
      </c>
      <c r="AY255" s="199" t="str">
        <f t="shared" si="259"/>
        <v/>
      </c>
    </row>
    <row r="256" spans="2:51" x14ac:dyDescent="0.3">
      <c r="B256" s="236" t="str">
        <f>+'Base de Datos'!E252</f>
        <v>140334-0-2014</v>
      </c>
      <c r="C256" s="212" t="str">
        <f>+'Base de Datos'!F252</f>
        <v>EDITORIAL EL GLOBO S.A</v>
      </c>
      <c r="D256" s="212">
        <f>YEAR(E256)</f>
        <v>2014</v>
      </c>
      <c r="E256" s="213">
        <f>+'Base de Datos'!M252</f>
        <v>41970</v>
      </c>
      <c r="F256" s="198">
        <f t="shared" si="203"/>
        <v>11</v>
      </c>
      <c r="G256" s="198" t="str">
        <f t="shared" si="204"/>
        <v>112014</v>
      </c>
      <c r="H256" s="198" t="str">
        <f t="shared" si="205"/>
        <v>noviembre</v>
      </c>
      <c r="I256" s="114">
        <f>VLOOKUP(B256,'Base de Datos'!$E$7:$W$271,14,0)</f>
        <v>0</v>
      </c>
      <c r="J256" s="200">
        <f t="shared" si="206"/>
        <v>1900</v>
      </c>
      <c r="K256" s="199">
        <f t="shared" si="207"/>
        <v>1</v>
      </c>
      <c r="L256" s="199" t="str">
        <f t="shared" si="208"/>
        <v>11900</v>
      </c>
      <c r="M256" s="199" t="str">
        <f t="shared" si="209"/>
        <v>enero</v>
      </c>
      <c r="N256" s="199">
        <f t="shared" ca="1" si="210"/>
        <v>44228</v>
      </c>
      <c r="O256" s="242" t="str">
        <f t="shared" ca="1" si="211"/>
        <v>SI</v>
      </c>
      <c r="P256" s="242" t="str">
        <f t="shared" si="220"/>
        <v/>
      </c>
      <c r="Q256" s="242" t="str">
        <f t="shared" si="212"/>
        <v/>
      </c>
      <c r="R256" s="242" t="str">
        <f t="shared" si="213"/>
        <v/>
      </c>
      <c r="S256" s="242" t="str">
        <f t="shared" si="214"/>
        <v/>
      </c>
      <c r="T256" s="242" t="str">
        <f t="shared" si="215"/>
        <v/>
      </c>
      <c r="U256" s="242" t="str">
        <f t="shared" si="216"/>
        <v/>
      </c>
      <c r="V256" s="242" t="str">
        <f t="shared" si="223"/>
        <v/>
      </c>
      <c r="W256" s="242" t="str">
        <f t="shared" si="217"/>
        <v/>
      </c>
      <c r="X256" s="242" t="str">
        <f t="shared" si="218"/>
        <v/>
      </c>
      <c r="Y256" s="242" t="str">
        <f t="shared" si="222"/>
        <v/>
      </c>
      <c r="Z256" s="242" t="str">
        <f t="shared" si="219"/>
        <v/>
      </c>
      <c r="AA256" s="242" t="str">
        <f t="shared" si="237"/>
        <v/>
      </c>
      <c r="AB256" s="242" t="str">
        <f t="shared" si="228"/>
        <v/>
      </c>
      <c r="AC256" s="242" t="str">
        <f t="shared" si="235"/>
        <v/>
      </c>
      <c r="AD256" s="242" t="str">
        <f t="shared" si="241"/>
        <v/>
      </c>
      <c r="AE256" s="242" t="str">
        <f t="shared" si="244"/>
        <v/>
      </c>
      <c r="AF256" s="242" t="str">
        <f t="shared" si="250"/>
        <v/>
      </c>
      <c r="AG256" s="242" t="str">
        <f t="shared" si="257"/>
        <v/>
      </c>
      <c r="AH256" s="242" t="str">
        <f t="shared" si="262"/>
        <v/>
      </c>
      <c r="AI256" s="242" t="str">
        <f t="shared" si="263"/>
        <v/>
      </c>
      <c r="AJ256" s="242" t="str">
        <f t="shared" si="246"/>
        <v/>
      </c>
      <c r="AK256" s="242" t="str">
        <f t="shared" si="251"/>
        <v/>
      </c>
      <c r="AL256" s="242" t="str">
        <f t="shared" si="254"/>
        <v/>
      </c>
      <c r="AM256" s="242" t="str">
        <f t="shared" si="258"/>
        <v/>
      </c>
      <c r="AN256" s="199" t="str">
        <f t="shared" si="247"/>
        <v/>
      </c>
      <c r="AO256" s="199" t="str">
        <f t="shared" si="252"/>
        <v/>
      </c>
      <c r="AP256" s="199" t="str">
        <f t="shared" si="260"/>
        <v/>
      </c>
      <c r="AQ256" s="199" t="str">
        <f t="shared" si="243"/>
        <v/>
      </c>
      <c r="AR256" s="199" t="str">
        <f t="shared" si="248"/>
        <v/>
      </c>
      <c r="AS256" s="199" t="str">
        <f t="shared" si="255"/>
        <v/>
      </c>
      <c r="AT256" s="199" t="str">
        <f t="shared" si="256"/>
        <v/>
      </c>
      <c r="AU256" s="199" t="str">
        <f t="shared" si="261"/>
        <v/>
      </c>
      <c r="AV256" s="199" t="str">
        <f t="shared" si="245"/>
        <v/>
      </c>
      <c r="AW256" s="199" t="str">
        <f t="shared" si="249"/>
        <v/>
      </c>
      <c r="AX256" s="199" t="str">
        <f t="shared" si="253"/>
        <v/>
      </c>
      <c r="AY256" s="199" t="str">
        <f t="shared" si="259"/>
        <v/>
      </c>
    </row>
    <row r="257" spans="2:51" x14ac:dyDescent="0.3">
      <c r="B257" s="236" t="str">
        <f>+'Base de Datos'!E269</f>
        <v>140392-0-2014</v>
      </c>
      <c r="C257" s="212" t="str">
        <f>+'Base de Datos'!F269</f>
        <v>M@ICROTEL LTDA</v>
      </c>
      <c r="D257" s="212">
        <f>YEAR(E257)</f>
        <v>2015</v>
      </c>
      <c r="E257" s="213">
        <f>+'Base de Datos'!M269</f>
        <v>42018</v>
      </c>
      <c r="F257" s="198">
        <f t="shared" si="203"/>
        <v>1</v>
      </c>
      <c r="G257" s="198" t="str">
        <f t="shared" si="204"/>
        <v>12015</v>
      </c>
      <c r="H257" s="198" t="str">
        <f t="shared" si="205"/>
        <v>enero</v>
      </c>
      <c r="I257" s="114">
        <f>VLOOKUP(B257,'Base de Datos'!$E$7:$W$271,14,0)</f>
        <v>0</v>
      </c>
      <c r="J257" s="200">
        <f t="shared" si="206"/>
        <v>1900</v>
      </c>
      <c r="K257" s="199">
        <f t="shared" si="207"/>
        <v>1</v>
      </c>
      <c r="L257" s="199" t="str">
        <f t="shared" si="208"/>
        <v>11900</v>
      </c>
      <c r="M257" s="199" t="str">
        <f t="shared" si="209"/>
        <v>enero</v>
      </c>
      <c r="N257" s="199">
        <f t="shared" ca="1" si="210"/>
        <v>44228</v>
      </c>
      <c r="O257" s="242" t="str">
        <f t="shared" ca="1" si="211"/>
        <v>SI</v>
      </c>
      <c r="P257" s="242" t="str">
        <f t="shared" si="220"/>
        <v/>
      </c>
      <c r="Q257" s="242" t="str">
        <f t="shared" si="212"/>
        <v/>
      </c>
      <c r="R257" s="242" t="str">
        <f t="shared" si="213"/>
        <v/>
      </c>
      <c r="S257" s="242" t="str">
        <f t="shared" si="214"/>
        <v/>
      </c>
      <c r="T257" s="242" t="str">
        <f t="shared" si="215"/>
        <v/>
      </c>
      <c r="U257" s="242" t="str">
        <f t="shared" si="216"/>
        <v/>
      </c>
      <c r="V257" s="242" t="str">
        <f t="shared" si="223"/>
        <v/>
      </c>
      <c r="W257" s="242" t="str">
        <f t="shared" si="217"/>
        <v/>
      </c>
      <c r="X257" s="242" t="str">
        <f t="shared" si="218"/>
        <v/>
      </c>
      <c r="Y257" s="242" t="str">
        <f t="shared" si="222"/>
        <v/>
      </c>
      <c r="Z257" s="242" t="str">
        <f t="shared" si="219"/>
        <v/>
      </c>
      <c r="AA257" s="242" t="str">
        <f t="shared" si="237"/>
        <v/>
      </c>
      <c r="AB257" s="242" t="str">
        <f t="shared" si="228"/>
        <v/>
      </c>
      <c r="AC257" s="242" t="str">
        <f t="shared" si="235"/>
        <v/>
      </c>
      <c r="AD257" s="242" t="str">
        <f t="shared" si="241"/>
        <v/>
      </c>
      <c r="AE257" s="242" t="str">
        <f t="shared" si="244"/>
        <v/>
      </c>
      <c r="AF257" s="242" t="str">
        <f t="shared" si="250"/>
        <v/>
      </c>
      <c r="AG257" s="242" t="str">
        <f t="shared" si="257"/>
        <v/>
      </c>
      <c r="AH257" s="242" t="str">
        <f t="shared" si="262"/>
        <v/>
      </c>
      <c r="AI257" s="242" t="str">
        <f t="shared" si="263"/>
        <v/>
      </c>
      <c r="AJ257" s="242" t="str">
        <f t="shared" si="246"/>
        <v/>
      </c>
      <c r="AK257" s="242" t="str">
        <f t="shared" si="251"/>
        <v/>
      </c>
      <c r="AL257" s="242" t="str">
        <f t="shared" si="254"/>
        <v/>
      </c>
      <c r="AM257" s="242" t="str">
        <f t="shared" si="258"/>
        <v/>
      </c>
      <c r="AN257" s="199" t="str">
        <f t="shared" si="247"/>
        <v/>
      </c>
      <c r="AO257" s="199" t="str">
        <f t="shared" si="252"/>
        <v/>
      </c>
      <c r="AP257" s="199" t="str">
        <f t="shared" si="260"/>
        <v/>
      </c>
      <c r="AQ257" s="199" t="str">
        <f t="shared" si="243"/>
        <v/>
      </c>
      <c r="AR257" s="199" t="str">
        <f t="shared" si="248"/>
        <v/>
      </c>
      <c r="AS257" s="199" t="str">
        <f t="shared" si="255"/>
        <v/>
      </c>
      <c r="AT257" s="199" t="str">
        <f t="shared" si="256"/>
        <v/>
      </c>
      <c r="AU257" s="199" t="str">
        <f t="shared" si="261"/>
        <v/>
      </c>
      <c r="AV257" s="199" t="str">
        <f t="shared" si="245"/>
        <v/>
      </c>
      <c r="AW257" s="199" t="str">
        <f t="shared" si="249"/>
        <v/>
      </c>
      <c r="AX257" s="199" t="str">
        <f t="shared" si="253"/>
        <v/>
      </c>
      <c r="AY257" s="199" t="str">
        <f t="shared" si="259"/>
        <v/>
      </c>
    </row>
    <row r="258" spans="2:51" x14ac:dyDescent="0.3">
      <c r="B258" s="225" t="s">
        <v>258</v>
      </c>
      <c r="C258" s="120" t="s">
        <v>259</v>
      </c>
      <c r="D258" s="139">
        <v>2013</v>
      </c>
      <c r="E258" s="124">
        <v>41696</v>
      </c>
      <c r="F258" s="198">
        <f t="shared" si="203"/>
        <v>2</v>
      </c>
      <c r="G258" s="198" t="str">
        <f t="shared" si="204"/>
        <v>22013</v>
      </c>
      <c r="H258" s="198" t="str">
        <f t="shared" si="205"/>
        <v>febrero</v>
      </c>
      <c r="I258" s="114">
        <f>VLOOKUP(B258,'Base de Datos'!$E$7:$W$271,14,0)</f>
        <v>0</v>
      </c>
      <c r="J258" s="200">
        <f t="shared" si="206"/>
        <v>1900</v>
      </c>
      <c r="K258" s="199">
        <f t="shared" si="207"/>
        <v>1</v>
      </c>
      <c r="L258" s="199" t="str">
        <f t="shared" si="208"/>
        <v>11900</v>
      </c>
      <c r="M258" s="199" t="str">
        <f t="shared" si="209"/>
        <v>enero</v>
      </c>
      <c r="N258" s="199">
        <f t="shared" ca="1" si="210"/>
        <v>44228</v>
      </c>
      <c r="O258" s="242" t="str">
        <f t="shared" ca="1" si="211"/>
        <v>SI</v>
      </c>
      <c r="P258" s="242" t="str">
        <f t="shared" si="220"/>
        <v/>
      </c>
      <c r="Q258" s="242" t="str">
        <f t="shared" si="212"/>
        <v/>
      </c>
      <c r="R258" s="242" t="str">
        <f t="shared" si="213"/>
        <v/>
      </c>
      <c r="S258" s="242" t="str">
        <f t="shared" si="214"/>
        <v/>
      </c>
      <c r="T258" s="242" t="str">
        <f t="shared" si="215"/>
        <v/>
      </c>
      <c r="U258" s="242" t="str">
        <f t="shared" si="216"/>
        <v/>
      </c>
      <c r="V258" s="242" t="str">
        <f t="shared" si="223"/>
        <v/>
      </c>
      <c r="W258" s="242" t="str">
        <f t="shared" si="217"/>
        <v/>
      </c>
      <c r="X258" s="242" t="str">
        <f t="shared" si="218"/>
        <v/>
      </c>
      <c r="Y258" s="242" t="str">
        <f t="shared" si="222"/>
        <v/>
      </c>
      <c r="Z258" s="242" t="str">
        <f t="shared" si="219"/>
        <v/>
      </c>
      <c r="AA258" s="242" t="str">
        <f t="shared" si="237"/>
        <v/>
      </c>
      <c r="AB258" s="242" t="str">
        <f t="shared" si="228"/>
        <v/>
      </c>
      <c r="AC258" s="242" t="str">
        <f t="shared" si="235"/>
        <v/>
      </c>
      <c r="AD258" s="242" t="str">
        <f t="shared" si="241"/>
        <v/>
      </c>
      <c r="AE258" s="242" t="str">
        <f t="shared" si="244"/>
        <v/>
      </c>
      <c r="AF258" s="242" t="str">
        <f t="shared" si="250"/>
        <v/>
      </c>
      <c r="AG258" s="242" t="str">
        <f t="shared" si="257"/>
        <v/>
      </c>
      <c r="AH258" s="242" t="str">
        <f t="shared" si="262"/>
        <v/>
      </c>
      <c r="AI258" s="242" t="str">
        <f t="shared" si="263"/>
        <v/>
      </c>
      <c r="AJ258" s="242" t="str">
        <f t="shared" si="246"/>
        <v/>
      </c>
      <c r="AK258" s="242" t="str">
        <f t="shared" si="251"/>
        <v/>
      </c>
      <c r="AL258" s="242" t="str">
        <f t="shared" si="254"/>
        <v/>
      </c>
      <c r="AM258" s="242" t="str">
        <f t="shared" si="258"/>
        <v/>
      </c>
      <c r="AN258" s="199" t="str">
        <f t="shared" si="247"/>
        <v/>
      </c>
      <c r="AO258" s="199" t="str">
        <f t="shared" si="252"/>
        <v/>
      </c>
      <c r="AP258" s="199" t="str">
        <f t="shared" si="260"/>
        <v/>
      </c>
      <c r="AQ258" s="199" t="str">
        <f t="shared" si="243"/>
        <v/>
      </c>
      <c r="AR258" s="199" t="str">
        <f t="shared" si="248"/>
        <v/>
      </c>
      <c r="AS258" s="199" t="str">
        <f t="shared" si="255"/>
        <v/>
      </c>
      <c r="AT258" s="199" t="str">
        <f t="shared" si="256"/>
        <v/>
      </c>
      <c r="AU258" s="199" t="str">
        <f t="shared" si="261"/>
        <v/>
      </c>
      <c r="AV258" s="199" t="str">
        <f t="shared" si="245"/>
        <v/>
      </c>
      <c r="AW258" s="199" t="str">
        <f t="shared" si="249"/>
        <v/>
      </c>
      <c r="AX258" s="199" t="str">
        <f t="shared" si="253"/>
        <v/>
      </c>
      <c r="AY258" s="199" t="str">
        <f t="shared" si="259"/>
        <v/>
      </c>
    </row>
    <row r="259" spans="2:51" x14ac:dyDescent="0.3">
      <c r="B259" s="236" t="str">
        <f>+'Base de Datos'!E255</f>
        <v>140332-0-2014</v>
      </c>
      <c r="C259" s="212" t="str">
        <f>+'Base de Datos'!F255</f>
        <v>CARLOS ALBERTO CASTELLANOS MEDINA</v>
      </c>
      <c r="D259" s="212">
        <f>YEAR(E259)</f>
        <v>2014</v>
      </c>
      <c r="E259" s="213">
        <f>+'Base de Datos'!M255</f>
        <v>41957</v>
      </c>
      <c r="F259" s="198">
        <f>MONTH(E259)</f>
        <v>11</v>
      </c>
      <c r="G259" s="198" t="str">
        <f>CONCATENATE(F259,D259)</f>
        <v>112014</v>
      </c>
      <c r="H259" s="198" t="str">
        <f t="shared" si="205"/>
        <v>noviembre</v>
      </c>
      <c r="I259" s="114">
        <f>VLOOKUP(B259,'Base de Datos'!$E$7:$W$271,14,0)</f>
        <v>0</v>
      </c>
      <c r="J259" s="200">
        <f>YEAR(I259)</f>
        <v>1900</v>
      </c>
      <c r="K259" s="199">
        <f t="shared" si="207"/>
        <v>1</v>
      </c>
      <c r="L259" s="199" t="str">
        <f>CONCATENATE(K259,J259)</f>
        <v>11900</v>
      </c>
      <c r="M259" s="199" t="str">
        <f t="shared" si="209"/>
        <v>enero</v>
      </c>
      <c r="N259" s="199">
        <f t="shared" ca="1" si="210"/>
        <v>44228</v>
      </c>
      <c r="O259" s="242" t="str">
        <f ca="1">IF(N259&gt;0,"SI","NO")</f>
        <v>SI</v>
      </c>
      <c r="P259" s="242" t="str">
        <f t="shared" si="220"/>
        <v/>
      </c>
      <c r="Q259" s="242" t="str">
        <f t="shared" si="212"/>
        <v/>
      </c>
      <c r="R259" s="242" t="str">
        <f t="shared" si="213"/>
        <v/>
      </c>
      <c r="S259" s="242" t="str">
        <f t="shared" si="214"/>
        <v/>
      </c>
      <c r="T259" s="242" t="str">
        <f t="shared" si="215"/>
        <v/>
      </c>
      <c r="U259" s="242" t="str">
        <f t="shared" si="216"/>
        <v/>
      </c>
      <c r="V259" s="242" t="str">
        <f t="shared" si="223"/>
        <v/>
      </c>
      <c r="W259" s="242" t="str">
        <f t="shared" si="217"/>
        <v/>
      </c>
      <c r="X259" s="242" t="str">
        <f t="shared" si="218"/>
        <v/>
      </c>
      <c r="Y259" s="242" t="str">
        <f t="shared" si="222"/>
        <v/>
      </c>
      <c r="Z259" s="242" t="str">
        <f t="shared" si="219"/>
        <v/>
      </c>
      <c r="AA259" s="242" t="str">
        <f t="shared" si="237"/>
        <v/>
      </c>
      <c r="AB259" s="242" t="str">
        <f t="shared" si="228"/>
        <v/>
      </c>
      <c r="AC259" s="242" t="str">
        <f t="shared" si="235"/>
        <v/>
      </c>
      <c r="AD259" s="242" t="str">
        <f t="shared" si="241"/>
        <v/>
      </c>
      <c r="AE259" s="242" t="str">
        <f t="shared" si="244"/>
        <v/>
      </c>
      <c r="AF259" s="242" t="str">
        <f t="shared" si="250"/>
        <v/>
      </c>
      <c r="AG259" s="242" t="str">
        <f t="shared" si="257"/>
        <v/>
      </c>
      <c r="AH259" s="242" t="str">
        <f t="shared" si="262"/>
        <v/>
      </c>
      <c r="AI259" s="242" t="str">
        <f t="shared" si="263"/>
        <v/>
      </c>
      <c r="AJ259" s="242" t="str">
        <f t="shared" si="246"/>
        <v/>
      </c>
      <c r="AK259" s="242" t="str">
        <f t="shared" si="251"/>
        <v/>
      </c>
      <c r="AL259" s="242" t="str">
        <f t="shared" si="254"/>
        <v/>
      </c>
      <c r="AM259" s="242" t="str">
        <f t="shared" si="258"/>
        <v/>
      </c>
      <c r="AN259" s="199" t="str">
        <f t="shared" si="247"/>
        <v/>
      </c>
      <c r="AO259" s="199" t="str">
        <f t="shared" si="252"/>
        <v/>
      </c>
      <c r="AP259" s="199" t="str">
        <f t="shared" si="260"/>
        <v/>
      </c>
      <c r="AQ259" s="199" t="str">
        <f t="shared" si="243"/>
        <v/>
      </c>
      <c r="AR259" s="199" t="str">
        <f t="shared" si="248"/>
        <v/>
      </c>
      <c r="AS259" s="199" t="str">
        <f t="shared" si="255"/>
        <v/>
      </c>
      <c r="AT259" s="199" t="str">
        <f t="shared" si="256"/>
        <v/>
      </c>
      <c r="AU259" s="199" t="str">
        <f t="shared" si="261"/>
        <v/>
      </c>
      <c r="AV259" s="199" t="str">
        <f t="shared" si="245"/>
        <v/>
      </c>
      <c r="AW259" s="199" t="str">
        <f t="shared" si="249"/>
        <v/>
      </c>
      <c r="AX259" s="199" t="str">
        <f t="shared" si="253"/>
        <v/>
      </c>
      <c r="AY259" s="199" t="str">
        <f t="shared" si="259"/>
        <v/>
      </c>
    </row>
    <row r="260" spans="2:51" x14ac:dyDescent="0.3">
      <c r="B260" s="236" t="str">
        <f>+'Base de Datos'!E268</f>
        <v>140422-0-2014</v>
      </c>
      <c r="C260" s="212" t="str">
        <f>+'Base de Datos'!F268</f>
        <v>ICETEX</v>
      </c>
      <c r="D260" s="212">
        <f>YEAR(E260)</f>
        <v>2014</v>
      </c>
      <c r="E260" s="213">
        <f>+'Base de Datos'!M268</f>
        <v>42002</v>
      </c>
      <c r="F260" s="198">
        <f>MONTH(E260)</f>
        <v>12</v>
      </c>
      <c r="G260" s="198" t="str">
        <f>CONCATENATE(F260,D260)</f>
        <v>122014</v>
      </c>
      <c r="H260" s="198" t="str">
        <f t="shared" si="205"/>
        <v>diciembre</v>
      </c>
      <c r="I260" s="114">
        <f>VLOOKUP(B260,'Base de Datos'!$E$7:$W$271,14,0)</f>
        <v>1</v>
      </c>
      <c r="J260" s="200">
        <f>YEAR(I260)</f>
        <v>1900</v>
      </c>
      <c r="K260" s="199">
        <f t="shared" si="207"/>
        <v>1</v>
      </c>
      <c r="L260" s="199" t="str">
        <f>CONCATENATE(K260,J260)</f>
        <v>11900</v>
      </c>
      <c r="M260" s="199" t="str">
        <f t="shared" si="209"/>
        <v>enero</v>
      </c>
      <c r="N260" s="199">
        <f t="shared" ca="1" si="210"/>
        <v>44227</v>
      </c>
      <c r="O260" s="242" t="str">
        <f ca="1">IF(N260&gt;0,"SI","NO")</f>
        <v>SI</v>
      </c>
      <c r="P260" s="242" t="str">
        <f t="shared" si="220"/>
        <v/>
      </c>
      <c r="Q260" s="242" t="str">
        <f t="shared" si="212"/>
        <v/>
      </c>
      <c r="R260" s="242" t="str">
        <f t="shared" si="213"/>
        <v/>
      </c>
      <c r="S260" s="242" t="str">
        <f t="shared" si="214"/>
        <v/>
      </c>
      <c r="T260" s="242" t="str">
        <f t="shared" si="215"/>
        <v/>
      </c>
      <c r="U260" s="242" t="str">
        <f t="shared" si="216"/>
        <v/>
      </c>
      <c r="V260" s="242" t="str">
        <f t="shared" si="223"/>
        <v/>
      </c>
      <c r="W260" s="242" t="str">
        <f t="shared" si="217"/>
        <v/>
      </c>
      <c r="X260" s="242" t="str">
        <f t="shared" si="218"/>
        <v/>
      </c>
      <c r="Y260" s="242" t="str">
        <f t="shared" si="222"/>
        <v/>
      </c>
      <c r="Z260" s="242" t="str">
        <f t="shared" si="219"/>
        <v/>
      </c>
      <c r="AA260" s="242" t="str">
        <f t="shared" si="237"/>
        <v/>
      </c>
      <c r="AB260" s="242" t="str">
        <f t="shared" si="228"/>
        <v/>
      </c>
      <c r="AC260" s="242" t="str">
        <f t="shared" si="235"/>
        <v/>
      </c>
      <c r="AD260" s="242" t="str">
        <f t="shared" si="241"/>
        <v/>
      </c>
      <c r="AE260" s="242" t="str">
        <f t="shared" si="244"/>
        <v/>
      </c>
      <c r="AF260" s="242" t="str">
        <f t="shared" si="250"/>
        <v/>
      </c>
      <c r="AG260" s="242" t="str">
        <f t="shared" si="257"/>
        <v/>
      </c>
      <c r="AH260" s="242" t="str">
        <f t="shared" si="262"/>
        <v/>
      </c>
      <c r="AI260" s="242" t="str">
        <f t="shared" si="263"/>
        <v/>
      </c>
      <c r="AJ260" s="242" t="str">
        <f t="shared" si="246"/>
        <v/>
      </c>
      <c r="AK260" s="242" t="str">
        <f t="shared" si="251"/>
        <v/>
      </c>
      <c r="AL260" s="242" t="str">
        <f t="shared" si="254"/>
        <v/>
      </c>
      <c r="AM260" s="242" t="str">
        <f t="shared" si="258"/>
        <v/>
      </c>
      <c r="AN260" s="199" t="str">
        <f t="shared" si="247"/>
        <v/>
      </c>
      <c r="AO260" s="199" t="str">
        <f t="shared" si="252"/>
        <v/>
      </c>
      <c r="AP260" s="199" t="str">
        <f t="shared" si="260"/>
        <v/>
      </c>
      <c r="AQ260" s="199" t="str">
        <f t="shared" si="243"/>
        <v/>
      </c>
      <c r="AR260" s="199" t="str">
        <f t="shared" si="248"/>
        <v/>
      </c>
      <c r="AS260" s="199" t="str">
        <f t="shared" si="255"/>
        <v/>
      </c>
      <c r="AT260" s="199" t="str">
        <f t="shared" si="256"/>
        <v/>
      </c>
      <c r="AU260" s="199" t="str">
        <f t="shared" si="261"/>
        <v/>
      </c>
      <c r="AV260" s="199" t="str">
        <f t="shared" si="245"/>
        <v/>
      </c>
      <c r="AW260" s="199" t="str">
        <f t="shared" si="249"/>
        <v/>
      </c>
      <c r="AX260" s="199" t="str">
        <f t="shared" si="253"/>
        <v/>
      </c>
      <c r="AY260" s="199" t="str">
        <f t="shared" si="259"/>
        <v/>
      </c>
    </row>
    <row r="261" spans="2:51" ht="21" thickBot="1" x14ac:dyDescent="0.35">
      <c r="B261" s="378" t="s">
        <v>1177</v>
      </c>
      <c r="C261" s="382" t="s">
        <v>1025</v>
      </c>
      <c r="D261" s="383">
        <v>2012</v>
      </c>
      <c r="E261" s="386">
        <v>41248</v>
      </c>
      <c r="F261" s="237">
        <f>MONTH(E261)</f>
        <v>12</v>
      </c>
      <c r="G261" s="237" t="str">
        <f>CONCATENATE(F261,D261)</f>
        <v>122012</v>
      </c>
      <c r="H261" s="237" t="str">
        <f t="shared" si="205"/>
        <v>diciembre</v>
      </c>
      <c r="I261" s="238" t="e">
        <f>VLOOKUP(B261,'Base de Datos'!$E$7:$W$271,14,0)</f>
        <v>#N/A</v>
      </c>
      <c r="J261" s="239" t="e">
        <f>YEAR(I261)</f>
        <v>#N/A</v>
      </c>
      <c r="K261" s="240" t="e">
        <f t="shared" si="207"/>
        <v>#N/A</v>
      </c>
      <c r="L261" s="240" t="e">
        <f>CONCATENATE(K261,J261)</f>
        <v>#N/A</v>
      </c>
      <c r="M261" s="240" t="e">
        <f t="shared" si="209"/>
        <v>#N/A</v>
      </c>
      <c r="N261" s="240" t="e">
        <f t="shared" ca="1" si="210"/>
        <v>#N/A</v>
      </c>
      <c r="O261" s="243" t="e">
        <f ca="1">IF(N261&gt;0,"SI","NO")</f>
        <v>#N/A</v>
      </c>
      <c r="P261" s="242" t="e">
        <f t="shared" si="220"/>
        <v>#N/A</v>
      </c>
      <c r="Q261" s="242" t="e">
        <f t="shared" si="212"/>
        <v>#N/A</v>
      </c>
      <c r="R261" s="242" t="e">
        <f t="shared" si="213"/>
        <v>#N/A</v>
      </c>
      <c r="S261" s="242" t="e">
        <f t="shared" si="214"/>
        <v>#N/A</v>
      </c>
      <c r="T261" s="242" t="e">
        <f t="shared" si="215"/>
        <v>#N/A</v>
      </c>
      <c r="U261" s="242" t="e">
        <f t="shared" si="216"/>
        <v>#N/A</v>
      </c>
      <c r="V261" s="242" t="e">
        <f t="shared" si="223"/>
        <v>#N/A</v>
      </c>
      <c r="W261" s="242" t="e">
        <f t="shared" si="217"/>
        <v>#N/A</v>
      </c>
      <c r="X261" s="242" t="e">
        <f t="shared" si="218"/>
        <v>#N/A</v>
      </c>
      <c r="Y261" s="242" t="e">
        <f t="shared" si="222"/>
        <v>#N/A</v>
      </c>
      <c r="Z261" s="242" t="e">
        <f t="shared" si="219"/>
        <v>#N/A</v>
      </c>
      <c r="AA261" s="242" t="e">
        <f t="shared" si="237"/>
        <v>#N/A</v>
      </c>
      <c r="AB261" s="242" t="e">
        <f t="shared" si="228"/>
        <v>#N/A</v>
      </c>
      <c r="AC261" s="242" t="e">
        <f t="shared" si="235"/>
        <v>#N/A</v>
      </c>
      <c r="AD261" s="242" t="e">
        <f t="shared" si="241"/>
        <v>#N/A</v>
      </c>
      <c r="AE261" s="242" t="e">
        <f t="shared" si="244"/>
        <v>#N/A</v>
      </c>
      <c r="AF261" s="242" t="e">
        <f t="shared" si="250"/>
        <v>#N/A</v>
      </c>
      <c r="AG261" s="242" t="e">
        <f t="shared" si="257"/>
        <v>#N/A</v>
      </c>
      <c r="AH261" s="242" t="e">
        <f t="shared" si="262"/>
        <v>#N/A</v>
      </c>
      <c r="AI261" s="242" t="e">
        <f t="shared" si="263"/>
        <v>#N/A</v>
      </c>
      <c r="AJ261" s="242" t="e">
        <f t="shared" si="246"/>
        <v>#N/A</v>
      </c>
      <c r="AK261" s="242" t="e">
        <f t="shared" si="251"/>
        <v>#N/A</v>
      </c>
      <c r="AL261" s="242" t="e">
        <f t="shared" si="254"/>
        <v>#N/A</v>
      </c>
      <c r="AM261" s="242" t="e">
        <f t="shared" si="258"/>
        <v>#N/A</v>
      </c>
      <c r="AN261" s="199" t="e">
        <f t="shared" si="247"/>
        <v>#N/A</v>
      </c>
      <c r="AO261" s="199" t="e">
        <f t="shared" si="252"/>
        <v>#N/A</v>
      </c>
      <c r="AP261" s="199" t="e">
        <f t="shared" si="260"/>
        <v>#N/A</v>
      </c>
      <c r="AQ261" s="199" t="e">
        <f t="shared" si="243"/>
        <v>#N/A</v>
      </c>
      <c r="AR261" s="199" t="e">
        <f t="shared" si="248"/>
        <v>#N/A</v>
      </c>
      <c r="AS261" s="199" t="e">
        <f t="shared" si="255"/>
        <v>#N/A</v>
      </c>
      <c r="AT261" s="199" t="e">
        <f t="shared" si="256"/>
        <v>#N/A</v>
      </c>
      <c r="AU261" s="199" t="e">
        <f t="shared" si="261"/>
        <v>#N/A</v>
      </c>
      <c r="AV261" s="199" t="e">
        <f t="shared" si="245"/>
        <v>#N/A</v>
      </c>
      <c r="AW261" s="199" t="e">
        <f t="shared" si="249"/>
        <v>#N/A</v>
      </c>
      <c r="AX261" s="199" t="e">
        <f t="shared" si="253"/>
        <v>#N/A</v>
      </c>
      <c r="AY261" s="199" t="e">
        <f t="shared" si="259"/>
        <v>#N/A</v>
      </c>
    </row>
    <row r="267" spans="2:51" x14ac:dyDescent="0.3">
      <c r="K267" s="246"/>
    </row>
    <row r="276" spans="34:52" x14ac:dyDescent="0.3">
      <c r="AH276" s="1215">
        <v>2012</v>
      </c>
      <c r="AI276" s="1215"/>
      <c r="AK276" s="1215">
        <v>2013</v>
      </c>
      <c r="AL276" s="1215"/>
      <c r="AN276" s="1215">
        <v>2014</v>
      </c>
      <c r="AO276" s="1215"/>
    </row>
    <row r="277" spans="34:52" x14ac:dyDescent="0.3">
      <c r="AH277" s="199" t="s">
        <v>1271</v>
      </c>
      <c r="AI277" s="199" t="s">
        <v>1270</v>
      </c>
      <c r="AK277" s="199" t="s">
        <v>1271</v>
      </c>
      <c r="AL277" s="199" t="s">
        <v>1270</v>
      </c>
      <c r="AN277" s="199" t="s">
        <v>1271</v>
      </c>
      <c r="AO277" s="199" t="s">
        <v>1270</v>
      </c>
    </row>
    <row r="278" spans="34:52" x14ac:dyDescent="0.3">
      <c r="AH278" s="199" t="s">
        <v>1257</v>
      </c>
      <c r="AI278" s="199">
        <f>COUNTIF(P3:P261,1)</f>
        <v>1</v>
      </c>
      <c r="AK278" s="199" t="s">
        <v>1257</v>
      </c>
      <c r="AL278" s="199">
        <f>COUNTIF(AB3:AB261,1)</f>
        <v>1</v>
      </c>
      <c r="AN278" s="199" t="s">
        <v>1257</v>
      </c>
      <c r="AO278" s="199">
        <f>COUNTIF(AN3:AN261,1)</f>
        <v>16</v>
      </c>
      <c r="AZ278" s="219"/>
    </row>
    <row r="279" spans="34:52" x14ac:dyDescent="0.3">
      <c r="AH279" s="199" t="s">
        <v>1258</v>
      </c>
      <c r="AI279" s="199">
        <f>COUNTIF(Q3:Q261,1)</f>
        <v>0</v>
      </c>
      <c r="AK279" s="199" t="s">
        <v>1258</v>
      </c>
      <c r="AL279" s="199">
        <f>COUNTIF(AC3:AC261,1)</f>
        <v>10</v>
      </c>
      <c r="AN279" s="199" t="s">
        <v>1258</v>
      </c>
      <c r="AO279" s="199">
        <f>COUNTIF(AO3:AO261,1)</f>
        <v>10</v>
      </c>
    </row>
    <row r="280" spans="34:52" x14ac:dyDescent="0.3">
      <c r="AH280" s="199" t="s">
        <v>1259</v>
      </c>
      <c r="AI280" s="199">
        <f>COUNTIF(R3:R261,1)</f>
        <v>0</v>
      </c>
      <c r="AK280" s="199" t="s">
        <v>1259</v>
      </c>
      <c r="AL280" s="199">
        <f>COUNTIF(AD3:AD261,1)</f>
        <v>9</v>
      </c>
      <c r="AN280" s="199" t="s">
        <v>1259</v>
      </c>
      <c r="AO280" s="199">
        <f>COUNTIF(AP3:AP261,1)</f>
        <v>10</v>
      </c>
    </row>
    <row r="281" spans="34:52" x14ac:dyDescent="0.3">
      <c r="AH281" s="199" t="s">
        <v>1260</v>
      </c>
      <c r="AI281" s="199">
        <f>COUNTIF(S3:S261,1)</f>
        <v>0</v>
      </c>
      <c r="AK281" s="199" t="s">
        <v>1260</v>
      </c>
      <c r="AL281" s="199">
        <f>COUNTIF(AE3:AE261,1)</f>
        <v>5</v>
      </c>
      <c r="AN281" s="199" t="s">
        <v>1260</v>
      </c>
      <c r="AO281" s="199">
        <f>COUNTIF(AQ3:AQ261,1)</f>
        <v>9</v>
      </c>
    </row>
    <row r="282" spans="34:52" x14ac:dyDescent="0.3">
      <c r="AH282" s="199" t="s">
        <v>1261</v>
      </c>
      <c r="AI282" s="199">
        <f>COUNTIF(T4:T262,1)</f>
        <v>0</v>
      </c>
      <c r="AK282" s="199" t="s">
        <v>1261</v>
      </c>
      <c r="AL282" s="199">
        <f>COUNTIF(AF3:AF261,1)</f>
        <v>8</v>
      </c>
      <c r="AN282" s="199" t="s">
        <v>1261</v>
      </c>
      <c r="AO282" s="199">
        <f>COUNTIF(AR3:AR261,1)</f>
        <v>5</v>
      </c>
    </row>
    <row r="283" spans="34:52" x14ac:dyDescent="0.3">
      <c r="AH283" s="199" t="s">
        <v>1262</v>
      </c>
      <c r="AI283" s="199">
        <f>COUNTIF(U3:U61,1)</f>
        <v>0</v>
      </c>
      <c r="AK283" s="199" t="s">
        <v>1262</v>
      </c>
      <c r="AL283" s="199">
        <f>COUNTIF(AG3:AG261,1)</f>
        <v>10</v>
      </c>
      <c r="AN283" s="199" t="s">
        <v>1262</v>
      </c>
      <c r="AO283" s="199">
        <f>COUNTIF(AS3:AS261,1)</f>
        <v>9</v>
      </c>
    </row>
    <row r="284" spans="34:52" x14ac:dyDescent="0.3">
      <c r="AH284" s="199" t="s">
        <v>1263</v>
      </c>
      <c r="AI284" s="199">
        <f>COUNTIF(V3:V261,1)</f>
        <v>2</v>
      </c>
      <c r="AK284" s="199" t="s">
        <v>1263</v>
      </c>
      <c r="AL284" s="199">
        <f>COUNTIF(AH3:AH261,1)</f>
        <v>7</v>
      </c>
      <c r="AN284" s="199" t="s">
        <v>1263</v>
      </c>
      <c r="AO284" s="199">
        <f>COUNTIF(AT3:AT261,1)</f>
        <v>3</v>
      </c>
    </row>
    <row r="285" spans="34:52" x14ac:dyDescent="0.3">
      <c r="AH285" s="199" t="s">
        <v>1264</v>
      </c>
      <c r="AI285" s="199">
        <f>COUNTIF(W3:W261,1)</f>
        <v>0</v>
      </c>
      <c r="AK285" s="199" t="s">
        <v>1264</v>
      </c>
      <c r="AL285" s="199">
        <f>COUNTIF(AI3:AI261,1)</f>
        <v>4</v>
      </c>
      <c r="AN285" s="199" t="s">
        <v>1264</v>
      </c>
      <c r="AO285" s="199">
        <f>COUNTIF(AU3:AU261,1)</f>
        <v>7</v>
      </c>
    </row>
    <row r="286" spans="34:52" x14ac:dyDescent="0.3">
      <c r="AH286" s="199" t="s">
        <v>1265</v>
      </c>
      <c r="AI286" s="199">
        <f>COUNTIF(X3:X261,1)</f>
        <v>0</v>
      </c>
      <c r="AK286" s="199" t="s">
        <v>1265</v>
      </c>
      <c r="AL286" s="199">
        <f>COUNTIF(AJ3:AJ261,1)</f>
        <v>8</v>
      </c>
      <c r="AN286" s="199" t="s">
        <v>1265</v>
      </c>
      <c r="AO286" s="199">
        <f>COUNTIF(AV3:AV261,1)</f>
        <v>10</v>
      </c>
    </row>
    <row r="287" spans="34:52" x14ac:dyDescent="0.3">
      <c r="AH287" s="199" t="s">
        <v>1266</v>
      </c>
      <c r="AI287" s="199">
        <f>COUNTIF(Y3:Y261,1)</f>
        <v>1</v>
      </c>
      <c r="AK287" s="199" t="s">
        <v>1266</v>
      </c>
      <c r="AL287" s="199">
        <f>COUNTIF(AK3:AK261,1)</f>
        <v>6</v>
      </c>
      <c r="AN287" s="199" t="s">
        <v>1266</v>
      </c>
      <c r="AO287" s="199">
        <f>COUNTIF(AW3:AW261,1)</f>
        <v>5</v>
      </c>
    </row>
    <row r="288" spans="34:52" x14ac:dyDescent="0.3">
      <c r="AH288" s="199" t="s">
        <v>1267</v>
      </c>
      <c r="AI288" s="199">
        <f>COUNTIF(Z3:Z261,1)</f>
        <v>0</v>
      </c>
      <c r="AK288" s="199" t="s">
        <v>1267</v>
      </c>
      <c r="AL288" s="199">
        <f>COUNTIF(AL3:AL261,1)</f>
        <v>4</v>
      </c>
      <c r="AN288" s="199" t="s">
        <v>1267</v>
      </c>
      <c r="AO288" s="199">
        <f>COUNTIF(AX3:AX261,1)</f>
        <v>6</v>
      </c>
    </row>
    <row r="289" spans="34:41" x14ac:dyDescent="0.3">
      <c r="AH289" s="199" t="s">
        <v>1268</v>
      </c>
      <c r="AI289" s="199">
        <f>COUNTIF(AA3:AA261,1)</f>
        <v>3</v>
      </c>
      <c r="AK289" s="199" t="s">
        <v>1268</v>
      </c>
      <c r="AL289" s="199">
        <f>COUNTIF(AM3:AM261,1)</f>
        <v>5</v>
      </c>
      <c r="AN289" s="199" t="s">
        <v>1268</v>
      </c>
      <c r="AO289" s="199">
        <f>COUNTIF(AY3:AY261,1)</f>
        <v>5</v>
      </c>
    </row>
  </sheetData>
  <autoFilter ref="B2:AY261" xr:uid="{00000000-0009-0000-0000-000009000000}">
    <sortState xmlns:xlrd2="http://schemas.microsoft.com/office/spreadsheetml/2017/richdata2" ref="B4:AY261">
      <sortCondition ref="I2:I261"/>
    </sortState>
  </autoFilter>
  <mergeCells count="10">
    <mergeCell ref="B1:B2"/>
    <mergeCell ref="C1:C2"/>
    <mergeCell ref="D1:H1"/>
    <mergeCell ref="I1:N1"/>
    <mergeCell ref="AN1:AY1"/>
    <mergeCell ref="AN276:AO276"/>
    <mergeCell ref="AB1:AM1"/>
    <mergeCell ref="P1:AA1"/>
    <mergeCell ref="AH276:AI276"/>
    <mergeCell ref="AK276:AL276"/>
  </mergeCells>
  <dataValidations count="1">
    <dataValidation allowBlank="1" showInputMessage="1" showErrorMessage="1" prompt="Corresponde al año de suscripción del contrato_x000a_" sqref="D2" xr:uid="{00000000-0002-0000-0900-000000000000}"/>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ColWidth="11.44140625" defaultRowHeight="10.199999999999999" x14ac:dyDescent="0.3"/>
  <cols>
    <col min="1" max="1" width="3.5546875" style="256" bestFit="1" customWidth="1"/>
    <col min="2" max="2" width="15.6640625" style="256" customWidth="1"/>
    <col min="3" max="3" width="23.33203125" style="256" customWidth="1"/>
    <col min="4" max="4" width="12.109375" style="291" bestFit="1" customWidth="1"/>
    <col min="5" max="6" width="11.44140625" style="256"/>
    <col min="7" max="7" width="9.109375" style="256" customWidth="1"/>
    <col min="8" max="8" width="12.109375" style="291" bestFit="1" customWidth="1"/>
    <col min="9" max="9" width="7.88671875" style="256" bestFit="1" customWidth="1"/>
    <col min="10" max="11" width="7.88671875" style="256" customWidth="1"/>
    <col min="12" max="12" width="7.88671875" style="256" bestFit="1" customWidth="1"/>
    <col min="13" max="15" width="7.88671875" style="256" customWidth="1"/>
    <col min="16" max="16" width="11" style="256" bestFit="1" customWidth="1"/>
    <col min="17" max="17" width="11" style="256" customWidth="1"/>
    <col min="18" max="18" width="12.88671875" style="256" customWidth="1"/>
    <col min="19" max="20" width="11.44140625" style="256"/>
    <col min="21" max="21" width="19.109375" style="256" customWidth="1"/>
    <col min="22" max="16384" width="11.44140625" style="256"/>
  </cols>
  <sheetData>
    <row r="1" spans="1:29" ht="10.8" thickBot="1" x14ac:dyDescent="0.35">
      <c r="A1" s="303"/>
      <c r="B1" s="303"/>
      <c r="C1" s="303"/>
      <c r="D1" s="304"/>
      <c r="E1" s="303"/>
      <c r="F1" s="303"/>
      <c r="G1" s="303"/>
      <c r="H1" s="304"/>
      <c r="I1" s="303"/>
      <c r="J1" s="303"/>
      <c r="K1" s="303"/>
      <c r="L1" s="303"/>
      <c r="M1" s="303"/>
      <c r="N1" s="303"/>
      <c r="O1" s="303"/>
      <c r="P1" s="303"/>
      <c r="Q1" s="303"/>
      <c r="R1" s="303"/>
      <c r="S1" s="303"/>
      <c r="T1" s="303"/>
      <c r="U1" s="303"/>
      <c r="V1" s="303"/>
    </row>
    <row r="2" spans="1:29" ht="18" thickTop="1" x14ac:dyDescent="0.3">
      <c r="A2" s="327"/>
      <c r="B2" s="1225" t="s">
        <v>387</v>
      </c>
      <c r="C2" s="1226"/>
      <c r="D2" s="1226"/>
      <c r="E2" s="1226"/>
      <c r="F2" s="1226"/>
      <c r="G2" s="1226"/>
      <c r="H2" s="1226"/>
      <c r="I2" s="1226"/>
      <c r="J2" s="1226"/>
      <c r="K2" s="1226"/>
      <c r="L2" s="1226"/>
      <c r="M2" s="1226"/>
      <c r="N2" s="1226"/>
      <c r="O2" s="1226"/>
      <c r="P2" s="1226"/>
      <c r="Q2" s="1226"/>
      <c r="R2" s="1226"/>
      <c r="S2" s="1226"/>
      <c r="T2" s="1226"/>
      <c r="U2" s="1227"/>
      <c r="V2" s="303"/>
    </row>
    <row r="3" spans="1:29" ht="18" thickBot="1" x14ac:dyDescent="0.35">
      <c r="A3" s="327"/>
      <c r="B3" s="1228" t="s">
        <v>1453</v>
      </c>
      <c r="C3" s="1229"/>
      <c r="D3" s="1229"/>
      <c r="E3" s="1229"/>
      <c r="F3" s="1229"/>
      <c r="G3" s="1229"/>
      <c r="H3" s="1229"/>
      <c r="I3" s="1229"/>
      <c r="J3" s="1229"/>
      <c r="K3" s="1229"/>
      <c r="L3" s="1229"/>
      <c r="M3" s="1229"/>
      <c r="N3" s="1229"/>
      <c r="O3" s="1229"/>
      <c r="P3" s="1229"/>
      <c r="Q3" s="1229"/>
      <c r="R3" s="1229"/>
      <c r="S3" s="1229"/>
      <c r="T3" s="1229"/>
      <c r="U3" s="1230"/>
      <c r="V3" s="303"/>
    </row>
    <row r="4" spans="1:29" ht="11.4" thickTop="1" thickBot="1" x14ac:dyDescent="0.35">
      <c r="A4" s="327"/>
      <c r="B4" s="303"/>
      <c r="C4" s="303"/>
      <c r="D4" s="304"/>
      <c r="E4" s="303"/>
      <c r="F4" s="305"/>
      <c r="G4" s="303"/>
      <c r="H4" s="304"/>
      <c r="I4" s="303"/>
      <c r="J4" s="303"/>
      <c r="K4" s="303"/>
      <c r="L4" s="303"/>
      <c r="M4" s="303"/>
      <c r="N4" s="303"/>
      <c r="O4" s="303"/>
      <c r="P4" s="303"/>
      <c r="Q4" s="303"/>
      <c r="R4" s="303"/>
      <c r="S4" s="303"/>
      <c r="T4" s="303"/>
      <c r="U4" s="303"/>
      <c r="V4" s="303"/>
    </row>
    <row r="5" spans="1:29" ht="11.4" thickTop="1" thickBot="1" x14ac:dyDescent="0.35">
      <c r="A5" s="303"/>
      <c r="B5" s="305"/>
      <c r="C5" s="370">
        <f ca="1">TODAY()</f>
        <v>44228</v>
      </c>
      <c r="D5" s="304"/>
      <c r="E5" s="303"/>
      <c r="F5" s="303"/>
      <c r="G5" s="303"/>
      <c r="H5" s="304"/>
      <c r="I5" s="1224" t="s">
        <v>1446</v>
      </c>
      <c r="J5" s="1224"/>
      <c r="K5" s="1224" t="s">
        <v>970</v>
      </c>
      <c r="L5" s="1224"/>
      <c r="M5" s="113"/>
      <c r="N5" s="113"/>
      <c r="O5" s="113"/>
      <c r="P5" s="113"/>
      <c r="Q5" s="113"/>
      <c r="R5" s="303"/>
      <c r="S5" s="303"/>
      <c r="T5" s="303"/>
      <c r="U5" s="303"/>
      <c r="V5" s="303"/>
    </row>
    <row r="6" spans="1:29" ht="42" thickTop="1" thickBot="1" x14ac:dyDescent="0.35">
      <c r="B6" s="292" t="s">
        <v>0</v>
      </c>
      <c r="C6" s="292" t="s">
        <v>1</v>
      </c>
      <c r="D6" s="293" t="s">
        <v>386</v>
      </c>
      <c r="E6" s="294" t="s">
        <v>374</v>
      </c>
      <c r="F6" s="294" t="s">
        <v>375</v>
      </c>
      <c r="G6" s="294" t="s">
        <v>979</v>
      </c>
      <c r="H6" s="293" t="s">
        <v>385</v>
      </c>
      <c r="I6" s="295" t="s">
        <v>1450</v>
      </c>
      <c r="J6" s="295" t="s">
        <v>1451</v>
      </c>
      <c r="K6" s="295" t="s">
        <v>1450</v>
      </c>
      <c r="L6" s="295" t="s">
        <v>1452</v>
      </c>
      <c r="M6" s="296" t="s">
        <v>376</v>
      </c>
      <c r="N6" s="296" t="s">
        <v>1573</v>
      </c>
      <c r="O6" s="294" t="s">
        <v>1000</v>
      </c>
      <c r="P6" s="294" t="s">
        <v>1564</v>
      </c>
      <c r="Q6" s="294" t="s">
        <v>1596</v>
      </c>
      <c r="R6" s="297" t="s">
        <v>1447</v>
      </c>
      <c r="S6" s="294" t="s">
        <v>984</v>
      </c>
      <c r="T6" s="294" t="s">
        <v>1449</v>
      </c>
      <c r="U6" s="294" t="s">
        <v>568</v>
      </c>
    </row>
    <row r="7" spans="1:29" ht="23.25" customHeight="1" thickTop="1" thickBot="1" x14ac:dyDescent="0.35">
      <c r="A7" s="96">
        <v>1</v>
      </c>
      <c r="B7" s="298" t="str">
        <f>+'Base de Datos'!E7</f>
        <v>010000-768-0-2008</v>
      </c>
      <c r="C7" s="298" t="str">
        <f>+'Base de Datos'!F7</f>
        <v>FONDO DE VIGILANCIA Y SEGURIDAD DE BOGOTÁ</v>
      </c>
      <c r="D7" s="299">
        <f>+'Base de Datos'!I7</f>
        <v>7329236109</v>
      </c>
      <c r="E7" s="300">
        <f>+'Base de Datos'!M7</f>
        <v>39724</v>
      </c>
      <c r="F7" s="300">
        <f>+'Base de Datos'!N7</f>
        <v>41673</v>
      </c>
      <c r="G7" s="300" t="e">
        <f>+'Base de Datos'!#REF!</f>
        <v>#REF!</v>
      </c>
      <c r="H7" s="299">
        <f>+'Base de Datos'!X7</f>
        <v>7329236109</v>
      </c>
      <c r="I7" s="301" t="e">
        <f>IF(VLOOKUP(B7,'Base de Datos'!$E$7:$T$303,11,0),"SI","NO")</f>
        <v>#VALUE!</v>
      </c>
      <c r="J7" s="302" t="e">
        <f t="shared" ref="J7:J70" si="0">IF(I7=$AB$7,((G7-F7)*100%)/(F7-E7),"")</f>
        <v>#VALUE!</v>
      </c>
      <c r="K7" s="301" t="e">
        <f>IF(VLOOKUP(B7,'Base de Datos'!$E$7:$T$303,11,0),"SI","NO")</f>
        <v>#VALUE!</v>
      </c>
      <c r="L7" s="302" t="e">
        <f t="shared" ref="L7:L70" si="1">IF(K7=$AB$7,((H7-D7)*100%)/(D7),"")</f>
        <v>#VALUE!</v>
      </c>
      <c r="M7" s="302">
        <f>VLOOKUP(B7,'Base de Datos'!$E$7:$AC$303,21,0)</f>
        <v>6218260556</v>
      </c>
      <c r="N7" s="363" t="e">
        <f ca="1">IF(G7&lt;TODAY(),"",G7-TODAY())</f>
        <v>#REF!</v>
      </c>
      <c r="O7" s="302">
        <f>VLOOKUP(B7,'Base de Datos'!$E$7:$AC$303,22,0)</f>
        <v>1110975553</v>
      </c>
      <c r="P7" s="362" t="str">
        <f t="shared" ref="P7:P70" ca="1" si="2">IF(R7=$AC$7,"",IFERROR(IF(R7=$AC$8,"",($C$5-G7)),""))</f>
        <v/>
      </c>
      <c r="Q7" s="375" t="e">
        <f ca="1">IF(P7=0,"",(P7*100%)/120)</f>
        <v>#VALUE!</v>
      </c>
      <c r="R7" s="298" t="str">
        <f>VLOOKUP(B7,'Base de Datos'!E7:AU303,33,0)</f>
        <v>Dirección Administrativa</v>
      </c>
      <c r="S7" s="301" t="e">
        <f t="shared" ref="S7:S70" ca="1" si="3">IF((TODAY()-G7&lt;900),"SI","NO")</f>
        <v>#REF!</v>
      </c>
      <c r="T7" s="298" t="str">
        <f t="shared" ref="T7:T70" si="4">IF(R7=$AC$8,"",IF(O7=100%,"Liquidar",IF(R7=$AC$7,"Supervisar","")))</f>
        <v/>
      </c>
      <c r="U7" s="298">
        <f>VLOOKUP(B7,'Base de Datos'!$E$7:$AU$401,38,0)</f>
        <v>0</v>
      </c>
      <c r="Y7" s="365">
        <v>1</v>
      </c>
      <c r="AB7" s="256" t="s">
        <v>390</v>
      </c>
      <c r="AC7" s="256" t="s">
        <v>1099</v>
      </c>
    </row>
    <row r="8" spans="1:29" ht="23.25" customHeight="1" thickTop="1" thickBot="1" x14ac:dyDescent="0.35">
      <c r="A8" s="96">
        <v>2</v>
      </c>
      <c r="B8" s="298" t="str">
        <f>+'Base de Datos'!E8</f>
        <v>040000-1118-7-2008</v>
      </c>
      <c r="C8" s="298" t="str">
        <f>+'Base de Datos'!F8</f>
        <v>COLOMBIANA DE SOFTWARE Y HARDWARE COLSOF S.A.</v>
      </c>
      <c r="D8" s="299">
        <f>+'Base de Datos'!I8</f>
        <v>2026575001</v>
      </c>
      <c r="E8" s="300">
        <f>+'Base de Datos'!M8</f>
        <v>39904</v>
      </c>
      <c r="F8" s="300">
        <f>+'Base de Datos'!N8</f>
        <v>41486</v>
      </c>
      <c r="G8" s="300" t="e">
        <f>+'Base de Datos'!#REF!</f>
        <v>#REF!</v>
      </c>
      <c r="H8" s="299">
        <f>+'Base de Datos'!X8</f>
        <v>3100400677</v>
      </c>
      <c r="I8" s="301" t="e">
        <f>IF(VLOOKUP(B8,'Base de Datos'!$E$7:$T$303,11,0),"SI","NO")</f>
        <v>#VALUE!</v>
      </c>
      <c r="J8" s="302" t="e">
        <f t="shared" si="0"/>
        <v>#VALUE!</v>
      </c>
      <c r="K8" s="301" t="e">
        <f>IF(VLOOKUP(B8,'Base de Datos'!$E$7:$T$303,11,0),"SI","NO")</f>
        <v>#VALUE!</v>
      </c>
      <c r="L8" s="302" t="e">
        <f t="shared" si="1"/>
        <v>#VALUE!</v>
      </c>
      <c r="M8" s="302">
        <f>VLOOKUP(B8,'Base de Datos'!$E$7:$AC$303,21,0)</f>
        <v>3066561119</v>
      </c>
      <c r="N8" s="363" t="e">
        <f t="shared" ref="N8:N71" ca="1" si="5">IF(G8&lt;TODAY(),"",G8-TODAY())</f>
        <v>#REF!</v>
      </c>
      <c r="O8" s="302">
        <f>VLOOKUP(B8,'Base de Datos'!$E$7:$AC$303,22,0)</f>
        <v>33839558</v>
      </c>
      <c r="P8" s="362" t="str">
        <f t="shared" ca="1" si="2"/>
        <v/>
      </c>
      <c r="Q8" s="375" t="e">
        <f t="shared" ref="Q8:Q71" ca="1" si="6">IF(P8=0,"",(P8*100%)/120)</f>
        <v>#VALUE!</v>
      </c>
      <c r="R8" s="298" t="str">
        <f>VLOOKUP(B8,'Base de Datos'!E8:AU304,33,0)</f>
        <v>Dirección Administrativa</v>
      </c>
      <c r="S8" s="301" t="e">
        <f t="shared" ca="1" si="3"/>
        <v>#REF!</v>
      </c>
      <c r="T8" s="298" t="str">
        <f t="shared" si="4"/>
        <v/>
      </c>
      <c r="U8" s="298" t="str">
        <f>VLOOKUP(B8,'Base de Datos'!$E$7:$AU$401,38,0)</f>
        <v>SI</v>
      </c>
      <c r="Y8" s="365">
        <v>90</v>
      </c>
      <c r="AB8" s="256" t="s">
        <v>391</v>
      </c>
      <c r="AC8" s="256" t="s">
        <v>927</v>
      </c>
    </row>
    <row r="9" spans="1:29" ht="23.25" customHeight="1" thickTop="1" thickBot="1" x14ac:dyDescent="0.35">
      <c r="A9" s="96">
        <v>3</v>
      </c>
      <c r="B9" s="298" t="str">
        <f>+'Base de Datos'!E9</f>
        <v>040000-1120-0-2008</v>
      </c>
      <c r="C9" s="298" t="str">
        <f>+'Base de Datos'!F9</f>
        <v>COMPUFACIL</v>
      </c>
      <c r="D9" s="299">
        <f>+'Base de Datos'!I9</f>
        <v>2909992591</v>
      </c>
      <c r="E9" s="300">
        <f>+'Base de Datos'!M9</f>
        <v>39864</v>
      </c>
      <c r="F9" s="300">
        <f>+'Base de Datos'!N9</f>
        <v>41476</v>
      </c>
      <c r="G9" s="300" t="e">
        <f>+'Base de Datos'!#REF!</f>
        <v>#REF!</v>
      </c>
      <c r="H9" s="299">
        <f>+'Base de Datos'!X9</f>
        <v>2909992591</v>
      </c>
      <c r="I9" s="301" t="e">
        <f>IF(VLOOKUP(B9,'Base de Datos'!$E$7:$T$303,11,0),"SI","NO")</f>
        <v>#VALUE!</v>
      </c>
      <c r="J9" s="302" t="e">
        <f t="shared" si="0"/>
        <v>#VALUE!</v>
      </c>
      <c r="K9" s="301" t="e">
        <f>IF(VLOOKUP(B9,'Base de Datos'!$E$7:$T$303,11,0),"SI","NO")</f>
        <v>#VALUE!</v>
      </c>
      <c r="L9" s="302" t="e">
        <f t="shared" si="1"/>
        <v>#VALUE!</v>
      </c>
      <c r="M9" s="302">
        <f>VLOOKUP(B9,'Base de Datos'!$E$7:$AC$303,21,0)</f>
        <v>13400894</v>
      </c>
      <c r="N9" s="363" t="e">
        <f t="shared" ca="1" si="5"/>
        <v>#REF!</v>
      </c>
      <c r="O9" s="302">
        <f>VLOOKUP(B9,'Base de Datos'!$E$7:$AC$303,22,0)</f>
        <v>2896591697</v>
      </c>
      <c r="P9" s="362" t="str">
        <f t="shared" ca="1" si="2"/>
        <v/>
      </c>
      <c r="Q9" s="375" t="e">
        <f t="shared" ca="1" si="6"/>
        <v>#VALUE!</v>
      </c>
      <c r="R9" s="298" t="str">
        <f>VLOOKUP(B9,'Base de Datos'!E9:AU305,33,0)</f>
        <v>Dirección Administrativa</v>
      </c>
      <c r="S9" s="301" t="e">
        <f t="shared" ca="1" si="3"/>
        <v>#REF!</v>
      </c>
      <c r="T9" s="298" t="str">
        <f t="shared" si="4"/>
        <v/>
      </c>
      <c r="U9" s="298">
        <f>VLOOKUP(B9,'Base de Datos'!$E$7:$AU$401,38,0)</f>
        <v>0</v>
      </c>
      <c r="Y9" s="364">
        <v>91</v>
      </c>
      <c r="AC9" s="256" t="s">
        <v>571</v>
      </c>
    </row>
    <row r="10" spans="1:29" ht="23.25" customHeight="1" thickTop="1" thickBot="1" x14ac:dyDescent="0.35">
      <c r="A10" s="96">
        <v>4</v>
      </c>
      <c r="B10" s="298" t="str">
        <f>+'Base de Datos'!E10</f>
        <v>040000-821-0-2009</v>
      </c>
      <c r="C10" s="298" t="str">
        <f>+'Base de Datos'!F10</f>
        <v>DATAPOINT DE COLOMBIA S A S</v>
      </c>
      <c r="D10" s="299">
        <f>+'Base de Datos'!I10</f>
        <v>234495075</v>
      </c>
      <c r="E10" s="300">
        <f>+'Base de Datos'!M10</f>
        <v>40197</v>
      </c>
      <c r="F10" s="300">
        <f>+'Base de Datos'!N10</f>
        <v>41323</v>
      </c>
      <c r="G10" s="300" t="e">
        <f>+'Base de Datos'!#REF!</f>
        <v>#REF!</v>
      </c>
      <c r="H10" s="299">
        <f>+'Base de Datos'!X10</f>
        <v>234495075</v>
      </c>
      <c r="I10" s="301" t="e">
        <f>IF(VLOOKUP(B10,'Base de Datos'!$E$7:$T$303,11,0),"SI","NO")</f>
        <v>#VALUE!</v>
      </c>
      <c r="J10" s="302" t="e">
        <f t="shared" si="0"/>
        <v>#VALUE!</v>
      </c>
      <c r="K10" s="301" t="e">
        <f>IF(VLOOKUP(B10,'Base de Datos'!$E$7:$T$303,11,0),"SI","NO")</f>
        <v>#VALUE!</v>
      </c>
      <c r="L10" s="302" t="e">
        <f t="shared" si="1"/>
        <v>#VALUE!</v>
      </c>
      <c r="M10" s="302">
        <f>VLOOKUP(B10,'Base de Datos'!$E$7:$AC$303,21,0)</f>
        <v>234495075</v>
      </c>
      <c r="N10" s="363" t="e">
        <f t="shared" ca="1" si="5"/>
        <v>#REF!</v>
      </c>
      <c r="O10" s="302">
        <f>VLOOKUP(B10,'Base de Datos'!$E$7:$AC$303,22,0)</f>
        <v>0</v>
      </c>
      <c r="P10" s="362" t="str">
        <f t="shared" ca="1" si="2"/>
        <v/>
      </c>
      <c r="Q10" s="375" t="e">
        <f t="shared" ca="1" si="6"/>
        <v>#VALUE!</v>
      </c>
      <c r="R10" s="298" t="str">
        <f>VLOOKUP(B10,'Base de Datos'!E10:AU306,33,0)</f>
        <v>Dirección Administrativa</v>
      </c>
      <c r="S10" s="301" t="e">
        <f t="shared" ca="1" si="3"/>
        <v>#REF!</v>
      </c>
      <c r="T10" s="298" t="str">
        <f t="shared" si="4"/>
        <v/>
      </c>
      <c r="U10" s="298">
        <f>VLOOKUP(B10,'Base de Datos'!$E$7:$AU$401,38,0)</f>
        <v>0</v>
      </c>
      <c r="Y10" s="364">
        <v>120</v>
      </c>
    </row>
    <row r="11" spans="1:29" ht="23.25" customHeight="1" thickTop="1" thickBot="1" x14ac:dyDescent="0.35">
      <c r="A11" s="96">
        <v>5</v>
      </c>
      <c r="B11" s="298" t="str">
        <f>+'Base de Datos'!E11</f>
        <v>120000-727-0-2009</v>
      </c>
      <c r="C11" s="298" t="str">
        <f>+'Base de Datos'!F11</f>
        <v>COLOMBIANA DE SOFTWARE Y HARDWARE COLSOF S.A.</v>
      </c>
      <c r="D11" s="299">
        <f>+'Base de Datos'!I11</f>
        <v>507000000</v>
      </c>
      <c r="E11" s="300">
        <f>+'Base de Datos'!M11</f>
        <v>40150</v>
      </c>
      <c r="F11" s="300">
        <f>+'Base de Datos'!N11</f>
        <v>41336</v>
      </c>
      <c r="G11" s="300" t="e">
        <f>+'Base de Datos'!#REF!</f>
        <v>#REF!</v>
      </c>
      <c r="H11" s="299">
        <f>+'Base de Datos'!X11</f>
        <v>507000000</v>
      </c>
      <c r="I11" s="301" t="e">
        <f>IF(VLOOKUP(B11,'Base de Datos'!$E$7:$T$303,11,0),"SI","NO")</f>
        <v>#VALUE!</v>
      </c>
      <c r="J11" s="302" t="e">
        <f t="shared" si="0"/>
        <v>#VALUE!</v>
      </c>
      <c r="K11" s="301" t="e">
        <f>IF(VLOOKUP(B11,'Base de Datos'!$E$7:$T$303,11,0),"SI","NO")</f>
        <v>#VALUE!</v>
      </c>
      <c r="L11" s="302" t="e">
        <f t="shared" si="1"/>
        <v>#VALUE!</v>
      </c>
      <c r="M11" s="302">
        <f>VLOOKUP(B11,'Base de Datos'!$E$7:$AC$303,21,0)</f>
        <v>471070424</v>
      </c>
      <c r="N11" s="363" t="e">
        <f t="shared" ca="1" si="5"/>
        <v>#REF!</v>
      </c>
      <c r="O11" s="302">
        <f>VLOOKUP(B11,'Base de Datos'!$E$7:$AC$303,22,0)</f>
        <v>35929576</v>
      </c>
      <c r="P11" s="362" t="str">
        <f t="shared" ca="1" si="2"/>
        <v/>
      </c>
      <c r="Q11" s="375" t="e">
        <f t="shared" ca="1" si="6"/>
        <v>#VALUE!</v>
      </c>
      <c r="R11" s="298" t="str">
        <f>VLOOKUP(B11,'Base de Datos'!E11:AU307,33,0)</f>
        <v>Dirección Administrativa</v>
      </c>
      <c r="S11" s="301" t="e">
        <f t="shared" ca="1" si="3"/>
        <v>#REF!</v>
      </c>
      <c r="T11" s="298" t="str">
        <f t="shared" si="4"/>
        <v/>
      </c>
      <c r="U11" s="298">
        <f>VLOOKUP(B11,'Base de Datos'!$E$7:$AU$401,38,0)</f>
        <v>0</v>
      </c>
      <c r="Y11" s="366">
        <v>121</v>
      </c>
    </row>
    <row r="12" spans="1:29" ht="23.25" customHeight="1" thickTop="1" thickBot="1" x14ac:dyDescent="0.35">
      <c r="A12" s="96">
        <v>6</v>
      </c>
      <c r="B12" s="298" t="str">
        <f>+'Base de Datos'!E12</f>
        <v>120000-436-0-2011</v>
      </c>
      <c r="C12" s="298" t="str">
        <f>+'Base de Datos'!F12</f>
        <v>D&amp;D AIRE ACONDICIONADO LTDA.</v>
      </c>
      <c r="D12" s="299">
        <f>+'Base de Datos'!I12</f>
        <v>12835200</v>
      </c>
      <c r="E12" s="300">
        <f>+'Base de Datos'!M12</f>
        <v>40966</v>
      </c>
      <c r="F12" s="300">
        <f>+'Base de Datos'!N12</f>
        <v>41332</v>
      </c>
      <c r="G12" s="300" t="e">
        <f>+'Base de Datos'!#REF!</f>
        <v>#REF!</v>
      </c>
      <c r="H12" s="299">
        <f>+'Base de Datos'!X12</f>
        <v>12835200</v>
      </c>
      <c r="I12" s="301" t="e">
        <f>IF(VLOOKUP(B12,'Base de Datos'!$E$7:$T$303,11,0),"SI","NO")</f>
        <v>#VALUE!</v>
      </c>
      <c r="J12" s="302" t="e">
        <f t="shared" si="0"/>
        <v>#VALUE!</v>
      </c>
      <c r="K12" s="301" t="e">
        <f>IF(VLOOKUP(B12,'Base de Datos'!$E$7:$T$303,11,0),"SI","NO")</f>
        <v>#VALUE!</v>
      </c>
      <c r="L12" s="302" t="e">
        <f t="shared" si="1"/>
        <v>#VALUE!</v>
      </c>
      <c r="M12" s="302">
        <f>VLOOKUP(B12,'Base de Datos'!$E$7:$AC$303,21,0)</f>
        <v>1092200</v>
      </c>
      <c r="N12" s="363" t="e">
        <f t="shared" ca="1" si="5"/>
        <v>#REF!</v>
      </c>
      <c r="O12" s="302">
        <f>VLOOKUP(B12,'Base de Datos'!$E$7:$AC$303,22,0)</f>
        <v>11743000</v>
      </c>
      <c r="P12" s="362" t="str">
        <f t="shared" ca="1" si="2"/>
        <v/>
      </c>
      <c r="Q12" s="375" t="e">
        <f t="shared" ca="1" si="6"/>
        <v>#VALUE!</v>
      </c>
      <c r="R12" s="298" t="str">
        <f>VLOOKUP(B12,'Base de Datos'!E12:AU308,33,0)</f>
        <v>Dirección Administrativa</v>
      </c>
      <c r="S12" s="301" t="e">
        <f t="shared" ca="1" si="3"/>
        <v>#REF!</v>
      </c>
      <c r="T12" s="298" t="str">
        <f t="shared" si="4"/>
        <v/>
      </c>
      <c r="U12" s="298" t="str">
        <f>VLOOKUP(B12,'Base de Datos'!$E$7:$AU$401,38,0)</f>
        <v>SI</v>
      </c>
      <c r="Y12" s="366">
        <v>500</v>
      </c>
    </row>
    <row r="13" spans="1:29" ht="23.25" customHeight="1" thickTop="1" thickBot="1" x14ac:dyDescent="0.35">
      <c r="A13" s="96">
        <v>7</v>
      </c>
      <c r="B13" s="298" t="str">
        <f>+'Base de Datos'!E13</f>
        <v>050000-275-0-2011</v>
      </c>
      <c r="C13" s="298" t="str">
        <f>+'Base de Datos'!F13</f>
        <v>POLÍTICAS MEDIOS E INVESTIGACIONES</v>
      </c>
      <c r="D13" s="299">
        <f>+'Base de Datos'!I13</f>
        <v>1750000</v>
      </c>
      <c r="E13" s="300">
        <f>+'Base de Datos'!M13</f>
        <v>40822</v>
      </c>
      <c r="F13" s="300">
        <f>+'Base de Datos'!N13</f>
        <v>41188</v>
      </c>
      <c r="G13" s="300" t="e">
        <f>+'Base de Datos'!#REF!</f>
        <v>#REF!</v>
      </c>
      <c r="H13" s="299">
        <f>+'Base de Datos'!X13</f>
        <v>2625000</v>
      </c>
      <c r="I13" s="301" t="e">
        <f>IF(VLOOKUP(B13,'Base de Datos'!$E$7:$T$303,11,0),"SI","NO")</f>
        <v>#VALUE!</v>
      </c>
      <c r="J13" s="302" t="e">
        <f t="shared" si="0"/>
        <v>#VALUE!</v>
      </c>
      <c r="K13" s="301" t="e">
        <f>IF(VLOOKUP(B13,'Base de Datos'!$E$7:$T$303,11,0),"SI","NO")</f>
        <v>#VALUE!</v>
      </c>
      <c r="L13" s="302" t="e">
        <f t="shared" si="1"/>
        <v>#VALUE!</v>
      </c>
      <c r="M13" s="302">
        <f>VLOOKUP(B13,'Base de Datos'!$E$7:$AC$303,21,0)</f>
        <v>0</v>
      </c>
      <c r="N13" s="363" t="e">
        <f t="shared" ca="1" si="5"/>
        <v>#REF!</v>
      </c>
      <c r="O13" s="302">
        <f>VLOOKUP(B13,'Base de Datos'!$E$7:$AC$303,22,0)</f>
        <v>2625000</v>
      </c>
      <c r="P13" s="362" t="str">
        <f t="shared" ca="1" si="2"/>
        <v/>
      </c>
      <c r="Q13" s="375" t="e">
        <f t="shared" ca="1" si="6"/>
        <v>#VALUE!</v>
      </c>
      <c r="R13" s="298" t="str">
        <f>VLOOKUP(B13,'Base de Datos'!E13:AU309,33,0)</f>
        <v>Oficina Asesora de Comunicaciones</v>
      </c>
      <c r="S13" s="301" t="e">
        <f t="shared" ca="1" si="3"/>
        <v>#REF!</v>
      </c>
      <c r="T13" s="298" t="str">
        <f t="shared" si="4"/>
        <v/>
      </c>
      <c r="U13" s="298" t="str">
        <f>VLOOKUP(B13,'Base de Datos'!$E$7:$AU$401,38,0)</f>
        <v>SI</v>
      </c>
      <c r="Y13" s="367">
        <v>501</v>
      </c>
    </row>
    <row r="14" spans="1:29" ht="23.25" customHeight="1" thickTop="1" thickBot="1" x14ac:dyDescent="0.35">
      <c r="A14" s="96">
        <v>8</v>
      </c>
      <c r="B14" s="298" t="str">
        <f>+'Base de Datos'!E14</f>
        <v>120000-255-0-2011</v>
      </c>
      <c r="C14" s="298" t="str">
        <f>+'Base de Datos'!F14</f>
        <v>J.A. ZABALA &amp; CONSULTORES ASOCIADOS LTDA.</v>
      </c>
      <c r="D14" s="299">
        <f>+'Base de Datos'!I14</f>
        <v>497000000</v>
      </c>
      <c r="E14" s="300">
        <f>+'Base de Datos'!M14</f>
        <v>40746</v>
      </c>
      <c r="F14" s="300">
        <f>+'Base de Datos'!N14</f>
        <v>41112</v>
      </c>
      <c r="G14" s="300" t="e">
        <f>+'Base de Datos'!#REF!</f>
        <v>#REF!</v>
      </c>
      <c r="H14" s="299">
        <f>+'Base de Datos'!X14</f>
        <v>497000000</v>
      </c>
      <c r="I14" s="301" t="e">
        <f>IF(VLOOKUP(B14,'Base de Datos'!$E$7:$T$303,11,0),"SI","NO")</f>
        <v>#VALUE!</v>
      </c>
      <c r="J14" s="302" t="e">
        <f t="shared" si="0"/>
        <v>#VALUE!</v>
      </c>
      <c r="K14" s="301" t="e">
        <f>IF(VLOOKUP(B14,'Base de Datos'!$E$7:$T$303,11,0),"SI","NO")</f>
        <v>#VALUE!</v>
      </c>
      <c r="L14" s="302" t="e">
        <f t="shared" si="1"/>
        <v>#VALUE!</v>
      </c>
      <c r="M14" s="302">
        <f>VLOOKUP(B14,'Base de Datos'!$E$7:$AC$303,21,0)</f>
        <v>495932967</v>
      </c>
      <c r="N14" s="363" t="e">
        <f t="shared" ca="1" si="5"/>
        <v>#REF!</v>
      </c>
      <c r="O14" s="302">
        <f>VLOOKUP(B14,'Base de Datos'!$E$7:$AC$303,22,0)</f>
        <v>1067033</v>
      </c>
      <c r="P14" s="362" t="str">
        <f t="shared" ca="1" si="2"/>
        <v/>
      </c>
      <c r="Q14" s="375" t="e">
        <f t="shared" ca="1" si="6"/>
        <v>#VALUE!</v>
      </c>
      <c r="R14" s="298" t="str">
        <f>VLOOKUP(B14,'Base de Datos'!E14:AU310,33,0)</f>
        <v>Dirección Administrativa</v>
      </c>
      <c r="S14" s="301" t="e">
        <f t="shared" ca="1" si="3"/>
        <v>#REF!</v>
      </c>
      <c r="T14" s="298" t="str">
        <f t="shared" si="4"/>
        <v/>
      </c>
      <c r="U14" s="298" t="str">
        <f>VLOOKUP(B14,'Base de Datos'!$E$7:$AU$401,38,0)</f>
        <v>SI</v>
      </c>
      <c r="Y14" s="367">
        <v>700</v>
      </c>
    </row>
    <row r="15" spans="1:29" ht="23.25" customHeight="1" thickTop="1" thickBot="1" x14ac:dyDescent="0.35">
      <c r="A15" s="96">
        <v>9</v>
      </c>
      <c r="B15" s="298" t="str">
        <f>+'Base de Datos'!E15</f>
        <v>120000-260-0-2011</v>
      </c>
      <c r="C15" s="298" t="str">
        <f>+'Base de Datos'!F15</f>
        <v>COTECNA CERTIFICADORA SEVICES LIMITADA</v>
      </c>
      <c r="D15" s="299">
        <f>+'Base de Datos'!I15</f>
        <v>9425000</v>
      </c>
      <c r="E15" s="300">
        <f>+'Base de Datos'!M15</f>
        <v>40870</v>
      </c>
      <c r="F15" s="300">
        <f>+'Base de Datos'!N15</f>
        <v>41236</v>
      </c>
      <c r="G15" s="300" t="e">
        <f>+'Base de Datos'!#REF!</f>
        <v>#REF!</v>
      </c>
      <c r="H15" s="299">
        <f>+'Base de Datos'!X15</f>
        <v>9425000</v>
      </c>
      <c r="I15" s="301" t="e">
        <f>IF(VLOOKUP(B15,'Base de Datos'!$E$7:$T$303,11,0),"SI","NO")</f>
        <v>#VALUE!</v>
      </c>
      <c r="J15" s="302" t="e">
        <f t="shared" si="0"/>
        <v>#VALUE!</v>
      </c>
      <c r="K15" s="301" t="e">
        <f>IF(VLOOKUP(B15,'Base de Datos'!$E$7:$T$303,11,0),"SI","NO")</f>
        <v>#VALUE!</v>
      </c>
      <c r="L15" s="302" t="e">
        <f t="shared" si="1"/>
        <v>#VALUE!</v>
      </c>
      <c r="M15" s="302">
        <f>VLOOKUP(B15,'Base de Datos'!$E$7:$AC$303,21,0)</f>
        <v>9425000</v>
      </c>
      <c r="N15" s="363" t="e">
        <f t="shared" ca="1" si="5"/>
        <v>#REF!</v>
      </c>
      <c r="O15" s="302">
        <f>VLOOKUP(B15,'Base de Datos'!$E$7:$AC$303,22,0)</f>
        <v>0</v>
      </c>
      <c r="P15" s="362" t="str">
        <f t="shared" ca="1" si="2"/>
        <v/>
      </c>
      <c r="Q15" s="375" t="e">
        <f t="shared" ca="1" si="6"/>
        <v>#VALUE!</v>
      </c>
      <c r="R15" s="298">
        <f>VLOOKUP(B15,'Base de Datos'!E15:AU311,33,0)</f>
        <v>0</v>
      </c>
      <c r="S15" s="301" t="e">
        <f t="shared" ca="1" si="3"/>
        <v>#REF!</v>
      </c>
      <c r="T15" s="298" t="str">
        <f t="shared" si="4"/>
        <v/>
      </c>
      <c r="U15" s="298" t="str">
        <f>VLOOKUP(B15,'Base de Datos'!$E$7:$AU$401,38,0)</f>
        <v>SI</v>
      </c>
      <c r="Y15" s="368">
        <v>701</v>
      </c>
    </row>
    <row r="16" spans="1:29" ht="23.25" customHeight="1" thickTop="1" thickBot="1" x14ac:dyDescent="0.35">
      <c r="A16" s="96">
        <v>10</v>
      </c>
      <c r="B16" s="298" t="str">
        <f>+'Base de Datos'!E16</f>
        <v>120000-281-0-2011</v>
      </c>
      <c r="C16" s="298" t="str">
        <f>+'Base de Datos'!F16</f>
        <v>CONSERAUTO</v>
      </c>
      <c r="D16" s="299">
        <f>+'Base de Datos'!I16</f>
        <v>15000000</v>
      </c>
      <c r="E16" s="300">
        <f>+'Base de Datos'!M16</f>
        <v>40863</v>
      </c>
      <c r="F16" s="300">
        <f>+'Base de Datos'!N16</f>
        <v>41364</v>
      </c>
      <c r="G16" s="300" t="e">
        <f>+'Base de Datos'!#REF!</f>
        <v>#REF!</v>
      </c>
      <c r="H16" s="299">
        <f>+'Base de Datos'!X16</f>
        <v>22930000</v>
      </c>
      <c r="I16" s="301" t="e">
        <f>IF(VLOOKUP(B16,'Base de Datos'!$E$7:$T$303,11,0),"SI","NO")</f>
        <v>#VALUE!</v>
      </c>
      <c r="J16" s="302" t="e">
        <f t="shared" si="0"/>
        <v>#VALUE!</v>
      </c>
      <c r="K16" s="301" t="e">
        <f>IF(VLOOKUP(B16,'Base de Datos'!$E$7:$T$303,11,0),"SI","NO")</f>
        <v>#VALUE!</v>
      </c>
      <c r="L16" s="302" t="e">
        <f t="shared" si="1"/>
        <v>#VALUE!</v>
      </c>
      <c r="M16" s="302">
        <f>VLOOKUP(B16,'Base de Datos'!$E$7:$AC$303,21,0)</f>
        <v>18432731</v>
      </c>
      <c r="N16" s="363" t="e">
        <f t="shared" ca="1" si="5"/>
        <v>#REF!</v>
      </c>
      <c r="O16" s="302">
        <f>VLOOKUP(B16,'Base de Datos'!$E$7:$AC$303,22,0)</f>
        <v>4497269</v>
      </c>
      <c r="P16" s="362" t="str">
        <f t="shared" ca="1" si="2"/>
        <v/>
      </c>
      <c r="Q16" s="375" t="e">
        <f t="shared" ca="1" si="6"/>
        <v>#VALUE!</v>
      </c>
      <c r="R16" s="298" t="str">
        <f>VLOOKUP(B16,'Base de Datos'!E16:AU312,33,0)</f>
        <v>Dirección Administrativa</v>
      </c>
      <c r="S16" s="301" t="e">
        <f t="shared" ca="1" si="3"/>
        <v>#REF!</v>
      </c>
      <c r="T16" s="298" t="str">
        <f t="shared" si="4"/>
        <v/>
      </c>
      <c r="U16" s="298" t="str">
        <f>VLOOKUP(B16,'Base de Datos'!$E$7:$AU$401,38,0)</f>
        <v>SI</v>
      </c>
      <c r="Y16" s="368">
        <v>850</v>
      </c>
    </row>
    <row r="17" spans="1:25" ht="23.25" customHeight="1" thickTop="1" thickBot="1" x14ac:dyDescent="0.35">
      <c r="A17" s="96">
        <v>11</v>
      </c>
      <c r="B17" s="298" t="str">
        <f>+'Base de Datos'!E17</f>
        <v>120000-297-0-2011</v>
      </c>
      <c r="C17" s="298" t="str">
        <f>+'Base de Datos'!F17</f>
        <v>PC MICROS LTDA.</v>
      </c>
      <c r="D17" s="299">
        <f>+'Base de Datos'!I17</f>
        <v>15063760</v>
      </c>
      <c r="E17" s="300">
        <f>+'Base de Datos'!M17</f>
        <v>40862</v>
      </c>
      <c r="F17" s="300">
        <f>+'Base de Datos'!N17</f>
        <v>41242</v>
      </c>
      <c r="G17" s="300" t="e">
        <f>+'Base de Datos'!#REF!</f>
        <v>#REF!</v>
      </c>
      <c r="H17" s="299">
        <f>+'Base de Datos'!X17</f>
        <v>20044800</v>
      </c>
      <c r="I17" s="301" t="e">
        <f>IF(VLOOKUP(B17,'Base de Datos'!$E$7:$T$303,11,0),"SI","NO")</f>
        <v>#VALUE!</v>
      </c>
      <c r="J17" s="302" t="e">
        <f t="shared" si="0"/>
        <v>#VALUE!</v>
      </c>
      <c r="K17" s="301" t="e">
        <f>IF(VLOOKUP(B17,'Base de Datos'!$E$7:$T$303,11,0),"SI","NO")</f>
        <v>#VALUE!</v>
      </c>
      <c r="L17" s="302" t="e">
        <f t="shared" si="1"/>
        <v>#VALUE!</v>
      </c>
      <c r="M17" s="302">
        <f>VLOOKUP(B17,'Base de Datos'!$E$7:$AC$303,21,0)</f>
        <v>20044800</v>
      </c>
      <c r="N17" s="363" t="e">
        <f t="shared" ca="1" si="5"/>
        <v>#REF!</v>
      </c>
      <c r="O17" s="302">
        <f>VLOOKUP(B17,'Base de Datos'!$E$7:$AC$303,22,0)</f>
        <v>0</v>
      </c>
      <c r="P17" s="362" t="str">
        <f t="shared" ca="1" si="2"/>
        <v/>
      </c>
      <c r="Q17" s="375" t="e">
        <f t="shared" ca="1" si="6"/>
        <v>#VALUE!</v>
      </c>
      <c r="R17" s="298" t="str">
        <f>VLOOKUP(B17,'Base de Datos'!E17:AU313,33,0)</f>
        <v>Dirección Administrativa</v>
      </c>
      <c r="S17" s="301" t="e">
        <f t="shared" ca="1" si="3"/>
        <v>#REF!</v>
      </c>
      <c r="T17" s="298" t="str">
        <f t="shared" si="4"/>
        <v/>
      </c>
      <c r="U17" s="298" t="str">
        <f>VLOOKUP(B17,'Base de Datos'!$E$7:$AU$401,38,0)</f>
        <v>SI</v>
      </c>
      <c r="Y17" s="369">
        <v>851</v>
      </c>
    </row>
    <row r="18" spans="1:25" ht="23.25" customHeight="1" thickTop="1" thickBot="1" x14ac:dyDescent="0.35">
      <c r="A18" s="96">
        <v>12</v>
      </c>
      <c r="B18" s="298" t="str">
        <f>+'Base de Datos'!E18</f>
        <v>120000-307-0-2011</v>
      </c>
      <c r="C18" s="298" t="str">
        <f>+'Base de Datos'!F18</f>
        <v>ELECTRIMEK LTDA.</v>
      </c>
      <c r="D18" s="299">
        <f>+'Base de Datos'!I18</f>
        <v>8506800</v>
      </c>
      <c r="E18" s="300">
        <f>+'Base de Datos'!M18</f>
        <v>40865</v>
      </c>
      <c r="F18" s="300">
        <f>+'Base de Datos'!N18</f>
        <v>41231</v>
      </c>
      <c r="G18" s="300" t="e">
        <f>+'Base de Datos'!#REF!</f>
        <v>#REF!</v>
      </c>
      <c r="H18" s="299">
        <f>+'Base de Datos'!X18</f>
        <v>9976800</v>
      </c>
      <c r="I18" s="301" t="e">
        <f>IF(VLOOKUP(B18,'Base de Datos'!$E$7:$T$303,11,0),"SI","NO")</f>
        <v>#VALUE!</v>
      </c>
      <c r="J18" s="302" t="e">
        <f t="shared" si="0"/>
        <v>#VALUE!</v>
      </c>
      <c r="K18" s="301" t="e">
        <f>IF(VLOOKUP(B18,'Base de Datos'!$E$7:$T$303,11,0),"SI","NO")</f>
        <v>#VALUE!</v>
      </c>
      <c r="L18" s="302" t="e">
        <f t="shared" si="1"/>
        <v>#VALUE!</v>
      </c>
      <c r="M18" s="302">
        <f>VLOOKUP(B18,'Base de Datos'!$E$7:$AC$303,21,0)</f>
        <v>9976596</v>
      </c>
      <c r="N18" s="363" t="e">
        <f t="shared" ca="1" si="5"/>
        <v>#REF!</v>
      </c>
      <c r="O18" s="302">
        <f>VLOOKUP(B18,'Base de Datos'!$E$7:$AC$303,22,0)</f>
        <v>204</v>
      </c>
      <c r="P18" s="362" t="str">
        <f t="shared" ca="1" si="2"/>
        <v/>
      </c>
      <c r="Q18" s="375" t="e">
        <f t="shared" ca="1" si="6"/>
        <v>#VALUE!</v>
      </c>
      <c r="R18" s="298">
        <f>VLOOKUP(B18,'Base de Datos'!E18:AU314,33,0)</f>
        <v>0</v>
      </c>
      <c r="S18" s="301" t="e">
        <f t="shared" ca="1" si="3"/>
        <v>#REF!</v>
      </c>
      <c r="T18" s="298" t="str">
        <f t="shared" si="4"/>
        <v/>
      </c>
      <c r="U18" s="298" t="str">
        <f>VLOOKUP(B18,'Base de Datos'!$E$7:$AU$401,38,0)</f>
        <v>SI</v>
      </c>
      <c r="Y18" s="369">
        <v>2000</v>
      </c>
    </row>
    <row r="19" spans="1:25" ht="23.25" customHeight="1" thickTop="1" thickBot="1" x14ac:dyDescent="0.35">
      <c r="A19" s="96">
        <v>13</v>
      </c>
      <c r="B19" s="298" t="str">
        <f>+'Base de Datos'!E19</f>
        <v>120000-331-0-2011</v>
      </c>
      <c r="C19" s="298" t="str">
        <f>+'Base de Datos'!F19</f>
        <v>KEY MARKEY S.A.</v>
      </c>
      <c r="D19" s="299">
        <f>+'Base de Datos'!I19</f>
        <v>1306508</v>
      </c>
      <c r="E19" s="300">
        <f>+'Base de Datos'!M19</f>
        <v>40891</v>
      </c>
      <c r="F19" s="300">
        <f>+'Base de Datos'!N19</f>
        <v>40922</v>
      </c>
      <c r="G19" s="300" t="e">
        <f>+'Base de Datos'!#REF!</f>
        <v>#REF!</v>
      </c>
      <c r="H19" s="299">
        <f>+'Base de Datos'!X19</f>
        <v>1306508</v>
      </c>
      <c r="I19" s="301" t="e">
        <f>IF(VLOOKUP(B19,'Base de Datos'!$E$7:$T$303,11,0),"SI","NO")</f>
        <v>#VALUE!</v>
      </c>
      <c r="J19" s="302" t="e">
        <f t="shared" si="0"/>
        <v>#VALUE!</v>
      </c>
      <c r="K19" s="301" t="e">
        <f>IF(VLOOKUP(B19,'Base de Datos'!$E$7:$T$303,11,0),"SI","NO")</f>
        <v>#VALUE!</v>
      </c>
      <c r="L19" s="302" t="e">
        <f t="shared" si="1"/>
        <v>#VALUE!</v>
      </c>
      <c r="M19" s="302">
        <f>VLOOKUP(B19,'Base de Datos'!$E$7:$AC$303,21,0)</f>
        <v>1306508</v>
      </c>
      <c r="N19" s="363" t="e">
        <f t="shared" ca="1" si="5"/>
        <v>#REF!</v>
      </c>
      <c r="O19" s="302">
        <f>VLOOKUP(B19,'Base de Datos'!$E$7:$AC$303,22,0)</f>
        <v>0</v>
      </c>
      <c r="P19" s="362" t="str">
        <f t="shared" ca="1" si="2"/>
        <v/>
      </c>
      <c r="Q19" s="375" t="e">
        <f t="shared" ca="1" si="6"/>
        <v>#VALUE!</v>
      </c>
      <c r="R19" s="298">
        <f>VLOOKUP(B19,'Base de Datos'!E19:AU315,33,0)</f>
        <v>0</v>
      </c>
      <c r="S19" s="301" t="e">
        <f t="shared" ca="1" si="3"/>
        <v>#REF!</v>
      </c>
      <c r="T19" s="298" t="str">
        <f t="shared" si="4"/>
        <v/>
      </c>
      <c r="U19" s="298" t="str">
        <f>VLOOKUP(B19,'Base de Datos'!$E$7:$AU$401,38,0)</f>
        <v>NO</v>
      </c>
    </row>
    <row r="20" spans="1:25" ht="23.25" customHeight="1" thickTop="1" thickBot="1" x14ac:dyDescent="0.35">
      <c r="A20" s="96">
        <v>14</v>
      </c>
      <c r="B20" s="298" t="str">
        <f>+'Base de Datos'!E20</f>
        <v>120000-361-0-2011</v>
      </c>
      <c r="C20" s="298" t="str">
        <f>+'Base de Datos'!F20</f>
        <v>PAPELERÍA  LOS  LAGOS  LTDA.</v>
      </c>
      <c r="D20" s="299">
        <f>+'Base de Datos'!I20</f>
        <v>102786079</v>
      </c>
      <c r="E20" s="300">
        <f>+'Base de Datos'!M20</f>
        <v>40897</v>
      </c>
      <c r="F20" s="300">
        <f>+'Base de Datos'!N20</f>
        <v>41110</v>
      </c>
      <c r="G20" s="300" t="e">
        <f>+'Base de Datos'!#REF!</f>
        <v>#REF!</v>
      </c>
      <c r="H20" s="299">
        <f>+'Base de Datos'!X20</f>
        <v>102786079</v>
      </c>
      <c r="I20" s="301" t="e">
        <f>IF(VLOOKUP(B20,'Base de Datos'!$E$7:$T$303,11,0),"SI","NO")</f>
        <v>#VALUE!</v>
      </c>
      <c r="J20" s="302" t="e">
        <f t="shared" si="0"/>
        <v>#VALUE!</v>
      </c>
      <c r="K20" s="301" t="e">
        <f>IF(VLOOKUP(B20,'Base de Datos'!$E$7:$T$303,11,0),"SI","NO")</f>
        <v>#VALUE!</v>
      </c>
      <c r="L20" s="302" t="e">
        <f t="shared" si="1"/>
        <v>#VALUE!</v>
      </c>
      <c r="M20" s="302">
        <f>VLOOKUP(B20,'Base de Datos'!$E$7:$AC$303,21,0)</f>
        <v>84046373</v>
      </c>
      <c r="N20" s="363" t="e">
        <f t="shared" ca="1" si="5"/>
        <v>#REF!</v>
      </c>
      <c r="O20" s="302">
        <f>VLOOKUP(B20,'Base de Datos'!$E$7:$AC$303,22,0)</f>
        <v>18739706</v>
      </c>
      <c r="P20" s="362" t="str">
        <f t="shared" ca="1" si="2"/>
        <v/>
      </c>
      <c r="Q20" s="375" t="e">
        <f t="shared" ca="1" si="6"/>
        <v>#VALUE!</v>
      </c>
      <c r="R20" s="298" t="str">
        <f>VLOOKUP(B20,'Base de Datos'!E20:AU316,33,0)</f>
        <v>Dirección Administrativa</v>
      </c>
      <c r="S20" s="301" t="e">
        <f t="shared" ca="1" si="3"/>
        <v>#REF!</v>
      </c>
      <c r="T20" s="298" t="str">
        <f t="shared" si="4"/>
        <v/>
      </c>
      <c r="U20" s="298" t="str">
        <f>VLOOKUP(B20,'Base de Datos'!$E$7:$AU$401,38,0)</f>
        <v>SI</v>
      </c>
    </row>
    <row r="21" spans="1:25" ht="23.25" customHeight="1" thickTop="1" thickBot="1" x14ac:dyDescent="0.35">
      <c r="A21" s="96">
        <v>15</v>
      </c>
      <c r="B21" s="298" t="str">
        <f>+'Base de Datos'!E21</f>
        <v>120000-440-0-2011</v>
      </c>
      <c r="C21" s="298" t="str">
        <f>+'Base de Datos'!F21</f>
        <v>CONTROL SISTEMAS DE COMUNICACIONES C.S.C. LTDA.</v>
      </c>
      <c r="D21" s="299">
        <f>+'Base de Datos'!I21</f>
        <v>49376272</v>
      </c>
      <c r="E21" s="300">
        <f>+'Base de Datos'!M21</f>
        <v>40946</v>
      </c>
      <c r="F21" s="300">
        <f>+'Base de Datos'!N21</f>
        <v>41312</v>
      </c>
      <c r="G21" s="300" t="e">
        <f>+'Base de Datos'!#REF!</f>
        <v>#REF!</v>
      </c>
      <c r="H21" s="299">
        <f>+'Base de Datos'!X21</f>
        <v>49376272</v>
      </c>
      <c r="I21" s="301" t="e">
        <f>IF(VLOOKUP(B21,'Base de Datos'!$E$7:$T$303,11,0),"SI","NO")</f>
        <v>#VALUE!</v>
      </c>
      <c r="J21" s="302" t="e">
        <f t="shared" si="0"/>
        <v>#VALUE!</v>
      </c>
      <c r="K21" s="301" t="e">
        <f>IF(VLOOKUP(B21,'Base de Datos'!$E$7:$T$303,11,0),"SI","NO")</f>
        <v>#VALUE!</v>
      </c>
      <c r="L21" s="302" t="e">
        <f t="shared" si="1"/>
        <v>#VALUE!</v>
      </c>
      <c r="M21" s="302">
        <f>VLOOKUP(B21,'Base de Datos'!$E$7:$AC$303,21,0)</f>
        <v>49376272</v>
      </c>
      <c r="N21" s="363" t="e">
        <f t="shared" ca="1" si="5"/>
        <v>#REF!</v>
      </c>
      <c r="O21" s="302">
        <f>VLOOKUP(B21,'Base de Datos'!$E$7:$AC$303,22,0)</f>
        <v>0</v>
      </c>
      <c r="P21" s="362" t="str">
        <f t="shared" ca="1" si="2"/>
        <v/>
      </c>
      <c r="Q21" s="375" t="e">
        <f t="shared" ca="1" si="6"/>
        <v>#VALUE!</v>
      </c>
      <c r="R21" s="298">
        <f>VLOOKUP(B21,'Base de Datos'!E21:AU317,33,0)</f>
        <v>0</v>
      </c>
      <c r="S21" s="301" t="e">
        <f t="shared" ca="1" si="3"/>
        <v>#REF!</v>
      </c>
      <c r="T21" s="298" t="str">
        <f t="shared" si="4"/>
        <v/>
      </c>
      <c r="U21" s="298" t="str">
        <f>VLOOKUP(B21,'Base de Datos'!$E$7:$AU$401,38,0)</f>
        <v>SI</v>
      </c>
    </row>
    <row r="22" spans="1:25" ht="23.25" customHeight="1" thickTop="1" thickBot="1" x14ac:dyDescent="0.35">
      <c r="A22" s="96">
        <v>16</v>
      </c>
      <c r="B22" s="298" t="str">
        <f>+'Base de Datos'!E22</f>
        <v>040000-221-0-2012</v>
      </c>
      <c r="C22" s="298" t="str">
        <f>+'Base de Datos'!F22</f>
        <v>FACTOR VISUAL EAT</v>
      </c>
      <c r="D22" s="299">
        <f>+'Base de Datos'!I22</f>
        <v>79634000</v>
      </c>
      <c r="E22" s="300">
        <f>+'Base de Datos'!M22</f>
        <v>41087</v>
      </c>
      <c r="F22" s="300">
        <f>+'Base de Datos'!N22</f>
        <v>41452</v>
      </c>
      <c r="G22" s="300" t="e">
        <f>+'Base de Datos'!#REF!</f>
        <v>#REF!</v>
      </c>
      <c r="H22" s="299">
        <f>+'Base de Datos'!X22</f>
        <v>79634000</v>
      </c>
      <c r="I22" s="301" t="e">
        <f>IF(VLOOKUP(B22,'Base de Datos'!$E$7:$T$303,11,0),"SI","NO")</f>
        <v>#VALUE!</v>
      </c>
      <c r="J22" s="302" t="e">
        <f t="shared" si="0"/>
        <v>#VALUE!</v>
      </c>
      <c r="K22" s="301" t="e">
        <f>IF(VLOOKUP(B22,'Base de Datos'!$E$7:$T$303,11,0),"SI","NO")</f>
        <v>#VALUE!</v>
      </c>
      <c r="L22" s="302" t="e">
        <f t="shared" si="1"/>
        <v>#VALUE!</v>
      </c>
      <c r="M22" s="302">
        <f>VLOOKUP(B22,'Base de Datos'!$E$7:$AC$303,21,0)</f>
        <v>79634000</v>
      </c>
      <c r="N22" s="363" t="e">
        <f t="shared" ca="1" si="5"/>
        <v>#REF!</v>
      </c>
      <c r="O22" s="302">
        <f>VLOOKUP(B22,'Base de Datos'!$E$7:$AC$303,22,0)</f>
        <v>0</v>
      </c>
      <c r="P22" s="362" t="str">
        <f t="shared" ca="1" si="2"/>
        <v/>
      </c>
      <c r="Q22" s="375" t="e">
        <f t="shared" ca="1" si="6"/>
        <v>#VALUE!</v>
      </c>
      <c r="R22" s="298" t="str">
        <f>VLOOKUP(B22,'Base de Datos'!E22:AU318,33,0)</f>
        <v>Dirección Administrativa</v>
      </c>
      <c r="S22" s="301" t="e">
        <f t="shared" ca="1" si="3"/>
        <v>#REF!</v>
      </c>
      <c r="T22" s="298" t="str">
        <f t="shared" si="4"/>
        <v/>
      </c>
      <c r="U22" s="298" t="str">
        <f>VLOOKUP(B22,'Base de Datos'!$E$7:$AU$401,38,0)</f>
        <v>SI</v>
      </c>
    </row>
    <row r="23" spans="1:25" ht="23.25" customHeight="1" thickTop="1" thickBot="1" x14ac:dyDescent="0.35">
      <c r="A23" s="96">
        <v>17</v>
      </c>
      <c r="B23" s="298" t="str">
        <f>+'Base de Datos'!E23</f>
        <v>040000-357-0-2012</v>
      </c>
      <c r="C23" s="298" t="str">
        <f>+'Base de Datos'!F23</f>
        <v>LILIA FANNY GUEVARA PARRADO</v>
      </c>
      <c r="D23" s="299">
        <f>+'Base de Datos'!I23</f>
        <v>4206160</v>
      </c>
      <c r="E23" s="300">
        <f>+'Base de Datos'!M23</f>
        <v>41213</v>
      </c>
      <c r="F23" s="300">
        <f>+'Base de Datos'!N23</f>
        <v>41274</v>
      </c>
      <c r="G23" s="300" t="e">
        <f>+'Base de Datos'!#REF!</f>
        <v>#REF!</v>
      </c>
      <c r="H23" s="299">
        <f>+'Base de Datos'!X23</f>
        <v>4206160</v>
      </c>
      <c r="I23" s="301" t="e">
        <f>IF(VLOOKUP(B23,'Base de Datos'!$E$7:$T$303,11,0),"SI","NO")</f>
        <v>#VALUE!</v>
      </c>
      <c r="J23" s="302" t="e">
        <f t="shared" si="0"/>
        <v>#VALUE!</v>
      </c>
      <c r="K23" s="301" t="e">
        <f>IF(VLOOKUP(B23,'Base de Datos'!$E$7:$T$303,11,0),"SI","NO")</f>
        <v>#VALUE!</v>
      </c>
      <c r="L23" s="302" t="e">
        <f t="shared" si="1"/>
        <v>#VALUE!</v>
      </c>
      <c r="M23" s="302">
        <f>VLOOKUP(B23,'Base de Datos'!$E$7:$AC$303,21,0)</f>
        <v>0</v>
      </c>
      <c r="N23" s="363" t="e">
        <f t="shared" ca="1" si="5"/>
        <v>#REF!</v>
      </c>
      <c r="O23" s="302">
        <f>VLOOKUP(B23,'Base de Datos'!$E$7:$AC$303,22,0)</f>
        <v>4206160</v>
      </c>
      <c r="P23" s="362" t="str">
        <f t="shared" ca="1" si="2"/>
        <v/>
      </c>
      <c r="Q23" s="375" t="e">
        <f t="shared" ca="1" si="6"/>
        <v>#VALUE!</v>
      </c>
      <c r="R23" s="298" t="str">
        <f>VLOOKUP(B23,'Base de Datos'!E23:AU319,33,0)</f>
        <v>Dirección Administrativa</v>
      </c>
      <c r="S23" s="301" t="e">
        <f t="shared" ca="1" si="3"/>
        <v>#REF!</v>
      </c>
      <c r="T23" s="298" t="str">
        <f t="shared" si="4"/>
        <v/>
      </c>
      <c r="U23" s="298" t="str">
        <f>VLOOKUP(B23,'Base de Datos'!$E$7:$AU$401,38,0)</f>
        <v>NO</v>
      </c>
    </row>
    <row r="24" spans="1:25" ht="23.25" customHeight="1" thickTop="1" thickBot="1" x14ac:dyDescent="0.35">
      <c r="A24" s="96">
        <v>18</v>
      </c>
      <c r="B24" s="298" t="str">
        <f>+'Base de Datos'!E24</f>
        <v>040000-410-0-2012</v>
      </c>
      <c r="C24" s="298" t="str">
        <f>+'Base de Datos'!F24</f>
        <v>EMPRESA DE TELECOMUNICACIONES DE BOGOTÁ S.A.-ETB-ESP</v>
      </c>
      <c r="D24" s="299">
        <f>+'Base de Datos'!I24</f>
        <v>726335435</v>
      </c>
      <c r="E24" s="300">
        <f>+'Base de Datos'!M24</f>
        <v>41206</v>
      </c>
      <c r="F24" s="300">
        <f>+'Base de Datos'!N24</f>
        <v>41609</v>
      </c>
      <c r="G24" s="300" t="e">
        <f>+'Base de Datos'!#REF!</f>
        <v>#REF!</v>
      </c>
      <c r="H24" s="299">
        <f>+'Base de Datos'!X24</f>
        <v>726335435</v>
      </c>
      <c r="I24" s="301" t="e">
        <f>IF(VLOOKUP(B24,'Base de Datos'!$E$7:$T$303,11,0),"SI","NO")</f>
        <v>#VALUE!</v>
      </c>
      <c r="J24" s="302" t="e">
        <f t="shared" si="0"/>
        <v>#VALUE!</v>
      </c>
      <c r="K24" s="301" t="e">
        <f>IF(VLOOKUP(B24,'Base de Datos'!$E$7:$T$303,11,0),"SI","NO")</f>
        <v>#VALUE!</v>
      </c>
      <c r="L24" s="302" t="e">
        <f t="shared" si="1"/>
        <v>#VALUE!</v>
      </c>
      <c r="M24" s="302">
        <f>VLOOKUP(B24,'Base de Datos'!$E$7:$AC$303,21,0)</f>
        <v>577978609</v>
      </c>
      <c r="N24" s="363" t="e">
        <f t="shared" ca="1" si="5"/>
        <v>#REF!</v>
      </c>
      <c r="O24" s="302">
        <f>VLOOKUP(B24,'Base de Datos'!$E$7:$AC$303,22,0)</f>
        <v>148356826</v>
      </c>
      <c r="P24" s="362" t="str">
        <f t="shared" ca="1" si="2"/>
        <v/>
      </c>
      <c r="Q24" s="375" t="e">
        <f t="shared" ca="1" si="6"/>
        <v>#VALUE!</v>
      </c>
      <c r="R24" s="298">
        <f>VLOOKUP(B24,'Base de Datos'!E24:AU320,33,0)</f>
        <v>0</v>
      </c>
      <c r="S24" s="301" t="e">
        <f t="shared" ca="1" si="3"/>
        <v>#REF!</v>
      </c>
      <c r="T24" s="298" t="str">
        <f t="shared" si="4"/>
        <v/>
      </c>
      <c r="U24" s="298" t="str">
        <f>VLOOKUP(B24,'Base de Datos'!$E$7:$AU$401,38,0)</f>
        <v>SI</v>
      </c>
    </row>
    <row r="25" spans="1:25" ht="23.25" customHeight="1" thickTop="1" thickBot="1" x14ac:dyDescent="0.35">
      <c r="A25" s="96">
        <v>19</v>
      </c>
      <c r="B25" s="298" t="str">
        <f>+'Base de Datos'!E25</f>
        <v>050000-120-0-2012</v>
      </c>
      <c r="C25" s="298" t="str">
        <f>+'Base de Datos'!F25</f>
        <v>ACE SEGUROS S.A.</v>
      </c>
      <c r="D25" s="299">
        <f>+'Base de Datos'!I25</f>
        <v>48720000</v>
      </c>
      <c r="E25" s="300">
        <f>+'Base de Datos'!M25</f>
        <v>41025</v>
      </c>
      <c r="F25" s="300">
        <f>+'Base de Datos'!N25</f>
        <v>41455</v>
      </c>
      <c r="G25" s="300" t="e">
        <f>+'Base de Datos'!#REF!</f>
        <v>#REF!</v>
      </c>
      <c r="H25" s="299">
        <f>+'Base de Datos'!X25</f>
        <v>71096157</v>
      </c>
      <c r="I25" s="301" t="e">
        <f>IF(VLOOKUP(B25,'Base de Datos'!$E$7:$T$303,11,0),"SI","NO")</f>
        <v>#VALUE!</v>
      </c>
      <c r="J25" s="302" t="e">
        <f t="shared" si="0"/>
        <v>#VALUE!</v>
      </c>
      <c r="K25" s="301" t="e">
        <f>IF(VLOOKUP(B25,'Base de Datos'!$E$7:$T$303,11,0),"SI","NO")</f>
        <v>#VALUE!</v>
      </c>
      <c r="L25" s="302" t="e">
        <f t="shared" si="1"/>
        <v>#VALUE!</v>
      </c>
      <c r="M25" s="302">
        <f>VLOOKUP(B25,'Base de Datos'!$E$7:$AC$303,21,0)</f>
        <v>71096157</v>
      </c>
      <c r="N25" s="363" t="e">
        <f t="shared" ca="1" si="5"/>
        <v>#REF!</v>
      </c>
      <c r="O25" s="302">
        <f>VLOOKUP(B25,'Base de Datos'!$E$7:$AC$303,22,0)</f>
        <v>0</v>
      </c>
      <c r="P25" s="362" t="str">
        <f t="shared" ca="1" si="2"/>
        <v/>
      </c>
      <c r="Q25" s="375" t="e">
        <f t="shared" ca="1" si="6"/>
        <v>#VALUE!</v>
      </c>
      <c r="R25" s="298">
        <f>VLOOKUP(B25,'Base de Datos'!E25:AU321,33,0)</f>
        <v>0</v>
      </c>
      <c r="S25" s="301" t="e">
        <f t="shared" ca="1" si="3"/>
        <v>#REF!</v>
      </c>
      <c r="T25" s="298" t="str">
        <f t="shared" si="4"/>
        <v/>
      </c>
      <c r="U25" s="298" t="str">
        <f>VLOOKUP(B25,'Base de Datos'!$E$7:$AU$401,38,0)</f>
        <v>SI</v>
      </c>
    </row>
    <row r="26" spans="1:25" ht="23.25" customHeight="1" thickTop="1" thickBot="1" x14ac:dyDescent="0.35">
      <c r="A26" s="96">
        <v>20</v>
      </c>
      <c r="B26" s="298" t="str">
        <f>+'Base de Datos'!E26</f>
        <v>050000-131-0-2012</v>
      </c>
      <c r="C26" s="298" t="str">
        <f>+'Base de Datos'!F26</f>
        <v xml:space="preserve">MELCO DE COLOMBIA LIMITADA </v>
      </c>
      <c r="D26" s="299">
        <f>+'Base de Datos'!I26</f>
        <v>11587500</v>
      </c>
      <c r="E26" s="300">
        <f>+'Base de Datos'!M26</f>
        <v>41074</v>
      </c>
      <c r="F26" s="300">
        <f>+'Base de Datos'!N26</f>
        <v>41347</v>
      </c>
      <c r="G26" s="300" t="e">
        <f>+'Base de Datos'!#REF!</f>
        <v>#REF!</v>
      </c>
      <c r="H26" s="299">
        <f>+'Base de Datos'!X26</f>
        <v>11587500</v>
      </c>
      <c r="I26" s="301" t="e">
        <f>IF(VLOOKUP(B26,'Base de Datos'!$E$7:$T$303,11,0),"SI","NO")</f>
        <v>#VALUE!</v>
      </c>
      <c r="J26" s="302" t="e">
        <f t="shared" si="0"/>
        <v>#VALUE!</v>
      </c>
      <c r="K26" s="301" t="e">
        <f>IF(VLOOKUP(B26,'Base de Datos'!$E$7:$T$303,11,0),"SI","NO")</f>
        <v>#VALUE!</v>
      </c>
      <c r="L26" s="302" t="e">
        <f t="shared" si="1"/>
        <v>#VALUE!</v>
      </c>
      <c r="M26" s="302">
        <f>VLOOKUP(B26,'Base de Datos'!$E$7:$AC$303,21,0)</f>
        <v>10316808</v>
      </c>
      <c r="N26" s="363" t="e">
        <f t="shared" ca="1" si="5"/>
        <v>#REF!</v>
      </c>
      <c r="O26" s="302">
        <f>VLOOKUP(B26,'Base de Datos'!$E$7:$AC$303,22,0)</f>
        <v>1270692</v>
      </c>
      <c r="P26" s="362" t="str">
        <f t="shared" ca="1" si="2"/>
        <v/>
      </c>
      <c r="Q26" s="375" t="e">
        <f t="shared" ca="1" si="6"/>
        <v>#VALUE!</v>
      </c>
      <c r="R26" s="298" t="str">
        <f>VLOOKUP(B26,'Base de Datos'!E26:AU322,33,0)</f>
        <v>Dirección Administrativa</v>
      </c>
      <c r="S26" s="301" t="e">
        <f t="shared" ca="1" si="3"/>
        <v>#REF!</v>
      </c>
      <c r="T26" s="298" t="str">
        <f t="shared" si="4"/>
        <v/>
      </c>
      <c r="U26" s="298" t="str">
        <f>VLOOKUP(B26,'Base de Datos'!$E$7:$AU$401,38,0)</f>
        <v>SI</v>
      </c>
    </row>
    <row r="27" spans="1:25" ht="23.25" customHeight="1" thickTop="1" thickBot="1" x14ac:dyDescent="0.35">
      <c r="A27" s="96">
        <v>21</v>
      </c>
      <c r="B27" s="298" t="str">
        <f>+'Base de Datos'!E27</f>
        <v>120000-463-0-2012</v>
      </c>
      <c r="C27" s="298" t="str">
        <f>+'Base de Datos'!F27</f>
        <v>ALPUNTO SOLUCIONES SAS 12000-463-0-2012</v>
      </c>
      <c r="D27" s="299">
        <f>+'Base de Datos'!I27</f>
        <v>4452000</v>
      </c>
      <c r="E27" s="300">
        <f>+'Base de Datos'!M27</f>
        <v>41235</v>
      </c>
      <c r="F27" s="300">
        <f>+'Base de Datos'!N27</f>
        <v>41278</v>
      </c>
      <c r="G27" s="300" t="e">
        <f>+'Base de Datos'!#REF!</f>
        <v>#REF!</v>
      </c>
      <c r="H27" s="299">
        <f>+'Base de Datos'!X27</f>
        <v>4452000</v>
      </c>
      <c r="I27" s="301" t="e">
        <f>IF(VLOOKUP(B27,'Base de Datos'!$E$7:$T$303,11,0),"SI","NO")</f>
        <v>#VALUE!</v>
      </c>
      <c r="J27" s="302" t="e">
        <f t="shared" si="0"/>
        <v>#VALUE!</v>
      </c>
      <c r="K27" s="301" t="e">
        <f>IF(VLOOKUP(B27,'Base de Datos'!$E$7:$T$303,11,0),"SI","NO")</f>
        <v>#VALUE!</v>
      </c>
      <c r="L27" s="302" t="e">
        <f t="shared" si="1"/>
        <v>#VALUE!</v>
      </c>
      <c r="M27" s="302">
        <f>VLOOKUP(B27,'Base de Datos'!$E$7:$AC$303,21,0)</f>
        <v>4452000</v>
      </c>
      <c r="N27" s="363" t="e">
        <f t="shared" ca="1" si="5"/>
        <v>#REF!</v>
      </c>
      <c r="O27" s="302">
        <f>VLOOKUP(B27,'Base de Datos'!$E$7:$AC$303,22,0)</f>
        <v>0</v>
      </c>
      <c r="P27" s="362" t="str">
        <f t="shared" ca="1" si="2"/>
        <v/>
      </c>
      <c r="Q27" s="375" t="e">
        <f t="shared" ca="1" si="6"/>
        <v>#VALUE!</v>
      </c>
      <c r="R27" s="298">
        <f>VLOOKUP(B27,'Base de Datos'!E27:AU323,33,0)</f>
        <v>0</v>
      </c>
      <c r="S27" s="301" t="e">
        <f t="shared" ca="1" si="3"/>
        <v>#REF!</v>
      </c>
      <c r="T27" s="298" t="str">
        <f t="shared" si="4"/>
        <v/>
      </c>
      <c r="U27" s="298" t="str">
        <f>VLOOKUP(B27,'Base de Datos'!$E$7:$AU$401,38,0)</f>
        <v>SI</v>
      </c>
    </row>
    <row r="28" spans="1:25" ht="23.25" customHeight="1" thickTop="1" thickBot="1" x14ac:dyDescent="0.35">
      <c r="A28" s="96">
        <v>22</v>
      </c>
      <c r="B28" s="298" t="str">
        <f>+'Base de Datos'!E28</f>
        <v>050000-155-0-2012</v>
      </c>
      <c r="C28" s="298" t="str">
        <f>+'Base de Datos'!F28</f>
        <v>EDITORIAL EL GLOBO S.A</v>
      </c>
      <c r="D28" s="299">
        <f>+'Base de Datos'!I28</f>
        <v>849000</v>
      </c>
      <c r="E28" s="300">
        <f>+'Base de Datos'!M28</f>
        <v>41044</v>
      </c>
      <c r="F28" s="300">
        <f>+'Base de Datos'!N28</f>
        <v>41409</v>
      </c>
      <c r="G28" s="300" t="e">
        <f>+'Base de Datos'!#REF!</f>
        <v>#REF!</v>
      </c>
      <c r="H28" s="299">
        <f>+'Base de Datos'!X28</f>
        <v>849000</v>
      </c>
      <c r="I28" s="301" t="e">
        <f>IF(VLOOKUP(B28,'Base de Datos'!$E$7:$T$303,11,0),"SI","NO")</f>
        <v>#VALUE!</v>
      </c>
      <c r="J28" s="302" t="e">
        <f t="shared" si="0"/>
        <v>#VALUE!</v>
      </c>
      <c r="K28" s="301" t="e">
        <f>IF(VLOOKUP(B28,'Base de Datos'!$E$7:$T$303,11,0),"SI","NO")</f>
        <v>#VALUE!</v>
      </c>
      <c r="L28" s="302" t="e">
        <f t="shared" si="1"/>
        <v>#VALUE!</v>
      </c>
      <c r="M28" s="302">
        <f>VLOOKUP(B28,'Base de Datos'!$E$7:$AC$303,21,0)</f>
        <v>849000</v>
      </c>
      <c r="N28" s="363" t="e">
        <f t="shared" ca="1" si="5"/>
        <v>#REF!</v>
      </c>
      <c r="O28" s="302">
        <f>VLOOKUP(B28,'Base de Datos'!$E$7:$AC$303,22,0)</f>
        <v>0</v>
      </c>
      <c r="P28" s="362" t="str">
        <f t="shared" ca="1" si="2"/>
        <v/>
      </c>
      <c r="Q28" s="375" t="e">
        <f t="shared" ca="1" si="6"/>
        <v>#VALUE!</v>
      </c>
      <c r="R28" s="298">
        <f>VLOOKUP(B28,'Base de Datos'!E28:AU324,33,0)</f>
        <v>0</v>
      </c>
      <c r="S28" s="301" t="e">
        <f t="shared" ca="1" si="3"/>
        <v>#REF!</v>
      </c>
      <c r="T28" s="298" t="str">
        <f t="shared" si="4"/>
        <v/>
      </c>
      <c r="U28" s="298" t="str">
        <f>VLOOKUP(B28,'Base de Datos'!$E$7:$AU$401,38,0)</f>
        <v>SI</v>
      </c>
    </row>
    <row r="29" spans="1:25" ht="23.25" customHeight="1" thickTop="1" thickBot="1" x14ac:dyDescent="0.35">
      <c r="A29" s="96">
        <v>23</v>
      </c>
      <c r="B29" s="298" t="str">
        <f>+'Base de Datos'!E29</f>
        <v>050000-222-0-2012</v>
      </c>
      <c r="C29" s="298" t="str">
        <f>+'Base de Datos'!F29</f>
        <v>PRODYGRAF LTDA.</v>
      </c>
      <c r="D29" s="299">
        <f>+'Base de Datos'!I29</f>
        <v>7192000</v>
      </c>
      <c r="E29" s="300">
        <f>+'Base de Datos'!M29</f>
        <v>41089</v>
      </c>
      <c r="F29" s="300">
        <f>+'Base de Datos'!N29</f>
        <v>41333</v>
      </c>
      <c r="G29" s="300" t="e">
        <f>+'Base de Datos'!#REF!</f>
        <v>#REF!</v>
      </c>
      <c r="H29" s="299">
        <f>+'Base de Datos'!X29</f>
        <v>7192000</v>
      </c>
      <c r="I29" s="301" t="e">
        <f>IF(VLOOKUP(B29,'Base de Datos'!$E$7:$T$303,11,0),"SI","NO")</f>
        <v>#VALUE!</v>
      </c>
      <c r="J29" s="302" t="e">
        <f t="shared" si="0"/>
        <v>#VALUE!</v>
      </c>
      <c r="K29" s="301" t="e">
        <f>IF(VLOOKUP(B29,'Base de Datos'!$E$7:$T$303,11,0),"SI","NO")</f>
        <v>#VALUE!</v>
      </c>
      <c r="L29" s="302" t="e">
        <f t="shared" si="1"/>
        <v>#VALUE!</v>
      </c>
      <c r="M29" s="302">
        <f>VLOOKUP(B29,'Base de Datos'!$E$7:$AC$303,21,0)</f>
        <v>7192000</v>
      </c>
      <c r="N29" s="363" t="e">
        <f t="shared" ca="1" si="5"/>
        <v>#REF!</v>
      </c>
      <c r="O29" s="302">
        <f>VLOOKUP(B29,'Base de Datos'!$E$7:$AC$303,22,0)</f>
        <v>0</v>
      </c>
      <c r="P29" s="362" t="str">
        <f t="shared" ca="1" si="2"/>
        <v/>
      </c>
      <c r="Q29" s="375" t="e">
        <f t="shared" ca="1" si="6"/>
        <v>#VALUE!</v>
      </c>
      <c r="R29" s="298">
        <f>VLOOKUP(B29,'Base de Datos'!E29:AU325,33,0)</f>
        <v>0</v>
      </c>
      <c r="S29" s="301" t="e">
        <f t="shared" ca="1" si="3"/>
        <v>#REF!</v>
      </c>
      <c r="T29" s="298" t="str">
        <f t="shared" si="4"/>
        <v/>
      </c>
      <c r="U29" s="298" t="str">
        <f>VLOOKUP(B29,'Base de Datos'!$E$7:$AU$401,38,0)</f>
        <v>SI</v>
      </c>
    </row>
    <row r="30" spans="1:25" ht="23.25" customHeight="1" thickTop="1" thickBot="1" x14ac:dyDescent="0.35">
      <c r="A30" s="96">
        <v>24</v>
      </c>
      <c r="B30" s="298" t="str">
        <f>+'Base de Datos'!E30</f>
        <v>050000-290-0-2012</v>
      </c>
      <c r="C30" s="298" t="str">
        <f>+'Base de Datos'!F30</f>
        <v>INGENIERÍA DE BOMBAS Y PLANTAS LIMITADA</v>
      </c>
      <c r="D30" s="299">
        <f>+'Base de Datos'!I30</f>
        <v>4839200</v>
      </c>
      <c r="E30" s="300">
        <f>+'Base de Datos'!M30</f>
        <v>41144</v>
      </c>
      <c r="F30" s="300">
        <f>+'Base de Datos'!N30</f>
        <v>41328</v>
      </c>
      <c r="G30" s="300" t="e">
        <f>+'Base de Datos'!#REF!</f>
        <v>#REF!</v>
      </c>
      <c r="H30" s="299">
        <f>+'Base de Datos'!X30</f>
        <v>4839200</v>
      </c>
      <c r="I30" s="301" t="e">
        <f>IF(VLOOKUP(B30,'Base de Datos'!$E$7:$T$303,11,0),"SI","NO")</f>
        <v>#VALUE!</v>
      </c>
      <c r="J30" s="302" t="e">
        <f t="shared" si="0"/>
        <v>#VALUE!</v>
      </c>
      <c r="K30" s="301" t="e">
        <f>IF(VLOOKUP(B30,'Base de Datos'!$E$7:$T$303,11,0),"SI","NO")</f>
        <v>#VALUE!</v>
      </c>
      <c r="L30" s="302" t="e">
        <f t="shared" si="1"/>
        <v>#VALUE!</v>
      </c>
      <c r="M30" s="302">
        <f>VLOOKUP(B30,'Base de Datos'!$E$7:$AC$303,21,0)</f>
        <v>4839200</v>
      </c>
      <c r="N30" s="363" t="e">
        <f t="shared" ca="1" si="5"/>
        <v>#REF!</v>
      </c>
      <c r="O30" s="302">
        <f>VLOOKUP(B30,'Base de Datos'!$E$7:$AC$303,22,0)</f>
        <v>0</v>
      </c>
      <c r="P30" s="362" t="str">
        <f t="shared" ca="1" si="2"/>
        <v/>
      </c>
      <c r="Q30" s="375" t="e">
        <f t="shared" ca="1" si="6"/>
        <v>#VALUE!</v>
      </c>
      <c r="R30" s="298">
        <f>VLOOKUP(B30,'Base de Datos'!E30:AU326,33,0)</f>
        <v>0</v>
      </c>
      <c r="S30" s="301" t="e">
        <f t="shared" ca="1" si="3"/>
        <v>#REF!</v>
      </c>
      <c r="T30" s="298" t="str">
        <f t="shared" si="4"/>
        <v/>
      </c>
      <c r="U30" s="298" t="str">
        <f>VLOOKUP(B30,'Base de Datos'!$E$7:$AU$401,38,0)</f>
        <v>SI</v>
      </c>
    </row>
    <row r="31" spans="1:25" ht="23.25" customHeight="1" thickTop="1" thickBot="1" x14ac:dyDescent="0.35">
      <c r="A31" s="96">
        <v>25</v>
      </c>
      <c r="B31" s="298" t="str">
        <f>+'Base de Datos'!E31</f>
        <v>050000-324-0-2012</v>
      </c>
      <c r="C31" s="298" t="str">
        <f>+'Base de Datos'!F31</f>
        <v>JAKO IMPORTACIONES S.A.S</v>
      </c>
      <c r="D31" s="299">
        <f>+'Base de Datos'!I31</f>
        <v>13527752</v>
      </c>
      <c r="E31" s="300">
        <f>+'Base de Datos'!M31</f>
        <v>41137</v>
      </c>
      <c r="F31" s="300">
        <f>+'Base de Datos'!N31</f>
        <v>41349</v>
      </c>
      <c r="G31" s="300" t="e">
        <f>+'Base de Datos'!#REF!</f>
        <v>#REF!</v>
      </c>
      <c r="H31" s="299">
        <f>+'Base de Datos'!X31</f>
        <v>13527752</v>
      </c>
      <c r="I31" s="301" t="e">
        <f>IF(VLOOKUP(B31,'Base de Datos'!$E$7:$T$303,11,0),"SI","NO")</f>
        <v>#VALUE!</v>
      </c>
      <c r="J31" s="302" t="e">
        <f t="shared" si="0"/>
        <v>#VALUE!</v>
      </c>
      <c r="K31" s="301" t="e">
        <f>IF(VLOOKUP(B31,'Base de Datos'!$E$7:$T$303,11,0),"SI","NO")</f>
        <v>#VALUE!</v>
      </c>
      <c r="L31" s="302" t="e">
        <f t="shared" si="1"/>
        <v>#VALUE!</v>
      </c>
      <c r="M31" s="302">
        <f>VLOOKUP(B31,'Base de Datos'!$E$7:$AC$303,21,0)</f>
        <v>0</v>
      </c>
      <c r="N31" s="363" t="e">
        <f t="shared" ca="1" si="5"/>
        <v>#REF!</v>
      </c>
      <c r="O31" s="302">
        <f>VLOOKUP(B31,'Base de Datos'!$E$7:$AC$303,22,0)</f>
        <v>13527752</v>
      </c>
      <c r="P31" s="362" t="str">
        <f t="shared" ca="1" si="2"/>
        <v/>
      </c>
      <c r="Q31" s="375" t="e">
        <f t="shared" ca="1" si="6"/>
        <v>#VALUE!</v>
      </c>
      <c r="R31" s="298" t="str">
        <f>VLOOKUP(B31,'Base de Datos'!E31:AU327,33,0)</f>
        <v>Dirección Administrativa</v>
      </c>
      <c r="S31" s="301" t="e">
        <f t="shared" ca="1" si="3"/>
        <v>#REF!</v>
      </c>
      <c r="T31" s="298" t="str">
        <f t="shared" si="4"/>
        <v/>
      </c>
      <c r="U31" s="298" t="str">
        <f>VLOOKUP(B31,'Base de Datos'!$E$7:$AU$401,38,0)</f>
        <v>SI</v>
      </c>
    </row>
    <row r="32" spans="1:25" ht="23.25" customHeight="1" thickTop="1" thickBot="1" x14ac:dyDescent="0.35">
      <c r="A32" s="96">
        <v>26</v>
      </c>
      <c r="B32" s="298" t="str">
        <f>+'Base de Datos'!E32</f>
        <v>050000-333-0-2012</v>
      </c>
      <c r="C32" s="298" t="str">
        <f>+'Base de Datos'!F32</f>
        <v>POSITIVA COMPAÑÍA DE SEGUROS S A</v>
      </c>
      <c r="D32" s="299">
        <f>+'Base de Datos'!I32</f>
        <v>85219000</v>
      </c>
      <c r="E32" s="300">
        <f>+'Base de Datos'!M32</f>
        <v>41122</v>
      </c>
      <c r="F32" s="300">
        <f>+'Base de Datos'!N32</f>
        <v>41531</v>
      </c>
      <c r="G32" s="300" t="e">
        <f>+'Base de Datos'!#REF!</f>
        <v>#REF!</v>
      </c>
      <c r="H32" s="299">
        <f>+'Base de Datos'!X32</f>
        <v>100321355</v>
      </c>
      <c r="I32" s="301" t="e">
        <f>IF(VLOOKUP(B32,'Base de Datos'!$E$7:$T$303,11,0),"SI","NO")</f>
        <v>#VALUE!</v>
      </c>
      <c r="J32" s="302" t="e">
        <f t="shared" si="0"/>
        <v>#VALUE!</v>
      </c>
      <c r="K32" s="301" t="e">
        <f>IF(VLOOKUP(B32,'Base de Datos'!$E$7:$T$303,11,0),"SI","NO")</f>
        <v>#VALUE!</v>
      </c>
      <c r="L32" s="302" t="e">
        <f t="shared" si="1"/>
        <v>#VALUE!</v>
      </c>
      <c r="M32" s="302">
        <f>VLOOKUP(B32,'Base de Datos'!$E$7:$AC$303,21,0)</f>
        <v>95321355</v>
      </c>
      <c r="N32" s="363" t="e">
        <f t="shared" ca="1" si="5"/>
        <v>#REF!</v>
      </c>
      <c r="O32" s="302">
        <f>VLOOKUP(B32,'Base de Datos'!$E$7:$AC$303,22,0)</f>
        <v>5000000</v>
      </c>
      <c r="P32" s="362" t="str">
        <f t="shared" ca="1" si="2"/>
        <v/>
      </c>
      <c r="Q32" s="375" t="e">
        <f t="shared" ca="1" si="6"/>
        <v>#VALUE!</v>
      </c>
      <c r="R32" s="298">
        <f>VLOOKUP(B32,'Base de Datos'!E32:AU328,33,0)</f>
        <v>0</v>
      </c>
      <c r="S32" s="301" t="e">
        <f t="shared" ca="1" si="3"/>
        <v>#REF!</v>
      </c>
      <c r="T32" s="298" t="str">
        <f t="shared" si="4"/>
        <v/>
      </c>
      <c r="U32" s="298" t="str">
        <f>VLOOKUP(B32,'Base de Datos'!$E$7:$AU$401,38,0)</f>
        <v>SI</v>
      </c>
    </row>
    <row r="33" spans="1:21" ht="23.25" customHeight="1" thickTop="1" thickBot="1" x14ac:dyDescent="0.35">
      <c r="A33" s="96">
        <v>27</v>
      </c>
      <c r="B33" s="298" t="str">
        <f>+'Base de Datos'!E33</f>
        <v>050000-340-0-2012</v>
      </c>
      <c r="C33" s="298" t="str">
        <f>+'Base de Datos'!F33</f>
        <v>UNIÓN TEMPORAL SEGUROS GENERALES SURAMERICANA S.A. PREVISORA S.A. COMPAÑÍA DE SEGUROS Y QBE SEGUROS S.A.</v>
      </c>
      <c r="D33" s="299">
        <f>+'Base de Datos'!I33</f>
        <v>81888094</v>
      </c>
      <c r="E33" s="300">
        <f>+'Base de Datos'!M33</f>
        <v>41122</v>
      </c>
      <c r="F33" s="300">
        <f>+'Base de Datos'!N33</f>
        <v>41516</v>
      </c>
      <c r="G33" s="300" t="e">
        <f>+'Base de Datos'!#REF!</f>
        <v>#REF!</v>
      </c>
      <c r="H33" s="299">
        <f>+'Base de Datos'!X33</f>
        <v>99122327</v>
      </c>
      <c r="I33" s="301" t="e">
        <f>IF(VLOOKUP(B33,'Base de Datos'!$E$7:$T$303,11,0),"SI","NO")</f>
        <v>#VALUE!</v>
      </c>
      <c r="J33" s="302" t="e">
        <f t="shared" si="0"/>
        <v>#VALUE!</v>
      </c>
      <c r="K33" s="301" t="e">
        <f>IF(VLOOKUP(B33,'Base de Datos'!$E$7:$T$303,11,0),"SI","NO")</f>
        <v>#VALUE!</v>
      </c>
      <c r="L33" s="302" t="e">
        <f t="shared" si="1"/>
        <v>#VALUE!</v>
      </c>
      <c r="M33" s="302">
        <f>VLOOKUP(B33,'Base de Datos'!$E$7:$AC$303,21,0)</f>
        <v>93840542</v>
      </c>
      <c r="N33" s="363" t="e">
        <f t="shared" ca="1" si="5"/>
        <v>#REF!</v>
      </c>
      <c r="O33" s="302">
        <f>VLOOKUP(B33,'Base de Datos'!$E$7:$AC$303,22,0)</f>
        <v>5281785</v>
      </c>
      <c r="P33" s="362" t="str">
        <f t="shared" ca="1" si="2"/>
        <v/>
      </c>
      <c r="Q33" s="375" t="e">
        <f t="shared" ca="1" si="6"/>
        <v>#VALUE!</v>
      </c>
      <c r="R33" s="298">
        <f>VLOOKUP(B33,'Base de Datos'!E33:AU329,33,0)</f>
        <v>0</v>
      </c>
      <c r="S33" s="301" t="e">
        <f t="shared" ca="1" si="3"/>
        <v>#REF!</v>
      </c>
      <c r="T33" s="298" t="str">
        <f t="shared" si="4"/>
        <v/>
      </c>
      <c r="U33" s="298" t="str">
        <f>VLOOKUP(B33,'Base de Datos'!$E$7:$AU$401,38,0)</f>
        <v>SI</v>
      </c>
    </row>
    <row r="34" spans="1:21" ht="23.25" customHeight="1" thickTop="1" thickBot="1" x14ac:dyDescent="0.35">
      <c r="A34" s="96">
        <v>28</v>
      </c>
      <c r="B34" s="298" t="str">
        <f>+'Base de Datos'!E34</f>
        <v>050000-342-0-2012</v>
      </c>
      <c r="C34" s="298" t="str">
        <f>+'Base de Datos'!F34</f>
        <v>COMUNICAN S.A</v>
      </c>
      <c r="D34" s="299">
        <f>+'Base de Datos'!I34</f>
        <v>900000</v>
      </c>
      <c r="E34" s="300">
        <f>+'Base de Datos'!M34</f>
        <v>41162</v>
      </c>
      <c r="F34" s="300">
        <f>+'Base de Datos'!N34</f>
        <v>41527</v>
      </c>
      <c r="G34" s="300" t="e">
        <f>+'Base de Datos'!#REF!</f>
        <v>#REF!</v>
      </c>
      <c r="H34" s="299">
        <f>+'Base de Datos'!X34</f>
        <v>900000</v>
      </c>
      <c r="I34" s="301" t="e">
        <f>IF(VLOOKUP(B34,'Base de Datos'!$E$7:$T$303,11,0),"SI","NO")</f>
        <v>#VALUE!</v>
      </c>
      <c r="J34" s="302" t="e">
        <f t="shared" si="0"/>
        <v>#VALUE!</v>
      </c>
      <c r="K34" s="301" t="e">
        <f>IF(VLOOKUP(B34,'Base de Datos'!$E$7:$T$303,11,0),"SI","NO")</f>
        <v>#VALUE!</v>
      </c>
      <c r="L34" s="302" t="e">
        <f t="shared" si="1"/>
        <v>#VALUE!</v>
      </c>
      <c r="M34" s="302">
        <f>VLOOKUP(B34,'Base de Datos'!$E$7:$AC$303,21,0)</f>
        <v>900000</v>
      </c>
      <c r="N34" s="363" t="e">
        <f t="shared" ca="1" si="5"/>
        <v>#REF!</v>
      </c>
      <c r="O34" s="302">
        <f>VLOOKUP(B34,'Base de Datos'!$E$7:$AC$303,22,0)</f>
        <v>0</v>
      </c>
      <c r="P34" s="362" t="str">
        <f t="shared" ca="1" si="2"/>
        <v/>
      </c>
      <c r="Q34" s="375" t="e">
        <f t="shared" ca="1" si="6"/>
        <v>#VALUE!</v>
      </c>
      <c r="R34" s="298">
        <f>VLOOKUP(B34,'Base de Datos'!E34:AU330,33,0)</f>
        <v>0</v>
      </c>
      <c r="S34" s="301" t="e">
        <f t="shared" ca="1" si="3"/>
        <v>#REF!</v>
      </c>
      <c r="T34" s="298" t="str">
        <f t="shared" si="4"/>
        <v/>
      </c>
      <c r="U34" s="298" t="str">
        <f>VLOOKUP(B34,'Base de Datos'!$E$7:$AU$401,38,0)</f>
        <v>SI</v>
      </c>
    </row>
    <row r="35" spans="1:21" ht="23.25" customHeight="1" thickTop="1" thickBot="1" x14ac:dyDescent="0.35">
      <c r="A35" s="96">
        <v>29</v>
      </c>
      <c r="B35" s="298" t="str">
        <f>+'Base de Datos'!E35</f>
        <v>050000-346-0-2012</v>
      </c>
      <c r="C35" s="298" t="str">
        <f>+'Base de Datos'!F35</f>
        <v>EDITORIAL LA UNIDAD</v>
      </c>
      <c r="D35" s="299">
        <f>+'Base de Datos'!I35</f>
        <v>840000</v>
      </c>
      <c r="E35" s="300">
        <f>+'Base de Datos'!M35</f>
        <v>41165</v>
      </c>
      <c r="F35" s="300">
        <f>+'Base de Datos'!N35</f>
        <v>41530</v>
      </c>
      <c r="G35" s="300" t="e">
        <f>+'Base de Datos'!#REF!</f>
        <v>#REF!</v>
      </c>
      <c r="H35" s="299">
        <f>+'Base de Datos'!X35</f>
        <v>840000</v>
      </c>
      <c r="I35" s="301" t="e">
        <f>IF(VLOOKUP(B35,'Base de Datos'!$E$7:$T$303,11,0),"SI","NO")</f>
        <v>#VALUE!</v>
      </c>
      <c r="J35" s="302" t="e">
        <f t="shared" si="0"/>
        <v>#VALUE!</v>
      </c>
      <c r="K35" s="301" t="e">
        <f>IF(VLOOKUP(B35,'Base de Datos'!$E$7:$T$303,11,0),"SI","NO")</f>
        <v>#VALUE!</v>
      </c>
      <c r="L35" s="302" t="e">
        <f t="shared" si="1"/>
        <v>#VALUE!</v>
      </c>
      <c r="M35" s="302">
        <f>VLOOKUP(B35,'Base de Datos'!$E$7:$AC$303,21,0)</f>
        <v>840000</v>
      </c>
      <c r="N35" s="363" t="e">
        <f t="shared" ca="1" si="5"/>
        <v>#REF!</v>
      </c>
      <c r="O35" s="302">
        <f>VLOOKUP(B35,'Base de Datos'!$E$7:$AC$303,22,0)</f>
        <v>0</v>
      </c>
      <c r="P35" s="362" t="str">
        <f t="shared" ca="1" si="2"/>
        <v/>
      </c>
      <c r="Q35" s="375" t="e">
        <f t="shared" ca="1" si="6"/>
        <v>#VALUE!</v>
      </c>
      <c r="R35" s="298">
        <f>VLOOKUP(B35,'Base de Datos'!E35:AU331,33,0)</f>
        <v>0</v>
      </c>
      <c r="S35" s="301" t="e">
        <f t="shared" ca="1" si="3"/>
        <v>#REF!</v>
      </c>
      <c r="T35" s="298" t="str">
        <f t="shared" si="4"/>
        <v/>
      </c>
      <c r="U35" s="298" t="str">
        <f>VLOOKUP(B35,'Base de Datos'!$E$7:$AU$401,38,0)</f>
        <v>SI</v>
      </c>
    </row>
    <row r="36" spans="1:21" ht="23.25" customHeight="1" thickTop="1" thickBot="1" x14ac:dyDescent="0.35">
      <c r="A36" s="96">
        <v>30</v>
      </c>
      <c r="B36" s="298" t="str">
        <f>+'Base de Datos'!E36</f>
        <v>050000-348-0-2012</v>
      </c>
      <c r="C36" s="298" t="str">
        <f>+'Base de Datos'!F36</f>
        <v>PUBLICACIONES SEMANA S.A.</v>
      </c>
      <c r="D36" s="299">
        <f>+'Base de Datos'!I36</f>
        <v>795000</v>
      </c>
      <c r="E36" s="300">
        <f>+'Base de Datos'!M36</f>
        <v>41180</v>
      </c>
      <c r="F36" s="300">
        <f>+'Base de Datos'!N36</f>
        <v>41545</v>
      </c>
      <c r="G36" s="300" t="e">
        <f>+'Base de Datos'!#REF!</f>
        <v>#REF!</v>
      </c>
      <c r="H36" s="299">
        <f>+'Base de Datos'!X36</f>
        <v>795000</v>
      </c>
      <c r="I36" s="301" t="e">
        <f>IF(VLOOKUP(B36,'Base de Datos'!$E$7:$T$303,11,0),"SI","NO")</f>
        <v>#VALUE!</v>
      </c>
      <c r="J36" s="302" t="e">
        <f t="shared" si="0"/>
        <v>#VALUE!</v>
      </c>
      <c r="K36" s="301" t="e">
        <f>IF(VLOOKUP(B36,'Base de Datos'!$E$7:$T$303,11,0),"SI","NO")</f>
        <v>#VALUE!</v>
      </c>
      <c r="L36" s="302" t="e">
        <f t="shared" si="1"/>
        <v>#VALUE!</v>
      </c>
      <c r="M36" s="302">
        <f>VLOOKUP(B36,'Base de Datos'!$E$7:$AC$303,21,0)</f>
        <v>795000</v>
      </c>
      <c r="N36" s="363" t="e">
        <f t="shared" ca="1" si="5"/>
        <v>#REF!</v>
      </c>
      <c r="O36" s="302">
        <f>VLOOKUP(B36,'Base de Datos'!$E$7:$AC$303,22,0)</f>
        <v>0</v>
      </c>
      <c r="P36" s="362" t="str">
        <f t="shared" ca="1" si="2"/>
        <v/>
      </c>
      <c r="Q36" s="375" t="e">
        <f t="shared" ca="1" si="6"/>
        <v>#VALUE!</v>
      </c>
      <c r="R36" s="298">
        <f>VLOOKUP(B36,'Base de Datos'!E36:AU332,33,0)</f>
        <v>0</v>
      </c>
      <c r="S36" s="301" t="e">
        <f t="shared" ca="1" si="3"/>
        <v>#REF!</v>
      </c>
      <c r="T36" s="298" t="str">
        <f t="shared" si="4"/>
        <v/>
      </c>
      <c r="U36" s="298" t="str">
        <f>VLOOKUP(B36,'Base de Datos'!$E$7:$AU$401,38,0)</f>
        <v>SI</v>
      </c>
    </row>
    <row r="37" spans="1:21" ht="23.25" customHeight="1" thickTop="1" thickBot="1" x14ac:dyDescent="0.35">
      <c r="A37" s="96">
        <v>31</v>
      </c>
      <c r="B37" s="298" t="str">
        <f>+'Base de Datos'!E37</f>
        <v>050000-349-0-2012</v>
      </c>
      <c r="C37" s="298" t="str">
        <f>+'Base de Datos'!F37</f>
        <v>INTEGRA SECURITY SYSTEMS S A</v>
      </c>
      <c r="D37" s="299">
        <f>+'Base de Datos'!I37</f>
        <v>1818000</v>
      </c>
      <c r="E37" s="300">
        <f>+'Base de Datos'!M37</f>
        <v>41165</v>
      </c>
      <c r="F37" s="300">
        <f>+'Base de Datos'!N37</f>
        <v>41346</v>
      </c>
      <c r="G37" s="300" t="e">
        <f>+'Base de Datos'!#REF!</f>
        <v>#REF!</v>
      </c>
      <c r="H37" s="299">
        <f>+'Base de Datos'!X37</f>
        <v>1818000</v>
      </c>
      <c r="I37" s="301" t="e">
        <f>IF(VLOOKUP(B37,'Base de Datos'!$E$7:$T$303,11,0),"SI","NO")</f>
        <v>#VALUE!</v>
      </c>
      <c r="J37" s="302" t="e">
        <f t="shared" si="0"/>
        <v>#VALUE!</v>
      </c>
      <c r="K37" s="301" t="e">
        <f>IF(VLOOKUP(B37,'Base de Datos'!$E$7:$T$303,11,0),"SI","NO")</f>
        <v>#VALUE!</v>
      </c>
      <c r="L37" s="302" t="e">
        <f t="shared" si="1"/>
        <v>#VALUE!</v>
      </c>
      <c r="M37" s="302">
        <f>VLOOKUP(B37,'Base de Datos'!$E$7:$AC$303,21,0)</f>
        <v>0</v>
      </c>
      <c r="N37" s="363" t="e">
        <f t="shared" ca="1" si="5"/>
        <v>#REF!</v>
      </c>
      <c r="O37" s="302">
        <f>VLOOKUP(B37,'Base de Datos'!$E$7:$AC$303,22,0)</f>
        <v>1818000</v>
      </c>
      <c r="P37" s="362" t="str">
        <f t="shared" ca="1" si="2"/>
        <v/>
      </c>
      <c r="Q37" s="375" t="e">
        <f t="shared" ca="1" si="6"/>
        <v>#VALUE!</v>
      </c>
      <c r="R37" s="298" t="str">
        <f>VLOOKUP(B37,'Base de Datos'!E37:AU333,33,0)</f>
        <v>Dirección Administrativa</v>
      </c>
      <c r="S37" s="301" t="e">
        <f t="shared" ca="1" si="3"/>
        <v>#REF!</v>
      </c>
      <c r="T37" s="298" t="str">
        <f t="shared" si="4"/>
        <v/>
      </c>
      <c r="U37" s="298" t="str">
        <f>VLOOKUP(B37,'Base de Datos'!$E$7:$AU$401,38,0)</f>
        <v>SI</v>
      </c>
    </row>
    <row r="38" spans="1:21" ht="23.25" customHeight="1" thickTop="1" thickBot="1" x14ac:dyDescent="0.35">
      <c r="A38" s="96">
        <v>32</v>
      </c>
      <c r="B38" s="298" t="str">
        <f>+'Base de Datos'!E38</f>
        <v>050000-353-0-2012</v>
      </c>
      <c r="C38" s="298" t="str">
        <f>+'Base de Datos'!F38</f>
        <v>YAMILE MARIVEL MOLANO GUZMÁN</v>
      </c>
      <c r="D38" s="299">
        <f>+'Base de Datos'!I38</f>
        <v>30000000</v>
      </c>
      <c r="E38" s="300">
        <f>+'Base de Datos'!M38</f>
        <v>41151</v>
      </c>
      <c r="F38" s="300">
        <f>+'Base de Datos'!N38</f>
        <v>41333</v>
      </c>
      <c r="G38" s="300" t="e">
        <f>+'Base de Datos'!#REF!</f>
        <v>#REF!</v>
      </c>
      <c r="H38" s="299">
        <f>+'Base de Datos'!X38</f>
        <v>30000000</v>
      </c>
      <c r="I38" s="301" t="e">
        <f>IF(VLOOKUP(B38,'Base de Datos'!$E$7:$T$303,11,0),"SI","NO")</f>
        <v>#VALUE!</v>
      </c>
      <c r="J38" s="302" t="e">
        <f t="shared" si="0"/>
        <v>#VALUE!</v>
      </c>
      <c r="K38" s="301" t="e">
        <f>IF(VLOOKUP(B38,'Base de Datos'!$E$7:$T$303,11,0),"SI","NO")</f>
        <v>#VALUE!</v>
      </c>
      <c r="L38" s="302" t="e">
        <f t="shared" si="1"/>
        <v>#VALUE!</v>
      </c>
      <c r="M38" s="302">
        <f>VLOOKUP(B38,'Base de Datos'!$E$7:$AC$303,21,0)</f>
        <v>30000000</v>
      </c>
      <c r="N38" s="363" t="e">
        <f t="shared" ca="1" si="5"/>
        <v>#REF!</v>
      </c>
      <c r="O38" s="302">
        <f>VLOOKUP(B38,'Base de Datos'!$E$7:$AC$303,22,0)</f>
        <v>0</v>
      </c>
      <c r="P38" s="362" t="str">
        <f t="shared" ca="1" si="2"/>
        <v/>
      </c>
      <c r="Q38" s="375" t="e">
        <f t="shared" ca="1" si="6"/>
        <v>#VALUE!</v>
      </c>
      <c r="R38" s="298">
        <f>VLOOKUP(B38,'Base de Datos'!E38:AU334,33,0)</f>
        <v>0</v>
      </c>
      <c r="S38" s="301" t="e">
        <f t="shared" ca="1" si="3"/>
        <v>#REF!</v>
      </c>
      <c r="T38" s="298" t="str">
        <f t="shared" si="4"/>
        <v/>
      </c>
      <c r="U38" s="298" t="str">
        <f>VLOOKUP(B38,'Base de Datos'!$E$7:$AU$401,38,0)</f>
        <v>NO</v>
      </c>
    </row>
    <row r="39" spans="1:21" ht="23.25" customHeight="1" thickTop="1" thickBot="1" x14ac:dyDescent="0.35">
      <c r="A39" s="96">
        <v>33</v>
      </c>
      <c r="B39" s="298" t="str">
        <f>+'Base de Datos'!E39</f>
        <v>050000-356-0-2012</v>
      </c>
      <c r="C39" s="298" t="str">
        <f>+'Base de Datos'!F39</f>
        <v>AMANDA LILIANA RICO DÍAZ</v>
      </c>
      <c r="D39" s="299">
        <f>+'Base de Datos'!I39</f>
        <v>35000000</v>
      </c>
      <c r="E39" s="300">
        <f>+'Base de Datos'!M39</f>
        <v>41155</v>
      </c>
      <c r="F39" s="300">
        <f>+'Base de Datos'!N39</f>
        <v>41367</v>
      </c>
      <c r="G39" s="300" t="e">
        <f>+'Base de Datos'!#REF!</f>
        <v>#REF!</v>
      </c>
      <c r="H39" s="299">
        <f>+'Base de Datos'!X39</f>
        <v>35000000</v>
      </c>
      <c r="I39" s="301" t="e">
        <f>IF(VLOOKUP(B39,'Base de Datos'!$E$7:$T$303,11,0),"SI","NO")</f>
        <v>#VALUE!</v>
      </c>
      <c r="J39" s="302" t="e">
        <f t="shared" si="0"/>
        <v>#VALUE!</v>
      </c>
      <c r="K39" s="301" t="e">
        <f>IF(VLOOKUP(B39,'Base de Datos'!$E$7:$T$303,11,0),"SI","NO")</f>
        <v>#VALUE!</v>
      </c>
      <c r="L39" s="302" t="e">
        <f t="shared" si="1"/>
        <v>#VALUE!</v>
      </c>
      <c r="M39" s="302">
        <f>VLOOKUP(B39,'Base de Datos'!$E$7:$AC$303,21,0)</f>
        <v>34666667</v>
      </c>
      <c r="N39" s="363" t="e">
        <f t="shared" ca="1" si="5"/>
        <v>#REF!</v>
      </c>
      <c r="O39" s="302">
        <f>VLOOKUP(B39,'Base de Datos'!$E$7:$AC$303,22,0)</f>
        <v>333333</v>
      </c>
      <c r="P39" s="362" t="str">
        <f t="shared" ca="1" si="2"/>
        <v/>
      </c>
      <c r="Q39" s="375" t="e">
        <f t="shared" ca="1" si="6"/>
        <v>#VALUE!</v>
      </c>
      <c r="R39" s="298">
        <f>VLOOKUP(B39,'Base de Datos'!E39:AU335,33,0)</f>
        <v>0</v>
      </c>
      <c r="S39" s="301" t="e">
        <f t="shared" ca="1" si="3"/>
        <v>#REF!</v>
      </c>
      <c r="T39" s="298" t="str">
        <f t="shared" si="4"/>
        <v/>
      </c>
      <c r="U39" s="298" t="str">
        <f>VLOOKUP(B39,'Base de Datos'!$E$7:$AU$401,38,0)</f>
        <v>NO</v>
      </c>
    </row>
    <row r="40" spans="1:21" ht="23.25" customHeight="1" thickTop="1" thickBot="1" x14ac:dyDescent="0.35">
      <c r="A40" s="96">
        <v>34</v>
      </c>
      <c r="B40" s="298" t="str">
        <f>+'Base de Datos'!E40</f>
        <v>050000-358-0-2012</v>
      </c>
      <c r="C40" s="298" t="str">
        <f>+'Base de Datos'!F40</f>
        <v>CALIDAD COMPORTAMIENTO EMPRESARIAL LTDA</v>
      </c>
      <c r="D40" s="299">
        <f>+'Base de Datos'!I40</f>
        <v>8334226</v>
      </c>
      <c r="E40" s="300">
        <f>+'Base de Datos'!M40</f>
        <v>41170</v>
      </c>
      <c r="F40" s="300">
        <f>+'Base de Datos'!N40</f>
        <v>41626</v>
      </c>
      <c r="G40" s="300" t="e">
        <f>+'Base de Datos'!#REF!</f>
        <v>#REF!</v>
      </c>
      <c r="H40" s="299">
        <f>+'Base de Datos'!X40</f>
        <v>8334226</v>
      </c>
      <c r="I40" s="301" t="e">
        <f>IF(VLOOKUP(B40,'Base de Datos'!$E$7:$T$303,11,0),"SI","NO")</f>
        <v>#VALUE!</v>
      </c>
      <c r="J40" s="302" t="e">
        <f t="shared" si="0"/>
        <v>#VALUE!</v>
      </c>
      <c r="K40" s="301" t="e">
        <f>IF(VLOOKUP(B40,'Base de Datos'!$E$7:$T$303,11,0),"SI","NO")</f>
        <v>#VALUE!</v>
      </c>
      <c r="L40" s="302" t="e">
        <f t="shared" si="1"/>
        <v>#VALUE!</v>
      </c>
      <c r="M40" s="302">
        <f>VLOOKUP(B40,'Base de Datos'!$E$7:$AC$303,21,0)</f>
        <v>8334226</v>
      </c>
      <c r="N40" s="363" t="e">
        <f t="shared" ca="1" si="5"/>
        <v>#REF!</v>
      </c>
      <c r="O40" s="302">
        <f>VLOOKUP(B40,'Base de Datos'!$E$7:$AC$303,22,0)</f>
        <v>0</v>
      </c>
      <c r="P40" s="362" t="str">
        <f t="shared" ca="1" si="2"/>
        <v/>
      </c>
      <c r="Q40" s="375" t="e">
        <f t="shared" ca="1" si="6"/>
        <v>#VALUE!</v>
      </c>
      <c r="R40" s="298" t="str">
        <f>VLOOKUP(B40,'Base de Datos'!E40:AU336,33,0)</f>
        <v>Dirección Administrativa</v>
      </c>
      <c r="S40" s="301" t="e">
        <f t="shared" ca="1" si="3"/>
        <v>#REF!</v>
      </c>
      <c r="T40" s="298" t="str">
        <f t="shared" si="4"/>
        <v/>
      </c>
      <c r="U40" s="298" t="str">
        <f>VLOOKUP(B40,'Base de Datos'!$E$7:$AU$401,38,0)</f>
        <v>SI</v>
      </c>
    </row>
    <row r="41" spans="1:21" ht="23.25" customHeight="1" thickTop="1" thickBot="1" x14ac:dyDescent="0.35">
      <c r="A41" s="96">
        <v>35</v>
      </c>
      <c r="B41" s="298" t="str">
        <f>+'Base de Datos'!E41</f>
        <v>120000-371-0-2012</v>
      </c>
      <c r="C41" s="298" t="str">
        <f>+'Base de Datos'!F41</f>
        <v>ORGANIZACIÓN TERPEL S.A.</v>
      </c>
      <c r="D41" s="299">
        <f>+'Base de Datos'!I41</f>
        <v>315000000</v>
      </c>
      <c r="E41" s="300">
        <f>+'Base de Datos'!M41</f>
        <v>41163</v>
      </c>
      <c r="F41" s="300">
        <f>+'Base de Datos'!N41</f>
        <v>41375</v>
      </c>
      <c r="G41" s="300" t="e">
        <f>+'Base de Datos'!#REF!</f>
        <v>#REF!</v>
      </c>
      <c r="H41" s="299">
        <f>+'Base de Datos'!X41</f>
        <v>315000000</v>
      </c>
      <c r="I41" s="301" t="e">
        <f>IF(VLOOKUP(B41,'Base de Datos'!$E$7:$T$303,11,0),"SI","NO")</f>
        <v>#VALUE!</v>
      </c>
      <c r="J41" s="302" t="e">
        <f t="shared" si="0"/>
        <v>#VALUE!</v>
      </c>
      <c r="K41" s="301" t="e">
        <f>IF(VLOOKUP(B41,'Base de Datos'!$E$7:$T$303,11,0),"SI","NO")</f>
        <v>#VALUE!</v>
      </c>
      <c r="L41" s="302" t="e">
        <f t="shared" si="1"/>
        <v>#VALUE!</v>
      </c>
      <c r="M41" s="302">
        <f>VLOOKUP(B41,'Base de Datos'!$E$7:$AC$303,21,0)</f>
        <v>314473887</v>
      </c>
      <c r="N41" s="363" t="e">
        <f t="shared" ca="1" si="5"/>
        <v>#REF!</v>
      </c>
      <c r="O41" s="302">
        <f>VLOOKUP(B41,'Base de Datos'!$E$7:$AC$303,22,0)</f>
        <v>526113</v>
      </c>
      <c r="P41" s="362" t="str">
        <f t="shared" ca="1" si="2"/>
        <v/>
      </c>
      <c r="Q41" s="375" t="e">
        <f t="shared" ca="1" si="6"/>
        <v>#VALUE!</v>
      </c>
      <c r="R41" s="298" t="str">
        <f>VLOOKUP(B41,'Base de Datos'!E41:AU337,33,0)</f>
        <v>Dirección Administrativa</v>
      </c>
      <c r="S41" s="301" t="e">
        <f t="shared" ca="1" si="3"/>
        <v>#REF!</v>
      </c>
      <c r="T41" s="298" t="str">
        <f t="shared" si="4"/>
        <v/>
      </c>
      <c r="U41" s="298" t="str">
        <f>VLOOKUP(B41,'Base de Datos'!$E$7:$AU$401,38,0)</f>
        <v>SI</v>
      </c>
    </row>
    <row r="42" spans="1:21" ht="23.25" customHeight="1" thickTop="1" thickBot="1" x14ac:dyDescent="0.35">
      <c r="A42" s="96">
        <v>36</v>
      </c>
      <c r="B42" s="298" t="str">
        <f>+'Base de Datos'!E42</f>
        <v>050000-386-0-2012</v>
      </c>
      <c r="C42" s="298" t="str">
        <f>+'Base de Datos'!F42</f>
        <v>JUAN MANUEL GÓMEZ DUARTE</v>
      </c>
      <c r="D42" s="299">
        <f>+'Base de Datos'!I42</f>
        <v>20565000</v>
      </c>
      <c r="E42" s="300">
        <f>+'Base de Datos'!M42</f>
        <v>41162</v>
      </c>
      <c r="F42" s="300">
        <f>+'Base de Datos'!N42</f>
        <v>41343</v>
      </c>
      <c r="G42" s="300" t="e">
        <f>+'Base de Datos'!#REF!</f>
        <v>#REF!</v>
      </c>
      <c r="H42" s="299">
        <f>+'Base de Datos'!X42</f>
        <v>20565000</v>
      </c>
      <c r="I42" s="301" t="e">
        <f>IF(VLOOKUP(B42,'Base de Datos'!$E$7:$T$303,11,0),"SI","NO")</f>
        <v>#VALUE!</v>
      </c>
      <c r="J42" s="302" t="e">
        <f t="shared" si="0"/>
        <v>#VALUE!</v>
      </c>
      <c r="K42" s="301" t="e">
        <f>IF(VLOOKUP(B42,'Base de Datos'!$E$7:$T$303,11,0),"SI","NO")</f>
        <v>#VALUE!</v>
      </c>
      <c r="L42" s="302" t="e">
        <f t="shared" si="1"/>
        <v>#VALUE!</v>
      </c>
      <c r="M42" s="302">
        <f>VLOOKUP(B42,'Base de Datos'!$E$7:$AC$303,21,0)</f>
        <v>20565000</v>
      </c>
      <c r="N42" s="363" t="e">
        <f t="shared" ca="1" si="5"/>
        <v>#REF!</v>
      </c>
      <c r="O42" s="302">
        <f>VLOOKUP(B42,'Base de Datos'!$E$7:$AC$303,22,0)</f>
        <v>0</v>
      </c>
      <c r="P42" s="362" t="str">
        <f t="shared" ca="1" si="2"/>
        <v/>
      </c>
      <c r="Q42" s="375" t="e">
        <f t="shared" ca="1" si="6"/>
        <v>#VALUE!</v>
      </c>
      <c r="R42" s="298">
        <f>VLOOKUP(B42,'Base de Datos'!E42:AU338,33,0)</f>
        <v>0</v>
      </c>
      <c r="S42" s="301" t="e">
        <f t="shared" ca="1" si="3"/>
        <v>#REF!</v>
      </c>
      <c r="T42" s="298" t="str">
        <f t="shared" si="4"/>
        <v/>
      </c>
      <c r="U42" s="298" t="str">
        <f>VLOOKUP(B42,'Base de Datos'!$E$7:$AU$401,38,0)</f>
        <v>NO</v>
      </c>
    </row>
    <row r="43" spans="1:21" ht="23.25" customHeight="1" thickTop="1" thickBot="1" x14ac:dyDescent="0.35">
      <c r="A43" s="96">
        <v>37</v>
      </c>
      <c r="B43" s="298" t="str">
        <f>+'Base de Datos'!E43</f>
        <v>050000-395-0-2012</v>
      </c>
      <c r="C43" s="298" t="str">
        <f>+'Base de Datos'!F43</f>
        <v>KARINA BELTRÁN MEJÍA</v>
      </c>
      <c r="D43" s="299">
        <f>+'Base de Datos'!I43</f>
        <v>6730000</v>
      </c>
      <c r="E43" s="300">
        <f>+'Base de Datos'!M43</f>
        <v>41193</v>
      </c>
      <c r="F43" s="300">
        <f>+'Base de Datos'!N43</f>
        <v>41254</v>
      </c>
      <c r="G43" s="300" t="e">
        <f>+'Base de Datos'!#REF!</f>
        <v>#REF!</v>
      </c>
      <c r="H43" s="299">
        <f>+'Base de Datos'!X43</f>
        <v>6730000</v>
      </c>
      <c r="I43" s="301" t="e">
        <f>IF(VLOOKUP(B43,'Base de Datos'!$E$7:$T$303,11,0),"SI","NO")</f>
        <v>#VALUE!</v>
      </c>
      <c r="J43" s="302" t="e">
        <f t="shared" si="0"/>
        <v>#VALUE!</v>
      </c>
      <c r="K43" s="301" t="e">
        <f>IF(VLOOKUP(B43,'Base de Datos'!$E$7:$T$303,11,0),"SI","NO")</f>
        <v>#VALUE!</v>
      </c>
      <c r="L43" s="302" t="e">
        <f t="shared" si="1"/>
        <v>#VALUE!</v>
      </c>
      <c r="M43" s="302">
        <f>VLOOKUP(B43,'Base de Datos'!$E$7:$AC$303,21,0)</f>
        <v>6395000</v>
      </c>
      <c r="N43" s="363" t="e">
        <f t="shared" ca="1" si="5"/>
        <v>#REF!</v>
      </c>
      <c r="O43" s="302">
        <f>VLOOKUP(B43,'Base de Datos'!$E$7:$AC$303,22,0)</f>
        <v>335000</v>
      </c>
      <c r="P43" s="362" t="str">
        <f t="shared" ca="1" si="2"/>
        <v/>
      </c>
      <c r="Q43" s="375" t="e">
        <f t="shared" ca="1" si="6"/>
        <v>#VALUE!</v>
      </c>
      <c r="R43" s="298">
        <f>VLOOKUP(B43,'Base de Datos'!E43:AU339,33,0)</f>
        <v>0</v>
      </c>
      <c r="S43" s="301" t="e">
        <f t="shared" ca="1" si="3"/>
        <v>#REF!</v>
      </c>
      <c r="T43" s="298" t="str">
        <f t="shared" si="4"/>
        <v/>
      </c>
      <c r="U43" s="298" t="str">
        <f>VLOOKUP(B43,'Base de Datos'!$E$7:$AU$401,38,0)</f>
        <v>SI</v>
      </c>
    </row>
    <row r="44" spans="1:21" ht="23.25" customHeight="1" thickTop="1" thickBot="1" x14ac:dyDescent="0.35">
      <c r="A44" s="96">
        <v>38</v>
      </c>
      <c r="B44" s="298" t="str">
        <f>+'Base de Datos'!E44</f>
        <v>050000-427-0-2012</v>
      </c>
      <c r="C44" s="298" t="str">
        <f>+'Base de Datos'!F44</f>
        <v xml:space="preserve">JORGE ENRIQUE AVILAN </v>
      </c>
      <c r="D44" s="299">
        <f>+'Base de Datos'!I44</f>
        <v>23994880</v>
      </c>
      <c r="E44" s="300">
        <f>+'Base de Datos'!M44</f>
        <v>41205</v>
      </c>
      <c r="F44" s="300">
        <f>+'Base de Datos'!N44</f>
        <v>41387</v>
      </c>
      <c r="G44" s="300" t="e">
        <f>+'Base de Datos'!#REF!</f>
        <v>#REF!</v>
      </c>
      <c r="H44" s="299">
        <f>+'Base de Datos'!X44</f>
        <v>23994880</v>
      </c>
      <c r="I44" s="301" t="e">
        <f>IF(VLOOKUP(B44,'Base de Datos'!$E$7:$T$303,11,0),"SI","NO")</f>
        <v>#VALUE!</v>
      </c>
      <c r="J44" s="302" t="e">
        <f t="shared" si="0"/>
        <v>#VALUE!</v>
      </c>
      <c r="K44" s="301" t="e">
        <f>IF(VLOOKUP(B44,'Base de Datos'!$E$7:$T$303,11,0),"SI","NO")</f>
        <v>#VALUE!</v>
      </c>
      <c r="L44" s="302" t="e">
        <f t="shared" si="1"/>
        <v>#VALUE!</v>
      </c>
      <c r="M44" s="302">
        <f>VLOOKUP(B44,'Base de Datos'!$E$7:$AC$303,21,0)</f>
        <v>23994876</v>
      </c>
      <c r="N44" s="363" t="e">
        <f t="shared" ca="1" si="5"/>
        <v>#REF!</v>
      </c>
      <c r="O44" s="302">
        <f>VLOOKUP(B44,'Base de Datos'!$E$7:$AC$303,22,0)</f>
        <v>4</v>
      </c>
      <c r="P44" s="362" t="str">
        <f t="shared" ca="1" si="2"/>
        <v/>
      </c>
      <c r="Q44" s="375" t="e">
        <f t="shared" ca="1" si="6"/>
        <v>#VALUE!</v>
      </c>
      <c r="R44" s="298">
        <f>VLOOKUP(B44,'Base de Datos'!E44:AU340,33,0)</f>
        <v>0</v>
      </c>
      <c r="S44" s="301" t="e">
        <f t="shared" ca="1" si="3"/>
        <v>#REF!</v>
      </c>
      <c r="T44" s="298" t="str">
        <f t="shared" si="4"/>
        <v/>
      </c>
      <c r="U44" s="298" t="str">
        <f>VLOOKUP(B44,'Base de Datos'!$E$7:$AU$401,38,0)</f>
        <v>NO</v>
      </c>
    </row>
    <row r="45" spans="1:21" ht="23.25" customHeight="1" thickTop="1" thickBot="1" x14ac:dyDescent="0.35">
      <c r="A45" s="96">
        <v>39</v>
      </c>
      <c r="B45" s="298" t="str">
        <f>+'Base de Datos'!E45</f>
        <v>050000-433-0-2012</v>
      </c>
      <c r="C45" s="298" t="str">
        <f>+'Base de Datos'!F45</f>
        <v>CARLOS EDUARDO PINEDA AMÓRTEGUI</v>
      </c>
      <c r="D45" s="299">
        <f>+'Base de Datos'!I45</f>
        <v>38400000</v>
      </c>
      <c r="E45" s="300">
        <f>+'Base de Datos'!M45</f>
        <v>41187</v>
      </c>
      <c r="F45" s="300">
        <f>+'Base de Datos'!N45</f>
        <v>41369</v>
      </c>
      <c r="G45" s="300" t="e">
        <f>+'Base de Datos'!#REF!</f>
        <v>#REF!</v>
      </c>
      <c r="H45" s="299">
        <f>+'Base de Datos'!X45</f>
        <v>38400000</v>
      </c>
      <c r="I45" s="301" t="e">
        <f>IF(VLOOKUP(B45,'Base de Datos'!$E$7:$T$303,11,0),"SI","NO")</f>
        <v>#VALUE!</v>
      </c>
      <c r="J45" s="302" t="e">
        <f t="shared" si="0"/>
        <v>#VALUE!</v>
      </c>
      <c r="K45" s="301" t="e">
        <f>IF(VLOOKUP(B45,'Base de Datos'!$E$7:$T$303,11,0),"SI","NO")</f>
        <v>#VALUE!</v>
      </c>
      <c r="L45" s="302" t="e">
        <f t="shared" si="1"/>
        <v>#VALUE!</v>
      </c>
      <c r="M45" s="302">
        <f>VLOOKUP(B45,'Base de Datos'!$E$7:$AC$303,21,0)</f>
        <v>38400000</v>
      </c>
      <c r="N45" s="363" t="e">
        <f t="shared" ca="1" si="5"/>
        <v>#REF!</v>
      </c>
      <c r="O45" s="302">
        <f>VLOOKUP(B45,'Base de Datos'!$E$7:$AC$303,22,0)</f>
        <v>0</v>
      </c>
      <c r="P45" s="362" t="str">
        <f t="shared" ca="1" si="2"/>
        <v/>
      </c>
      <c r="Q45" s="375" t="e">
        <f t="shared" ca="1" si="6"/>
        <v>#VALUE!</v>
      </c>
      <c r="R45" s="298">
        <f>VLOOKUP(B45,'Base de Datos'!E45:AU341,33,0)</f>
        <v>0</v>
      </c>
      <c r="S45" s="301" t="e">
        <f t="shared" ca="1" si="3"/>
        <v>#REF!</v>
      </c>
      <c r="T45" s="298" t="str">
        <f t="shared" si="4"/>
        <v/>
      </c>
      <c r="U45" s="298" t="str">
        <f>VLOOKUP(B45,'Base de Datos'!$E$7:$AU$401,38,0)</f>
        <v>NO</v>
      </c>
    </row>
    <row r="46" spans="1:21" ht="23.25" customHeight="1" thickTop="1" thickBot="1" x14ac:dyDescent="0.35">
      <c r="A46" s="96">
        <v>40</v>
      </c>
      <c r="B46" s="298" t="str">
        <f>+'Base de Datos'!E46</f>
        <v>050000-468-0-2012</v>
      </c>
      <c r="C46" s="298" t="str">
        <f>+'Base de Datos'!F46</f>
        <v>DAMTON ARTÍCULOS PUBLICITARIOS LTDA</v>
      </c>
      <c r="D46" s="299">
        <f>+'Base de Datos'!I46</f>
        <v>3961330</v>
      </c>
      <c r="E46" s="300">
        <f>+'Base de Datos'!M46</f>
        <v>41246</v>
      </c>
      <c r="F46" s="300">
        <f>+'Base de Datos'!N46</f>
        <v>41308</v>
      </c>
      <c r="G46" s="300" t="e">
        <f>+'Base de Datos'!#REF!</f>
        <v>#REF!</v>
      </c>
      <c r="H46" s="299">
        <f>+'Base de Datos'!X46</f>
        <v>3961330</v>
      </c>
      <c r="I46" s="301" t="e">
        <f>IF(VLOOKUP(B46,'Base de Datos'!$E$7:$T$303,11,0),"SI","NO")</f>
        <v>#VALUE!</v>
      </c>
      <c r="J46" s="302" t="e">
        <f t="shared" si="0"/>
        <v>#VALUE!</v>
      </c>
      <c r="K46" s="301" t="e">
        <f>IF(VLOOKUP(B46,'Base de Datos'!$E$7:$T$303,11,0),"SI","NO")</f>
        <v>#VALUE!</v>
      </c>
      <c r="L46" s="302" t="e">
        <f t="shared" si="1"/>
        <v>#VALUE!</v>
      </c>
      <c r="M46" s="302">
        <f>VLOOKUP(B46,'Base de Datos'!$E$7:$AC$303,21,0)</f>
        <v>3961330</v>
      </c>
      <c r="N46" s="363" t="e">
        <f t="shared" ca="1" si="5"/>
        <v>#REF!</v>
      </c>
      <c r="O46" s="302">
        <f>VLOOKUP(B46,'Base de Datos'!$E$7:$AC$303,22,0)</f>
        <v>0</v>
      </c>
      <c r="P46" s="362" t="str">
        <f t="shared" ca="1" si="2"/>
        <v/>
      </c>
      <c r="Q46" s="375" t="e">
        <f t="shared" ca="1" si="6"/>
        <v>#VALUE!</v>
      </c>
      <c r="R46" s="298">
        <f>VLOOKUP(B46,'Base de Datos'!E46:AU342,33,0)</f>
        <v>0</v>
      </c>
      <c r="S46" s="301" t="e">
        <f t="shared" ca="1" si="3"/>
        <v>#REF!</v>
      </c>
      <c r="T46" s="298" t="str">
        <f t="shared" si="4"/>
        <v/>
      </c>
      <c r="U46" s="298" t="str">
        <f>VLOOKUP(B46,'Base de Datos'!$E$7:$AU$401,38,0)</f>
        <v>SI</v>
      </c>
    </row>
    <row r="47" spans="1:21" ht="23.25" customHeight="1" thickTop="1" thickBot="1" x14ac:dyDescent="0.35">
      <c r="A47" s="96">
        <v>41</v>
      </c>
      <c r="B47" s="298" t="str">
        <f>+'Base de Datos'!E47</f>
        <v>050000-498-0-2012</v>
      </c>
      <c r="C47" s="298" t="str">
        <f>+'Base de Datos'!F47</f>
        <v>CORPORACIÓN INSTITUTO COLOMBIANO DE CUALIFICACIÓN EMPRESARIAL -CICCE</v>
      </c>
      <c r="D47" s="299">
        <f>+'Base de Datos'!I47</f>
        <v>24000000</v>
      </c>
      <c r="E47" s="300">
        <f>+'Base de Datos'!M47</f>
        <v>41270</v>
      </c>
      <c r="F47" s="300">
        <f>+'Base de Datos'!N47</f>
        <v>41452</v>
      </c>
      <c r="G47" s="300" t="e">
        <f>+'Base de Datos'!#REF!</f>
        <v>#REF!</v>
      </c>
      <c r="H47" s="299">
        <f>+'Base de Datos'!X47</f>
        <v>24000000</v>
      </c>
      <c r="I47" s="301" t="e">
        <f>IF(VLOOKUP(B47,'Base de Datos'!$E$7:$T$303,11,0),"SI","NO")</f>
        <v>#VALUE!</v>
      </c>
      <c r="J47" s="302" t="e">
        <f t="shared" si="0"/>
        <v>#VALUE!</v>
      </c>
      <c r="K47" s="301" t="e">
        <f>IF(VLOOKUP(B47,'Base de Datos'!$E$7:$T$303,11,0),"SI","NO")</f>
        <v>#VALUE!</v>
      </c>
      <c r="L47" s="302" t="e">
        <f t="shared" si="1"/>
        <v>#VALUE!</v>
      </c>
      <c r="M47" s="302">
        <f>VLOOKUP(B47,'Base de Datos'!$E$7:$AC$303,21,0)</f>
        <v>24000000</v>
      </c>
      <c r="N47" s="363" t="e">
        <f t="shared" ca="1" si="5"/>
        <v>#REF!</v>
      </c>
      <c r="O47" s="302">
        <f>VLOOKUP(B47,'Base de Datos'!$E$7:$AC$303,22,0)</f>
        <v>0</v>
      </c>
      <c r="P47" s="362" t="str">
        <f t="shared" ca="1" si="2"/>
        <v/>
      </c>
      <c r="Q47" s="375" t="e">
        <f t="shared" ca="1" si="6"/>
        <v>#VALUE!</v>
      </c>
      <c r="R47" s="298">
        <f>VLOOKUP(B47,'Base de Datos'!E47:AU343,33,0)</f>
        <v>0</v>
      </c>
      <c r="S47" s="301" t="e">
        <f t="shared" ca="1" si="3"/>
        <v>#REF!</v>
      </c>
      <c r="T47" s="298" t="str">
        <f t="shared" si="4"/>
        <v/>
      </c>
      <c r="U47" s="298" t="str">
        <f>VLOOKUP(B47,'Base de Datos'!$E$7:$AU$401,38,0)</f>
        <v>SI</v>
      </c>
    </row>
    <row r="48" spans="1:21" ht="23.25" customHeight="1" thickTop="1" thickBot="1" x14ac:dyDescent="0.35">
      <c r="A48" s="96">
        <v>42</v>
      </c>
      <c r="B48" s="298" t="str">
        <f>+'Base de Datos'!E48</f>
        <v>050000-501-0-2012</v>
      </c>
      <c r="C48" s="298" t="str">
        <f>+'Base de Datos'!F48</f>
        <v>CESAR ALEJANDRO GUERRERO BARRIGA</v>
      </c>
      <c r="D48" s="299">
        <f>+'Base de Datos'!I48</f>
        <v>6000000</v>
      </c>
      <c r="E48" s="300">
        <f>+'Base de Datos'!M48</f>
        <v>41292</v>
      </c>
      <c r="F48" s="300">
        <f>+'Base de Datos'!N48</f>
        <v>41350</v>
      </c>
      <c r="G48" s="300" t="e">
        <f>+'Base de Datos'!#REF!</f>
        <v>#REF!</v>
      </c>
      <c r="H48" s="299">
        <f>+'Base de Datos'!X48</f>
        <v>6000000</v>
      </c>
      <c r="I48" s="301" t="e">
        <f>IF(VLOOKUP(B48,'Base de Datos'!$E$7:$T$303,11,0),"SI","NO")</f>
        <v>#VALUE!</v>
      </c>
      <c r="J48" s="302" t="e">
        <f t="shared" si="0"/>
        <v>#VALUE!</v>
      </c>
      <c r="K48" s="301" t="e">
        <f>IF(VLOOKUP(B48,'Base de Datos'!$E$7:$T$303,11,0),"SI","NO")</f>
        <v>#VALUE!</v>
      </c>
      <c r="L48" s="302" t="e">
        <f t="shared" si="1"/>
        <v>#VALUE!</v>
      </c>
      <c r="M48" s="302">
        <f>VLOOKUP(B48,'Base de Datos'!$E$7:$AC$303,21,0)</f>
        <v>6000000</v>
      </c>
      <c r="N48" s="363" t="e">
        <f t="shared" ca="1" si="5"/>
        <v>#REF!</v>
      </c>
      <c r="O48" s="302">
        <f>VLOOKUP(B48,'Base de Datos'!$E$7:$AC$303,22,0)</f>
        <v>0</v>
      </c>
      <c r="P48" s="362" t="str">
        <f t="shared" ca="1" si="2"/>
        <v/>
      </c>
      <c r="Q48" s="375" t="e">
        <f t="shared" ca="1" si="6"/>
        <v>#VALUE!</v>
      </c>
      <c r="R48" s="298">
        <f>VLOOKUP(B48,'Base de Datos'!E48:AU344,33,0)</f>
        <v>0</v>
      </c>
      <c r="S48" s="301" t="e">
        <f t="shared" ca="1" si="3"/>
        <v>#REF!</v>
      </c>
      <c r="T48" s="298" t="str">
        <f t="shared" si="4"/>
        <v/>
      </c>
      <c r="U48" s="298" t="str">
        <f>VLOOKUP(B48,'Base de Datos'!$E$7:$AU$401,38,0)</f>
        <v>NO</v>
      </c>
    </row>
    <row r="49" spans="1:21" ht="23.25" customHeight="1" thickTop="1" thickBot="1" x14ac:dyDescent="0.35">
      <c r="A49" s="96">
        <v>43</v>
      </c>
      <c r="B49" s="298" t="str">
        <f>+'Base de Datos'!E49</f>
        <v>120000-125-0-2012</v>
      </c>
      <c r="C49" s="298" t="str">
        <f>+'Base de Datos'!F49</f>
        <v>REVISTA EL CONGRESO SIGLO XXI LTDA</v>
      </c>
      <c r="D49" s="299">
        <f>+'Base de Datos'!I49</f>
        <v>7740000</v>
      </c>
      <c r="E49" s="300">
        <f>+'Base de Datos'!M49</f>
        <v>41107</v>
      </c>
      <c r="F49" s="300">
        <f>+'Base de Datos'!N49</f>
        <v>41472</v>
      </c>
      <c r="G49" s="300" t="e">
        <f>+'Base de Datos'!#REF!</f>
        <v>#REF!</v>
      </c>
      <c r="H49" s="299">
        <f>+'Base de Datos'!X49</f>
        <v>7740000</v>
      </c>
      <c r="I49" s="301" t="e">
        <f>IF(VLOOKUP(B49,'Base de Datos'!$E$7:$T$303,11,0),"SI","NO")</f>
        <v>#VALUE!</v>
      </c>
      <c r="J49" s="302" t="e">
        <f t="shared" si="0"/>
        <v>#VALUE!</v>
      </c>
      <c r="K49" s="301" t="e">
        <f>IF(VLOOKUP(B49,'Base de Datos'!$E$7:$T$303,11,0),"SI","NO")</f>
        <v>#VALUE!</v>
      </c>
      <c r="L49" s="302" t="e">
        <f t="shared" si="1"/>
        <v>#VALUE!</v>
      </c>
      <c r="M49" s="302">
        <f>VLOOKUP(B49,'Base de Datos'!$E$7:$AC$303,21,0)</f>
        <v>7740000</v>
      </c>
      <c r="N49" s="363" t="e">
        <f t="shared" ca="1" si="5"/>
        <v>#REF!</v>
      </c>
      <c r="O49" s="302">
        <f>VLOOKUP(B49,'Base de Datos'!$E$7:$AC$303,22,0)</f>
        <v>0</v>
      </c>
      <c r="P49" s="362" t="str">
        <f t="shared" ca="1" si="2"/>
        <v/>
      </c>
      <c r="Q49" s="375" t="e">
        <f t="shared" ca="1" si="6"/>
        <v>#VALUE!</v>
      </c>
      <c r="R49" s="298">
        <f>VLOOKUP(B49,'Base de Datos'!E49:AU345,33,0)</f>
        <v>0</v>
      </c>
      <c r="S49" s="301" t="e">
        <f t="shared" ca="1" si="3"/>
        <v>#REF!</v>
      </c>
      <c r="T49" s="298" t="str">
        <f t="shared" si="4"/>
        <v/>
      </c>
      <c r="U49" s="298" t="str">
        <f>VLOOKUP(B49,'Base de Datos'!$E$7:$AU$401,38,0)</f>
        <v>SI</v>
      </c>
    </row>
    <row r="50" spans="1:21" ht="23.25" customHeight="1" thickTop="1" thickBot="1" x14ac:dyDescent="0.35">
      <c r="A50" s="96">
        <v>44</v>
      </c>
      <c r="B50" s="298" t="str">
        <f>+'Base de Datos'!E50</f>
        <v>120000-151-0-2012</v>
      </c>
      <c r="C50" s="298" t="str">
        <f>+'Base de Datos'!F50</f>
        <v>SOCIEDAD ENTORNO COMPAÑÍA LTDA</v>
      </c>
      <c r="D50" s="299">
        <f>+'Base de Datos'!I50</f>
        <v>47000000</v>
      </c>
      <c r="E50" s="300">
        <f>+'Base de Datos'!M50</f>
        <v>41064</v>
      </c>
      <c r="F50" s="300">
        <f>+'Base de Datos'!N50</f>
        <v>41309</v>
      </c>
      <c r="G50" s="300" t="e">
        <f>+'Base de Datos'!#REF!</f>
        <v>#REF!</v>
      </c>
      <c r="H50" s="299">
        <f>+'Base de Datos'!X50</f>
        <v>47000000</v>
      </c>
      <c r="I50" s="301" t="e">
        <f>IF(VLOOKUP(B50,'Base de Datos'!$E$7:$T$303,11,0),"SI","NO")</f>
        <v>#VALUE!</v>
      </c>
      <c r="J50" s="302" t="e">
        <f t="shared" si="0"/>
        <v>#VALUE!</v>
      </c>
      <c r="K50" s="301" t="e">
        <f>IF(VLOOKUP(B50,'Base de Datos'!$E$7:$T$303,11,0),"SI","NO")</f>
        <v>#VALUE!</v>
      </c>
      <c r="L50" s="302" t="e">
        <f t="shared" si="1"/>
        <v>#VALUE!</v>
      </c>
      <c r="M50" s="302">
        <f>VLOOKUP(B50,'Base de Datos'!$E$7:$AC$303,21,0)</f>
        <v>41245000</v>
      </c>
      <c r="N50" s="363" t="e">
        <f t="shared" ca="1" si="5"/>
        <v>#REF!</v>
      </c>
      <c r="O50" s="302">
        <f>VLOOKUP(B50,'Base de Datos'!$E$7:$AC$303,22,0)</f>
        <v>5755000</v>
      </c>
      <c r="P50" s="362" t="str">
        <f t="shared" ca="1" si="2"/>
        <v/>
      </c>
      <c r="Q50" s="375" t="e">
        <f t="shared" ca="1" si="6"/>
        <v>#VALUE!</v>
      </c>
      <c r="R50" s="298">
        <f>VLOOKUP(B50,'Base de Datos'!E50:AU346,33,0)</f>
        <v>0</v>
      </c>
      <c r="S50" s="301" t="e">
        <f t="shared" ca="1" si="3"/>
        <v>#REF!</v>
      </c>
      <c r="T50" s="298" t="str">
        <f t="shared" si="4"/>
        <v/>
      </c>
      <c r="U50" s="298" t="str">
        <f>VLOOKUP(B50,'Base de Datos'!$E$7:$AU$401,38,0)</f>
        <v>SI</v>
      </c>
    </row>
    <row r="51" spans="1:21" ht="23.25" customHeight="1" thickTop="1" thickBot="1" x14ac:dyDescent="0.35">
      <c r="A51" s="96">
        <v>45</v>
      </c>
      <c r="B51" s="298" t="str">
        <f>+'Base de Datos'!E51</f>
        <v>120000-177-0-2012</v>
      </c>
      <c r="C51" s="298" t="str">
        <f>+'Base de Datos'!F51</f>
        <v>CANAL CAPITAL</v>
      </c>
      <c r="D51" s="299">
        <f>+'Base de Datos'!I51</f>
        <v>950000000</v>
      </c>
      <c r="E51" s="300">
        <f>+'Base de Datos'!M51</f>
        <v>41053</v>
      </c>
      <c r="F51" s="300">
        <f>+'Base de Datos'!N51</f>
        <v>41388</v>
      </c>
      <c r="G51" s="300" t="e">
        <f>+'Base de Datos'!#REF!</f>
        <v>#REF!</v>
      </c>
      <c r="H51" s="299">
        <f>+'Base de Datos'!X51</f>
        <v>950000000</v>
      </c>
      <c r="I51" s="301" t="e">
        <f>IF(VLOOKUP(B51,'Base de Datos'!$E$7:$T$303,11,0),"SI","NO")</f>
        <v>#VALUE!</v>
      </c>
      <c r="J51" s="302" t="e">
        <f t="shared" si="0"/>
        <v>#VALUE!</v>
      </c>
      <c r="K51" s="301" t="e">
        <f>IF(VLOOKUP(B51,'Base de Datos'!$E$7:$T$303,11,0),"SI","NO")</f>
        <v>#VALUE!</v>
      </c>
      <c r="L51" s="302" t="e">
        <f t="shared" si="1"/>
        <v>#VALUE!</v>
      </c>
      <c r="M51" s="302">
        <f>VLOOKUP(B51,'Base de Datos'!$E$7:$AC$303,21,0)</f>
        <v>950000000</v>
      </c>
      <c r="N51" s="363" t="e">
        <f t="shared" ca="1" si="5"/>
        <v>#REF!</v>
      </c>
      <c r="O51" s="302">
        <f>VLOOKUP(B51,'Base de Datos'!$E$7:$AC$303,22,0)</f>
        <v>0</v>
      </c>
      <c r="P51" s="362" t="str">
        <f t="shared" ca="1" si="2"/>
        <v/>
      </c>
      <c r="Q51" s="375" t="e">
        <f t="shared" ca="1" si="6"/>
        <v>#VALUE!</v>
      </c>
      <c r="R51" s="298">
        <f>VLOOKUP(B51,'Base de Datos'!E51:AU347,33,0)</f>
        <v>0</v>
      </c>
      <c r="S51" s="301" t="e">
        <f t="shared" ca="1" si="3"/>
        <v>#REF!</v>
      </c>
      <c r="T51" s="298" t="str">
        <f t="shared" si="4"/>
        <v/>
      </c>
      <c r="U51" s="298" t="str">
        <f>VLOOKUP(B51,'Base de Datos'!$E$7:$AU$401,38,0)</f>
        <v>SI</v>
      </c>
    </row>
    <row r="52" spans="1:21" ht="23.25" customHeight="1" thickTop="1" thickBot="1" x14ac:dyDescent="0.35">
      <c r="A52" s="96">
        <v>46</v>
      </c>
      <c r="B52" s="298" t="str">
        <f>+'Base de Datos'!E52</f>
        <v>120000-223-0-2012</v>
      </c>
      <c r="C52" s="298" t="str">
        <f>+'Base de Datos'!F52</f>
        <v>SECURITY TECH  CONTROL LTDA</v>
      </c>
      <c r="D52" s="299">
        <f>+'Base de Datos'!I52</f>
        <v>27918648</v>
      </c>
      <c r="E52" s="300">
        <f>+'Base de Datos'!M52</f>
        <v>41081</v>
      </c>
      <c r="F52" s="300">
        <f>+'Base de Datos'!N52</f>
        <v>41132</v>
      </c>
      <c r="G52" s="300" t="e">
        <f>+'Base de Datos'!#REF!</f>
        <v>#REF!</v>
      </c>
      <c r="H52" s="299">
        <f>+'Base de Datos'!X52</f>
        <v>41705635</v>
      </c>
      <c r="I52" s="301" t="e">
        <f>IF(VLOOKUP(B52,'Base de Datos'!$E$7:$T$303,11,0),"SI","NO")</f>
        <v>#VALUE!</v>
      </c>
      <c r="J52" s="302" t="e">
        <f t="shared" si="0"/>
        <v>#VALUE!</v>
      </c>
      <c r="K52" s="301" t="e">
        <f>IF(VLOOKUP(B52,'Base de Datos'!$E$7:$T$303,11,0),"SI","NO")</f>
        <v>#VALUE!</v>
      </c>
      <c r="L52" s="302" t="e">
        <f t="shared" si="1"/>
        <v>#VALUE!</v>
      </c>
      <c r="M52" s="302">
        <f>VLOOKUP(B52,'Base de Datos'!$E$7:$AC$303,21,0)</f>
        <v>41705635</v>
      </c>
      <c r="N52" s="363" t="e">
        <f t="shared" ca="1" si="5"/>
        <v>#REF!</v>
      </c>
      <c r="O52" s="302">
        <f>VLOOKUP(B52,'Base de Datos'!$E$7:$AC$303,22,0)</f>
        <v>0</v>
      </c>
      <c r="P52" s="362" t="str">
        <f t="shared" ca="1" si="2"/>
        <v/>
      </c>
      <c r="Q52" s="375" t="e">
        <f t="shared" ca="1" si="6"/>
        <v>#VALUE!</v>
      </c>
      <c r="R52" s="298">
        <f>VLOOKUP(B52,'Base de Datos'!E52:AU348,33,0)</f>
        <v>0</v>
      </c>
      <c r="S52" s="301" t="e">
        <f t="shared" ca="1" si="3"/>
        <v>#REF!</v>
      </c>
      <c r="T52" s="298" t="str">
        <f t="shared" si="4"/>
        <v/>
      </c>
      <c r="U52" s="298" t="str">
        <f>VLOOKUP(B52,'Base de Datos'!$E$7:$AU$401,38,0)</f>
        <v>SI</v>
      </c>
    </row>
    <row r="53" spans="1:21" ht="23.25" customHeight="1" thickTop="1" thickBot="1" x14ac:dyDescent="0.35">
      <c r="A53" s="96">
        <v>47</v>
      </c>
      <c r="B53" s="298" t="str">
        <f>+'Base de Datos'!E53</f>
        <v>120000-289-0-2012</v>
      </c>
      <c r="C53" s="298" t="str">
        <f>+'Base de Datos'!F53</f>
        <v>SEGUROS DEL ESTADO S.A</v>
      </c>
      <c r="D53" s="299">
        <f>+'Base de Datos'!I53</f>
        <v>4100000</v>
      </c>
      <c r="E53" s="300">
        <f>+'Base de Datos'!M53</f>
        <v>41103</v>
      </c>
      <c r="F53" s="300">
        <f>+'Base de Datos'!N53</f>
        <v>41471</v>
      </c>
      <c r="G53" s="300" t="e">
        <f>+'Base de Datos'!#REF!</f>
        <v>#REF!</v>
      </c>
      <c r="H53" s="299">
        <f>+'Base de Datos'!X53</f>
        <v>4100000</v>
      </c>
      <c r="I53" s="301" t="e">
        <f>IF(VLOOKUP(B53,'Base de Datos'!$E$7:$T$303,11,0),"SI","NO")</f>
        <v>#VALUE!</v>
      </c>
      <c r="J53" s="302" t="e">
        <f t="shared" si="0"/>
        <v>#VALUE!</v>
      </c>
      <c r="K53" s="301" t="e">
        <f>IF(VLOOKUP(B53,'Base de Datos'!$E$7:$T$303,11,0),"SI","NO")</f>
        <v>#VALUE!</v>
      </c>
      <c r="L53" s="302" t="e">
        <f t="shared" si="1"/>
        <v>#VALUE!</v>
      </c>
      <c r="M53" s="302">
        <f>VLOOKUP(B53,'Base de Datos'!$E$7:$AC$303,21,0)</f>
        <v>3389600</v>
      </c>
      <c r="N53" s="363" t="e">
        <f t="shared" ca="1" si="5"/>
        <v>#REF!</v>
      </c>
      <c r="O53" s="302">
        <f>VLOOKUP(B53,'Base de Datos'!$E$7:$AC$303,22,0)</f>
        <v>710400</v>
      </c>
      <c r="P53" s="362" t="str">
        <f t="shared" ca="1" si="2"/>
        <v/>
      </c>
      <c r="Q53" s="375" t="e">
        <f t="shared" ca="1" si="6"/>
        <v>#VALUE!</v>
      </c>
      <c r="R53" s="298">
        <f>VLOOKUP(B53,'Base de Datos'!E53:AU349,33,0)</f>
        <v>0</v>
      </c>
      <c r="S53" s="301" t="e">
        <f t="shared" ca="1" si="3"/>
        <v>#REF!</v>
      </c>
      <c r="T53" s="298" t="str">
        <f t="shared" si="4"/>
        <v/>
      </c>
      <c r="U53" s="298" t="str">
        <f>VLOOKUP(B53,'Base de Datos'!$E$7:$AU$401,38,0)</f>
        <v>SI</v>
      </c>
    </row>
    <row r="54" spans="1:21" ht="23.25" customHeight="1" thickTop="1" thickBot="1" x14ac:dyDescent="0.35">
      <c r="A54" s="96">
        <v>48</v>
      </c>
      <c r="B54" s="298" t="str">
        <f>+'Base de Datos'!E54</f>
        <v>120000-312-0-2012</v>
      </c>
      <c r="C54" s="298" t="str">
        <f>+'Base de Datos'!F54</f>
        <v>SOLUCIONES Y DIAGNÓSTICOS EN INGENIERÍA ELÉCTRICA LTDA</v>
      </c>
      <c r="D54" s="299">
        <f>+'Base de Datos'!I54</f>
        <v>8932201</v>
      </c>
      <c r="E54" s="300">
        <f>+'Base de Datos'!M54</f>
        <v>41151</v>
      </c>
      <c r="F54" s="300">
        <f>+'Base de Datos'!N54</f>
        <v>41424</v>
      </c>
      <c r="G54" s="300" t="e">
        <f>+'Base de Datos'!#REF!</f>
        <v>#REF!</v>
      </c>
      <c r="H54" s="299">
        <f>+'Base de Datos'!X54</f>
        <v>8932201</v>
      </c>
      <c r="I54" s="301" t="e">
        <f>IF(VLOOKUP(B54,'Base de Datos'!$E$7:$T$303,11,0),"SI","NO")</f>
        <v>#VALUE!</v>
      </c>
      <c r="J54" s="302" t="e">
        <f t="shared" si="0"/>
        <v>#VALUE!</v>
      </c>
      <c r="K54" s="301" t="e">
        <f>IF(VLOOKUP(B54,'Base de Datos'!$E$7:$T$303,11,0),"SI","NO")</f>
        <v>#VALUE!</v>
      </c>
      <c r="L54" s="302" t="e">
        <f t="shared" si="1"/>
        <v>#VALUE!</v>
      </c>
      <c r="M54" s="302">
        <f>VLOOKUP(B54,'Base de Datos'!$E$7:$AC$303,21,0)</f>
        <v>8906668</v>
      </c>
      <c r="N54" s="363" t="e">
        <f t="shared" ca="1" si="5"/>
        <v>#REF!</v>
      </c>
      <c r="O54" s="302">
        <f>VLOOKUP(B54,'Base de Datos'!$E$7:$AC$303,22,0)</f>
        <v>25533</v>
      </c>
      <c r="P54" s="362" t="str">
        <f t="shared" ca="1" si="2"/>
        <v/>
      </c>
      <c r="Q54" s="375" t="e">
        <f t="shared" ca="1" si="6"/>
        <v>#VALUE!</v>
      </c>
      <c r="R54" s="298">
        <f>VLOOKUP(B54,'Base de Datos'!E54:AU350,33,0)</f>
        <v>0</v>
      </c>
      <c r="S54" s="301" t="e">
        <f t="shared" ca="1" si="3"/>
        <v>#REF!</v>
      </c>
      <c r="T54" s="298" t="str">
        <f t="shared" si="4"/>
        <v/>
      </c>
      <c r="U54" s="298" t="str">
        <f>VLOOKUP(B54,'Base de Datos'!$E$7:$AU$401,38,0)</f>
        <v>SI</v>
      </c>
    </row>
    <row r="55" spans="1:21" ht="23.25" customHeight="1" thickTop="1" thickBot="1" x14ac:dyDescent="0.35">
      <c r="A55" s="96">
        <v>49</v>
      </c>
      <c r="B55" s="298" t="str">
        <f>+'Base de Datos'!E55</f>
        <v>120000-328-0-2012</v>
      </c>
      <c r="C55" s="298" t="str">
        <f>+'Base de Datos'!F55</f>
        <v>PORTES DE COLOMBIA LTDA</v>
      </c>
      <c r="D55" s="299">
        <f>+'Base de Datos'!I55</f>
        <v>8545000</v>
      </c>
      <c r="E55" s="300">
        <f>+'Base de Datos'!M55</f>
        <v>41155</v>
      </c>
      <c r="F55" s="300">
        <f>+'Base de Datos'!N55</f>
        <v>41367</v>
      </c>
      <c r="G55" s="300" t="e">
        <f>+'Base de Datos'!#REF!</f>
        <v>#REF!</v>
      </c>
      <c r="H55" s="299">
        <f>+'Base de Datos'!X55</f>
        <v>8545000</v>
      </c>
      <c r="I55" s="301" t="e">
        <f>IF(VLOOKUP(B55,'Base de Datos'!$E$7:$T$303,11,0),"SI","NO")</f>
        <v>#VALUE!</v>
      </c>
      <c r="J55" s="302" t="e">
        <f t="shared" si="0"/>
        <v>#VALUE!</v>
      </c>
      <c r="K55" s="301" t="e">
        <f>IF(VLOOKUP(B55,'Base de Datos'!$E$7:$T$303,11,0),"SI","NO")</f>
        <v>#VALUE!</v>
      </c>
      <c r="L55" s="302" t="e">
        <f t="shared" si="1"/>
        <v>#VALUE!</v>
      </c>
      <c r="M55" s="302">
        <f>VLOOKUP(B55,'Base de Datos'!$E$7:$AC$303,21,0)</f>
        <v>4336000</v>
      </c>
      <c r="N55" s="363" t="e">
        <f t="shared" ca="1" si="5"/>
        <v>#REF!</v>
      </c>
      <c r="O55" s="302">
        <f>VLOOKUP(B55,'Base de Datos'!$E$7:$AC$303,22,0)</f>
        <v>4209000</v>
      </c>
      <c r="P55" s="362" t="str">
        <f t="shared" ca="1" si="2"/>
        <v/>
      </c>
      <c r="Q55" s="375" t="e">
        <f t="shared" ca="1" si="6"/>
        <v>#VALUE!</v>
      </c>
      <c r="R55" s="298">
        <f>VLOOKUP(B55,'Base de Datos'!E55:AU351,33,0)</f>
        <v>0</v>
      </c>
      <c r="S55" s="301" t="e">
        <f t="shared" ca="1" si="3"/>
        <v>#REF!</v>
      </c>
      <c r="T55" s="298" t="str">
        <f t="shared" si="4"/>
        <v/>
      </c>
      <c r="U55" s="298" t="str">
        <f>VLOOKUP(B55,'Base de Datos'!$E$7:$AU$401,38,0)</f>
        <v>SI</v>
      </c>
    </row>
    <row r="56" spans="1:21" ht="23.25" customHeight="1" thickTop="1" thickBot="1" x14ac:dyDescent="0.35">
      <c r="A56" s="96">
        <v>50</v>
      </c>
      <c r="B56" s="298" t="str">
        <f>+'Base de Datos'!E56</f>
        <v>120000-368-0-2012</v>
      </c>
      <c r="C56" s="298" t="str">
        <f>+'Base de Datos'!F56</f>
        <v xml:space="preserve">UNIÓN TEMPORAL EMINSER-SOLOASEO </v>
      </c>
      <c r="D56" s="299">
        <f>+'Base de Datos'!I56</f>
        <v>220839000</v>
      </c>
      <c r="E56" s="300">
        <f>+'Base de Datos'!M56</f>
        <v>41172</v>
      </c>
      <c r="F56" s="300">
        <f>+'Base de Datos'!N56</f>
        <v>41384</v>
      </c>
      <c r="G56" s="300" t="e">
        <f>+'Base de Datos'!#REF!</f>
        <v>#REF!</v>
      </c>
      <c r="H56" s="299">
        <f>+'Base de Datos'!X56</f>
        <v>242578353</v>
      </c>
      <c r="I56" s="301" t="e">
        <f>IF(VLOOKUP(B56,'Base de Datos'!$E$7:$T$303,11,0),"SI","NO")</f>
        <v>#VALUE!</v>
      </c>
      <c r="J56" s="302" t="e">
        <f t="shared" si="0"/>
        <v>#VALUE!</v>
      </c>
      <c r="K56" s="301" t="e">
        <f>IF(VLOOKUP(B56,'Base de Datos'!$E$7:$T$303,11,0),"SI","NO")</f>
        <v>#VALUE!</v>
      </c>
      <c r="L56" s="302" t="e">
        <f t="shared" si="1"/>
        <v>#VALUE!</v>
      </c>
      <c r="M56" s="302">
        <f>VLOOKUP(B56,'Base de Datos'!$E$7:$AC$303,21,0)</f>
        <v>218264339</v>
      </c>
      <c r="N56" s="363" t="e">
        <f t="shared" ca="1" si="5"/>
        <v>#REF!</v>
      </c>
      <c r="O56" s="302">
        <f>VLOOKUP(B56,'Base de Datos'!$E$7:$AC$303,22,0)</f>
        <v>24314014</v>
      </c>
      <c r="P56" s="362" t="str">
        <f t="shared" ca="1" si="2"/>
        <v/>
      </c>
      <c r="Q56" s="375" t="e">
        <f t="shared" ca="1" si="6"/>
        <v>#VALUE!</v>
      </c>
      <c r="R56" s="298" t="str">
        <f>VLOOKUP(B56,'Base de Datos'!E56:AU352,33,0)</f>
        <v>Dirección Administrativa</v>
      </c>
      <c r="S56" s="301" t="e">
        <f t="shared" ca="1" si="3"/>
        <v>#REF!</v>
      </c>
      <c r="T56" s="298" t="str">
        <f t="shared" si="4"/>
        <v/>
      </c>
      <c r="U56" s="298" t="str">
        <f>VLOOKUP(B56,'Base de Datos'!$E$7:$AU$401,38,0)</f>
        <v>SI</v>
      </c>
    </row>
    <row r="57" spans="1:21" ht="23.25" customHeight="1" thickTop="1" thickBot="1" x14ac:dyDescent="0.35">
      <c r="A57" s="96">
        <v>51</v>
      </c>
      <c r="B57" s="298" t="str">
        <f>+'Base de Datos'!E57</f>
        <v>120000-376-0-2012</v>
      </c>
      <c r="C57" s="298" t="str">
        <f>+'Base de Datos'!F57</f>
        <v>NELSON EDUARDO MUÑOZ MORENO</v>
      </c>
      <c r="D57" s="299">
        <f>+'Base de Datos'!I57</f>
        <v>4493000</v>
      </c>
      <c r="E57" s="300">
        <f>+'Base de Datos'!M57</f>
        <v>41172</v>
      </c>
      <c r="F57" s="300">
        <f>+'Base de Datos'!N57</f>
        <v>41353</v>
      </c>
      <c r="G57" s="300" t="e">
        <f>+'Base de Datos'!#REF!</f>
        <v>#REF!</v>
      </c>
      <c r="H57" s="299">
        <f>+'Base de Datos'!X57</f>
        <v>4493000</v>
      </c>
      <c r="I57" s="301" t="e">
        <f>IF(VLOOKUP(B57,'Base de Datos'!$E$7:$T$303,11,0),"SI","NO")</f>
        <v>#VALUE!</v>
      </c>
      <c r="J57" s="302" t="e">
        <f t="shared" si="0"/>
        <v>#VALUE!</v>
      </c>
      <c r="K57" s="301" t="e">
        <f>IF(VLOOKUP(B57,'Base de Datos'!$E$7:$T$303,11,0),"SI","NO")</f>
        <v>#VALUE!</v>
      </c>
      <c r="L57" s="302" t="e">
        <f t="shared" si="1"/>
        <v>#VALUE!</v>
      </c>
      <c r="M57" s="302">
        <f>VLOOKUP(B57,'Base de Datos'!$E$7:$AC$303,21,0)</f>
        <v>3309000</v>
      </c>
      <c r="N57" s="363" t="e">
        <f t="shared" ca="1" si="5"/>
        <v>#REF!</v>
      </c>
      <c r="O57" s="302">
        <f>VLOOKUP(B57,'Base de Datos'!$E$7:$AC$303,22,0)</f>
        <v>1184000</v>
      </c>
      <c r="P57" s="362" t="str">
        <f t="shared" ca="1" si="2"/>
        <v/>
      </c>
      <c r="Q57" s="375" t="e">
        <f t="shared" ca="1" si="6"/>
        <v>#VALUE!</v>
      </c>
      <c r="R57" s="298" t="str">
        <f>VLOOKUP(B57,'Base de Datos'!E57:AU353,33,0)</f>
        <v>Secretaría General</v>
      </c>
      <c r="S57" s="301" t="e">
        <f t="shared" ca="1" si="3"/>
        <v>#REF!</v>
      </c>
      <c r="T57" s="298" t="str">
        <f t="shared" si="4"/>
        <v/>
      </c>
      <c r="U57" s="298" t="str">
        <f>VLOOKUP(B57,'Base de Datos'!$E$7:$AU$401,38,0)</f>
        <v>SI</v>
      </c>
    </row>
    <row r="58" spans="1:21" ht="23.25" customHeight="1" thickTop="1" thickBot="1" x14ac:dyDescent="0.35">
      <c r="A58" s="96">
        <v>52</v>
      </c>
      <c r="B58" s="298" t="str">
        <f>+'Base de Datos'!E58</f>
        <v>120000-381-0-2012</v>
      </c>
      <c r="C58" s="298" t="str">
        <f>+'Base de Datos'!F58</f>
        <v>SOLUTION COPY LTDA</v>
      </c>
      <c r="D58" s="299">
        <f>+'Base de Datos'!I58</f>
        <v>22726000</v>
      </c>
      <c r="E58" s="300">
        <f>+'Base de Datos'!M58</f>
        <v>41163</v>
      </c>
      <c r="F58" s="300">
        <f>+'Base de Datos'!N58</f>
        <v>41375</v>
      </c>
      <c r="G58" s="300" t="e">
        <f>+'Base de Datos'!#REF!</f>
        <v>#REF!</v>
      </c>
      <c r="H58" s="299">
        <f>+'Base de Datos'!X58</f>
        <v>24726000</v>
      </c>
      <c r="I58" s="301" t="e">
        <f>IF(VLOOKUP(B58,'Base de Datos'!$E$7:$T$303,11,0),"SI","NO")</f>
        <v>#VALUE!</v>
      </c>
      <c r="J58" s="302" t="e">
        <f t="shared" si="0"/>
        <v>#VALUE!</v>
      </c>
      <c r="K58" s="301" t="e">
        <f>IF(VLOOKUP(B58,'Base de Datos'!$E$7:$T$303,11,0),"SI","NO")</f>
        <v>#VALUE!</v>
      </c>
      <c r="L58" s="302" t="e">
        <f t="shared" si="1"/>
        <v>#VALUE!</v>
      </c>
      <c r="M58" s="302">
        <f>VLOOKUP(B58,'Base de Datos'!$E$7:$AC$303,21,0)</f>
        <v>24725958</v>
      </c>
      <c r="N58" s="363" t="e">
        <f t="shared" ca="1" si="5"/>
        <v>#REF!</v>
      </c>
      <c r="O58" s="302">
        <f>VLOOKUP(B58,'Base de Datos'!$E$7:$AC$303,22,0)</f>
        <v>42</v>
      </c>
      <c r="P58" s="362" t="str">
        <f t="shared" ca="1" si="2"/>
        <v/>
      </c>
      <c r="Q58" s="375" t="e">
        <f t="shared" ca="1" si="6"/>
        <v>#VALUE!</v>
      </c>
      <c r="R58" s="298" t="str">
        <f>VLOOKUP(B58,'Base de Datos'!E58:AU354,33,0)</f>
        <v>Dirección Administrativa</v>
      </c>
      <c r="S58" s="301" t="e">
        <f t="shared" ca="1" si="3"/>
        <v>#REF!</v>
      </c>
      <c r="T58" s="298" t="str">
        <f t="shared" si="4"/>
        <v/>
      </c>
      <c r="U58" s="298" t="str">
        <f>VLOOKUP(B58,'Base de Datos'!$E$7:$AU$401,38,0)</f>
        <v>SI</v>
      </c>
    </row>
    <row r="59" spans="1:21" ht="23.25" customHeight="1" thickTop="1" thickBot="1" x14ac:dyDescent="0.35">
      <c r="A59" s="96">
        <v>53</v>
      </c>
      <c r="B59" s="298" t="str">
        <f>+'Base de Datos'!E59</f>
        <v>120000-390-0-2012</v>
      </c>
      <c r="C59" s="298" t="str">
        <f>+'Base de Datos'!F59</f>
        <v>UNIÓN TEMPORAL INTERPOSTAL URBANEX</v>
      </c>
      <c r="D59" s="299">
        <f>+'Base de Datos'!I59</f>
        <v>19116000</v>
      </c>
      <c r="E59" s="300">
        <f>+'Base de Datos'!M59</f>
        <v>41176</v>
      </c>
      <c r="F59" s="300">
        <f>+'Base de Datos'!N59</f>
        <v>41388</v>
      </c>
      <c r="G59" s="300" t="e">
        <f>+'Base de Datos'!#REF!</f>
        <v>#REF!</v>
      </c>
      <c r="H59" s="299">
        <f>+'Base de Datos'!X59</f>
        <v>20923575</v>
      </c>
      <c r="I59" s="301" t="e">
        <f>IF(VLOOKUP(B59,'Base de Datos'!$E$7:$T$303,11,0),"SI","NO")</f>
        <v>#VALUE!</v>
      </c>
      <c r="J59" s="302" t="e">
        <f t="shared" si="0"/>
        <v>#VALUE!</v>
      </c>
      <c r="K59" s="301" t="e">
        <f>IF(VLOOKUP(B59,'Base de Datos'!$E$7:$T$303,11,0),"SI","NO")</f>
        <v>#VALUE!</v>
      </c>
      <c r="L59" s="302" t="e">
        <f t="shared" si="1"/>
        <v>#VALUE!</v>
      </c>
      <c r="M59" s="302">
        <f>VLOOKUP(B59,'Base de Datos'!$E$7:$AC$303,21,0)</f>
        <v>19912200</v>
      </c>
      <c r="N59" s="363" t="e">
        <f t="shared" ca="1" si="5"/>
        <v>#REF!</v>
      </c>
      <c r="O59" s="302">
        <f>VLOOKUP(B59,'Base de Datos'!$E$7:$AC$303,22,0)</f>
        <v>1011375</v>
      </c>
      <c r="P59" s="362" t="str">
        <f t="shared" ca="1" si="2"/>
        <v/>
      </c>
      <c r="Q59" s="375" t="e">
        <f t="shared" ca="1" si="6"/>
        <v>#VALUE!</v>
      </c>
      <c r="R59" s="298" t="str">
        <f>VLOOKUP(B59,'Base de Datos'!E59:AU355,33,0)</f>
        <v>Secretaría General</v>
      </c>
      <c r="S59" s="301" t="e">
        <f t="shared" ca="1" si="3"/>
        <v>#REF!</v>
      </c>
      <c r="T59" s="298" t="str">
        <f t="shared" si="4"/>
        <v/>
      </c>
      <c r="U59" s="298" t="str">
        <f>VLOOKUP(B59,'Base de Datos'!$E$7:$AU$401,38,0)</f>
        <v>SI</v>
      </c>
    </row>
    <row r="60" spans="1:21" ht="23.25" customHeight="1" thickTop="1" thickBot="1" x14ac:dyDescent="0.35">
      <c r="A60" s="96">
        <v>54</v>
      </c>
      <c r="B60" s="298" t="str">
        <f>+'Base de Datos'!E60</f>
        <v>120000-396-0-2012</v>
      </c>
      <c r="C60" s="298" t="str">
        <f>+'Base de Datos'!F60</f>
        <v>CENTRO DE RECURSOS EDUCATIVOS PARA LA COMPETITIVIDAD EMPRESARIAL LTDA - CRECE</v>
      </c>
      <c r="D60" s="299">
        <f>+'Base de Datos'!I60</f>
        <v>282073266</v>
      </c>
      <c r="E60" s="300">
        <f>+'Base de Datos'!M60</f>
        <v>41198</v>
      </c>
      <c r="F60" s="300">
        <f>+'Base de Datos'!N60</f>
        <v>41441</v>
      </c>
      <c r="G60" s="300" t="e">
        <f>+'Base de Datos'!#REF!</f>
        <v>#REF!</v>
      </c>
      <c r="H60" s="299">
        <f>+'Base de Datos'!X60</f>
        <v>282073266</v>
      </c>
      <c r="I60" s="301" t="e">
        <f>IF(VLOOKUP(B60,'Base de Datos'!$E$7:$T$303,11,0),"SI","NO")</f>
        <v>#VALUE!</v>
      </c>
      <c r="J60" s="302" t="e">
        <f t="shared" si="0"/>
        <v>#VALUE!</v>
      </c>
      <c r="K60" s="301" t="e">
        <f>IF(VLOOKUP(B60,'Base de Datos'!$E$7:$T$303,11,0),"SI","NO")</f>
        <v>#VALUE!</v>
      </c>
      <c r="L60" s="302" t="e">
        <f t="shared" si="1"/>
        <v>#VALUE!</v>
      </c>
      <c r="M60" s="302">
        <f>VLOOKUP(B60,'Base de Datos'!$E$7:$AC$303,21,0)</f>
        <v>282073266</v>
      </c>
      <c r="N60" s="363" t="e">
        <f t="shared" ca="1" si="5"/>
        <v>#REF!</v>
      </c>
      <c r="O60" s="302">
        <f>VLOOKUP(B60,'Base de Datos'!$E$7:$AC$303,22,0)</f>
        <v>0</v>
      </c>
      <c r="P60" s="362" t="str">
        <f t="shared" ca="1" si="2"/>
        <v/>
      </c>
      <c r="Q60" s="375" t="e">
        <f t="shared" ca="1" si="6"/>
        <v>#VALUE!</v>
      </c>
      <c r="R60" s="298">
        <f>VLOOKUP(B60,'Base de Datos'!E60:AU356,33,0)</f>
        <v>0</v>
      </c>
      <c r="S60" s="301" t="e">
        <f t="shared" ca="1" si="3"/>
        <v>#REF!</v>
      </c>
      <c r="T60" s="298" t="str">
        <f t="shared" si="4"/>
        <v/>
      </c>
      <c r="U60" s="298" t="str">
        <f>VLOOKUP(B60,'Base de Datos'!$E$7:$AU$401,38,0)</f>
        <v>SI</v>
      </c>
    </row>
    <row r="61" spans="1:21" ht="23.25" customHeight="1" thickTop="1" thickBot="1" x14ac:dyDescent="0.35">
      <c r="A61" s="96">
        <v>55</v>
      </c>
      <c r="B61" s="298" t="str">
        <f>+'Base de Datos'!E61</f>
        <v>120000-398-0-2012</v>
      </c>
      <c r="C61" s="298" t="str">
        <f>+'Base de Datos'!F61</f>
        <v>ECO COLSULTORES</v>
      </c>
      <c r="D61" s="299">
        <f>+'Base de Datos'!I61</f>
        <v>50618751</v>
      </c>
      <c r="E61" s="300">
        <f>+'Base de Datos'!M61</f>
        <v>41198</v>
      </c>
      <c r="F61" s="300">
        <f>+'Base de Datos'!N61</f>
        <v>41441</v>
      </c>
      <c r="G61" s="300" t="e">
        <f>+'Base de Datos'!#REF!</f>
        <v>#REF!</v>
      </c>
      <c r="H61" s="299">
        <f>+'Base de Datos'!X61</f>
        <v>50618751</v>
      </c>
      <c r="I61" s="301" t="e">
        <f>IF(VLOOKUP(B61,'Base de Datos'!$E$7:$T$303,11,0),"SI","NO")</f>
        <v>#VALUE!</v>
      </c>
      <c r="J61" s="302" t="e">
        <f t="shared" si="0"/>
        <v>#VALUE!</v>
      </c>
      <c r="K61" s="301" t="e">
        <f>IF(VLOOKUP(B61,'Base de Datos'!$E$7:$T$303,11,0),"SI","NO")</f>
        <v>#VALUE!</v>
      </c>
      <c r="L61" s="302" t="e">
        <f t="shared" si="1"/>
        <v>#VALUE!</v>
      </c>
      <c r="M61" s="302">
        <f>VLOOKUP(B61,'Base de Datos'!$E$7:$AC$303,21,0)</f>
        <v>50618751</v>
      </c>
      <c r="N61" s="363" t="e">
        <f t="shared" ca="1" si="5"/>
        <v>#REF!</v>
      </c>
      <c r="O61" s="302">
        <f>VLOOKUP(B61,'Base de Datos'!$E$7:$AC$303,22,0)</f>
        <v>0</v>
      </c>
      <c r="P61" s="362" t="str">
        <f t="shared" ca="1" si="2"/>
        <v/>
      </c>
      <c r="Q61" s="375" t="e">
        <f t="shared" ca="1" si="6"/>
        <v>#VALUE!</v>
      </c>
      <c r="R61" s="298">
        <f>VLOOKUP(B61,'Base de Datos'!E61:AU357,33,0)</f>
        <v>0</v>
      </c>
      <c r="S61" s="301" t="e">
        <f t="shared" ca="1" si="3"/>
        <v>#REF!</v>
      </c>
      <c r="T61" s="298" t="str">
        <f t="shared" si="4"/>
        <v/>
      </c>
      <c r="U61" s="298" t="str">
        <f>VLOOKUP(B61,'Base de Datos'!$E$7:$AU$401,38,0)</f>
        <v>SI</v>
      </c>
    </row>
    <row r="62" spans="1:21" ht="23.25" customHeight="1" thickTop="1" thickBot="1" x14ac:dyDescent="0.35">
      <c r="A62" s="96">
        <v>56</v>
      </c>
      <c r="B62" s="298" t="str">
        <f>+'Base de Datos'!E62</f>
        <v>120000-399-0-2012</v>
      </c>
      <c r="C62" s="298" t="str">
        <f>+'Base de Datos'!F62</f>
        <v>UNIVERSIDAD LA GRAN COLOMBIA</v>
      </c>
      <c r="D62" s="299">
        <f>+'Base de Datos'!I62</f>
        <v>69900000</v>
      </c>
      <c r="E62" s="300">
        <f>+'Base de Datos'!M62</f>
        <v>41202</v>
      </c>
      <c r="F62" s="300">
        <f>+'Base de Datos'!N62</f>
        <v>41445</v>
      </c>
      <c r="G62" s="300" t="e">
        <f>+'Base de Datos'!#REF!</f>
        <v>#REF!</v>
      </c>
      <c r="H62" s="299">
        <f>+'Base de Datos'!X62</f>
        <v>69900000</v>
      </c>
      <c r="I62" s="301" t="e">
        <f>IF(VLOOKUP(B62,'Base de Datos'!$E$7:$T$303,11,0),"SI","NO")</f>
        <v>#VALUE!</v>
      </c>
      <c r="J62" s="302" t="e">
        <f t="shared" si="0"/>
        <v>#VALUE!</v>
      </c>
      <c r="K62" s="301" t="e">
        <f>IF(VLOOKUP(B62,'Base de Datos'!$E$7:$T$303,11,0),"SI","NO")</f>
        <v>#VALUE!</v>
      </c>
      <c r="L62" s="302" t="e">
        <f t="shared" si="1"/>
        <v>#VALUE!</v>
      </c>
      <c r="M62" s="302">
        <f>VLOOKUP(B62,'Base de Datos'!$E$7:$AC$303,21,0)</f>
        <v>69900000</v>
      </c>
      <c r="N62" s="363" t="e">
        <f t="shared" ca="1" si="5"/>
        <v>#REF!</v>
      </c>
      <c r="O62" s="302">
        <f>VLOOKUP(B62,'Base de Datos'!$E$7:$AC$303,22,0)</f>
        <v>0</v>
      </c>
      <c r="P62" s="362" t="str">
        <f t="shared" ca="1" si="2"/>
        <v/>
      </c>
      <c r="Q62" s="375" t="e">
        <f t="shared" ca="1" si="6"/>
        <v>#VALUE!</v>
      </c>
      <c r="R62" s="298">
        <f>VLOOKUP(B62,'Base de Datos'!E62:AU358,33,0)</f>
        <v>0</v>
      </c>
      <c r="S62" s="301" t="e">
        <f t="shared" ca="1" si="3"/>
        <v>#REF!</v>
      </c>
      <c r="T62" s="298" t="str">
        <f t="shared" si="4"/>
        <v/>
      </c>
      <c r="U62" s="298" t="str">
        <f>VLOOKUP(B62,'Base de Datos'!$E$7:$AU$401,38,0)</f>
        <v>SI</v>
      </c>
    </row>
    <row r="63" spans="1:21" ht="23.25" customHeight="1" thickTop="1" thickBot="1" x14ac:dyDescent="0.35">
      <c r="A63" s="96">
        <v>57</v>
      </c>
      <c r="B63" s="298" t="str">
        <f>+'Base de Datos'!E63</f>
        <v>120000-402-0-2012</v>
      </c>
      <c r="C63" s="298" t="str">
        <f>+'Base de Datos'!F63</f>
        <v>INSTITUTO DISTRITAL DEL PATRIMONIO CULTURAL - IDCP</v>
      </c>
      <c r="D63" s="299">
        <f>+'Base de Datos'!I63</f>
        <v>500000000</v>
      </c>
      <c r="E63" s="300">
        <f>+'Base de Datos'!M63</f>
        <v>41170</v>
      </c>
      <c r="F63" s="300">
        <f>+'Base de Datos'!N63</f>
        <v>41412</v>
      </c>
      <c r="G63" s="300" t="e">
        <f>+'Base de Datos'!#REF!</f>
        <v>#REF!</v>
      </c>
      <c r="H63" s="299">
        <f>+'Base de Datos'!X63</f>
        <v>500000000</v>
      </c>
      <c r="I63" s="301" t="e">
        <f>IF(VLOOKUP(B63,'Base de Datos'!$E$7:$T$303,11,0),"SI","NO")</f>
        <v>#VALUE!</v>
      </c>
      <c r="J63" s="302" t="e">
        <f t="shared" si="0"/>
        <v>#VALUE!</v>
      </c>
      <c r="K63" s="301" t="e">
        <f>IF(VLOOKUP(B63,'Base de Datos'!$E$7:$T$303,11,0),"SI","NO")</f>
        <v>#VALUE!</v>
      </c>
      <c r="L63" s="302" t="e">
        <f t="shared" si="1"/>
        <v>#VALUE!</v>
      </c>
      <c r="M63" s="302">
        <f>VLOOKUP(B63,'Base de Datos'!$E$7:$AC$303,21,0)</f>
        <v>500000000</v>
      </c>
      <c r="N63" s="363" t="e">
        <f t="shared" ca="1" si="5"/>
        <v>#REF!</v>
      </c>
      <c r="O63" s="302">
        <f>VLOOKUP(B63,'Base de Datos'!$E$7:$AC$303,22,0)</f>
        <v>0</v>
      </c>
      <c r="P63" s="362" t="str">
        <f t="shared" ca="1" si="2"/>
        <v/>
      </c>
      <c r="Q63" s="375" t="e">
        <f t="shared" ca="1" si="6"/>
        <v>#VALUE!</v>
      </c>
      <c r="R63" s="298">
        <f>VLOOKUP(B63,'Base de Datos'!E63:AU359,33,0)</f>
        <v>0</v>
      </c>
      <c r="S63" s="301" t="e">
        <f t="shared" ca="1" si="3"/>
        <v>#REF!</v>
      </c>
      <c r="T63" s="298" t="str">
        <f t="shared" si="4"/>
        <v/>
      </c>
      <c r="U63" s="298" t="str">
        <f>VLOOKUP(B63,'Base de Datos'!$E$7:$AU$401,38,0)</f>
        <v>SI</v>
      </c>
    </row>
    <row r="64" spans="1:21" ht="23.25" customHeight="1" thickTop="1" thickBot="1" x14ac:dyDescent="0.35">
      <c r="A64" s="96">
        <v>58</v>
      </c>
      <c r="B64" s="298" t="str">
        <f>+'Base de Datos'!E64</f>
        <v>120000-196-0-2012</v>
      </c>
      <c r="C64" s="298" t="str">
        <f>+'Base de Datos'!F64</f>
        <v>SGS COLOMBIA S.A.</v>
      </c>
      <c r="D64" s="299">
        <f>+'Base de Datos'!I64</f>
        <v>10440000</v>
      </c>
      <c r="E64" s="300">
        <f>+'Base de Datos'!M64</f>
        <v>41067</v>
      </c>
      <c r="F64" s="300">
        <f>+'Base de Datos'!N64</f>
        <v>41312</v>
      </c>
      <c r="G64" s="300" t="e">
        <f>+'Base de Datos'!#REF!</f>
        <v>#REF!</v>
      </c>
      <c r="H64" s="299">
        <f>+'Base de Datos'!X64</f>
        <v>10440000</v>
      </c>
      <c r="I64" s="301" t="e">
        <f>IF(VLOOKUP(B64,'Base de Datos'!$E$7:$T$303,11,0),"SI","NO")</f>
        <v>#VALUE!</v>
      </c>
      <c r="J64" s="302" t="e">
        <f t="shared" si="0"/>
        <v>#VALUE!</v>
      </c>
      <c r="K64" s="301" t="e">
        <f>IF(VLOOKUP(B64,'Base de Datos'!$E$7:$T$303,11,0),"SI","NO")</f>
        <v>#VALUE!</v>
      </c>
      <c r="L64" s="302" t="e">
        <f t="shared" si="1"/>
        <v>#VALUE!</v>
      </c>
      <c r="M64" s="302">
        <f>VLOOKUP(B64,'Base de Datos'!$E$7:$AC$303,21,0)</f>
        <v>10440000</v>
      </c>
      <c r="N64" s="363" t="e">
        <f t="shared" ca="1" si="5"/>
        <v>#REF!</v>
      </c>
      <c r="O64" s="302">
        <f>VLOOKUP(B64,'Base de Datos'!$E$7:$AC$303,22,0)</f>
        <v>0</v>
      </c>
      <c r="P64" s="362" t="str">
        <f t="shared" ca="1" si="2"/>
        <v/>
      </c>
      <c r="Q64" s="375" t="e">
        <f t="shared" ca="1" si="6"/>
        <v>#VALUE!</v>
      </c>
      <c r="R64" s="298" t="str">
        <f>VLOOKUP(B64,'Base de Datos'!E64:AU360,33,0)</f>
        <v>Oficina Asesora de Planeación</v>
      </c>
      <c r="S64" s="301" t="e">
        <f t="shared" ca="1" si="3"/>
        <v>#REF!</v>
      </c>
      <c r="T64" s="298" t="str">
        <f t="shared" si="4"/>
        <v/>
      </c>
      <c r="U64" s="298" t="str">
        <f>VLOOKUP(B64,'Base de Datos'!$E$7:$AU$401,38,0)</f>
        <v>SI</v>
      </c>
    </row>
    <row r="65" spans="1:21" ht="23.25" customHeight="1" thickTop="1" thickBot="1" x14ac:dyDescent="0.35">
      <c r="A65" s="96">
        <v>59</v>
      </c>
      <c r="B65" s="298" t="str">
        <f>+'Base de Datos'!E65</f>
        <v>120000-403-0-2012</v>
      </c>
      <c r="C65" s="298" t="str">
        <f>+'Base de Datos'!F65</f>
        <v>INCTEC INGENIEROS CIVILES ARQUITECTOS LTDA</v>
      </c>
      <c r="D65" s="299">
        <f>+'Base de Datos'!I65</f>
        <v>24824832</v>
      </c>
      <c r="E65" s="300">
        <f>+'Base de Datos'!M65</f>
        <v>41208</v>
      </c>
      <c r="F65" s="300">
        <f>+'Base de Datos'!N65</f>
        <v>41481</v>
      </c>
      <c r="G65" s="300" t="e">
        <f>+'Base de Datos'!#REF!</f>
        <v>#REF!</v>
      </c>
      <c r="H65" s="299">
        <f>+'Base de Datos'!X65</f>
        <v>24824832</v>
      </c>
      <c r="I65" s="301" t="e">
        <f>IF(VLOOKUP(B65,'Base de Datos'!$E$7:$T$303,11,0),"SI","NO")</f>
        <v>#VALUE!</v>
      </c>
      <c r="J65" s="302" t="e">
        <f t="shared" si="0"/>
        <v>#VALUE!</v>
      </c>
      <c r="K65" s="301" t="e">
        <f>IF(VLOOKUP(B65,'Base de Datos'!$E$7:$T$303,11,0),"SI","NO")</f>
        <v>#VALUE!</v>
      </c>
      <c r="L65" s="302" t="e">
        <f t="shared" si="1"/>
        <v>#VALUE!</v>
      </c>
      <c r="M65" s="302">
        <f>VLOOKUP(B65,'Base de Datos'!$E$7:$AC$303,21,0)</f>
        <v>24824832</v>
      </c>
      <c r="N65" s="363" t="e">
        <f t="shared" ca="1" si="5"/>
        <v>#REF!</v>
      </c>
      <c r="O65" s="302">
        <f>VLOOKUP(B65,'Base de Datos'!$E$7:$AC$303,22,0)</f>
        <v>0</v>
      </c>
      <c r="P65" s="362" t="str">
        <f t="shared" ca="1" si="2"/>
        <v/>
      </c>
      <c r="Q65" s="375" t="e">
        <f t="shared" ca="1" si="6"/>
        <v>#VALUE!</v>
      </c>
      <c r="R65" s="298">
        <f>VLOOKUP(B65,'Base de Datos'!E65:AU361,33,0)</f>
        <v>0</v>
      </c>
      <c r="S65" s="301" t="e">
        <f t="shared" ca="1" si="3"/>
        <v>#REF!</v>
      </c>
      <c r="T65" s="298" t="str">
        <f t="shared" si="4"/>
        <v/>
      </c>
      <c r="U65" s="298" t="str">
        <f>VLOOKUP(B65,'Base de Datos'!$E$7:$AU$401,38,0)</f>
        <v>SI</v>
      </c>
    </row>
    <row r="66" spans="1:21" ht="23.25" customHeight="1" thickTop="1" thickBot="1" x14ac:dyDescent="0.35">
      <c r="A66" s="96">
        <v>60</v>
      </c>
      <c r="B66" s="298" t="str">
        <f>+'Base de Datos'!E66</f>
        <v>120000-406-0-2012</v>
      </c>
      <c r="C66" s="298" t="str">
        <f>+'Base de Datos'!F66</f>
        <v>GRUPO EDITORIAL EL PERIÓDICO S.A.S</v>
      </c>
      <c r="D66" s="299">
        <f>+'Base de Datos'!I66</f>
        <v>810000</v>
      </c>
      <c r="E66" s="300">
        <f>+'Base de Datos'!M66</f>
        <v>41193</v>
      </c>
      <c r="F66" s="300">
        <f>+'Base de Datos'!N66</f>
        <v>41558</v>
      </c>
      <c r="G66" s="300" t="e">
        <f>+'Base de Datos'!#REF!</f>
        <v>#REF!</v>
      </c>
      <c r="H66" s="299">
        <f>+'Base de Datos'!X66</f>
        <v>810000</v>
      </c>
      <c r="I66" s="301" t="e">
        <f>IF(VLOOKUP(B66,'Base de Datos'!$E$7:$T$303,11,0),"SI","NO")</f>
        <v>#VALUE!</v>
      </c>
      <c r="J66" s="302" t="e">
        <f t="shared" si="0"/>
        <v>#VALUE!</v>
      </c>
      <c r="K66" s="301" t="e">
        <f>IF(VLOOKUP(B66,'Base de Datos'!$E$7:$T$303,11,0),"SI","NO")</f>
        <v>#VALUE!</v>
      </c>
      <c r="L66" s="302" t="e">
        <f t="shared" si="1"/>
        <v>#VALUE!</v>
      </c>
      <c r="M66" s="302">
        <f>VLOOKUP(B66,'Base de Datos'!$E$7:$AC$303,21,0)</f>
        <v>810000</v>
      </c>
      <c r="N66" s="363" t="e">
        <f t="shared" ca="1" si="5"/>
        <v>#REF!</v>
      </c>
      <c r="O66" s="302">
        <f>VLOOKUP(B66,'Base de Datos'!$E$7:$AC$303,22,0)</f>
        <v>0</v>
      </c>
      <c r="P66" s="362" t="str">
        <f t="shared" ca="1" si="2"/>
        <v/>
      </c>
      <c r="Q66" s="375" t="e">
        <f t="shared" ca="1" si="6"/>
        <v>#VALUE!</v>
      </c>
      <c r="R66" s="298">
        <f>VLOOKUP(B66,'Base de Datos'!E66:AU362,33,0)</f>
        <v>0</v>
      </c>
      <c r="S66" s="301" t="e">
        <f t="shared" ca="1" si="3"/>
        <v>#REF!</v>
      </c>
      <c r="T66" s="298" t="str">
        <f t="shared" si="4"/>
        <v/>
      </c>
      <c r="U66" s="298" t="str">
        <f>VLOOKUP(B66,'Base de Datos'!$E$7:$AU$401,38,0)</f>
        <v>SI</v>
      </c>
    </row>
    <row r="67" spans="1:21" ht="23.25" customHeight="1" thickTop="1" thickBot="1" x14ac:dyDescent="0.35">
      <c r="A67" s="96">
        <v>61</v>
      </c>
      <c r="B67" s="298" t="str">
        <f>+'Base de Datos'!E67</f>
        <v>120000-416-0-2012</v>
      </c>
      <c r="C67" s="298" t="str">
        <f>+'Base de Datos'!F67</f>
        <v xml:space="preserve">COMPAÑÍA COLOMBIANA DE CONSTRUCCIÓN COD S.A. </v>
      </c>
      <c r="D67" s="299">
        <f>+'Base de Datos'!I67</f>
        <v>299287875</v>
      </c>
      <c r="E67" s="300">
        <f>+'Base de Datos'!M67</f>
        <v>41208</v>
      </c>
      <c r="F67" s="300">
        <f>+'Base de Datos'!N67</f>
        <v>41451</v>
      </c>
      <c r="G67" s="300" t="e">
        <f>+'Base de Datos'!#REF!</f>
        <v>#REF!</v>
      </c>
      <c r="H67" s="299">
        <f>+'Base de Datos'!X67</f>
        <v>299287875</v>
      </c>
      <c r="I67" s="301" t="e">
        <f>IF(VLOOKUP(B67,'Base de Datos'!$E$7:$T$303,11,0),"SI","NO")</f>
        <v>#VALUE!</v>
      </c>
      <c r="J67" s="302" t="e">
        <f t="shared" si="0"/>
        <v>#VALUE!</v>
      </c>
      <c r="K67" s="301" t="e">
        <f>IF(VLOOKUP(B67,'Base de Datos'!$E$7:$T$303,11,0),"SI","NO")</f>
        <v>#VALUE!</v>
      </c>
      <c r="L67" s="302" t="e">
        <f t="shared" si="1"/>
        <v>#VALUE!</v>
      </c>
      <c r="M67" s="302">
        <f>VLOOKUP(B67,'Base de Datos'!$E$7:$AC$303,21,0)</f>
        <v>160844981</v>
      </c>
      <c r="N67" s="363" t="e">
        <f t="shared" ca="1" si="5"/>
        <v>#REF!</v>
      </c>
      <c r="O67" s="302">
        <f>VLOOKUP(B67,'Base de Datos'!$E$7:$AC$303,22,0)</f>
        <v>138442894</v>
      </c>
      <c r="P67" s="362" t="str">
        <f t="shared" ca="1" si="2"/>
        <v/>
      </c>
      <c r="Q67" s="375" t="e">
        <f t="shared" ca="1" si="6"/>
        <v>#VALUE!</v>
      </c>
      <c r="R67" s="298">
        <f>VLOOKUP(B67,'Base de Datos'!E67:AU363,33,0)</f>
        <v>0</v>
      </c>
      <c r="S67" s="301" t="e">
        <f t="shared" ca="1" si="3"/>
        <v>#REF!</v>
      </c>
      <c r="T67" s="298" t="str">
        <f t="shared" si="4"/>
        <v/>
      </c>
      <c r="U67" s="298" t="str">
        <f>VLOOKUP(B67,'Base de Datos'!$E$7:$AU$401,38,0)</f>
        <v>SI</v>
      </c>
    </row>
    <row r="68" spans="1:21" ht="23.25" customHeight="1" thickTop="1" thickBot="1" x14ac:dyDescent="0.35">
      <c r="A68" s="96">
        <v>62</v>
      </c>
      <c r="B68" s="298" t="str">
        <f>+'Base de Datos'!E68</f>
        <v>120000-420-0-2012</v>
      </c>
      <c r="C68" s="298" t="str">
        <f>+'Base de Datos'!F68</f>
        <v xml:space="preserve">MEDIDORES TÉCNICA EQUIPOS S.A. </v>
      </c>
      <c r="D68" s="299">
        <f>+'Base de Datos'!I68</f>
        <v>1392000</v>
      </c>
      <c r="E68" s="300">
        <f>+'Base de Datos'!M68</f>
        <v>41242</v>
      </c>
      <c r="F68" s="300">
        <f>+'Base de Datos'!N68</f>
        <v>41303</v>
      </c>
      <c r="G68" s="300" t="e">
        <f>+'Base de Datos'!#REF!</f>
        <v>#REF!</v>
      </c>
      <c r="H68" s="299">
        <f>+'Base de Datos'!X68</f>
        <v>1392000</v>
      </c>
      <c r="I68" s="301" t="e">
        <f>IF(VLOOKUP(B68,'Base de Datos'!$E$7:$T$303,11,0),"SI","NO")</f>
        <v>#VALUE!</v>
      </c>
      <c r="J68" s="302" t="e">
        <f t="shared" si="0"/>
        <v>#VALUE!</v>
      </c>
      <c r="K68" s="301" t="e">
        <f>IF(VLOOKUP(B68,'Base de Datos'!$E$7:$T$303,11,0),"SI","NO")</f>
        <v>#VALUE!</v>
      </c>
      <c r="L68" s="302" t="e">
        <f t="shared" si="1"/>
        <v>#VALUE!</v>
      </c>
      <c r="M68" s="302">
        <f>VLOOKUP(B68,'Base de Datos'!$E$7:$AC$303,21,0)</f>
        <v>0</v>
      </c>
      <c r="N68" s="363" t="e">
        <f t="shared" ca="1" si="5"/>
        <v>#REF!</v>
      </c>
      <c r="O68" s="302">
        <f>VLOOKUP(B68,'Base de Datos'!$E$7:$AC$303,22,0)</f>
        <v>1392000</v>
      </c>
      <c r="P68" s="362" t="str">
        <f t="shared" ca="1" si="2"/>
        <v/>
      </c>
      <c r="Q68" s="375" t="e">
        <f t="shared" ca="1" si="6"/>
        <v>#VALUE!</v>
      </c>
      <c r="R68" s="298" t="str">
        <f>VLOOKUP(B68,'Base de Datos'!E68:AU364,33,0)</f>
        <v>Dirección Administrativa</v>
      </c>
      <c r="S68" s="301" t="e">
        <f t="shared" ca="1" si="3"/>
        <v>#REF!</v>
      </c>
      <c r="T68" s="298" t="str">
        <f t="shared" si="4"/>
        <v/>
      </c>
      <c r="U68" s="298" t="str">
        <f>VLOOKUP(B68,'Base de Datos'!$E$7:$AU$401,38,0)</f>
        <v>SI</v>
      </c>
    </row>
    <row r="69" spans="1:21" ht="23.25" customHeight="1" thickTop="1" thickBot="1" x14ac:dyDescent="0.35">
      <c r="A69" s="96">
        <v>63</v>
      </c>
      <c r="B69" s="298" t="str">
        <f>+'Base de Datos'!E69</f>
        <v>120000-425-0-2012</v>
      </c>
      <c r="C69" s="298" t="str">
        <f>+'Base de Datos'!F69</f>
        <v>INDUARCHIVOS LTDA</v>
      </c>
      <c r="D69" s="299">
        <f>+'Base de Datos'!I69</f>
        <v>4056000</v>
      </c>
      <c r="E69" s="300">
        <f>+'Base de Datos'!M69</f>
        <v>41208</v>
      </c>
      <c r="F69" s="300">
        <f>+'Base de Datos'!N69</f>
        <v>41390</v>
      </c>
      <c r="G69" s="300" t="e">
        <f>+'Base de Datos'!#REF!</f>
        <v>#REF!</v>
      </c>
      <c r="H69" s="299">
        <f>+'Base de Datos'!X69</f>
        <v>4056000</v>
      </c>
      <c r="I69" s="301" t="e">
        <f>IF(VLOOKUP(B69,'Base de Datos'!$E$7:$T$303,11,0),"SI","NO")</f>
        <v>#VALUE!</v>
      </c>
      <c r="J69" s="302" t="e">
        <f t="shared" si="0"/>
        <v>#VALUE!</v>
      </c>
      <c r="K69" s="301" t="e">
        <f>IF(VLOOKUP(B69,'Base de Datos'!$E$7:$T$303,11,0),"SI","NO")</f>
        <v>#VALUE!</v>
      </c>
      <c r="L69" s="302" t="e">
        <f t="shared" si="1"/>
        <v>#VALUE!</v>
      </c>
      <c r="M69" s="302">
        <f>VLOOKUP(B69,'Base de Datos'!$E$7:$AC$303,21,0)</f>
        <v>4056000</v>
      </c>
      <c r="N69" s="363" t="e">
        <f t="shared" ca="1" si="5"/>
        <v>#REF!</v>
      </c>
      <c r="O69" s="302">
        <f>VLOOKUP(B69,'Base de Datos'!$E$7:$AC$303,22,0)</f>
        <v>0</v>
      </c>
      <c r="P69" s="362" t="str">
        <f t="shared" ca="1" si="2"/>
        <v/>
      </c>
      <c r="Q69" s="375" t="e">
        <f t="shared" ca="1" si="6"/>
        <v>#VALUE!</v>
      </c>
      <c r="R69" s="298" t="str">
        <f>VLOOKUP(B69,'Base de Datos'!E69:AU365,33,0)</f>
        <v>Dirección Administrativa</v>
      </c>
      <c r="S69" s="301" t="e">
        <f t="shared" ca="1" si="3"/>
        <v>#REF!</v>
      </c>
      <c r="T69" s="298" t="str">
        <f t="shared" si="4"/>
        <v/>
      </c>
      <c r="U69" s="298" t="str">
        <f>VLOOKUP(B69,'Base de Datos'!$E$7:$AU$401,38,0)</f>
        <v>SI</v>
      </c>
    </row>
    <row r="70" spans="1:21" ht="23.25" customHeight="1" thickTop="1" thickBot="1" x14ac:dyDescent="0.35">
      <c r="A70" s="96">
        <v>64</v>
      </c>
      <c r="B70" s="298" t="str">
        <f>+'Base de Datos'!E70</f>
        <v>120000-442-0-2012</v>
      </c>
      <c r="C70" s="298" t="str">
        <f>+'Base de Datos'!F70</f>
        <v>UNIÓN TEMPORAL VISE - VIGILANCIA ACOSTA - COSERVICREA - RUMBO</v>
      </c>
      <c r="D70" s="299">
        <f>+'Base de Datos'!I70</f>
        <v>431745000</v>
      </c>
      <c r="E70" s="300">
        <f>+'Base de Datos'!M70</f>
        <v>41214</v>
      </c>
      <c r="F70" s="300">
        <f>+'Base de Datos'!N70</f>
        <v>41518</v>
      </c>
      <c r="G70" s="300" t="e">
        <f>+'Base de Datos'!#REF!</f>
        <v>#REF!</v>
      </c>
      <c r="H70" s="299">
        <f>+'Base de Datos'!X70</f>
        <v>526745000</v>
      </c>
      <c r="I70" s="301" t="e">
        <f>IF(VLOOKUP(B70,'Base de Datos'!$E$7:$T$303,11,0),"SI","NO")</f>
        <v>#VALUE!</v>
      </c>
      <c r="J70" s="302" t="e">
        <f t="shared" si="0"/>
        <v>#VALUE!</v>
      </c>
      <c r="K70" s="301" t="e">
        <f>IF(VLOOKUP(B70,'Base de Datos'!$E$7:$T$303,11,0),"SI","NO")</f>
        <v>#VALUE!</v>
      </c>
      <c r="L70" s="302" t="e">
        <f t="shared" si="1"/>
        <v>#VALUE!</v>
      </c>
      <c r="M70" s="302">
        <f>VLOOKUP(B70,'Base de Datos'!$E$7:$AC$303,21,0)</f>
        <v>526745000</v>
      </c>
      <c r="N70" s="363" t="e">
        <f t="shared" ca="1" si="5"/>
        <v>#REF!</v>
      </c>
      <c r="O70" s="302">
        <f>VLOOKUP(B70,'Base de Datos'!$E$7:$AC$303,22,0)</f>
        <v>0</v>
      </c>
      <c r="P70" s="362" t="str">
        <f t="shared" ca="1" si="2"/>
        <v/>
      </c>
      <c r="Q70" s="375" t="e">
        <f t="shared" ca="1" si="6"/>
        <v>#VALUE!</v>
      </c>
      <c r="R70" s="298" t="str">
        <f>VLOOKUP(B70,'Base de Datos'!E70:AU366,33,0)</f>
        <v>Dirección Administrativa</v>
      </c>
      <c r="S70" s="301" t="e">
        <f t="shared" ca="1" si="3"/>
        <v>#REF!</v>
      </c>
      <c r="T70" s="298" t="str">
        <f t="shared" si="4"/>
        <v/>
      </c>
      <c r="U70" s="298" t="str">
        <f>VLOOKUP(B70,'Base de Datos'!$E$7:$AU$401,38,0)</f>
        <v>SI</v>
      </c>
    </row>
    <row r="71" spans="1:21" ht="23.25" customHeight="1" thickTop="1" thickBot="1" x14ac:dyDescent="0.35">
      <c r="A71" s="96">
        <v>65</v>
      </c>
      <c r="B71" s="298" t="str">
        <f>+'Base de Datos'!E71</f>
        <v>120000-451-0-2012</v>
      </c>
      <c r="C71" s="298" t="str">
        <f>+'Base de Datos'!F71</f>
        <v>CAJA DE COMPENSACIÓN FAMILIAR COMPENSAR - BIENESTAR</v>
      </c>
      <c r="D71" s="299">
        <f>+'Base de Datos'!I71</f>
        <v>407400000</v>
      </c>
      <c r="E71" s="300">
        <f>+'Base de Datos'!M71</f>
        <v>41232</v>
      </c>
      <c r="F71" s="300">
        <f>+'Base de Datos'!N71</f>
        <v>41383</v>
      </c>
      <c r="G71" s="300" t="e">
        <f>+'Base de Datos'!#REF!</f>
        <v>#REF!</v>
      </c>
      <c r="H71" s="299">
        <f>+'Base de Datos'!X71</f>
        <v>619289880</v>
      </c>
      <c r="I71" s="301" t="e">
        <f>IF(VLOOKUP(B71,'Base de Datos'!$E$7:$T$303,11,0),"SI","NO")</f>
        <v>#VALUE!</v>
      </c>
      <c r="J71" s="302" t="e">
        <f t="shared" ref="J71:J134" si="7">IF(I71=$AB$7,((G71-F71)*100%)/(F71-E71),"")</f>
        <v>#VALUE!</v>
      </c>
      <c r="K71" s="301" t="e">
        <f>IF(VLOOKUP(B71,'Base de Datos'!$E$7:$T$303,11,0),"SI","NO")</f>
        <v>#VALUE!</v>
      </c>
      <c r="L71" s="302" t="e">
        <f t="shared" ref="L71:L134" si="8">IF(K71=$AB$7,((H71-D71)*100%)/(D71),"")</f>
        <v>#VALUE!</v>
      </c>
      <c r="M71" s="302">
        <f>VLOOKUP(B71,'Base de Datos'!$E$7:$AC$303,21,0)</f>
        <v>619289880</v>
      </c>
      <c r="N71" s="363" t="e">
        <f t="shared" ca="1" si="5"/>
        <v>#REF!</v>
      </c>
      <c r="O71" s="302">
        <f>VLOOKUP(B71,'Base de Datos'!$E$7:$AC$303,22,0)</f>
        <v>0</v>
      </c>
      <c r="P71" s="362" t="str">
        <f t="shared" ref="P71:P134" ca="1" si="9">IF(R71=$AC$7,"",IFERROR(IF(R71=$AC$8,"",($C$5-G71)),""))</f>
        <v/>
      </c>
      <c r="Q71" s="375" t="e">
        <f t="shared" ca="1" si="6"/>
        <v>#VALUE!</v>
      </c>
      <c r="R71" s="298" t="str">
        <f>VLOOKUP(B71,'Base de Datos'!E71:AU367,33,0)</f>
        <v>Dirección Administrativa</v>
      </c>
      <c r="S71" s="301" t="e">
        <f t="shared" ref="S71:S134" ca="1" si="10">IF((TODAY()-G71&lt;900),"SI","NO")</f>
        <v>#REF!</v>
      </c>
      <c r="T71" s="298" t="str">
        <f t="shared" ref="T71:T134" si="11">IF(R71=$AC$8,"",IF(O71=100%,"Liquidar",IF(R71=$AC$7,"Supervisar","")))</f>
        <v/>
      </c>
      <c r="U71" s="298" t="str">
        <f>VLOOKUP(B71,'Base de Datos'!$E$7:$AU$401,38,0)</f>
        <v>SI</v>
      </c>
    </row>
    <row r="72" spans="1:21" ht="23.25" customHeight="1" thickTop="1" thickBot="1" x14ac:dyDescent="0.35">
      <c r="A72" s="96">
        <v>66</v>
      </c>
      <c r="B72" s="298" t="str">
        <f>+'Base de Datos'!E72</f>
        <v>120000-456-0-2012</v>
      </c>
      <c r="C72" s="298" t="str">
        <f>+'Base de Datos'!F72</f>
        <v>MIGUEL ANDRÉS GUTIÉRREZ ROMERO</v>
      </c>
      <c r="D72" s="299">
        <f>+'Base de Datos'!I72</f>
        <v>37359000</v>
      </c>
      <c r="E72" s="300">
        <f>+'Base de Datos'!M72</f>
        <v>41234</v>
      </c>
      <c r="F72" s="300">
        <f>+'Base de Datos'!N72</f>
        <v>41446</v>
      </c>
      <c r="G72" s="300" t="e">
        <f>+'Base de Datos'!#REF!</f>
        <v>#REF!</v>
      </c>
      <c r="H72" s="299">
        <f>+'Base de Datos'!X72</f>
        <v>37359000</v>
      </c>
      <c r="I72" s="301" t="e">
        <f>IF(VLOOKUP(B72,'Base de Datos'!$E$7:$T$303,11,0),"SI","NO")</f>
        <v>#VALUE!</v>
      </c>
      <c r="J72" s="302" t="e">
        <f t="shared" si="7"/>
        <v>#VALUE!</v>
      </c>
      <c r="K72" s="301" t="e">
        <f>IF(VLOOKUP(B72,'Base de Datos'!$E$7:$T$303,11,0),"SI","NO")</f>
        <v>#VALUE!</v>
      </c>
      <c r="L72" s="302" t="e">
        <f t="shared" si="8"/>
        <v>#VALUE!</v>
      </c>
      <c r="M72" s="302">
        <f>VLOOKUP(B72,'Base de Datos'!$E$7:$AC$303,21,0)</f>
        <v>37359000</v>
      </c>
      <c r="N72" s="363" t="e">
        <f t="shared" ref="N72:N135" ca="1" si="12">IF(G72&lt;TODAY(),"",G72-TODAY())</f>
        <v>#REF!</v>
      </c>
      <c r="O72" s="302">
        <f>VLOOKUP(B72,'Base de Datos'!$E$7:$AC$303,22,0)</f>
        <v>0</v>
      </c>
      <c r="P72" s="362" t="str">
        <f t="shared" ca="1" si="9"/>
        <v/>
      </c>
      <c r="Q72" s="375" t="e">
        <f t="shared" ref="Q72:Q135" ca="1" si="13">IF(P72=0,"",(P72*100%)/120)</f>
        <v>#VALUE!</v>
      </c>
      <c r="R72" s="298" t="str">
        <f>VLOOKUP(B72,'Base de Datos'!E72:AU368,33,0)</f>
        <v>Dirección Administrativa</v>
      </c>
      <c r="S72" s="301" t="e">
        <f t="shared" ca="1" si="10"/>
        <v>#REF!</v>
      </c>
      <c r="T72" s="298" t="str">
        <f t="shared" si="11"/>
        <v/>
      </c>
      <c r="U72" s="298" t="str">
        <f>VLOOKUP(B72,'Base de Datos'!$E$7:$AU$401,38,0)</f>
        <v>SI</v>
      </c>
    </row>
    <row r="73" spans="1:21" ht="23.25" customHeight="1" thickTop="1" thickBot="1" x14ac:dyDescent="0.35">
      <c r="A73" s="96">
        <v>67</v>
      </c>
      <c r="B73" s="298" t="str">
        <f>+'Base de Datos'!E73</f>
        <v>120000-464-0-2012</v>
      </c>
      <c r="C73" s="298" t="str">
        <f>+'Base de Datos'!F73</f>
        <v>CR TROFEOS LTDA</v>
      </c>
      <c r="D73" s="299">
        <f>+'Base de Datos'!I73</f>
        <v>20358000</v>
      </c>
      <c r="E73" s="300">
        <f>+'Base de Datos'!M73</f>
        <v>41240</v>
      </c>
      <c r="F73" s="300">
        <f>+'Base de Datos'!N73</f>
        <v>41421</v>
      </c>
      <c r="G73" s="300" t="e">
        <f>+'Base de Datos'!#REF!</f>
        <v>#REF!</v>
      </c>
      <c r="H73" s="299">
        <f>+'Base de Datos'!X73</f>
        <v>28420000</v>
      </c>
      <c r="I73" s="301" t="e">
        <f>IF(VLOOKUP(B73,'Base de Datos'!$E$7:$T$303,11,0),"SI","NO")</f>
        <v>#VALUE!</v>
      </c>
      <c r="J73" s="302" t="e">
        <f t="shared" si="7"/>
        <v>#VALUE!</v>
      </c>
      <c r="K73" s="301" t="e">
        <f>IF(VLOOKUP(B73,'Base de Datos'!$E$7:$T$303,11,0),"SI","NO")</f>
        <v>#VALUE!</v>
      </c>
      <c r="L73" s="302" t="e">
        <f t="shared" si="8"/>
        <v>#VALUE!</v>
      </c>
      <c r="M73" s="302">
        <f>VLOOKUP(B73,'Base de Datos'!$E$7:$AC$303,21,0)</f>
        <v>28379400</v>
      </c>
      <c r="N73" s="363" t="e">
        <f t="shared" ca="1" si="12"/>
        <v>#REF!</v>
      </c>
      <c r="O73" s="302">
        <f>VLOOKUP(B73,'Base de Datos'!$E$7:$AC$303,22,0)</f>
        <v>40600</v>
      </c>
      <c r="P73" s="362" t="str">
        <f t="shared" ca="1" si="9"/>
        <v/>
      </c>
      <c r="Q73" s="375" t="e">
        <f t="shared" ca="1" si="13"/>
        <v>#VALUE!</v>
      </c>
      <c r="R73" s="298" t="str">
        <f>VLOOKUP(B73,'Base de Datos'!E73:AU369,33,0)</f>
        <v>Secretaría General</v>
      </c>
      <c r="S73" s="301" t="e">
        <f t="shared" ca="1" si="10"/>
        <v>#REF!</v>
      </c>
      <c r="T73" s="298" t="str">
        <f t="shared" si="11"/>
        <v/>
      </c>
      <c r="U73" s="298" t="str">
        <f>VLOOKUP(B73,'Base de Datos'!$E$7:$AU$401,38,0)</f>
        <v>SI</v>
      </c>
    </row>
    <row r="74" spans="1:21" ht="23.25" customHeight="1" thickTop="1" thickBot="1" x14ac:dyDescent="0.35">
      <c r="A74" s="96">
        <v>68</v>
      </c>
      <c r="B74" s="298" t="str">
        <f>+'Base de Datos'!E74</f>
        <v>120000-466-0-2012</v>
      </c>
      <c r="C74" s="298" t="str">
        <f>+'Base de Datos'!F74</f>
        <v>JARDÍN BOTÁNICO</v>
      </c>
      <c r="D74" s="299">
        <f>+'Base de Datos'!I74</f>
        <v>6388708</v>
      </c>
      <c r="E74" s="300">
        <f>+'Base de Datos'!M74</f>
        <v>41248</v>
      </c>
      <c r="F74" s="300">
        <f>+'Base de Datos'!N74</f>
        <v>41500</v>
      </c>
      <c r="G74" s="300" t="e">
        <f>+'Base de Datos'!#REF!</f>
        <v>#REF!</v>
      </c>
      <c r="H74" s="299">
        <f>+'Base de Datos'!X74</f>
        <v>9037264</v>
      </c>
      <c r="I74" s="301" t="e">
        <f>IF(VLOOKUP(B74,'Base de Datos'!$E$7:$T$303,11,0),"SI","NO")</f>
        <v>#VALUE!</v>
      </c>
      <c r="J74" s="302" t="e">
        <f t="shared" si="7"/>
        <v>#VALUE!</v>
      </c>
      <c r="K74" s="301" t="e">
        <f>IF(VLOOKUP(B74,'Base de Datos'!$E$7:$T$303,11,0),"SI","NO")</f>
        <v>#VALUE!</v>
      </c>
      <c r="L74" s="302" t="e">
        <f t="shared" si="8"/>
        <v>#VALUE!</v>
      </c>
      <c r="M74" s="302">
        <f>VLOOKUP(B74,'Base de Datos'!$E$7:$AC$303,21,0)</f>
        <v>7492420</v>
      </c>
      <c r="N74" s="363" t="e">
        <f t="shared" ca="1" si="12"/>
        <v>#REF!</v>
      </c>
      <c r="O74" s="302">
        <f>VLOOKUP(B74,'Base de Datos'!$E$7:$AC$303,22,0)</f>
        <v>1544844</v>
      </c>
      <c r="P74" s="362" t="str">
        <f t="shared" ca="1" si="9"/>
        <v/>
      </c>
      <c r="Q74" s="375" t="e">
        <f t="shared" ca="1" si="13"/>
        <v>#VALUE!</v>
      </c>
      <c r="R74" s="298">
        <f>VLOOKUP(B74,'Base de Datos'!E74:AU370,33,0)</f>
        <v>0</v>
      </c>
      <c r="S74" s="301" t="e">
        <f t="shared" ca="1" si="10"/>
        <v>#REF!</v>
      </c>
      <c r="T74" s="298" t="str">
        <f t="shared" si="11"/>
        <v/>
      </c>
      <c r="U74" s="298" t="str">
        <f>VLOOKUP(B74,'Base de Datos'!$E$7:$AU$401,38,0)</f>
        <v>SI</v>
      </c>
    </row>
    <row r="75" spans="1:21" ht="23.25" customHeight="1" thickTop="1" thickBot="1" x14ac:dyDescent="0.35">
      <c r="A75" s="96">
        <v>69</v>
      </c>
      <c r="B75" s="298" t="str">
        <f>+'Base de Datos'!E75</f>
        <v>120000-478-0-2012</v>
      </c>
      <c r="C75" s="298" t="str">
        <f>+'Base de Datos'!F75</f>
        <v>CAJA COLOMBIANA DE SUBSIDIO FAMILIAR - COLSUBSIDIO - BONOS</v>
      </c>
      <c r="D75" s="299">
        <f>+'Base de Datos'!I75</f>
        <v>58300000</v>
      </c>
      <c r="E75" s="300">
        <f>+'Base de Datos'!M75</f>
        <v>41260</v>
      </c>
      <c r="F75" s="300">
        <f>+'Base de Datos'!N75</f>
        <v>41322</v>
      </c>
      <c r="G75" s="300" t="e">
        <f>+'Base de Datos'!#REF!</f>
        <v>#REF!</v>
      </c>
      <c r="H75" s="299">
        <f>+'Base de Datos'!X75</f>
        <v>58300000</v>
      </c>
      <c r="I75" s="301" t="e">
        <f>IF(VLOOKUP(B75,'Base de Datos'!$E$7:$T$303,11,0),"SI","NO")</f>
        <v>#VALUE!</v>
      </c>
      <c r="J75" s="302" t="e">
        <f t="shared" si="7"/>
        <v>#VALUE!</v>
      </c>
      <c r="K75" s="301" t="e">
        <f>IF(VLOOKUP(B75,'Base de Datos'!$E$7:$T$303,11,0),"SI","NO")</f>
        <v>#VALUE!</v>
      </c>
      <c r="L75" s="302" t="e">
        <f t="shared" si="8"/>
        <v>#VALUE!</v>
      </c>
      <c r="M75" s="302">
        <f>VLOOKUP(B75,'Base de Datos'!$E$7:$AC$303,21,0)</f>
        <v>58300000</v>
      </c>
      <c r="N75" s="363" t="e">
        <f t="shared" ca="1" si="12"/>
        <v>#REF!</v>
      </c>
      <c r="O75" s="302">
        <f>VLOOKUP(B75,'Base de Datos'!$E$7:$AC$303,22,0)</f>
        <v>0</v>
      </c>
      <c r="P75" s="362" t="str">
        <f t="shared" ca="1" si="9"/>
        <v/>
      </c>
      <c r="Q75" s="375" t="e">
        <f t="shared" ca="1" si="13"/>
        <v>#VALUE!</v>
      </c>
      <c r="R75" s="298">
        <f>VLOOKUP(B75,'Base de Datos'!E75:AU371,33,0)</f>
        <v>0</v>
      </c>
      <c r="S75" s="301" t="e">
        <f t="shared" ca="1" si="10"/>
        <v>#REF!</v>
      </c>
      <c r="T75" s="298" t="str">
        <f t="shared" si="11"/>
        <v/>
      </c>
      <c r="U75" s="298" t="str">
        <f>VLOOKUP(B75,'Base de Datos'!$E$7:$AU$401,38,0)</f>
        <v>SI</v>
      </c>
    </row>
    <row r="76" spans="1:21" ht="23.25" customHeight="1" thickTop="1" thickBot="1" x14ac:dyDescent="0.35">
      <c r="A76" s="96">
        <v>70</v>
      </c>
      <c r="B76" s="298" t="str">
        <f>+'Base de Datos'!E76</f>
        <v>120000-483-0-2012</v>
      </c>
      <c r="C76" s="298" t="str">
        <f>+'Base de Datos'!F76</f>
        <v>SERVIMEDIOS LTDA</v>
      </c>
      <c r="D76" s="299">
        <f>+'Base de Datos'!I76</f>
        <v>293000000</v>
      </c>
      <c r="E76" s="300">
        <f>+'Base de Datos'!M76</f>
        <v>41269</v>
      </c>
      <c r="F76" s="300">
        <f>+'Base de Datos'!N76</f>
        <v>41451</v>
      </c>
      <c r="G76" s="300" t="e">
        <f>+'Base de Datos'!#REF!</f>
        <v>#REF!</v>
      </c>
      <c r="H76" s="299">
        <f>+'Base de Datos'!X76</f>
        <v>411000000</v>
      </c>
      <c r="I76" s="301" t="e">
        <f>IF(VLOOKUP(B76,'Base de Datos'!$E$7:$T$303,11,0),"SI","NO")</f>
        <v>#VALUE!</v>
      </c>
      <c r="J76" s="302" t="e">
        <f t="shared" si="7"/>
        <v>#VALUE!</v>
      </c>
      <c r="K76" s="301" t="e">
        <f>IF(VLOOKUP(B76,'Base de Datos'!$E$7:$T$303,11,0),"SI","NO")</f>
        <v>#VALUE!</v>
      </c>
      <c r="L76" s="302" t="e">
        <f t="shared" si="8"/>
        <v>#VALUE!</v>
      </c>
      <c r="M76" s="302">
        <f>VLOOKUP(B76,'Base de Datos'!$E$7:$AC$303,21,0)</f>
        <v>411000000</v>
      </c>
      <c r="N76" s="363" t="e">
        <f t="shared" ca="1" si="12"/>
        <v>#REF!</v>
      </c>
      <c r="O76" s="302">
        <f>VLOOKUP(B76,'Base de Datos'!$E$7:$AC$303,22,0)</f>
        <v>0</v>
      </c>
      <c r="P76" s="362" t="str">
        <f t="shared" ca="1" si="9"/>
        <v/>
      </c>
      <c r="Q76" s="375" t="e">
        <f t="shared" ca="1" si="13"/>
        <v>#VALUE!</v>
      </c>
      <c r="R76" s="298">
        <f>VLOOKUP(B76,'Base de Datos'!E76:AU372,33,0)</f>
        <v>0</v>
      </c>
      <c r="S76" s="301" t="e">
        <f t="shared" ca="1" si="10"/>
        <v>#REF!</v>
      </c>
      <c r="T76" s="298" t="str">
        <f t="shared" si="11"/>
        <v/>
      </c>
      <c r="U76" s="298" t="str">
        <f>VLOOKUP(B76,'Base de Datos'!$E$7:$AU$401,38,0)</f>
        <v>SI</v>
      </c>
    </row>
    <row r="77" spans="1:21" ht="23.25" customHeight="1" thickTop="1" thickBot="1" x14ac:dyDescent="0.35">
      <c r="A77" s="96">
        <v>71</v>
      </c>
      <c r="B77" s="298" t="str">
        <f>+'Base de Datos'!E77</f>
        <v>120000-490-0-2012</v>
      </c>
      <c r="C77" s="298" t="str">
        <f>+'Base de Datos'!F77</f>
        <v>SISTEMAS INTEGRALES DE TRATAMIENTOS DE AGUAS LTDA - ACUANATURA</v>
      </c>
      <c r="D77" s="299">
        <f>+'Base de Datos'!I77</f>
        <v>10032000</v>
      </c>
      <c r="E77" s="300">
        <f>+'Base de Datos'!M77</f>
        <v>41271</v>
      </c>
      <c r="F77" s="300">
        <f>+'Base de Datos'!N77</f>
        <v>41514</v>
      </c>
      <c r="G77" s="300" t="e">
        <f>+'Base de Datos'!#REF!</f>
        <v>#REF!</v>
      </c>
      <c r="H77" s="299">
        <f>+'Base de Datos'!X77</f>
        <v>10032000</v>
      </c>
      <c r="I77" s="301" t="e">
        <f>IF(VLOOKUP(B77,'Base de Datos'!$E$7:$T$303,11,0),"SI","NO")</f>
        <v>#VALUE!</v>
      </c>
      <c r="J77" s="302" t="e">
        <f t="shared" si="7"/>
        <v>#VALUE!</v>
      </c>
      <c r="K77" s="301" t="e">
        <f>IF(VLOOKUP(B77,'Base de Datos'!$E$7:$T$303,11,0),"SI","NO")</f>
        <v>#VALUE!</v>
      </c>
      <c r="L77" s="302" t="e">
        <f t="shared" si="8"/>
        <v>#VALUE!</v>
      </c>
      <c r="M77" s="302">
        <f>VLOOKUP(B77,'Base de Datos'!$E$7:$AC$303,21,0)</f>
        <v>9339930</v>
      </c>
      <c r="N77" s="363" t="e">
        <f t="shared" ca="1" si="12"/>
        <v>#REF!</v>
      </c>
      <c r="O77" s="302">
        <f>VLOOKUP(B77,'Base de Datos'!$E$7:$AC$303,22,0)</f>
        <v>692070</v>
      </c>
      <c r="P77" s="362" t="str">
        <f t="shared" ca="1" si="9"/>
        <v/>
      </c>
      <c r="Q77" s="375" t="e">
        <f t="shared" ca="1" si="13"/>
        <v>#VALUE!</v>
      </c>
      <c r="R77" s="298" t="str">
        <f>VLOOKUP(B77,'Base de Datos'!E77:AU374,33,0)</f>
        <v>Dirección Administrativa</v>
      </c>
      <c r="S77" s="301" t="e">
        <f t="shared" ca="1" si="10"/>
        <v>#REF!</v>
      </c>
      <c r="T77" s="298" t="str">
        <f t="shared" si="11"/>
        <v/>
      </c>
      <c r="U77" s="298" t="str">
        <f>VLOOKUP(B77,'Base de Datos'!$E$7:$AU$401,38,0)</f>
        <v>SI</v>
      </c>
    </row>
    <row r="78" spans="1:21" ht="23.25" customHeight="1" thickTop="1" thickBot="1" x14ac:dyDescent="0.35">
      <c r="A78" s="96">
        <v>72</v>
      </c>
      <c r="B78" s="298" t="str">
        <f>+'Base de Datos'!E78</f>
        <v>120000-494-0-2012</v>
      </c>
      <c r="C78" s="298" t="str">
        <f>+'Base de Datos'!F78</f>
        <v>DIRECTV COLOMBIA LTDA</v>
      </c>
      <c r="D78" s="299">
        <f>+'Base de Datos'!I78</f>
        <v>1633200</v>
      </c>
      <c r="E78" s="300">
        <f>+'Base de Datos'!M78</f>
        <v>41288</v>
      </c>
      <c r="F78" s="300">
        <f>+'Base de Datos'!N78</f>
        <v>41652</v>
      </c>
      <c r="G78" s="300" t="e">
        <f>+'Base de Datos'!#REF!</f>
        <v>#REF!</v>
      </c>
      <c r="H78" s="299">
        <f>+'Base de Datos'!X78</f>
        <v>1918200</v>
      </c>
      <c r="I78" s="301" t="e">
        <f>IF(VLOOKUP(B78,'Base de Datos'!$E$7:$T$303,11,0),"SI","NO")</f>
        <v>#VALUE!</v>
      </c>
      <c r="J78" s="302" t="e">
        <f t="shared" si="7"/>
        <v>#VALUE!</v>
      </c>
      <c r="K78" s="301" t="e">
        <f>IF(VLOOKUP(B78,'Base de Datos'!$E$7:$T$303,11,0),"SI","NO")</f>
        <v>#VALUE!</v>
      </c>
      <c r="L78" s="302" t="e">
        <f t="shared" si="8"/>
        <v>#VALUE!</v>
      </c>
      <c r="M78" s="302">
        <f>VLOOKUP(B78,'Base de Datos'!$E$7:$AC$303,21,0)</f>
        <v>1755170</v>
      </c>
      <c r="N78" s="363" t="e">
        <f t="shared" ca="1" si="12"/>
        <v>#REF!</v>
      </c>
      <c r="O78" s="302">
        <f>VLOOKUP(B78,'Base de Datos'!$E$7:$AC$303,22,0)</f>
        <v>163030</v>
      </c>
      <c r="P78" s="362" t="str">
        <f t="shared" ca="1" si="9"/>
        <v/>
      </c>
      <c r="Q78" s="375" t="e">
        <f t="shared" ca="1" si="13"/>
        <v>#VALUE!</v>
      </c>
      <c r="R78" s="298" t="str">
        <f>VLOOKUP(B78,'Base de Datos'!E78:AU375,33,0)</f>
        <v>Dirección Administrativa</v>
      </c>
      <c r="S78" s="301" t="e">
        <f t="shared" ca="1" si="10"/>
        <v>#REF!</v>
      </c>
      <c r="T78" s="298" t="str">
        <f t="shared" si="11"/>
        <v/>
      </c>
      <c r="U78" s="298" t="str">
        <f>VLOOKUP(B78,'Base de Datos'!$E$7:$AU$401,38,0)</f>
        <v>SI</v>
      </c>
    </row>
    <row r="79" spans="1:21" ht="23.25" customHeight="1" thickTop="1" thickBot="1" x14ac:dyDescent="0.35">
      <c r="A79" s="96">
        <v>73</v>
      </c>
      <c r="B79" s="298" t="str">
        <f>+'Base de Datos'!E79</f>
        <v>130326-0-2013</v>
      </c>
      <c r="C79" s="298" t="str">
        <f>+'Base de Datos'!F79</f>
        <v>INSTITUTO DISTRITAL DEL PATRIMONIO CULTURAL - IDCP</v>
      </c>
      <c r="D79" s="299">
        <f>+'Base de Datos'!I79</f>
        <v>398614000</v>
      </c>
      <c r="E79" s="300">
        <f>+'Base de Datos'!M79</f>
        <v>41864</v>
      </c>
      <c r="F79" s="300">
        <f>+'Base de Datos'!N79</f>
        <v>42107</v>
      </c>
      <c r="G79" s="300" t="e">
        <f>+'Base de Datos'!#REF!</f>
        <v>#REF!</v>
      </c>
      <c r="H79" s="299">
        <f>+'Base de Datos'!X79</f>
        <v>398614000</v>
      </c>
      <c r="I79" s="301" t="e">
        <f>IF(VLOOKUP(B79,'Base de Datos'!$E$7:$T$303,11,0),"SI","NO")</f>
        <v>#VALUE!</v>
      </c>
      <c r="J79" s="302" t="e">
        <f t="shared" si="7"/>
        <v>#VALUE!</v>
      </c>
      <c r="K79" s="301" t="e">
        <f>IF(VLOOKUP(B79,'Base de Datos'!$E$7:$T$303,11,0),"SI","NO")</f>
        <v>#VALUE!</v>
      </c>
      <c r="L79" s="302" t="e">
        <f t="shared" si="8"/>
        <v>#VALUE!</v>
      </c>
      <c r="M79" s="302">
        <f>VLOOKUP(B79,'Base de Datos'!$E$7:$AC$303,21,0)</f>
        <v>398614000</v>
      </c>
      <c r="N79" s="363" t="e">
        <f t="shared" ca="1" si="12"/>
        <v>#REF!</v>
      </c>
      <c r="O79" s="302">
        <f>VLOOKUP(B79,'Base de Datos'!$E$7:$AC$303,22,0)</f>
        <v>0</v>
      </c>
      <c r="P79" s="362" t="str">
        <f t="shared" ca="1" si="9"/>
        <v/>
      </c>
      <c r="Q79" s="375" t="e">
        <f t="shared" ca="1" si="13"/>
        <v>#VALUE!</v>
      </c>
      <c r="R79" s="298" t="str">
        <f>VLOOKUP(B79,'Base de Datos'!E79:AU376,33,0)</f>
        <v>Secretaría General</v>
      </c>
      <c r="S79" s="301" t="e">
        <f t="shared" ca="1" si="10"/>
        <v>#REF!</v>
      </c>
      <c r="T79" s="298" t="str">
        <f t="shared" si="11"/>
        <v/>
      </c>
      <c r="U79" s="298" t="str">
        <f>VLOOKUP(B79,'Base de Datos'!$E$7:$AU$401,38,0)</f>
        <v>SI</v>
      </c>
    </row>
    <row r="80" spans="1:21" ht="23.25" customHeight="1" thickTop="1" thickBot="1" x14ac:dyDescent="0.35">
      <c r="A80" s="96">
        <v>74</v>
      </c>
      <c r="B80" s="298" t="str">
        <f>+'Base de Datos'!E80</f>
        <v>120000-521-0-2012</v>
      </c>
      <c r="C80" s="298" t="str">
        <f>+'Base de Datos'!F80</f>
        <v>INFOSOURCES LTDA</v>
      </c>
      <c r="D80" s="299">
        <f>+'Base de Datos'!I80</f>
        <v>1062500</v>
      </c>
      <c r="E80" s="300">
        <f>+'Base de Datos'!M80</f>
        <v>41292</v>
      </c>
      <c r="F80" s="300">
        <f>+'Base de Datos'!N80</f>
        <v>41322</v>
      </c>
      <c r="G80" s="300" t="e">
        <f>+'Base de Datos'!#REF!</f>
        <v>#REF!</v>
      </c>
      <c r="H80" s="299">
        <f>+'Base de Datos'!X80</f>
        <v>1062500</v>
      </c>
      <c r="I80" s="301" t="e">
        <f>IF(VLOOKUP(B80,'Base de Datos'!$E$7:$T$303,11,0),"SI","NO")</f>
        <v>#VALUE!</v>
      </c>
      <c r="J80" s="302" t="e">
        <f t="shared" si="7"/>
        <v>#VALUE!</v>
      </c>
      <c r="K80" s="301" t="e">
        <f>IF(VLOOKUP(B80,'Base de Datos'!$E$7:$T$303,11,0),"SI","NO")</f>
        <v>#VALUE!</v>
      </c>
      <c r="L80" s="302" t="e">
        <f t="shared" si="8"/>
        <v>#VALUE!</v>
      </c>
      <c r="M80" s="302">
        <f>VLOOKUP(B80,'Base de Datos'!$E$7:$AC$303,21,0)</f>
        <v>1062500</v>
      </c>
      <c r="N80" s="363" t="e">
        <f t="shared" ca="1" si="12"/>
        <v>#REF!</v>
      </c>
      <c r="O80" s="302">
        <f>VLOOKUP(B80,'Base de Datos'!$E$7:$AC$303,22,0)</f>
        <v>0</v>
      </c>
      <c r="P80" s="362" t="str">
        <f t="shared" ca="1" si="9"/>
        <v/>
      </c>
      <c r="Q80" s="375" t="e">
        <f t="shared" ca="1" si="13"/>
        <v>#VALUE!</v>
      </c>
      <c r="R80" s="298">
        <f>VLOOKUP(B80,'Base de Datos'!E80:AU377,33,0)</f>
        <v>0</v>
      </c>
      <c r="S80" s="301" t="e">
        <f t="shared" ca="1" si="10"/>
        <v>#REF!</v>
      </c>
      <c r="T80" s="298" t="str">
        <f t="shared" si="11"/>
        <v/>
      </c>
      <c r="U80" s="298" t="str">
        <f>VLOOKUP(B80,'Base de Datos'!$E$7:$AU$401,38,0)</f>
        <v>NO</v>
      </c>
    </row>
    <row r="81" spans="1:21" ht="23.25" customHeight="1" thickTop="1" thickBot="1" x14ac:dyDescent="0.35">
      <c r="A81" s="96">
        <v>75</v>
      </c>
      <c r="B81" s="298" t="str">
        <f>+'Base de Datos'!E81</f>
        <v>120000-523-0-2012</v>
      </c>
      <c r="C81" s="298" t="str">
        <f>+'Base de Datos'!F81</f>
        <v>DB SYSTEM LTDA</v>
      </c>
      <c r="D81" s="299">
        <f>+'Base de Datos'!I81</f>
        <v>80074800</v>
      </c>
      <c r="E81" s="300">
        <f>+'Base de Datos'!M81</f>
        <v>41313</v>
      </c>
      <c r="F81" s="300">
        <f>+'Base de Datos'!N81</f>
        <v>41705</v>
      </c>
      <c r="G81" s="300" t="e">
        <f>+'Base de Datos'!#REF!</f>
        <v>#REF!</v>
      </c>
      <c r="H81" s="299">
        <f>+'Base de Datos'!X81</f>
        <v>115663600</v>
      </c>
      <c r="I81" s="301" t="e">
        <f>IF(VLOOKUP(B81,'Base de Datos'!$E$7:$T$303,11,0),"SI","NO")</f>
        <v>#VALUE!</v>
      </c>
      <c r="J81" s="302" t="e">
        <f t="shared" si="7"/>
        <v>#VALUE!</v>
      </c>
      <c r="K81" s="301" t="e">
        <f>IF(VLOOKUP(B81,'Base de Datos'!$E$7:$T$303,11,0),"SI","NO")</f>
        <v>#VALUE!</v>
      </c>
      <c r="L81" s="302" t="e">
        <f t="shared" si="8"/>
        <v>#VALUE!</v>
      </c>
      <c r="M81" s="302">
        <f>VLOOKUP(B81,'Base de Datos'!$E$7:$AC$303,21,0)</f>
        <v>115663040</v>
      </c>
      <c r="N81" s="363" t="e">
        <f t="shared" ca="1" si="12"/>
        <v>#REF!</v>
      </c>
      <c r="O81" s="302">
        <f>VLOOKUP(B81,'Base de Datos'!$E$7:$AC$303,22,0)</f>
        <v>560</v>
      </c>
      <c r="P81" s="362" t="str">
        <f t="shared" ca="1" si="9"/>
        <v/>
      </c>
      <c r="Q81" s="375" t="e">
        <f t="shared" ca="1" si="13"/>
        <v>#VALUE!</v>
      </c>
      <c r="R81" s="298" t="str">
        <f>VLOOKUP(B81,'Base de Datos'!E81:AU378,33,0)</f>
        <v>Dirección Administrativa</v>
      </c>
      <c r="S81" s="301" t="e">
        <f t="shared" ca="1" si="10"/>
        <v>#REF!</v>
      </c>
      <c r="T81" s="298" t="str">
        <f t="shared" si="11"/>
        <v/>
      </c>
      <c r="U81" s="298" t="str">
        <f>VLOOKUP(B81,'Base de Datos'!$E$7:$AU$401,38,0)</f>
        <v>SI</v>
      </c>
    </row>
    <row r="82" spans="1:21" ht="23.25" customHeight="1" thickTop="1" thickBot="1" x14ac:dyDescent="0.35">
      <c r="A82" s="96">
        <v>76</v>
      </c>
      <c r="B82" s="298" t="str">
        <f>+'Base de Datos'!E82</f>
        <v>120000-453-0-2012</v>
      </c>
      <c r="C82" s="298" t="str">
        <f>+'Base de Datos'!F82</f>
        <v>HERNANDO  BULLA ORJUELA</v>
      </c>
      <c r="D82" s="299">
        <f>+'Base de Datos'!I82</f>
        <v>13806000</v>
      </c>
      <c r="E82" s="300">
        <f>+'Base de Datos'!M82</f>
        <v>41278</v>
      </c>
      <c r="F82" s="300">
        <f>+'Base de Datos'!N82</f>
        <v>41429</v>
      </c>
      <c r="G82" s="300" t="e">
        <f>+'Base de Datos'!#REF!</f>
        <v>#REF!</v>
      </c>
      <c r="H82" s="299">
        <f>+'Base de Datos'!X82</f>
        <v>13806000</v>
      </c>
      <c r="I82" s="301" t="e">
        <f>IF(VLOOKUP(B82,'Base de Datos'!$E$7:$T$303,11,0),"SI","NO")</f>
        <v>#VALUE!</v>
      </c>
      <c r="J82" s="302" t="e">
        <f t="shared" si="7"/>
        <v>#VALUE!</v>
      </c>
      <c r="K82" s="301" t="e">
        <f>IF(VLOOKUP(B82,'Base de Datos'!$E$7:$T$303,11,0),"SI","NO")</f>
        <v>#VALUE!</v>
      </c>
      <c r="L82" s="302" t="e">
        <f t="shared" si="8"/>
        <v>#VALUE!</v>
      </c>
      <c r="M82" s="302">
        <f>VLOOKUP(B82,'Base de Datos'!$E$7:$AC$303,21,0)</f>
        <v>12439108</v>
      </c>
      <c r="N82" s="363" t="e">
        <f t="shared" ca="1" si="12"/>
        <v>#REF!</v>
      </c>
      <c r="O82" s="302">
        <f>VLOOKUP(B82,'Base de Datos'!$E$7:$AC$303,22,0)</f>
        <v>1366892</v>
      </c>
      <c r="P82" s="362" t="str">
        <f t="shared" ca="1" si="9"/>
        <v/>
      </c>
      <c r="Q82" s="375" t="e">
        <f t="shared" ca="1" si="13"/>
        <v>#VALUE!</v>
      </c>
      <c r="R82" s="298" t="str">
        <f>VLOOKUP(B82,'Base de Datos'!E82:AU379,33,0)</f>
        <v>Dirección Administrativa</v>
      </c>
      <c r="S82" s="301" t="e">
        <f t="shared" ca="1" si="10"/>
        <v>#REF!</v>
      </c>
      <c r="T82" s="298" t="str">
        <f t="shared" si="11"/>
        <v/>
      </c>
      <c r="U82" s="298" t="str">
        <f>VLOOKUP(B82,'Base de Datos'!$E$7:$AU$401,38,0)</f>
        <v>SI</v>
      </c>
    </row>
    <row r="83" spans="1:21" ht="23.25" customHeight="1" thickTop="1" thickBot="1" x14ac:dyDescent="0.35">
      <c r="A83" s="96">
        <v>77</v>
      </c>
      <c r="B83" s="298" t="str">
        <f>+'Base de Datos'!E83</f>
        <v>120000-504-0-2012</v>
      </c>
      <c r="C83" s="298" t="str">
        <f>+'Base de Datos'!F83</f>
        <v>PAPELERÍA  LOS  LAGOS  LTDA</v>
      </c>
      <c r="D83" s="299">
        <f>+'Base de Datos'!I83</f>
        <v>59046000</v>
      </c>
      <c r="E83" s="300">
        <f>+'Base de Datos'!M83</f>
        <v>41292</v>
      </c>
      <c r="F83" s="300">
        <f>+'Base de Datos'!N83</f>
        <v>41442</v>
      </c>
      <c r="G83" s="300" t="e">
        <f>+'Base de Datos'!#REF!</f>
        <v>#REF!</v>
      </c>
      <c r="H83" s="299">
        <f>+'Base de Datos'!X83</f>
        <v>79213111</v>
      </c>
      <c r="I83" s="301" t="e">
        <f>IF(VLOOKUP(B83,'Base de Datos'!$E$7:$T$303,11,0),"SI","NO")</f>
        <v>#VALUE!</v>
      </c>
      <c r="J83" s="302" t="e">
        <f t="shared" si="7"/>
        <v>#VALUE!</v>
      </c>
      <c r="K83" s="301" t="e">
        <f>IF(VLOOKUP(B83,'Base de Datos'!$E$7:$T$303,11,0),"SI","NO")</f>
        <v>#VALUE!</v>
      </c>
      <c r="L83" s="302" t="e">
        <f t="shared" si="8"/>
        <v>#VALUE!</v>
      </c>
      <c r="M83" s="302">
        <f>VLOOKUP(B83,'Base de Datos'!$E$7:$AC$303,21,0)</f>
        <v>65129800</v>
      </c>
      <c r="N83" s="363" t="e">
        <f t="shared" ca="1" si="12"/>
        <v>#REF!</v>
      </c>
      <c r="O83" s="302">
        <f>VLOOKUP(B83,'Base de Datos'!$E$7:$AC$303,22,0)</f>
        <v>14083311</v>
      </c>
      <c r="P83" s="362" t="str">
        <f t="shared" ca="1" si="9"/>
        <v/>
      </c>
      <c r="Q83" s="375" t="e">
        <f t="shared" ca="1" si="13"/>
        <v>#VALUE!</v>
      </c>
      <c r="R83" s="298" t="str">
        <f>VLOOKUP(B83,'Base de Datos'!E83:AU380,33,0)</f>
        <v>Dirección Administrativa</v>
      </c>
      <c r="S83" s="301" t="e">
        <f t="shared" ca="1" si="10"/>
        <v>#REF!</v>
      </c>
      <c r="T83" s="298" t="str">
        <f t="shared" si="11"/>
        <v/>
      </c>
      <c r="U83" s="298" t="str">
        <f>VLOOKUP(B83,'Base de Datos'!$E$7:$AU$401,38,0)</f>
        <v>SI</v>
      </c>
    </row>
    <row r="84" spans="1:21" ht="23.25" customHeight="1" thickTop="1" thickBot="1" x14ac:dyDescent="0.35">
      <c r="A84" s="96">
        <v>78</v>
      </c>
      <c r="B84" s="298" t="str">
        <f>+'Base de Datos'!E84</f>
        <v>120000-507-0-2012</v>
      </c>
      <c r="C84" s="298" t="str">
        <f>+'Base de Datos'!F84</f>
        <v>CAJA DE COMPENSACIÓN FAMILIAR COMPENSAR</v>
      </c>
      <c r="D84" s="299">
        <f>+'Base de Datos'!I84</f>
        <v>49500000</v>
      </c>
      <c r="E84" s="300">
        <f>+'Base de Datos'!M84</f>
        <v>41325</v>
      </c>
      <c r="F84" s="300">
        <f>+'Base de Datos'!N84</f>
        <v>41505</v>
      </c>
      <c r="G84" s="300" t="e">
        <f>+'Base de Datos'!#REF!</f>
        <v>#REF!</v>
      </c>
      <c r="H84" s="299">
        <f>+'Base de Datos'!X84</f>
        <v>75246412</v>
      </c>
      <c r="I84" s="301" t="e">
        <f>IF(VLOOKUP(B84,'Base de Datos'!$E$7:$T$303,11,0),"SI","NO")</f>
        <v>#VALUE!</v>
      </c>
      <c r="J84" s="302" t="e">
        <f t="shared" si="7"/>
        <v>#VALUE!</v>
      </c>
      <c r="K84" s="301" t="e">
        <f>IF(VLOOKUP(B84,'Base de Datos'!$E$7:$T$303,11,0),"SI","NO")</f>
        <v>#VALUE!</v>
      </c>
      <c r="L84" s="302" t="e">
        <f t="shared" si="8"/>
        <v>#VALUE!</v>
      </c>
      <c r="M84" s="302">
        <f>VLOOKUP(B84,'Base de Datos'!$E$7:$AC$303,21,0)</f>
        <v>75232704</v>
      </c>
      <c r="N84" s="363" t="e">
        <f t="shared" ca="1" si="12"/>
        <v>#REF!</v>
      </c>
      <c r="O84" s="302">
        <f>VLOOKUP(B84,'Base de Datos'!$E$7:$AC$303,22,0)</f>
        <v>13708</v>
      </c>
      <c r="P84" s="362" t="str">
        <f t="shared" ca="1" si="9"/>
        <v/>
      </c>
      <c r="Q84" s="375" t="e">
        <f t="shared" ca="1" si="13"/>
        <v>#VALUE!</v>
      </c>
      <c r="R84" s="298" t="str">
        <f>VLOOKUP(B84,'Base de Datos'!E84:AU381,33,0)</f>
        <v>Dirección Administrativa</v>
      </c>
      <c r="S84" s="301" t="e">
        <f t="shared" ca="1" si="10"/>
        <v>#REF!</v>
      </c>
      <c r="T84" s="298" t="str">
        <f t="shared" si="11"/>
        <v/>
      </c>
      <c r="U84" s="298" t="str">
        <f>VLOOKUP(B84,'Base de Datos'!$E$7:$AU$401,38,0)</f>
        <v>SI</v>
      </c>
    </row>
    <row r="85" spans="1:21" ht="23.25" customHeight="1" thickTop="1" thickBot="1" x14ac:dyDescent="0.35">
      <c r="A85" s="96">
        <v>79</v>
      </c>
      <c r="B85" s="298" t="str">
        <f>+'Base de Datos'!E85</f>
        <v>120000-525-0-2012</v>
      </c>
      <c r="C85" s="298" t="str">
        <f>+'Base de Datos'!F85</f>
        <v>GAMMA INGENIEROS S A</v>
      </c>
      <c r="D85" s="299">
        <f>+'Base de Datos'!I85</f>
        <v>36990000</v>
      </c>
      <c r="E85" s="300">
        <f>+'Base de Datos'!M85</f>
        <v>41323</v>
      </c>
      <c r="F85" s="300">
        <f>+'Base de Datos'!N85</f>
        <v>41442</v>
      </c>
      <c r="G85" s="300" t="e">
        <f>+'Base de Datos'!#REF!</f>
        <v>#REF!</v>
      </c>
      <c r="H85" s="299">
        <f>+'Base de Datos'!X85</f>
        <v>36990000</v>
      </c>
      <c r="I85" s="301" t="e">
        <f>IF(VLOOKUP(B85,'Base de Datos'!$E$7:$T$303,11,0),"SI","NO")</f>
        <v>#VALUE!</v>
      </c>
      <c r="J85" s="302" t="e">
        <f t="shared" si="7"/>
        <v>#VALUE!</v>
      </c>
      <c r="K85" s="301" t="e">
        <f>IF(VLOOKUP(B85,'Base de Datos'!$E$7:$T$303,11,0),"SI","NO")</f>
        <v>#VALUE!</v>
      </c>
      <c r="L85" s="302" t="e">
        <f t="shared" si="8"/>
        <v>#VALUE!</v>
      </c>
      <c r="M85" s="302">
        <f>VLOOKUP(B85,'Base de Datos'!$E$7:$AC$303,21,0)</f>
        <v>36990000</v>
      </c>
      <c r="N85" s="363" t="e">
        <f t="shared" ca="1" si="12"/>
        <v>#REF!</v>
      </c>
      <c r="O85" s="302">
        <f>VLOOKUP(B85,'Base de Datos'!$E$7:$AC$303,22,0)</f>
        <v>0</v>
      </c>
      <c r="P85" s="362" t="str">
        <f t="shared" ca="1" si="9"/>
        <v/>
      </c>
      <c r="Q85" s="375" t="e">
        <f t="shared" ca="1" si="13"/>
        <v>#VALUE!</v>
      </c>
      <c r="R85" s="298">
        <f>VLOOKUP(B85,'Base de Datos'!E85:AU382,33,0)</f>
        <v>0</v>
      </c>
      <c r="S85" s="301" t="e">
        <f t="shared" ca="1" si="10"/>
        <v>#REF!</v>
      </c>
      <c r="T85" s="298" t="str">
        <f t="shared" si="11"/>
        <v/>
      </c>
      <c r="U85" s="298" t="str">
        <f>VLOOKUP(B85,'Base de Datos'!$E$7:$AU$401,38,0)</f>
        <v>SI</v>
      </c>
    </row>
    <row r="86" spans="1:21" ht="23.25" customHeight="1" thickTop="1" thickBot="1" x14ac:dyDescent="0.35">
      <c r="A86" s="96">
        <v>80</v>
      </c>
      <c r="B86" s="298" t="str">
        <f>+'Base de Datos'!E86</f>
        <v>120000-535-0-2012</v>
      </c>
      <c r="C86" s="298" t="str">
        <f>+'Base de Datos'!F86</f>
        <v>CONTROLES EMPRESARIALES LTDA</v>
      </c>
      <c r="D86" s="299">
        <f>+'Base de Datos'!I86</f>
        <v>85314724</v>
      </c>
      <c r="E86" s="300">
        <f>+'Base de Datos'!M86</f>
        <v>41316</v>
      </c>
      <c r="F86" s="300">
        <f>+'Base de Datos'!N86</f>
        <v>41680</v>
      </c>
      <c r="G86" s="300" t="e">
        <f>+'Base de Datos'!#REF!</f>
        <v>#REF!</v>
      </c>
      <c r="H86" s="299">
        <f>+'Base de Datos'!X86</f>
        <v>85314724</v>
      </c>
      <c r="I86" s="301" t="e">
        <f>IF(VLOOKUP(B86,'Base de Datos'!$E$7:$T$303,11,0),"SI","NO")</f>
        <v>#VALUE!</v>
      </c>
      <c r="J86" s="302" t="e">
        <f t="shared" si="7"/>
        <v>#VALUE!</v>
      </c>
      <c r="K86" s="301" t="e">
        <f>IF(VLOOKUP(B86,'Base de Datos'!$E$7:$T$303,11,0),"SI","NO")</f>
        <v>#VALUE!</v>
      </c>
      <c r="L86" s="302" t="e">
        <f t="shared" si="8"/>
        <v>#VALUE!</v>
      </c>
      <c r="M86" s="302">
        <f>VLOOKUP(B86,'Base de Datos'!$E$7:$AC$303,21,0)</f>
        <v>85314724</v>
      </c>
      <c r="N86" s="363" t="e">
        <f t="shared" ca="1" si="12"/>
        <v>#REF!</v>
      </c>
      <c r="O86" s="302">
        <f>VLOOKUP(B86,'Base de Datos'!$E$7:$AC$303,22,0)</f>
        <v>0</v>
      </c>
      <c r="P86" s="362" t="str">
        <f t="shared" ca="1" si="9"/>
        <v/>
      </c>
      <c r="Q86" s="375" t="e">
        <f t="shared" ca="1" si="13"/>
        <v>#VALUE!</v>
      </c>
      <c r="R86" s="298" t="str">
        <f>VLOOKUP(B86,'Base de Datos'!E86:AU383,33,0)</f>
        <v>Dirección Administrativa</v>
      </c>
      <c r="S86" s="301" t="e">
        <f t="shared" ca="1" si="10"/>
        <v>#REF!</v>
      </c>
      <c r="T86" s="298" t="str">
        <f t="shared" si="11"/>
        <v/>
      </c>
      <c r="U86" s="298" t="str">
        <f>VLOOKUP(B86,'Base de Datos'!$E$7:$AU$401,38,0)</f>
        <v>SI</v>
      </c>
    </row>
    <row r="87" spans="1:21" ht="23.25" customHeight="1" thickTop="1" thickBot="1" x14ac:dyDescent="0.35">
      <c r="A87" s="96">
        <v>81</v>
      </c>
      <c r="B87" s="298" t="str">
        <f>+'Base de Datos'!E87</f>
        <v>130019-0-2013</v>
      </c>
      <c r="C87" s="298" t="str">
        <f>+'Base de Datos'!F87</f>
        <v>NEWNET S.A</v>
      </c>
      <c r="D87" s="299">
        <f>+'Base de Datos'!I87</f>
        <v>123000000</v>
      </c>
      <c r="E87" s="300">
        <f>+'Base de Datos'!M87</f>
        <v>41319</v>
      </c>
      <c r="F87" s="300">
        <f>+'Base de Datos'!N87</f>
        <v>41683</v>
      </c>
      <c r="G87" s="300" t="e">
        <f>+'Base de Datos'!#REF!</f>
        <v>#REF!</v>
      </c>
      <c r="H87" s="299">
        <f>+'Base de Datos'!X87</f>
        <v>123000000</v>
      </c>
      <c r="I87" s="301" t="e">
        <f>IF(VLOOKUP(B87,'Base de Datos'!$E$7:$T$303,11,0),"SI","NO")</f>
        <v>#VALUE!</v>
      </c>
      <c r="J87" s="302" t="e">
        <f t="shared" si="7"/>
        <v>#VALUE!</v>
      </c>
      <c r="K87" s="301" t="e">
        <f>IF(VLOOKUP(B87,'Base de Datos'!$E$7:$T$303,11,0),"SI","NO")</f>
        <v>#VALUE!</v>
      </c>
      <c r="L87" s="302" t="e">
        <f t="shared" si="8"/>
        <v>#VALUE!</v>
      </c>
      <c r="M87" s="302">
        <f>VLOOKUP(B87,'Base de Datos'!$E$7:$AC$303,21,0)</f>
        <v>123000000</v>
      </c>
      <c r="N87" s="363" t="e">
        <f t="shared" ca="1" si="12"/>
        <v>#REF!</v>
      </c>
      <c r="O87" s="302">
        <f>VLOOKUP(B87,'Base de Datos'!$E$7:$AC$303,22,0)</f>
        <v>0</v>
      </c>
      <c r="P87" s="362" t="str">
        <f t="shared" ca="1" si="9"/>
        <v/>
      </c>
      <c r="Q87" s="375" t="e">
        <f t="shared" ca="1" si="13"/>
        <v>#VALUE!</v>
      </c>
      <c r="R87" s="298" t="str">
        <f>VLOOKUP(B87,'Base de Datos'!E87:AU384,33,0)</f>
        <v>Dirección Administrativa</v>
      </c>
      <c r="S87" s="301" t="e">
        <f t="shared" ca="1" si="10"/>
        <v>#REF!</v>
      </c>
      <c r="T87" s="298" t="str">
        <f t="shared" si="11"/>
        <v/>
      </c>
      <c r="U87" s="298" t="str">
        <f>VLOOKUP(B87,'Base de Datos'!$E$7:$AU$401,38,0)</f>
        <v>SI</v>
      </c>
    </row>
    <row r="88" spans="1:21" ht="23.25" customHeight="1" thickTop="1" thickBot="1" x14ac:dyDescent="0.35">
      <c r="A88" s="96">
        <v>82</v>
      </c>
      <c r="B88" s="298" t="str">
        <f>+'Base de Datos'!E88</f>
        <v>130023-0-2013</v>
      </c>
      <c r="C88" s="298" t="str">
        <f>+'Base de Datos'!F88</f>
        <v xml:space="preserve">AMBICOL SERVICES S.A.S. </v>
      </c>
      <c r="D88" s="299">
        <f>+'Base de Datos'!I88</f>
        <v>1113600</v>
      </c>
      <c r="E88" s="300">
        <f>+'Base de Datos'!M88</f>
        <v>41347</v>
      </c>
      <c r="F88" s="300">
        <f>+'Base de Datos'!N88</f>
        <v>41711</v>
      </c>
      <c r="G88" s="300" t="e">
        <f>+'Base de Datos'!#REF!</f>
        <v>#REF!</v>
      </c>
      <c r="H88" s="299">
        <f>+'Base de Datos'!X88</f>
        <v>1113600</v>
      </c>
      <c r="I88" s="301" t="e">
        <f>IF(VLOOKUP(B88,'Base de Datos'!$E$7:$T$303,11,0),"SI","NO")</f>
        <v>#VALUE!</v>
      </c>
      <c r="J88" s="302" t="e">
        <f t="shared" si="7"/>
        <v>#VALUE!</v>
      </c>
      <c r="K88" s="301" t="e">
        <f>IF(VLOOKUP(B88,'Base de Datos'!$E$7:$T$303,11,0),"SI","NO")</f>
        <v>#VALUE!</v>
      </c>
      <c r="L88" s="302" t="e">
        <f t="shared" si="8"/>
        <v>#VALUE!</v>
      </c>
      <c r="M88" s="302">
        <f>VLOOKUP(B88,'Base de Datos'!$E$7:$AC$303,21,0)</f>
        <v>1113600</v>
      </c>
      <c r="N88" s="363" t="e">
        <f t="shared" ca="1" si="12"/>
        <v>#REF!</v>
      </c>
      <c r="O88" s="302">
        <f>VLOOKUP(B88,'Base de Datos'!$E$7:$AC$303,22,0)</f>
        <v>0</v>
      </c>
      <c r="P88" s="362" t="str">
        <f t="shared" ca="1" si="9"/>
        <v/>
      </c>
      <c r="Q88" s="375" t="e">
        <f t="shared" ca="1" si="13"/>
        <v>#VALUE!</v>
      </c>
      <c r="R88" s="298">
        <f>VLOOKUP(B88,'Base de Datos'!E88:AU385,33,0)</f>
        <v>0</v>
      </c>
      <c r="S88" s="301" t="e">
        <f t="shared" ca="1" si="10"/>
        <v>#REF!</v>
      </c>
      <c r="T88" s="298" t="str">
        <f t="shared" si="11"/>
        <v/>
      </c>
      <c r="U88" s="298" t="str">
        <f>VLOOKUP(B88,'Base de Datos'!$E$7:$AU$401,38,0)</f>
        <v>SI</v>
      </c>
    </row>
    <row r="89" spans="1:21" ht="23.25" customHeight="1" thickTop="1" thickBot="1" x14ac:dyDescent="0.35">
      <c r="A89" s="96">
        <v>83</v>
      </c>
      <c r="B89" s="298" t="str">
        <f>+'Base de Datos'!E89</f>
        <v>130036-0-2013</v>
      </c>
      <c r="C89" s="298" t="str">
        <f>+'Base de Datos'!F89</f>
        <v>SYSTEM NET INGENIERÍA LTDA</v>
      </c>
      <c r="D89" s="299">
        <f>+'Base de Datos'!I89</f>
        <v>4967474</v>
      </c>
      <c r="E89" s="300">
        <f>+'Base de Datos'!M89</f>
        <v>41347</v>
      </c>
      <c r="F89" s="300">
        <f>+'Base de Datos'!N89</f>
        <v>41652</v>
      </c>
      <c r="G89" s="300" t="e">
        <f>+'Base de Datos'!#REF!</f>
        <v>#REF!</v>
      </c>
      <c r="H89" s="299">
        <f>+'Base de Datos'!X89</f>
        <v>4967474</v>
      </c>
      <c r="I89" s="301" t="e">
        <f>IF(VLOOKUP(B89,'Base de Datos'!$E$7:$T$303,11,0),"SI","NO")</f>
        <v>#VALUE!</v>
      </c>
      <c r="J89" s="302" t="e">
        <f t="shared" si="7"/>
        <v>#VALUE!</v>
      </c>
      <c r="K89" s="301" t="e">
        <f>IF(VLOOKUP(B89,'Base de Datos'!$E$7:$T$303,11,0),"SI","NO")</f>
        <v>#VALUE!</v>
      </c>
      <c r="L89" s="302" t="e">
        <f t="shared" si="8"/>
        <v>#VALUE!</v>
      </c>
      <c r="M89" s="302">
        <f>VLOOKUP(B89,'Base de Datos'!$E$7:$AC$303,21,0)</f>
        <v>4453683</v>
      </c>
      <c r="N89" s="363" t="e">
        <f t="shared" ca="1" si="12"/>
        <v>#REF!</v>
      </c>
      <c r="O89" s="302">
        <f>VLOOKUP(B89,'Base de Datos'!$E$7:$AC$303,22,0)</f>
        <v>513791</v>
      </c>
      <c r="P89" s="362" t="str">
        <f t="shared" ca="1" si="9"/>
        <v/>
      </c>
      <c r="Q89" s="375" t="e">
        <f t="shared" ca="1" si="13"/>
        <v>#VALUE!</v>
      </c>
      <c r="R89" s="298">
        <f>VLOOKUP(B89,'Base de Datos'!E89:AU386,33,0)</f>
        <v>0</v>
      </c>
      <c r="S89" s="301" t="e">
        <f t="shared" ca="1" si="10"/>
        <v>#REF!</v>
      </c>
      <c r="T89" s="298" t="str">
        <f t="shared" si="11"/>
        <v/>
      </c>
      <c r="U89" s="298" t="str">
        <f>VLOOKUP(B89,'Base de Datos'!$E$7:$AU$401,38,0)</f>
        <v>SI</v>
      </c>
    </row>
    <row r="90" spans="1:21" ht="23.25" customHeight="1" thickTop="1" thickBot="1" x14ac:dyDescent="0.35">
      <c r="A90" s="96">
        <v>84</v>
      </c>
      <c r="B90" s="298" t="str">
        <f>+'Base de Datos'!E90</f>
        <v>130044-0-2013</v>
      </c>
      <c r="C90" s="298" t="str">
        <f>+'Base de Datos'!F90</f>
        <v>MELCO DE COLOMBIA LIMITADA</v>
      </c>
      <c r="D90" s="299">
        <f>+'Base de Datos'!I90</f>
        <v>15913500</v>
      </c>
      <c r="E90" s="300">
        <f>+'Base de Datos'!M90</f>
        <v>41367</v>
      </c>
      <c r="F90" s="300">
        <f>+'Base de Datos'!N90</f>
        <v>41731</v>
      </c>
      <c r="G90" s="300" t="e">
        <f>+'Base de Datos'!#REF!</f>
        <v>#REF!</v>
      </c>
      <c r="H90" s="299">
        <f>+'Base de Datos'!X90</f>
        <v>15913500</v>
      </c>
      <c r="I90" s="301" t="e">
        <f>IF(VLOOKUP(B90,'Base de Datos'!$E$7:$T$303,11,0),"SI","NO")</f>
        <v>#VALUE!</v>
      </c>
      <c r="J90" s="302" t="e">
        <f t="shared" si="7"/>
        <v>#VALUE!</v>
      </c>
      <c r="K90" s="301" t="e">
        <f>IF(VLOOKUP(B90,'Base de Datos'!$E$7:$T$303,11,0),"SI","NO")</f>
        <v>#VALUE!</v>
      </c>
      <c r="L90" s="302" t="e">
        <f t="shared" si="8"/>
        <v>#VALUE!</v>
      </c>
      <c r="M90" s="302">
        <f>VLOOKUP(B90,'Base de Datos'!$E$7:$AC$303,21,0)</f>
        <v>15453868</v>
      </c>
      <c r="N90" s="363" t="e">
        <f t="shared" ca="1" si="12"/>
        <v>#REF!</v>
      </c>
      <c r="O90" s="302">
        <f>VLOOKUP(B90,'Base de Datos'!$E$7:$AC$303,22,0)</f>
        <v>459632</v>
      </c>
      <c r="P90" s="362" t="str">
        <f t="shared" ca="1" si="9"/>
        <v/>
      </c>
      <c r="Q90" s="375" t="e">
        <f t="shared" ca="1" si="13"/>
        <v>#VALUE!</v>
      </c>
      <c r="R90" s="298" t="str">
        <f>VLOOKUP(B90,'Base de Datos'!E90:AU387,33,0)</f>
        <v>Dirección Administrativa</v>
      </c>
      <c r="S90" s="301" t="e">
        <f t="shared" ca="1" si="10"/>
        <v>#REF!</v>
      </c>
      <c r="T90" s="298" t="str">
        <f t="shared" si="11"/>
        <v/>
      </c>
      <c r="U90" s="298" t="str">
        <f>VLOOKUP(B90,'Base de Datos'!$E$7:$AU$401,38,0)</f>
        <v>SI</v>
      </c>
    </row>
    <row r="91" spans="1:21" ht="23.25" customHeight="1" thickTop="1" thickBot="1" x14ac:dyDescent="0.35">
      <c r="A91" s="96">
        <v>85</v>
      </c>
      <c r="B91" s="298" t="str">
        <f>+'Base de Datos'!E91</f>
        <v>130048-0-2013</v>
      </c>
      <c r="C91" s="298" t="str">
        <f>+'Base de Datos'!F91</f>
        <v>CASA EDITORIAL EL TIEMPO SA</v>
      </c>
      <c r="D91" s="299">
        <f>+'Base de Datos'!I91</f>
        <v>1197000</v>
      </c>
      <c r="E91" s="300">
        <f>+'Base de Datos'!M91</f>
        <v>41352</v>
      </c>
      <c r="F91" s="300">
        <f>+'Base de Datos'!N91</f>
        <v>41716</v>
      </c>
      <c r="G91" s="300" t="e">
        <f>+'Base de Datos'!#REF!</f>
        <v>#REF!</v>
      </c>
      <c r="H91" s="299">
        <f>+'Base de Datos'!X91</f>
        <v>1197000</v>
      </c>
      <c r="I91" s="301" t="e">
        <f>IF(VLOOKUP(B91,'Base de Datos'!$E$7:$T$303,11,0),"SI","NO")</f>
        <v>#VALUE!</v>
      </c>
      <c r="J91" s="302" t="e">
        <f t="shared" si="7"/>
        <v>#VALUE!</v>
      </c>
      <c r="K91" s="301" t="e">
        <f>IF(VLOOKUP(B91,'Base de Datos'!$E$7:$T$303,11,0),"SI","NO")</f>
        <v>#VALUE!</v>
      </c>
      <c r="L91" s="302" t="e">
        <f t="shared" si="8"/>
        <v>#VALUE!</v>
      </c>
      <c r="M91" s="302">
        <f>VLOOKUP(B91,'Base de Datos'!$E$7:$AC$303,21,0)</f>
        <v>1197000</v>
      </c>
      <c r="N91" s="363" t="e">
        <f t="shared" ca="1" si="12"/>
        <v>#REF!</v>
      </c>
      <c r="O91" s="302">
        <f>VLOOKUP(B91,'Base de Datos'!$E$7:$AC$303,22,0)</f>
        <v>0</v>
      </c>
      <c r="P91" s="362" t="str">
        <f t="shared" ca="1" si="9"/>
        <v/>
      </c>
      <c r="Q91" s="375" t="e">
        <f t="shared" ca="1" si="13"/>
        <v>#VALUE!</v>
      </c>
      <c r="R91" s="298">
        <f>VLOOKUP(B91,'Base de Datos'!E91:AU388,33,0)</f>
        <v>0</v>
      </c>
      <c r="S91" s="301" t="e">
        <f t="shared" ca="1" si="10"/>
        <v>#REF!</v>
      </c>
      <c r="T91" s="298" t="str">
        <f t="shared" si="11"/>
        <v/>
      </c>
      <c r="U91" s="298" t="str">
        <f>VLOOKUP(B91,'Base de Datos'!$E$7:$AU$401,38,0)</f>
        <v>SI</v>
      </c>
    </row>
    <row r="92" spans="1:21" ht="23.25" customHeight="1" thickTop="1" thickBot="1" x14ac:dyDescent="0.35">
      <c r="A92" s="96">
        <v>86</v>
      </c>
      <c r="B92" s="298" t="str">
        <f>+'Base de Datos'!E92</f>
        <v>130091-0-2013</v>
      </c>
      <c r="C92" s="298" t="str">
        <f>+'Base de Datos'!F92</f>
        <v>INGENIERÍA DE BOMBAS Y PLANTAS LIMITADA</v>
      </c>
      <c r="D92" s="299">
        <f>+'Base de Datos'!I92</f>
        <v>8360000</v>
      </c>
      <c r="E92" s="300">
        <f>+'Base de Datos'!M92</f>
        <v>41400</v>
      </c>
      <c r="F92" s="300">
        <f>+'Base de Datos'!N92</f>
        <v>41764</v>
      </c>
      <c r="G92" s="300" t="e">
        <f>+'Base de Datos'!#REF!</f>
        <v>#REF!</v>
      </c>
      <c r="H92" s="299">
        <f>+'Base de Datos'!X92</f>
        <v>8360000</v>
      </c>
      <c r="I92" s="301" t="e">
        <f>IF(VLOOKUP(B92,'Base de Datos'!$E$7:$T$303,11,0),"SI","NO")</f>
        <v>#VALUE!</v>
      </c>
      <c r="J92" s="302" t="e">
        <f t="shared" si="7"/>
        <v>#VALUE!</v>
      </c>
      <c r="K92" s="301" t="e">
        <f>IF(VLOOKUP(B92,'Base de Datos'!$E$7:$T$303,11,0),"SI","NO")</f>
        <v>#VALUE!</v>
      </c>
      <c r="L92" s="302" t="e">
        <f t="shared" si="8"/>
        <v>#VALUE!</v>
      </c>
      <c r="M92" s="302">
        <f>VLOOKUP(B92,'Base de Datos'!$E$7:$AC$303,21,0)</f>
        <v>7018000</v>
      </c>
      <c r="N92" s="363" t="e">
        <f t="shared" ca="1" si="12"/>
        <v>#REF!</v>
      </c>
      <c r="O92" s="302">
        <f>VLOOKUP(B92,'Base de Datos'!$E$7:$AC$303,22,0)</f>
        <v>1342000</v>
      </c>
      <c r="P92" s="362" t="str">
        <f t="shared" ca="1" si="9"/>
        <v/>
      </c>
      <c r="Q92" s="375" t="e">
        <f t="shared" ca="1" si="13"/>
        <v>#VALUE!</v>
      </c>
      <c r="R92" s="298">
        <f>VLOOKUP(B92,'Base de Datos'!E92:AU389,33,0)</f>
        <v>0</v>
      </c>
      <c r="S92" s="301" t="e">
        <f t="shared" ca="1" si="10"/>
        <v>#REF!</v>
      </c>
      <c r="T92" s="298" t="str">
        <f t="shared" si="11"/>
        <v/>
      </c>
      <c r="U92" s="298" t="str">
        <f>VLOOKUP(B92,'Base de Datos'!$E$7:$AU$401,38,0)</f>
        <v>SI</v>
      </c>
    </row>
    <row r="93" spans="1:21" ht="23.25" customHeight="1" thickTop="1" thickBot="1" x14ac:dyDescent="0.35">
      <c r="A93" s="96">
        <v>87</v>
      </c>
      <c r="B93" s="298" t="str">
        <f>+'Base de Datos'!E93</f>
        <v>130106-0-2013</v>
      </c>
      <c r="C93" s="298" t="str">
        <f>+'Base de Datos'!F93</f>
        <v>DPC LTDA PUBLICACIONES DESPACHOS PÚBLICOS DE COLOMBIA LTDA</v>
      </c>
      <c r="D93" s="299">
        <f>+'Base de Datos'!I93</f>
        <v>3700000</v>
      </c>
      <c r="E93" s="300">
        <f>+'Base de Datos'!M93</f>
        <v>41393</v>
      </c>
      <c r="F93" s="300">
        <f>+'Base de Datos'!N93</f>
        <v>41545</v>
      </c>
      <c r="G93" s="300" t="e">
        <f>+'Base de Datos'!#REF!</f>
        <v>#REF!</v>
      </c>
      <c r="H93" s="299">
        <f>+'Base de Datos'!X93</f>
        <v>3700000</v>
      </c>
      <c r="I93" s="301" t="e">
        <f>IF(VLOOKUP(B93,'Base de Datos'!$E$7:$T$303,11,0),"SI","NO")</f>
        <v>#VALUE!</v>
      </c>
      <c r="J93" s="302" t="e">
        <f t="shared" si="7"/>
        <v>#VALUE!</v>
      </c>
      <c r="K93" s="301" t="e">
        <f>IF(VLOOKUP(B93,'Base de Datos'!$E$7:$T$303,11,0),"SI","NO")</f>
        <v>#VALUE!</v>
      </c>
      <c r="L93" s="302" t="e">
        <f t="shared" si="8"/>
        <v>#VALUE!</v>
      </c>
      <c r="M93" s="302">
        <f>VLOOKUP(B93,'Base de Datos'!$E$7:$AC$303,21,0)</f>
        <v>3700000</v>
      </c>
      <c r="N93" s="363" t="e">
        <f t="shared" ca="1" si="12"/>
        <v>#REF!</v>
      </c>
      <c r="O93" s="302">
        <f>VLOOKUP(B93,'Base de Datos'!$E$7:$AC$303,22,0)</f>
        <v>0</v>
      </c>
      <c r="P93" s="362" t="str">
        <f t="shared" ca="1" si="9"/>
        <v/>
      </c>
      <c r="Q93" s="375" t="e">
        <f t="shared" ca="1" si="13"/>
        <v>#VALUE!</v>
      </c>
      <c r="R93" s="298">
        <f>VLOOKUP(B93,'Base de Datos'!E93:AU390,33,0)</f>
        <v>0</v>
      </c>
      <c r="S93" s="301" t="e">
        <f t="shared" ca="1" si="10"/>
        <v>#REF!</v>
      </c>
      <c r="T93" s="298" t="str">
        <f t="shared" si="11"/>
        <v/>
      </c>
      <c r="U93" s="298" t="str">
        <f>VLOOKUP(B93,'Base de Datos'!$E$7:$AU$401,38,0)</f>
        <v>SI</v>
      </c>
    </row>
    <row r="94" spans="1:21" ht="23.25" customHeight="1" thickTop="1" thickBot="1" x14ac:dyDescent="0.35">
      <c r="A94" s="96">
        <v>88</v>
      </c>
      <c r="B94" s="298" t="str">
        <f>+'Base de Datos'!E94</f>
        <v>130116-0-2013</v>
      </c>
      <c r="C94" s="298" t="str">
        <f>+'Base de Datos'!F94</f>
        <v>EDGARDO ANDRÉS MALDONADO CORTES</v>
      </c>
      <c r="D94" s="299">
        <f>+'Base de Datos'!I94</f>
        <v>50000000</v>
      </c>
      <c r="E94" s="300">
        <f>+'Base de Datos'!M94</f>
        <v>41387</v>
      </c>
      <c r="F94" s="300">
        <f>+'Base de Datos'!N94</f>
        <v>41692</v>
      </c>
      <c r="G94" s="300" t="e">
        <f>+'Base de Datos'!#REF!</f>
        <v>#REF!</v>
      </c>
      <c r="H94" s="299">
        <f>+'Base de Datos'!X94</f>
        <v>50000000</v>
      </c>
      <c r="I94" s="301" t="e">
        <f>IF(VLOOKUP(B94,'Base de Datos'!$E$7:$T$303,11,0),"SI","NO")</f>
        <v>#VALUE!</v>
      </c>
      <c r="J94" s="302" t="e">
        <f t="shared" si="7"/>
        <v>#VALUE!</v>
      </c>
      <c r="K94" s="301" t="e">
        <f>IF(VLOOKUP(B94,'Base de Datos'!$E$7:$T$303,11,0),"SI","NO")</f>
        <v>#VALUE!</v>
      </c>
      <c r="L94" s="302" t="e">
        <f t="shared" si="8"/>
        <v>#VALUE!</v>
      </c>
      <c r="M94" s="302">
        <f>VLOOKUP(B94,'Base de Datos'!$E$7:$AC$303,21,0)</f>
        <v>50000000</v>
      </c>
      <c r="N94" s="363" t="e">
        <f t="shared" ca="1" si="12"/>
        <v>#REF!</v>
      </c>
      <c r="O94" s="302">
        <f>VLOOKUP(B94,'Base de Datos'!$E$7:$AC$303,22,0)</f>
        <v>0</v>
      </c>
      <c r="P94" s="362" t="str">
        <f t="shared" ca="1" si="9"/>
        <v/>
      </c>
      <c r="Q94" s="375" t="e">
        <f t="shared" ca="1" si="13"/>
        <v>#VALUE!</v>
      </c>
      <c r="R94" s="298">
        <f>VLOOKUP(B94,'Base de Datos'!E94:AU391,33,0)</f>
        <v>0</v>
      </c>
      <c r="S94" s="301" t="e">
        <f t="shared" ca="1" si="10"/>
        <v>#REF!</v>
      </c>
      <c r="T94" s="298" t="str">
        <f t="shared" si="11"/>
        <v/>
      </c>
      <c r="U94" s="298" t="str">
        <f>VLOOKUP(B94,'Base de Datos'!$E$7:$AU$401,38,0)</f>
        <v>NO</v>
      </c>
    </row>
    <row r="95" spans="1:21" ht="23.25" customHeight="1" thickTop="1" thickBot="1" x14ac:dyDescent="0.35">
      <c r="A95" s="96">
        <v>89</v>
      </c>
      <c r="B95" s="298" t="str">
        <f>+'Base de Datos'!E95</f>
        <v>130121-0-2013</v>
      </c>
      <c r="C95" s="298" t="str">
        <f>+'Base de Datos'!F95</f>
        <v>ROSA ENRIQUELINA GÓMEZ CORREDOR</v>
      </c>
      <c r="D95" s="299">
        <f>+'Base de Datos'!I95</f>
        <v>41600000</v>
      </c>
      <c r="E95" s="300">
        <f>+'Base de Datos'!M95</f>
        <v>41396</v>
      </c>
      <c r="F95" s="300">
        <f>+'Base de Datos'!N95</f>
        <v>41699</v>
      </c>
      <c r="G95" s="300" t="e">
        <f>+'Base de Datos'!#REF!</f>
        <v>#REF!</v>
      </c>
      <c r="H95" s="299">
        <f>+'Base de Datos'!X95</f>
        <v>41600000</v>
      </c>
      <c r="I95" s="301" t="e">
        <f>IF(VLOOKUP(B95,'Base de Datos'!$E$7:$T$303,11,0),"SI","NO")</f>
        <v>#VALUE!</v>
      </c>
      <c r="J95" s="302" t="e">
        <f t="shared" si="7"/>
        <v>#VALUE!</v>
      </c>
      <c r="K95" s="301" t="e">
        <f>IF(VLOOKUP(B95,'Base de Datos'!$E$7:$T$303,11,0),"SI","NO")</f>
        <v>#VALUE!</v>
      </c>
      <c r="L95" s="302" t="e">
        <f t="shared" si="8"/>
        <v>#VALUE!</v>
      </c>
      <c r="M95" s="302">
        <f>VLOOKUP(B95,'Base de Datos'!$E$7:$AC$303,21,0)</f>
        <v>41600000</v>
      </c>
      <c r="N95" s="363" t="e">
        <f t="shared" ca="1" si="12"/>
        <v>#REF!</v>
      </c>
      <c r="O95" s="302">
        <f>VLOOKUP(B95,'Base de Datos'!$E$7:$AC$303,22,0)</f>
        <v>0</v>
      </c>
      <c r="P95" s="362" t="str">
        <f t="shared" ca="1" si="9"/>
        <v/>
      </c>
      <c r="Q95" s="375" t="e">
        <f t="shared" ca="1" si="13"/>
        <v>#VALUE!</v>
      </c>
      <c r="R95" s="298">
        <f>VLOOKUP(B95,'Base de Datos'!E95:AU392,33,0)</f>
        <v>0</v>
      </c>
      <c r="S95" s="301" t="e">
        <f t="shared" ca="1" si="10"/>
        <v>#REF!</v>
      </c>
      <c r="T95" s="298" t="str">
        <f t="shared" si="11"/>
        <v/>
      </c>
      <c r="U95" s="298" t="str">
        <f>VLOOKUP(B95,'Base de Datos'!$E$7:$AU$401,38,0)</f>
        <v>NO</v>
      </c>
    </row>
    <row r="96" spans="1:21" ht="23.25" customHeight="1" thickTop="1" thickBot="1" x14ac:dyDescent="0.35">
      <c r="A96" s="96">
        <v>90</v>
      </c>
      <c r="B96" s="298" t="str">
        <f>+'Base de Datos'!E96</f>
        <v>130126-0-2013</v>
      </c>
      <c r="C96" s="298" t="str">
        <f>+'Base de Datos'!F96</f>
        <v>EMPRESA DE TELECOMUNICACIONES DE BOGOTÁ S.A.-ETB-ESP</v>
      </c>
      <c r="D96" s="299">
        <f>+'Base de Datos'!I96</f>
        <v>160000000</v>
      </c>
      <c r="E96" s="300">
        <f>+'Base de Datos'!M96</f>
        <v>41411</v>
      </c>
      <c r="F96" s="300">
        <f>+'Base de Datos'!N96</f>
        <v>41477</v>
      </c>
      <c r="G96" s="300" t="e">
        <f>+'Base de Datos'!#REF!</f>
        <v>#REF!</v>
      </c>
      <c r="H96" s="299">
        <f>+'Base de Datos'!X96</f>
        <v>240000000</v>
      </c>
      <c r="I96" s="301" t="e">
        <f>IF(VLOOKUP(B96,'Base de Datos'!$E$7:$T$303,11,0),"SI","NO")</f>
        <v>#VALUE!</v>
      </c>
      <c r="J96" s="302" t="e">
        <f t="shared" si="7"/>
        <v>#VALUE!</v>
      </c>
      <c r="K96" s="301" t="e">
        <f>IF(VLOOKUP(B96,'Base de Datos'!$E$7:$T$303,11,0),"SI","NO")</f>
        <v>#VALUE!</v>
      </c>
      <c r="L96" s="302" t="e">
        <f t="shared" si="8"/>
        <v>#VALUE!</v>
      </c>
      <c r="M96" s="302">
        <f>VLOOKUP(B96,'Base de Datos'!$E$7:$AC$303,21,0)</f>
        <v>239999964</v>
      </c>
      <c r="N96" s="363" t="e">
        <f t="shared" ca="1" si="12"/>
        <v>#REF!</v>
      </c>
      <c r="O96" s="302">
        <f>VLOOKUP(B96,'Base de Datos'!$E$7:$AC$303,22,0)</f>
        <v>36</v>
      </c>
      <c r="P96" s="362" t="str">
        <f t="shared" ca="1" si="9"/>
        <v/>
      </c>
      <c r="Q96" s="375" t="e">
        <f t="shared" ca="1" si="13"/>
        <v>#VALUE!</v>
      </c>
      <c r="R96" s="298">
        <f>VLOOKUP(B96,'Base de Datos'!E96:AU393,33,0)</f>
        <v>0</v>
      </c>
      <c r="S96" s="301" t="e">
        <f t="shared" ca="1" si="10"/>
        <v>#REF!</v>
      </c>
      <c r="T96" s="298" t="str">
        <f t="shared" si="11"/>
        <v/>
      </c>
      <c r="U96" s="298" t="str">
        <f>VLOOKUP(B96,'Base de Datos'!$E$7:$AU$401,38,0)</f>
        <v>SI</v>
      </c>
    </row>
    <row r="97" spans="1:21" ht="23.25" customHeight="1" thickTop="1" thickBot="1" x14ac:dyDescent="0.35">
      <c r="A97" s="96">
        <v>91</v>
      </c>
      <c r="B97" s="298" t="str">
        <f>+'Base de Datos'!E97</f>
        <v>130129-0-2013</v>
      </c>
      <c r="C97" s="298" t="str">
        <f>+'Base de Datos'!F97</f>
        <v>SOCIEDAD ENTORNO COMPAÑÍA LTDA</v>
      </c>
      <c r="D97" s="299">
        <f>+'Base de Datos'!I97</f>
        <v>55784000</v>
      </c>
      <c r="E97" s="300">
        <f>+'Base de Datos'!M97</f>
        <v>41403</v>
      </c>
      <c r="F97" s="300">
        <f>+'Base de Datos'!N97</f>
        <v>41678</v>
      </c>
      <c r="G97" s="300" t="e">
        <f>+'Base de Datos'!#REF!</f>
        <v>#REF!</v>
      </c>
      <c r="H97" s="299">
        <f>+'Base de Datos'!X97</f>
        <v>67179000</v>
      </c>
      <c r="I97" s="301" t="e">
        <f>IF(VLOOKUP(B97,'Base de Datos'!$E$7:$T$303,11,0),"SI","NO")</f>
        <v>#VALUE!</v>
      </c>
      <c r="J97" s="302" t="e">
        <f t="shared" si="7"/>
        <v>#VALUE!</v>
      </c>
      <c r="K97" s="301" t="e">
        <f>IF(VLOOKUP(B97,'Base de Datos'!$E$7:$T$303,11,0),"SI","NO")</f>
        <v>#VALUE!</v>
      </c>
      <c r="L97" s="302" t="e">
        <f t="shared" si="8"/>
        <v>#VALUE!</v>
      </c>
      <c r="M97" s="302">
        <f>VLOOKUP(B97,'Base de Datos'!$E$7:$AC$303,21,0)</f>
        <v>67115300</v>
      </c>
      <c r="N97" s="363" t="e">
        <f t="shared" ca="1" si="12"/>
        <v>#REF!</v>
      </c>
      <c r="O97" s="302">
        <f>VLOOKUP(B97,'Base de Datos'!$E$7:$AC$303,22,0)</f>
        <v>63700</v>
      </c>
      <c r="P97" s="362" t="str">
        <f t="shared" ca="1" si="9"/>
        <v/>
      </c>
      <c r="Q97" s="375" t="e">
        <f t="shared" ca="1" si="13"/>
        <v>#VALUE!</v>
      </c>
      <c r="R97" s="298">
        <f>VLOOKUP(B97,'Base de Datos'!E97:AU394,33,0)</f>
        <v>0</v>
      </c>
      <c r="S97" s="301" t="e">
        <f t="shared" ca="1" si="10"/>
        <v>#REF!</v>
      </c>
      <c r="T97" s="298" t="str">
        <f t="shared" si="11"/>
        <v/>
      </c>
      <c r="U97" s="298" t="str">
        <f>VLOOKUP(B97,'Base de Datos'!$E$7:$AU$401,38,0)</f>
        <v>SI</v>
      </c>
    </row>
    <row r="98" spans="1:21" ht="23.25" customHeight="1" thickTop="1" thickBot="1" x14ac:dyDescent="0.35">
      <c r="A98" s="96">
        <v>92</v>
      </c>
      <c r="B98" s="298" t="str">
        <f>+'Base de Datos'!E98</f>
        <v>130130-0-2013</v>
      </c>
      <c r="C98" s="298" t="str">
        <f>+'Base de Datos'!F98</f>
        <v>ORGANIZACIÓN TERPEL S.A.</v>
      </c>
      <c r="D98" s="299">
        <f>+'Base de Datos'!I98</f>
        <v>351295000</v>
      </c>
      <c r="E98" s="300">
        <f>+'Base de Datos'!M98</f>
        <v>41426</v>
      </c>
      <c r="F98" s="300">
        <f>+'Base de Datos'!N98</f>
        <v>41671</v>
      </c>
      <c r="G98" s="300" t="e">
        <f>+'Base de Datos'!#REF!</f>
        <v>#REF!</v>
      </c>
      <c r="H98" s="299">
        <f>+'Base de Datos'!X98</f>
        <v>473134060</v>
      </c>
      <c r="I98" s="301" t="e">
        <f>IF(VLOOKUP(B98,'Base de Datos'!$E$7:$T$303,11,0),"SI","NO")</f>
        <v>#VALUE!</v>
      </c>
      <c r="J98" s="302" t="e">
        <f t="shared" si="7"/>
        <v>#VALUE!</v>
      </c>
      <c r="K98" s="301" t="e">
        <f>IF(VLOOKUP(B98,'Base de Datos'!$E$7:$T$303,11,0),"SI","NO")</f>
        <v>#VALUE!</v>
      </c>
      <c r="L98" s="302" t="e">
        <f t="shared" si="8"/>
        <v>#VALUE!</v>
      </c>
      <c r="M98" s="302">
        <f>VLOOKUP(B98,'Base de Datos'!$E$7:$AC$303,21,0)</f>
        <v>473133510</v>
      </c>
      <c r="N98" s="363" t="e">
        <f t="shared" ca="1" si="12"/>
        <v>#REF!</v>
      </c>
      <c r="O98" s="302">
        <f>VLOOKUP(B98,'Base de Datos'!$E$7:$AC$303,22,0)</f>
        <v>550</v>
      </c>
      <c r="P98" s="362" t="str">
        <f t="shared" ca="1" si="9"/>
        <v/>
      </c>
      <c r="Q98" s="375" t="e">
        <f t="shared" ca="1" si="13"/>
        <v>#VALUE!</v>
      </c>
      <c r="R98" s="298" t="str">
        <f>VLOOKUP(B98,'Base de Datos'!E98:AU395,33,0)</f>
        <v>Dirección Administrativa</v>
      </c>
      <c r="S98" s="301" t="e">
        <f t="shared" ca="1" si="10"/>
        <v>#REF!</v>
      </c>
      <c r="T98" s="298" t="str">
        <f t="shared" si="11"/>
        <v/>
      </c>
      <c r="U98" s="298" t="str">
        <f>VLOOKUP(B98,'Base de Datos'!$E$7:$AU$401,38,0)</f>
        <v>SI</v>
      </c>
    </row>
    <row r="99" spans="1:21" ht="23.25" customHeight="1" thickTop="1" thickBot="1" x14ac:dyDescent="0.35">
      <c r="A99" s="96">
        <v>93</v>
      </c>
      <c r="B99" s="298" t="str">
        <f>+'Base de Datos'!E99</f>
        <v>130133-0-2013</v>
      </c>
      <c r="C99" s="298" t="str">
        <f>+'Base de Datos'!F99</f>
        <v>SEGURIDAD NUEVA ERA</v>
      </c>
      <c r="D99" s="299">
        <f>+'Base de Datos'!I99</f>
        <v>2096276</v>
      </c>
      <c r="E99" s="300">
        <f>+'Base de Datos'!M99</f>
        <v>41417</v>
      </c>
      <c r="F99" s="300">
        <f>+'Base de Datos'!N99</f>
        <v>41692</v>
      </c>
      <c r="G99" s="300" t="e">
        <f>+'Base de Datos'!#REF!</f>
        <v>#REF!</v>
      </c>
      <c r="H99" s="299">
        <f>+'Base de Datos'!X99</f>
        <v>2096276</v>
      </c>
      <c r="I99" s="301" t="e">
        <f>IF(VLOOKUP(B99,'Base de Datos'!$E$7:$T$303,11,0),"SI","NO")</f>
        <v>#VALUE!</v>
      </c>
      <c r="J99" s="302" t="e">
        <f t="shared" si="7"/>
        <v>#VALUE!</v>
      </c>
      <c r="K99" s="301" t="e">
        <f>IF(VLOOKUP(B99,'Base de Datos'!$E$7:$T$303,11,0),"SI","NO")</f>
        <v>#VALUE!</v>
      </c>
      <c r="L99" s="302" t="e">
        <f t="shared" si="8"/>
        <v>#VALUE!</v>
      </c>
      <c r="M99" s="302">
        <f>VLOOKUP(B99,'Base de Datos'!$E$7:$AC$303,21,0)</f>
        <v>2086672</v>
      </c>
      <c r="N99" s="363" t="e">
        <f t="shared" ca="1" si="12"/>
        <v>#REF!</v>
      </c>
      <c r="O99" s="302">
        <f>VLOOKUP(B99,'Base de Datos'!$E$7:$AC$303,22,0)</f>
        <v>9604</v>
      </c>
      <c r="P99" s="362" t="str">
        <f t="shared" ca="1" si="9"/>
        <v/>
      </c>
      <c r="Q99" s="375" t="e">
        <f t="shared" ca="1" si="13"/>
        <v>#VALUE!</v>
      </c>
      <c r="R99" s="298" t="str">
        <f>VLOOKUP(B99,'Base de Datos'!E99:AU396,33,0)</f>
        <v>Dirección Administrativa</v>
      </c>
      <c r="S99" s="301" t="e">
        <f t="shared" ca="1" si="10"/>
        <v>#REF!</v>
      </c>
      <c r="T99" s="298" t="str">
        <f t="shared" si="11"/>
        <v/>
      </c>
      <c r="U99" s="298" t="str">
        <f>VLOOKUP(B99,'Base de Datos'!$E$7:$AU$401,38,0)</f>
        <v>SI</v>
      </c>
    </row>
    <row r="100" spans="1:21" ht="23.25" customHeight="1" thickTop="1" thickBot="1" x14ac:dyDescent="0.35">
      <c r="A100" s="96">
        <v>94</v>
      </c>
      <c r="B100" s="298" t="str">
        <f>+'Base de Datos'!E100</f>
        <v>130136-0-2013</v>
      </c>
      <c r="C100" s="298" t="str">
        <f>+'Base de Datos'!F100</f>
        <v>MOTORES Y MAQUINAS MOTORYSA</v>
      </c>
      <c r="D100" s="299">
        <f>+'Base de Datos'!I100</f>
        <v>12594000</v>
      </c>
      <c r="E100" s="300">
        <f>+'Base de Datos'!M100</f>
        <v>41416</v>
      </c>
      <c r="F100" s="300">
        <f>+'Base de Datos'!N100</f>
        <v>41660</v>
      </c>
      <c r="G100" s="300" t="e">
        <f>+'Base de Datos'!#REF!</f>
        <v>#REF!</v>
      </c>
      <c r="H100" s="299">
        <f>+'Base de Datos'!X100</f>
        <v>18744000</v>
      </c>
      <c r="I100" s="301" t="e">
        <f>IF(VLOOKUP(B100,'Base de Datos'!$E$7:$T$303,11,0),"SI","NO")</f>
        <v>#VALUE!</v>
      </c>
      <c r="J100" s="302" t="e">
        <f t="shared" si="7"/>
        <v>#VALUE!</v>
      </c>
      <c r="K100" s="301" t="e">
        <f>IF(VLOOKUP(B100,'Base de Datos'!$E$7:$T$303,11,0),"SI","NO")</f>
        <v>#VALUE!</v>
      </c>
      <c r="L100" s="302" t="e">
        <f t="shared" si="8"/>
        <v>#VALUE!</v>
      </c>
      <c r="M100" s="302">
        <f>VLOOKUP(B100,'Base de Datos'!$E$7:$AC$303,21,0)</f>
        <v>18286734</v>
      </c>
      <c r="N100" s="363" t="e">
        <f t="shared" ca="1" si="12"/>
        <v>#REF!</v>
      </c>
      <c r="O100" s="302">
        <f>VLOOKUP(B100,'Base de Datos'!$E$7:$AC$303,22,0)</f>
        <v>457266</v>
      </c>
      <c r="P100" s="362" t="str">
        <f t="shared" ca="1" si="9"/>
        <v/>
      </c>
      <c r="Q100" s="375" t="e">
        <f t="shared" ca="1" si="13"/>
        <v>#VALUE!</v>
      </c>
      <c r="R100" s="298" t="str">
        <f>VLOOKUP(B100,'Base de Datos'!E100:AU397,33,0)</f>
        <v>Dirección Administrativa</v>
      </c>
      <c r="S100" s="301" t="e">
        <f t="shared" ca="1" si="10"/>
        <v>#REF!</v>
      </c>
      <c r="T100" s="298" t="str">
        <f t="shared" si="11"/>
        <v/>
      </c>
      <c r="U100" s="298" t="str">
        <f>VLOOKUP(B100,'Base de Datos'!$E$7:$AU$401,38,0)</f>
        <v>SI</v>
      </c>
    </row>
    <row r="101" spans="1:21" ht="23.25" customHeight="1" thickTop="1" thickBot="1" x14ac:dyDescent="0.35">
      <c r="A101" s="96">
        <v>95</v>
      </c>
      <c r="B101" s="298" t="str">
        <f>+'Base de Datos'!E101</f>
        <v>130139-0-2013</v>
      </c>
      <c r="C101" s="298" t="str">
        <f>+'Base de Datos'!F101</f>
        <v>REVISTA EL CONGRESO SIGLO XXI LTDA</v>
      </c>
      <c r="D101" s="299">
        <f>+'Base de Datos'!I101</f>
        <v>7740000</v>
      </c>
      <c r="E101" s="300">
        <f>+'Base de Datos'!M101</f>
        <v>41410</v>
      </c>
      <c r="F101" s="300">
        <f>+'Base de Datos'!N101</f>
        <v>41774</v>
      </c>
      <c r="G101" s="300" t="e">
        <f>+'Base de Datos'!#REF!</f>
        <v>#REF!</v>
      </c>
      <c r="H101" s="299">
        <f>+'Base de Datos'!X101</f>
        <v>7740000</v>
      </c>
      <c r="I101" s="301" t="e">
        <f>IF(VLOOKUP(B101,'Base de Datos'!$E$7:$T$303,11,0),"SI","NO")</f>
        <v>#VALUE!</v>
      </c>
      <c r="J101" s="302" t="e">
        <f t="shared" si="7"/>
        <v>#VALUE!</v>
      </c>
      <c r="K101" s="301" t="e">
        <f>IF(VLOOKUP(B101,'Base de Datos'!$E$7:$T$303,11,0),"SI","NO")</f>
        <v>#VALUE!</v>
      </c>
      <c r="L101" s="302" t="e">
        <f t="shared" si="8"/>
        <v>#VALUE!</v>
      </c>
      <c r="M101" s="302">
        <f>VLOOKUP(B101,'Base de Datos'!$E$7:$AC$303,21,0)</f>
        <v>7740000</v>
      </c>
      <c r="N101" s="363" t="e">
        <f t="shared" ca="1" si="12"/>
        <v>#REF!</v>
      </c>
      <c r="O101" s="302">
        <f>VLOOKUP(B101,'Base de Datos'!$E$7:$AC$303,22,0)</f>
        <v>0</v>
      </c>
      <c r="P101" s="362" t="str">
        <f t="shared" ca="1" si="9"/>
        <v/>
      </c>
      <c r="Q101" s="375" t="e">
        <f t="shared" ca="1" si="13"/>
        <v>#VALUE!</v>
      </c>
      <c r="R101" s="298">
        <f>VLOOKUP(B101,'Base de Datos'!E101:AU398,33,0)</f>
        <v>0</v>
      </c>
      <c r="S101" s="301" t="e">
        <f t="shared" ca="1" si="10"/>
        <v>#REF!</v>
      </c>
      <c r="T101" s="298" t="str">
        <f t="shared" si="11"/>
        <v/>
      </c>
      <c r="U101" s="298" t="str">
        <f>VLOOKUP(B101,'Base de Datos'!$E$7:$AU$401,38,0)</f>
        <v>SI</v>
      </c>
    </row>
    <row r="102" spans="1:21" ht="23.25" customHeight="1" thickTop="1" thickBot="1" x14ac:dyDescent="0.35">
      <c r="A102" s="96">
        <v>96</v>
      </c>
      <c r="B102" s="298" t="str">
        <f>+'Base de Datos'!E102</f>
        <v>130141-0-2013</v>
      </c>
      <c r="C102" s="298" t="str">
        <f>+'Base de Datos'!F102</f>
        <v>LILIANA ALFONSO JAIMES</v>
      </c>
      <c r="D102" s="299">
        <f>+'Base de Datos'!I102</f>
        <v>50000000</v>
      </c>
      <c r="E102" s="300">
        <f>+'Base de Datos'!M102</f>
        <v>41410</v>
      </c>
      <c r="F102" s="300">
        <f>+'Base de Datos'!N102</f>
        <v>41713</v>
      </c>
      <c r="G102" s="300" t="e">
        <f>+'Base de Datos'!#REF!</f>
        <v>#REF!</v>
      </c>
      <c r="H102" s="299">
        <f>+'Base de Datos'!X102</f>
        <v>50000000</v>
      </c>
      <c r="I102" s="301" t="e">
        <f>IF(VLOOKUP(B102,'Base de Datos'!$E$7:$T$303,11,0),"SI","NO")</f>
        <v>#VALUE!</v>
      </c>
      <c r="J102" s="302" t="e">
        <f t="shared" si="7"/>
        <v>#VALUE!</v>
      </c>
      <c r="K102" s="301" t="e">
        <f>IF(VLOOKUP(B102,'Base de Datos'!$E$7:$T$303,11,0),"SI","NO")</f>
        <v>#VALUE!</v>
      </c>
      <c r="L102" s="302" t="e">
        <f t="shared" si="8"/>
        <v>#VALUE!</v>
      </c>
      <c r="M102" s="302">
        <f>VLOOKUP(B102,'Base de Datos'!$E$7:$AC$303,21,0)</f>
        <v>27500000</v>
      </c>
      <c r="N102" s="363" t="e">
        <f t="shared" ca="1" si="12"/>
        <v>#REF!</v>
      </c>
      <c r="O102" s="302">
        <f>VLOOKUP(B102,'Base de Datos'!$E$7:$AC$303,22,0)</f>
        <v>22500000</v>
      </c>
      <c r="P102" s="362" t="str">
        <f t="shared" ca="1" si="9"/>
        <v/>
      </c>
      <c r="Q102" s="375" t="e">
        <f t="shared" ca="1" si="13"/>
        <v>#VALUE!</v>
      </c>
      <c r="R102" s="298">
        <f>VLOOKUP(B102,'Base de Datos'!E102:AU399,33,0)</f>
        <v>0</v>
      </c>
      <c r="S102" s="301" t="e">
        <f t="shared" ca="1" si="10"/>
        <v>#REF!</v>
      </c>
      <c r="T102" s="298" t="str">
        <f t="shared" si="11"/>
        <v/>
      </c>
      <c r="U102" s="298" t="str">
        <f>VLOOKUP(B102,'Base de Datos'!$E$7:$AU$401,38,0)</f>
        <v>NO</v>
      </c>
    </row>
    <row r="103" spans="1:21" ht="23.25" customHeight="1" thickTop="1" thickBot="1" x14ac:dyDescent="0.35">
      <c r="A103" s="96">
        <v>97</v>
      </c>
      <c r="B103" s="298" t="str">
        <f>+'Base de Datos'!E103</f>
        <v>130142-0-2013</v>
      </c>
      <c r="C103" s="298" t="str">
        <f>+'Base de Datos'!F103</f>
        <v>AGR SOLUCIONES S.A.S.</v>
      </c>
      <c r="D103" s="299">
        <f>+'Base de Datos'!I103</f>
        <v>9366000</v>
      </c>
      <c r="E103" s="300">
        <f>+'Base de Datos'!M103</f>
        <v>41423</v>
      </c>
      <c r="F103" s="300">
        <f>+'Base de Datos'!N103</f>
        <v>41698</v>
      </c>
      <c r="G103" s="300" t="e">
        <f>+'Base de Datos'!#REF!</f>
        <v>#REF!</v>
      </c>
      <c r="H103" s="299">
        <f>+'Base de Datos'!X103</f>
        <v>9366000</v>
      </c>
      <c r="I103" s="301" t="e">
        <f>IF(VLOOKUP(B103,'Base de Datos'!$E$7:$T$303,11,0),"SI","NO")</f>
        <v>#VALUE!</v>
      </c>
      <c r="J103" s="302" t="e">
        <f t="shared" si="7"/>
        <v>#VALUE!</v>
      </c>
      <c r="K103" s="301" t="e">
        <f>IF(VLOOKUP(B103,'Base de Datos'!$E$7:$T$303,11,0),"SI","NO")</f>
        <v>#VALUE!</v>
      </c>
      <c r="L103" s="302" t="e">
        <f t="shared" si="8"/>
        <v>#VALUE!</v>
      </c>
      <c r="M103" s="302">
        <f>VLOOKUP(B103,'Base de Datos'!$E$7:$AC$303,21,0)</f>
        <v>7783682</v>
      </c>
      <c r="N103" s="363" t="e">
        <f t="shared" ca="1" si="12"/>
        <v>#REF!</v>
      </c>
      <c r="O103" s="302">
        <f>VLOOKUP(B103,'Base de Datos'!$E$7:$AC$303,22,0)</f>
        <v>1582318</v>
      </c>
      <c r="P103" s="362" t="str">
        <f t="shared" ca="1" si="9"/>
        <v/>
      </c>
      <c r="Q103" s="375" t="e">
        <f t="shared" ca="1" si="13"/>
        <v>#VALUE!</v>
      </c>
      <c r="R103" s="298" t="str">
        <f>VLOOKUP(B103,'Base de Datos'!E103:AU400,33,0)</f>
        <v>Dirección Administrativa</v>
      </c>
      <c r="S103" s="301" t="e">
        <f t="shared" ca="1" si="10"/>
        <v>#REF!</v>
      </c>
      <c r="T103" s="298" t="str">
        <f t="shared" si="11"/>
        <v/>
      </c>
      <c r="U103" s="298" t="str">
        <f>VLOOKUP(B103,'Base de Datos'!$E$7:$AU$401,38,0)</f>
        <v>SI</v>
      </c>
    </row>
    <row r="104" spans="1:21" ht="23.25" customHeight="1" thickTop="1" thickBot="1" x14ac:dyDescent="0.35">
      <c r="A104" s="96">
        <v>98</v>
      </c>
      <c r="B104" s="298" t="str">
        <f>+'Base de Datos'!E104</f>
        <v>130146-0-2013</v>
      </c>
      <c r="C104" s="298" t="str">
        <f>+'Base de Datos'!F104</f>
        <v>UNIÓN TEMPORAL INTERPOSTAL URBANEX</v>
      </c>
      <c r="D104" s="299">
        <f>+'Base de Datos'!I104</f>
        <v>22300000</v>
      </c>
      <c r="E104" s="300">
        <f>+'Base de Datos'!M104</f>
        <v>41410</v>
      </c>
      <c r="F104" s="300">
        <f>+'Base de Datos'!N104</f>
        <v>41623</v>
      </c>
      <c r="G104" s="300" t="e">
        <f>+'Base de Datos'!#REF!</f>
        <v>#REF!</v>
      </c>
      <c r="H104" s="299">
        <f>+'Base de Datos'!X104</f>
        <v>33120000</v>
      </c>
      <c r="I104" s="301" t="e">
        <f>IF(VLOOKUP(B104,'Base de Datos'!$E$7:$T$303,11,0),"SI","NO")</f>
        <v>#VALUE!</v>
      </c>
      <c r="J104" s="302" t="e">
        <f t="shared" si="7"/>
        <v>#VALUE!</v>
      </c>
      <c r="K104" s="301" t="e">
        <f>IF(VLOOKUP(B104,'Base de Datos'!$E$7:$T$303,11,0),"SI","NO")</f>
        <v>#VALUE!</v>
      </c>
      <c r="L104" s="302" t="e">
        <f t="shared" si="8"/>
        <v>#VALUE!</v>
      </c>
      <c r="M104" s="302">
        <f>VLOOKUP(B104,'Base de Datos'!$E$7:$AC$303,21,0)</f>
        <v>32832950</v>
      </c>
      <c r="N104" s="363" t="e">
        <f t="shared" ca="1" si="12"/>
        <v>#REF!</v>
      </c>
      <c r="O104" s="302">
        <f>VLOOKUP(B104,'Base de Datos'!$E$7:$AC$303,22,0)</f>
        <v>287050</v>
      </c>
      <c r="P104" s="362" t="str">
        <f t="shared" ca="1" si="9"/>
        <v/>
      </c>
      <c r="Q104" s="375" t="e">
        <f t="shared" ca="1" si="13"/>
        <v>#VALUE!</v>
      </c>
      <c r="R104" s="298" t="str">
        <f>VLOOKUP(B104,'Base de Datos'!E104:AU401,33,0)</f>
        <v>Secretaría General</v>
      </c>
      <c r="S104" s="301" t="e">
        <f t="shared" ca="1" si="10"/>
        <v>#REF!</v>
      </c>
      <c r="T104" s="298" t="str">
        <f t="shared" si="11"/>
        <v/>
      </c>
      <c r="U104" s="298" t="str">
        <f>VLOOKUP(B104,'Base de Datos'!$E$7:$AU$401,38,0)</f>
        <v>SI</v>
      </c>
    </row>
    <row r="105" spans="1:21" ht="23.25" customHeight="1" thickTop="1" thickBot="1" x14ac:dyDescent="0.35">
      <c r="A105" s="96">
        <v>99</v>
      </c>
      <c r="B105" s="298" t="str">
        <f>+'Base de Datos'!E105</f>
        <v>130147-0-2013</v>
      </c>
      <c r="C105" s="298" t="str">
        <f>+'Base de Datos'!F105</f>
        <v>BUSINESS TECHNOLOGIES COMPANY</v>
      </c>
      <c r="D105" s="299">
        <f>+'Base de Datos'!I105</f>
        <v>1030000</v>
      </c>
      <c r="E105" s="300">
        <f>+'Base de Datos'!M105</f>
        <v>41438</v>
      </c>
      <c r="F105" s="300">
        <f>+'Base de Datos'!N105</f>
        <v>41802</v>
      </c>
      <c r="G105" s="300" t="e">
        <f>+'Base de Datos'!#REF!</f>
        <v>#REF!</v>
      </c>
      <c r="H105" s="299">
        <f>+'Base de Datos'!X105</f>
        <v>1030000</v>
      </c>
      <c r="I105" s="301" t="e">
        <f>IF(VLOOKUP(B105,'Base de Datos'!$E$7:$T$303,11,0),"SI","NO")</f>
        <v>#VALUE!</v>
      </c>
      <c r="J105" s="302" t="e">
        <f t="shared" si="7"/>
        <v>#VALUE!</v>
      </c>
      <c r="K105" s="301" t="e">
        <f>IF(VLOOKUP(B105,'Base de Datos'!$E$7:$T$303,11,0),"SI","NO")</f>
        <v>#VALUE!</v>
      </c>
      <c r="L105" s="302" t="e">
        <f t="shared" si="8"/>
        <v>#VALUE!</v>
      </c>
      <c r="M105" s="302">
        <f>VLOOKUP(B105,'Base de Datos'!$E$7:$AC$303,21,0)</f>
        <v>1030000</v>
      </c>
      <c r="N105" s="363" t="e">
        <f t="shared" ca="1" si="12"/>
        <v>#REF!</v>
      </c>
      <c r="O105" s="302">
        <f>VLOOKUP(B105,'Base de Datos'!$E$7:$AC$303,22,0)</f>
        <v>0</v>
      </c>
      <c r="P105" s="362" t="str">
        <f t="shared" ca="1" si="9"/>
        <v/>
      </c>
      <c r="Q105" s="375" t="e">
        <f t="shared" ca="1" si="13"/>
        <v>#VALUE!</v>
      </c>
      <c r="R105" s="298">
        <f>VLOOKUP(B105,'Base de Datos'!E105:AU402,33,0)</f>
        <v>0</v>
      </c>
      <c r="S105" s="301" t="e">
        <f t="shared" ca="1" si="10"/>
        <v>#REF!</v>
      </c>
      <c r="T105" s="298" t="str">
        <f t="shared" si="11"/>
        <v/>
      </c>
      <c r="U105" s="298" t="str">
        <f>VLOOKUP(B105,'Base de Datos'!$E$7:$AU$401,38,0)</f>
        <v>SI</v>
      </c>
    </row>
    <row r="106" spans="1:21" ht="23.25" customHeight="1" thickTop="1" thickBot="1" x14ac:dyDescent="0.35">
      <c r="A106" s="96">
        <v>100</v>
      </c>
      <c r="B106" s="298" t="str">
        <f>+'Base de Datos'!E106</f>
        <v>130150-0-2013</v>
      </c>
      <c r="C106" s="298" t="str">
        <f>+'Base de Datos'!F106</f>
        <v>CANAL REGIONAL DE TELEVISION TEVEANDINA LTDA - TEVEANDINA LTDA</v>
      </c>
      <c r="D106" s="299">
        <f>+'Base de Datos'!I106</f>
        <v>1379939352</v>
      </c>
      <c r="E106" s="300">
        <f>+'Base de Datos'!M106</f>
        <v>41421</v>
      </c>
      <c r="F106" s="300">
        <f>+'Base de Datos'!N106</f>
        <v>41785</v>
      </c>
      <c r="G106" s="300" t="e">
        <f>+'Base de Datos'!#REF!</f>
        <v>#REF!</v>
      </c>
      <c r="H106" s="299">
        <f>+'Base de Datos'!X106</f>
        <v>1552431776</v>
      </c>
      <c r="I106" s="301" t="e">
        <f>IF(VLOOKUP(B106,'Base de Datos'!$E$7:$T$303,11,0),"SI","NO")</f>
        <v>#VALUE!</v>
      </c>
      <c r="J106" s="302" t="e">
        <f t="shared" si="7"/>
        <v>#VALUE!</v>
      </c>
      <c r="K106" s="301" t="e">
        <f>IF(VLOOKUP(B106,'Base de Datos'!$E$7:$T$303,11,0),"SI","NO")</f>
        <v>#VALUE!</v>
      </c>
      <c r="L106" s="302" t="e">
        <f t="shared" si="8"/>
        <v>#VALUE!</v>
      </c>
      <c r="M106" s="302">
        <f>VLOOKUP(B106,'Base de Datos'!$E$7:$AC$303,21,0)</f>
        <v>1552431775</v>
      </c>
      <c r="N106" s="363" t="e">
        <f t="shared" ca="1" si="12"/>
        <v>#REF!</v>
      </c>
      <c r="O106" s="302">
        <f>VLOOKUP(B106,'Base de Datos'!$E$7:$AC$303,22,0)</f>
        <v>1</v>
      </c>
      <c r="P106" s="362" t="str">
        <f t="shared" ca="1" si="9"/>
        <v/>
      </c>
      <c r="Q106" s="375" t="e">
        <f t="shared" ca="1" si="13"/>
        <v>#VALUE!</v>
      </c>
      <c r="R106" s="298" t="str">
        <f>VLOOKUP(B106,'Base de Datos'!E106:AU403,33,0)</f>
        <v>Oficina Asesora de Comunicaciones</v>
      </c>
      <c r="S106" s="301" t="e">
        <f t="shared" ca="1" si="10"/>
        <v>#REF!</v>
      </c>
      <c r="T106" s="298" t="str">
        <f t="shared" si="11"/>
        <v>Liquidar</v>
      </c>
      <c r="U106" s="298" t="str">
        <f>VLOOKUP(B106,'Base de Datos'!$E$7:$AU$401,38,0)</f>
        <v>SI</v>
      </c>
    </row>
    <row r="107" spans="1:21" ht="23.25" customHeight="1" thickTop="1" thickBot="1" x14ac:dyDescent="0.35">
      <c r="A107" s="96">
        <v>101</v>
      </c>
      <c r="B107" s="298" t="str">
        <f>+'Base de Datos'!E107</f>
        <v>130152-0-2013</v>
      </c>
      <c r="C107" s="298" t="str">
        <f>+'Base de Datos'!F107</f>
        <v>EDITORIAL EL GLOBO S.A</v>
      </c>
      <c r="D107" s="299">
        <f>+'Base de Datos'!I107</f>
        <v>849000</v>
      </c>
      <c r="E107" s="300">
        <f>+'Base de Datos'!M107</f>
        <v>41421</v>
      </c>
      <c r="F107" s="300">
        <f>+'Base de Datos'!N107</f>
        <v>41969</v>
      </c>
      <c r="G107" s="300" t="e">
        <f>+'Base de Datos'!#REF!</f>
        <v>#REF!</v>
      </c>
      <c r="H107" s="299">
        <f>+'Base de Datos'!X107</f>
        <v>849000</v>
      </c>
      <c r="I107" s="301" t="e">
        <f>IF(VLOOKUP(B107,'Base de Datos'!$E$7:$T$303,11,0),"SI","NO")</f>
        <v>#VALUE!</v>
      </c>
      <c r="J107" s="302" t="e">
        <f t="shared" si="7"/>
        <v>#VALUE!</v>
      </c>
      <c r="K107" s="301" t="e">
        <f>IF(VLOOKUP(B107,'Base de Datos'!$E$7:$T$303,11,0),"SI","NO")</f>
        <v>#VALUE!</v>
      </c>
      <c r="L107" s="302" t="e">
        <f t="shared" si="8"/>
        <v>#VALUE!</v>
      </c>
      <c r="M107" s="302">
        <f>VLOOKUP(B107,'Base de Datos'!$E$7:$AC$303,21,0)</f>
        <v>849000</v>
      </c>
      <c r="N107" s="363" t="e">
        <f t="shared" ca="1" si="12"/>
        <v>#REF!</v>
      </c>
      <c r="O107" s="302">
        <f>VLOOKUP(B107,'Base de Datos'!$E$7:$AC$303,22,0)</f>
        <v>0</v>
      </c>
      <c r="P107" s="362" t="str">
        <f t="shared" ca="1" si="9"/>
        <v/>
      </c>
      <c r="Q107" s="375" t="e">
        <f t="shared" ca="1" si="13"/>
        <v>#VALUE!</v>
      </c>
      <c r="R107" s="298" t="str">
        <f>VLOOKUP(B107,'Base de Datos'!E107:AU404,33,0)</f>
        <v>Oficina Asesora de Comunicaciones</v>
      </c>
      <c r="S107" s="301" t="e">
        <f t="shared" ca="1" si="10"/>
        <v>#REF!</v>
      </c>
      <c r="T107" s="298" t="str">
        <f t="shared" si="11"/>
        <v/>
      </c>
      <c r="U107" s="298" t="str">
        <f>VLOOKUP(B107,'Base de Datos'!$E$7:$AU$401,38,0)</f>
        <v>SI</v>
      </c>
    </row>
    <row r="108" spans="1:21" ht="23.25" customHeight="1" thickTop="1" thickBot="1" x14ac:dyDescent="0.35">
      <c r="A108" s="96">
        <v>102</v>
      </c>
      <c r="B108" s="298" t="str">
        <f>+'Base de Datos'!E108</f>
        <v>130154-0-2013</v>
      </c>
      <c r="C108" s="298" t="str">
        <f>+'Base de Datos'!F108</f>
        <v>MUDANZAS LEMUS</v>
      </c>
      <c r="D108" s="299">
        <f>+'Base de Datos'!I108</f>
        <v>15000000</v>
      </c>
      <c r="E108" s="300">
        <f>+'Base de Datos'!M108</f>
        <v>41459</v>
      </c>
      <c r="F108" s="300">
        <f>+'Base de Datos'!N108</f>
        <v>41701</v>
      </c>
      <c r="G108" s="300" t="e">
        <f>+'Base de Datos'!#REF!</f>
        <v>#REF!</v>
      </c>
      <c r="H108" s="299">
        <f>+'Base de Datos'!X108</f>
        <v>15000000</v>
      </c>
      <c r="I108" s="301" t="e">
        <f>IF(VLOOKUP(B108,'Base de Datos'!$E$7:$T$303,11,0),"SI","NO")</f>
        <v>#VALUE!</v>
      </c>
      <c r="J108" s="302" t="e">
        <f t="shared" si="7"/>
        <v>#VALUE!</v>
      </c>
      <c r="K108" s="301" t="e">
        <f>IF(VLOOKUP(B108,'Base de Datos'!$E$7:$T$303,11,0),"SI","NO")</f>
        <v>#VALUE!</v>
      </c>
      <c r="L108" s="302" t="e">
        <f t="shared" si="8"/>
        <v>#VALUE!</v>
      </c>
      <c r="M108" s="302">
        <f>VLOOKUP(B108,'Base de Datos'!$E$7:$AC$303,21,0)</f>
        <v>5368620</v>
      </c>
      <c r="N108" s="363" t="e">
        <f t="shared" ca="1" si="12"/>
        <v>#REF!</v>
      </c>
      <c r="O108" s="302">
        <f>VLOOKUP(B108,'Base de Datos'!$E$7:$AC$303,22,0)</f>
        <v>9631380</v>
      </c>
      <c r="P108" s="362" t="str">
        <f t="shared" ca="1" si="9"/>
        <v/>
      </c>
      <c r="Q108" s="375" t="e">
        <f t="shared" ca="1" si="13"/>
        <v>#VALUE!</v>
      </c>
      <c r="R108" s="298">
        <f>VLOOKUP(B108,'Base de Datos'!E108:AU409,33,0)</f>
        <v>0</v>
      </c>
      <c r="S108" s="301" t="e">
        <f t="shared" ca="1" si="10"/>
        <v>#REF!</v>
      </c>
      <c r="T108" s="298" t="str">
        <f t="shared" si="11"/>
        <v/>
      </c>
      <c r="U108" s="298" t="str">
        <f>VLOOKUP(B108,'Base de Datos'!$E$7:$AU$401,38,0)</f>
        <v>SI</v>
      </c>
    </row>
    <row r="109" spans="1:21" ht="23.25" customHeight="1" thickTop="1" thickBot="1" x14ac:dyDescent="0.35">
      <c r="A109" s="96">
        <v>103</v>
      </c>
      <c r="B109" s="298" t="str">
        <f>+'Base de Datos'!E109</f>
        <v>130156-0-2013</v>
      </c>
      <c r="C109" s="298" t="str">
        <f>+'Base de Datos'!F109</f>
        <v>SOLUTION COPY LTDA</v>
      </c>
      <c r="D109" s="299">
        <f>+'Base de Datos'!I109</f>
        <v>31904847</v>
      </c>
      <c r="E109" s="300">
        <f>+'Base de Datos'!M109</f>
        <v>41426</v>
      </c>
      <c r="F109" s="300">
        <f>+'Base de Datos'!N109</f>
        <v>41729</v>
      </c>
      <c r="G109" s="300" t="e">
        <f>+'Base de Datos'!#REF!</f>
        <v>#REF!</v>
      </c>
      <c r="H109" s="299">
        <f>+'Base de Datos'!X109</f>
        <v>35904847</v>
      </c>
      <c r="I109" s="301" t="e">
        <f>IF(VLOOKUP(B109,'Base de Datos'!$E$7:$T$303,11,0),"SI","NO")</f>
        <v>#VALUE!</v>
      </c>
      <c r="J109" s="302" t="e">
        <f t="shared" si="7"/>
        <v>#VALUE!</v>
      </c>
      <c r="K109" s="301" t="e">
        <f>IF(VLOOKUP(B109,'Base de Datos'!$E$7:$T$303,11,0),"SI","NO")</f>
        <v>#VALUE!</v>
      </c>
      <c r="L109" s="302" t="e">
        <f t="shared" si="8"/>
        <v>#VALUE!</v>
      </c>
      <c r="M109" s="302">
        <f>VLOOKUP(B109,'Base de Datos'!$E$7:$AC$303,21,0)</f>
        <v>35904845</v>
      </c>
      <c r="N109" s="363" t="e">
        <f t="shared" ca="1" si="12"/>
        <v>#REF!</v>
      </c>
      <c r="O109" s="302">
        <f>VLOOKUP(B109,'Base de Datos'!$E$7:$AC$303,22,0)</f>
        <v>2</v>
      </c>
      <c r="P109" s="362" t="str">
        <f t="shared" ca="1" si="9"/>
        <v/>
      </c>
      <c r="Q109" s="375" t="e">
        <f t="shared" ca="1" si="13"/>
        <v>#VALUE!</v>
      </c>
      <c r="R109" s="298" t="str">
        <f>VLOOKUP(B109,'Base de Datos'!E109:AU410,33,0)</f>
        <v>Dirección Administrativa</v>
      </c>
      <c r="S109" s="301" t="e">
        <f t="shared" ca="1" si="10"/>
        <v>#REF!</v>
      </c>
      <c r="T109" s="298" t="str">
        <f t="shared" si="11"/>
        <v/>
      </c>
      <c r="U109" s="298" t="str">
        <f>VLOOKUP(B109,'Base de Datos'!$E$7:$AU$401,38,0)</f>
        <v>SI</v>
      </c>
    </row>
    <row r="110" spans="1:21" ht="23.25" customHeight="1" thickTop="1" thickBot="1" x14ac:dyDescent="0.35">
      <c r="A110" s="96">
        <v>104</v>
      </c>
      <c r="B110" s="298" t="str">
        <f>+'Base de Datos'!E110</f>
        <v>130161-0-2013</v>
      </c>
      <c r="C110" s="298" t="str">
        <f>+'Base de Datos'!F110</f>
        <v>AUGUSTO MEDIVELSO OJEDA</v>
      </c>
      <c r="D110" s="299">
        <f>+'Base de Datos'!I110</f>
        <v>40000000</v>
      </c>
      <c r="E110" s="300">
        <f>+'Base de Datos'!M110</f>
        <v>41416</v>
      </c>
      <c r="F110" s="300">
        <f>+'Base de Datos'!N110</f>
        <v>41660</v>
      </c>
      <c r="G110" s="300" t="e">
        <f>+'Base de Datos'!#REF!</f>
        <v>#REF!</v>
      </c>
      <c r="H110" s="299">
        <f>+'Base de Datos'!X110</f>
        <v>40000000</v>
      </c>
      <c r="I110" s="301" t="e">
        <f>IF(VLOOKUP(B110,'Base de Datos'!$E$7:$T$303,11,0),"SI","NO")</f>
        <v>#VALUE!</v>
      </c>
      <c r="J110" s="302" t="e">
        <f t="shared" si="7"/>
        <v>#VALUE!</v>
      </c>
      <c r="K110" s="301" t="e">
        <f>IF(VLOOKUP(B110,'Base de Datos'!$E$7:$T$303,11,0),"SI","NO")</f>
        <v>#VALUE!</v>
      </c>
      <c r="L110" s="302" t="e">
        <f t="shared" si="8"/>
        <v>#VALUE!</v>
      </c>
      <c r="M110" s="302">
        <f>VLOOKUP(B110,'Base de Datos'!$E$7:$AC$303,21,0)</f>
        <v>16667000</v>
      </c>
      <c r="N110" s="363" t="e">
        <f t="shared" ca="1" si="12"/>
        <v>#REF!</v>
      </c>
      <c r="O110" s="302">
        <f>VLOOKUP(B110,'Base de Datos'!$E$7:$AC$303,22,0)</f>
        <v>23333000</v>
      </c>
      <c r="P110" s="362" t="str">
        <f t="shared" ca="1" si="9"/>
        <v/>
      </c>
      <c r="Q110" s="375" t="e">
        <f t="shared" ca="1" si="13"/>
        <v>#VALUE!</v>
      </c>
      <c r="R110" s="298">
        <f>VLOOKUP(B110,'Base de Datos'!E110:AU421,33,0)</f>
        <v>0</v>
      </c>
      <c r="S110" s="301" t="e">
        <f t="shared" ca="1" si="10"/>
        <v>#REF!</v>
      </c>
      <c r="T110" s="298" t="str">
        <f t="shared" si="11"/>
        <v/>
      </c>
      <c r="U110" s="298" t="str">
        <f>VLOOKUP(B110,'Base de Datos'!$E$7:$AU$401,38,0)</f>
        <v>NO</v>
      </c>
    </row>
    <row r="111" spans="1:21" ht="23.25" customHeight="1" thickTop="1" thickBot="1" x14ac:dyDescent="0.35">
      <c r="A111" s="96">
        <v>105</v>
      </c>
      <c r="B111" s="298" t="str">
        <f>+'Base de Datos'!E111</f>
        <v>130162-0-2013</v>
      </c>
      <c r="C111" s="298" t="str">
        <f>+'Base de Datos'!F111</f>
        <v>SGS COLOMBIA S.A.</v>
      </c>
      <c r="D111" s="299">
        <f>+'Base de Datos'!I111</f>
        <v>4524000</v>
      </c>
      <c r="E111" s="300">
        <f>+'Base de Datos'!M111</f>
        <v>41548</v>
      </c>
      <c r="F111" s="300">
        <f>+'Base de Datos'!N111</f>
        <v>41578</v>
      </c>
      <c r="G111" s="300" t="e">
        <f>+'Base de Datos'!#REF!</f>
        <v>#REF!</v>
      </c>
      <c r="H111" s="299">
        <f>+'Base de Datos'!X111</f>
        <v>4524000</v>
      </c>
      <c r="I111" s="301" t="e">
        <f>IF(VLOOKUP(B111,'Base de Datos'!$E$7:$T$303,11,0),"SI","NO")</f>
        <v>#VALUE!</v>
      </c>
      <c r="J111" s="302" t="e">
        <f t="shared" si="7"/>
        <v>#VALUE!</v>
      </c>
      <c r="K111" s="301" t="e">
        <f>IF(VLOOKUP(B111,'Base de Datos'!$E$7:$T$303,11,0),"SI","NO")</f>
        <v>#VALUE!</v>
      </c>
      <c r="L111" s="302" t="e">
        <f t="shared" si="8"/>
        <v>#VALUE!</v>
      </c>
      <c r="M111" s="302">
        <f>VLOOKUP(B111,'Base de Datos'!$E$7:$AC$303,21,0)</f>
        <v>4524000</v>
      </c>
      <c r="N111" s="363" t="e">
        <f t="shared" ca="1" si="12"/>
        <v>#REF!</v>
      </c>
      <c r="O111" s="302">
        <f>VLOOKUP(B111,'Base de Datos'!$E$7:$AC$303,22,0)</f>
        <v>0</v>
      </c>
      <c r="P111" s="362" t="str">
        <f t="shared" ca="1" si="9"/>
        <v/>
      </c>
      <c r="Q111" s="375" t="e">
        <f t="shared" ca="1" si="13"/>
        <v>#VALUE!</v>
      </c>
      <c r="R111" s="298">
        <f>VLOOKUP(B111,'Base de Datos'!E111:AU422,33,0)</f>
        <v>0</v>
      </c>
      <c r="S111" s="301" t="e">
        <f t="shared" ca="1" si="10"/>
        <v>#REF!</v>
      </c>
      <c r="T111" s="298" t="str">
        <f t="shared" si="11"/>
        <v/>
      </c>
      <c r="U111" s="298" t="str">
        <f>VLOOKUP(B111,'Base de Datos'!$E$7:$AU$401,38,0)</f>
        <v>SI</v>
      </c>
    </row>
    <row r="112" spans="1:21" ht="23.25" customHeight="1" thickTop="1" thickBot="1" x14ac:dyDescent="0.35">
      <c r="A112" s="96">
        <v>106</v>
      </c>
      <c r="B112" s="298" t="str">
        <f>+'Base de Datos'!E112</f>
        <v>130163-0-2013</v>
      </c>
      <c r="C112" s="298" t="str">
        <f>+'Base de Datos'!F112</f>
        <v>KHAANKO NORBERTO RUIZ RODRÍGUEZ</v>
      </c>
      <c r="D112" s="299">
        <f>+'Base de Datos'!I112</f>
        <v>20800000</v>
      </c>
      <c r="E112" s="300">
        <f>+'Base de Datos'!M112</f>
        <v>41421</v>
      </c>
      <c r="F112" s="300">
        <f>+'Base de Datos'!N112</f>
        <v>41665</v>
      </c>
      <c r="G112" s="300" t="e">
        <f>+'Base de Datos'!#REF!</f>
        <v>#REF!</v>
      </c>
      <c r="H112" s="299">
        <f>+'Base de Datos'!X112</f>
        <v>20800000</v>
      </c>
      <c r="I112" s="301" t="e">
        <f>IF(VLOOKUP(B112,'Base de Datos'!$E$7:$T$303,11,0),"SI","NO")</f>
        <v>#VALUE!</v>
      </c>
      <c r="J112" s="302" t="e">
        <f t="shared" si="7"/>
        <v>#VALUE!</v>
      </c>
      <c r="K112" s="301" t="e">
        <f>IF(VLOOKUP(B112,'Base de Datos'!$E$7:$T$303,11,0),"SI","NO")</f>
        <v>#VALUE!</v>
      </c>
      <c r="L112" s="302" t="e">
        <f t="shared" si="8"/>
        <v>#VALUE!</v>
      </c>
      <c r="M112" s="302">
        <f>VLOOKUP(B112,'Base de Datos'!$E$7:$AC$303,21,0)</f>
        <v>20800000</v>
      </c>
      <c r="N112" s="363" t="e">
        <f t="shared" ca="1" si="12"/>
        <v>#REF!</v>
      </c>
      <c r="O112" s="302">
        <f>VLOOKUP(B112,'Base de Datos'!$E$7:$AC$303,22,0)</f>
        <v>0</v>
      </c>
      <c r="P112" s="362" t="str">
        <f t="shared" ca="1" si="9"/>
        <v/>
      </c>
      <c r="Q112" s="375" t="e">
        <f t="shared" ca="1" si="13"/>
        <v>#VALUE!</v>
      </c>
      <c r="R112" s="298" t="str">
        <f>VLOOKUP(B112,'Base de Datos'!E112:AU423,33,0)</f>
        <v>Dirección Administrativa</v>
      </c>
      <c r="S112" s="301" t="e">
        <f t="shared" ca="1" si="10"/>
        <v>#REF!</v>
      </c>
      <c r="T112" s="298" t="str">
        <f t="shared" si="11"/>
        <v/>
      </c>
      <c r="U112" s="298" t="str">
        <f>VLOOKUP(B112,'Base de Datos'!$E$7:$AU$401,38,0)</f>
        <v>NO</v>
      </c>
    </row>
    <row r="113" spans="1:21" ht="23.25" customHeight="1" thickTop="1" thickBot="1" x14ac:dyDescent="0.35">
      <c r="A113" s="96">
        <v>107</v>
      </c>
      <c r="B113" s="298" t="str">
        <f>+'Base de Datos'!E113</f>
        <v>130164-0-2013</v>
      </c>
      <c r="C113" s="298" t="str">
        <f>+'Base de Datos'!F113</f>
        <v>EDELMIRA ATARA GIL</v>
      </c>
      <c r="D113" s="299">
        <f>+'Base de Datos'!I113</f>
        <v>28000000</v>
      </c>
      <c r="E113" s="300">
        <f>+'Base de Datos'!M113</f>
        <v>41423</v>
      </c>
      <c r="F113" s="300">
        <f>+'Base de Datos'!N113</f>
        <v>41667</v>
      </c>
      <c r="G113" s="300" t="e">
        <f>+'Base de Datos'!#REF!</f>
        <v>#REF!</v>
      </c>
      <c r="H113" s="299">
        <f>+'Base de Datos'!X113</f>
        <v>28000000</v>
      </c>
      <c r="I113" s="301" t="e">
        <f>IF(VLOOKUP(B113,'Base de Datos'!$E$7:$T$303,11,0),"SI","NO")</f>
        <v>#VALUE!</v>
      </c>
      <c r="J113" s="302" t="e">
        <f t="shared" si="7"/>
        <v>#VALUE!</v>
      </c>
      <c r="K113" s="301" t="e">
        <f>IF(VLOOKUP(B113,'Base de Datos'!$E$7:$T$303,11,0),"SI","NO")</f>
        <v>#VALUE!</v>
      </c>
      <c r="L113" s="302" t="e">
        <f t="shared" si="8"/>
        <v>#VALUE!</v>
      </c>
      <c r="M113" s="302">
        <f>VLOOKUP(B113,'Base de Datos'!$E$7:$AC$303,21,0)</f>
        <v>28000000</v>
      </c>
      <c r="N113" s="363" t="e">
        <f t="shared" ca="1" si="12"/>
        <v>#REF!</v>
      </c>
      <c r="O113" s="302">
        <f>VLOOKUP(B113,'Base de Datos'!$E$7:$AC$303,22,0)</f>
        <v>0</v>
      </c>
      <c r="P113" s="362" t="str">
        <f t="shared" ca="1" si="9"/>
        <v/>
      </c>
      <c r="Q113" s="375" t="e">
        <f t="shared" ca="1" si="13"/>
        <v>#VALUE!</v>
      </c>
      <c r="R113" s="298">
        <f>VLOOKUP(B113,'Base de Datos'!E113:AU424,33,0)</f>
        <v>0</v>
      </c>
      <c r="S113" s="301" t="e">
        <f t="shared" ca="1" si="10"/>
        <v>#REF!</v>
      </c>
      <c r="T113" s="298" t="str">
        <f t="shared" si="11"/>
        <v/>
      </c>
      <c r="U113" s="298" t="str">
        <f>VLOOKUP(B113,'Base de Datos'!$E$7:$AU$401,38,0)</f>
        <v>NO</v>
      </c>
    </row>
    <row r="114" spans="1:21" ht="23.25" customHeight="1" thickTop="1" thickBot="1" x14ac:dyDescent="0.35">
      <c r="A114" s="96">
        <v>108</v>
      </c>
      <c r="B114" s="298" t="str">
        <f>+'Base de Datos'!E114</f>
        <v>130166-0-2013</v>
      </c>
      <c r="C114" s="298" t="str">
        <f>+'Base de Datos'!F114</f>
        <v>RICOH COLOMBIA S.A.</v>
      </c>
      <c r="D114" s="299">
        <f>+'Base de Datos'!I114</f>
        <v>266580829</v>
      </c>
      <c r="E114" s="300">
        <f>+'Base de Datos'!M114</f>
        <v>41457</v>
      </c>
      <c r="F114" s="300">
        <f>+'Base de Datos'!N114</f>
        <v>41501</v>
      </c>
      <c r="G114" s="300" t="e">
        <f>+'Base de Datos'!#REF!</f>
        <v>#REF!</v>
      </c>
      <c r="H114" s="299">
        <f>+'Base de Datos'!X114</f>
        <v>266580829</v>
      </c>
      <c r="I114" s="301" t="e">
        <f>IF(VLOOKUP(B114,'Base de Datos'!$E$7:$T$303,11,0),"SI","NO")</f>
        <v>#VALUE!</v>
      </c>
      <c r="J114" s="302" t="e">
        <f t="shared" si="7"/>
        <v>#VALUE!</v>
      </c>
      <c r="K114" s="301" t="e">
        <f>IF(VLOOKUP(B114,'Base de Datos'!$E$7:$T$303,11,0),"SI","NO")</f>
        <v>#VALUE!</v>
      </c>
      <c r="L114" s="302" t="e">
        <f t="shared" si="8"/>
        <v>#VALUE!</v>
      </c>
      <c r="M114" s="302">
        <f>VLOOKUP(B114,'Base de Datos'!$E$7:$AC$303,21,0)</f>
        <v>266580829</v>
      </c>
      <c r="N114" s="363" t="e">
        <f t="shared" ca="1" si="12"/>
        <v>#REF!</v>
      </c>
      <c r="O114" s="302">
        <f>VLOOKUP(B114,'Base de Datos'!$E$7:$AC$303,22,0)</f>
        <v>0</v>
      </c>
      <c r="P114" s="362" t="str">
        <f t="shared" ca="1" si="9"/>
        <v/>
      </c>
      <c r="Q114" s="375" t="e">
        <f t="shared" ca="1" si="13"/>
        <v>#VALUE!</v>
      </c>
      <c r="R114" s="298" t="str">
        <f>VLOOKUP(B114,'Base de Datos'!E114:AU425,33,0)</f>
        <v>Dirección Administrativa</v>
      </c>
      <c r="S114" s="301" t="e">
        <f t="shared" ca="1" si="10"/>
        <v>#REF!</v>
      </c>
      <c r="T114" s="298" t="str">
        <f t="shared" si="11"/>
        <v/>
      </c>
      <c r="U114" s="298" t="str">
        <f>VLOOKUP(B114,'Base de Datos'!$E$7:$AU$401,38,0)</f>
        <v>SI</v>
      </c>
    </row>
    <row r="115" spans="1:21" ht="23.25" customHeight="1" thickTop="1" thickBot="1" x14ac:dyDescent="0.35">
      <c r="A115" s="96">
        <v>109</v>
      </c>
      <c r="B115" s="298" t="str">
        <f>+'Base de Datos'!E115</f>
        <v>130186-0-2013</v>
      </c>
      <c r="C115" s="298" t="str">
        <f>+'Base de Datos'!F115</f>
        <v>INVERSIONES MATAY SAS</v>
      </c>
      <c r="D115" s="299">
        <f>+'Base de Datos'!I115</f>
        <v>232000000</v>
      </c>
      <c r="E115" s="300">
        <f>+'Base de Datos'!M115</f>
        <v>41463</v>
      </c>
      <c r="F115" s="300">
        <f>+'Base de Datos'!N115</f>
        <v>41766</v>
      </c>
      <c r="G115" s="300" t="e">
        <f>+'Base de Datos'!#REF!</f>
        <v>#REF!</v>
      </c>
      <c r="H115" s="299">
        <f>+'Base de Datos'!X115</f>
        <v>348897514</v>
      </c>
      <c r="I115" s="301" t="e">
        <f>IF(VLOOKUP(B115,'Base de Datos'!$E$7:$T$303,11,0),"SI","NO")</f>
        <v>#VALUE!</v>
      </c>
      <c r="J115" s="302" t="e">
        <f t="shared" si="7"/>
        <v>#VALUE!</v>
      </c>
      <c r="K115" s="301" t="e">
        <f>IF(VLOOKUP(B115,'Base de Datos'!$E$7:$T$303,11,0),"SI","NO")</f>
        <v>#VALUE!</v>
      </c>
      <c r="L115" s="302" t="e">
        <f t="shared" si="8"/>
        <v>#VALUE!</v>
      </c>
      <c r="M115" s="302">
        <f>VLOOKUP(B115,'Base de Datos'!$E$7:$AC$303,21,0)</f>
        <v>348897514</v>
      </c>
      <c r="N115" s="363" t="e">
        <f t="shared" ca="1" si="12"/>
        <v>#REF!</v>
      </c>
      <c r="O115" s="302">
        <f>VLOOKUP(B115,'Base de Datos'!$E$7:$AC$303,22,0)</f>
        <v>0</v>
      </c>
      <c r="P115" s="362" t="str">
        <f t="shared" ca="1" si="9"/>
        <v/>
      </c>
      <c r="Q115" s="375" t="e">
        <f t="shared" ca="1" si="13"/>
        <v>#VALUE!</v>
      </c>
      <c r="R115" s="298" t="str">
        <f>VLOOKUP(B115,'Base de Datos'!E115:AU426,33,0)</f>
        <v>Dirección Administrativa</v>
      </c>
      <c r="S115" s="301" t="e">
        <f t="shared" ca="1" si="10"/>
        <v>#REF!</v>
      </c>
      <c r="T115" s="298" t="str">
        <f t="shared" si="11"/>
        <v/>
      </c>
      <c r="U115" s="298" t="str">
        <f>VLOOKUP(B115,'Base de Datos'!$E$7:$AU$401,38,0)</f>
        <v>SI</v>
      </c>
    </row>
    <row r="116" spans="1:21" ht="23.25" customHeight="1" thickTop="1" thickBot="1" x14ac:dyDescent="0.35">
      <c r="A116" s="96">
        <v>110</v>
      </c>
      <c r="B116" s="298" t="str">
        <f>+'Base de Datos'!E116</f>
        <v>130190-0-2013</v>
      </c>
      <c r="C116" s="298" t="str">
        <f>+'Base de Datos'!F116</f>
        <v>CR TROFEOS LTDA</v>
      </c>
      <c r="D116" s="299">
        <f>+'Base de Datos'!I116</f>
        <v>23246000</v>
      </c>
      <c r="E116" s="300">
        <f>+'Base de Datos'!M116</f>
        <v>41463</v>
      </c>
      <c r="F116" s="300">
        <f>+'Base de Datos'!N116</f>
        <v>41646</v>
      </c>
      <c r="G116" s="300" t="e">
        <f>+'Base de Datos'!#REF!</f>
        <v>#REF!</v>
      </c>
      <c r="H116" s="299">
        <f>+'Base de Datos'!X116</f>
        <v>23246000</v>
      </c>
      <c r="I116" s="301" t="e">
        <f>IF(VLOOKUP(B116,'Base de Datos'!$E$7:$T$303,11,0),"SI","NO")</f>
        <v>#VALUE!</v>
      </c>
      <c r="J116" s="302" t="e">
        <f t="shared" si="7"/>
        <v>#VALUE!</v>
      </c>
      <c r="K116" s="301" t="e">
        <f>IF(VLOOKUP(B116,'Base de Datos'!$E$7:$T$303,11,0),"SI","NO")</f>
        <v>#VALUE!</v>
      </c>
      <c r="L116" s="302" t="e">
        <f t="shared" si="8"/>
        <v>#VALUE!</v>
      </c>
      <c r="M116" s="302">
        <f>VLOOKUP(B116,'Base de Datos'!$E$7:$AC$303,21,0)</f>
        <v>19772977</v>
      </c>
      <c r="N116" s="363" t="e">
        <f t="shared" ca="1" si="12"/>
        <v>#REF!</v>
      </c>
      <c r="O116" s="302">
        <f>VLOOKUP(B116,'Base de Datos'!$E$7:$AC$303,22,0)</f>
        <v>3473023</v>
      </c>
      <c r="P116" s="362" t="str">
        <f t="shared" ca="1" si="9"/>
        <v/>
      </c>
      <c r="Q116" s="375" t="e">
        <f t="shared" ca="1" si="13"/>
        <v>#VALUE!</v>
      </c>
      <c r="R116" s="298">
        <f>VLOOKUP(B116,'Base de Datos'!E116:AU427,33,0)</f>
        <v>0</v>
      </c>
      <c r="S116" s="301" t="e">
        <f t="shared" ca="1" si="10"/>
        <v>#REF!</v>
      </c>
      <c r="T116" s="298" t="str">
        <f t="shared" si="11"/>
        <v/>
      </c>
      <c r="U116" s="298" t="str">
        <f>VLOOKUP(B116,'Base de Datos'!$E$7:$AU$401,38,0)</f>
        <v>SI</v>
      </c>
    </row>
    <row r="117" spans="1:21" ht="23.25" customHeight="1" thickTop="1" thickBot="1" x14ac:dyDescent="0.35">
      <c r="A117" s="96">
        <v>111</v>
      </c>
      <c r="B117" s="298" t="str">
        <f>+'Base de Datos'!E117</f>
        <v>130194-0-2013</v>
      </c>
      <c r="C117" s="298" t="str">
        <f>+'Base de Datos'!F117</f>
        <v xml:space="preserve">UNIÓN TEMPORAL EMINSER-SOLOASEO </v>
      </c>
      <c r="D117" s="299">
        <f>+'Base de Datos'!I117</f>
        <v>301200000</v>
      </c>
      <c r="E117" s="300">
        <f>+'Base de Datos'!M117</f>
        <v>41446</v>
      </c>
      <c r="F117" s="300">
        <f>+'Base de Datos'!N117</f>
        <v>41718</v>
      </c>
      <c r="G117" s="300" t="e">
        <f>+'Base de Datos'!#REF!</f>
        <v>#REF!</v>
      </c>
      <c r="H117" s="299">
        <f>+'Base de Datos'!X117</f>
        <v>321573359</v>
      </c>
      <c r="I117" s="301" t="e">
        <f>IF(VLOOKUP(B117,'Base de Datos'!$E$7:$T$303,11,0),"SI","NO")</f>
        <v>#VALUE!</v>
      </c>
      <c r="J117" s="302" t="e">
        <f t="shared" si="7"/>
        <v>#VALUE!</v>
      </c>
      <c r="K117" s="301" t="e">
        <f>IF(VLOOKUP(B117,'Base de Datos'!$E$7:$T$303,11,0),"SI","NO")</f>
        <v>#VALUE!</v>
      </c>
      <c r="L117" s="302" t="e">
        <f t="shared" si="8"/>
        <v>#VALUE!</v>
      </c>
      <c r="M117" s="302">
        <f>VLOOKUP(B117,'Base de Datos'!$E$7:$AC$303,21,0)</f>
        <v>317232018</v>
      </c>
      <c r="N117" s="363" t="e">
        <f t="shared" ca="1" si="12"/>
        <v>#REF!</v>
      </c>
      <c r="O117" s="302">
        <f>VLOOKUP(B117,'Base de Datos'!$E$7:$AC$303,22,0)</f>
        <v>4341341</v>
      </c>
      <c r="P117" s="362" t="str">
        <f t="shared" ca="1" si="9"/>
        <v/>
      </c>
      <c r="Q117" s="375" t="e">
        <f t="shared" ca="1" si="13"/>
        <v>#VALUE!</v>
      </c>
      <c r="R117" s="298" t="str">
        <f>VLOOKUP(B117,'Base de Datos'!E117:AU428,33,0)</f>
        <v>Dirección Administrativa</v>
      </c>
      <c r="S117" s="301" t="e">
        <f t="shared" ca="1" si="10"/>
        <v>#REF!</v>
      </c>
      <c r="T117" s="298" t="str">
        <f t="shared" si="11"/>
        <v/>
      </c>
      <c r="U117" s="298" t="str">
        <f>VLOOKUP(B117,'Base de Datos'!$E$7:$AU$401,38,0)</f>
        <v>SI</v>
      </c>
    </row>
    <row r="118" spans="1:21" ht="23.25" customHeight="1" thickTop="1" thickBot="1" x14ac:dyDescent="0.35">
      <c r="A118" s="96">
        <v>112</v>
      </c>
      <c r="B118" s="298" t="str">
        <f>+'Base de Datos'!E118</f>
        <v>130196-0-2013</v>
      </c>
      <c r="C118" s="298" t="str">
        <f>+'Base de Datos'!F118</f>
        <v>CARLOS ALFONSO RESTREPO</v>
      </c>
      <c r="D118" s="299">
        <f>+'Base de Datos'!I118</f>
        <v>15797970</v>
      </c>
      <c r="E118" s="300">
        <f>+'Base de Datos'!M118</f>
        <v>41464</v>
      </c>
      <c r="F118" s="300">
        <f>+'Base de Datos'!N118</f>
        <v>41737</v>
      </c>
      <c r="G118" s="300" t="e">
        <f>+'Base de Datos'!#REF!</f>
        <v>#REF!</v>
      </c>
      <c r="H118" s="299">
        <f>+'Base de Datos'!X118</f>
        <v>22292691</v>
      </c>
      <c r="I118" s="301" t="e">
        <f>IF(VLOOKUP(B118,'Base de Datos'!$E$7:$T$303,11,0),"SI","NO")</f>
        <v>#VALUE!</v>
      </c>
      <c r="J118" s="302" t="e">
        <f t="shared" si="7"/>
        <v>#VALUE!</v>
      </c>
      <c r="K118" s="301" t="e">
        <f>IF(VLOOKUP(B118,'Base de Datos'!$E$7:$T$303,11,0),"SI","NO")</f>
        <v>#VALUE!</v>
      </c>
      <c r="L118" s="302" t="e">
        <f t="shared" si="8"/>
        <v>#VALUE!</v>
      </c>
      <c r="M118" s="302">
        <f>VLOOKUP(B118,'Base de Datos'!$E$7:$AC$303,21,0)</f>
        <v>22292691</v>
      </c>
      <c r="N118" s="363" t="e">
        <f t="shared" ca="1" si="12"/>
        <v>#REF!</v>
      </c>
      <c r="O118" s="302">
        <f>VLOOKUP(B118,'Base de Datos'!$E$7:$AC$303,22,0)</f>
        <v>0</v>
      </c>
      <c r="P118" s="362" t="str">
        <f t="shared" ca="1" si="9"/>
        <v/>
      </c>
      <c r="Q118" s="375" t="e">
        <f t="shared" ca="1" si="13"/>
        <v>#VALUE!</v>
      </c>
      <c r="R118" s="298">
        <f>VLOOKUP(B118,'Base de Datos'!E118:AU429,33,0)</f>
        <v>0</v>
      </c>
      <c r="S118" s="301" t="e">
        <f t="shared" ca="1" si="10"/>
        <v>#REF!</v>
      </c>
      <c r="T118" s="298" t="str">
        <f t="shared" si="11"/>
        <v/>
      </c>
      <c r="U118" s="298" t="str">
        <f>VLOOKUP(B118,'Base de Datos'!$E$7:$AU$401,38,0)</f>
        <v>SI</v>
      </c>
    </row>
    <row r="119" spans="1:21" ht="23.25" customHeight="1" thickTop="1" thickBot="1" x14ac:dyDescent="0.35">
      <c r="A119" s="96">
        <v>113</v>
      </c>
      <c r="B119" s="298" t="str">
        <f>+'Base de Datos'!E119</f>
        <v>130198-0-2013</v>
      </c>
      <c r="C119" s="298" t="str">
        <f>+'Base de Datos'!F119</f>
        <v>EDGAR EULICES GONZÁLEZ</v>
      </c>
      <c r="D119" s="299">
        <f>+'Base de Datos'!I119</f>
        <v>23989000</v>
      </c>
      <c r="E119" s="300">
        <f>+'Base de Datos'!M119</f>
        <v>41457</v>
      </c>
      <c r="F119" s="300">
        <f>+'Base de Datos'!N119</f>
        <v>41671</v>
      </c>
      <c r="G119" s="300" t="e">
        <f>+'Base de Datos'!#REF!</f>
        <v>#REF!</v>
      </c>
      <c r="H119" s="299">
        <f>+'Base de Datos'!X119</f>
        <v>23989000</v>
      </c>
      <c r="I119" s="301" t="e">
        <f>IF(VLOOKUP(B119,'Base de Datos'!$E$7:$T$303,11,0),"SI","NO")</f>
        <v>#VALUE!</v>
      </c>
      <c r="J119" s="302" t="e">
        <f t="shared" si="7"/>
        <v>#VALUE!</v>
      </c>
      <c r="K119" s="301" t="e">
        <f>IF(VLOOKUP(B119,'Base de Datos'!$E$7:$T$303,11,0),"SI","NO")</f>
        <v>#VALUE!</v>
      </c>
      <c r="L119" s="302" t="e">
        <f t="shared" si="8"/>
        <v>#VALUE!</v>
      </c>
      <c r="M119" s="302">
        <f>VLOOKUP(B119,'Base de Datos'!$E$7:$AC$303,21,0)</f>
        <v>23989000</v>
      </c>
      <c r="N119" s="363" t="e">
        <f t="shared" ca="1" si="12"/>
        <v>#REF!</v>
      </c>
      <c r="O119" s="302">
        <f>VLOOKUP(B119,'Base de Datos'!$E$7:$AC$303,22,0)</f>
        <v>0</v>
      </c>
      <c r="P119" s="362" t="str">
        <f t="shared" ca="1" si="9"/>
        <v/>
      </c>
      <c r="Q119" s="375" t="e">
        <f t="shared" ca="1" si="13"/>
        <v>#VALUE!</v>
      </c>
      <c r="R119" s="298" t="str">
        <f>VLOOKUP(B119,'Base de Datos'!E119:AU430,33,0)</f>
        <v>Dirección Financiera</v>
      </c>
      <c r="S119" s="301" t="e">
        <f t="shared" ca="1" si="10"/>
        <v>#REF!</v>
      </c>
      <c r="T119" s="298" t="str">
        <f t="shared" si="11"/>
        <v/>
      </c>
      <c r="U119" s="298" t="str">
        <f>VLOOKUP(B119,'Base de Datos'!$E$7:$AU$401,38,0)</f>
        <v>NO</v>
      </c>
    </row>
    <row r="120" spans="1:21" ht="23.25" customHeight="1" thickTop="1" thickBot="1" x14ac:dyDescent="0.35">
      <c r="A120" s="96">
        <v>114</v>
      </c>
      <c r="B120" s="298" t="str">
        <f>+'Base de Datos'!E120</f>
        <v>130200-0-2013</v>
      </c>
      <c r="C120" s="298" t="str">
        <f>+'Base de Datos'!F120</f>
        <v>HERNANDO  BULLA ORJUELA</v>
      </c>
      <c r="D120" s="299">
        <f>+'Base de Datos'!I120</f>
        <v>13576000</v>
      </c>
      <c r="E120" s="300">
        <f>+'Base de Datos'!M120</f>
        <v>41470</v>
      </c>
      <c r="F120" s="300">
        <f>+'Base de Datos'!N120</f>
        <v>41712</v>
      </c>
      <c r="G120" s="300" t="e">
        <f>+'Base de Datos'!#REF!</f>
        <v>#REF!</v>
      </c>
      <c r="H120" s="299">
        <f>+'Base de Datos'!X120</f>
        <v>19576000</v>
      </c>
      <c r="I120" s="301" t="e">
        <f>IF(VLOOKUP(B120,'Base de Datos'!$E$7:$T$303,11,0),"SI","NO")</f>
        <v>#VALUE!</v>
      </c>
      <c r="J120" s="302" t="e">
        <f t="shared" si="7"/>
        <v>#VALUE!</v>
      </c>
      <c r="K120" s="301" t="e">
        <f>IF(VLOOKUP(B120,'Base de Datos'!$E$7:$T$303,11,0),"SI","NO")</f>
        <v>#VALUE!</v>
      </c>
      <c r="L120" s="302" t="e">
        <f t="shared" si="8"/>
        <v>#VALUE!</v>
      </c>
      <c r="M120" s="302">
        <f>VLOOKUP(B120,'Base de Datos'!$E$7:$AC$303,21,0)</f>
        <v>19571370</v>
      </c>
      <c r="N120" s="363" t="e">
        <f t="shared" ca="1" si="12"/>
        <v>#REF!</v>
      </c>
      <c r="O120" s="302">
        <f>VLOOKUP(B120,'Base de Datos'!$E$7:$AC$303,22,0)</f>
        <v>4630</v>
      </c>
      <c r="P120" s="362" t="str">
        <f t="shared" ca="1" si="9"/>
        <v/>
      </c>
      <c r="Q120" s="375" t="e">
        <f t="shared" ca="1" si="13"/>
        <v>#VALUE!</v>
      </c>
      <c r="R120" s="298" t="str">
        <f>VLOOKUP(B120,'Base de Datos'!E120:AU431,33,0)</f>
        <v>Dirección Administrativa</v>
      </c>
      <c r="S120" s="301" t="e">
        <f t="shared" ca="1" si="10"/>
        <v>#REF!</v>
      </c>
      <c r="T120" s="298" t="str">
        <f t="shared" si="11"/>
        <v/>
      </c>
      <c r="U120" s="298" t="str">
        <f>VLOOKUP(B120,'Base de Datos'!$E$7:$AU$401,38,0)</f>
        <v>SI</v>
      </c>
    </row>
    <row r="121" spans="1:21" ht="23.25" customHeight="1" thickTop="1" thickBot="1" x14ac:dyDescent="0.35">
      <c r="A121" s="96">
        <v>115</v>
      </c>
      <c r="B121" s="298" t="str">
        <f>+'Base de Datos'!E121</f>
        <v>130202-0-2013</v>
      </c>
      <c r="C121" s="298" t="str">
        <f>+'Base de Datos'!F121</f>
        <v>INGTEL LTDA</v>
      </c>
      <c r="D121" s="299">
        <f>+'Base de Datos'!I121</f>
        <v>6499930</v>
      </c>
      <c r="E121" s="300">
        <f>+'Base de Datos'!M121</f>
        <v>41471</v>
      </c>
      <c r="F121" s="300">
        <f>+'Base de Datos'!N121</f>
        <v>41562</v>
      </c>
      <c r="G121" s="300" t="e">
        <f>+'Base de Datos'!#REF!</f>
        <v>#REF!</v>
      </c>
      <c r="H121" s="299">
        <f>+'Base de Datos'!X121</f>
        <v>6499930</v>
      </c>
      <c r="I121" s="301" t="e">
        <f>IF(VLOOKUP(B121,'Base de Datos'!$E$7:$T$303,11,0),"SI","NO")</f>
        <v>#VALUE!</v>
      </c>
      <c r="J121" s="302" t="e">
        <f t="shared" si="7"/>
        <v>#VALUE!</v>
      </c>
      <c r="K121" s="301" t="e">
        <f>IF(VLOOKUP(B121,'Base de Datos'!$E$7:$T$303,11,0),"SI","NO")</f>
        <v>#VALUE!</v>
      </c>
      <c r="L121" s="302" t="e">
        <f t="shared" si="8"/>
        <v>#VALUE!</v>
      </c>
      <c r="M121" s="302">
        <f>VLOOKUP(B121,'Base de Datos'!$E$7:$AC$303,21,0)</f>
        <v>6499930</v>
      </c>
      <c r="N121" s="363" t="e">
        <f t="shared" ca="1" si="12"/>
        <v>#REF!</v>
      </c>
      <c r="O121" s="302">
        <f>VLOOKUP(B121,'Base de Datos'!$E$7:$AC$303,22,0)</f>
        <v>0</v>
      </c>
      <c r="P121" s="362" t="str">
        <f t="shared" ca="1" si="9"/>
        <v/>
      </c>
      <c r="Q121" s="375" t="e">
        <f t="shared" ca="1" si="13"/>
        <v>#VALUE!</v>
      </c>
      <c r="R121" s="298">
        <f>VLOOKUP(B121,'Base de Datos'!E121:AU432,33,0)</f>
        <v>0</v>
      </c>
      <c r="S121" s="301" t="e">
        <f t="shared" ca="1" si="10"/>
        <v>#REF!</v>
      </c>
      <c r="T121" s="298" t="str">
        <f t="shared" si="11"/>
        <v/>
      </c>
      <c r="U121" s="298" t="str">
        <f>VLOOKUP(B121,'Base de Datos'!$E$7:$AU$401,38,0)</f>
        <v>NO</v>
      </c>
    </row>
    <row r="122" spans="1:21" ht="23.25" customHeight="1" thickTop="1" thickBot="1" x14ac:dyDescent="0.35">
      <c r="A122" s="96">
        <v>116</v>
      </c>
      <c r="B122" s="298" t="str">
        <f>+'Base de Datos'!E122</f>
        <v>130204-0-2013</v>
      </c>
      <c r="C122" s="298" t="str">
        <f>+'Base de Datos'!F122</f>
        <v>DESCONT S.A.</v>
      </c>
      <c r="D122" s="299">
        <f>+'Base de Datos'!I122</f>
        <v>2367000</v>
      </c>
      <c r="E122" s="300">
        <f>+'Base de Datos'!M122</f>
        <v>41472</v>
      </c>
      <c r="F122" s="300">
        <f>+'Base de Datos'!N122</f>
        <v>41533</v>
      </c>
      <c r="G122" s="300" t="e">
        <f>+'Base de Datos'!#REF!</f>
        <v>#REF!</v>
      </c>
      <c r="H122" s="299">
        <f>+'Base de Datos'!X122</f>
        <v>2367000</v>
      </c>
      <c r="I122" s="301" t="e">
        <f>IF(VLOOKUP(B122,'Base de Datos'!$E$7:$T$303,11,0),"SI","NO")</f>
        <v>#VALUE!</v>
      </c>
      <c r="J122" s="302" t="e">
        <f t="shared" si="7"/>
        <v>#VALUE!</v>
      </c>
      <c r="K122" s="301" t="e">
        <f>IF(VLOOKUP(B122,'Base de Datos'!$E$7:$T$303,11,0),"SI","NO")</f>
        <v>#VALUE!</v>
      </c>
      <c r="L122" s="302" t="e">
        <f t="shared" si="8"/>
        <v>#VALUE!</v>
      </c>
      <c r="M122" s="302">
        <f>VLOOKUP(B122,'Base de Datos'!$E$7:$AC$303,21,0)</f>
        <v>2367000</v>
      </c>
      <c r="N122" s="363" t="e">
        <f t="shared" ca="1" si="12"/>
        <v>#REF!</v>
      </c>
      <c r="O122" s="302">
        <f>VLOOKUP(B122,'Base de Datos'!$E$7:$AC$303,22,0)</f>
        <v>0</v>
      </c>
      <c r="P122" s="362" t="str">
        <f t="shared" ca="1" si="9"/>
        <v/>
      </c>
      <c r="Q122" s="375" t="e">
        <f t="shared" ca="1" si="13"/>
        <v>#VALUE!</v>
      </c>
      <c r="R122" s="298">
        <f>VLOOKUP(B122,'Base de Datos'!E122:AU433,33,0)</f>
        <v>0</v>
      </c>
      <c r="S122" s="301" t="e">
        <f t="shared" ca="1" si="10"/>
        <v>#REF!</v>
      </c>
      <c r="T122" s="298" t="str">
        <f t="shared" si="11"/>
        <v/>
      </c>
      <c r="U122" s="298" t="str">
        <f>VLOOKUP(B122,'Base de Datos'!$E$7:$AU$401,38,0)</f>
        <v>SI</v>
      </c>
    </row>
    <row r="123" spans="1:21" ht="23.25" customHeight="1" thickTop="1" thickBot="1" x14ac:dyDescent="0.35">
      <c r="A123" s="96">
        <v>117</v>
      </c>
      <c r="B123" s="298" t="str">
        <f>+'Base de Datos'!E123</f>
        <v>130207-0-2013</v>
      </c>
      <c r="C123" s="298" t="str">
        <f>+'Base de Datos'!F123</f>
        <v>CONSORCIO CJ</v>
      </c>
      <c r="D123" s="299">
        <f>+'Base de Datos'!I123</f>
        <v>269441460</v>
      </c>
      <c r="E123" s="300">
        <f>+'Base de Datos'!M123</f>
        <v>41464</v>
      </c>
      <c r="F123" s="300">
        <f>+'Base de Datos'!N123</f>
        <v>41706</v>
      </c>
      <c r="G123" s="300" t="e">
        <f>+'Base de Datos'!#REF!</f>
        <v>#REF!</v>
      </c>
      <c r="H123" s="299">
        <f>+'Base de Datos'!X123</f>
        <v>269441460</v>
      </c>
      <c r="I123" s="301" t="e">
        <f>IF(VLOOKUP(B123,'Base de Datos'!$E$7:$T$303,11,0),"SI","NO")</f>
        <v>#VALUE!</v>
      </c>
      <c r="J123" s="302" t="e">
        <f t="shared" si="7"/>
        <v>#VALUE!</v>
      </c>
      <c r="K123" s="301" t="e">
        <f>IF(VLOOKUP(B123,'Base de Datos'!$E$7:$T$303,11,0),"SI","NO")</f>
        <v>#VALUE!</v>
      </c>
      <c r="L123" s="302" t="e">
        <f t="shared" si="8"/>
        <v>#VALUE!</v>
      </c>
      <c r="M123" s="302">
        <f>VLOOKUP(B123,'Base de Datos'!$E$7:$AC$303,21,0)</f>
        <v>265223666</v>
      </c>
      <c r="N123" s="363" t="e">
        <f t="shared" ca="1" si="12"/>
        <v>#REF!</v>
      </c>
      <c r="O123" s="302">
        <f>VLOOKUP(B123,'Base de Datos'!$E$7:$AC$303,22,0)</f>
        <v>4217794</v>
      </c>
      <c r="P123" s="362" t="str">
        <f t="shared" ca="1" si="9"/>
        <v/>
      </c>
      <c r="Q123" s="375" t="e">
        <f t="shared" ca="1" si="13"/>
        <v>#VALUE!</v>
      </c>
      <c r="R123" s="298">
        <f>VLOOKUP(B123,'Base de Datos'!E123:AU434,33,0)</f>
        <v>0</v>
      </c>
      <c r="S123" s="301" t="e">
        <f t="shared" ca="1" si="10"/>
        <v>#REF!</v>
      </c>
      <c r="T123" s="298" t="str">
        <f t="shared" si="11"/>
        <v/>
      </c>
      <c r="U123" s="298" t="str">
        <f>VLOOKUP(B123,'Base de Datos'!$E$7:$AU$401,38,0)</f>
        <v>SI</v>
      </c>
    </row>
    <row r="124" spans="1:21" ht="23.25" customHeight="1" thickTop="1" thickBot="1" x14ac:dyDescent="0.35">
      <c r="A124" s="96">
        <v>118</v>
      </c>
      <c r="B124" s="298" t="str">
        <f>+'Base de Datos'!E124</f>
        <v>130209-0-2013</v>
      </c>
      <c r="C124" s="298" t="str">
        <f>+'Base de Datos'!F124</f>
        <v>EDITORIAL LA UNIDAD</v>
      </c>
      <c r="D124" s="299">
        <f>+'Base de Datos'!I124</f>
        <v>840000</v>
      </c>
      <c r="E124" s="300">
        <f>+'Base de Datos'!M124</f>
        <v>41531</v>
      </c>
      <c r="F124" s="300">
        <f>+'Base de Datos'!N124</f>
        <v>41895</v>
      </c>
      <c r="G124" s="300" t="e">
        <f>+'Base de Datos'!#REF!</f>
        <v>#REF!</v>
      </c>
      <c r="H124" s="299">
        <f>+'Base de Datos'!X124</f>
        <v>840000</v>
      </c>
      <c r="I124" s="301" t="e">
        <f>IF(VLOOKUP(B124,'Base de Datos'!$E$7:$T$303,11,0),"SI","NO")</f>
        <v>#VALUE!</v>
      </c>
      <c r="J124" s="302" t="e">
        <f t="shared" si="7"/>
        <v>#VALUE!</v>
      </c>
      <c r="K124" s="301" t="e">
        <f>IF(VLOOKUP(B124,'Base de Datos'!$E$7:$T$303,11,0),"SI","NO")</f>
        <v>#VALUE!</v>
      </c>
      <c r="L124" s="302" t="e">
        <f t="shared" si="8"/>
        <v>#VALUE!</v>
      </c>
      <c r="M124" s="302">
        <f>VLOOKUP(B124,'Base de Datos'!$E$7:$AC$303,21,0)</f>
        <v>840000</v>
      </c>
      <c r="N124" s="363" t="e">
        <f t="shared" ca="1" si="12"/>
        <v>#REF!</v>
      </c>
      <c r="O124" s="302">
        <f>VLOOKUP(B124,'Base de Datos'!$E$7:$AC$303,22,0)</f>
        <v>0</v>
      </c>
      <c r="P124" s="362" t="str">
        <f t="shared" ca="1" si="9"/>
        <v/>
      </c>
      <c r="Q124" s="375" t="e">
        <f t="shared" ca="1" si="13"/>
        <v>#VALUE!</v>
      </c>
      <c r="R124" s="298">
        <f>VLOOKUP(B124,'Base de Datos'!E124:AU435,33,0)</f>
        <v>0</v>
      </c>
      <c r="S124" s="301" t="e">
        <f t="shared" ca="1" si="10"/>
        <v>#REF!</v>
      </c>
      <c r="T124" s="298" t="str">
        <f t="shared" si="11"/>
        <v/>
      </c>
      <c r="U124" s="298" t="str">
        <f>VLOOKUP(B124,'Base de Datos'!$E$7:$AU$401,38,0)</f>
        <v>SI</v>
      </c>
    </row>
    <row r="125" spans="1:21" ht="23.25" customHeight="1" thickTop="1" thickBot="1" x14ac:dyDescent="0.35">
      <c r="A125" s="96">
        <v>119</v>
      </c>
      <c r="B125" s="298" t="str">
        <f>+'Base de Datos'!E125</f>
        <v>130211-0-2013</v>
      </c>
      <c r="C125" s="298" t="str">
        <f>+'Base de Datos'!F125</f>
        <v>MIGUEL ANDRÉS GUTIÉRREZ ROMERO</v>
      </c>
      <c r="D125" s="299">
        <f>+'Base de Datos'!I125</f>
        <v>38271000</v>
      </c>
      <c r="E125" s="300">
        <f>+'Base de Datos'!M125</f>
        <v>41472</v>
      </c>
      <c r="F125" s="300">
        <f>+'Base de Datos'!N125</f>
        <v>41686</v>
      </c>
      <c r="G125" s="300" t="e">
        <f>+'Base de Datos'!#REF!</f>
        <v>#REF!</v>
      </c>
      <c r="H125" s="299">
        <f>+'Base de Datos'!X125</f>
        <v>38271000</v>
      </c>
      <c r="I125" s="301" t="e">
        <f>IF(VLOOKUP(B125,'Base de Datos'!$E$7:$T$303,11,0),"SI","NO")</f>
        <v>#VALUE!</v>
      </c>
      <c r="J125" s="302" t="e">
        <f t="shared" si="7"/>
        <v>#VALUE!</v>
      </c>
      <c r="K125" s="301" t="e">
        <f>IF(VLOOKUP(B125,'Base de Datos'!$E$7:$T$303,11,0),"SI","NO")</f>
        <v>#VALUE!</v>
      </c>
      <c r="L125" s="302" t="e">
        <f t="shared" si="8"/>
        <v>#VALUE!</v>
      </c>
      <c r="M125" s="302">
        <f>VLOOKUP(B125,'Base de Datos'!$E$7:$AC$303,21,0)</f>
        <v>38271000</v>
      </c>
      <c r="N125" s="363" t="e">
        <f t="shared" ca="1" si="12"/>
        <v>#REF!</v>
      </c>
      <c r="O125" s="302">
        <f>VLOOKUP(B125,'Base de Datos'!$E$7:$AC$303,22,0)</f>
        <v>0</v>
      </c>
      <c r="P125" s="362" t="str">
        <f t="shared" ca="1" si="9"/>
        <v/>
      </c>
      <c r="Q125" s="375" t="e">
        <f t="shared" ca="1" si="13"/>
        <v>#VALUE!</v>
      </c>
      <c r="R125" s="298" t="str">
        <f>VLOOKUP(B125,'Base de Datos'!E125:AU436,33,0)</f>
        <v>Dirección Administrativa</v>
      </c>
      <c r="S125" s="301" t="e">
        <f t="shared" ca="1" si="10"/>
        <v>#REF!</v>
      </c>
      <c r="T125" s="298" t="str">
        <f t="shared" si="11"/>
        <v/>
      </c>
      <c r="U125" s="298" t="str">
        <f>VLOOKUP(B125,'Base de Datos'!$E$7:$AU$401,38,0)</f>
        <v>SI</v>
      </c>
    </row>
    <row r="126" spans="1:21" ht="23.25" customHeight="1" thickTop="1" thickBot="1" x14ac:dyDescent="0.35">
      <c r="A126" s="96">
        <v>120</v>
      </c>
      <c r="B126" s="298" t="str">
        <f>+'Base de Datos'!E126</f>
        <v>130214-0-2013</v>
      </c>
      <c r="C126" s="298" t="str">
        <f>+'Base de Datos'!F126</f>
        <v>SEGUROS GENERALES SURAMERICANA S.A</v>
      </c>
      <c r="D126" s="299">
        <f>+'Base de Datos'!I126</f>
        <v>4001000</v>
      </c>
      <c r="E126" s="300">
        <f>+'Base de Datos'!M126</f>
        <v>41472</v>
      </c>
      <c r="F126" s="300">
        <f>+'Base de Datos'!N126</f>
        <v>42082</v>
      </c>
      <c r="G126" s="300" t="e">
        <f>+'Base de Datos'!#REF!</f>
        <v>#REF!</v>
      </c>
      <c r="H126" s="299">
        <f>+'Base de Datos'!X126</f>
        <v>4001000</v>
      </c>
      <c r="I126" s="301" t="e">
        <f>IF(VLOOKUP(B126,'Base de Datos'!$E$7:$T$303,11,0),"SI","NO")</f>
        <v>#VALUE!</v>
      </c>
      <c r="J126" s="302" t="e">
        <f t="shared" si="7"/>
        <v>#VALUE!</v>
      </c>
      <c r="K126" s="301" t="e">
        <f>IF(VLOOKUP(B126,'Base de Datos'!$E$7:$T$303,11,0),"SI","NO")</f>
        <v>#VALUE!</v>
      </c>
      <c r="L126" s="302" t="e">
        <f t="shared" si="8"/>
        <v>#VALUE!</v>
      </c>
      <c r="M126" s="302">
        <f>VLOOKUP(B126,'Base de Datos'!$E$7:$AC$303,21,0)</f>
        <v>4001000</v>
      </c>
      <c r="N126" s="363" t="e">
        <f t="shared" ca="1" si="12"/>
        <v>#REF!</v>
      </c>
      <c r="O126" s="302">
        <f>VLOOKUP(B126,'Base de Datos'!$E$7:$AC$303,22,0)</f>
        <v>0</v>
      </c>
      <c r="P126" s="362" t="str">
        <f t="shared" ca="1" si="9"/>
        <v/>
      </c>
      <c r="Q126" s="375" t="e">
        <f t="shared" ca="1" si="13"/>
        <v>#VALUE!</v>
      </c>
      <c r="R126" s="298" t="str">
        <f>VLOOKUP(B126,'Base de Datos'!E126:AU437,33,0)</f>
        <v>Dirección Financiera</v>
      </c>
      <c r="S126" s="301" t="e">
        <f t="shared" ca="1" si="10"/>
        <v>#REF!</v>
      </c>
      <c r="T126" s="298" t="str">
        <f t="shared" si="11"/>
        <v/>
      </c>
      <c r="U126" s="298" t="str">
        <f>VLOOKUP(B126,'Base de Datos'!$E$7:$AU$401,38,0)</f>
        <v>SI</v>
      </c>
    </row>
    <row r="127" spans="1:21" ht="23.25" customHeight="1" thickTop="1" thickBot="1" x14ac:dyDescent="0.35">
      <c r="A127" s="96">
        <v>121</v>
      </c>
      <c r="B127" s="298" t="str">
        <f>+'Base de Datos'!E127</f>
        <v>130217-0-2013</v>
      </c>
      <c r="C127" s="298" t="str">
        <f>+'Base de Datos'!F127</f>
        <v>SODINLEC LTDA</v>
      </c>
      <c r="D127" s="299">
        <f>+'Base de Datos'!I127</f>
        <v>10222000</v>
      </c>
      <c r="E127" s="300">
        <f>+'Base de Datos'!M127</f>
        <v>41548</v>
      </c>
      <c r="F127" s="300">
        <f>+'Base de Datos'!N127</f>
        <v>41790</v>
      </c>
      <c r="G127" s="300" t="e">
        <f>+'Base de Datos'!#REF!</f>
        <v>#REF!</v>
      </c>
      <c r="H127" s="299">
        <f>+'Base de Datos'!X127</f>
        <v>10222000</v>
      </c>
      <c r="I127" s="301" t="e">
        <f>IF(VLOOKUP(B127,'Base de Datos'!$E$7:$T$303,11,0),"SI","NO")</f>
        <v>#VALUE!</v>
      </c>
      <c r="J127" s="302" t="e">
        <f t="shared" si="7"/>
        <v>#VALUE!</v>
      </c>
      <c r="K127" s="301" t="e">
        <f>IF(VLOOKUP(B127,'Base de Datos'!$E$7:$T$303,11,0),"SI","NO")</f>
        <v>#VALUE!</v>
      </c>
      <c r="L127" s="302" t="e">
        <f t="shared" si="8"/>
        <v>#VALUE!</v>
      </c>
      <c r="M127" s="302">
        <f>VLOOKUP(B127,'Base de Datos'!$E$7:$AC$303,21,0)</f>
        <v>10208006</v>
      </c>
      <c r="N127" s="363" t="e">
        <f t="shared" ca="1" si="12"/>
        <v>#REF!</v>
      </c>
      <c r="O127" s="302">
        <f>VLOOKUP(B127,'Base de Datos'!$E$7:$AC$303,22,0)</f>
        <v>13994</v>
      </c>
      <c r="P127" s="362" t="str">
        <f t="shared" ca="1" si="9"/>
        <v/>
      </c>
      <c r="Q127" s="375" t="e">
        <f t="shared" ca="1" si="13"/>
        <v>#VALUE!</v>
      </c>
      <c r="R127" s="298">
        <f>VLOOKUP(B127,'Base de Datos'!E127:AU438,33,0)</f>
        <v>0</v>
      </c>
      <c r="S127" s="301" t="e">
        <f t="shared" ca="1" si="10"/>
        <v>#REF!</v>
      </c>
      <c r="T127" s="298" t="str">
        <f t="shared" si="11"/>
        <v/>
      </c>
      <c r="U127" s="298" t="str">
        <f>VLOOKUP(B127,'Base de Datos'!$E$7:$AU$401,38,0)</f>
        <v>SI</v>
      </c>
    </row>
    <row r="128" spans="1:21" ht="23.25" customHeight="1" thickTop="1" thickBot="1" x14ac:dyDescent="0.35">
      <c r="A128" s="96">
        <v>122</v>
      </c>
      <c r="B128" s="298" t="str">
        <f>+'Base de Datos'!E128</f>
        <v>130220-0-2013</v>
      </c>
      <c r="C128" s="298" t="str">
        <f>+'Base de Datos'!F128</f>
        <v>WIESNER FABIÁN ROBAYO SALCEDO</v>
      </c>
      <c r="D128" s="299">
        <f>+'Base de Datos'!I128</f>
        <v>23989000</v>
      </c>
      <c r="E128" s="300">
        <f>+'Base de Datos'!M128</f>
        <v>41477</v>
      </c>
      <c r="F128" s="300">
        <f>+'Base de Datos'!N128</f>
        <v>41691</v>
      </c>
      <c r="G128" s="300" t="e">
        <f>+'Base de Datos'!#REF!</f>
        <v>#REF!</v>
      </c>
      <c r="H128" s="299">
        <f>+'Base de Datos'!X128</f>
        <v>23989000</v>
      </c>
      <c r="I128" s="301" t="e">
        <f>IF(VLOOKUP(B128,'Base de Datos'!$E$7:$T$303,11,0),"SI","NO")</f>
        <v>#VALUE!</v>
      </c>
      <c r="J128" s="302" t="e">
        <f t="shared" si="7"/>
        <v>#VALUE!</v>
      </c>
      <c r="K128" s="301" t="e">
        <f>IF(VLOOKUP(B128,'Base de Datos'!$E$7:$T$303,11,0),"SI","NO")</f>
        <v>#VALUE!</v>
      </c>
      <c r="L128" s="302" t="e">
        <f t="shared" si="8"/>
        <v>#VALUE!</v>
      </c>
      <c r="M128" s="302">
        <f>VLOOKUP(B128,'Base de Datos'!$E$7:$AC$303,21,0)</f>
        <v>23989000</v>
      </c>
      <c r="N128" s="363" t="e">
        <f t="shared" ca="1" si="12"/>
        <v>#REF!</v>
      </c>
      <c r="O128" s="302">
        <f>VLOOKUP(B128,'Base de Datos'!$E$7:$AC$303,22,0)</f>
        <v>0</v>
      </c>
      <c r="P128" s="362" t="str">
        <f t="shared" ca="1" si="9"/>
        <v/>
      </c>
      <c r="Q128" s="375" t="e">
        <f t="shared" ca="1" si="13"/>
        <v>#VALUE!</v>
      </c>
      <c r="R128" s="298" t="str">
        <f>VLOOKUP(B128,'Base de Datos'!E128:AU439,33,0)</f>
        <v>Oficina Asesora de Comunicaciones</v>
      </c>
      <c r="S128" s="301" t="e">
        <f t="shared" ca="1" si="10"/>
        <v>#REF!</v>
      </c>
      <c r="T128" s="298" t="str">
        <f t="shared" si="11"/>
        <v/>
      </c>
      <c r="U128" s="298" t="str">
        <f>VLOOKUP(B128,'Base de Datos'!$E$7:$AU$401,38,0)</f>
        <v>NO</v>
      </c>
    </row>
    <row r="129" spans="1:21" ht="23.25" customHeight="1" thickTop="1" thickBot="1" x14ac:dyDescent="0.35">
      <c r="A129" s="96">
        <v>123</v>
      </c>
      <c r="B129" s="298" t="str">
        <f>+'Base de Datos'!E129</f>
        <v>130227-0-2013</v>
      </c>
      <c r="C129" s="298" t="str">
        <f>+'Base de Datos'!F129</f>
        <v>PUBLICACIONES SEMANA S.A.</v>
      </c>
      <c r="D129" s="299">
        <f>+'Base de Datos'!I129</f>
        <v>795000</v>
      </c>
      <c r="E129" s="300">
        <f>+'Base de Datos'!M129</f>
        <v>41547</v>
      </c>
      <c r="F129" s="300">
        <f>+'Base de Datos'!N129</f>
        <v>41911</v>
      </c>
      <c r="G129" s="300" t="e">
        <f>+'Base de Datos'!#REF!</f>
        <v>#REF!</v>
      </c>
      <c r="H129" s="299">
        <f>+'Base de Datos'!X129</f>
        <v>795000</v>
      </c>
      <c r="I129" s="301" t="e">
        <f>IF(VLOOKUP(B129,'Base de Datos'!$E$7:$T$303,11,0),"SI","NO")</f>
        <v>#VALUE!</v>
      </c>
      <c r="J129" s="302" t="e">
        <f t="shared" si="7"/>
        <v>#VALUE!</v>
      </c>
      <c r="K129" s="301" t="e">
        <f>IF(VLOOKUP(B129,'Base de Datos'!$E$7:$T$303,11,0),"SI","NO")</f>
        <v>#VALUE!</v>
      </c>
      <c r="L129" s="302" t="e">
        <f t="shared" si="8"/>
        <v>#VALUE!</v>
      </c>
      <c r="M129" s="302">
        <f>VLOOKUP(B129,'Base de Datos'!$E$7:$AC$303,21,0)</f>
        <v>795000</v>
      </c>
      <c r="N129" s="363" t="e">
        <f t="shared" ca="1" si="12"/>
        <v>#REF!</v>
      </c>
      <c r="O129" s="302">
        <f>VLOOKUP(B129,'Base de Datos'!$E$7:$AC$303,22,0)</f>
        <v>0</v>
      </c>
      <c r="P129" s="362" t="str">
        <f t="shared" ca="1" si="9"/>
        <v/>
      </c>
      <c r="Q129" s="375" t="e">
        <f t="shared" ca="1" si="13"/>
        <v>#VALUE!</v>
      </c>
      <c r="R129" s="298">
        <f>VLOOKUP(B129,'Base de Datos'!E129:AU440,33,0)</f>
        <v>0</v>
      </c>
      <c r="S129" s="301" t="e">
        <f t="shared" ca="1" si="10"/>
        <v>#REF!</v>
      </c>
      <c r="T129" s="298" t="str">
        <f t="shared" si="11"/>
        <v/>
      </c>
      <c r="U129" s="298" t="str">
        <f>VLOOKUP(B129,'Base de Datos'!$E$7:$AU$401,38,0)</f>
        <v>SI</v>
      </c>
    </row>
    <row r="130" spans="1:21" ht="23.25" customHeight="1" thickTop="1" thickBot="1" x14ac:dyDescent="0.35">
      <c r="A130" s="96">
        <v>124</v>
      </c>
      <c r="B130" s="298" t="str">
        <f>+'Base de Datos'!E130</f>
        <v>130228-0-2013</v>
      </c>
      <c r="C130" s="298" t="str">
        <f>+'Base de Datos'!F130</f>
        <v>COMUNICAN S.A</v>
      </c>
      <c r="D130" s="299">
        <f>+'Base de Datos'!I130</f>
        <v>936000</v>
      </c>
      <c r="E130" s="300">
        <f>+'Base de Datos'!M130</f>
        <v>41528</v>
      </c>
      <c r="F130" s="300">
        <f>+'Base de Datos'!N130</f>
        <v>41892</v>
      </c>
      <c r="G130" s="300" t="e">
        <f>+'Base de Datos'!#REF!</f>
        <v>#REF!</v>
      </c>
      <c r="H130" s="299">
        <f>+'Base de Datos'!X130</f>
        <v>936000</v>
      </c>
      <c r="I130" s="301" t="e">
        <f>IF(VLOOKUP(B130,'Base de Datos'!$E$7:$T$303,11,0),"SI","NO")</f>
        <v>#VALUE!</v>
      </c>
      <c r="J130" s="302" t="e">
        <f t="shared" si="7"/>
        <v>#VALUE!</v>
      </c>
      <c r="K130" s="301" t="e">
        <f>IF(VLOOKUP(B130,'Base de Datos'!$E$7:$T$303,11,0),"SI","NO")</f>
        <v>#VALUE!</v>
      </c>
      <c r="L130" s="302" t="e">
        <f t="shared" si="8"/>
        <v>#VALUE!</v>
      </c>
      <c r="M130" s="302">
        <f>VLOOKUP(B130,'Base de Datos'!$E$7:$AC$303,21,0)</f>
        <v>936000</v>
      </c>
      <c r="N130" s="363" t="e">
        <f t="shared" ca="1" si="12"/>
        <v>#REF!</v>
      </c>
      <c r="O130" s="302">
        <f>VLOOKUP(B130,'Base de Datos'!$E$7:$AC$303,22,0)</f>
        <v>0</v>
      </c>
      <c r="P130" s="362" t="str">
        <f t="shared" ca="1" si="9"/>
        <v/>
      </c>
      <c r="Q130" s="375" t="e">
        <f t="shared" ca="1" si="13"/>
        <v>#VALUE!</v>
      </c>
      <c r="R130" s="298">
        <f>VLOOKUP(B130,'Base de Datos'!E130:AU441,33,0)</f>
        <v>0</v>
      </c>
      <c r="S130" s="301" t="e">
        <f t="shared" ca="1" si="10"/>
        <v>#REF!</v>
      </c>
      <c r="T130" s="298" t="str">
        <f t="shared" si="11"/>
        <v/>
      </c>
      <c r="U130" s="298" t="str">
        <f>VLOOKUP(B130,'Base de Datos'!$E$7:$AU$401,38,0)</f>
        <v>SI</v>
      </c>
    </row>
    <row r="131" spans="1:21" ht="23.25" customHeight="1" thickTop="1" thickBot="1" x14ac:dyDescent="0.35">
      <c r="A131" s="96">
        <v>125</v>
      </c>
      <c r="B131" s="298" t="str">
        <f>+'Base de Datos'!E131</f>
        <v>130229-0-2013</v>
      </c>
      <c r="C131" s="298" t="str">
        <f>+'Base de Datos'!F131</f>
        <v>KARENN ANDREA SUAREZ LINARES</v>
      </c>
      <c r="D131" s="299">
        <f>+'Base de Datos'!I131</f>
        <v>3847300</v>
      </c>
      <c r="E131" s="300">
        <f>+'Base de Datos'!M131</f>
        <v>41494</v>
      </c>
      <c r="F131" s="300">
        <f>+'Base de Datos'!N131</f>
        <v>41766</v>
      </c>
      <c r="G131" s="300" t="e">
        <f>+'Base de Datos'!#REF!</f>
        <v>#REF!</v>
      </c>
      <c r="H131" s="299">
        <f>+'Base de Datos'!X131</f>
        <v>3847300</v>
      </c>
      <c r="I131" s="301" t="e">
        <f>IF(VLOOKUP(B131,'Base de Datos'!$E$7:$T$303,11,0),"SI","NO")</f>
        <v>#VALUE!</v>
      </c>
      <c r="J131" s="302" t="e">
        <f t="shared" si="7"/>
        <v>#VALUE!</v>
      </c>
      <c r="K131" s="301" t="e">
        <f>IF(VLOOKUP(B131,'Base de Datos'!$E$7:$T$303,11,0),"SI","NO")</f>
        <v>#VALUE!</v>
      </c>
      <c r="L131" s="302" t="e">
        <f t="shared" si="8"/>
        <v>#VALUE!</v>
      </c>
      <c r="M131" s="302">
        <f>VLOOKUP(B131,'Base de Datos'!$E$7:$AC$303,21,0)</f>
        <v>3847300</v>
      </c>
      <c r="N131" s="363" t="e">
        <f t="shared" ca="1" si="12"/>
        <v>#REF!</v>
      </c>
      <c r="O131" s="302">
        <f>VLOOKUP(B131,'Base de Datos'!$E$7:$AC$303,22,0)</f>
        <v>0</v>
      </c>
      <c r="P131" s="362" t="str">
        <f t="shared" ca="1" si="9"/>
        <v/>
      </c>
      <c r="Q131" s="375" t="e">
        <f t="shared" ca="1" si="13"/>
        <v>#VALUE!</v>
      </c>
      <c r="R131" s="298" t="str">
        <f>VLOOKUP(B131,'Base de Datos'!E131:AU442,33,0)</f>
        <v>Secretaría General</v>
      </c>
      <c r="S131" s="301" t="e">
        <f t="shared" ca="1" si="10"/>
        <v>#REF!</v>
      </c>
      <c r="T131" s="298" t="str">
        <f t="shared" si="11"/>
        <v/>
      </c>
      <c r="U131" s="298" t="str">
        <f>VLOOKUP(B131,'Base de Datos'!$E$7:$AU$401,38,0)</f>
        <v>SI</v>
      </c>
    </row>
    <row r="132" spans="1:21" ht="23.25" customHeight="1" thickTop="1" thickBot="1" x14ac:dyDescent="0.35">
      <c r="A132" s="96">
        <v>126</v>
      </c>
      <c r="B132" s="298" t="str">
        <f>+'Base de Datos'!E132</f>
        <v>130237-0-2013</v>
      </c>
      <c r="C132" s="298" t="str">
        <f>+'Base de Datos'!F132</f>
        <v>COLOMBIANA DE SOFTWARE Y HARDWARE COLSOF S.A.</v>
      </c>
      <c r="D132" s="299">
        <f>+'Base de Datos'!I132</f>
        <v>46411000</v>
      </c>
      <c r="E132" s="300">
        <f>+'Base de Datos'!M132</f>
        <v>41500</v>
      </c>
      <c r="F132" s="300">
        <f>+'Base de Datos'!N132</f>
        <v>41803</v>
      </c>
      <c r="G132" s="300" t="e">
        <f>+'Base de Datos'!#REF!</f>
        <v>#REF!</v>
      </c>
      <c r="H132" s="299">
        <f>+'Base de Datos'!X132</f>
        <v>60693200</v>
      </c>
      <c r="I132" s="301" t="e">
        <f>IF(VLOOKUP(B132,'Base de Datos'!$E$7:$T$303,11,0),"SI","NO")</f>
        <v>#VALUE!</v>
      </c>
      <c r="J132" s="302" t="e">
        <f t="shared" si="7"/>
        <v>#VALUE!</v>
      </c>
      <c r="K132" s="301" t="e">
        <f>IF(VLOOKUP(B132,'Base de Datos'!$E$7:$T$303,11,0),"SI","NO")</f>
        <v>#VALUE!</v>
      </c>
      <c r="L132" s="302" t="e">
        <f t="shared" si="8"/>
        <v>#VALUE!</v>
      </c>
      <c r="M132" s="302">
        <f>VLOOKUP(B132,'Base de Datos'!$E$7:$AC$303,21,0)</f>
        <v>59391828</v>
      </c>
      <c r="N132" s="363" t="e">
        <f t="shared" ca="1" si="12"/>
        <v>#REF!</v>
      </c>
      <c r="O132" s="302">
        <f>VLOOKUP(B132,'Base de Datos'!$E$7:$AC$303,22,0)</f>
        <v>1301372</v>
      </c>
      <c r="P132" s="362" t="str">
        <f t="shared" ca="1" si="9"/>
        <v/>
      </c>
      <c r="Q132" s="375" t="e">
        <f t="shared" ca="1" si="13"/>
        <v>#VALUE!</v>
      </c>
      <c r="R132" s="298" t="str">
        <f>VLOOKUP(B132,'Base de Datos'!E132:AU443,33,0)</f>
        <v>Dirección Administrativa</v>
      </c>
      <c r="S132" s="301" t="e">
        <f t="shared" ca="1" si="10"/>
        <v>#REF!</v>
      </c>
      <c r="T132" s="298" t="str">
        <f t="shared" si="11"/>
        <v/>
      </c>
      <c r="U132" s="298" t="str">
        <f>VLOOKUP(B132,'Base de Datos'!$E$7:$AU$401,38,0)</f>
        <v>SI</v>
      </c>
    </row>
    <row r="133" spans="1:21" ht="23.25" customHeight="1" thickTop="1" thickBot="1" x14ac:dyDescent="0.35">
      <c r="A133" s="96">
        <v>127</v>
      </c>
      <c r="B133" s="298" t="str">
        <f>+'Base de Datos'!E133</f>
        <v>130241-0-2013</v>
      </c>
      <c r="C133" s="298" t="str">
        <f>+'Base de Datos'!F133</f>
        <v>ACABADOS ALTAPISOS INVERSIONES  S.A.S.</v>
      </c>
      <c r="D133" s="299">
        <f>+'Base de Datos'!I133</f>
        <v>4393120</v>
      </c>
      <c r="E133" s="300">
        <f>+'Base de Datos'!M133</f>
        <v>41512</v>
      </c>
      <c r="F133" s="300">
        <f>+'Base de Datos'!N133</f>
        <v>41784</v>
      </c>
      <c r="G133" s="300" t="e">
        <f>+'Base de Datos'!#REF!</f>
        <v>#REF!</v>
      </c>
      <c r="H133" s="299">
        <f>+'Base de Datos'!X133</f>
        <v>4393120</v>
      </c>
      <c r="I133" s="301" t="e">
        <f>IF(VLOOKUP(B133,'Base de Datos'!$E$7:$T$303,11,0),"SI","NO")</f>
        <v>#VALUE!</v>
      </c>
      <c r="J133" s="302" t="e">
        <f t="shared" si="7"/>
        <v>#VALUE!</v>
      </c>
      <c r="K133" s="301" t="e">
        <f>IF(VLOOKUP(B133,'Base de Datos'!$E$7:$T$303,11,0),"SI","NO")</f>
        <v>#VALUE!</v>
      </c>
      <c r="L133" s="302" t="e">
        <f t="shared" si="8"/>
        <v>#VALUE!</v>
      </c>
      <c r="M133" s="302">
        <f>VLOOKUP(B133,'Base de Datos'!$E$7:$AC$303,21,0)</f>
        <v>2578000</v>
      </c>
      <c r="N133" s="363" t="e">
        <f t="shared" ca="1" si="12"/>
        <v>#REF!</v>
      </c>
      <c r="O133" s="302">
        <f>VLOOKUP(B133,'Base de Datos'!$E$7:$AC$303,22,0)</f>
        <v>1815120</v>
      </c>
      <c r="P133" s="362" t="str">
        <f t="shared" ca="1" si="9"/>
        <v/>
      </c>
      <c r="Q133" s="375" t="e">
        <f t="shared" ca="1" si="13"/>
        <v>#VALUE!</v>
      </c>
      <c r="R133" s="298" t="str">
        <f>VLOOKUP(B133,'Base de Datos'!E133:AU444,33,0)</f>
        <v>Dirección Administrativa</v>
      </c>
      <c r="S133" s="301" t="e">
        <f t="shared" ca="1" si="10"/>
        <v>#REF!</v>
      </c>
      <c r="T133" s="298" t="str">
        <f t="shared" si="11"/>
        <v/>
      </c>
      <c r="U133" s="298" t="str">
        <f>VLOOKUP(B133,'Base de Datos'!$E$7:$AU$401,38,0)</f>
        <v>SI</v>
      </c>
    </row>
    <row r="134" spans="1:21" ht="23.25" customHeight="1" thickTop="1" thickBot="1" x14ac:dyDescent="0.35">
      <c r="A134" s="96">
        <v>128</v>
      </c>
      <c r="B134" s="298" t="str">
        <f>+'Base de Datos'!E134</f>
        <v>130242-0-2013</v>
      </c>
      <c r="C134" s="298" t="str">
        <f>+'Base de Datos'!F134</f>
        <v>INVERSIONES LIGOL - INVERLIGOL LTD A</v>
      </c>
      <c r="D134" s="299">
        <f>+'Base de Datos'!I134</f>
        <v>16804000</v>
      </c>
      <c r="E134" s="300">
        <f>+'Base de Datos'!M134</f>
        <v>41523</v>
      </c>
      <c r="F134" s="300">
        <f>+'Base de Datos'!N134</f>
        <v>41764</v>
      </c>
      <c r="G134" s="300" t="e">
        <f>+'Base de Datos'!#REF!</f>
        <v>#REF!</v>
      </c>
      <c r="H134" s="299">
        <f>+'Base de Datos'!X134</f>
        <v>25204000</v>
      </c>
      <c r="I134" s="301" t="e">
        <f>IF(VLOOKUP(B134,'Base de Datos'!$E$7:$T$303,11,0),"SI","NO")</f>
        <v>#VALUE!</v>
      </c>
      <c r="J134" s="302" t="e">
        <f t="shared" si="7"/>
        <v>#VALUE!</v>
      </c>
      <c r="K134" s="301" t="e">
        <f>IF(VLOOKUP(B134,'Base de Datos'!$E$7:$T$303,11,0),"SI","NO")</f>
        <v>#VALUE!</v>
      </c>
      <c r="L134" s="302" t="e">
        <f t="shared" si="8"/>
        <v>#VALUE!</v>
      </c>
      <c r="M134" s="302">
        <f>VLOOKUP(B134,'Base de Datos'!$E$7:$AC$303,21,0)</f>
        <v>25201450</v>
      </c>
      <c r="N134" s="363" t="e">
        <f t="shared" ca="1" si="12"/>
        <v>#REF!</v>
      </c>
      <c r="O134" s="302">
        <f>VLOOKUP(B134,'Base de Datos'!$E$7:$AC$303,22,0)</f>
        <v>2550</v>
      </c>
      <c r="P134" s="362" t="str">
        <f t="shared" ca="1" si="9"/>
        <v/>
      </c>
      <c r="Q134" s="375" t="e">
        <f t="shared" ca="1" si="13"/>
        <v>#VALUE!</v>
      </c>
      <c r="R134" s="298" t="str">
        <f>VLOOKUP(B134,'Base de Datos'!E134:AU445,33,0)</f>
        <v>Dirección Administrativa</v>
      </c>
      <c r="S134" s="301" t="e">
        <f t="shared" ca="1" si="10"/>
        <v>#REF!</v>
      </c>
      <c r="T134" s="298" t="str">
        <f t="shared" si="11"/>
        <v/>
      </c>
      <c r="U134" s="298" t="str">
        <f>VLOOKUP(B134,'Base de Datos'!$E$7:$AU$401,38,0)</f>
        <v>SI</v>
      </c>
    </row>
    <row r="135" spans="1:21" ht="23.25" customHeight="1" thickTop="1" thickBot="1" x14ac:dyDescent="0.35">
      <c r="A135" s="96">
        <v>129</v>
      </c>
      <c r="B135" s="298" t="str">
        <f>+'Base de Datos'!E135</f>
        <v>130244-0-2013</v>
      </c>
      <c r="C135" s="298" t="str">
        <f>+'Base de Datos'!F135</f>
        <v>CONTRONET LTDA</v>
      </c>
      <c r="D135" s="299">
        <f>+'Base de Datos'!I135</f>
        <v>86923131</v>
      </c>
      <c r="E135" s="300">
        <f>+'Base de Datos'!M135</f>
        <v>41506</v>
      </c>
      <c r="F135" s="300">
        <f>+'Base de Datos'!N135</f>
        <v>41871</v>
      </c>
      <c r="G135" s="300" t="e">
        <f>+'Base de Datos'!#REF!</f>
        <v>#REF!</v>
      </c>
      <c r="H135" s="299">
        <f>+'Base de Datos'!X135</f>
        <v>130384697</v>
      </c>
      <c r="I135" s="301" t="e">
        <f>IF(VLOOKUP(B135,'Base de Datos'!$E$7:$T$303,11,0),"SI","NO")</f>
        <v>#VALUE!</v>
      </c>
      <c r="J135" s="302" t="e">
        <f t="shared" ref="J135:J198" si="14">IF(I135=$AB$7,((G135-F135)*100%)/(F135-E135),"")</f>
        <v>#VALUE!</v>
      </c>
      <c r="K135" s="301" t="e">
        <f>IF(VLOOKUP(B135,'Base de Datos'!$E$7:$T$303,11,0),"SI","NO")</f>
        <v>#VALUE!</v>
      </c>
      <c r="L135" s="302" t="e">
        <f t="shared" ref="L135:L198" si="15">IF(K135=$AB$7,((H135-D135)*100%)/(D135),"")</f>
        <v>#VALUE!</v>
      </c>
      <c r="M135" s="302">
        <f>VLOOKUP(B135,'Base de Datos'!$E$7:$AC$303,21,0)</f>
        <v>96359635</v>
      </c>
      <c r="N135" s="363" t="e">
        <f t="shared" ca="1" si="12"/>
        <v>#REF!</v>
      </c>
      <c r="O135" s="302">
        <f>VLOOKUP(B135,'Base de Datos'!$E$7:$AC$303,22,0)</f>
        <v>34025062</v>
      </c>
      <c r="P135" s="362" t="str">
        <f t="shared" ref="P135:P198" ca="1" si="16">IF(R135=$AC$7,"",IFERROR(IF(R135=$AC$8,"",($C$5-G135)),""))</f>
        <v/>
      </c>
      <c r="Q135" s="375" t="e">
        <f t="shared" ca="1" si="13"/>
        <v>#VALUE!</v>
      </c>
      <c r="R135" s="298" t="str">
        <f>VLOOKUP(B135,'Base de Datos'!E135:AU446,33,0)</f>
        <v>Dirección Administrativa</v>
      </c>
      <c r="S135" s="301" t="e">
        <f t="shared" ref="S135:S198" ca="1" si="17">IF((TODAY()-G135&lt;900),"SI","NO")</f>
        <v>#REF!</v>
      </c>
      <c r="T135" s="298" t="str">
        <f t="shared" ref="T135:T198" si="18">IF(R135=$AC$8,"",IF(O135=100%,"Liquidar",IF(R135=$AC$7,"Supervisar","")))</f>
        <v/>
      </c>
      <c r="U135" s="298" t="str">
        <f>VLOOKUP(B135,'Base de Datos'!$E$7:$AU$401,38,0)</f>
        <v>SI</v>
      </c>
    </row>
    <row r="136" spans="1:21" ht="23.25" customHeight="1" thickTop="1" thickBot="1" x14ac:dyDescent="0.35">
      <c r="A136" s="96">
        <v>130</v>
      </c>
      <c r="B136" s="298" t="str">
        <f>+'Base de Datos'!E136</f>
        <v>130249-0-2013</v>
      </c>
      <c r="C136" s="298" t="str">
        <f>+'Base de Datos'!F136</f>
        <v>INGEAL S.A.</v>
      </c>
      <c r="D136" s="299">
        <f>+'Base de Datos'!I136</f>
        <v>45056000</v>
      </c>
      <c r="E136" s="300">
        <f>+'Base de Datos'!M136</f>
        <v>41533</v>
      </c>
      <c r="F136" s="300">
        <f>+'Base de Datos'!N136</f>
        <v>41897</v>
      </c>
      <c r="G136" s="300" t="e">
        <f>+'Base de Datos'!#REF!</f>
        <v>#REF!</v>
      </c>
      <c r="H136" s="299">
        <f>+'Base de Datos'!X136</f>
        <v>45056000</v>
      </c>
      <c r="I136" s="301" t="e">
        <f>IF(VLOOKUP(B136,'Base de Datos'!$E$7:$T$303,11,0),"SI","NO")</f>
        <v>#VALUE!</v>
      </c>
      <c r="J136" s="302" t="e">
        <f t="shared" si="14"/>
        <v>#VALUE!</v>
      </c>
      <c r="K136" s="301" t="e">
        <f>IF(VLOOKUP(B136,'Base de Datos'!$E$7:$T$303,11,0),"SI","NO")</f>
        <v>#VALUE!</v>
      </c>
      <c r="L136" s="302" t="e">
        <f t="shared" si="15"/>
        <v>#VALUE!</v>
      </c>
      <c r="M136" s="302">
        <f>VLOOKUP(B136,'Base de Datos'!$E$7:$AC$303,21,0)</f>
        <v>25056000</v>
      </c>
      <c r="N136" s="363" t="e">
        <f t="shared" ref="N136:N199" ca="1" si="19">IF(G136&lt;TODAY(),"",G136-TODAY())</f>
        <v>#REF!</v>
      </c>
      <c r="O136" s="302">
        <f>VLOOKUP(B136,'Base de Datos'!$E$7:$AC$303,22,0)</f>
        <v>20000000</v>
      </c>
      <c r="P136" s="362" t="str">
        <f t="shared" ca="1" si="16"/>
        <v/>
      </c>
      <c r="Q136" s="375" t="e">
        <f ca="1">IF(P136=0,"",(P136*100%)/120)</f>
        <v>#VALUE!</v>
      </c>
      <c r="R136" s="298" t="str">
        <f>VLOOKUP(B136,'Base de Datos'!E136:AU447,33,0)</f>
        <v>Dirección Administrativa</v>
      </c>
      <c r="S136" s="301" t="e">
        <f t="shared" ca="1" si="17"/>
        <v>#REF!</v>
      </c>
      <c r="T136" s="298" t="str">
        <f t="shared" si="18"/>
        <v/>
      </c>
      <c r="U136" s="298" t="str">
        <f>VLOOKUP(B136,'Base de Datos'!$E$7:$AU$401,38,0)</f>
        <v>SI</v>
      </c>
    </row>
    <row r="137" spans="1:21" ht="23.25" customHeight="1" thickTop="1" thickBot="1" x14ac:dyDescent="0.35">
      <c r="A137" s="96">
        <v>131</v>
      </c>
      <c r="B137" s="298" t="str">
        <f>+'Base de Datos'!E137</f>
        <v>130254-0-2013</v>
      </c>
      <c r="C137" s="298" t="str">
        <f>+'Base de Datos'!F137</f>
        <v>CAJA DE COMPENSACIÓN FAMILIAR COMPENSAR SALONES</v>
      </c>
      <c r="D137" s="299">
        <f>+'Base de Datos'!I137</f>
        <v>76223000</v>
      </c>
      <c r="E137" s="300">
        <f>+'Base de Datos'!M137</f>
        <v>41541</v>
      </c>
      <c r="F137" s="300">
        <f>+'Base de Datos'!N137</f>
        <v>41721</v>
      </c>
      <c r="G137" s="300" t="e">
        <f>+'Base de Datos'!#REF!</f>
        <v>#REF!</v>
      </c>
      <c r="H137" s="299">
        <f>+'Base de Datos'!X137</f>
        <v>114225288</v>
      </c>
      <c r="I137" s="301" t="e">
        <f>IF(VLOOKUP(B137,'Base de Datos'!$E$7:$T$303,11,0),"SI","NO")</f>
        <v>#VALUE!</v>
      </c>
      <c r="J137" s="302" t="e">
        <f t="shared" si="14"/>
        <v>#VALUE!</v>
      </c>
      <c r="K137" s="301" t="e">
        <f>IF(VLOOKUP(B137,'Base de Datos'!$E$7:$T$303,11,0),"SI","NO")</f>
        <v>#VALUE!</v>
      </c>
      <c r="L137" s="302" t="e">
        <f t="shared" si="15"/>
        <v>#VALUE!</v>
      </c>
      <c r="M137" s="302">
        <f>VLOOKUP(B137,'Base de Datos'!$E$7:$AC$303,21,0)</f>
        <v>114217068</v>
      </c>
      <c r="N137" s="363" t="e">
        <f t="shared" ca="1" si="19"/>
        <v>#REF!</v>
      </c>
      <c r="O137" s="302">
        <f>VLOOKUP(B137,'Base de Datos'!$E$7:$AC$303,22,0)</f>
        <v>8220</v>
      </c>
      <c r="P137" s="362" t="str">
        <f t="shared" ca="1" si="16"/>
        <v/>
      </c>
      <c r="Q137" s="375" t="e">
        <f t="shared" ref="Q137:Q199" ca="1" si="20">IF(P137=0,"",(P137*100%)/120)</f>
        <v>#VALUE!</v>
      </c>
      <c r="R137" s="298" t="str">
        <f>VLOOKUP(B137,'Base de Datos'!E137:AU448,33,0)</f>
        <v>Dirección Administrativa</v>
      </c>
      <c r="S137" s="301" t="e">
        <f t="shared" ca="1" si="17"/>
        <v>#REF!</v>
      </c>
      <c r="T137" s="298" t="str">
        <f t="shared" si="18"/>
        <v/>
      </c>
      <c r="U137" s="298" t="str">
        <f>VLOOKUP(B137,'Base de Datos'!$E$7:$AU$401,38,0)</f>
        <v>SI</v>
      </c>
    </row>
    <row r="138" spans="1:21" ht="23.25" customHeight="1" thickTop="1" thickBot="1" x14ac:dyDescent="0.35">
      <c r="A138" s="96">
        <v>132</v>
      </c>
      <c r="B138" s="298" t="str">
        <f>+'Base de Datos'!E138</f>
        <v>130260-0-2013</v>
      </c>
      <c r="C138" s="298" t="str">
        <f>+'Base de Datos'!F138</f>
        <v>PROCOLDEXT LIMITADA</v>
      </c>
      <c r="D138" s="299">
        <f>+'Base de Datos'!I138</f>
        <v>4715000</v>
      </c>
      <c r="E138" s="300">
        <f>+'Base de Datos'!M138</f>
        <v>41555</v>
      </c>
      <c r="F138" s="300">
        <f>+'Base de Datos'!N138</f>
        <v>41615</v>
      </c>
      <c r="G138" s="300" t="e">
        <f>+'Base de Datos'!#REF!</f>
        <v>#REF!</v>
      </c>
      <c r="H138" s="299">
        <f>+'Base de Datos'!X138</f>
        <v>4715000</v>
      </c>
      <c r="I138" s="301" t="e">
        <f>IF(VLOOKUP(B138,'Base de Datos'!$E$7:$T$303,11,0),"SI","NO")</f>
        <v>#VALUE!</v>
      </c>
      <c r="J138" s="302" t="e">
        <f t="shared" si="14"/>
        <v>#VALUE!</v>
      </c>
      <c r="K138" s="301" t="e">
        <f>IF(VLOOKUP(B138,'Base de Datos'!$E$7:$T$303,11,0),"SI","NO")</f>
        <v>#VALUE!</v>
      </c>
      <c r="L138" s="302" t="e">
        <f t="shared" si="15"/>
        <v>#VALUE!</v>
      </c>
      <c r="M138" s="302">
        <f>VLOOKUP(B138,'Base de Datos'!$E$7:$AC$303,21,0)</f>
        <v>4715000</v>
      </c>
      <c r="N138" s="363" t="e">
        <f t="shared" ca="1" si="19"/>
        <v>#REF!</v>
      </c>
      <c r="O138" s="302">
        <f>VLOOKUP(B138,'Base de Datos'!$E$7:$AC$303,22,0)</f>
        <v>0</v>
      </c>
      <c r="P138" s="362" t="str">
        <f t="shared" ca="1" si="16"/>
        <v/>
      </c>
      <c r="Q138" s="375" t="e">
        <f t="shared" ca="1" si="20"/>
        <v>#VALUE!</v>
      </c>
      <c r="R138" s="298" t="str">
        <f>VLOOKUP(B138,'Base de Datos'!E138:AU449,33,0)</f>
        <v>Dirección Administrativa</v>
      </c>
      <c r="S138" s="301" t="e">
        <f t="shared" ca="1" si="17"/>
        <v>#REF!</v>
      </c>
      <c r="T138" s="298" t="str">
        <f t="shared" si="18"/>
        <v/>
      </c>
      <c r="U138" s="298" t="str">
        <f>VLOOKUP(B138,'Base de Datos'!$E$7:$AU$401,38,0)</f>
        <v>SI</v>
      </c>
    </row>
    <row r="139" spans="1:21" ht="23.25" customHeight="1" thickTop="1" thickBot="1" x14ac:dyDescent="0.35">
      <c r="A139" s="96">
        <v>133</v>
      </c>
      <c r="B139" s="298" t="str">
        <f>+'Base de Datos'!E139</f>
        <v>130261-0-2013</v>
      </c>
      <c r="C139" s="298" t="str">
        <f>+'Base de Datos'!F139</f>
        <v>UNIVERSIDAD DISTRITAL FRANCISCO JOSÉ DE CALDAS</v>
      </c>
      <c r="D139" s="299">
        <f>+'Base de Datos'!I139</f>
        <v>457000000</v>
      </c>
      <c r="E139" s="300">
        <f>+'Base de Datos'!M139</f>
        <v>41556</v>
      </c>
      <c r="F139" s="300">
        <f>+'Base de Datos'!N139</f>
        <v>41798</v>
      </c>
      <c r="G139" s="300" t="e">
        <f>+'Base de Datos'!#REF!</f>
        <v>#REF!</v>
      </c>
      <c r="H139" s="299">
        <f>+'Base de Datos'!X139</f>
        <v>457000000</v>
      </c>
      <c r="I139" s="301" t="e">
        <f>IF(VLOOKUP(B139,'Base de Datos'!$E$7:$T$303,11,0),"SI","NO")</f>
        <v>#VALUE!</v>
      </c>
      <c r="J139" s="302" t="e">
        <f t="shared" si="14"/>
        <v>#VALUE!</v>
      </c>
      <c r="K139" s="301" t="e">
        <f>IF(VLOOKUP(B139,'Base de Datos'!$E$7:$T$303,11,0),"SI","NO")</f>
        <v>#VALUE!</v>
      </c>
      <c r="L139" s="302" t="e">
        <f t="shared" si="15"/>
        <v>#VALUE!</v>
      </c>
      <c r="M139" s="302">
        <f>VLOOKUP(B139,'Base de Datos'!$E$7:$AC$303,21,0)</f>
        <v>416287285</v>
      </c>
      <c r="N139" s="363" t="e">
        <f t="shared" ca="1" si="19"/>
        <v>#REF!</v>
      </c>
      <c r="O139" s="302">
        <f>VLOOKUP(B139,'Base de Datos'!$E$7:$AC$303,22,0)</f>
        <v>40712715</v>
      </c>
      <c r="P139" s="362" t="str">
        <f t="shared" ca="1" si="16"/>
        <v/>
      </c>
      <c r="Q139" s="375" t="e">
        <f t="shared" ca="1" si="20"/>
        <v>#VALUE!</v>
      </c>
      <c r="R139" s="298" t="str">
        <f>VLOOKUP(B139,'Base de Datos'!E139:AU450,33,0)</f>
        <v>Dirección Administrativa</v>
      </c>
      <c r="S139" s="301" t="e">
        <f t="shared" ca="1" si="17"/>
        <v>#REF!</v>
      </c>
      <c r="T139" s="298" t="str">
        <f t="shared" si="18"/>
        <v/>
      </c>
      <c r="U139" s="298" t="str">
        <f>VLOOKUP(B139,'Base de Datos'!$E$7:$AU$401,38,0)</f>
        <v>SI</v>
      </c>
    </row>
    <row r="140" spans="1:21" ht="23.25" customHeight="1" thickTop="1" thickBot="1" x14ac:dyDescent="0.35">
      <c r="A140" s="96">
        <v>134</v>
      </c>
      <c r="B140" s="298" t="str">
        <f>+'Base de Datos'!E140</f>
        <v>130265-0-2013</v>
      </c>
      <c r="C140" s="298" t="str">
        <f>+'Base de Datos'!F140</f>
        <v>TECNOLOGÍA BIOMÉDICA</v>
      </c>
      <c r="D140" s="299">
        <f>+'Base de Datos'!I140</f>
        <v>3356320</v>
      </c>
      <c r="E140" s="300">
        <f>+'Base de Datos'!M140</f>
        <v>41554</v>
      </c>
      <c r="F140" s="300">
        <f>+'Base de Datos'!N140</f>
        <v>41645</v>
      </c>
      <c r="G140" s="300" t="e">
        <f>+'Base de Datos'!#REF!</f>
        <v>#REF!</v>
      </c>
      <c r="H140" s="299">
        <f>+'Base de Datos'!X140</f>
        <v>3356320</v>
      </c>
      <c r="I140" s="301" t="e">
        <f>IF(VLOOKUP(B140,'Base de Datos'!$E$7:$T$303,11,0),"SI","NO")</f>
        <v>#VALUE!</v>
      </c>
      <c r="J140" s="302" t="e">
        <f t="shared" si="14"/>
        <v>#VALUE!</v>
      </c>
      <c r="K140" s="301" t="e">
        <f>IF(VLOOKUP(B140,'Base de Datos'!$E$7:$T$303,11,0),"SI","NO")</f>
        <v>#VALUE!</v>
      </c>
      <c r="L140" s="302" t="e">
        <f t="shared" si="15"/>
        <v>#VALUE!</v>
      </c>
      <c r="M140" s="302">
        <f>VLOOKUP(B140,'Base de Datos'!$E$7:$AC$303,21,0)</f>
        <v>3356320</v>
      </c>
      <c r="N140" s="363" t="e">
        <f t="shared" ca="1" si="19"/>
        <v>#REF!</v>
      </c>
      <c r="O140" s="302">
        <f>VLOOKUP(B140,'Base de Datos'!$E$7:$AC$303,22,0)</f>
        <v>0</v>
      </c>
      <c r="P140" s="362" t="str">
        <f t="shared" ca="1" si="16"/>
        <v/>
      </c>
      <c r="Q140" s="375" t="e">
        <f t="shared" ca="1" si="20"/>
        <v>#VALUE!</v>
      </c>
      <c r="R140" s="298">
        <f>VLOOKUP(B140,'Base de Datos'!E140:AU451,33,0)</f>
        <v>0</v>
      </c>
      <c r="S140" s="301" t="e">
        <f t="shared" ca="1" si="17"/>
        <v>#REF!</v>
      </c>
      <c r="T140" s="298" t="str">
        <f t="shared" si="18"/>
        <v/>
      </c>
      <c r="U140" s="298" t="str">
        <f>VLOOKUP(B140,'Base de Datos'!$E$7:$AU$401,38,0)</f>
        <v>SI</v>
      </c>
    </row>
    <row r="141" spans="1:21" ht="23.25" customHeight="1" thickTop="1" thickBot="1" x14ac:dyDescent="0.35">
      <c r="A141" s="96">
        <v>135</v>
      </c>
      <c r="B141" s="298" t="str">
        <f>+'Base de Datos'!E141</f>
        <v>130270-0-2013</v>
      </c>
      <c r="C141" s="298" t="str">
        <f>+'Base de Datos'!F141</f>
        <v>ITELCO IT S.A.S</v>
      </c>
      <c r="D141" s="299">
        <f>+'Base de Datos'!I141</f>
        <v>19965572</v>
      </c>
      <c r="E141" s="300">
        <f>+'Base de Datos'!M141</f>
        <v>41555</v>
      </c>
      <c r="F141" s="300">
        <f>+'Base de Datos'!N141</f>
        <v>41935</v>
      </c>
      <c r="G141" s="300" t="e">
        <f>+'Base de Datos'!#REF!</f>
        <v>#REF!</v>
      </c>
      <c r="H141" s="299">
        <f>+'Base de Datos'!X141</f>
        <v>19965572</v>
      </c>
      <c r="I141" s="301" t="e">
        <f>IF(VLOOKUP(B141,'Base de Datos'!$E$7:$T$303,11,0),"SI","NO")</f>
        <v>#VALUE!</v>
      </c>
      <c r="J141" s="302" t="e">
        <f t="shared" si="14"/>
        <v>#VALUE!</v>
      </c>
      <c r="K141" s="301" t="e">
        <f>IF(VLOOKUP(B141,'Base de Datos'!$E$7:$T$303,11,0),"SI","NO")</f>
        <v>#VALUE!</v>
      </c>
      <c r="L141" s="302" t="e">
        <f t="shared" si="15"/>
        <v>#VALUE!</v>
      </c>
      <c r="M141" s="302">
        <f>VLOOKUP(B141,'Base de Datos'!$E$7:$AC$303,21,0)</f>
        <v>19965572</v>
      </c>
      <c r="N141" s="363" t="e">
        <f t="shared" ca="1" si="19"/>
        <v>#REF!</v>
      </c>
      <c r="O141" s="302">
        <f>VLOOKUP(B141,'Base de Datos'!$E$7:$AC$303,22,0)</f>
        <v>0</v>
      </c>
      <c r="P141" s="362" t="str">
        <f t="shared" ca="1" si="16"/>
        <v/>
      </c>
      <c r="Q141" s="375" t="e">
        <f t="shared" ca="1" si="20"/>
        <v>#VALUE!</v>
      </c>
      <c r="R141" s="298" t="str">
        <f>VLOOKUP(B141,'Base de Datos'!E141:AU452,33,0)</f>
        <v>Dirección Administrativa</v>
      </c>
      <c r="S141" s="301" t="e">
        <f t="shared" ca="1" si="17"/>
        <v>#REF!</v>
      </c>
      <c r="T141" s="298" t="str">
        <f t="shared" si="18"/>
        <v/>
      </c>
      <c r="U141" s="298" t="str">
        <f>VLOOKUP(B141,'Base de Datos'!$E$7:$AU$401,38,0)</f>
        <v>SI</v>
      </c>
    </row>
    <row r="142" spans="1:21" ht="23.25" customHeight="1" thickTop="1" thickBot="1" x14ac:dyDescent="0.35">
      <c r="A142" s="96">
        <v>136</v>
      </c>
      <c r="B142" s="298" t="str">
        <f>+'Base de Datos'!E142</f>
        <v>130276-0-2013</v>
      </c>
      <c r="C142" s="298" t="str">
        <f>+'Base de Datos'!F142</f>
        <v>FACTOR VISUAL EAT</v>
      </c>
      <c r="D142" s="299">
        <f>+'Base de Datos'!I142</f>
        <v>38280000</v>
      </c>
      <c r="E142" s="300">
        <f>+'Base de Datos'!M142</f>
        <v>41562</v>
      </c>
      <c r="F142" s="300">
        <f>+'Base de Datos'!N142</f>
        <v>41926</v>
      </c>
      <c r="G142" s="300" t="e">
        <f>+'Base de Datos'!#REF!</f>
        <v>#REF!</v>
      </c>
      <c r="H142" s="299">
        <f>+'Base de Datos'!X142</f>
        <v>38280000</v>
      </c>
      <c r="I142" s="301" t="e">
        <f>IF(VLOOKUP(B142,'Base de Datos'!$E$7:$T$303,11,0),"SI","NO")</f>
        <v>#VALUE!</v>
      </c>
      <c r="J142" s="302" t="e">
        <f t="shared" si="14"/>
        <v>#VALUE!</v>
      </c>
      <c r="K142" s="301" t="e">
        <f>IF(VLOOKUP(B142,'Base de Datos'!$E$7:$T$303,11,0),"SI","NO")</f>
        <v>#VALUE!</v>
      </c>
      <c r="L142" s="302" t="e">
        <f t="shared" si="15"/>
        <v>#VALUE!</v>
      </c>
      <c r="M142" s="302">
        <f>VLOOKUP(B142,'Base de Datos'!$E$7:$AC$303,21,0)</f>
        <v>38280000</v>
      </c>
      <c r="N142" s="363" t="e">
        <f t="shared" ca="1" si="19"/>
        <v>#REF!</v>
      </c>
      <c r="O142" s="302">
        <f>VLOOKUP(B142,'Base de Datos'!$E$7:$AC$303,22,0)</f>
        <v>0</v>
      </c>
      <c r="P142" s="362" t="str">
        <f t="shared" ca="1" si="16"/>
        <v/>
      </c>
      <c r="Q142" s="375" t="e">
        <f t="shared" ca="1" si="20"/>
        <v>#VALUE!</v>
      </c>
      <c r="R142" s="298" t="str">
        <f>VLOOKUP(B142,'Base de Datos'!E142:AU453,33,0)</f>
        <v>Dirección Administrativa</v>
      </c>
      <c r="S142" s="301" t="e">
        <f t="shared" ca="1" si="17"/>
        <v>#REF!</v>
      </c>
      <c r="T142" s="298" t="str">
        <f t="shared" si="18"/>
        <v/>
      </c>
      <c r="U142" s="298" t="str">
        <f>VLOOKUP(B142,'Base de Datos'!$E$7:$AU$401,38,0)</f>
        <v>SI</v>
      </c>
    </row>
    <row r="143" spans="1:21" ht="23.25" customHeight="1" thickTop="1" thickBot="1" x14ac:dyDescent="0.35">
      <c r="A143" s="96">
        <v>137</v>
      </c>
      <c r="B143" s="298" t="str">
        <f>+'Base de Datos'!E143</f>
        <v>130281-0-2013</v>
      </c>
      <c r="C143" s="298" t="str">
        <f>+'Base de Datos'!F143</f>
        <v>CJS CANECAS Y CIA LTDA</v>
      </c>
      <c r="D143" s="299">
        <f>+'Base de Datos'!I143</f>
        <v>26073552</v>
      </c>
      <c r="E143" s="300">
        <f>+'Base de Datos'!M143</f>
        <v>41562</v>
      </c>
      <c r="F143" s="300">
        <f>+'Base de Datos'!N143</f>
        <v>41592</v>
      </c>
      <c r="G143" s="300" t="e">
        <f>+'Base de Datos'!#REF!</f>
        <v>#REF!</v>
      </c>
      <c r="H143" s="299">
        <f>+'Base de Datos'!X143</f>
        <v>26073552</v>
      </c>
      <c r="I143" s="301" t="e">
        <f>IF(VLOOKUP(B143,'Base de Datos'!$E$7:$T$303,11,0),"SI","NO")</f>
        <v>#VALUE!</v>
      </c>
      <c r="J143" s="302" t="e">
        <f t="shared" si="14"/>
        <v>#VALUE!</v>
      </c>
      <c r="K143" s="301" t="e">
        <f>IF(VLOOKUP(B143,'Base de Datos'!$E$7:$T$303,11,0),"SI","NO")</f>
        <v>#VALUE!</v>
      </c>
      <c r="L143" s="302" t="e">
        <f t="shared" si="15"/>
        <v>#VALUE!</v>
      </c>
      <c r="M143" s="302">
        <f>VLOOKUP(B143,'Base de Datos'!$E$7:$AC$303,21,0)</f>
        <v>26073552</v>
      </c>
      <c r="N143" s="363" t="e">
        <f t="shared" ca="1" si="19"/>
        <v>#REF!</v>
      </c>
      <c r="O143" s="302">
        <f>VLOOKUP(B143,'Base de Datos'!$E$7:$AC$303,22,0)</f>
        <v>0</v>
      </c>
      <c r="P143" s="362" t="str">
        <f t="shared" ca="1" si="16"/>
        <v/>
      </c>
      <c r="Q143" s="375" t="e">
        <f t="shared" ca="1" si="20"/>
        <v>#VALUE!</v>
      </c>
      <c r="R143" s="298">
        <f>VLOOKUP(B143,'Base de Datos'!E143:AU454,33,0)</f>
        <v>0</v>
      </c>
      <c r="S143" s="301" t="e">
        <f t="shared" ca="1" si="17"/>
        <v>#REF!</v>
      </c>
      <c r="T143" s="298" t="str">
        <f t="shared" si="18"/>
        <v/>
      </c>
      <c r="U143" s="298" t="str">
        <f>VLOOKUP(B143,'Base de Datos'!$E$7:$AU$401,38,0)</f>
        <v>SI</v>
      </c>
    </row>
    <row r="144" spans="1:21" ht="23.25" customHeight="1" thickTop="1" thickBot="1" x14ac:dyDescent="0.35">
      <c r="A144" s="96">
        <v>138</v>
      </c>
      <c r="B144" s="298" t="str">
        <f>+'Base de Datos'!E144</f>
        <v>130286-0-2013</v>
      </c>
      <c r="C144" s="298" t="str">
        <f>+'Base de Datos'!F144</f>
        <v>COMERCIALIZADORA INTERNACIONAL MEDICA DENTAL S.A.S</v>
      </c>
      <c r="D144" s="299">
        <f>+'Base de Datos'!I144</f>
        <v>17262940</v>
      </c>
      <c r="E144" s="300">
        <f>+'Base de Datos'!M144</f>
        <v>41570</v>
      </c>
      <c r="F144" s="300">
        <f>+'Base de Datos'!N144</f>
        <v>41692</v>
      </c>
      <c r="G144" s="300" t="e">
        <f>+'Base de Datos'!#REF!</f>
        <v>#REF!</v>
      </c>
      <c r="H144" s="299">
        <f>+'Base de Datos'!X144</f>
        <v>17262940</v>
      </c>
      <c r="I144" s="301" t="e">
        <f>IF(VLOOKUP(B144,'Base de Datos'!$E$7:$T$303,11,0),"SI","NO")</f>
        <v>#VALUE!</v>
      </c>
      <c r="J144" s="302" t="e">
        <f t="shared" si="14"/>
        <v>#VALUE!</v>
      </c>
      <c r="K144" s="301" t="e">
        <f>IF(VLOOKUP(B144,'Base de Datos'!$E$7:$T$303,11,0),"SI","NO")</f>
        <v>#VALUE!</v>
      </c>
      <c r="L144" s="302" t="e">
        <f t="shared" si="15"/>
        <v>#VALUE!</v>
      </c>
      <c r="M144" s="302">
        <f>VLOOKUP(B144,'Base de Datos'!$E$7:$AC$303,21,0)</f>
        <v>17262940</v>
      </c>
      <c r="N144" s="363" t="e">
        <f t="shared" ca="1" si="19"/>
        <v>#REF!</v>
      </c>
      <c r="O144" s="302">
        <f>VLOOKUP(B144,'Base de Datos'!$E$7:$AC$303,22,0)</f>
        <v>0</v>
      </c>
      <c r="P144" s="362" t="str">
        <f t="shared" ca="1" si="16"/>
        <v/>
      </c>
      <c r="Q144" s="375" t="e">
        <f t="shared" ca="1" si="20"/>
        <v>#VALUE!</v>
      </c>
      <c r="R144" s="298" t="str">
        <f>VLOOKUP(B144,'Base de Datos'!E144:AU455,33,0)</f>
        <v>Dirección Administrativa</v>
      </c>
      <c r="S144" s="301" t="e">
        <f t="shared" ca="1" si="17"/>
        <v>#REF!</v>
      </c>
      <c r="T144" s="298" t="str">
        <f t="shared" si="18"/>
        <v/>
      </c>
      <c r="U144" s="298" t="str">
        <f>VLOOKUP(B144,'Base de Datos'!$E$7:$AU$401,38,0)</f>
        <v>SI</v>
      </c>
    </row>
    <row r="145" spans="1:21" ht="23.25" customHeight="1" thickTop="1" thickBot="1" x14ac:dyDescent="0.35">
      <c r="A145" s="96">
        <v>139</v>
      </c>
      <c r="B145" s="298" t="str">
        <f>+'Base de Datos'!E145</f>
        <v>130297-0-2013</v>
      </c>
      <c r="C145" s="298" t="str">
        <f>+'Base de Datos'!F145</f>
        <v>GRUPO EDITORIAL EL PERIÓDICO S.A.S</v>
      </c>
      <c r="D145" s="299">
        <f>+'Base de Datos'!I145</f>
        <v>810000</v>
      </c>
      <c r="E145" s="300">
        <f>+'Base de Datos'!M145</f>
        <v>41575</v>
      </c>
      <c r="F145" s="300">
        <f>+'Base de Datos'!N145</f>
        <v>41939</v>
      </c>
      <c r="G145" s="300" t="e">
        <f>+'Base de Datos'!#REF!</f>
        <v>#REF!</v>
      </c>
      <c r="H145" s="299">
        <f>+'Base de Datos'!X145</f>
        <v>810000</v>
      </c>
      <c r="I145" s="301" t="e">
        <f>IF(VLOOKUP(B145,'Base de Datos'!$E$7:$T$303,11,0),"SI","NO")</f>
        <v>#VALUE!</v>
      </c>
      <c r="J145" s="302" t="e">
        <f t="shared" si="14"/>
        <v>#VALUE!</v>
      </c>
      <c r="K145" s="301" t="e">
        <f>IF(VLOOKUP(B145,'Base de Datos'!$E$7:$T$303,11,0),"SI","NO")</f>
        <v>#VALUE!</v>
      </c>
      <c r="L145" s="302" t="e">
        <f t="shared" si="15"/>
        <v>#VALUE!</v>
      </c>
      <c r="M145" s="302">
        <f>VLOOKUP(B145,'Base de Datos'!$E$7:$AC$303,21,0)</f>
        <v>810000</v>
      </c>
      <c r="N145" s="363" t="e">
        <f t="shared" ca="1" si="19"/>
        <v>#REF!</v>
      </c>
      <c r="O145" s="302">
        <f>VLOOKUP(B145,'Base de Datos'!$E$7:$AC$303,22,0)</f>
        <v>0</v>
      </c>
      <c r="P145" s="362" t="str">
        <f t="shared" ca="1" si="16"/>
        <v/>
      </c>
      <c r="Q145" s="375" t="e">
        <f t="shared" ca="1" si="20"/>
        <v>#VALUE!</v>
      </c>
      <c r="R145" s="298">
        <f>VLOOKUP(B145,'Base de Datos'!E145:AU456,33,0)</f>
        <v>0</v>
      </c>
      <c r="S145" s="301" t="e">
        <f t="shared" ca="1" si="17"/>
        <v>#REF!</v>
      </c>
      <c r="T145" s="298" t="str">
        <f t="shared" si="18"/>
        <v/>
      </c>
      <c r="U145" s="298" t="str">
        <f>VLOOKUP(B145,'Base de Datos'!$E$7:$AU$401,38,0)</f>
        <v>SI</v>
      </c>
    </row>
    <row r="146" spans="1:21" ht="23.25" customHeight="1" thickTop="1" thickBot="1" x14ac:dyDescent="0.35">
      <c r="A146" s="96">
        <v>140</v>
      </c>
      <c r="B146" s="298" t="str">
        <f>+'Base de Datos'!E146</f>
        <v>130298-0-2013</v>
      </c>
      <c r="C146" s="298" t="str">
        <f>+'Base de Datos'!F146</f>
        <v>SOLUCIONES INTEGRALES DE OFICINAS      SAS</v>
      </c>
      <c r="D146" s="299">
        <f>+'Base de Datos'!I146</f>
        <v>5545000</v>
      </c>
      <c r="E146" s="300">
        <f>+'Base de Datos'!M146</f>
        <v>41590</v>
      </c>
      <c r="F146" s="300">
        <f>+'Base de Datos'!N146</f>
        <v>41650</v>
      </c>
      <c r="G146" s="300" t="e">
        <f>+'Base de Datos'!#REF!</f>
        <v>#REF!</v>
      </c>
      <c r="H146" s="299">
        <f>+'Base de Datos'!X146</f>
        <v>5545000</v>
      </c>
      <c r="I146" s="301" t="e">
        <f>IF(VLOOKUP(B146,'Base de Datos'!$E$7:$T$303,11,0),"SI","NO")</f>
        <v>#VALUE!</v>
      </c>
      <c r="J146" s="302" t="e">
        <f t="shared" si="14"/>
        <v>#VALUE!</v>
      </c>
      <c r="K146" s="301" t="e">
        <f>IF(VLOOKUP(B146,'Base de Datos'!$E$7:$T$303,11,0),"SI","NO")</f>
        <v>#VALUE!</v>
      </c>
      <c r="L146" s="302" t="e">
        <f t="shared" si="15"/>
        <v>#VALUE!</v>
      </c>
      <c r="M146" s="302">
        <f>VLOOKUP(B146,'Base de Datos'!$E$7:$AC$303,21,0)</f>
        <v>5545000</v>
      </c>
      <c r="N146" s="363" t="e">
        <f t="shared" ca="1" si="19"/>
        <v>#REF!</v>
      </c>
      <c r="O146" s="302">
        <f>VLOOKUP(B146,'Base de Datos'!$E$7:$AC$303,22,0)</f>
        <v>0</v>
      </c>
      <c r="P146" s="362" t="str">
        <f t="shared" ca="1" si="16"/>
        <v/>
      </c>
      <c r="Q146" s="375" t="e">
        <f t="shared" ca="1" si="20"/>
        <v>#VALUE!</v>
      </c>
      <c r="R146" s="298">
        <f>VLOOKUP(B146,'Base de Datos'!E146:AU457,33,0)</f>
        <v>0</v>
      </c>
      <c r="S146" s="301" t="e">
        <f t="shared" ca="1" si="17"/>
        <v>#REF!</v>
      </c>
      <c r="T146" s="298" t="str">
        <f t="shared" si="18"/>
        <v/>
      </c>
      <c r="U146" s="298" t="str">
        <f>VLOOKUP(B146,'Base de Datos'!$E$7:$AU$401,38,0)</f>
        <v>SI</v>
      </c>
    </row>
    <row r="147" spans="1:21" ht="23.25" customHeight="1" thickTop="1" thickBot="1" x14ac:dyDescent="0.35">
      <c r="A147" s="96">
        <v>141</v>
      </c>
      <c r="B147" s="298" t="str">
        <f>+'Base de Datos'!E147</f>
        <v>130299-0-2013</v>
      </c>
      <c r="C147" s="298" t="str">
        <f>+'Base de Datos'!F147</f>
        <v>3D CONSULTING GROUP LTDA</v>
      </c>
      <c r="D147" s="299">
        <f>+'Base de Datos'!I147</f>
        <v>19360400</v>
      </c>
      <c r="E147" s="300">
        <f>+'Base de Datos'!M147</f>
        <v>41590</v>
      </c>
      <c r="F147" s="300">
        <f>+'Base de Datos'!N147</f>
        <v>41650</v>
      </c>
      <c r="G147" s="300" t="e">
        <f>+'Base de Datos'!#REF!</f>
        <v>#REF!</v>
      </c>
      <c r="H147" s="299">
        <f>+'Base de Datos'!X147</f>
        <v>19360400</v>
      </c>
      <c r="I147" s="301" t="e">
        <f>IF(VLOOKUP(B147,'Base de Datos'!$E$7:$T$303,11,0),"SI","NO")</f>
        <v>#VALUE!</v>
      </c>
      <c r="J147" s="302" t="e">
        <f t="shared" si="14"/>
        <v>#VALUE!</v>
      </c>
      <c r="K147" s="301" t="e">
        <f>IF(VLOOKUP(B147,'Base de Datos'!$E$7:$T$303,11,0),"SI","NO")</f>
        <v>#VALUE!</v>
      </c>
      <c r="L147" s="302" t="e">
        <f t="shared" si="15"/>
        <v>#VALUE!</v>
      </c>
      <c r="M147" s="302">
        <f>VLOOKUP(B147,'Base de Datos'!$E$7:$AC$303,21,0)</f>
        <v>19360400</v>
      </c>
      <c r="N147" s="363" t="e">
        <f t="shared" ca="1" si="19"/>
        <v>#REF!</v>
      </c>
      <c r="O147" s="302">
        <f>VLOOKUP(B147,'Base de Datos'!$E$7:$AC$303,22,0)</f>
        <v>0</v>
      </c>
      <c r="P147" s="362" t="str">
        <f t="shared" ca="1" si="16"/>
        <v/>
      </c>
      <c r="Q147" s="375" t="e">
        <f t="shared" ca="1" si="20"/>
        <v>#VALUE!</v>
      </c>
      <c r="R147" s="298">
        <f>VLOOKUP(B147,'Base de Datos'!E147:AU458,33,0)</f>
        <v>0</v>
      </c>
      <c r="S147" s="301" t="e">
        <f t="shared" ca="1" si="17"/>
        <v>#REF!</v>
      </c>
      <c r="T147" s="298" t="str">
        <f t="shared" si="18"/>
        <v/>
      </c>
      <c r="U147" s="298" t="str">
        <f>VLOOKUP(B147,'Base de Datos'!$E$7:$AU$401,38,0)</f>
        <v>SI</v>
      </c>
    </row>
    <row r="148" spans="1:21" ht="23.25" customHeight="1" thickTop="1" thickBot="1" x14ac:dyDescent="0.35">
      <c r="A148" s="96">
        <v>142</v>
      </c>
      <c r="B148" s="298" t="str">
        <f>+'Base de Datos'!E148</f>
        <v>130301-0-2013</v>
      </c>
      <c r="C148" s="298" t="str">
        <f>+'Base de Datos'!F148</f>
        <v>COMPENSAR BIENESTAR</v>
      </c>
      <c r="D148" s="299">
        <f>+'Base de Datos'!I148</f>
        <v>336560000</v>
      </c>
      <c r="E148" s="300">
        <f>+'Base de Datos'!M148</f>
        <v>41572</v>
      </c>
      <c r="F148" s="300">
        <f>+'Base de Datos'!N148</f>
        <v>41814</v>
      </c>
      <c r="G148" s="300" t="e">
        <f>+'Base de Datos'!#REF!</f>
        <v>#REF!</v>
      </c>
      <c r="H148" s="299">
        <f>+'Base de Datos'!X148</f>
        <v>502280800</v>
      </c>
      <c r="I148" s="301" t="e">
        <f>IF(VLOOKUP(B148,'Base de Datos'!$E$7:$T$303,11,0),"SI","NO")</f>
        <v>#VALUE!</v>
      </c>
      <c r="J148" s="302" t="e">
        <f t="shared" si="14"/>
        <v>#VALUE!</v>
      </c>
      <c r="K148" s="301" t="e">
        <f>IF(VLOOKUP(B148,'Base de Datos'!$E$7:$T$303,11,0),"SI","NO")</f>
        <v>#VALUE!</v>
      </c>
      <c r="L148" s="302" t="e">
        <f t="shared" si="15"/>
        <v>#VALUE!</v>
      </c>
      <c r="M148" s="302">
        <f>VLOOKUP(B148,'Base de Datos'!$E$7:$AC$303,21,0)</f>
        <v>502247588</v>
      </c>
      <c r="N148" s="363" t="e">
        <f t="shared" ca="1" si="19"/>
        <v>#REF!</v>
      </c>
      <c r="O148" s="302">
        <f>VLOOKUP(B148,'Base de Datos'!$E$7:$AC$303,22,0)</f>
        <v>33212</v>
      </c>
      <c r="P148" s="362" t="str">
        <f t="shared" ca="1" si="16"/>
        <v/>
      </c>
      <c r="Q148" s="375" t="e">
        <f t="shared" ca="1" si="20"/>
        <v>#VALUE!</v>
      </c>
      <c r="R148" s="298" t="str">
        <f>VLOOKUP(B148,'Base de Datos'!E148:AU459,33,0)</f>
        <v>Dirección Administrativa</v>
      </c>
      <c r="S148" s="301" t="e">
        <f t="shared" ca="1" si="17"/>
        <v>#REF!</v>
      </c>
      <c r="T148" s="298" t="str">
        <f t="shared" si="18"/>
        <v/>
      </c>
      <c r="U148" s="298" t="str">
        <f>VLOOKUP(B148,'Base de Datos'!$E$7:$AU$401,38,0)</f>
        <v>SI</v>
      </c>
    </row>
    <row r="149" spans="1:21" ht="23.25" customHeight="1" thickTop="1" thickBot="1" x14ac:dyDescent="0.35">
      <c r="A149" s="96">
        <v>143</v>
      </c>
      <c r="B149" s="298" t="str">
        <f>+'Base de Datos'!E149</f>
        <v>130309-0-2013</v>
      </c>
      <c r="C149" s="298" t="str">
        <f>+'Base de Datos'!F149</f>
        <v>UNIÓN TEMPORAL VIGILANCIA ACOSTA LTDA  - RUMBO ASOCIADOS</v>
      </c>
      <c r="D149" s="299">
        <f>+'Base de Datos'!I149</f>
        <v>533636000</v>
      </c>
      <c r="E149" s="300">
        <f>+'Base de Datos'!M149</f>
        <v>41580</v>
      </c>
      <c r="F149" s="300">
        <f>+'Base de Datos'!N149</f>
        <v>41944</v>
      </c>
      <c r="G149" s="300" t="e">
        <f>+'Base de Datos'!#REF!</f>
        <v>#REF!</v>
      </c>
      <c r="H149" s="299">
        <f>+'Base de Datos'!X149</f>
        <v>692839272</v>
      </c>
      <c r="I149" s="301" t="e">
        <f>IF(VLOOKUP(B149,'Base de Datos'!$E$7:$T$303,11,0),"SI","NO")</f>
        <v>#VALUE!</v>
      </c>
      <c r="J149" s="302" t="e">
        <f t="shared" si="14"/>
        <v>#VALUE!</v>
      </c>
      <c r="K149" s="301" t="e">
        <f>IF(VLOOKUP(B149,'Base de Datos'!$E$7:$T$303,11,0),"SI","NO")</f>
        <v>#VALUE!</v>
      </c>
      <c r="L149" s="302" t="e">
        <f t="shared" si="15"/>
        <v>#VALUE!</v>
      </c>
      <c r="M149" s="302">
        <f>VLOOKUP(B149,'Base de Datos'!$E$7:$AC$303,21,0)</f>
        <v>678164443</v>
      </c>
      <c r="N149" s="363" t="e">
        <f t="shared" ca="1" si="19"/>
        <v>#REF!</v>
      </c>
      <c r="O149" s="302">
        <f>VLOOKUP(B149,'Base de Datos'!$E$7:$AC$303,22,0)</f>
        <v>14674829</v>
      </c>
      <c r="P149" s="362" t="str">
        <f t="shared" ca="1" si="16"/>
        <v/>
      </c>
      <c r="Q149" s="375" t="e">
        <f t="shared" ca="1" si="20"/>
        <v>#VALUE!</v>
      </c>
      <c r="R149" s="298" t="str">
        <f>VLOOKUP(B149,'Base de Datos'!E149:AU460,33,0)</f>
        <v>Dirección Administrativa</v>
      </c>
      <c r="S149" s="301" t="e">
        <f t="shared" ca="1" si="17"/>
        <v>#REF!</v>
      </c>
      <c r="T149" s="298" t="str">
        <f t="shared" si="18"/>
        <v/>
      </c>
      <c r="U149" s="298" t="str">
        <f>VLOOKUP(B149,'Base de Datos'!$E$7:$AU$401,38,0)</f>
        <v>SI</v>
      </c>
    </row>
    <row r="150" spans="1:21" ht="23.25" customHeight="1" thickTop="1" thickBot="1" x14ac:dyDescent="0.35">
      <c r="A150" s="96">
        <v>144</v>
      </c>
      <c r="B150" s="298" t="str">
        <f>+'Base de Datos'!E150</f>
        <v>130321-0-2013</v>
      </c>
      <c r="C150" s="298" t="str">
        <f>+'Base de Datos'!F150</f>
        <v>EMPRESA DE TELECOMUNICACIONES DE BOGOTA S.A.   ESP</v>
      </c>
      <c r="D150" s="299">
        <f>+'Base de Datos'!I150</f>
        <v>150000000</v>
      </c>
      <c r="E150" s="300">
        <f>+'Base de Datos'!M150</f>
        <v>41610</v>
      </c>
      <c r="F150" s="300">
        <f>+'Base de Datos'!N150</f>
        <v>41975</v>
      </c>
      <c r="G150" s="300" t="e">
        <f>+'Base de Datos'!#REF!</f>
        <v>#REF!</v>
      </c>
      <c r="H150" s="299">
        <f>+'Base de Datos'!X150</f>
        <v>150000000</v>
      </c>
      <c r="I150" s="301" t="e">
        <f>IF(VLOOKUP(B150,'Base de Datos'!$E$7:$T$303,11,0),"SI","NO")</f>
        <v>#VALUE!</v>
      </c>
      <c r="J150" s="302" t="e">
        <f t="shared" si="14"/>
        <v>#VALUE!</v>
      </c>
      <c r="K150" s="301" t="e">
        <f>IF(VLOOKUP(B150,'Base de Datos'!$E$7:$T$303,11,0),"SI","NO")</f>
        <v>#VALUE!</v>
      </c>
      <c r="L150" s="302" t="e">
        <f t="shared" si="15"/>
        <v>#VALUE!</v>
      </c>
      <c r="M150" s="302">
        <f>VLOOKUP(B150,'Base de Datos'!$E$7:$AC$303,21,0)</f>
        <v>0</v>
      </c>
      <c r="N150" s="363" t="e">
        <f t="shared" ca="1" si="19"/>
        <v>#REF!</v>
      </c>
      <c r="O150" s="302">
        <f>VLOOKUP(B150,'Base de Datos'!$E$7:$AC$303,22,0)</f>
        <v>150000000</v>
      </c>
      <c r="P150" s="362" t="str">
        <f t="shared" ca="1" si="16"/>
        <v/>
      </c>
      <c r="Q150" s="375" t="e">
        <f t="shared" ca="1" si="20"/>
        <v>#VALUE!</v>
      </c>
      <c r="R150" s="298" t="str">
        <f>VLOOKUP(B150,'Base de Datos'!E150:AU461,33,0)</f>
        <v>Dirección Administrativa</v>
      </c>
      <c r="S150" s="301" t="e">
        <f t="shared" ca="1" si="17"/>
        <v>#REF!</v>
      </c>
      <c r="T150" s="298" t="str">
        <f t="shared" si="18"/>
        <v/>
      </c>
      <c r="U150" s="298" t="str">
        <f>VLOOKUP(B150,'Base de Datos'!$E$7:$AU$401,38,0)</f>
        <v>SI</v>
      </c>
    </row>
    <row r="151" spans="1:21" ht="23.25" customHeight="1" thickTop="1" thickBot="1" x14ac:dyDescent="0.35">
      <c r="A151" s="96">
        <v>145</v>
      </c>
      <c r="B151" s="298" t="str">
        <f>+'Base de Datos'!E151</f>
        <v>130325-0-2013</v>
      </c>
      <c r="C151" s="298" t="str">
        <f>+'Base de Datos'!F151</f>
        <v>SI CAPIT@L</v>
      </c>
      <c r="D151" s="299">
        <f>+'Base de Datos'!I151</f>
        <v>0</v>
      </c>
      <c r="E151" s="300">
        <f>+'Base de Datos'!M151</f>
        <v>41696</v>
      </c>
      <c r="F151" s="300">
        <f>+'Base de Datos'!N151</f>
        <v>42425</v>
      </c>
      <c r="G151" s="300" t="e">
        <f>+'Base de Datos'!#REF!</f>
        <v>#REF!</v>
      </c>
      <c r="H151" s="299">
        <f>+'Base de Datos'!X151</f>
        <v>0</v>
      </c>
      <c r="I151" s="301" t="e">
        <f>IF(VLOOKUP(B151,'Base de Datos'!$E$7:$T$303,11,0),"SI","NO")</f>
        <v>#VALUE!</v>
      </c>
      <c r="J151" s="302" t="e">
        <f t="shared" si="14"/>
        <v>#VALUE!</v>
      </c>
      <c r="K151" s="301" t="e">
        <f>IF(VLOOKUP(B151,'Base de Datos'!$E$7:$T$303,11,0),"SI","NO")</f>
        <v>#VALUE!</v>
      </c>
      <c r="L151" s="302" t="e">
        <f t="shared" si="15"/>
        <v>#VALUE!</v>
      </c>
      <c r="M151" s="302">
        <f>VLOOKUP(B151,'Base de Datos'!$E$7:$AC$303,21,0)</f>
        <v>0</v>
      </c>
      <c r="N151" s="363" t="e">
        <f t="shared" ca="1" si="19"/>
        <v>#REF!</v>
      </c>
      <c r="O151" s="302">
        <f>VLOOKUP(B151,'Base de Datos'!$E$7:$AC$303,22,0)</f>
        <v>0</v>
      </c>
      <c r="P151" s="362" t="str">
        <f t="shared" ca="1" si="16"/>
        <v/>
      </c>
      <c r="Q151" s="375" t="e">
        <f t="shared" ca="1" si="20"/>
        <v>#VALUE!</v>
      </c>
      <c r="R151" s="298" t="str">
        <f>VLOOKUP(B151,'Base de Datos'!E151:AU462,33,0)</f>
        <v>Dirección Administrativa</v>
      </c>
      <c r="S151" s="301" t="e">
        <f t="shared" ca="1" si="17"/>
        <v>#REF!</v>
      </c>
      <c r="T151" s="298" t="str">
        <f t="shared" si="18"/>
        <v/>
      </c>
      <c r="U151" s="298" t="str">
        <f>VLOOKUP(B151,'Base de Datos'!$E$7:$AU$401,38,0)</f>
        <v>SI</v>
      </c>
    </row>
    <row r="152" spans="1:21" ht="23.25" customHeight="1" thickTop="1" thickBot="1" x14ac:dyDescent="0.35">
      <c r="A152" s="96">
        <v>146</v>
      </c>
      <c r="B152" s="298" t="str">
        <f>+'Base de Datos'!E152</f>
        <v>120000-518-0-2012</v>
      </c>
      <c r="C152" s="298" t="str">
        <f>+'Base de Datos'!F152</f>
        <v>INSTITUTO DISTRITAL DEL PATRIMONIO CULTURAL - IDCP</v>
      </c>
      <c r="D152" s="299">
        <f>+'Base de Datos'!I152</f>
        <v>2689440000</v>
      </c>
      <c r="E152" s="300">
        <f>+'Base de Datos'!M152</f>
        <v>41263</v>
      </c>
      <c r="F152" s="300">
        <f>+'Base de Datos'!N152</f>
        <v>41993</v>
      </c>
      <c r="G152" s="300" t="e">
        <f>+'Base de Datos'!#REF!</f>
        <v>#REF!</v>
      </c>
      <c r="H152" s="299">
        <f>+'Base de Datos'!X152</f>
        <v>3900374978</v>
      </c>
      <c r="I152" s="301" t="e">
        <f>IF(VLOOKUP(B152,'Base de Datos'!$E$7:$T$303,11,0),"SI","NO")</f>
        <v>#VALUE!</v>
      </c>
      <c r="J152" s="302" t="e">
        <f t="shared" si="14"/>
        <v>#VALUE!</v>
      </c>
      <c r="K152" s="301" t="e">
        <f>IF(VLOOKUP(B152,'Base de Datos'!$E$7:$T$303,11,0),"SI","NO")</f>
        <v>#VALUE!</v>
      </c>
      <c r="L152" s="302" t="e">
        <f t="shared" si="15"/>
        <v>#VALUE!</v>
      </c>
      <c r="M152" s="302">
        <f>VLOOKUP(B152,'Base de Datos'!$E$7:$AC$303,21,0)</f>
        <v>680003244</v>
      </c>
      <c r="N152" s="363" t="e">
        <f t="shared" ca="1" si="19"/>
        <v>#REF!</v>
      </c>
      <c r="O152" s="302">
        <f>VLOOKUP(B152,'Base de Datos'!$E$7:$AC$303,22,0)</f>
        <v>3220371734</v>
      </c>
      <c r="P152" s="362" t="str">
        <f t="shared" ca="1" si="16"/>
        <v/>
      </c>
      <c r="Q152" s="375" t="e">
        <f t="shared" ca="1" si="20"/>
        <v>#VALUE!</v>
      </c>
      <c r="R152" s="298" t="str">
        <f>VLOOKUP(B152,'Base de Datos'!E152:AU463,33,0)</f>
        <v>Dirección Administrativa</v>
      </c>
      <c r="S152" s="301" t="e">
        <f t="shared" ca="1" si="17"/>
        <v>#REF!</v>
      </c>
      <c r="T152" s="298" t="str">
        <f t="shared" si="18"/>
        <v/>
      </c>
      <c r="U152" s="298" t="str">
        <f>VLOOKUP(B152,'Base de Datos'!$E$7:$AU$401,38,0)</f>
        <v>SI</v>
      </c>
    </row>
    <row r="153" spans="1:21" ht="23.25" customHeight="1" thickTop="1" thickBot="1" x14ac:dyDescent="0.35">
      <c r="A153" s="96">
        <v>147</v>
      </c>
      <c r="B153" s="298" t="str">
        <f>+'Base de Datos'!E153</f>
        <v>130334-0-2013</v>
      </c>
      <c r="C153" s="298" t="str">
        <f>+'Base de Datos'!F153</f>
        <v>NEX COMPUTER S.A.  - NEXCOM</v>
      </c>
      <c r="D153" s="299">
        <f>+'Base de Datos'!I153</f>
        <v>430036764</v>
      </c>
      <c r="E153" s="300">
        <f>+'Base de Datos'!M153</f>
        <v>41659</v>
      </c>
      <c r="F153" s="300">
        <f>+'Base de Datos'!N153</f>
        <v>41748</v>
      </c>
      <c r="G153" s="300" t="e">
        <f>+'Base de Datos'!#REF!</f>
        <v>#REF!</v>
      </c>
      <c r="H153" s="299">
        <f>+'Base de Datos'!X153</f>
        <v>430036764</v>
      </c>
      <c r="I153" s="301" t="e">
        <f>IF(VLOOKUP(B153,'Base de Datos'!$E$7:$T$303,11,0),"SI","NO")</f>
        <v>#VALUE!</v>
      </c>
      <c r="J153" s="302" t="e">
        <f t="shared" si="14"/>
        <v>#VALUE!</v>
      </c>
      <c r="K153" s="301" t="e">
        <f>IF(VLOOKUP(B153,'Base de Datos'!$E$7:$T$303,11,0),"SI","NO")</f>
        <v>#VALUE!</v>
      </c>
      <c r="L153" s="302" t="e">
        <f t="shared" si="15"/>
        <v>#VALUE!</v>
      </c>
      <c r="M153" s="302">
        <f>VLOOKUP(B153,'Base de Datos'!$E$7:$AC$303,21,0)</f>
        <v>430036600</v>
      </c>
      <c r="N153" s="363" t="e">
        <f t="shared" ca="1" si="19"/>
        <v>#REF!</v>
      </c>
      <c r="O153" s="302">
        <f>VLOOKUP(B153,'Base de Datos'!$E$7:$AC$303,22,0)</f>
        <v>164</v>
      </c>
      <c r="P153" s="362" t="str">
        <f t="shared" ca="1" si="16"/>
        <v/>
      </c>
      <c r="Q153" s="375" t="e">
        <f t="shared" ca="1" si="20"/>
        <v>#VALUE!</v>
      </c>
      <c r="R153" s="298" t="str">
        <f>VLOOKUP(B153,'Base de Datos'!E153:AU464,33,0)</f>
        <v>Dirección Administrativa</v>
      </c>
      <c r="S153" s="301" t="e">
        <f t="shared" ca="1" si="17"/>
        <v>#REF!</v>
      </c>
      <c r="T153" s="298" t="str">
        <f t="shared" si="18"/>
        <v/>
      </c>
      <c r="U153" s="298" t="str">
        <f>VLOOKUP(B153,'Base de Datos'!$E$7:$AU$401,38,0)</f>
        <v>NO</v>
      </c>
    </row>
    <row r="154" spans="1:21" ht="23.25" customHeight="1" thickTop="1" thickBot="1" x14ac:dyDescent="0.35">
      <c r="A154" s="96">
        <v>148</v>
      </c>
      <c r="B154" s="298" t="str">
        <f>+'Base de Datos'!E154</f>
        <v>130336-0-2013</v>
      </c>
      <c r="C154" s="298" t="str">
        <f>+'Base de Datos'!F154</f>
        <v>CESAR ALEJANDRO GUERRERO BARRIGA</v>
      </c>
      <c r="D154" s="299">
        <f>+'Base de Datos'!I154</f>
        <v>6000000</v>
      </c>
      <c r="E154" s="300">
        <f>+'Base de Datos'!M154</f>
        <v>41620</v>
      </c>
      <c r="F154" s="300">
        <f>+'Base de Datos'!N154</f>
        <v>41681</v>
      </c>
      <c r="G154" s="300" t="e">
        <f>+'Base de Datos'!#REF!</f>
        <v>#REF!</v>
      </c>
      <c r="H154" s="299">
        <f>+'Base de Datos'!X154</f>
        <v>6000000</v>
      </c>
      <c r="I154" s="301" t="e">
        <f>IF(VLOOKUP(B154,'Base de Datos'!$E$7:$T$303,11,0),"SI","NO")</f>
        <v>#VALUE!</v>
      </c>
      <c r="J154" s="302" t="e">
        <f t="shared" si="14"/>
        <v>#VALUE!</v>
      </c>
      <c r="K154" s="301" t="e">
        <f>IF(VLOOKUP(B154,'Base de Datos'!$E$7:$T$303,11,0),"SI","NO")</f>
        <v>#VALUE!</v>
      </c>
      <c r="L154" s="302" t="e">
        <f t="shared" si="15"/>
        <v>#VALUE!</v>
      </c>
      <c r="M154" s="302">
        <f>VLOOKUP(B154,'Base de Datos'!$E$7:$AC$303,21,0)</f>
        <v>6000000</v>
      </c>
      <c r="N154" s="363" t="e">
        <f t="shared" ca="1" si="19"/>
        <v>#REF!</v>
      </c>
      <c r="O154" s="302">
        <f>VLOOKUP(B154,'Base de Datos'!$E$7:$AC$303,22,0)</f>
        <v>0</v>
      </c>
      <c r="P154" s="362" t="str">
        <f t="shared" ca="1" si="16"/>
        <v/>
      </c>
      <c r="Q154" s="375" t="e">
        <f t="shared" ca="1" si="20"/>
        <v>#VALUE!</v>
      </c>
      <c r="R154" s="298">
        <f>VLOOKUP(B154,'Base de Datos'!E154:AU465,33,0)</f>
        <v>0</v>
      </c>
      <c r="S154" s="301" t="e">
        <f t="shared" ca="1" si="17"/>
        <v>#REF!</v>
      </c>
      <c r="T154" s="298" t="str">
        <f t="shared" si="18"/>
        <v/>
      </c>
      <c r="U154" s="298" t="str">
        <f>VLOOKUP(B154,'Base de Datos'!$E$7:$AU$401,38,0)</f>
        <v>NO</v>
      </c>
    </row>
    <row r="155" spans="1:21" ht="23.25" customHeight="1" thickTop="1" thickBot="1" x14ac:dyDescent="0.35">
      <c r="A155" s="96">
        <v>149</v>
      </c>
      <c r="B155" s="298" t="str">
        <f>+'Base de Datos'!E155</f>
        <v>130340-0-2013</v>
      </c>
      <c r="C155" s="298" t="str">
        <f>+'Base de Datos'!F155</f>
        <v>RIELCO   LTDA</v>
      </c>
      <c r="D155" s="299">
        <f>+'Base de Datos'!I155</f>
        <v>7937504</v>
      </c>
      <c r="E155" s="300">
        <f>+'Base de Datos'!M155</f>
        <v>41641</v>
      </c>
      <c r="F155" s="300">
        <f>+'Base de Datos'!N155</f>
        <v>42005</v>
      </c>
      <c r="G155" s="300" t="e">
        <f>+'Base de Datos'!#REF!</f>
        <v>#REF!</v>
      </c>
      <c r="H155" s="299">
        <f>+'Base de Datos'!X155</f>
        <v>7937504</v>
      </c>
      <c r="I155" s="301" t="e">
        <f>IF(VLOOKUP(B155,'Base de Datos'!$E$7:$T$303,11,0),"SI","NO")</f>
        <v>#VALUE!</v>
      </c>
      <c r="J155" s="302" t="e">
        <f t="shared" si="14"/>
        <v>#VALUE!</v>
      </c>
      <c r="K155" s="301" t="e">
        <f>IF(VLOOKUP(B155,'Base de Datos'!$E$7:$T$303,11,0),"SI","NO")</f>
        <v>#VALUE!</v>
      </c>
      <c r="L155" s="302" t="e">
        <f t="shared" si="15"/>
        <v>#VALUE!</v>
      </c>
      <c r="M155" s="302">
        <f>VLOOKUP(B155,'Base de Datos'!$E$7:$AC$303,21,0)</f>
        <v>5992064</v>
      </c>
      <c r="N155" s="363" t="e">
        <f t="shared" ca="1" si="19"/>
        <v>#REF!</v>
      </c>
      <c r="O155" s="302">
        <f>VLOOKUP(B155,'Base de Datos'!$E$7:$AC$303,22,0)</f>
        <v>1945440</v>
      </c>
      <c r="P155" s="362" t="str">
        <f t="shared" ca="1" si="16"/>
        <v/>
      </c>
      <c r="Q155" s="375" t="e">
        <f t="shared" ca="1" si="20"/>
        <v>#VALUE!</v>
      </c>
      <c r="R155" s="298" t="str">
        <f>VLOOKUP(B155,'Base de Datos'!E155:AU466,33,0)</f>
        <v>Dirección Administrativa</v>
      </c>
      <c r="S155" s="301" t="e">
        <f t="shared" ca="1" si="17"/>
        <v>#REF!</v>
      </c>
      <c r="T155" s="298" t="str">
        <f t="shared" si="18"/>
        <v/>
      </c>
      <c r="U155" s="298" t="str">
        <f>VLOOKUP(B155,'Base de Datos'!$E$7:$AU$401,38,0)</f>
        <v>SI</v>
      </c>
    </row>
    <row r="156" spans="1:21" ht="23.25" customHeight="1" thickTop="1" thickBot="1" x14ac:dyDescent="0.35">
      <c r="A156" s="96">
        <v>150</v>
      </c>
      <c r="B156" s="298" t="str">
        <f>+'Base de Datos'!E156</f>
        <v>130346-0-2013</v>
      </c>
      <c r="C156" s="298" t="str">
        <f>+'Base de Datos'!F156</f>
        <v>RIGOBERTO GÓMEZ JAIMES</v>
      </c>
      <c r="D156" s="299">
        <f>+'Base de Datos'!I156</f>
        <v>15000000</v>
      </c>
      <c r="E156" s="300">
        <f>+'Base de Datos'!M156</f>
        <v>41612</v>
      </c>
      <c r="F156" s="300">
        <f>+'Base de Datos'!N156</f>
        <v>41658</v>
      </c>
      <c r="G156" s="300" t="e">
        <f>+'Base de Datos'!#REF!</f>
        <v>#REF!</v>
      </c>
      <c r="H156" s="299">
        <f>+'Base de Datos'!X156</f>
        <v>15000000</v>
      </c>
      <c r="I156" s="301" t="e">
        <f>IF(VLOOKUP(B156,'Base de Datos'!$E$7:$T$303,11,0),"SI","NO")</f>
        <v>#VALUE!</v>
      </c>
      <c r="J156" s="302" t="e">
        <f t="shared" si="14"/>
        <v>#VALUE!</v>
      </c>
      <c r="K156" s="301" t="e">
        <f>IF(VLOOKUP(B156,'Base de Datos'!$E$7:$T$303,11,0),"SI","NO")</f>
        <v>#VALUE!</v>
      </c>
      <c r="L156" s="302" t="e">
        <f t="shared" si="15"/>
        <v>#VALUE!</v>
      </c>
      <c r="M156" s="302">
        <f>VLOOKUP(B156,'Base de Datos'!$E$7:$AC$303,21,0)</f>
        <v>15000000</v>
      </c>
      <c r="N156" s="363" t="e">
        <f t="shared" ca="1" si="19"/>
        <v>#REF!</v>
      </c>
      <c r="O156" s="302">
        <f>VLOOKUP(B156,'Base de Datos'!$E$7:$AC$303,22,0)</f>
        <v>0</v>
      </c>
      <c r="P156" s="362" t="str">
        <f t="shared" ca="1" si="16"/>
        <v/>
      </c>
      <c r="Q156" s="375" t="e">
        <f t="shared" ca="1" si="20"/>
        <v>#VALUE!</v>
      </c>
      <c r="R156" s="298" t="str">
        <f>VLOOKUP(B156,'Base de Datos'!E156:AU467,33,0)</f>
        <v>Dirección Administrativa</v>
      </c>
      <c r="S156" s="301" t="e">
        <f t="shared" ca="1" si="17"/>
        <v>#REF!</v>
      </c>
      <c r="T156" s="298" t="str">
        <f t="shared" si="18"/>
        <v/>
      </c>
      <c r="U156" s="298" t="str">
        <f>VLOOKUP(B156,'Base de Datos'!$E$7:$AU$401,38,0)</f>
        <v>SI</v>
      </c>
    </row>
    <row r="157" spans="1:21" ht="23.25" customHeight="1" thickTop="1" thickBot="1" x14ac:dyDescent="0.35">
      <c r="A157" s="96">
        <v>151</v>
      </c>
      <c r="B157" s="298" t="str">
        <f>+'Base de Datos'!E157</f>
        <v>130349-0-2013</v>
      </c>
      <c r="C157" s="298" t="str">
        <f>+'Base de Datos'!F157</f>
        <v>PUBBLICA S.A.S.</v>
      </c>
      <c r="D157" s="299">
        <f>+'Base de Datos'!I157</f>
        <v>452974000</v>
      </c>
      <c r="E157" s="300">
        <f>+'Base de Datos'!M157</f>
        <v>41621</v>
      </c>
      <c r="F157" s="300">
        <f>+'Base de Datos'!N157</f>
        <v>41985</v>
      </c>
      <c r="G157" s="300" t="e">
        <f>+'Base de Datos'!#REF!</f>
        <v>#REF!</v>
      </c>
      <c r="H157" s="299">
        <f>+'Base de Datos'!X157</f>
        <v>452974000</v>
      </c>
      <c r="I157" s="301" t="e">
        <f>IF(VLOOKUP(B157,'Base de Datos'!$E$7:$T$303,11,0),"SI","NO")</f>
        <v>#VALUE!</v>
      </c>
      <c r="J157" s="302" t="e">
        <f t="shared" si="14"/>
        <v>#VALUE!</v>
      </c>
      <c r="K157" s="301" t="e">
        <f>IF(VLOOKUP(B157,'Base de Datos'!$E$7:$T$303,11,0),"SI","NO")</f>
        <v>#VALUE!</v>
      </c>
      <c r="L157" s="302" t="e">
        <f t="shared" si="15"/>
        <v>#VALUE!</v>
      </c>
      <c r="M157" s="302">
        <f>VLOOKUP(B157,'Base de Datos'!$E$7:$AC$303,21,0)</f>
        <v>452973998</v>
      </c>
      <c r="N157" s="363" t="e">
        <f t="shared" ca="1" si="19"/>
        <v>#REF!</v>
      </c>
      <c r="O157" s="302">
        <f>VLOOKUP(B157,'Base de Datos'!$E$7:$AC$303,22,0)</f>
        <v>2</v>
      </c>
      <c r="P157" s="362" t="str">
        <f t="shared" ca="1" si="16"/>
        <v/>
      </c>
      <c r="Q157" s="375" t="e">
        <f t="shared" ca="1" si="20"/>
        <v>#VALUE!</v>
      </c>
      <c r="R157" s="298" t="str">
        <f>VLOOKUP(B157,'Base de Datos'!E157:AU468,33,0)</f>
        <v>Oficina Asesora de Comunicaciones</v>
      </c>
      <c r="S157" s="301" t="e">
        <f t="shared" ca="1" si="17"/>
        <v>#REF!</v>
      </c>
      <c r="T157" s="298" t="str">
        <f t="shared" si="18"/>
        <v/>
      </c>
      <c r="U157" s="298" t="str">
        <f>VLOOKUP(B157,'Base de Datos'!$E$7:$AU$401,38,0)</f>
        <v>SI</v>
      </c>
    </row>
    <row r="158" spans="1:21" ht="23.25" customHeight="1" thickTop="1" thickBot="1" x14ac:dyDescent="0.35">
      <c r="A158" s="96">
        <v>152</v>
      </c>
      <c r="B158" s="298" t="str">
        <f>+'Base de Datos'!E158</f>
        <v>130352-0-2013</v>
      </c>
      <c r="C158" s="298" t="str">
        <f>+'Base de Datos'!F158</f>
        <v>INSTITUCIONAL STAR SERVICES LTDA</v>
      </c>
      <c r="D158" s="299">
        <f>+'Base de Datos'!I158</f>
        <v>95000000</v>
      </c>
      <c r="E158" s="300">
        <f>+'Base de Datos'!M158</f>
        <v>41647</v>
      </c>
      <c r="F158" s="300">
        <f>+'Base de Datos'!N158</f>
        <v>41889</v>
      </c>
      <c r="G158" s="300" t="e">
        <f>+'Base de Datos'!#REF!</f>
        <v>#REF!</v>
      </c>
      <c r="H158" s="299">
        <f>+'Base de Datos'!X158</f>
        <v>95000000</v>
      </c>
      <c r="I158" s="301" t="e">
        <f>IF(VLOOKUP(B158,'Base de Datos'!$E$7:$T$303,11,0),"SI","NO")</f>
        <v>#VALUE!</v>
      </c>
      <c r="J158" s="302" t="e">
        <f t="shared" si="14"/>
        <v>#VALUE!</v>
      </c>
      <c r="K158" s="301" t="e">
        <f>IF(VLOOKUP(B158,'Base de Datos'!$E$7:$T$303,11,0),"SI","NO")</f>
        <v>#VALUE!</v>
      </c>
      <c r="L158" s="302" t="e">
        <f t="shared" si="15"/>
        <v>#VALUE!</v>
      </c>
      <c r="M158" s="302">
        <f>VLOOKUP(B158,'Base de Datos'!$E$7:$AC$303,21,0)</f>
        <v>88983693</v>
      </c>
      <c r="N158" s="363" t="e">
        <f t="shared" ca="1" si="19"/>
        <v>#REF!</v>
      </c>
      <c r="O158" s="302">
        <f>VLOOKUP(B158,'Base de Datos'!$E$7:$AC$303,22,0)</f>
        <v>6016307</v>
      </c>
      <c r="P158" s="362" t="str">
        <f t="shared" ca="1" si="16"/>
        <v/>
      </c>
      <c r="Q158" s="375" t="e">
        <f t="shared" ca="1" si="20"/>
        <v>#VALUE!</v>
      </c>
      <c r="R158" s="298" t="str">
        <f>VLOOKUP(B158,'Base de Datos'!E158:AU469,33,0)</f>
        <v>Dirección Administrativa</v>
      </c>
      <c r="S158" s="301" t="e">
        <f t="shared" ca="1" si="17"/>
        <v>#REF!</v>
      </c>
      <c r="T158" s="298" t="str">
        <f t="shared" si="18"/>
        <v/>
      </c>
      <c r="U158" s="298" t="str">
        <f>VLOOKUP(B158,'Base de Datos'!$E$7:$AU$401,38,0)</f>
        <v>SI</v>
      </c>
    </row>
    <row r="159" spans="1:21" ht="23.25" customHeight="1" thickTop="1" thickBot="1" x14ac:dyDescent="0.35">
      <c r="A159" s="96">
        <v>153</v>
      </c>
      <c r="B159" s="298" t="str">
        <f>+'Base de Datos'!E159</f>
        <v>130355-0-2013</v>
      </c>
      <c r="C159" s="298" t="str">
        <f>+'Base de Datos'!F159</f>
        <v>CAJA COLOMBIANA SUBSIDIO FAMILIAR - COLSUBSIDIO</v>
      </c>
      <c r="D159" s="299">
        <f>+'Base de Datos'!I159</f>
        <v>63128000</v>
      </c>
      <c r="E159" s="300">
        <f>+'Base de Datos'!M159</f>
        <v>41626</v>
      </c>
      <c r="F159" s="300">
        <f>+'Base de Datos'!N159</f>
        <v>41641</v>
      </c>
      <c r="G159" s="300" t="e">
        <f>+'Base de Datos'!#REF!</f>
        <v>#REF!</v>
      </c>
      <c r="H159" s="299">
        <f>+'Base de Datos'!X159</f>
        <v>63128000</v>
      </c>
      <c r="I159" s="301" t="e">
        <f>IF(VLOOKUP(B159,'Base de Datos'!$E$7:$T$303,11,0),"SI","NO")</f>
        <v>#VALUE!</v>
      </c>
      <c r="J159" s="302" t="e">
        <f t="shared" si="14"/>
        <v>#VALUE!</v>
      </c>
      <c r="K159" s="301" t="e">
        <f>IF(VLOOKUP(B159,'Base de Datos'!$E$7:$T$303,11,0),"SI","NO")</f>
        <v>#VALUE!</v>
      </c>
      <c r="L159" s="302" t="e">
        <f t="shared" si="15"/>
        <v>#VALUE!</v>
      </c>
      <c r="M159" s="302">
        <f>VLOOKUP(B159,'Base de Datos'!$E$7:$AC$303,21,0)</f>
        <v>63128000</v>
      </c>
      <c r="N159" s="363" t="e">
        <f t="shared" ca="1" si="19"/>
        <v>#REF!</v>
      </c>
      <c r="O159" s="302">
        <f>VLOOKUP(B159,'Base de Datos'!$E$7:$AC$303,22,0)</f>
        <v>0</v>
      </c>
      <c r="P159" s="362" t="str">
        <f t="shared" ca="1" si="16"/>
        <v/>
      </c>
      <c r="Q159" s="375" t="e">
        <f t="shared" ca="1" si="20"/>
        <v>#VALUE!</v>
      </c>
      <c r="R159" s="298" t="str">
        <f>VLOOKUP(B159,'Base de Datos'!E159:AU470,33,0)</f>
        <v>Dirección Administrativa</v>
      </c>
      <c r="S159" s="301" t="e">
        <f t="shared" ca="1" si="17"/>
        <v>#REF!</v>
      </c>
      <c r="T159" s="298" t="str">
        <f t="shared" si="18"/>
        <v/>
      </c>
      <c r="U159" s="298" t="str">
        <f>VLOOKUP(B159,'Base de Datos'!$E$7:$AU$401,38,0)</f>
        <v>NO</v>
      </c>
    </row>
    <row r="160" spans="1:21" ht="23.25" customHeight="1" thickTop="1" thickBot="1" x14ac:dyDescent="0.35">
      <c r="A160" s="96">
        <v>154</v>
      </c>
      <c r="B160" s="298" t="str">
        <f>+'Base de Datos'!E160</f>
        <v>130361-0-2013</v>
      </c>
      <c r="C160" s="298" t="str">
        <f>+'Base de Datos'!F160</f>
        <v>ANDREA SUSANA BELLO CANTOR</v>
      </c>
      <c r="D160" s="299">
        <f>+'Base de Datos'!I160</f>
        <v>5000000</v>
      </c>
      <c r="E160" s="300">
        <f>+'Base de Datos'!M160</f>
        <v>41628</v>
      </c>
      <c r="F160" s="300">
        <f>+'Base de Datos'!N160</f>
        <v>41658</v>
      </c>
      <c r="G160" s="300" t="e">
        <f>+'Base de Datos'!#REF!</f>
        <v>#REF!</v>
      </c>
      <c r="H160" s="299">
        <f>+'Base de Datos'!X160</f>
        <v>5000000</v>
      </c>
      <c r="I160" s="301" t="e">
        <f>IF(VLOOKUP(B160,'Base de Datos'!$E$7:$T$303,11,0),"SI","NO")</f>
        <v>#VALUE!</v>
      </c>
      <c r="J160" s="302" t="e">
        <f t="shared" si="14"/>
        <v>#VALUE!</v>
      </c>
      <c r="K160" s="301" t="e">
        <f>IF(VLOOKUP(B160,'Base de Datos'!$E$7:$T$303,11,0),"SI","NO")</f>
        <v>#VALUE!</v>
      </c>
      <c r="L160" s="302" t="e">
        <f t="shared" si="15"/>
        <v>#VALUE!</v>
      </c>
      <c r="M160" s="302">
        <f>VLOOKUP(B160,'Base de Datos'!$E$7:$AC$303,21,0)</f>
        <v>5000000</v>
      </c>
      <c r="N160" s="363" t="e">
        <f t="shared" ca="1" si="19"/>
        <v>#REF!</v>
      </c>
      <c r="O160" s="302">
        <f>VLOOKUP(B160,'Base de Datos'!$E$7:$AC$303,22,0)</f>
        <v>0</v>
      </c>
      <c r="P160" s="362" t="str">
        <f t="shared" ca="1" si="16"/>
        <v/>
      </c>
      <c r="Q160" s="375" t="e">
        <f t="shared" ca="1" si="20"/>
        <v>#VALUE!</v>
      </c>
      <c r="R160" s="298">
        <f>VLOOKUP(B160,'Base de Datos'!E160:AU471,33,0)</f>
        <v>0</v>
      </c>
      <c r="S160" s="301" t="e">
        <f t="shared" ca="1" si="17"/>
        <v>#REF!</v>
      </c>
      <c r="T160" s="298" t="str">
        <f t="shared" si="18"/>
        <v/>
      </c>
      <c r="U160" s="298" t="str">
        <f>VLOOKUP(B160,'Base de Datos'!$E$7:$AU$401,38,0)</f>
        <v>NO</v>
      </c>
    </row>
    <row r="161" spans="1:21" ht="23.25" customHeight="1" thickTop="1" thickBot="1" x14ac:dyDescent="0.35">
      <c r="A161" s="96">
        <v>155</v>
      </c>
      <c r="B161" s="298" t="str">
        <f>+'Base de Datos'!E161</f>
        <v>130362-0-2013</v>
      </c>
      <c r="C161" s="298" t="str">
        <f>+'Base de Datos'!F161</f>
        <v>JORGE ORLANDO RUBIANO CARRANZA</v>
      </c>
      <c r="D161" s="299">
        <f>+'Base de Datos'!I161</f>
        <v>5000000</v>
      </c>
      <c r="E161" s="300">
        <f>+'Base de Datos'!M161</f>
        <v>41628</v>
      </c>
      <c r="F161" s="300">
        <f>+'Base de Datos'!N161</f>
        <v>41658</v>
      </c>
      <c r="G161" s="300" t="e">
        <f>+'Base de Datos'!#REF!</f>
        <v>#REF!</v>
      </c>
      <c r="H161" s="299">
        <f>+'Base de Datos'!X161</f>
        <v>5000000</v>
      </c>
      <c r="I161" s="301" t="e">
        <f>IF(VLOOKUP(B161,'Base de Datos'!$E$7:$T$303,11,0),"SI","NO")</f>
        <v>#VALUE!</v>
      </c>
      <c r="J161" s="302" t="e">
        <f t="shared" si="14"/>
        <v>#VALUE!</v>
      </c>
      <c r="K161" s="301" t="e">
        <f>IF(VLOOKUP(B161,'Base de Datos'!$E$7:$T$303,11,0),"SI","NO")</f>
        <v>#VALUE!</v>
      </c>
      <c r="L161" s="302" t="e">
        <f t="shared" si="15"/>
        <v>#VALUE!</v>
      </c>
      <c r="M161" s="302">
        <f>VLOOKUP(B161,'Base de Datos'!$E$7:$AC$303,21,0)</f>
        <v>5000000</v>
      </c>
      <c r="N161" s="363" t="e">
        <f t="shared" ca="1" si="19"/>
        <v>#REF!</v>
      </c>
      <c r="O161" s="302">
        <f>VLOOKUP(B161,'Base de Datos'!$E$7:$AC$303,22,0)</f>
        <v>0</v>
      </c>
      <c r="P161" s="362" t="str">
        <f t="shared" ca="1" si="16"/>
        <v/>
      </c>
      <c r="Q161" s="375" t="e">
        <f t="shared" ca="1" si="20"/>
        <v>#VALUE!</v>
      </c>
      <c r="R161" s="298">
        <f>VLOOKUP(B161,'Base de Datos'!E161:AU472,33,0)</f>
        <v>0</v>
      </c>
      <c r="S161" s="301" t="e">
        <f t="shared" ca="1" si="17"/>
        <v>#REF!</v>
      </c>
      <c r="T161" s="298" t="str">
        <f t="shared" si="18"/>
        <v/>
      </c>
      <c r="U161" s="298" t="str">
        <f>VLOOKUP(B161,'Base de Datos'!$E$7:$AU$401,38,0)</f>
        <v>NO</v>
      </c>
    </row>
    <row r="162" spans="1:21" ht="23.25" customHeight="1" thickTop="1" thickBot="1" x14ac:dyDescent="0.35">
      <c r="A162" s="96">
        <v>156</v>
      </c>
      <c r="B162" s="298" t="str">
        <f>+'Base de Datos'!E162</f>
        <v>130363-0-2013</v>
      </c>
      <c r="C162" s="298" t="str">
        <f>+'Base de Datos'!F162</f>
        <v>UNIÓN TEMPORAL AVALÚOS PATRIMONIALES H-SD</v>
      </c>
      <c r="D162" s="299">
        <f>+'Base de Datos'!I162</f>
        <v>70000000</v>
      </c>
      <c r="E162" s="300">
        <f>+'Base de Datos'!M162</f>
        <v>41647</v>
      </c>
      <c r="F162" s="300">
        <f>+'Base de Datos'!N162</f>
        <v>41705</v>
      </c>
      <c r="G162" s="300" t="e">
        <f>+'Base de Datos'!#REF!</f>
        <v>#REF!</v>
      </c>
      <c r="H162" s="299">
        <f>+'Base de Datos'!X162</f>
        <v>70000000</v>
      </c>
      <c r="I162" s="301" t="e">
        <f>IF(VLOOKUP(B162,'Base de Datos'!$E$7:$T$303,11,0),"SI","NO")</f>
        <v>#VALUE!</v>
      </c>
      <c r="J162" s="302" t="e">
        <f t="shared" si="14"/>
        <v>#VALUE!</v>
      </c>
      <c r="K162" s="301" t="e">
        <f>IF(VLOOKUP(B162,'Base de Datos'!$E$7:$T$303,11,0),"SI","NO")</f>
        <v>#VALUE!</v>
      </c>
      <c r="L162" s="302" t="e">
        <f t="shared" si="15"/>
        <v>#VALUE!</v>
      </c>
      <c r="M162" s="302">
        <f>VLOOKUP(B162,'Base de Datos'!$E$7:$AC$303,21,0)</f>
        <v>69658711</v>
      </c>
      <c r="N162" s="363" t="e">
        <f t="shared" ca="1" si="19"/>
        <v>#REF!</v>
      </c>
      <c r="O162" s="302">
        <f>VLOOKUP(B162,'Base de Datos'!$E$7:$AC$303,22,0)</f>
        <v>341289</v>
      </c>
      <c r="P162" s="362" t="str">
        <f t="shared" ca="1" si="16"/>
        <v/>
      </c>
      <c r="Q162" s="375" t="e">
        <f t="shared" ca="1" si="20"/>
        <v>#VALUE!</v>
      </c>
      <c r="R162" s="298">
        <f>VLOOKUP(B162,'Base de Datos'!E162:AU473,33,0)</f>
        <v>0</v>
      </c>
      <c r="S162" s="301" t="e">
        <f t="shared" ca="1" si="17"/>
        <v>#REF!</v>
      </c>
      <c r="T162" s="298" t="str">
        <f t="shared" si="18"/>
        <v/>
      </c>
      <c r="U162" s="298" t="str">
        <f>VLOOKUP(B162,'Base de Datos'!$E$7:$AU$401,38,0)</f>
        <v>SI</v>
      </c>
    </row>
    <row r="163" spans="1:21" ht="23.25" customHeight="1" thickTop="1" thickBot="1" x14ac:dyDescent="0.35">
      <c r="A163" s="96">
        <v>157</v>
      </c>
      <c r="B163" s="298" t="str">
        <f>+'Base de Datos'!E163</f>
        <v>130364-0-2013</v>
      </c>
      <c r="C163" s="298" t="str">
        <f>+'Base de Datos'!F163</f>
        <v>FERNANDO SOTOMONTE AMAYA</v>
      </c>
      <c r="D163" s="299">
        <f>+'Base de Datos'!I163</f>
        <v>5000000</v>
      </c>
      <c r="E163" s="300">
        <f>+'Base de Datos'!M163</f>
        <v>41628</v>
      </c>
      <c r="F163" s="300">
        <f>+'Base de Datos'!N163</f>
        <v>41658</v>
      </c>
      <c r="G163" s="300" t="e">
        <f>+'Base de Datos'!#REF!</f>
        <v>#REF!</v>
      </c>
      <c r="H163" s="299">
        <f>+'Base de Datos'!X163</f>
        <v>5000000</v>
      </c>
      <c r="I163" s="301" t="e">
        <f>IF(VLOOKUP(B163,'Base de Datos'!$E$7:$T$303,11,0),"SI","NO")</f>
        <v>#VALUE!</v>
      </c>
      <c r="J163" s="302" t="e">
        <f t="shared" si="14"/>
        <v>#VALUE!</v>
      </c>
      <c r="K163" s="301" t="e">
        <f>IF(VLOOKUP(B163,'Base de Datos'!$E$7:$T$303,11,0),"SI","NO")</f>
        <v>#VALUE!</v>
      </c>
      <c r="L163" s="302" t="e">
        <f t="shared" si="15"/>
        <v>#VALUE!</v>
      </c>
      <c r="M163" s="302">
        <f>VLOOKUP(B163,'Base de Datos'!$E$7:$AC$303,21,0)</f>
        <v>5000000</v>
      </c>
      <c r="N163" s="363" t="e">
        <f t="shared" ca="1" si="19"/>
        <v>#REF!</v>
      </c>
      <c r="O163" s="302">
        <f>VLOOKUP(B163,'Base de Datos'!$E$7:$AC$303,22,0)</f>
        <v>0</v>
      </c>
      <c r="P163" s="362" t="str">
        <f t="shared" ca="1" si="16"/>
        <v/>
      </c>
      <c r="Q163" s="375" t="e">
        <f t="shared" ca="1" si="20"/>
        <v>#VALUE!</v>
      </c>
      <c r="R163" s="298">
        <f>VLOOKUP(B163,'Base de Datos'!E163:AU474,33,0)</f>
        <v>0</v>
      </c>
      <c r="S163" s="301" t="e">
        <f t="shared" ca="1" si="17"/>
        <v>#REF!</v>
      </c>
      <c r="T163" s="298" t="str">
        <f t="shared" si="18"/>
        <v/>
      </c>
      <c r="U163" s="298" t="str">
        <f>VLOOKUP(B163,'Base de Datos'!$E$7:$AU$401,38,0)</f>
        <v>NO</v>
      </c>
    </row>
    <row r="164" spans="1:21" ht="23.25" customHeight="1" thickTop="1" thickBot="1" x14ac:dyDescent="0.35">
      <c r="A164" s="96">
        <v>158</v>
      </c>
      <c r="B164" s="298" t="str">
        <f>+'Base de Datos'!E164</f>
        <v>130365-0-2013</v>
      </c>
      <c r="C164" s="298" t="str">
        <f>+'Base de Datos'!F164</f>
        <v>JORGE ALBERTO GALVIS  ESTUPIÑAN</v>
      </c>
      <c r="D164" s="299">
        <f>+'Base de Datos'!I164</f>
        <v>5000000</v>
      </c>
      <c r="E164" s="300">
        <f>+'Base de Datos'!M164</f>
        <v>41628</v>
      </c>
      <c r="F164" s="300">
        <f>+'Base de Datos'!N164</f>
        <v>41658</v>
      </c>
      <c r="G164" s="300" t="e">
        <f>+'Base de Datos'!#REF!</f>
        <v>#REF!</v>
      </c>
      <c r="H164" s="299">
        <f>+'Base de Datos'!X164</f>
        <v>5000000</v>
      </c>
      <c r="I164" s="301" t="e">
        <f>IF(VLOOKUP(B164,'Base de Datos'!$E$7:$T$303,11,0),"SI","NO")</f>
        <v>#VALUE!</v>
      </c>
      <c r="J164" s="302" t="e">
        <f t="shared" si="14"/>
        <v>#VALUE!</v>
      </c>
      <c r="K164" s="301" t="e">
        <f>IF(VLOOKUP(B164,'Base de Datos'!$E$7:$T$303,11,0),"SI","NO")</f>
        <v>#VALUE!</v>
      </c>
      <c r="L164" s="302" t="e">
        <f t="shared" si="15"/>
        <v>#VALUE!</v>
      </c>
      <c r="M164" s="302">
        <f>VLOOKUP(B164,'Base de Datos'!$E$7:$AC$303,21,0)</f>
        <v>5000000</v>
      </c>
      <c r="N164" s="363" t="e">
        <f t="shared" ca="1" si="19"/>
        <v>#REF!</v>
      </c>
      <c r="O164" s="302">
        <f>VLOOKUP(B164,'Base de Datos'!$E$7:$AC$303,22,0)</f>
        <v>0</v>
      </c>
      <c r="P164" s="362" t="str">
        <f t="shared" ca="1" si="16"/>
        <v/>
      </c>
      <c r="Q164" s="375" t="e">
        <f t="shared" ca="1" si="20"/>
        <v>#VALUE!</v>
      </c>
      <c r="R164" s="298">
        <f>VLOOKUP(B164,'Base de Datos'!E164:AU475,33,0)</f>
        <v>0</v>
      </c>
      <c r="S164" s="301" t="e">
        <f t="shared" ca="1" si="17"/>
        <v>#REF!</v>
      </c>
      <c r="T164" s="298" t="str">
        <f t="shared" si="18"/>
        <v/>
      </c>
      <c r="U164" s="298" t="str">
        <f>VLOOKUP(B164,'Base de Datos'!$E$7:$AU$401,38,0)</f>
        <v>NO</v>
      </c>
    </row>
    <row r="165" spans="1:21" ht="23.25" customHeight="1" thickTop="1" thickBot="1" x14ac:dyDescent="0.35">
      <c r="A165" s="96">
        <v>159</v>
      </c>
      <c r="B165" s="298" t="str">
        <f>+'Base de Datos'!E165</f>
        <v>130368-0-2013</v>
      </c>
      <c r="C165" s="298" t="str">
        <f>+'Base de Datos'!F165</f>
        <v>NEX COMPUTER S.A.  - NEXCOM</v>
      </c>
      <c r="D165" s="299">
        <f>+'Base de Datos'!I165</f>
        <v>3017160</v>
      </c>
      <c r="E165" s="300">
        <f>+'Base de Datos'!M165</f>
        <v>41662</v>
      </c>
      <c r="F165" s="300">
        <f>+'Base de Datos'!N165</f>
        <v>41751</v>
      </c>
      <c r="G165" s="300" t="e">
        <f>+'Base de Datos'!#REF!</f>
        <v>#REF!</v>
      </c>
      <c r="H165" s="299">
        <f>+'Base de Datos'!X165</f>
        <v>3017160</v>
      </c>
      <c r="I165" s="301" t="e">
        <f>IF(VLOOKUP(B165,'Base de Datos'!$E$7:$T$303,11,0),"SI","NO")</f>
        <v>#VALUE!</v>
      </c>
      <c r="J165" s="302" t="e">
        <f t="shared" si="14"/>
        <v>#VALUE!</v>
      </c>
      <c r="K165" s="301" t="e">
        <f>IF(VLOOKUP(B165,'Base de Datos'!$E$7:$T$303,11,0),"SI","NO")</f>
        <v>#VALUE!</v>
      </c>
      <c r="L165" s="302" t="e">
        <f t="shared" si="15"/>
        <v>#VALUE!</v>
      </c>
      <c r="M165" s="302">
        <f>VLOOKUP(B165,'Base de Datos'!$E$7:$AC$303,21,0)</f>
        <v>3017160</v>
      </c>
      <c r="N165" s="363" t="e">
        <f t="shared" ca="1" si="19"/>
        <v>#REF!</v>
      </c>
      <c r="O165" s="302">
        <f>VLOOKUP(B165,'Base de Datos'!$E$7:$AC$303,22,0)</f>
        <v>0</v>
      </c>
      <c r="P165" s="362" t="str">
        <f t="shared" ca="1" si="16"/>
        <v/>
      </c>
      <c r="Q165" s="375" t="e">
        <f t="shared" ca="1" si="20"/>
        <v>#VALUE!</v>
      </c>
      <c r="R165" s="298" t="str">
        <f>VLOOKUP(B165,'Base de Datos'!E165:AU476,33,0)</f>
        <v>Dirección Administrativa</v>
      </c>
      <c r="S165" s="301" t="e">
        <f t="shared" ca="1" si="17"/>
        <v>#REF!</v>
      </c>
      <c r="T165" s="298" t="str">
        <f t="shared" si="18"/>
        <v/>
      </c>
      <c r="U165" s="298" t="str">
        <f>VLOOKUP(B165,'Base de Datos'!$E$7:$AU$401,38,0)</f>
        <v>SI</v>
      </c>
    </row>
    <row r="166" spans="1:21" ht="23.25" customHeight="1" thickTop="1" thickBot="1" x14ac:dyDescent="0.35">
      <c r="A166" s="96">
        <v>160</v>
      </c>
      <c r="B166" s="298" t="str">
        <f>+'Base de Datos'!E166</f>
        <v>130370-0-2013</v>
      </c>
      <c r="C166" s="298" t="str">
        <f>+'Base de Datos'!F166</f>
        <v>UNIPLES S.A.</v>
      </c>
      <c r="D166" s="299">
        <f>+'Base de Datos'!I166</f>
        <v>60000000</v>
      </c>
      <c r="E166" s="300">
        <f>+'Base de Datos'!M166</f>
        <v>41655</v>
      </c>
      <c r="F166" s="300">
        <f>+'Base de Datos'!N166</f>
        <v>42019</v>
      </c>
      <c r="G166" s="300" t="e">
        <f>+'Base de Datos'!#REF!</f>
        <v>#REF!</v>
      </c>
      <c r="H166" s="299">
        <f>+'Base de Datos'!X166</f>
        <v>90000000</v>
      </c>
      <c r="I166" s="301" t="e">
        <f>IF(VLOOKUP(B166,'Base de Datos'!$E$7:$T$303,11,0),"SI","NO")</f>
        <v>#VALUE!</v>
      </c>
      <c r="J166" s="302" t="e">
        <f t="shared" si="14"/>
        <v>#VALUE!</v>
      </c>
      <c r="K166" s="301" t="e">
        <f>IF(VLOOKUP(B166,'Base de Datos'!$E$7:$T$303,11,0),"SI","NO")</f>
        <v>#VALUE!</v>
      </c>
      <c r="L166" s="302" t="e">
        <f t="shared" si="15"/>
        <v>#VALUE!</v>
      </c>
      <c r="M166" s="302">
        <f>VLOOKUP(B166,'Base de Datos'!$E$7:$AC$303,21,0)</f>
        <v>42574877.200000003</v>
      </c>
      <c r="N166" s="363" t="e">
        <f t="shared" ca="1" si="19"/>
        <v>#REF!</v>
      </c>
      <c r="O166" s="302">
        <f>VLOOKUP(B166,'Base de Datos'!$E$7:$AC$303,22,0)</f>
        <v>47425122.799999997</v>
      </c>
      <c r="P166" s="362" t="str">
        <f t="shared" ca="1" si="16"/>
        <v/>
      </c>
      <c r="Q166" s="375" t="e">
        <f t="shared" ca="1" si="20"/>
        <v>#VALUE!</v>
      </c>
      <c r="R166" s="298" t="str">
        <f>VLOOKUP(B166,'Base de Datos'!E166:AU477,33,0)</f>
        <v>Dirección Administrativa</v>
      </c>
      <c r="S166" s="301" t="e">
        <f t="shared" ca="1" si="17"/>
        <v>#REF!</v>
      </c>
      <c r="T166" s="298" t="str">
        <f t="shared" si="18"/>
        <v/>
      </c>
      <c r="U166" s="298" t="str">
        <f>VLOOKUP(B166,'Base de Datos'!$E$7:$AU$401,38,0)</f>
        <v>SI</v>
      </c>
    </row>
    <row r="167" spans="1:21" ht="23.25" customHeight="1" thickTop="1" thickBot="1" x14ac:dyDescent="0.35">
      <c r="A167" s="96">
        <v>161</v>
      </c>
      <c r="B167" s="298" t="str">
        <f>+'Base de Datos'!E167</f>
        <v>130372-0-2013</v>
      </c>
      <c r="C167" s="298" t="str">
        <f>+'Base de Datos'!F167</f>
        <v>VICTOR MANUEL ARMELLA VELÁSQUEZ</v>
      </c>
      <c r="D167" s="299">
        <f>+'Base de Datos'!I167</f>
        <v>5000000</v>
      </c>
      <c r="E167" s="300">
        <f>+'Base de Datos'!M167</f>
        <v>41634</v>
      </c>
      <c r="F167" s="300">
        <f>+'Base de Datos'!N167</f>
        <v>41664</v>
      </c>
      <c r="G167" s="300" t="e">
        <f>+'Base de Datos'!#REF!</f>
        <v>#REF!</v>
      </c>
      <c r="H167" s="299">
        <f>+'Base de Datos'!X167</f>
        <v>5000000</v>
      </c>
      <c r="I167" s="301" t="e">
        <f>IF(VLOOKUP(B167,'Base de Datos'!$E$7:$T$303,11,0),"SI","NO")</f>
        <v>#VALUE!</v>
      </c>
      <c r="J167" s="302" t="e">
        <f t="shared" si="14"/>
        <v>#VALUE!</v>
      </c>
      <c r="K167" s="301" t="e">
        <f>IF(VLOOKUP(B167,'Base de Datos'!$E$7:$T$303,11,0),"SI","NO")</f>
        <v>#VALUE!</v>
      </c>
      <c r="L167" s="302" t="e">
        <f t="shared" si="15"/>
        <v>#VALUE!</v>
      </c>
      <c r="M167" s="302">
        <f>VLOOKUP(B167,'Base de Datos'!$E$7:$AC$303,21,0)</f>
        <v>5000000</v>
      </c>
      <c r="N167" s="363" t="e">
        <f t="shared" ca="1" si="19"/>
        <v>#REF!</v>
      </c>
      <c r="O167" s="302">
        <f>VLOOKUP(B167,'Base de Datos'!$E$7:$AC$303,22,0)</f>
        <v>0</v>
      </c>
      <c r="P167" s="362" t="str">
        <f t="shared" ca="1" si="16"/>
        <v/>
      </c>
      <c r="Q167" s="375" t="e">
        <f t="shared" ca="1" si="20"/>
        <v>#VALUE!</v>
      </c>
      <c r="R167" s="298">
        <f>VLOOKUP(B167,'Base de Datos'!E167:AU478,33,0)</f>
        <v>0</v>
      </c>
      <c r="S167" s="301" t="e">
        <f t="shared" ca="1" si="17"/>
        <v>#REF!</v>
      </c>
      <c r="T167" s="298" t="str">
        <f t="shared" si="18"/>
        <v/>
      </c>
      <c r="U167" s="298" t="str">
        <f>VLOOKUP(B167,'Base de Datos'!$E$7:$AU$401,38,0)</f>
        <v>NO</v>
      </c>
    </row>
    <row r="168" spans="1:21" ht="23.25" customHeight="1" thickTop="1" thickBot="1" x14ac:dyDescent="0.35">
      <c r="A168" s="96">
        <v>162</v>
      </c>
      <c r="B168" s="298" t="str">
        <f>+'Base de Datos'!E168</f>
        <v>130373-0-2013</v>
      </c>
      <c r="C168" s="298" t="str">
        <f>+'Base de Datos'!F168</f>
        <v>COLOMBIANA DE SOFTWARE Y HARDWARE COLSOF S.A.</v>
      </c>
      <c r="D168" s="299">
        <f>+'Base de Datos'!I168</f>
        <v>3743343</v>
      </c>
      <c r="E168" s="300">
        <f>+'Base de Datos'!M168</f>
        <v>41662</v>
      </c>
      <c r="F168" s="300">
        <f>+'Base de Datos'!N168</f>
        <v>41754</v>
      </c>
      <c r="G168" s="300" t="e">
        <f>+'Base de Datos'!#REF!</f>
        <v>#REF!</v>
      </c>
      <c r="H168" s="299">
        <f>+'Base de Datos'!X168</f>
        <v>3743343</v>
      </c>
      <c r="I168" s="301" t="e">
        <f>IF(VLOOKUP(B168,'Base de Datos'!$E$7:$T$303,11,0),"SI","NO")</f>
        <v>#VALUE!</v>
      </c>
      <c r="J168" s="302" t="e">
        <f t="shared" si="14"/>
        <v>#VALUE!</v>
      </c>
      <c r="K168" s="301" t="e">
        <f>IF(VLOOKUP(B168,'Base de Datos'!$E$7:$T$303,11,0),"SI","NO")</f>
        <v>#VALUE!</v>
      </c>
      <c r="L168" s="302" t="e">
        <f t="shared" si="15"/>
        <v>#VALUE!</v>
      </c>
      <c r="M168" s="302">
        <f>VLOOKUP(B168,'Base de Datos'!$E$7:$AC$303,21,0)</f>
        <v>3743343</v>
      </c>
      <c r="N168" s="363" t="e">
        <f t="shared" ca="1" si="19"/>
        <v>#REF!</v>
      </c>
      <c r="O168" s="302">
        <f>VLOOKUP(B168,'Base de Datos'!$E$7:$AC$303,22,0)</f>
        <v>0</v>
      </c>
      <c r="P168" s="362" t="str">
        <f t="shared" ca="1" si="16"/>
        <v/>
      </c>
      <c r="Q168" s="375" t="e">
        <f t="shared" ca="1" si="20"/>
        <v>#VALUE!</v>
      </c>
      <c r="R168" s="298">
        <f>VLOOKUP(B168,'Base de Datos'!E168:AU479,33,0)</f>
        <v>0</v>
      </c>
      <c r="S168" s="301" t="e">
        <f t="shared" ca="1" si="17"/>
        <v>#REF!</v>
      </c>
      <c r="T168" s="298" t="str">
        <f t="shared" si="18"/>
        <v/>
      </c>
      <c r="U168" s="298" t="str">
        <f>VLOOKUP(B168,'Base de Datos'!$E$7:$AU$401,38,0)</f>
        <v>NO</v>
      </c>
    </row>
    <row r="169" spans="1:21" ht="23.25" customHeight="1" thickTop="1" thickBot="1" x14ac:dyDescent="0.35">
      <c r="A169" s="96">
        <v>163</v>
      </c>
      <c r="B169" s="298" t="str">
        <f>+'Base de Datos'!E169</f>
        <v>130375-0-2013</v>
      </c>
      <c r="C169" s="298" t="str">
        <f>+'Base de Datos'!F169</f>
        <v>DIANA PATRICIA JAIME - SERVIMATEC DNO</v>
      </c>
      <c r="D169" s="299">
        <f>+'Base de Datos'!I169</f>
        <v>1620000</v>
      </c>
      <c r="E169" s="300">
        <f>+'Base de Datos'!M169</f>
        <v>41662</v>
      </c>
      <c r="F169" s="300">
        <f>+'Base de Datos'!N169</f>
        <v>42026</v>
      </c>
      <c r="G169" s="300" t="e">
        <f>+'Base de Datos'!#REF!</f>
        <v>#REF!</v>
      </c>
      <c r="H169" s="299">
        <f>+'Base de Datos'!X169</f>
        <v>1620000</v>
      </c>
      <c r="I169" s="301" t="e">
        <f>IF(VLOOKUP(B169,'Base de Datos'!$E$7:$T$303,11,0),"SI","NO")</f>
        <v>#VALUE!</v>
      </c>
      <c r="J169" s="302" t="e">
        <f t="shared" si="14"/>
        <v>#VALUE!</v>
      </c>
      <c r="K169" s="301" t="e">
        <f>IF(VLOOKUP(B169,'Base de Datos'!$E$7:$T$303,11,0),"SI","NO")</f>
        <v>#VALUE!</v>
      </c>
      <c r="L169" s="302" t="e">
        <f t="shared" si="15"/>
        <v>#VALUE!</v>
      </c>
      <c r="M169" s="302">
        <f>VLOOKUP(B169,'Base de Datos'!$E$7:$AC$303,21,0)</f>
        <v>354000</v>
      </c>
      <c r="N169" s="363" t="e">
        <f t="shared" ca="1" si="19"/>
        <v>#REF!</v>
      </c>
      <c r="O169" s="302">
        <f>VLOOKUP(B169,'Base de Datos'!$E$7:$AC$303,22,0)</f>
        <v>1266000</v>
      </c>
      <c r="P169" s="362" t="str">
        <f t="shared" ca="1" si="16"/>
        <v/>
      </c>
      <c r="Q169" s="375" t="e">
        <f t="shared" ca="1" si="20"/>
        <v>#VALUE!</v>
      </c>
      <c r="R169" s="298" t="str">
        <f>VLOOKUP(B169,'Base de Datos'!E169:AU480,33,0)</f>
        <v>Dirección Administrativa</v>
      </c>
      <c r="S169" s="301" t="e">
        <f t="shared" ca="1" si="17"/>
        <v>#REF!</v>
      </c>
      <c r="T169" s="298" t="str">
        <f t="shared" si="18"/>
        <v/>
      </c>
      <c r="U169" s="298" t="str">
        <f>VLOOKUP(B169,'Base de Datos'!$E$7:$AU$401,38,0)</f>
        <v>SI</v>
      </c>
    </row>
    <row r="170" spans="1:21" ht="23.25" customHeight="1" thickTop="1" thickBot="1" x14ac:dyDescent="0.35">
      <c r="A170" s="96">
        <v>164</v>
      </c>
      <c r="B170" s="298" t="str">
        <f>+'Base de Datos'!E170</f>
        <v>130378-0-2013</v>
      </c>
      <c r="C170" s="298" t="str">
        <f>+'Base de Datos'!F170</f>
        <v>INGEAL S.A.</v>
      </c>
      <c r="D170" s="299">
        <f>+'Base de Datos'!I170</f>
        <v>32048480</v>
      </c>
      <c r="E170" s="300">
        <f>+'Base de Datos'!M170</f>
        <v>41655</v>
      </c>
      <c r="F170" s="300">
        <f>+'Base de Datos'!N170</f>
        <v>41713</v>
      </c>
      <c r="G170" s="300" t="e">
        <f>+'Base de Datos'!#REF!</f>
        <v>#REF!</v>
      </c>
      <c r="H170" s="299">
        <f>+'Base de Datos'!X170</f>
        <v>32048480</v>
      </c>
      <c r="I170" s="301" t="e">
        <f>IF(VLOOKUP(B170,'Base de Datos'!$E$7:$T$303,11,0),"SI","NO")</f>
        <v>#VALUE!</v>
      </c>
      <c r="J170" s="302" t="e">
        <f t="shared" si="14"/>
        <v>#VALUE!</v>
      </c>
      <c r="K170" s="301" t="e">
        <f>IF(VLOOKUP(B170,'Base de Datos'!$E$7:$T$303,11,0),"SI","NO")</f>
        <v>#VALUE!</v>
      </c>
      <c r="L170" s="302" t="e">
        <f t="shared" si="15"/>
        <v>#VALUE!</v>
      </c>
      <c r="M170" s="302">
        <f>VLOOKUP(B170,'Base de Datos'!$E$7:$AC$303,21,0)</f>
        <v>32048480</v>
      </c>
      <c r="N170" s="363" t="e">
        <f t="shared" ca="1" si="19"/>
        <v>#REF!</v>
      </c>
      <c r="O170" s="302">
        <f>VLOOKUP(B170,'Base de Datos'!$E$7:$AC$303,22,0)</f>
        <v>0</v>
      </c>
      <c r="P170" s="362" t="str">
        <f t="shared" ca="1" si="16"/>
        <v/>
      </c>
      <c r="Q170" s="375" t="e">
        <f t="shared" ca="1" si="20"/>
        <v>#VALUE!</v>
      </c>
      <c r="R170" s="298" t="str">
        <f>VLOOKUP(B170,'Base de Datos'!E170:AU481,33,0)</f>
        <v>Dirección Administrativa</v>
      </c>
      <c r="S170" s="301" t="e">
        <f t="shared" ca="1" si="17"/>
        <v>#REF!</v>
      </c>
      <c r="T170" s="298" t="str">
        <f t="shared" si="18"/>
        <v/>
      </c>
      <c r="U170" s="298" t="str">
        <f>VLOOKUP(B170,'Base de Datos'!$E$7:$AU$401,38,0)</f>
        <v>SI</v>
      </c>
    </row>
    <row r="171" spans="1:21" ht="23.25" customHeight="1" thickTop="1" thickBot="1" x14ac:dyDescent="0.35">
      <c r="A171" s="96">
        <v>165</v>
      </c>
      <c r="B171" s="298" t="str">
        <f>+'Base de Datos'!E171</f>
        <v>130380-0-2013</v>
      </c>
      <c r="C171" s="298" t="str">
        <f>+'Base de Datos'!F171</f>
        <v>COMUNICACIONES E INFORMÁTICA  S.A..S</v>
      </c>
      <c r="D171" s="299">
        <f>+'Base de Datos'!I171</f>
        <v>3480000</v>
      </c>
      <c r="E171" s="300">
        <f>+'Base de Datos'!M171</f>
        <v>41662</v>
      </c>
      <c r="F171" s="300">
        <f>+'Base de Datos'!N171</f>
        <v>41720</v>
      </c>
      <c r="G171" s="300" t="e">
        <f>+'Base de Datos'!#REF!</f>
        <v>#REF!</v>
      </c>
      <c r="H171" s="299">
        <f>+'Base de Datos'!X171</f>
        <v>3480000</v>
      </c>
      <c r="I171" s="301" t="e">
        <f>IF(VLOOKUP(B171,'Base de Datos'!$E$7:$T$303,11,0),"SI","NO")</f>
        <v>#VALUE!</v>
      </c>
      <c r="J171" s="302" t="e">
        <f t="shared" si="14"/>
        <v>#VALUE!</v>
      </c>
      <c r="K171" s="301" t="e">
        <f>IF(VLOOKUP(B171,'Base de Datos'!$E$7:$T$303,11,0),"SI","NO")</f>
        <v>#VALUE!</v>
      </c>
      <c r="L171" s="302" t="e">
        <f t="shared" si="15"/>
        <v>#VALUE!</v>
      </c>
      <c r="M171" s="302">
        <f>VLOOKUP(B171,'Base de Datos'!$E$7:$AC$303,21,0)</f>
        <v>3480000</v>
      </c>
      <c r="N171" s="363" t="e">
        <f t="shared" ca="1" si="19"/>
        <v>#REF!</v>
      </c>
      <c r="O171" s="302">
        <f>VLOOKUP(B171,'Base de Datos'!$E$7:$AC$303,22,0)</f>
        <v>0</v>
      </c>
      <c r="P171" s="362" t="str">
        <f t="shared" ca="1" si="16"/>
        <v/>
      </c>
      <c r="Q171" s="375" t="e">
        <f t="shared" ca="1" si="20"/>
        <v>#VALUE!</v>
      </c>
      <c r="R171" s="298">
        <f>VLOOKUP(B171,'Base de Datos'!E171:AU482,33,0)</f>
        <v>0</v>
      </c>
      <c r="S171" s="301" t="e">
        <f t="shared" ca="1" si="17"/>
        <v>#REF!</v>
      </c>
      <c r="T171" s="298" t="str">
        <f t="shared" si="18"/>
        <v/>
      </c>
      <c r="U171" s="298" t="str">
        <f>VLOOKUP(B171,'Base de Datos'!$E$7:$AU$401,38,0)</f>
        <v>NO</v>
      </c>
    </row>
    <row r="172" spans="1:21" ht="23.25" customHeight="1" thickTop="1" thickBot="1" x14ac:dyDescent="0.35">
      <c r="A172" s="96">
        <v>166</v>
      </c>
      <c r="B172" s="298" t="str">
        <f>+'Base de Datos'!E172</f>
        <v>130384-0-2013</v>
      </c>
      <c r="C172" s="298" t="str">
        <f>+'Base de Datos'!F172</f>
        <v>INGEAL S.A.</v>
      </c>
      <c r="D172" s="299">
        <f>+'Base de Datos'!I172</f>
        <v>126308000</v>
      </c>
      <c r="E172" s="300">
        <f>+'Base de Datos'!M172</f>
        <v>41662</v>
      </c>
      <c r="F172" s="300">
        <f>+'Base de Datos'!N172</f>
        <v>41736</v>
      </c>
      <c r="G172" s="300" t="e">
        <f>+'Base de Datos'!#REF!</f>
        <v>#REF!</v>
      </c>
      <c r="H172" s="299">
        <f>+'Base de Datos'!X172</f>
        <v>126308000</v>
      </c>
      <c r="I172" s="301" t="e">
        <f>IF(VLOOKUP(B172,'Base de Datos'!$E$7:$T$303,11,0),"SI","NO")</f>
        <v>#VALUE!</v>
      </c>
      <c r="J172" s="302" t="e">
        <f t="shared" si="14"/>
        <v>#VALUE!</v>
      </c>
      <c r="K172" s="301" t="e">
        <f>IF(VLOOKUP(B172,'Base de Datos'!$E$7:$T$303,11,0),"SI","NO")</f>
        <v>#VALUE!</v>
      </c>
      <c r="L172" s="302" t="e">
        <f t="shared" si="15"/>
        <v>#VALUE!</v>
      </c>
      <c r="M172" s="302">
        <f>VLOOKUP(B172,'Base de Datos'!$E$7:$AC$303,21,0)</f>
        <v>126308000</v>
      </c>
      <c r="N172" s="363" t="e">
        <f t="shared" ca="1" si="19"/>
        <v>#REF!</v>
      </c>
      <c r="O172" s="302">
        <f>VLOOKUP(B172,'Base de Datos'!$E$7:$AC$303,22,0)</f>
        <v>0</v>
      </c>
      <c r="P172" s="362" t="str">
        <f t="shared" ca="1" si="16"/>
        <v/>
      </c>
      <c r="Q172" s="375" t="e">
        <f t="shared" ca="1" si="20"/>
        <v>#VALUE!</v>
      </c>
      <c r="R172" s="298" t="str">
        <f>VLOOKUP(B172,'Base de Datos'!E172:AU483,33,0)</f>
        <v>Dirección Administrativa</v>
      </c>
      <c r="S172" s="301" t="e">
        <f t="shared" ca="1" si="17"/>
        <v>#REF!</v>
      </c>
      <c r="T172" s="298" t="str">
        <f t="shared" si="18"/>
        <v/>
      </c>
      <c r="U172" s="298" t="str">
        <f>VLOOKUP(B172,'Base de Datos'!$E$7:$AU$401,38,0)</f>
        <v>SI</v>
      </c>
    </row>
    <row r="173" spans="1:21" ht="23.25" customHeight="1" thickTop="1" thickBot="1" x14ac:dyDescent="0.35">
      <c r="A173" s="96">
        <v>167</v>
      </c>
      <c r="B173" s="298" t="str">
        <f>+'Base de Datos'!E173</f>
        <v>130385-0-2013</v>
      </c>
      <c r="C173" s="298" t="str">
        <f>+'Base de Datos'!F173</f>
        <v>NORMA CONSTANZA MEZA GÓMEZ</v>
      </c>
      <c r="D173" s="299">
        <f>+'Base de Datos'!I173</f>
        <v>3500000</v>
      </c>
      <c r="E173" s="300">
        <f>+'Base de Datos'!M173</f>
        <v>41638</v>
      </c>
      <c r="F173" s="300">
        <f>+'Base de Datos'!N173</f>
        <v>41668</v>
      </c>
      <c r="G173" s="300" t="e">
        <f>+'Base de Datos'!#REF!</f>
        <v>#REF!</v>
      </c>
      <c r="H173" s="299">
        <f>+'Base de Datos'!X173</f>
        <v>3500000</v>
      </c>
      <c r="I173" s="301" t="e">
        <f>IF(VLOOKUP(B173,'Base de Datos'!$E$7:$T$303,11,0),"SI","NO")</f>
        <v>#VALUE!</v>
      </c>
      <c r="J173" s="302" t="e">
        <f t="shared" si="14"/>
        <v>#VALUE!</v>
      </c>
      <c r="K173" s="301" t="e">
        <f>IF(VLOOKUP(B173,'Base de Datos'!$E$7:$T$303,11,0),"SI","NO")</f>
        <v>#VALUE!</v>
      </c>
      <c r="L173" s="302" t="e">
        <f t="shared" si="15"/>
        <v>#VALUE!</v>
      </c>
      <c r="M173" s="302">
        <f>VLOOKUP(B173,'Base de Datos'!$E$7:$AC$303,21,0)</f>
        <v>3500000</v>
      </c>
      <c r="N173" s="363" t="e">
        <f t="shared" ca="1" si="19"/>
        <v>#REF!</v>
      </c>
      <c r="O173" s="302">
        <f>VLOOKUP(B173,'Base de Datos'!$E$7:$AC$303,22,0)</f>
        <v>0</v>
      </c>
      <c r="P173" s="362" t="str">
        <f t="shared" ca="1" si="16"/>
        <v/>
      </c>
      <c r="Q173" s="375" t="e">
        <f t="shared" ca="1" si="20"/>
        <v>#VALUE!</v>
      </c>
      <c r="R173" s="298">
        <f>VLOOKUP(B173,'Base de Datos'!E173:AU484,33,0)</f>
        <v>0</v>
      </c>
      <c r="S173" s="301" t="e">
        <f t="shared" ca="1" si="17"/>
        <v>#REF!</v>
      </c>
      <c r="T173" s="298" t="str">
        <f t="shared" si="18"/>
        <v/>
      </c>
      <c r="U173" s="298" t="str">
        <f>VLOOKUP(B173,'Base de Datos'!$E$7:$AU$401,38,0)</f>
        <v>NO</v>
      </c>
    </row>
    <row r="174" spans="1:21" ht="23.25" customHeight="1" thickTop="1" thickBot="1" x14ac:dyDescent="0.35">
      <c r="A174" s="96">
        <v>168</v>
      </c>
      <c r="B174" s="298" t="str">
        <f>+'Base de Datos'!E174</f>
        <v>130386-0-2013</v>
      </c>
      <c r="C174" s="298" t="str">
        <f>+'Base de Datos'!F174</f>
        <v>CONTROLES EMPRESARIALES LTDA</v>
      </c>
      <c r="D174" s="299">
        <f>+'Base de Datos'!I174</f>
        <v>803432165</v>
      </c>
      <c r="E174" s="300">
        <f>+'Base de Datos'!M174</f>
        <v>41670</v>
      </c>
      <c r="F174" s="300">
        <f>+'Base de Datos'!N174</f>
        <v>41759</v>
      </c>
      <c r="G174" s="300" t="e">
        <f>+'Base de Datos'!#REF!</f>
        <v>#REF!</v>
      </c>
      <c r="H174" s="299">
        <f>+'Base de Datos'!X174</f>
        <v>803432165</v>
      </c>
      <c r="I174" s="301" t="e">
        <f>IF(VLOOKUP(B174,'Base de Datos'!$E$7:$T$303,11,0),"SI","NO")</f>
        <v>#VALUE!</v>
      </c>
      <c r="J174" s="302" t="e">
        <f t="shared" si="14"/>
        <v>#VALUE!</v>
      </c>
      <c r="K174" s="301" t="e">
        <f>IF(VLOOKUP(B174,'Base de Datos'!$E$7:$T$303,11,0),"SI","NO")</f>
        <v>#VALUE!</v>
      </c>
      <c r="L174" s="302" t="e">
        <f t="shared" si="15"/>
        <v>#VALUE!</v>
      </c>
      <c r="M174" s="302">
        <f>VLOOKUP(B174,'Base de Datos'!$E$7:$AC$303,21,0)</f>
        <v>741115935</v>
      </c>
      <c r="N174" s="363" t="e">
        <f t="shared" ca="1" si="19"/>
        <v>#REF!</v>
      </c>
      <c r="O174" s="302">
        <f>VLOOKUP(B174,'Base de Datos'!$E$7:$AC$303,22,0)</f>
        <v>62316230</v>
      </c>
      <c r="P174" s="362" t="str">
        <f t="shared" ca="1" si="16"/>
        <v/>
      </c>
      <c r="Q174" s="375" t="e">
        <f t="shared" ca="1" si="20"/>
        <v>#VALUE!</v>
      </c>
      <c r="R174" s="298" t="str">
        <f>VLOOKUP(B174,'Base de Datos'!E174:AU485,33,0)</f>
        <v>Dirección Administrativa</v>
      </c>
      <c r="S174" s="301" t="e">
        <f t="shared" ca="1" si="17"/>
        <v>#REF!</v>
      </c>
      <c r="T174" s="298" t="str">
        <f t="shared" si="18"/>
        <v/>
      </c>
      <c r="U174" s="298" t="str">
        <f>VLOOKUP(B174,'Base de Datos'!$E$7:$AU$401,38,0)</f>
        <v>SI</v>
      </c>
    </row>
    <row r="175" spans="1:21" ht="23.25" customHeight="1" thickTop="1" thickBot="1" x14ac:dyDescent="0.35">
      <c r="A175" s="96">
        <v>169</v>
      </c>
      <c r="B175" s="298" t="str">
        <f>+'Base de Datos'!E175</f>
        <v>140174-0-2014</v>
      </c>
      <c r="C175" s="298" t="str">
        <f>+'Base de Datos'!F175</f>
        <v>MOTORES Y MAQUINAS MOTORYSA</v>
      </c>
      <c r="D175" s="299">
        <f>+'Base de Datos'!I175</f>
        <v>30000000</v>
      </c>
      <c r="E175" s="300">
        <f>+'Base de Datos'!M175</f>
        <v>41703</v>
      </c>
      <c r="F175" s="300">
        <f>+'Base de Datos'!N175</f>
        <v>42067</v>
      </c>
      <c r="G175" s="300" t="e">
        <f>+'Base de Datos'!#REF!</f>
        <v>#REF!</v>
      </c>
      <c r="H175" s="299">
        <f>+'Base de Datos'!X175</f>
        <v>30000000</v>
      </c>
      <c r="I175" s="301" t="e">
        <f>IF(VLOOKUP(B175,'Base de Datos'!$E$7:$T$303,11,0),"SI","NO")</f>
        <v>#VALUE!</v>
      </c>
      <c r="J175" s="302" t="e">
        <f t="shared" si="14"/>
        <v>#VALUE!</v>
      </c>
      <c r="K175" s="301" t="e">
        <f>IF(VLOOKUP(B175,'Base de Datos'!$E$7:$T$303,11,0),"SI","NO")</f>
        <v>#VALUE!</v>
      </c>
      <c r="L175" s="302" t="e">
        <f t="shared" si="15"/>
        <v>#VALUE!</v>
      </c>
      <c r="M175" s="302">
        <f>VLOOKUP(B175,'Base de Datos'!$E$7:$AC$303,21,0)</f>
        <v>28330110</v>
      </c>
      <c r="N175" s="363" t="e">
        <f t="shared" ca="1" si="19"/>
        <v>#REF!</v>
      </c>
      <c r="O175" s="302">
        <f>VLOOKUP(B175,'Base de Datos'!$E$7:$AC$303,22,0)</f>
        <v>1669890</v>
      </c>
      <c r="P175" s="362" t="str">
        <f t="shared" ca="1" si="16"/>
        <v/>
      </c>
      <c r="Q175" s="375" t="e">
        <f t="shared" ca="1" si="20"/>
        <v>#VALUE!</v>
      </c>
      <c r="R175" s="298" t="str">
        <f>VLOOKUP(B175,'Base de Datos'!E175:AU486,33,0)</f>
        <v>Dirección Administrativa</v>
      </c>
      <c r="S175" s="301" t="e">
        <f t="shared" ca="1" si="17"/>
        <v>#REF!</v>
      </c>
      <c r="T175" s="298" t="str">
        <f t="shared" si="18"/>
        <v/>
      </c>
      <c r="U175" s="298" t="str">
        <f>VLOOKUP(B175,'Base de Datos'!$E$7:$AU$401,38,0)</f>
        <v>SI</v>
      </c>
    </row>
    <row r="176" spans="1:21" ht="23.25" customHeight="1" thickTop="1" thickBot="1" x14ac:dyDescent="0.35">
      <c r="A176" s="96">
        <v>170</v>
      </c>
      <c r="B176" s="298" t="str">
        <f>+'Base de Datos'!E176</f>
        <v>140034-0-2014</v>
      </c>
      <c r="C176" s="298" t="str">
        <f>+'Base de Datos'!F176</f>
        <v>REVISTA EL CONGRESO SIGLO XXI LTDA</v>
      </c>
      <c r="D176" s="299">
        <f>+'Base de Datos'!I176</f>
        <v>7740000</v>
      </c>
      <c r="E176" s="300">
        <f>+'Base de Datos'!M176</f>
        <v>41775</v>
      </c>
      <c r="F176" s="300">
        <f>+'Base de Datos'!N176</f>
        <v>42139</v>
      </c>
      <c r="G176" s="300" t="e">
        <f>+'Base de Datos'!#REF!</f>
        <v>#REF!</v>
      </c>
      <c r="H176" s="299">
        <f>+'Base de Datos'!X176</f>
        <v>7740000</v>
      </c>
      <c r="I176" s="301" t="e">
        <f>IF(VLOOKUP(B176,'Base de Datos'!$E$7:$T$303,11,0),"SI","NO")</f>
        <v>#VALUE!</v>
      </c>
      <c r="J176" s="302" t="e">
        <f t="shared" si="14"/>
        <v>#VALUE!</v>
      </c>
      <c r="K176" s="301" t="e">
        <f>IF(VLOOKUP(B176,'Base de Datos'!$E$7:$T$303,11,0),"SI","NO")</f>
        <v>#VALUE!</v>
      </c>
      <c r="L176" s="302" t="e">
        <f t="shared" si="15"/>
        <v>#VALUE!</v>
      </c>
      <c r="M176" s="302">
        <f>VLOOKUP(B176,'Base de Datos'!$E$7:$AC$303,21,0)</f>
        <v>7740000</v>
      </c>
      <c r="N176" s="363" t="e">
        <f t="shared" ca="1" si="19"/>
        <v>#REF!</v>
      </c>
      <c r="O176" s="302">
        <f>VLOOKUP(B176,'Base de Datos'!$E$7:$AC$303,22,0)</f>
        <v>0</v>
      </c>
      <c r="P176" s="362" t="str">
        <f t="shared" ca="1" si="16"/>
        <v/>
      </c>
      <c r="Q176" s="375" t="e">
        <f t="shared" ca="1" si="20"/>
        <v>#VALUE!</v>
      </c>
      <c r="R176" s="298" t="str">
        <f>VLOOKUP(B176,'Base de Datos'!E176:AU487,33,0)</f>
        <v>Oficina Asesora de Comunicaciones</v>
      </c>
      <c r="S176" s="301" t="e">
        <f t="shared" ca="1" si="17"/>
        <v>#REF!</v>
      </c>
      <c r="T176" s="298" t="str">
        <f t="shared" si="18"/>
        <v/>
      </c>
      <c r="U176" s="298" t="str">
        <f>VLOOKUP(B176,'Base de Datos'!$E$7:$AU$401,38,0)</f>
        <v>SI</v>
      </c>
    </row>
    <row r="177" spans="1:21" ht="23.25" customHeight="1" thickTop="1" thickBot="1" x14ac:dyDescent="0.35">
      <c r="A177" s="96">
        <v>171</v>
      </c>
      <c r="B177" s="298" t="str">
        <f>+'Base de Datos'!E177</f>
        <v>140136-0-2014</v>
      </c>
      <c r="C177" s="298" t="str">
        <f>+'Base de Datos'!F177</f>
        <v>KHAANKO NORBERTO RUIZ RODRÍGUEZ</v>
      </c>
      <c r="D177" s="299">
        <f>+'Base de Datos'!I177</f>
        <v>29819999</v>
      </c>
      <c r="E177" s="300">
        <f>+'Base de Datos'!M177</f>
        <v>41675</v>
      </c>
      <c r="F177" s="300">
        <f>+'Base de Datos'!N177</f>
        <v>42008</v>
      </c>
      <c r="G177" s="300" t="e">
        <f>+'Base de Datos'!#REF!</f>
        <v>#REF!</v>
      </c>
      <c r="H177" s="299">
        <f>+'Base de Datos'!X177</f>
        <v>29819999</v>
      </c>
      <c r="I177" s="301" t="e">
        <f>IF(VLOOKUP(B177,'Base de Datos'!$E$7:$T$303,11,0),"SI","NO")</f>
        <v>#VALUE!</v>
      </c>
      <c r="J177" s="302" t="e">
        <f t="shared" si="14"/>
        <v>#VALUE!</v>
      </c>
      <c r="K177" s="301" t="e">
        <f>IF(VLOOKUP(B177,'Base de Datos'!$E$7:$T$303,11,0),"SI","NO")</f>
        <v>#VALUE!</v>
      </c>
      <c r="L177" s="302" t="e">
        <f t="shared" si="15"/>
        <v>#VALUE!</v>
      </c>
      <c r="M177" s="302">
        <f>VLOOKUP(B177,'Base de Datos'!$E$7:$AC$303,21,0)</f>
        <v>29819999</v>
      </c>
      <c r="N177" s="363" t="e">
        <f t="shared" ca="1" si="19"/>
        <v>#REF!</v>
      </c>
      <c r="O177" s="302">
        <f>VLOOKUP(B177,'Base de Datos'!$E$7:$AC$303,22,0)</f>
        <v>0</v>
      </c>
      <c r="P177" s="362" t="str">
        <f t="shared" ca="1" si="16"/>
        <v/>
      </c>
      <c r="Q177" s="375" t="e">
        <f t="shared" ca="1" si="20"/>
        <v>#VALUE!</v>
      </c>
      <c r="R177" s="298" t="str">
        <f>VLOOKUP(B177,'Base de Datos'!E177:AU488,33,0)</f>
        <v>Dirección Administrativa</v>
      </c>
      <c r="S177" s="301" t="e">
        <f t="shared" ca="1" si="17"/>
        <v>#REF!</v>
      </c>
      <c r="T177" s="298" t="str">
        <f t="shared" si="18"/>
        <v/>
      </c>
      <c r="U177" s="298" t="str">
        <f>VLOOKUP(B177,'Base de Datos'!$E$7:$AU$401,38,0)</f>
        <v>NO</v>
      </c>
    </row>
    <row r="178" spans="1:21" ht="23.25" customHeight="1" thickTop="1" thickBot="1" x14ac:dyDescent="0.35">
      <c r="A178" s="96">
        <v>172</v>
      </c>
      <c r="B178" s="298" t="str">
        <f>+'Base de Datos'!E178</f>
        <v>140138-0-2014</v>
      </c>
      <c r="C178" s="298" t="str">
        <f>+'Base de Datos'!F178</f>
        <v>CASA EDITORIAL EL TIEMPO SA</v>
      </c>
      <c r="D178" s="299">
        <f>+'Base de Datos'!I178</f>
        <v>1197000</v>
      </c>
      <c r="E178" s="300">
        <f>+'Base de Datos'!M178</f>
        <v>41717</v>
      </c>
      <c r="F178" s="300">
        <f>+'Base de Datos'!N178</f>
        <v>42081</v>
      </c>
      <c r="G178" s="300" t="e">
        <f>+'Base de Datos'!#REF!</f>
        <v>#REF!</v>
      </c>
      <c r="H178" s="299">
        <f>+'Base de Datos'!X178</f>
        <v>1197000</v>
      </c>
      <c r="I178" s="301" t="e">
        <f>IF(VLOOKUP(B178,'Base de Datos'!$E$7:$T$303,11,0),"SI","NO")</f>
        <v>#VALUE!</v>
      </c>
      <c r="J178" s="302" t="e">
        <f t="shared" si="14"/>
        <v>#VALUE!</v>
      </c>
      <c r="K178" s="301" t="e">
        <f>IF(VLOOKUP(B178,'Base de Datos'!$E$7:$T$303,11,0),"SI","NO")</f>
        <v>#VALUE!</v>
      </c>
      <c r="L178" s="302" t="e">
        <f t="shared" si="15"/>
        <v>#VALUE!</v>
      </c>
      <c r="M178" s="302">
        <f>VLOOKUP(B178,'Base de Datos'!$E$7:$AC$303,21,0)</f>
        <v>1197000</v>
      </c>
      <c r="N178" s="363" t="e">
        <f t="shared" ca="1" si="19"/>
        <v>#REF!</v>
      </c>
      <c r="O178" s="302">
        <f>VLOOKUP(B178,'Base de Datos'!$E$7:$AC$303,22,0)</f>
        <v>0</v>
      </c>
      <c r="P178" s="362" t="str">
        <f t="shared" ca="1" si="16"/>
        <v/>
      </c>
      <c r="Q178" s="375" t="e">
        <f t="shared" ca="1" si="20"/>
        <v>#VALUE!</v>
      </c>
      <c r="R178" s="298" t="str">
        <f>VLOOKUP(B178,'Base de Datos'!E178:AU489,33,0)</f>
        <v>Oficina Asesora de Comunicaciones</v>
      </c>
      <c r="S178" s="301" t="e">
        <f t="shared" ca="1" si="17"/>
        <v>#REF!</v>
      </c>
      <c r="T178" s="298" t="str">
        <f t="shared" si="18"/>
        <v/>
      </c>
      <c r="U178" s="298" t="str">
        <f>VLOOKUP(B178,'Base de Datos'!$E$7:$AU$401,38,0)</f>
        <v>SI</v>
      </c>
    </row>
    <row r="179" spans="1:21" ht="23.25" customHeight="1" thickTop="1" thickBot="1" x14ac:dyDescent="0.35">
      <c r="A179" s="96">
        <v>173</v>
      </c>
      <c r="B179" s="298" t="str">
        <f>+'Base de Datos'!E179</f>
        <v>140140-0-2014</v>
      </c>
      <c r="C179" s="298" t="str">
        <f>+'Base de Datos'!F179</f>
        <v>DPC LTDA PUBLICACIONES DESPACHOS PÚBLICOS DE COLOMBIA LTDA</v>
      </c>
      <c r="D179" s="299">
        <f>+'Base de Datos'!I179</f>
        <v>4000000</v>
      </c>
      <c r="E179" s="300">
        <f>+'Base de Datos'!M179</f>
        <v>41739</v>
      </c>
      <c r="F179" s="300">
        <f>+'Base de Datos'!N179</f>
        <v>41891</v>
      </c>
      <c r="G179" s="300" t="e">
        <f>+'Base de Datos'!#REF!</f>
        <v>#REF!</v>
      </c>
      <c r="H179" s="299">
        <f>+'Base de Datos'!X179</f>
        <v>4000000</v>
      </c>
      <c r="I179" s="301" t="e">
        <f>IF(VLOOKUP(B179,'Base de Datos'!$E$7:$T$303,11,0),"SI","NO")</f>
        <v>#VALUE!</v>
      </c>
      <c r="J179" s="302" t="e">
        <f t="shared" si="14"/>
        <v>#VALUE!</v>
      </c>
      <c r="K179" s="301" t="e">
        <f>IF(VLOOKUP(B179,'Base de Datos'!$E$7:$T$303,11,0),"SI","NO")</f>
        <v>#VALUE!</v>
      </c>
      <c r="L179" s="302" t="e">
        <f t="shared" si="15"/>
        <v>#VALUE!</v>
      </c>
      <c r="M179" s="302">
        <f>VLOOKUP(B179,'Base de Datos'!$E$7:$AC$303,21,0)</f>
        <v>4000000</v>
      </c>
      <c r="N179" s="363" t="e">
        <f t="shared" ca="1" si="19"/>
        <v>#REF!</v>
      </c>
      <c r="O179" s="302">
        <f>VLOOKUP(B179,'Base de Datos'!$E$7:$AC$303,22,0)</f>
        <v>0</v>
      </c>
      <c r="P179" s="362" t="str">
        <f t="shared" ca="1" si="16"/>
        <v/>
      </c>
      <c r="Q179" s="375" t="e">
        <f t="shared" ca="1" si="20"/>
        <v>#VALUE!</v>
      </c>
      <c r="R179" s="298">
        <f>VLOOKUP(B179,'Base de Datos'!E179:AU490,33,0)</f>
        <v>0</v>
      </c>
      <c r="S179" s="301" t="e">
        <f t="shared" ca="1" si="17"/>
        <v>#REF!</v>
      </c>
      <c r="T179" s="298" t="str">
        <f t="shared" si="18"/>
        <v/>
      </c>
      <c r="U179" s="298" t="str">
        <f>VLOOKUP(B179,'Base de Datos'!$E$7:$AU$401,38,0)</f>
        <v>SI</v>
      </c>
    </row>
    <row r="180" spans="1:21" ht="23.25" customHeight="1" thickTop="1" thickBot="1" x14ac:dyDescent="0.35">
      <c r="A180" s="96">
        <v>174</v>
      </c>
      <c r="B180" s="298" t="str">
        <f>+'Base de Datos'!E180</f>
        <v>140152-0-2014</v>
      </c>
      <c r="C180" s="298" t="str">
        <f>+'Base de Datos'!F180</f>
        <v>ROSA ENRIQUELINA GÓMEZ CORREDOR</v>
      </c>
      <c r="D180" s="299">
        <f>+'Base de Datos'!I180</f>
        <v>42800000</v>
      </c>
      <c r="E180" s="300">
        <f>+'Base de Datos'!M180</f>
        <v>41701</v>
      </c>
      <c r="F180" s="300">
        <f>+'Base de Datos'!N180</f>
        <v>42006</v>
      </c>
      <c r="G180" s="300" t="e">
        <f>+'Base de Datos'!#REF!</f>
        <v>#REF!</v>
      </c>
      <c r="H180" s="299">
        <f>+'Base de Datos'!X180</f>
        <v>42800000</v>
      </c>
      <c r="I180" s="301" t="e">
        <f>IF(VLOOKUP(B180,'Base de Datos'!$E$7:$T$303,11,0),"SI","NO")</f>
        <v>#VALUE!</v>
      </c>
      <c r="J180" s="302" t="e">
        <f t="shared" si="14"/>
        <v>#VALUE!</v>
      </c>
      <c r="K180" s="301" t="e">
        <f>IF(VLOOKUP(B180,'Base de Datos'!$E$7:$T$303,11,0),"SI","NO")</f>
        <v>#VALUE!</v>
      </c>
      <c r="L180" s="302" t="e">
        <f t="shared" si="15"/>
        <v>#VALUE!</v>
      </c>
      <c r="M180" s="302">
        <f>VLOOKUP(B180,'Base de Datos'!$E$7:$AC$303,21,0)</f>
        <v>42800000</v>
      </c>
      <c r="N180" s="363" t="e">
        <f t="shared" ca="1" si="19"/>
        <v>#REF!</v>
      </c>
      <c r="O180" s="302">
        <f>VLOOKUP(B180,'Base de Datos'!$E$7:$AC$303,22,0)</f>
        <v>0</v>
      </c>
      <c r="P180" s="362" t="str">
        <f t="shared" ca="1" si="16"/>
        <v/>
      </c>
      <c r="Q180" s="375" t="e">
        <f t="shared" ca="1" si="20"/>
        <v>#VALUE!</v>
      </c>
      <c r="R180" s="298" t="str">
        <f>VLOOKUP(B180,'Base de Datos'!E180:AU491,33,0)</f>
        <v>Dirección Financiera</v>
      </c>
      <c r="S180" s="301" t="e">
        <f t="shared" ca="1" si="17"/>
        <v>#REF!</v>
      </c>
      <c r="T180" s="298" t="str">
        <f t="shared" si="18"/>
        <v/>
      </c>
      <c r="U180" s="298" t="str">
        <f>VLOOKUP(B180,'Base de Datos'!$E$7:$AU$401,38,0)</f>
        <v>NO</v>
      </c>
    </row>
    <row r="181" spans="1:21" ht="23.25" customHeight="1" thickTop="1" thickBot="1" x14ac:dyDescent="0.35">
      <c r="A181" s="96">
        <v>175</v>
      </c>
      <c r="B181" s="298" t="str">
        <f>+'Base de Datos'!E181</f>
        <v>140153-0-2014</v>
      </c>
      <c r="C181" s="298" t="str">
        <f>+'Base de Datos'!F181</f>
        <v>WIESNER FABIÁN ROBAYO SALCEDO</v>
      </c>
      <c r="D181" s="299">
        <f>+'Base de Datos'!I181</f>
        <v>38830000</v>
      </c>
      <c r="E181" s="300">
        <f>+'Base de Datos'!M181</f>
        <v>41708</v>
      </c>
      <c r="F181" s="300">
        <f>+'Base de Datos'!N181</f>
        <v>42013</v>
      </c>
      <c r="G181" s="300" t="e">
        <f>+'Base de Datos'!#REF!</f>
        <v>#REF!</v>
      </c>
      <c r="H181" s="299">
        <f>+'Base de Datos'!X181</f>
        <v>38830000</v>
      </c>
      <c r="I181" s="301" t="e">
        <f>IF(VLOOKUP(B181,'Base de Datos'!$E$7:$T$303,11,0),"SI","NO")</f>
        <v>#VALUE!</v>
      </c>
      <c r="J181" s="302" t="e">
        <f t="shared" si="14"/>
        <v>#VALUE!</v>
      </c>
      <c r="K181" s="301" t="e">
        <f>IF(VLOOKUP(B181,'Base de Datos'!$E$7:$T$303,11,0),"SI","NO")</f>
        <v>#VALUE!</v>
      </c>
      <c r="L181" s="302" t="e">
        <f t="shared" si="15"/>
        <v>#VALUE!</v>
      </c>
      <c r="M181" s="302">
        <f>VLOOKUP(B181,'Base de Datos'!$E$7:$AC$303,21,0)</f>
        <v>38830000</v>
      </c>
      <c r="N181" s="363" t="e">
        <f t="shared" ca="1" si="19"/>
        <v>#REF!</v>
      </c>
      <c r="O181" s="302">
        <f>VLOOKUP(B181,'Base de Datos'!$E$7:$AC$303,22,0)</f>
        <v>0</v>
      </c>
      <c r="P181" s="362" t="str">
        <f t="shared" ca="1" si="16"/>
        <v/>
      </c>
      <c r="Q181" s="375" t="e">
        <f t="shared" ca="1" si="20"/>
        <v>#VALUE!</v>
      </c>
      <c r="R181" s="298" t="str">
        <f>VLOOKUP(B181,'Base de Datos'!E181:AU492,33,0)</f>
        <v>Oficina Asesora de Comunicaciones</v>
      </c>
      <c r="S181" s="301" t="e">
        <f t="shared" ca="1" si="17"/>
        <v>#REF!</v>
      </c>
      <c r="T181" s="298" t="str">
        <f t="shared" si="18"/>
        <v/>
      </c>
      <c r="U181" s="298" t="str">
        <f>VLOOKUP(B181,'Base de Datos'!$E$7:$AU$401,38,0)</f>
        <v>NO</v>
      </c>
    </row>
    <row r="182" spans="1:21" ht="23.25" customHeight="1" thickTop="1" thickBot="1" x14ac:dyDescent="0.35">
      <c r="A182" s="96">
        <v>176</v>
      </c>
      <c r="B182" s="298" t="str">
        <f>+'Base de Datos'!E182</f>
        <v>140154-0-2014</v>
      </c>
      <c r="C182" s="298" t="str">
        <f>+'Base de Datos'!F182</f>
        <v>EDGAR EULICES GONZÁLEZ</v>
      </c>
      <c r="D182" s="299">
        <f>+'Base de Datos'!I182</f>
        <v>40997000</v>
      </c>
      <c r="E182" s="300">
        <f>+'Base de Datos'!M182</f>
        <v>41675</v>
      </c>
      <c r="F182" s="300">
        <f>+'Base de Datos'!N182</f>
        <v>42008</v>
      </c>
      <c r="G182" s="300" t="e">
        <f>+'Base de Datos'!#REF!</f>
        <v>#REF!</v>
      </c>
      <c r="H182" s="299">
        <f>+'Base de Datos'!X182</f>
        <v>40997000</v>
      </c>
      <c r="I182" s="301" t="e">
        <f>IF(VLOOKUP(B182,'Base de Datos'!$E$7:$T$303,11,0),"SI","NO")</f>
        <v>#VALUE!</v>
      </c>
      <c r="J182" s="302" t="e">
        <f t="shared" si="14"/>
        <v>#VALUE!</v>
      </c>
      <c r="K182" s="301" t="e">
        <f>IF(VLOOKUP(B182,'Base de Datos'!$E$7:$T$303,11,0),"SI","NO")</f>
        <v>#VALUE!</v>
      </c>
      <c r="L182" s="302" t="e">
        <f t="shared" si="15"/>
        <v>#VALUE!</v>
      </c>
      <c r="M182" s="302">
        <f>VLOOKUP(B182,'Base de Datos'!$E$7:$AC$303,21,0)</f>
        <v>40997000</v>
      </c>
      <c r="N182" s="363" t="e">
        <f t="shared" ca="1" si="19"/>
        <v>#REF!</v>
      </c>
      <c r="O182" s="302">
        <f>VLOOKUP(B182,'Base de Datos'!$E$7:$AC$303,22,0)</f>
        <v>0</v>
      </c>
      <c r="P182" s="362" t="str">
        <f t="shared" ca="1" si="16"/>
        <v/>
      </c>
      <c r="Q182" s="375" t="e">
        <f t="shared" ca="1" si="20"/>
        <v>#VALUE!</v>
      </c>
      <c r="R182" s="298" t="str">
        <f>VLOOKUP(B182,'Base de Datos'!E182:AU493,33,0)</f>
        <v>Dirección Financiera</v>
      </c>
      <c r="S182" s="301" t="e">
        <f t="shared" ca="1" si="17"/>
        <v>#REF!</v>
      </c>
      <c r="T182" s="298" t="str">
        <f t="shared" si="18"/>
        <v/>
      </c>
      <c r="U182" s="298" t="str">
        <f>VLOOKUP(B182,'Base de Datos'!$E$7:$AU$401,38,0)</f>
        <v>NO</v>
      </c>
    </row>
    <row r="183" spans="1:21" ht="23.25" customHeight="1" thickTop="1" thickBot="1" x14ac:dyDescent="0.35">
      <c r="A183" s="96">
        <v>177</v>
      </c>
      <c r="B183" s="298" t="str">
        <f>+'Base de Datos'!E183</f>
        <v>140157-0-2014</v>
      </c>
      <c r="C183" s="298" t="str">
        <f>+'Base de Datos'!F183</f>
        <v>FERNANDO SOTOMONTE AMAYA</v>
      </c>
      <c r="D183" s="299">
        <f>+'Base de Datos'!I183</f>
        <v>55000000</v>
      </c>
      <c r="E183" s="300">
        <f>+'Base de Datos'!M183</f>
        <v>41675</v>
      </c>
      <c r="F183" s="300">
        <f>+'Base de Datos'!N183</f>
        <v>42008</v>
      </c>
      <c r="G183" s="300" t="e">
        <f>+'Base de Datos'!#REF!</f>
        <v>#REF!</v>
      </c>
      <c r="H183" s="299">
        <f>+'Base de Datos'!X183</f>
        <v>55000000</v>
      </c>
      <c r="I183" s="301" t="e">
        <f>IF(VLOOKUP(B183,'Base de Datos'!$E$7:$T$303,11,0),"SI","NO")</f>
        <v>#VALUE!</v>
      </c>
      <c r="J183" s="302" t="e">
        <f t="shared" si="14"/>
        <v>#VALUE!</v>
      </c>
      <c r="K183" s="301" t="e">
        <f>IF(VLOOKUP(B183,'Base de Datos'!$E$7:$T$303,11,0),"SI","NO")</f>
        <v>#VALUE!</v>
      </c>
      <c r="L183" s="302" t="e">
        <f t="shared" si="15"/>
        <v>#VALUE!</v>
      </c>
      <c r="M183" s="302">
        <f>VLOOKUP(B183,'Base de Datos'!$E$7:$AC$303,21,0)</f>
        <v>54333333</v>
      </c>
      <c r="N183" s="363" t="e">
        <f t="shared" ca="1" si="19"/>
        <v>#REF!</v>
      </c>
      <c r="O183" s="302">
        <f>VLOOKUP(B183,'Base de Datos'!$E$7:$AC$303,22,0)</f>
        <v>666667</v>
      </c>
      <c r="P183" s="362" t="str">
        <f t="shared" ca="1" si="16"/>
        <v/>
      </c>
      <c r="Q183" s="375" t="e">
        <f t="shared" ca="1" si="20"/>
        <v>#VALUE!</v>
      </c>
      <c r="R183" s="298" t="str">
        <f>VLOOKUP(B183,'Base de Datos'!E183:AU494,33,0)</f>
        <v>Dirección Financiera</v>
      </c>
      <c r="S183" s="301" t="e">
        <f t="shared" ca="1" si="17"/>
        <v>#REF!</v>
      </c>
      <c r="T183" s="298" t="str">
        <f t="shared" si="18"/>
        <v/>
      </c>
      <c r="U183" s="298" t="str">
        <f>VLOOKUP(B183,'Base de Datos'!$E$7:$AU$401,38,0)</f>
        <v>NO</v>
      </c>
    </row>
    <row r="184" spans="1:21" ht="23.25" customHeight="1" thickTop="1" thickBot="1" x14ac:dyDescent="0.35">
      <c r="A184" s="96">
        <v>178</v>
      </c>
      <c r="B184" s="298" t="str">
        <f>+'Base de Datos'!E184</f>
        <v>140158-0-2014</v>
      </c>
      <c r="C184" s="298" t="str">
        <f>+'Base de Datos'!F184</f>
        <v>JORGE ALBERTO GALVIS  ESTUPIÑAN</v>
      </c>
      <c r="D184" s="299">
        <f>+'Base de Datos'!I184</f>
        <v>55000000</v>
      </c>
      <c r="E184" s="300">
        <f>+'Base de Datos'!M184</f>
        <v>41675</v>
      </c>
      <c r="F184" s="300">
        <f>+'Base de Datos'!N184</f>
        <v>42008</v>
      </c>
      <c r="G184" s="300" t="e">
        <f>+'Base de Datos'!#REF!</f>
        <v>#REF!</v>
      </c>
      <c r="H184" s="299">
        <f>+'Base de Datos'!X184</f>
        <v>55000000</v>
      </c>
      <c r="I184" s="301" t="e">
        <f>IF(VLOOKUP(B184,'Base de Datos'!$E$7:$T$303,11,0),"SI","NO")</f>
        <v>#VALUE!</v>
      </c>
      <c r="J184" s="302" t="e">
        <f t="shared" si="14"/>
        <v>#VALUE!</v>
      </c>
      <c r="K184" s="301" t="e">
        <f>IF(VLOOKUP(B184,'Base de Datos'!$E$7:$T$303,11,0),"SI","NO")</f>
        <v>#VALUE!</v>
      </c>
      <c r="L184" s="302" t="e">
        <f t="shared" si="15"/>
        <v>#VALUE!</v>
      </c>
      <c r="M184" s="302">
        <f>VLOOKUP(B184,'Base de Datos'!$E$7:$AC$303,21,0)</f>
        <v>55000000</v>
      </c>
      <c r="N184" s="363" t="e">
        <f t="shared" ca="1" si="19"/>
        <v>#REF!</v>
      </c>
      <c r="O184" s="302">
        <f>VLOOKUP(B184,'Base de Datos'!$E$7:$AC$303,22,0)</f>
        <v>0</v>
      </c>
      <c r="P184" s="362" t="str">
        <f t="shared" ca="1" si="16"/>
        <v/>
      </c>
      <c r="Q184" s="375" t="e">
        <f t="shared" ca="1" si="20"/>
        <v>#VALUE!</v>
      </c>
      <c r="R184" s="298" t="str">
        <f>VLOOKUP(B184,'Base de Datos'!E184:AU495,33,0)</f>
        <v>Dirección Financiera</v>
      </c>
      <c r="S184" s="301" t="e">
        <f t="shared" ca="1" si="17"/>
        <v>#REF!</v>
      </c>
      <c r="T184" s="298" t="str">
        <f t="shared" si="18"/>
        <v/>
      </c>
      <c r="U184" s="298" t="str">
        <f>VLOOKUP(B184,'Base de Datos'!$E$7:$AU$401,38,0)</f>
        <v>NO</v>
      </c>
    </row>
    <row r="185" spans="1:21" ht="23.25" customHeight="1" thickTop="1" thickBot="1" x14ac:dyDescent="0.35">
      <c r="A185" s="96">
        <v>179</v>
      </c>
      <c r="B185" s="298" t="str">
        <f>+'Base de Datos'!E185</f>
        <v>140159-0-2014</v>
      </c>
      <c r="C185" s="298" t="str">
        <f>+'Base de Datos'!F185</f>
        <v>LORENZA SANTOS BARBOSA (Cesionaria) - Antes VICTOR MANUEL ARMELLA VELASQUEZ</v>
      </c>
      <c r="D185" s="299">
        <f>+'Base de Datos'!I185</f>
        <v>55000000</v>
      </c>
      <c r="E185" s="300">
        <f>+'Base de Datos'!M185</f>
        <v>41675</v>
      </c>
      <c r="F185" s="300">
        <f>+'Base de Datos'!N185</f>
        <v>42008</v>
      </c>
      <c r="G185" s="300" t="e">
        <f>+'Base de Datos'!#REF!</f>
        <v>#REF!</v>
      </c>
      <c r="H185" s="299">
        <f>+'Base de Datos'!X185</f>
        <v>55000000</v>
      </c>
      <c r="I185" s="301" t="e">
        <f>IF(VLOOKUP(B185,'Base de Datos'!$E$7:$T$303,11,0),"SI","NO")</f>
        <v>#VALUE!</v>
      </c>
      <c r="J185" s="302" t="e">
        <f t="shared" si="14"/>
        <v>#VALUE!</v>
      </c>
      <c r="K185" s="301" t="e">
        <f>IF(VLOOKUP(B185,'Base de Datos'!$E$7:$T$303,11,0),"SI","NO")</f>
        <v>#VALUE!</v>
      </c>
      <c r="L185" s="302" t="e">
        <f t="shared" si="15"/>
        <v>#VALUE!</v>
      </c>
      <c r="M185" s="302">
        <f>VLOOKUP(B185,'Base de Datos'!$E$7:$AC$303,21,0)</f>
        <v>54666666</v>
      </c>
      <c r="N185" s="363" t="e">
        <f t="shared" ca="1" si="19"/>
        <v>#REF!</v>
      </c>
      <c r="O185" s="302">
        <f>VLOOKUP(B185,'Base de Datos'!$E$7:$AC$303,22,0)</f>
        <v>333334</v>
      </c>
      <c r="P185" s="362" t="str">
        <f t="shared" ca="1" si="16"/>
        <v/>
      </c>
      <c r="Q185" s="375" t="e">
        <f t="shared" ca="1" si="20"/>
        <v>#VALUE!</v>
      </c>
      <c r="R185" s="298" t="str">
        <f>VLOOKUP(B185,'Base de Datos'!E185:AU496,33,0)</f>
        <v>Dirección Financiera</v>
      </c>
      <c r="S185" s="301" t="e">
        <f t="shared" ca="1" si="17"/>
        <v>#REF!</v>
      </c>
      <c r="T185" s="298" t="str">
        <f t="shared" si="18"/>
        <v/>
      </c>
      <c r="U185" s="298" t="str">
        <f>VLOOKUP(B185,'Base de Datos'!$E$7:$AU$401,38,0)</f>
        <v>NO</v>
      </c>
    </row>
    <row r="186" spans="1:21" ht="23.25" customHeight="1" thickTop="1" thickBot="1" x14ac:dyDescent="0.35">
      <c r="A186" s="96">
        <v>180</v>
      </c>
      <c r="B186" s="298" t="str">
        <f>+'Base de Datos'!E186</f>
        <v>140160-0-2014</v>
      </c>
      <c r="C186" s="298" t="str">
        <f>+'Base de Datos'!F186</f>
        <v>NORMA CONSTANZA MEZA GÓMEZ</v>
      </c>
      <c r="D186" s="299">
        <f>+'Base de Datos'!I186</f>
        <v>38500000</v>
      </c>
      <c r="E186" s="300">
        <f>+'Base de Datos'!M186</f>
        <v>41675</v>
      </c>
      <c r="F186" s="300">
        <f>+'Base de Datos'!N186</f>
        <v>42008</v>
      </c>
      <c r="G186" s="300" t="e">
        <f>+'Base de Datos'!#REF!</f>
        <v>#REF!</v>
      </c>
      <c r="H186" s="299">
        <f>+'Base de Datos'!X186</f>
        <v>38500000</v>
      </c>
      <c r="I186" s="301" t="e">
        <f>IF(VLOOKUP(B186,'Base de Datos'!$E$7:$T$303,11,0),"SI","NO")</f>
        <v>#VALUE!</v>
      </c>
      <c r="J186" s="302" t="e">
        <f t="shared" si="14"/>
        <v>#VALUE!</v>
      </c>
      <c r="K186" s="301" t="e">
        <f>IF(VLOOKUP(B186,'Base de Datos'!$E$7:$T$303,11,0),"SI","NO")</f>
        <v>#VALUE!</v>
      </c>
      <c r="L186" s="302" t="e">
        <f t="shared" si="15"/>
        <v>#VALUE!</v>
      </c>
      <c r="M186" s="302">
        <f>VLOOKUP(B186,'Base de Datos'!$E$7:$AC$303,21,0)</f>
        <v>38500000</v>
      </c>
      <c r="N186" s="363" t="e">
        <f t="shared" ca="1" si="19"/>
        <v>#REF!</v>
      </c>
      <c r="O186" s="302">
        <f>VLOOKUP(B186,'Base de Datos'!$E$7:$AC$303,22,0)</f>
        <v>0</v>
      </c>
      <c r="P186" s="362" t="str">
        <f t="shared" ca="1" si="16"/>
        <v/>
      </c>
      <c r="Q186" s="375" t="e">
        <f t="shared" ca="1" si="20"/>
        <v>#VALUE!</v>
      </c>
      <c r="R186" s="298" t="str">
        <f>VLOOKUP(B186,'Base de Datos'!E186:AU497,33,0)</f>
        <v>Dirección Financiera</v>
      </c>
      <c r="S186" s="301" t="e">
        <f t="shared" ca="1" si="17"/>
        <v>#REF!</v>
      </c>
      <c r="T186" s="298" t="str">
        <f t="shared" si="18"/>
        <v/>
      </c>
      <c r="U186" s="298" t="str">
        <f>VLOOKUP(B186,'Base de Datos'!$E$7:$AU$401,38,0)</f>
        <v>NO</v>
      </c>
    </row>
    <row r="187" spans="1:21" ht="23.25" customHeight="1" thickTop="1" thickBot="1" x14ac:dyDescent="0.35">
      <c r="A187" s="96">
        <v>181</v>
      </c>
      <c r="B187" s="298" t="str">
        <f>+'Base de Datos'!E187</f>
        <v>140161-0-2014</v>
      </c>
      <c r="C187" s="298" t="str">
        <f>+'Base de Datos'!F187</f>
        <v>ANDREA SUSANA BELLO CANTOR</v>
      </c>
      <c r="D187" s="299">
        <f>+'Base de Datos'!I187</f>
        <v>55000000</v>
      </c>
      <c r="E187" s="300">
        <f>+'Base de Datos'!M187</f>
        <v>41675</v>
      </c>
      <c r="F187" s="300">
        <f>+'Base de Datos'!N187</f>
        <v>42008</v>
      </c>
      <c r="G187" s="300" t="e">
        <f>+'Base de Datos'!#REF!</f>
        <v>#REF!</v>
      </c>
      <c r="H187" s="299">
        <f>+'Base de Datos'!X187</f>
        <v>55000000</v>
      </c>
      <c r="I187" s="301" t="e">
        <f>IF(VLOOKUP(B187,'Base de Datos'!$E$7:$T$303,11,0),"SI","NO")</f>
        <v>#VALUE!</v>
      </c>
      <c r="J187" s="302" t="e">
        <f t="shared" si="14"/>
        <v>#VALUE!</v>
      </c>
      <c r="K187" s="301" t="e">
        <f>IF(VLOOKUP(B187,'Base de Datos'!$E$7:$T$303,11,0),"SI","NO")</f>
        <v>#VALUE!</v>
      </c>
      <c r="L187" s="302" t="e">
        <f t="shared" si="15"/>
        <v>#VALUE!</v>
      </c>
      <c r="M187" s="302">
        <f>VLOOKUP(B187,'Base de Datos'!$E$7:$AC$303,21,0)</f>
        <v>55000000</v>
      </c>
      <c r="N187" s="363" t="e">
        <f t="shared" ca="1" si="19"/>
        <v>#REF!</v>
      </c>
      <c r="O187" s="302">
        <f>VLOOKUP(B187,'Base de Datos'!$E$7:$AC$303,22,0)</f>
        <v>0</v>
      </c>
      <c r="P187" s="362" t="str">
        <f t="shared" ca="1" si="16"/>
        <v/>
      </c>
      <c r="Q187" s="375" t="e">
        <f t="shared" ca="1" si="20"/>
        <v>#VALUE!</v>
      </c>
      <c r="R187" s="298" t="str">
        <f>VLOOKUP(B187,'Base de Datos'!E187:AU498,33,0)</f>
        <v>Dirección Financiera</v>
      </c>
      <c r="S187" s="301" t="e">
        <f t="shared" ca="1" si="17"/>
        <v>#REF!</v>
      </c>
      <c r="T187" s="298" t="str">
        <f t="shared" si="18"/>
        <v/>
      </c>
      <c r="U187" s="298" t="str">
        <f>VLOOKUP(B187,'Base de Datos'!$E$7:$AU$401,38,0)</f>
        <v>NO</v>
      </c>
    </row>
    <row r="188" spans="1:21" ht="23.25" customHeight="1" thickTop="1" thickBot="1" x14ac:dyDescent="0.35">
      <c r="A188" s="96">
        <v>182</v>
      </c>
      <c r="B188" s="298" t="str">
        <f>+'Base de Datos'!E188</f>
        <v>140162-0-2014</v>
      </c>
      <c r="C188" s="298" t="str">
        <f>+'Base de Datos'!F188</f>
        <v>JORGE ORLANDO RUBIANO CARRANZA</v>
      </c>
      <c r="D188" s="299">
        <f>+'Base de Datos'!I188</f>
        <v>55000000</v>
      </c>
      <c r="E188" s="300">
        <f>+'Base de Datos'!M188</f>
        <v>41675</v>
      </c>
      <c r="F188" s="300">
        <f>+'Base de Datos'!N188</f>
        <v>42008</v>
      </c>
      <c r="G188" s="300" t="e">
        <f>+'Base de Datos'!#REF!</f>
        <v>#REF!</v>
      </c>
      <c r="H188" s="299">
        <f>+'Base de Datos'!X188</f>
        <v>55000000</v>
      </c>
      <c r="I188" s="301" t="e">
        <f>IF(VLOOKUP(B188,'Base de Datos'!$E$7:$T$303,11,0),"SI","NO")</f>
        <v>#VALUE!</v>
      </c>
      <c r="J188" s="302" t="e">
        <f t="shared" si="14"/>
        <v>#VALUE!</v>
      </c>
      <c r="K188" s="301" t="e">
        <f>IF(VLOOKUP(B188,'Base de Datos'!$E$7:$T$303,11,0),"SI","NO")</f>
        <v>#VALUE!</v>
      </c>
      <c r="L188" s="302" t="e">
        <f t="shared" si="15"/>
        <v>#VALUE!</v>
      </c>
      <c r="M188" s="302">
        <f>VLOOKUP(B188,'Base de Datos'!$E$7:$AC$303,21,0)</f>
        <v>55000000</v>
      </c>
      <c r="N188" s="363" t="e">
        <f t="shared" ca="1" si="19"/>
        <v>#REF!</v>
      </c>
      <c r="O188" s="302">
        <f>VLOOKUP(B188,'Base de Datos'!$E$7:$AC$303,22,0)</f>
        <v>0</v>
      </c>
      <c r="P188" s="362" t="str">
        <f t="shared" ca="1" si="16"/>
        <v/>
      </c>
      <c r="Q188" s="375" t="e">
        <f t="shared" ca="1" si="20"/>
        <v>#VALUE!</v>
      </c>
      <c r="R188" s="298" t="str">
        <f>VLOOKUP(B188,'Base de Datos'!E188:AU499,33,0)</f>
        <v>Dirección Financiera</v>
      </c>
      <c r="S188" s="301" t="e">
        <f t="shared" ca="1" si="17"/>
        <v>#REF!</v>
      </c>
      <c r="T188" s="298" t="str">
        <f t="shared" si="18"/>
        <v/>
      </c>
      <c r="U188" s="298" t="str">
        <f>VLOOKUP(B188,'Base de Datos'!$E$7:$AU$401,38,0)</f>
        <v>NO</v>
      </c>
    </row>
    <row r="189" spans="1:21" ht="23.25" customHeight="1" thickTop="1" thickBot="1" x14ac:dyDescent="0.35">
      <c r="A189" s="96">
        <v>183</v>
      </c>
      <c r="B189" s="298" t="str">
        <f>+'Base de Datos'!E189</f>
        <v>140164-0-2014</v>
      </c>
      <c r="C189" s="298" t="str">
        <f>+'Base de Datos'!F189</f>
        <v>MITSUBISHIS ELECTRIC DE COLOMBIA LTDA</v>
      </c>
      <c r="D189" s="299">
        <f>+'Base de Datos'!I189</f>
        <v>16555000</v>
      </c>
      <c r="E189" s="300">
        <f>+'Base de Datos'!M189</f>
        <v>41732</v>
      </c>
      <c r="F189" s="300">
        <f>+'Base de Datos'!N189</f>
        <v>42096</v>
      </c>
      <c r="G189" s="300" t="e">
        <f>+'Base de Datos'!#REF!</f>
        <v>#REF!</v>
      </c>
      <c r="H189" s="299">
        <f>+'Base de Datos'!X189</f>
        <v>16555000</v>
      </c>
      <c r="I189" s="301" t="e">
        <f>IF(VLOOKUP(B189,'Base de Datos'!$E$7:$T$303,11,0),"SI","NO")</f>
        <v>#VALUE!</v>
      </c>
      <c r="J189" s="302" t="e">
        <f t="shared" si="14"/>
        <v>#VALUE!</v>
      </c>
      <c r="K189" s="301" t="e">
        <f>IF(VLOOKUP(B189,'Base de Datos'!$E$7:$T$303,11,0),"SI","NO")</f>
        <v>#VALUE!</v>
      </c>
      <c r="L189" s="302" t="e">
        <f t="shared" si="15"/>
        <v>#VALUE!</v>
      </c>
      <c r="M189" s="302">
        <f>VLOOKUP(B189,'Base de Datos'!$E$7:$AC$303,21,0)</f>
        <v>15762669</v>
      </c>
      <c r="N189" s="363" t="e">
        <f t="shared" ca="1" si="19"/>
        <v>#REF!</v>
      </c>
      <c r="O189" s="302">
        <f>VLOOKUP(B189,'Base de Datos'!$E$7:$AC$303,22,0)</f>
        <v>792331</v>
      </c>
      <c r="P189" s="362" t="str">
        <f t="shared" ca="1" si="16"/>
        <v/>
      </c>
      <c r="Q189" s="375" t="e">
        <f t="shared" ca="1" si="20"/>
        <v>#VALUE!</v>
      </c>
      <c r="R189" s="298" t="str">
        <f>VLOOKUP(B189,'Base de Datos'!E189:AU500,33,0)</f>
        <v>Dirección Administrativa</v>
      </c>
      <c r="S189" s="301" t="e">
        <f t="shared" ca="1" si="17"/>
        <v>#REF!</v>
      </c>
      <c r="T189" s="298" t="str">
        <f t="shared" si="18"/>
        <v/>
      </c>
      <c r="U189" s="298" t="str">
        <f>VLOOKUP(B189,'Base de Datos'!$E$7:$AU$401,38,0)</f>
        <v>SI</v>
      </c>
    </row>
    <row r="190" spans="1:21" ht="23.25" customHeight="1" thickTop="1" thickBot="1" x14ac:dyDescent="0.35">
      <c r="A190" s="96">
        <v>184</v>
      </c>
      <c r="B190" s="298" t="str">
        <f>+'Base de Datos'!E190</f>
        <v>140166-0-2014</v>
      </c>
      <c r="C190" s="298" t="str">
        <f>+'Base de Datos'!F190</f>
        <v>EDELMIRA ATARA GIL</v>
      </c>
      <c r="D190" s="299">
        <f>+'Base de Datos'!I190</f>
        <v>39600000</v>
      </c>
      <c r="E190" s="300">
        <f>+'Base de Datos'!M190</f>
        <v>41675</v>
      </c>
      <c r="F190" s="300">
        <f>+'Base de Datos'!N190</f>
        <v>42008</v>
      </c>
      <c r="G190" s="300" t="e">
        <f>+'Base de Datos'!#REF!</f>
        <v>#REF!</v>
      </c>
      <c r="H190" s="299">
        <f>+'Base de Datos'!X190</f>
        <v>39600000</v>
      </c>
      <c r="I190" s="301" t="e">
        <f>IF(VLOOKUP(B190,'Base de Datos'!$E$7:$T$303,11,0),"SI","NO")</f>
        <v>#VALUE!</v>
      </c>
      <c r="J190" s="302" t="e">
        <f t="shared" si="14"/>
        <v>#VALUE!</v>
      </c>
      <c r="K190" s="301" t="e">
        <f>IF(VLOOKUP(B190,'Base de Datos'!$E$7:$T$303,11,0),"SI","NO")</f>
        <v>#VALUE!</v>
      </c>
      <c r="L190" s="302" t="e">
        <f t="shared" si="15"/>
        <v>#VALUE!</v>
      </c>
      <c r="M190" s="302">
        <f>VLOOKUP(B190,'Base de Datos'!$E$7:$AC$303,21,0)</f>
        <v>24720000</v>
      </c>
      <c r="N190" s="363" t="e">
        <f t="shared" ca="1" si="19"/>
        <v>#REF!</v>
      </c>
      <c r="O190" s="302">
        <f>VLOOKUP(B190,'Base de Datos'!$E$7:$AC$303,22,0)</f>
        <v>14880000</v>
      </c>
      <c r="P190" s="362" t="str">
        <f t="shared" ca="1" si="16"/>
        <v/>
      </c>
      <c r="Q190" s="375" t="e">
        <f t="shared" ca="1" si="20"/>
        <v>#VALUE!</v>
      </c>
      <c r="R190" s="298">
        <f>VLOOKUP(B190,'Base de Datos'!E190:AU501,33,0)</f>
        <v>0</v>
      </c>
      <c r="S190" s="301" t="e">
        <f t="shared" ca="1" si="17"/>
        <v>#REF!</v>
      </c>
      <c r="T190" s="298" t="str">
        <f t="shared" si="18"/>
        <v/>
      </c>
      <c r="U190" s="298" t="str">
        <f>VLOOKUP(B190,'Base de Datos'!$E$7:$AU$401,38,0)</f>
        <v>NO</v>
      </c>
    </row>
    <row r="191" spans="1:21" ht="23.25" customHeight="1" thickTop="1" thickBot="1" x14ac:dyDescent="0.35">
      <c r="A191" s="96">
        <v>185</v>
      </c>
      <c r="B191" s="298" t="str">
        <f>+'Base de Datos'!E191</f>
        <v>140167-0-2014</v>
      </c>
      <c r="C191" s="298" t="str">
        <f>+'Base de Datos'!F191</f>
        <v>EDGARDO ANDRÉS MALDONADO CORTES</v>
      </c>
      <c r="D191" s="299">
        <f>+'Base de Datos'!I191</f>
        <v>51500000</v>
      </c>
      <c r="E191" s="300">
        <f>+'Base de Datos'!M191</f>
        <v>41694</v>
      </c>
      <c r="F191" s="300">
        <f>+'Base de Datos'!N191</f>
        <v>41996</v>
      </c>
      <c r="G191" s="300" t="e">
        <f>+'Base de Datos'!#REF!</f>
        <v>#REF!</v>
      </c>
      <c r="H191" s="299">
        <f>+'Base de Datos'!X191</f>
        <v>51500000</v>
      </c>
      <c r="I191" s="301" t="e">
        <f>IF(VLOOKUP(B191,'Base de Datos'!$E$7:$T$303,11,0),"SI","NO")</f>
        <v>#VALUE!</v>
      </c>
      <c r="J191" s="302" t="e">
        <f t="shared" si="14"/>
        <v>#VALUE!</v>
      </c>
      <c r="K191" s="301" t="e">
        <f>IF(VLOOKUP(B191,'Base de Datos'!$E$7:$T$303,11,0),"SI","NO")</f>
        <v>#VALUE!</v>
      </c>
      <c r="L191" s="302" t="e">
        <f t="shared" si="15"/>
        <v>#VALUE!</v>
      </c>
      <c r="M191" s="302">
        <f>VLOOKUP(B191,'Base de Datos'!$E$7:$AC$303,21,0)</f>
        <v>32788333</v>
      </c>
      <c r="N191" s="363" t="e">
        <f t="shared" ca="1" si="19"/>
        <v>#REF!</v>
      </c>
      <c r="O191" s="302">
        <f>VLOOKUP(B191,'Base de Datos'!$E$7:$AC$303,22,0)</f>
        <v>18711667</v>
      </c>
      <c r="P191" s="362" t="str">
        <f t="shared" ca="1" si="16"/>
        <v/>
      </c>
      <c r="Q191" s="375" t="e">
        <f t="shared" ca="1" si="20"/>
        <v>#VALUE!</v>
      </c>
      <c r="R191" s="298">
        <f>VLOOKUP(B191,'Base de Datos'!E191:AU502,33,0)</f>
        <v>0</v>
      </c>
      <c r="S191" s="301" t="e">
        <f t="shared" ca="1" si="17"/>
        <v>#REF!</v>
      </c>
      <c r="T191" s="298" t="str">
        <f t="shared" si="18"/>
        <v/>
      </c>
      <c r="U191" s="298" t="str">
        <f>VLOOKUP(B191,'Base de Datos'!$E$7:$AU$401,38,0)</f>
        <v>NO</v>
      </c>
    </row>
    <row r="192" spans="1:21" ht="23.25" customHeight="1" thickTop="1" thickBot="1" x14ac:dyDescent="0.35">
      <c r="A192" s="96">
        <v>186</v>
      </c>
      <c r="B192" s="298" t="str">
        <f>+'Base de Datos'!E192</f>
        <v>140168-0-2014</v>
      </c>
      <c r="C192" s="298" t="str">
        <f>+'Base de Datos'!F192</f>
        <v>JORGE LUIS TRUJILLO VERA</v>
      </c>
      <c r="D192" s="299">
        <f>+'Base de Datos'!I192</f>
        <v>16500000</v>
      </c>
      <c r="E192" s="300">
        <f>+'Base de Datos'!M192</f>
        <v>41675</v>
      </c>
      <c r="F192" s="300">
        <f>+'Base de Datos'!N192</f>
        <v>42008</v>
      </c>
      <c r="G192" s="300" t="e">
        <f>+'Base de Datos'!#REF!</f>
        <v>#REF!</v>
      </c>
      <c r="H192" s="299">
        <f>+'Base de Datos'!X192</f>
        <v>16500000</v>
      </c>
      <c r="I192" s="301" t="e">
        <f>IF(VLOOKUP(B192,'Base de Datos'!$E$7:$T$303,11,0),"SI","NO")</f>
        <v>#VALUE!</v>
      </c>
      <c r="J192" s="302" t="e">
        <f t="shared" si="14"/>
        <v>#VALUE!</v>
      </c>
      <c r="K192" s="301" t="e">
        <f>IF(VLOOKUP(B192,'Base de Datos'!$E$7:$T$303,11,0),"SI","NO")</f>
        <v>#VALUE!</v>
      </c>
      <c r="L192" s="302" t="e">
        <f t="shared" si="15"/>
        <v>#VALUE!</v>
      </c>
      <c r="M192" s="302">
        <f>VLOOKUP(B192,'Base de Datos'!$E$7:$AC$303,21,0)</f>
        <v>10300000</v>
      </c>
      <c r="N192" s="363" t="e">
        <f t="shared" ca="1" si="19"/>
        <v>#REF!</v>
      </c>
      <c r="O192" s="302">
        <f>VLOOKUP(B192,'Base de Datos'!$E$7:$AC$303,22,0)</f>
        <v>6200000</v>
      </c>
      <c r="P192" s="362" t="str">
        <f t="shared" ca="1" si="16"/>
        <v/>
      </c>
      <c r="Q192" s="375" t="e">
        <f t="shared" ca="1" si="20"/>
        <v>#VALUE!</v>
      </c>
      <c r="R192" s="298" t="str">
        <f>VLOOKUP(B192,'Base de Datos'!E192:AU503,33,0)</f>
        <v>Dirección Financiera</v>
      </c>
      <c r="S192" s="301" t="e">
        <f t="shared" ca="1" si="17"/>
        <v>#REF!</v>
      </c>
      <c r="T192" s="298" t="str">
        <f t="shared" si="18"/>
        <v/>
      </c>
      <c r="U192" s="298" t="str">
        <f>VLOOKUP(B192,'Base de Datos'!$E$7:$AU$401,38,0)</f>
        <v>NO</v>
      </c>
    </row>
    <row r="193" spans="1:21" ht="23.25" customHeight="1" thickTop="1" thickBot="1" x14ac:dyDescent="0.35">
      <c r="A193" s="96">
        <v>187</v>
      </c>
      <c r="B193" s="298" t="str">
        <f>+'Base de Datos'!E193</f>
        <v>140169-0-2014</v>
      </c>
      <c r="C193" s="298" t="str">
        <f>+'Base de Datos'!F193</f>
        <v>MATILDE NIETO CONTRERAS (Cesionaria) / antes ELIS ALEXANDER MORENO SALAMANCA</v>
      </c>
      <c r="D193" s="299">
        <f>+'Base de Datos'!I193</f>
        <v>51500000</v>
      </c>
      <c r="E193" s="300">
        <f>+'Base de Datos'!M193</f>
        <v>41677</v>
      </c>
      <c r="F193" s="300">
        <f>+'Base de Datos'!N193</f>
        <v>41979</v>
      </c>
      <c r="G193" s="300" t="e">
        <f>+'Base de Datos'!#REF!</f>
        <v>#REF!</v>
      </c>
      <c r="H193" s="299">
        <f>+'Base de Datos'!X193</f>
        <v>61800000</v>
      </c>
      <c r="I193" s="301" t="e">
        <f>IF(VLOOKUP(B193,'Base de Datos'!$E$7:$T$303,11,0),"SI","NO")</f>
        <v>#VALUE!</v>
      </c>
      <c r="J193" s="302" t="e">
        <f t="shared" si="14"/>
        <v>#VALUE!</v>
      </c>
      <c r="K193" s="301" t="e">
        <f>IF(VLOOKUP(B193,'Base de Datos'!$E$7:$T$303,11,0),"SI","NO")</f>
        <v>#VALUE!</v>
      </c>
      <c r="L193" s="302" t="e">
        <f t="shared" si="15"/>
        <v>#VALUE!</v>
      </c>
      <c r="M193" s="302">
        <f>VLOOKUP(B193,'Base de Datos'!$E$7:$AC$303,21,0)</f>
        <v>54933333</v>
      </c>
      <c r="N193" s="363" t="e">
        <f t="shared" ca="1" si="19"/>
        <v>#REF!</v>
      </c>
      <c r="O193" s="302">
        <f>VLOOKUP(B193,'Base de Datos'!$E$7:$AC$303,22,0)</f>
        <v>6866667</v>
      </c>
      <c r="P193" s="362" t="str">
        <f t="shared" ca="1" si="16"/>
        <v/>
      </c>
      <c r="Q193" s="375" t="e">
        <f t="shared" ca="1" si="20"/>
        <v>#VALUE!</v>
      </c>
      <c r="R193" s="298" t="str">
        <f>VLOOKUP(B193,'Base de Datos'!E193:AU504,33,0)</f>
        <v>Dirección Financiera</v>
      </c>
      <c r="S193" s="301" t="e">
        <f t="shared" ca="1" si="17"/>
        <v>#REF!</v>
      </c>
      <c r="T193" s="298" t="str">
        <f t="shared" si="18"/>
        <v/>
      </c>
      <c r="U193" s="298" t="str">
        <f>VLOOKUP(B193,'Base de Datos'!$E$7:$AU$401,38,0)</f>
        <v>NO</v>
      </c>
    </row>
    <row r="194" spans="1:21" ht="23.25" customHeight="1" thickTop="1" thickBot="1" x14ac:dyDescent="0.35">
      <c r="A194" s="96">
        <v>188</v>
      </c>
      <c r="B194" s="298" t="str">
        <f>+'Base de Datos'!E194</f>
        <v>140171-0-2014</v>
      </c>
      <c r="C194" s="298" t="str">
        <f>+'Base de Datos'!F194</f>
        <v>INGEAL S.A.</v>
      </c>
      <c r="D194" s="299">
        <f>+'Base de Datos'!I194</f>
        <v>340808000</v>
      </c>
      <c r="E194" s="300">
        <f>+'Base de Datos'!M194</f>
        <v>41704</v>
      </c>
      <c r="F194" s="300">
        <f>+'Base de Datos'!N194</f>
        <v>41748</v>
      </c>
      <c r="G194" s="300" t="e">
        <f>+'Base de Datos'!#REF!</f>
        <v>#REF!</v>
      </c>
      <c r="H194" s="299">
        <f>+'Base de Datos'!X194</f>
        <v>340808000</v>
      </c>
      <c r="I194" s="301" t="e">
        <f>IF(VLOOKUP(B194,'Base de Datos'!$E$7:$T$303,11,0),"SI","NO")</f>
        <v>#VALUE!</v>
      </c>
      <c r="J194" s="302" t="e">
        <f t="shared" si="14"/>
        <v>#VALUE!</v>
      </c>
      <c r="K194" s="301" t="e">
        <f>IF(VLOOKUP(B194,'Base de Datos'!$E$7:$T$303,11,0),"SI","NO")</f>
        <v>#VALUE!</v>
      </c>
      <c r="L194" s="302" t="e">
        <f t="shared" si="15"/>
        <v>#VALUE!</v>
      </c>
      <c r="M194" s="302">
        <f>VLOOKUP(B194,'Base de Datos'!$E$7:$AC$303,21,0)</f>
        <v>340808000</v>
      </c>
      <c r="N194" s="363" t="e">
        <f t="shared" ca="1" si="19"/>
        <v>#REF!</v>
      </c>
      <c r="O194" s="302">
        <f>VLOOKUP(B194,'Base de Datos'!$E$7:$AC$303,22,0)</f>
        <v>0</v>
      </c>
      <c r="P194" s="362" t="str">
        <f t="shared" ca="1" si="16"/>
        <v/>
      </c>
      <c r="Q194" s="375" t="e">
        <f t="shared" ca="1" si="20"/>
        <v>#VALUE!</v>
      </c>
      <c r="R194" s="298">
        <f>VLOOKUP(B194,'Base de Datos'!E194:AU505,33,0)</f>
        <v>0</v>
      </c>
      <c r="S194" s="301" t="e">
        <f t="shared" ca="1" si="17"/>
        <v>#REF!</v>
      </c>
      <c r="T194" s="298" t="str">
        <f t="shared" si="18"/>
        <v/>
      </c>
      <c r="U194" s="298" t="str">
        <f>VLOOKUP(B194,'Base de Datos'!$E$7:$AU$401,38,0)</f>
        <v>SI</v>
      </c>
    </row>
    <row r="195" spans="1:21" ht="23.25" customHeight="1" thickTop="1" thickBot="1" x14ac:dyDescent="0.35">
      <c r="A195" s="96">
        <v>189</v>
      </c>
      <c r="B195" s="298" t="str">
        <f>+'Base de Datos'!E195</f>
        <v>140172-0-2014</v>
      </c>
      <c r="C195" s="298" t="str">
        <f>+'Base de Datos'!F195</f>
        <v>SONA GREEN TECHNOLOGIES SAS</v>
      </c>
      <c r="D195" s="299">
        <f>+'Base de Datos'!I195</f>
        <v>28900000</v>
      </c>
      <c r="E195" s="300">
        <f>+'Base de Datos'!M195</f>
        <v>41704</v>
      </c>
      <c r="F195" s="300">
        <f>+'Base de Datos'!N195</f>
        <v>41748</v>
      </c>
      <c r="G195" s="300" t="e">
        <f>+'Base de Datos'!#REF!</f>
        <v>#REF!</v>
      </c>
      <c r="H195" s="299">
        <f>+'Base de Datos'!X195</f>
        <v>28900000</v>
      </c>
      <c r="I195" s="301" t="e">
        <f>IF(VLOOKUP(B195,'Base de Datos'!$E$7:$T$303,11,0),"SI","NO")</f>
        <v>#VALUE!</v>
      </c>
      <c r="J195" s="302" t="e">
        <f t="shared" si="14"/>
        <v>#VALUE!</v>
      </c>
      <c r="K195" s="301" t="e">
        <f>IF(VLOOKUP(B195,'Base de Datos'!$E$7:$T$303,11,0),"SI","NO")</f>
        <v>#VALUE!</v>
      </c>
      <c r="L195" s="302" t="e">
        <f t="shared" si="15"/>
        <v>#VALUE!</v>
      </c>
      <c r="M195" s="302">
        <f>VLOOKUP(B195,'Base de Datos'!$E$7:$AC$303,21,0)</f>
        <v>28900000</v>
      </c>
      <c r="N195" s="363" t="e">
        <f t="shared" ca="1" si="19"/>
        <v>#REF!</v>
      </c>
      <c r="O195" s="302">
        <f>VLOOKUP(B195,'Base de Datos'!$E$7:$AC$303,22,0)</f>
        <v>0</v>
      </c>
      <c r="P195" s="362" t="str">
        <f t="shared" ca="1" si="16"/>
        <v/>
      </c>
      <c r="Q195" s="375" t="e">
        <f t="shared" ca="1" si="20"/>
        <v>#VALUE!</v>
      </c>
      <c r="R195" s="298">
        <f>VLOOKUP(B195,'Base de Datos'!E195:AU506,33,0)</f>
        <v>0</v>
      </c>
      <c r="S195" s="301" t="e">
        <f t="shared" ca="1" si="17"/>
        <v>#REF!</v>
      </c>
      <c r="T195" s="298" t="str">
        <f t="shared" si="18"/>
        <v/>
      </c>
      <c r="U195" s="298" t="str">
        <f>VLOOKUP(B195,'Base de Datos'!$E$7:$AU$401,38,0)</f>
        <v>SI</v>
      </c>
    </row>
    <row r="196" spans="1:21" ht="23.25" customHeight="1" thickTop="1" thickBot="1" x14ac:dyDescent="0.35">
      <c r="A196" s="96">
        <v>190</v>
      </c>
      <c r="B196" s="298" t="str">
        <f>+'Base de Datos'!E196</f>
        <v>140173-0-2014</v>
      </c>
      <c r="C196" s="298" t="str">
        <f>+'Base de Datos'!F196</f>
        <v>K 10 DESIGN   S.A.S</v>
      </c>
      <c r="D196" s="299">
        <f>+'Base de Datos'!I196</f>
        <v>248000000</v>
      </c>
      <c r="E196" s="300">
        <f>+'Base de Datos'!M196</f>
        <v>41708</v>
      </c>
      <c r="F196" s="300">
        <f>+'Base de Datos'!N196</f>
        <v>41738</v>
      </c>
      <c r="G196" s="300" t="e">
        <f>+'Base de Datos'!#REF!</f>
        <v>#REF!</v>
      </c>
      <c r="H196" s="299">
        <f>+'Base de Datos'!X196</f>
        <v>325128875</v>
      </c>
      <c r="I196" s="301" t="e">
        <f>IF(VLOOKUP(B196,'Base de Datos'!$E$7:$T$303,11,0),"SI","NO")</f>
        <v>#VALUE!</v>
      </c>
      <c r="J196" s="302" t="e">
        <f t="shared" si="14"/>
        <v>#VALUE!</v>
      </c>
      <c r="K196" s="301" t="e">
        <f>IF(VLOOKUP(B196,'Base de Datos'!$E$7:$T$303,11,0),"SI","NO")</f>
        <v>#VALUE!</v>
      </c>
      <c r="L196" s="302" t="e">
        <f t="shared" si="15"/>
        <v>#VALUE!</v>
      </c>
      <c r="M196" s="302">
        <f>VLOOKUP(B196,'Base de Datos'!$E$7:$AC$303,21,0)</f>
        <v>325028452</v>
      </c>
      <c r="N196" s="363" t="e">
        <f t="shared" ca="1" si="19"/>
        <v>#REF!</v>
      </c>
      <c r="O196" s="302">
        <f>VLOOKUP(B196,'Base de Datos'!$E$7:$AC$303,22,0)</f>
        <v>100423</v>
      </c>
      <c r="P196" s="362" t="str">
        <f t="shared" ca="1" si="16"/>
        <v/>
      </c>
      <c r="Q196" s="375" t="e">
        <f t="shared" ca="1" si="20"/>
        <v>#VALUE!</v>
      </c>
      <c r="R196" s="298">
        <f>VLOOKUP(B196,'Base de Datos'!E196:AU507,33,0)</f>
        <v>0</v>
      </c>
      <c r="S196" s="301" t="e">
        <f t="shared" ca="1" si="17"/>
        <v>#REF!</v>
      </c>
      <c r="T196" s="298" t="str">
        <f t="shared" si="18"/>
        <v/>
      </c>
      <c r="U196" s="298" t="str">
        <f>VLOOKUP(B196,'Base de Datos'!$E$7:$AU$401,38,0)</f>
        <v>SI</v>
      </c>
    </row>
    <row r="197" spans="1:21" ht="23.25" customHeight="1" thickTop="1" thickBot="1" x14ac:dyDescent="0.35">
      <c r="A197" s="96">
        <v>191</v>
      </c>
      <c r="B197" s="298" t="str">
        <f>+'Base de Datos'!E197</f>
        <v>140176-0-2014</v>
      </c>
      <c r="C197" s="298" t="str">
        <f>+'Base de Datos'!F197</f>
        <v>AGR SOLUCIONES S.A.S.</v>
      </c>
      <c r="D197" s="299">
        <f>+'Base de Datos'!I197</f>
        <v>11000000</v>
      </c>
      <c r="E197" s="300">
        <f>+'Base de Datos'!M197</f>
        <v>41738</v>
      </c>
      <c r="F197" s="300">
        <f>+'Base de Datos'!N197</f>
        <v>42012</v>
      </c>
      <c r="G197" s="300" t="e">
        <f>+'Base de Datos'!#REF!</f>
        <v>#REF!</v>
      </c>
      <c r="H197" s="299">
        <f>+'Base de Datos'!X197</f>
        <v>11000000</v>
      </c>
      <c r="I197" s="301" t="e">
        <f>IF(VLOOKUP(B197,'Base de Datos'!$E$7:$T$303,11,0),"SI","NO")</f>
        <v>#VALUE!</v>
      </c>
      <c r="J197" s="302" t="e">
        <f t="shared" si="14"/>
        <v>#VALUE!</v>
      </c>
      <c r="K197" s="301" t="e">
        <f>IF(VLOOKUP(B197,'Base de Datos'!$E$7:$T$303,11,0),"SI","NO")</f>
        <v>#VALUE!</v>
      </c>
      <c r="L197" s="302" t="e">
        <f t="shared" si="15"/>
        <v>#VALUE!</v>
      </c>
      <c r="M197" s="302">
        <f>VLOOKUP(B197,'Base de Datos'!$E$7:$AC$303,21,0)</f>
        <v>2672466</v>
      </c>
      <c r="N197" s="363" t="e">
        <f t="shared" ca="1" si="19"/>
        <v>#REF!</v>
      </c>
      <c r="O197" s="302">
        <f>VLOOKUP(B197,'Base de Datos'!$E$7:$AC$303,22,0)</f>
        <v>8327534</v>
      </c>
      <c r="P197" s="362" t="str">
        <f t="shared" ca="1" si="16"/>
        <v/>
      </c>
      <c r="Q197" s="375" t="e">
        <f t="shared" ca="1" si="20"/>
        <v>#VALUE!</v>
      </c>
      <c r="R197" s="298" t="str">
        <f>VLOOKUP(B197,'Base de Datos'!E197:AU508,33,0)</f>
        <v>Dirección Administrativa</v>
      </c>
      <c r="S197" s="301" t="e">
        <f t="shared" ca="1" si="17"/>
        <v>#REF!</v>
      </c>
      <c r="T197" s="298" t="str">
        <f t="shared" si="18"/>
        <v/>
      </c>
      <c r="U197" s="298" t="str">
        <f>VLOOKUP(B197,'Base de Datos'!$E$7:$AU$401,38,0)</f>
        <v>SI</v>
      </c>
    </row>
    <row r="198" spans="1:21" ht="23.25" customHeight="1" thickTop="1" thickBot="1" x14ac:dyDescent="0.35">
      <c r="A198" s="96">
        <v>192</v>
      </c>
      <c r="B198" s="298" t="str">
        <f>+'Base de Datos'!E198</f>
        <v>140178-0-2014</v>
      </c>
      <c r="C198" s="298" t="str">
        <f>+'Base de Datos'!F198</f>
        <v>DIRECTV COLOMBIA LTDA</v>
      </c>
      <c r="D198" s="299">
        <f>+'Base de Datos'!I198</f>
        <v>1325400</v>
      </c>
      <c r="E198" s="300">
        <f>+'Base de Datos'!M198</f>
        <v>41738</v>
      </c>
      <c r="F198" s="300">
        <f>+'Base de Datos'!N198</f>
        <v>42102</v>
      </c>
      <c r="G198" s="300" t="e">
        <f>+'Base de Datos'!#REF!</f>
        <v>#REF!</v>
      </c>
      <c r="H198" s="299">
        <f>+'Base de Datos'!X198</f>
        <v>1607400</v>
      </c>
      <c r="I198" s="301" t="e">
        <f>IF(VLOOKUP(B198,'Base de Datos'!$E$7:$T$303,11,0),"SI","NO")</f>
        <v>#VALUE!</v>
      </c>
      <c r="J198" s="302" t="e">
        <f t="shared" si="14"/>
        <v>#VALUE!</v>
      </c>
      <c r="K198" s="301" t="e">
        <f>IF(VLOOKUP(B198,'Base de Datos'!$E$7:$T$303,11,0),"SI","NO")</f>
        <v>#VALUE!</v>
      </c>
      <c r="L198" s="302" t="e">
        <f t="shared" si="15"/>
        <v>#VALUE!</v>
      </c>
      <c r="M198" s="302">
        <f>VLOOKUP(B198,'Base de Datos'!$E$7:$AC$303,21,0)</f>
        <v>0</v>
      </c>
      <c r="N198" s="363" t="e">
        <f t="shared" ca="1" si="19"/>
        <v>#REF!</v>
      </c>
      <c r="O198" s="302">
        <f>VLOOKUP(B198,'Base de Datos'!$E$7:$AC$303,22,0)</f>
        <v>1607400</v>
      </c>
      <c r="P198" s="362" t="str">
        <f t="shared" ca="1" si="16"/>
        <v/>
      </c>
      <c r="Q198" s="375" t="e">
        <f t="shared" ca="1" si="20"/>
        <v>#VALUE!</v>
      </c>
      <c r="R198" s="298" t="str">
        <f>VLOOKUP(B198,'Base de Datos'!E198:AU509,33,0)</f>
        <v>Dirección Administrativa</v>
      </c>
      <c r="S198" s="301" t="e">
        <f t="shared" ca="1" si="17"/>
        <v>#REF!</v>
      </c>
      <c r="T198" s="298" t="str">
        <f t="shared" si="18"/>
        <v/>
      </c>
      <c r="U198" s="298" t="str">
        <f>VLOOKUP(B198,'Base de Datos'!$E$7:$AU$401,38,0)</f>
        <v>SI</v>
      </c>
    </row>
    <row r="199" spans="1:21" ht="23.25" customHeight="1" thickTop="1" thickBot="1" x14ac:dyDescent="0.35">
      <c r="A199" s="96">
        <v>193</v>
      </c>
      <c r="B199" s="298" t="str">
        <f>+'Base de Datos'!E199</f>
        <v>140179-0-2014</v>
      </c>
      <c r="C199" s="298" t="str">
        <f>+'Base de Datos'!F199</f>
        <v>SYSTEM NET INGENIERÍA LTDA</v>
      </c>
      <c r="D199" s="299">
        <f>+'Base de Datos'!I199</f>
        <v>4982000</v>
      </c>
      <c r="E199" s="300">
        <f>+'Base de Datos'!M199</f>
        <v>41725</v>
      </c>
      <c r="F199" s="300">
        <f>+'Base de Datos'!N199</f>
        <v>41969</v>
      </c>
      <c r="G199" s="300" t="e">
        <f>+'Base de Datos'!#REF!</f>
        <v>#REF!</v>
      </c>
      <c r="H199" s="299">
        <f>+'Base de Datos'!X199</f>
        <v>4982000</v>
      </c>
      <c r="I199" s="301" t="e">
        <f>IF(VLOOKUP(B199,'Base de Datos'!$E$7:$T$303,11,0),"SI","NO")</f>
        <v>#VALUE!</v>
      </c>
      <c r="J199" s="302" t="e">
        <f t="shared" ref="J199:J262" si="21">IF(I199=$AB$7,((G199-F199)*100%)/(F199-E199),"")</f>
        <v>#VALUE!</v>
      </c>
      <c r="K199" s="301" t="e">
        <f>IF(VLOOKUP(B199,'Base de Datos'!$E$7:$T$303,11,0),"SI","NO")</f>
        <v>#VALUE!</v>
      </c>
      <c r="L199" s="302" t="e">
        <f t="shared" ref="L199:L262" si="22">IF(K199=$AB$7,((H199-D199)*100%)/(D199),"")</f>
        <v>#VALUE!</v>
      </c>
      <c r="M199" s="302">
        <f>VLOOKUP(B199,'Base de Datos'!$E$7:$AC$303,21,0)</f>
        <v>2832000</v>
      </c>
      <c r="N199" s="363" t="e">
        <f t="shared" ca="1" si="19"/>
        <v>#REF!</v>
      </c>
      <c r="O199" s="302">
        <f>VLOOKUP(B199,'Base de Datos'!$E$7:$AC$303,22,0)</f>
        <v>2150000</v>
      </c>
      <c r="P199" s="362" t="str">
        <f t="shared" ref="P199:P262" ca="1" si="23">IF(R199=$AC$7,"",IFERROR(IF(R199=$AC$8,"",($C$5-G199)),""))</f>
        <v/>
      </c>
      <c r="Q199" s="375" t="e">
        <f t="shared" ca="1" si="20"/>
        <v>#VALUE!</v>
      </c>
      <c r="R199" s="298" t="str">
        <f>VLOOKUP(B199,'Base de Datos'!E199:AU510,33,0)</f>
        <v>Dirección Administrativa</v>
      </c>
      <c r="S199" s="301" t="e">
        <f t="shared" ref="S199:S262" ca="1" si="24">IF((TODAY()-G199&lt;900),"SI","NO")</f>
        <v>#REF!</v>
      </c>
      <c r="T199" s="298" t="str">
        <f t="shared" ref="T199:T262" si="25">IF(R199=$AC$8,"",IF(O199=100%,"Liquidar",IF(R199=$AC$7,"Supervisar","")))</f>
        <v/>
      </c>
      <c r="U199" s="298" t="str">
        <f>VLOOKUP(B199,'Base de Datos'!$E$7:$AU$401,38,0)</f>
        <v>SI</v>
      </c>
    </row>
    <row r="200" spans="1:21" ht="23.25" customHeight="1" thickTop="1" thickBot="1" x14ac:dyDescent="0.35">
      <c r="A200" s="96">
        <v>194</v>
      </c>
      <c r="B200" s="298" t="str">
        <f>+'Base de Datos'!E200</f>
        <v>140181-0-2014</v>
      </c>
      <c r="C200" s="298" t="str">
        <f>+'Base de Datos'!F200</f>
        <v>MODULARES OFIMA LTDA</v>
      </c>
      <c r="D200" s="299">
        <f>+'Base de Datos'!I200</f>
        <v>28000000</v>
      </c>
      <c r="E200" s="300">
        <f>+'Base de Datos'!M200</f>
        <v>41738</v>
      </c>
      <c r="F200" s="300">
        <f>+'Base de Datos'!N200</f>
        <v>41951</v>
      </c>
      <c r="G200" s="300" t="e">
        <f>+'Base de Datos'!#REF!</f>
        <v>#REF!</v>
      </c>
      <c r="H200" s="299">
        <f>+'Base de Datos'!X200</f>
        <v>28000000</v>
      </c>
      <c r="I200" s="301" t="e">
        <f>IF(VLOOKUP(B200,'Base de Datos'!$E$7:$T$303,11,0),"SI","NO")</f>
        <v>#VALUE!</v>
      </c>
      <c r="J200" s="302" t="e">
        <f t="shared" si="21"/>
        <v>#VALUE!</v>
      </c>
      <c r="K200" s="301" t="e">
        <f>IF(VLOOKUP(B200,'Base de Datos'!$E$7:$T$303,11,0),"SI","NO")</f>
        <v>#VALUE!</v>
      </c>
      <c r="L200" s="302" t="e">
        <f t="shared" si="22"/>
        <v>#VALUE!</v>
      </c>
      <c r="M200" s="302">
        <f>VLOOKUP(B200,'Base de Datos'!$E$7:$AC$303,21,0)</f>
        <v>10978240</v>
      </c>
      <c r="N200" s="363" t="e">
        <f t="shared" ref="N200:N263" ca="1" si="26">IF(G200&lt;TODAY(),"",G200-TODAY())</f>
        <v>#REF!</v>
      </c>
      <c r="O200" s="302">
        <f>VLOOKUP(B200,'Base de Datos'!$E$7:$AC$303,22,0)</f>
        <v>17021760</v>
      </c>
      <c r="P200" s="362" t="str">
        <f t="shared" ca="1" si="23"/>
        <v/>
      </c>
      <c r="Q200" s="375" t="e">
        <f t="shared" ref="Q200:Q263" ca="1" si="27">IF(P200=0,"",(P200*100%)/120)</f>
        <v>#VALUE!</v>
      </c>
      <c r="R200" s="298" t="str">
        <f>VLOOKUP(B200,'Base de Datos'!E200:AU511,33,0)</f>
        <v>Dirección Administrativa</v>
      </c>
      <c r="S200" s="301" t="e">
        <f t="shared" ca="1" si="24"/>
        <v>#REF!</v>
      </c>
      <c r="T200" s="298" t="str">
        <f t="shared" si="25"/>
        <v/>
      </c>
      <c r="U200" s="298" t="str">
        <f>VLOOKUP(B200,'Base de Datos'!$E$7:$AU$401,38,0)</f>
        <v>SI</v>
      </c>
    </row>
    <row r="201" spans="1:21" ht="23.25" customHeight="1" thickTop="1" thickBot="1" x14ac:dyDescent="0.35">
      <c r="A201" s="96">
        <v>195</v>
      </c>
      <c r="B201" s="298" t="str">
        <f>+'Base de Datos'!E201</f>
        <v>140186-0-2014</v>
      </c>
      <c r="C201" s="298" t="str">
        <f>+'Base de Datos'!F201</f>
        <v>SECURITYCOM S.A.S</v>
      </c>
      <c r="D201" s="299">
        <f>+'Base de Datos'!I201</f>
        <v>2122000</v>
      </c>
      <c r="E201" s="300">
        <f>+'Base de Datos'!M201</f>
        <v>41752</v>
      </c>
      <c r="F201" s="300">
        <f>+'Base de Datos'!N201</f>
        <v>42116</v>
      </c>
      <c r="G201" s="300" t="e">
        <f>+'Base de Datos'!#REF!</f>
        <v>#REF!</v>
      </c>
      <c r="H201" s="299">
        <f>+'Base de Datos'!X201</f>
        <v>2122000</v>
      </c>
      <c r="I201" s="301" t="e">
        <f>IF(VLOOKUP(B201,'Base de Datos'!$E$7:$T$303,11,0),"SI","NO")</f>
        <v>#VALUE!</v>
      </c>
      <c r="J201" s="302" t="e">
        <f t="shared" si="21"/>
        <v>#VALUE!</v>
      </c>
      <c r="K201" s="301" t="e">
        <f>IF(VLOOKUP(B201,'Base de Datos'!$E$7:$T$303,11,0),"SI","NO")</f>
        <v>#VALUE!</v>
      </c>
      <c r="L201" s="302" t="e">
        <f t="shared" si="22"/>
        <v>#VALUE!</v>
      </c>
      <c r="M201" s="302">
        <f>VLOOKUP(B201,'Base de Datos'!$E$7:$AC$303,21,0)</f>
        <v>2122000</v>
      </c>
      <c r="N201" s="363" t="e">
        <f t="shared" ca="1" si="26"/>
        <v>#REF!</v>
      </c>
      <c r="O201" s="302">
        <f>VLOOKUP(B201,'Base de Datos'!$E$7:$AC$303,22,0)</f>
        <v>0</v>
      </c>
      <c r="P201" s="362" t="str">
        <f t="shared" ca="1" si="23"/>
        <v/>
      </c>
      <c r="Q201" s="375" t="e">
        <f t="shared" ca="1" si="27"/>
        <v>#VALUE!</v>
      </c>
      <c r="R201" s="298" t="str">
        <f>VLOOKUP(B201,'Base de Datos'!E201:AU512,33,0)</f>
        <v>Dirección Administrativa</v>
      </c>
      <c r="S201" s="301" t="e">
        <f t="shared" ca="1" si="24"/>
        <v>#REF!</v>
      </c>
      <c r="T201" s="298" t="str">
        <f t="shared" si="25"/>
        <v/>
      </c>
      <c r="U201" s="298" t="str">
        <f>VLOOKUP(B201,'Base de Datos'!$E$7:$AU$401,38,0)</f>
        <v>SI</v>
      </c>
    </row>
    <row r="202" spans="1:21" ht="23.25" customHeight="1" thickTop="1" thickBot="1" x14ac:dyDescent="0.35">
      <c r="A202" s="96">
        <v>196</v>
      </c>
      <c r="B202" s="298" t="str">
        <f>+'Base de Datos'!E202</f>
        <v>140188-0-2014</v>
      </c>
      <c r="C202" s="298" t="str">
        <f>+'Base de Datos'!F202</f>
        <v>HERNANDO  BULLA ORJUELA</v>
      </c>
      <c r="D202" s="299">
        <f>+'Base de Datos'!I202</f>
        <v>20872000</v>
      </c>
      <c r="E202" s="300">
        <f>+'Base de Datos'!M202</f>
        <v>41757</v>
      </c>
      <c r="F202" s="300">
        <f>+'Base de Datos'!N202</f>
        <v>42062</v>
      </c>
      <c r="G202" s="300" t="e">
        <f>+'Base de Datos'!#REF!</f>
        <v>#REF!</v>
      </c>
      <c r="H202" s="299">
        <f>+'Base de Datos'!X202</f>
        <v>31218000</v>
      </c>
      <c r="I202" s="301" t="e">
        <f>IF(VLOOKUP(B202,'Base de Datos'!$E$7:$T$303,11,0),"SI","NO")</f>
        <v>#VALUE!</v>
      </c>
      <c r="J202" s="302" t="e">
        <f t="shared" si="21"/>
        <v>#VALUE!</v>
      </c>
      <c r="K202" s="301" t="e">
        <f>IF(VLOOKUP(B202,'Base de Datos'!$E$7:$T$303,11,0),"SI","NO")</f>
        <v>#VALUE!</v>
      </c>
      <c r="L202" s="302" t="e">
        <f t="shared" si="22"/>
        <v>#VALUE!</v>
      </c>
      <c r="M202" s="302">
        <f>VLOOKUP(B202,'Base de Datos'!$E$7:$AC$303,21,0)</f>
        <v>29571427</v>
      </c>
      <c r="N202" s="363" t="e">
        <f t="shared" ca="1" si="26"/>
        <v>#REF!</v>
      </c>
      <c r="O202" s="302">
        <f>VLOOKUP(B202,'Base de Datos'!$E$7:$AC$303,22,0)</f>
        <v>1646573</v>
      </c>
      <c r="P202" s="362" t="str">
        <f t="shared" ca="1" si="23"/>
        <v/>
      </c>
      <c r="Q202" s="375" t="e">
        <f t="shared" ca="1" si="27"/>
        <v>#VALUE!</v>
      </c>
      <c r="R202" s="298" t="str">
        <f>VLOOKUP(B202,'Base de Datos'!E202:AU513,33,0)</f>
        <v>Dirección Administrativa</v>
      </c>
      <c r="S202" s="301" t="e">
        <f t="shared" ca="1" si="24"/>
        <v>#REF!</v>
      </c>
      <c r="T202" s="298" t="str">
        <f t="shared" si="25"/>
        <v/>
      </c>
      <c r="U202" s="298" t="str">
        <f>VLOOKUP(B202,'Base de Datos'!$E$7:$AU$401,38,0)</f>
        <v>SI</v>
      </c>
    </row>
    <row r="203" spans="1:21" ht="23.25" customHeight="1" thickTop="1" thickBot="1" x14ac:dyDescent="0.35">
      <c r="A203" s="96">
        <v>197</v>
      </c>
      <c r="B203" s="298" t="str">
        <f>+'Base de Datos'!E203</f>
        <v>140190-0-2014</v>
      </c>
      <c r="C203" s="298" t="str">
        <f>+'Base de Datos'!F203</f>
        <v>GAMMA INGENIEROS S A</v>
      </c>
      <c r="D203" s="299">
        <f>+'Base de Datos'!I203</f>
        <v>12145200</v>
      </c>
      <c r="E203" s="300">
        <f>+'Base de Datos'!M203</f>
        <v>41764</v>
      </c>
      <c r="F203" s="300">
        <f>+'Base de Datos'!N203</f>
        <v>41901</v>
      </c>
      <c r="G203" s="300" t="e">
        <f>+'Base de Datos'!#REF!</f>
        <v>#REF!</v>
      </c>
      <c r="H203" s="299">
        <f>+'Base de Datos'!X203</f>
        <v>18217800</v>
      </c>
      <c r="I203" s="301" t="e">
        <f>IF(VLOOKUP(B203,'Base de Datos'!$E$7:$T$303,11,0),"SI","NO")</f>
        <v>#VALUE!</v>
      </c>
      <c r="J203" s="302" t="e">
        <f t="shared" si="21"/>
        <v>#VALUE!</v>
      </c>
      <c r="K203" s="301" t="e">
        <f>IF(VLOOKUP(B203,'Base de Datos'!$E$7:$T$303,11,0),"SI","NO")</f>
        <v>#VALUE!</v>
      </c>
      <c r="L203" s="302" t="e">
        <f t="shared" si="22"/>
        <v>#VALUE!</v>
      </c>
      <c r="M203" s="302">
        <f>VLOOKUP(B203,'Base de Datos'!$E$7:$AC$303,21,0)</f>
        <v>18217800</v>
      </c>
      <c r="N203" s="363" t="e">
        <f t="shared" ca="1" si="26"/>
        <v>#REF!</v>
      </c>
      <c r="O203" s="302">
        <f>VLOOKUP(B203,'Base de Datos'!$E$7:$AC$303,22,0)</f>
        <v>0</v>
      </c>
      <c r="P203" s="362" t="str">
        <f t="shared" ca="1" si="23"/>
        <v/>
      </c>
      <c r="Q203" s="375" t="e">
        <f t="shared" ca="1" si="27"/>
        <v>#VALUE!</v>
      </c>
      <c r="R203" s="298">
        <f>VLOOKUP(B203,'Base de Datos'!E203:AU514,33,0)</f>
        <v>0</v>
      </c>
      <c r="S203" s="301" t="e">
        <f t="shared" ca="1" si="24"/>
        <v>#REF!</v>
      </c>
      <c r="T203" s="298" t="str">
        <f t="shared" si="25"/>
        <v/>
      </c>
      <c r="U203" s="298" t="str">
        <f>VLOOKUP(B203,'Base de Datos'!$E$7:$AU$401,38,0)</f>
        <v>SI</v>
      </c>
    </row>
    <row r="204" spans="1:21" ht="23.25" customHeight="1" thickTop="1" thickBot="1" x14ac:dyDescent="0.35">
      <c r="A204" s="96">
        <v>198</v>
      </c>
      <c r="B204" s="298" t="str">
        <f>+'Base de Datos'!E204</f>
        <v>140191-0-2014</v>
      </c>
      <c r="C204" s="298" t="str">
        <f>+'Base de Datos'!F204</f>
        <v>KONNEN SERVICES    S.A.S</v>
      </c>
      <c r="D204" s="299">
        <f>+'Base de Datos'!I204</f>
        <v>1700007</v>
      </c>
      <c r="E204" s="300">
        <f>+'Base de Datos'!M204</f>
        <v>41757</v>
      </c>
      <c r="F204" s="300">
        <f>+'Base de Datos'!N204</f>
        <v>41817</v>
      </c>
      <c r="G204" s="300" t="e">
        <f>+'Base de Datos'!#REF!</f>
        <v>#REF!</v>
      </c>
      <c r="H204" s="299">
        <f>+'Base de Datos'!X204</f>
        <v>1700007</v>
      </c>
      <c r="I204" s="301" t="e">
        <f>IF(VLOOKUP(B204,'Base de Datos'!$E$7:$T$303,11,0),"SI","NO")</f>
        <v>#VALUE!</v>
      </c>
      <c r="J204" s="302" t="e">
        <f t="shared" si="21"/>
        <v>#VALUE!</v>
      </c>
      <c r="K204" s="301" t="e">
        <f>IF(VLOOKUP(B204,'Base de Datos'!$E$7:$T$303,11,0),"SI","NO")</f>
        <v>#VALUE!</v>
      </c>
      <c r="L204" s="302" t="e">
        <f t="shared" si="22"/>
        <v>#VALUE!</v>
      </c>
      <c r="M204" s="302">
        <f>VLOOKUP(B204,'Base de Datos'!$E$7:$AC$303,21,0)</f>
        <v>1700000</v>
      </c>
      <c r="N204" s="363" t="e">
        <f t="shared" ca="1" si="26"/>
        <v>#REF!</v>
      </c>
      <c r="O204" s="302">
        <f>VLOOKUP(B204,'Base de Datos'!$E$7:$AC$303,22,0)</f>
        <v>7</v>
      </c>
      <c r="P204" s="362" t="str">
        <f t="shared" ca="1" si="23"/>
        <v/>
      </c>
      <c r="Q204" s="375" t="e">
        <f t="shared" ca="1" si="27"/>
        <v>#VALUE!</v>
      </c>
      <c r="R204" s="298">
        <f>VLOOKUP(B204,'Base de Datos'!E204:AU515,33,0)</f>
        <v>0</v>
      </c>
      <c r="S204" s="301" t="e">
        <f t="shared" ca="1" si="24"/>
        <v>#REF!</v>
      </c>
      <c r="T204" s="298" t="str">
        <f t="shared" si="25"/>
        <v/>
      </c>
      <c r="U204" s="298" t="str">
        <f>VLOOKUP(B204,'Base de Datos'!$E$7:$AU$401,38,0)</f>
        <v>SI</v>
      </c>
    </row>
    <row r="205" spans="1:21" ht="23.25" customHeight="1" thickTop="1" thickBot="1" x14ac:dyDescent="0.35">
      <c r="A205" s="96">
        <v>199</v>
      </c>
      <c r="B205" s="298" t="str">
        <f>+'Base de Datos'!E205</f>
        <v>140193-0-2014</v>
      </c>
      <c r="C205" s="298" t="str">
        <f>+'Base de Datos'!F205</f>
        <v>GRANADOS Y CONDECORACIONES</v>
      </c>
      <c r="D205" s="299">
        <f>+'Base de Datos'!I205</f>
        <v>32631000</v>
      </c>
      <c r="E205" s="300">
        <f>+'Base de Datos'!M205</f>
        <v>41753</v>
      </c>
      <c r="F205" s="300">
        <f>+'Base de Datos'!N205</f>
        <v>42117</v>
      </c>
      <c r="G205" s="300" t="e">
        <f>+'Base de Datos'!#REF!</f>
        <v>#REF!</v>
      </c>
      <c r="H205" s="299">
        <f>+'Base de Datos'!X205</f>
        <v>32631000</v>
      </c>
      <c r="I205" s="301" t="e">
        <f>IF(VLOOKUP(B205,'Base de Datos'!$E$7:$T$303,11,0),"SI","NO")</f>
        <v>#VALUE!</v>
      </c>
      <c r="J205" s="302" t="e">
        <f t="shared" si="21"/>
        <v>#VALUE!</v>
      </c>
      <c r="K205" s="301" t="e">
        <f>IF(VLOOKUP(B205,'Base de Datos'!$E$7:$T$303,11,0),"SI","NO")</f>
        <v>#VALUE!</v>
      </c>
      <c r="L205" s="302" t="e">
        <f t="shared" si="22"/>
        <v>#VALUE!</v>
      </c>
      <c r="M205" s="302">
        <f>VLOOKUP(B205,'Base de Datos'!$E$7:$AC$303,21,0)</f>
        <v>32594631</v>
      </c>
      <c r="N205" s="363" t="e">
        <f t="shared" ca="1" si="26"/>
        <v>#REF!</v>
      </c>
      <c r="O205" s="302">
        <f>VLOOKUP(B205,'Base de Datos'!$E$7:$AC$303,22,0)</f>
        <v>36369</v>
      </c>
      <c r="P205" s="362" t="str">
        <f t="shared" ca="1" si="23"/>
        <v/>
      </c>
      <c r="Q205" s="375" t="e">
        <f t="shared" ca="1" si="27"/>
        <v>#VALUE!</v>
      </c>
      <c r="R205" s="298" t="str">
        <f>VLOOKUP(B205,'Base de Datos'!E205:AU516,33,0)</f>
        <v>Secretaría General</v>
      </c>
      <c r="S205" s="301" t="e">
        <f t="shared" ca="1" si="24"/>
        <v>#REF!</v>
      </c>
      <c r="T205" s="298" t="str">
        <f t="shared" si="25"/>
        <v/>
      </c>
      <c r="U205" s="298" t="str">
        <f>VLOOKUP(B205,'Base de Datos'!$E$7:$AU$401,38,0)</f>
        <v>SI</v>
      </c>
    </row>
    <row r="206" spans="1:21" ht="23.25" customHeight="1" thickTop="1" thickBot="1" x14ac:dyDescent="0.35">
      <c r="A206" s="96">
        <v>200</v>
      </c>
      <c r="B206" s="298" t="str">
        <f>+'Base de Datos'!E206</f>
        <v>140198-0-2014</v>
      </c>
      <c r="C206" s="298" t="str">
        <f>+'Base de Datos'!F206</f>
        <v>A&amp;V EXPRESS S.A.</v>
      </c>
      <c r="D206" s="299">
        <f>+'Base de Datos'!I206</f>
        <v>40000000</v>
      </c>
      <c r="E206" s="300">
        <f>+'Base de Datos'!M206</f>
        <v>41807</v>
      </c>
      <c r="F206" s="300">
        <f>+'Base de Datos'!N206</f>
        <v>42051</v>
      </c>
      <c r="G206" s="300" t="e">
        <f>+'Base de Datos'!#REF!</f>
        <v>#REF!</v>
      </c>
      <c r="H206" s="299">
        <f>+'Base de Datos'!X206</f>
        <v>45100746</v>
      </c>
      <c r="I206" s="301" t="e">
        <f>IF(VLOOKUP(B206,'Base de Datos'!$E$7:$T$303,11,0),"SI","NO")</f>
        <v>#VALUE!</v>
      </c>
      <c r="J206" s="302" t="e">
        <f t="shared" si="21"/>
        <v>#VALUE!</v>
      </c>
      <c r="K206" s="301" t="e">
        <f>IF(VLOOKUP(B206,'Base de Datos'!$E$7:$T$303,11,0),"SI","NO")</f>
        <v>#VALUE!</v>
      </c>
      <c r="L206" s="302" t="e">
        <f t="shared" si="22"/>
        <v>#VALUE!</v>
      </c>
      <c r="M206" s="302">
        <f>VLOOKUP(B206,'Base de Datos'!$E$7:$AC$303,21,0)</f>
        <v>45045000</v>
      </c>
      <c r="N206" s="363" t="e">
        <f t="shared" ca="1" si="26"/>
        <v>#REF!</v>
      </c>
      <c r="O206" s="302">
        <f>VLOOKUP(B206,'Base de Datos'!$E$7:$AC$303,22,0)</f>
        <v>55746</v>
      </c>
      <c r="P206" s="362" t="str">
        <f t="shared" ca="1" si="23"/>
        <v/>
      </c>
      <c r="Q206" s="375" t="e">
        <f t="shared" ca="1" si="27"/>
        <v>#VALUE!</v>
      </c>
      <c r="R206" s="298" t="str">
        <f>VLOOKUP(B206,'Base de Datos'!E206:AU517,33,0)</f>
        <v>Secretaría General</v>
      </c>
      <c r="S206" s="301" t="e">
        <f t="shared" ca="1" si="24"/>
        <v>#REF!</v>
      </c>
      <c r="T206" s="298" t="str">
        <f t="shared" si="25"/>
        <v/>
      </c>
      <c r="U206" s="298" t="str">
        <f>VLOOKUP(B206,'Base de Datos'!$E$7:$AU$401,38,0)</f>
        <v>SI</v>
      </c>
    </row>
    <row r="207" spans="1:21" ht="23.25" customHeight="1" thickTop="1" thickBot="1" x14ac:dyDescent="0.35">
      <c r="A207" s="96">
        <v>201</v>
      </c>
      <c r="B207" s="298" t="str">
        <f>+'Base de Datos'!E207</f>
        <v>140200-0-2014</v>
      </c>
      <c r="C207" s="298" t="str">
        <f>+'Base de Datos'!F207</f>
        <v>UNIDAD NACIONAL DE PROTECCIÓN  UNP</v>
      </c>
      <c r="D207" s="299">
        <f>+'Base de Datos'!I207</f>
        <v>0</v>
      </c>
      <c r="E207" s="300">
        <f>+'Base de Datos'!M207</f>
        <v>0</v>
      </c>
      <c r="F207" s="300">
        <f>+'Base de Datos'!N207</f>
        <v>0</v>
      </c>
      <c r="G207" s="300" t="e">
        <f>+'Base de Datos'!#REF!</f>
        <v>#REF!</v>
      </c>
      <c r="H207" s="299">
        <f>+'Base de Datos'!X207</f>
        <v>0</v>
      </c>
      <c r="I207" s="301" t="e">
        <f>IF(VLOOKUP(B207,'Base de Datos'!$E$7:$T$303,11,0),"SI","NO")</f>
        <v>#VALUE!</v>
      </c>
      <c r="J207" s="302" t="e">
        <f t="shared" si="21"/>
        <v>#VALUE!</v>
      </c>
      <c r="K207" s="301" t="e">
        <f>IF(VLOOKUP(B207,'Base de Datos'!$E$7:$T$303,11,0),"SI","NO")</f>
        <v>#VALUE!</v>
      </c>
      <c r="L207" s="302" t="e">
        <f t="shared" si="22"/>
        <v>#VALUE!</v>
      </c>
      <c r="M207" s="302">
        <f>VLOOKUP(B207,'Base de Datos'!$E$7:$AC$303,21,0)</f>
        <v>0</v>
      </c>
      <c r="N207" s="363" t="e">
        <f t="shared" ca="1" si="26"/>
        <v>#REF!</v>
      </c>
      <c r="O207" s="302">
        <f>VLOOKUP(B207,'Base de Datos'!$E$7:$AC$303,22,0)</f>
        <v>0</v>
      </c>
      <c r="P207" s="362" t="str">
        <f t="shared" ca="1" si="23"/>
        <v/>
      </c>
      <c r="Q207" s="375" t="e">
        <f t="shared" ca="1" si="27"/>
        <v>#VALUE!</v>
      </c>
      <c r="R207" s="298" t="str">
        <f>VLOOKUP(B207,'Base de Datos'!E207:AU518,33,0)</f>
        <v>Dirección Administrativa</v>
      </c>
      <c r="S207" s="301" t="e">
        <f t="shared" ca="1" si="24"/>
        <v>#REF!</v>
      </c>
      <c r="T207" s="298" t="str">
        <f t="shared" si="25"/>
        <v/>
      </c>
      <c r="U207" s="298">
        <f>VLOOKUP(B207,'Base de Datos'!$E$7:$AU$401,38,0)</f>
        <v>0</v>
      </c>
    </row>
    <row r="208" spans="1:21" ht="23.25" customHeight="1" thickTop="1" thickBot="1" x14ac:dyDescent="0.35">
      <c r="A208" s="96">
        <v>202</v>
      </c>
      <c r="B208" s="298" t="str">
        <f>+'Base de Datos'!E208</f>
        <v>140201-0-2014</v>
      </c>
      <c r="C208" s="298" t="str">
        <f>+'Base de Datos'!F208</f>
        <v>UNIPLES S.A.</v>
      </c>
      <c r="D208" s="299">
        <f>+'Base de Datos'!I208</f>
        <v>9998117</v>
      </c>
      <c r="E208" s="300">
        <f>+'Base de Datos'!M208</f>
        <v>41794</v>
      </c>
      <c r="F208" s="300">
        <f>+'Base de Datos'!N208</f>
        <v>41855</v>
      </c>
      <c r="G208" s="300" t="e">
        <f>+'Base de Datos'!#REF!</f>
        <v>#REF!</v>
      </c>
      <c r="H208" s="299">
        <f>+'Base de Datos'!X208</f>
        <v>9998117</v>
      </c>
      <c r="I208" s="301" t="e">
        <f>IF(VLOOKUP(B208,'Base de Datos'!$E$7:$T$303,11,0),"SI","NO")</f>
        <v>#VALUE!</v>
      </c>
      <c r="J208" s="302" t="e">
        <f t="shared" si="21"/>
        <v>#VALUE!</v>
      </c>
      <c r="K208" s="301" t="e">
        <f>IF(VLOOKUP(B208,'Base de Datos'!$E$7:$T$303,11,0),"SI","NO")</f>
        <v>#VALUE!</v>
      </c>
      <c r="L208" s="302" t="e">
        <f t="shared" si="22"/>
        <v>#VALUE!</v>
      </c>
      <c r="M208" s="302">
        <f>VLOOKUP(B208,'Base de Datos'!$E$7:$AC$303,21,0)</f>
        <v>9998097</v>
      </c>
      <c r="N208" s="363" t="e">
        <f t="shared" ca="1" si="26"/>
        <v>#REF!</v>
      </c>
      <c r="O208" s="302">
        <f>VLOOKUP(B208,'Base de Datos'!$E$7:$AC$303,22,0)</f>
        <v>20</v>
      </c>
      <c r="P208" s="362" t="str">
        <f t="shared" ca="1" si="23"/>
        <v/>
      </c>
      <c r="Q208" s="375" t="e">
        <f t="shared" ca="1" si="27"/>
        <v>#VALUE!</v>
      </c>
      <c r="R208" s="298" t="str">
        <f>VLOOKUP(B208,'Base de Datos'!E208:AU519,33,0)</f>
        <v>Dirección Administrativa</v>
      </c>
      <c r="S208" s="301" t="e">
        <f t="shared" ca="1" si="24"/>
        <v>#REF!</v>
      </c>
      <c r="T208" s="298" t="str">
        <f t="shared" si="25"/>
        <v/>
      </c>
      <c r="U208" s="298" t="str">
        <f>VLOOKUP(B208,'Base de Datos'!$E$7:$AU$401,38,0)</f>
        <v>SI</v>
      </c>
    </row>
    <row r="209" spans="1:21" ht="23.25" customHeight="1" thickTop="1" thickBot="1" x14ac:dyDescent="0.35">
      <c r="A209" s="96">
        <v>203</v>
      </c>
      <c r="B209" s="298" t="str">
        <f>+'Base de Datos'!E209</f>
        <v>140260-0-2014</v>
      </c>
      <c r="C209" s="298" t="str">
        <f>+'Base de Datos'!F209</f>
        <v>IDENTICO SAS</v>
      </c>
      <c r="D209" s="299">
        <f>+'Base de Datos'!I209</f>
        <v>14975600</v>
      </c>
      <c r="E209" s="300">
        <f>+'Base de Datos'!M209</f>
        <v>41871</v>
      </c>
      <c r="F209" s="300">
        <f>+'Base de Datos'!N209</f>
        <v>41932</v>
      </c>
      <c r="G209" s="300" t="e">
        <f>+'Base de Datos'!#REF!</f>
        <v>#REF!</v>
      </c>
      <c r="H209" s="299">
        <f>+'Base de Datos'!X209</f>
        <v>14975600</v>
      </c>
      <c r="I209" s="301" t="e">
        <f>IF(VLOOKUP(B209,'Base de Datos'!$E$7:$T$303,11,0),"SI","NO")</f>
        <v>#VALUE!</v>
      </c>
      <c r="J209" s="302" t="e">
        <f t="shared" si="21"/>
        <v>#VALUE!</v>
      </c>
      <c r="K209" s="301" t="e">
        <f>IF(VLOOKUP(B209,'Base de Datos'!$E$7:$T$303,11,0),"SI","NO")</f>
        <v>#VALUE!</v>
      </c>
      <c r="L209" s="302" t="e">
        <f t="shared" si="22"/>
        <v>#VALUE!</v>
      </c>
      <c r="M209" s="302">
        <f>VLOOKUP(B209,'Base de Datos'!$E$7:$AC$303,21,0)</f>
        <v>14975600</v>
      </c>
      <c r="N209" s="363" t="e">
        <f t="shared" ca="1" si="26"/>
        <v>#REF!</v>
      </c>
      <c r="O209" s="302">
        <f>VLOOKUP(B209,'Base de Datos'!$E$7:$AC$303,22,0)</f>
        <v>0</v>
      </c>
      <c r="P209" s="362" t="str">
        <f t="shared" ca="1" si="23"/>
        <v/>
      </c>
      <c r="Q209" s="375" t="e">
        <f t="shared" ca="1" si="27"/>
        <v>#VALUE!</v>
      </c>
      <c r="R209" s="298" t="str">
        <f>VLOOKUP(B209,'Base de Datos'!E209:AU520,33,0)</f>
        <v>Dirección Administrativa</v>
      </c>
      <c r="S209" s="301" t="e">
        <f t="shared" ca="1" si="24"/>
        <v>#REF!</v>
      </c>
      <c r="T209" s="298" t="str">
        <f t="shared" si="25"/>
        <v/>
      </c>
      <c r="U209" s="298" t="str">
        <f>VLOOKUP(B209,'Base de Datos'!$E$7:$AU$401,38,0)</f>
        <v>SI</v>
      </c>
    </row>
    <row r="210" spans="1:21" ht="23.25" customHeight="1" thickTop="1" thickBot="1" x14ac:dyDescent="0.35">
      <c r="A210" s="96">
        <v>204</v>
      </c>
      <c r="B210" s="298" t="str">
        <f>+'Base de Datos'!E210</f>
        <v>140207-0-2014</v>
      </c>
      <c r="C210" s="298" t="str">
        <f>+'Base de Datos'!F210</f>
        <v>MUDANZAS EL NOGAL SAS</v>
      </c>
      <c r="D210" s="299">
        <f>+'Base de Datos'!I210</f>
        <v>12000000</v>
      </c>
      <c r="E210" s="300">
        <f>+'Base de Datos'!M210</f>
        <v>41824</v>
      </c>
      <c r="F210" s="300">
        <f>+'Base de Datos'!N210</f>
        <v>42066</v>
      </c>
      <c r="G210" s="300" t="e">
        <f>+'Base de Datos'!#REF!</f>
        <v>#REF!</v>
      </c>
      <c r="H210" s="299">
        <f>+'Base de Datos'!X210</f>
        <v>12000000</v>
      </c>
      <c r="I210" s="301" t="e">
        <f>IF(VLOOKUP(B210,'Base de Datos'!$E$7:$T$303,11,0),"SI","NO")</f>
        <v>#VALUE!</v>
      </c>
      <c r="J210" s="302" t="e">
        <f t="shared" si="21"/>
        <v>#VALUE!</v>
      </c>
      <c r="K210" s="301" t="e">
        <f>IF(VLOOKUP(B210,'Base de Datos'!$E$7:$T$303,11,0),"SI","NO")</f>
        <v>#VALUE!</v>
      </c>
      <c r="L210" s="302" t="e">
        <f t="shared" si="22"/>
        <v>#VALUE!</v>
      </c>
      <c r="M210" s="302">
        <f>VLOOKUP(B210,'Base de Datos'!$E$7:$AC$303,21,0)</f>
        <v>10800000</v>
      </c>
      <c r="N210" s="363" t="e">
        <f t="shared" ca="1" si="26"/>
        <v>#REF!</v>
      </c>
      <c r="O210" s="302">
        <f>VLOOKUP(B210,'Base de Datos'!$E$7:$AC$303,22,0)</f>
        <v>1200000</v>
      </c>
      <c r="P210" s="362" t="str">
        <f t="shared" ca="1" si="23"/>
        <v/>
      </c>
      <c r="Q210" s="375" t="e">
        <f t="shared" ca="1" si="27"/>
        <v>#VALUE!</v>
      </c>
      <c r="R210" s="298" t="str">
        <f>VLOOKUP(B210,'Base de Datos'!E210:AU521,33,0)</f>
        <v>Dirección Administrativa</v>
      </c>
      <c r="S210" s="301" t="e">
        <f t="shared" ca="1" si="24"/>
        <v>#REF!</v>
      </c>
      <c r="T210" s="298" t="str">
        <f t="shared" si="25"/>
        <v/>
      </c>
      <c r="U210" s="298" t="str">
        <f>VLOOKUP(B210,'Base de Datos'!$E$7:$AU$401,38,0)</f>
        <v>SI</v>
      </c>
    </row>
    <row r="211" spans="1:21" ht="23.25" customHeight="1" thickTop="1" thickBot="1" x14ac:dyDescent="0.35">
      <c r="A211" s="96">
        <v>205</v>
      </c>
      <c r="B211" s="298" t="str">
        <f>+'Base de Datos'!E211</f>
        <v>140212-0-2014</v>
      </c>
      <c r="C211" s="298" t="str">
        <f>+'Base de Datos'!F211</f>
        <v>TECNOLOGÍA BIOMÉDICA</v>
      </c>
      <c r="D211" s="299">
        <f>+'Base de Datos'!I211</f>
        <v>5719790</v>
      </c>
      <c r="E211" s="300">
        <f>+'Base de Datos'!M211</f>
        <v>41807</v>
      </c>
      <c r="F211" s="300">
        <f>+'Base de Datos'!N211</f>
        <v>41867</v>
      </c>
      <c r="G211" s="300" t="e">
        <f>+'Base de Datos'!#REF!</f>
        <v>#REF!</v>
      </c>
      <c r="H211" s="299">
        <f>+'Base de Datos'!X211</f>
        <v>5719790</v>
      </c>
      <c r="I211" s="301" t="e">
        <f>IF(VLOOKUP(B211,'Base de Datos'!$E$7:$T$303,11,0),"SI","NO")</f>
        <v>#VALUE!</v>
      </c>
      <c r="J211" s="302" t="e">
        <f t="shared" si="21"/>
        <v>#VALUE!</v>
      </c>
      <c r="K211" s="301" t="e">
        <f>IF(VLOOKUP(B211,'Base de Datos'!$E$7:$T$303,11,0),"SI","NO")</f>
        <v>#VALUE!</v>
      </c>
      <c r="L211" s="302" t="e">
        <f t="shared" si="22"/>
        <v>#VALUE!</v>
      </c>
      <c r="M211" s="302">
        <f>VLOOKUP(B211,'Base de Datos'!$E$7:$AC$303,21,0)</f>
        <v>5719790</v>
      </c>
      <c r="N211" s="363" t="e">
        <f t="shared" ca="1" si="26"/>
        <v>#REF!</v>
      </c>
      <c r="O211" s="302">
        <f>VLOOKUP(B211,'Base de Datos'!$E$7:$AC$303,22,0)</f>
        <v>0</v>
      </c>
      <c r="P211" s="362" t="str">
        <f t="shared" ca="1" si="23"/>
        <v/>
      </c>
      <c r="Q211" s="375" t="e">
        <f t="shared" ca="1" si="27"/>
        <v>#VALUE!</v>
      </c>
      <c r="R211" s="298">
        <f>VLOOKUP(B211,'Base de Datos'!E211:AU522,33,0)</f>
        <v>0</v>
      </c>
      <c r="S211" s="301" t="e">
        <f t="shared" ca="1" si="24"/>
        <v>#REF!</v>
      </c>
      <c r="T211" s="298" t="str">
        <f t="shared" si="25"/>
        <v/>
      </c>
      <c r="U211" s="298" t="str">
        <f>VLOOKUP(B211,'Base de Datos'!$E$7:$AU$401,38,0)</f>
        <v>NO</v>
      </c>
    </row>
    <row r="212" spans="1:21" ht="23.25" customHeight="1" thickTop="1" thickBot="1" x14ac:dyDescent="0.35">
      <c r="A212" s="96">
        <v>206</v>
      </c>
      <c r="B212" s="298" t="str">
        <f>+'Base de Datos'!E212</f>
        <v>140215-0-2014</v>
      </c>
      <c r="C212" s="298" t="str">
        <f>+'Base de Datos'!F212</f>
        <v xml:space="preserve">UNIÓN TEMPORAL EMINSER-SOLOASEO </v>
      </c>
      <c r="D212" s="299">
        <f>+'Base de Datos'!I212</f>
        <v>337487000</v>
      </c>
      <c r="E212" s="300">
        <f>+'Base de Datos'!M212</f>
        <v>41811</v>
      </c>
      <c r="F212" s="300">
        <f>+'Base de Datos'!N212</f>
        <v>42130</v>
      </c>
      <c r="G212" s="300" t="e">
        <f>+'Base de Datos'!#REF!</f>
        <v>#REF!</v>
      </c>
      <c r="H212" s="299">
        <f>+'Base de Datos'!X212</f>
        <v>337487000</v>
      </c>
      <c r="I212" s="301" t="e">
        <f>IF(VLOOKUP(B212,'Base de Datos'!$E$7:$T$303,11,0),"SI","NO")</f>
        <v>#VALUE!</v>
      </c>
      <c r="J212" s="302" t="e">
        <f t="shared" si="21"/>
        <v>#VALUE!</v>
      </c>
      <c r="K212" s="301" t="e">
        <f>IF(VLOOKUP(B212,'Base de Datos'!$E$7:$T$303,11,0),"SI","NO")</f>
        <v>#VALUE!</v>
      </c>
      <c r="L212" s="302" t="e">
        <f t="shared" si="22"/>
        <v>#VALUE!</v>
      </c>
      <c r="M212" s="302">
        <f>VLOOKUP(B212,'Base de Datos'!$E$7:$AC$303,21,0)</f>
        <v>337486998</v>
      </c>
      <c r="N212" s="363" t="e">
        <f t="shared" ca="1" si="26"/>
        <v>#REF!</v>
      </c>
      <c r="O212" s="302">
        <f>VLOOKUP(B212,'Base de Datos'!$E$7:$AC$303,22,0)</f>
        <v>2</v>
      </c>
      <c r="P212" s="362" t="str">
        <f t="shared" ca="1" si="23"/>
        <v/>
      </c>
      <c r="Q212" s="375" t="e">
        <f t="shared" ca="1" si="27"/>
        <v>#VALUE!</v>
      </c>
      <c r="R212" s="298" t="str">
        <f>VLOOKUP(B212,'Base de Datos'!E212:AU523,33,0)</f>
        <v>Dirección Administrativa</v>
      </c>
      <c r="S212" s="301" t="e">
        <f t="shared" ca="1" si="24"/>
        <v>#REF!</v>
      </c>
      <c r="T212" s="298" t="str">
        <f t="shared" si="25"/>
        <v/>
      </c>
      <c r="U212" s="298" t="str">
        <f>VLOOKUP(B212,'Base de Datos'!$E$7:$AU$401,38,0)</f>
        <v>SI</v>
      </c>
    </row>
    <row r="213" spans="1:21" ht="23.25" customHeight="1" thickTop="1" thickBot="1" x14ac:dyDescent="0.35">
      <c r="A213" s="96">
        <v>207</v>
      </c>
      <c r="B213" s="298" t="str">
        <f>+'Base de Datos'!E213</f>
        <v>140216-0-2014</v>
      </c>
      <c r="C213" s="298" t="str">
        <f>+'Base de Datos'!F213</f>
        <v>UNIDAD NACIONAL DE PROTECCIÓN</v>
      </c>
      <c r="D213" s="299">
        <f>+'Base de Datos'!I213</f>
        <v>2447846100</v>
      </c>
      <c r="E213" s="300">
        <f>+'Base de Datos'!M213</f>
        <v>41808</v>
      </c>
      <c r="F213" s="300">
        <f>+'Base de Datos'!N213</f>
        <v>42021</v>
      </c>
      <c r="G213" s="300" t="e">
        <f>+'Base de Datos'!#REF!</f>
        <v>#REF!</v>
      </c>
      <c r="H213" s="299">
        <f>+'Base de Datos'!X213</f>
        <v>3463454100</v>
      </c>
      <c r="I213" s="301" t="e">
        <f>IF(VLOOKUP(B213,'Base de Datos'!$E$7:$T$303,11,0),"SI","NO")</f>
        <v>#VALUE!</v>
      </c>
      <c r="J213" s="302" t="e">
        <f t="shared" si="21"/>
        <v>#VALUE!</v>
      </c>
      <c r="K213" s="301" t="e">
        <f>IF(VLOOKUP(B213,'Base de Datos'!$E$7:$T$303,11,0),"SI","NO")</f>
        <v>#VALUE!</v>
      </c>
      <c r="L213" s="302" t="e">
        <f t="shared" si="22"/>
        <v>#VALUE!</v>
      </c>
      <c r="M213" s="302">
        <f>VLOOKUP(B213,'Base de Datos'!$E$7:$AC$303,21,0)</f>
        <v>3320263630</v>
      </c>
      <c r="N213" s="363" t="e">
        <f t="shared" ca="1" si="26"/>
        <v>#REF!</v>
      </c>
      <c r="O213" s="302">
        <f>VLOOKUP(B213,'Base de Datos'!$E$7:$AC$303,22,0)</f>
        <v>143190470</v>
      </c>
      <c r="P213" s="362" t="str">
        <f t="shared" ca="1" si="23"/>
        <v/>
      </c>
      <c r="Q213" s="375" t="e">
        <f t="shared" ca="1" si="27"/>
        <v>#VALUE!</v>
      </c>
      <c r="R213" s="298" t="str">
        <f>VLOOKUP(B213,'Base de Datos'!E213:AU524,33,0)</f>
        <v>Dirección Administrativa</v>
      </c>
      <c r="S213" s="301" t="e">
        <f t="shared" ca="1" si="24"/>
        <v>#REF!</v>
      </c>
      <c r="T213" s="298" t="str">
        <f t="shared" si="25"/>
        <v/>
      </c>
      <c r="U213" s="298" t="str">
        <f>VLOOKUP(B213,'Base de Datos'!$E$7:$AU$401,38,0)</f>
        <v>SI</v>
      </c>
    </row>
    <row r="214" spans="1:21" ht="23.25" customHeight="1" thickTop="1" thickBot="1" x14ac:dyDescent="0.35">
      <c r="A214" s="96">
        <v>208</v>
      </c>
      <c r="B214" s="298" t="str">
        <f>+'Base de Datos'!E214</f>
        <v>140219-0-2014</v>
      </c>
      <c r="C214" s="298" t="str">
        <f>+'Base de Datos'!F214</f>
        <v>MARKETGROUP SAS</v>
      </c>
      <c r="D214" s="299">
        <f>+'Base de Datos'!I214</f>
        <v>330000</v>
      </c>
      <c r="E214" s="300">
        <f>+'Base de Datos'!M214</f>
        <v>41841</v>
      </c>
      <c r="F214" s="300">
        <f>+'Base de Datos'!N214</f>
        <v>41872</v>
      </c>
      <c r="G214" s="300" t="e">
        <f>+'Base de Datos'!#REF!</f>
        <v>#REF!</v>
      </c>
      <c r="H214" s="299">
        <f>+'Base de Datos'!X214</f>
        <v>330000</v>
      </c>
      <c r="I214" s="301" t="e">
        <f>IF(VLOOKUP(B214,'Base de Datos'!$E$7:$T$303,11,0),"SI","NO")</f>
        <v>#VALUE!</v>
      </c>
      <c r="J214" s="302" t="e">
        <f t="shared" si="21"/>
        <v>#VALUE!</v>
      </c>
      <c r="K214" s="301" t="e">
        <f>IF(VLOOKUP(B214,'Base de Datos'!$E$7:$T$303,11,0),"SI","NO")</f>
        <v>#VALUE!</v>
      </c>
      <c r="L214" s="302" t="e">
        <f t="shared" si="22"/>
        <v>#VALUE!</v>
      </c>
      <c r="M214" s="302">
        <f>VLOOKUP(B214,'Base de Datos'!$E$7:$AC$303,21,0)</f>
        <v>330000</v>
      </c>
      <c r="N214" s="363" t="e">
        <f t="shared" ca="1" si="26"/>
        <v>#REF!</v>
      </c>
      <c r="O214" s="302">
        <f>VLOOKUP(B214,'Base de Datos'!$E$7:$AC$303,22,0)</f>
        <v>0</v>
      </c>
      <c r="P214" s="362" t="str">
        <f t="shared" ca="1" si="23"/>
        <v/>
      </c>
      <c r="Q214" s="375" t="e">
        <f t="shared" ca="1" si="27"/>
        <v>#VALUE!</v>
      </c>
      <c r="R214" s="298" t="str">
        <f>VLOOKUP(B214,'Base de Datos'!E214:AU525,33,0)</f>
        <v>Dirección Administrativa</v>
      </c>
      <c r="S214" s="301" t="e">
        <f t="shared" ca="1" si="24"/>
        <v>#REF!</v>
      </c>
      <c r="T214" s="298" t="str">
        <f t="shared" si="25"/>
        <v/>
      </c>
      <c r="U214" s="298" t="str">
        <f>VLOOKUP(B214,'Base de Datos'!$E$7:$AU$401,38,0)</f>
        <v>SI</v>
      </c>
    </row>
    <row r="215" spans="1:21" ht="23.25" customHeight="1" thickTop="1" thickBot="1" x14ac:dyDescent="0.35">
      <c r="A215" s="96">
        <v>209</v>
      </c>
      <c r="B215" s="298" t="str">
        <f>+'Base de Datos'!E215</f>
        <v>140220-0-2014</v>
      </c>
      <c r="C215" s="298" t="str">
        <f>+'Base de Datos'!F215</f>
        <v>ORGANIZACIÓN TERPEL S.A.</v>
      </c>
      <c r="D215" s="299">
        <f>+'Base de Datos'!I215</f>
        <v>251750000</v>
      </c>
      <c r="E215" s="300">
        <f>+'Base de Datos'!M215</f>
        <v>41806</v>
      </c>
      <c r="F215" s="300">
        <f>+'Base de Datos'!N215</f>
        <v>41959</v>
      </c>
      <c r="G215" s="300" t="e">
        <f>+'Base de Datos'!#REF!</f>
        <v>#REF!</v>
      </c>
      <c r="H215" s="299">
        <f>+'Base de Datos'!X215</f>
        <v>251750000</v>
      </c>
      <c r="I215" s="301" t="e">
        <f>IF(VLOOKUP(B215,'Base de Datos'!$E$7:$T$303,11,0),"SI","NO")</f>
        <v>#VALUE!</v>
      </c>
      <c r="J215" s="302" t="e">
        <f t="shared" si="21"/>
        <v>#VALUE!</v>
      </c>
      <c r="K215" s="301" t="e">
        <f>IF(VLOOKUP(B215,'Base de Datos'!$E$7:$T$303,11,0),"SI","NO")</f>
        <v>#VALUE!</v>
      </c>
      <c r="L215" s="302" t="e">
        <f t="shared" si="22"/>
        <v>#VALUE!</v>
      </c>
      <c r="M215" s="302">
        <f>VLOOKUP(B215,'Base de Datos'!$E$7:$AC$303,21,0)</f>
        <v>180186681</v>
      </c>
      <c r="N215" s="363" t="e">
        <f t="shared" ca="1" si="26"/>
        <v>#REF!</v>
      </c>
      <c r="O215" s="302">
        <f>VLOOKUP(B215,'Base de Datos'!$E$7:$AC$303,22,0)</f>
        <v>71563319</v>
      </c>
      <c r="P215" s="362" t="str">
        <f t="shared" ca="1" si="23"/>
        <v/>
      </c>
      <c r="Q215" s="375" t="e">
        <f t="shared" ca="1" si="27"/>
        <v>#VALUE!</v>
      </c>
      <c r="R215" s="298" t="str">
        <f>VLOOKUP(B215,'Base de Datos'!E215:AU526,33,0)</f>
        <v>Dirección Administrativa</v>
      </c>
      <c r="S215" s="301" t="e">
        <f t="shared" ca="1" si="24"/>
        <v>#REF!</v>
      </c>
      <c r="T215" s="298" t="str">
        <f t="shared" si="25"/>
        <v/>
      </c>
      <c r="U215" s="298" t="str">
        <f>VLOOKUP(B215,'Base de Datos'!$E$7:$AU$401,38,0)</f>
        <v>NO</v>
      </c>
    </row>
    <row r="216" spans="1:21" ht="23.25" customHeight="1" thickTop="1" thickBot="1" x14ac:dyDescent="0.35">
      <c r="A216" s="96">
        <v>210</v>
      </c>
      <c r="B216" s="298" t="str">
        <f>+'Base de Datos'!E216</f>
        <v>140221-0-2014</v>
      </c>
      <c r="C216" s="298" t="str">
        <f>+'Base de Datos'!F216</f>
        <v>INGENIERÍA DE BOMBAS Y PLANTAS LIMITADA</v>
      </c>
      <c r="D216" s="299">
        <f>+'Base de Datos'!I216</f>
        <v>6252000</v>
      </c>
      <c r="E216" s="300">
        <f>+'Base de Datos'!M216</f>
        <v>41842</v>
      </c>
      <c r="F216" s="300">
        <f>+'Base de Datos'!N216</f>
        <v>42207</v>
      </c>
      <c r="G216" s="300" t="e">
        <f>+'Base de Datos'!#REF!</f>
        <v>#REF!</v>
      </c>
      <c r="H216" s="299">
        <f>+'Base de Datos'!X216</f>
        <v>6252000</v>
      </c>
      <c r="I216" s="301" t="e">
        <f>IF(VLOOKUP(B216,'Base de Datos'!$E$7:$T$303,11,0),"SI","NO")</f>
        <v>#VALUE!</v>
      </c>
      <c r="J216" s="302" t="e">
        <f t="shared" si="21"/>
        <v>#VALUE!</v>
      </c>
      <c r="K216" s="301" t="e">
        <f>IF(VLOOKUP(B216,'Base de Datos'!$E$7:$T$303,11,0),"SI","NO")</f>
        <v>#VALUE!</v>
      </c>
      <c r="L216" s="302" t="e">
        <f t="shared" si="22"/>
        <v>#VALUE!</v>
      </c>
      <c r="M216" s="302">
        <f>VLOOKUP(B216,'Base de Datos'!$E$7:$AC$303,21,0)</f>
        <v>5665189</v>
      </c>
      <c r="N216" s="363" t="e">
        <f t="shared" ca="1" si="26"/>
        <v>#REF!</v>
      </c>
      <c r="O216" s="302">
        <f>VLOOKUP(B216,'Base de Datos'!$E$7:$AC$303,22,0)</f>
        <v>586811</v>
      </c>
      <c r="P216" s="362" t="str">
        <f t="shared" ca="1" si="23"/>
        <v/>
      </c>
      <c r="Q216" s="375" t="e">
        <f t="shared" ca="1" si="27"/>
        <v>#VALUE!</v>
      </c>
      <c r="R216" s="298" t="str">
        <f>VLOOKUP(B216,'Base de Datos'!E216:AU527,33,0)</f>
        <v>Dirección Administrativa</v>
      </c>
      <c r="S216" s="301" t="e">
        <f t="shared" ca="1" si="24"/>
        <v>#REF!</v>
      </c>
      <c r="T216" s="298" t="str">
        <f t="shared" si="25"/>
        <v/>
      </c>
      <c r="U216" s="298" t="str">
        <f>VLOOKUP(B216,'Base de Datos'!$E$7:$AU$401,38,0)</f>
        <v>SI</v>
      </c>
    </row>
    <row r="217" spans="1:21" ht="23.25" customHeight="1" thickTop="1" thickBot="1" x14ac:dyDescent="0.35">
      <c r="A217" s="96">
        <v>211</v>
      </c>
      <c r="B217" s="298" t="str">
        <f>+'Base de Datos'!E217</f>
        <v>140222-0-2014</v>
      </c>
      <c r="C217" s="298" t="str">
        <f>+'Base de Datos'!F217</f>
        <v>JOSÉ SADY SUAVITA ROJAS</v>
      </c>
      <c r="D217" s="299">
        <f>+'Base de Datos'!I217</f>
        <v>2962640</v>
      </c>
      <c r="E217" s="300">
        <f>+'Base de Datos'!M217</f>
        <v>41838</v>
      </c>
      <c r="F217" s="300">
        <f>+'Base de Datos'!N217</f>
        <v>41852</v>
      </c>
      <c r="G217" s="300" t="e">
        <f>+'Base de Datos'!#REF!</f>
        <v>#REF!</v>
      </c>
      <c r="H217" s="299">
        <f>+'Base de Datos'!X217</f>
        <v>2962640</v>
      </c>
      <c r="I217" s="301" t="e">
        <f>IF(VLOOKUP(B217,'Base de Datos'!$E$7:$T$303,11,0),"SI","NO")</f>
        <v>#VALUE!</v>
      </c>
      <c r="J217" s="302" t="e">
        <f t="shared" si="21"/>
        <v>#VALUE!</v>
      </c>
      <c r="K217" s="301" t="e">
        <f>IF(VLOOKUP(B217,'Base de Datos'!$E$7:$T$303,11,0),"SI","NO")</f>
        <v>#VALUE!</v>
      </c>
      <c r="L217" s="302" t="e">
        <f t="shared" si="22"/>
        <v>#VALUE!</v>
      </c>
      <c r="M217" s="302">
        <f>VLOOKUP(B217,'Base de Datos'!$E$7:$AC$303,21,0)</f>
        <v>2962640</v>
      </c>
      <c r="N217" s="363" t="e">
        <f t="shared" ca="1" si="26"/>
        <v>#REF!</v>
      </c>
      <c r="O217" s="302">
        <f>VLOOKUP(B217,'Base de Datos'!$E$7:$AC$303,22,0)</f>
        <v>0</v>
      </c>
      <c r="P217" s="362" t="str">
        <f t="shared" ca="1" si="23"/>
        <v/>
      </c>
      <c r="Q217" s="375" t="e">
        <f t="shared" ca="1" si="27"/>
        <v>#VALUE!</v>
      </c>
      <c r="R217" s="298">
        <f>VLOOKUP(B217,'Base de Datos'!E217:AU528,33,0)</f>
        <v>0</v>
      </c>
      <c r="S217" s="301" t="e">
        <f t="shared" ca="1" si="24"/>
        <v>#REF!</v>
      </c>
      <c r="T217" s="298" t="str">
        <f t="shared" si="25"/>
        <v/>
      </c>
      <c r="U217" s="298" t="str">
        <f>VLOOKUP(B217,'Base de Datos'!$E$7:$AU$401,38,0)</f>
        <v>NO</v>
      </c>
    </row>
    <row r="218" spans="1:21" ht="23.25" customHeight="1" thickTop="1" thickBot="1" x14ac:dyDescent="0.35">
      <c r="A218" s="96">
        <v>212</v>
      </c>
      <c r="B218" s="298" t="str">
        <f>+'Base de Datos'!E218</f>
        <v>140228-0-2014</v>
      </c>
      <c r="C218" s="298" t="str">
        <f>+'Base de Datos'!F218</f>
        <v>T Y G MINOLTA</v>
      </c>
      <c r="D218" s="299">
        <f>+'Base de Datos'!I218</f>
        <v>36581760</v>
      </c>
      <c r="E218" s="300">
        <f>+'Base de Datos'!M218</f>
        <v>41821</v>
      </c>
      <c r="F218" s="300">
        <f>+'Base de Datos'!N218</f>
        <v>42093</v>
      </c>
      <c r="G218" s="300" t="e">
        <f>+'Base de Datos'!#REF!</f>
        <v>#REF!</v>
      </c>
      <c r="H218" s="299">
        <f>+'Base de Datos'!X218</f>
        <v>36581760</v>
      </c>
      <c r="I218" s="301" t="e">
        <f>IF(VLOOKUP(B218,'Base de Datos'!$E$7:$T$303,11,0),"SI","NO")</f>
        <v>#VALUE!</v>
      </c>
      <c r="J218" s="302" t="e">
        <f t="shared" si="21"/>
        <v>#VALUE!</v>
      </c>
      <c r="K218" s="301" t="e">
        <f>IF(VLOOKUP(B218,'Base de Datos'!$E$7:$T$303,11,0),"SI","NO")</f>
        <v>#VALUE!</v>
      </c>
      <c r="L218" s="302" t="e">
        <f t="shared" si="22"/>
        <v>#VALUE!</v>
      </c>
      <c r="M218" s="302">
        <f>VLOOKUP(B218,'Base de Datos'!$E$7:$AC$303,21,0)</f>
        <v>34363318</v>
      </c>
      <c r="N218" s="363" t="e">
        <f t="shared" ca="1" si="26"/>
        <v>#REF!</v>
      </c>
      <c r="O218" s="302">
        <f>VLOOKUP(B218,'Base de Datos'!$E$7:$AC$303,22,0)</f>
        <v>2218442</v>
      </c>
      <c r="P218" s="362" t="str">
        <f t="shared" ca="1" si="23"/>
        <v/>
      </c>
      <c r="Q218" s="375" t="e">
        <f t="shared" ca="1" si="27"/>
        <v>#VALUE!</v>
      </c>
      <c r="R218" s="298" t="str">
        <f>VLOOKUP(B218,'Base de Datos'!E218:AU529,33,0)</f>
        <v>Dirección Administrativa</v>
      </c>
      <c r="S218" s="301" t="e">
        <f t="shared" ca="1" si="24"/>
        <v>#REF!</v>
      </c>
      <c r="T218" s="298" t="str">
        <f t="shared" si="25"/>
        <v/>
      </c>
      <c r="U218" s="298" t="str">
        <f>VLOOKUP(B218,'Base de Datos'!$E$7:$AU$401,38,0)</f>
        <v>SI</v>
      </c>
    </row>
    <row r="219" spans="1:21" ht="23.25" customHeight="1" thickTop="1" thickBot="1" x14ac:dyDescent="0.35">
      <c r="A219" s="96">
        <v>213</v>
      </c>
      <c r="B219" s="298" t="str">
        <f>+'Base de Datos'!E219</f>
        <v>140233-0-2014</v>
      </c>
      <c r="C219" s="298" t="str">
        <f>+'Base de Datos'!F219</f>
        <v>ELKIN MAURICIO DIMAS MONTAYA</v>
      </c>
      <c r="D219" s="299">
        <f>+'Base de Datos'!I219</f>
        <v>16390000</v>
      </c>
      <c r="E219" s="300">
        <f>+'Base de Datos'!M219</f>
        <v>41799</v>
      </c>
      <c r="F219" s="300">
        <f>+'Base de Datos'!N219</f>
        <v>42193</v>
      </c>
      <c r="G219" s="300" t="e">
        <f>+'Base de Datos'!#REF!</f>
        <v>#REF!</v>
      </c>
      <c r="H219" s="299">
        <f>+'Base de Datos'!X219</f>
        <v>18714400</v>
      </c>
      <c r="I219" s="301" t="e">
        <f>IF(VLOOKUP(B219,'Base de Datos'!$E$7:$T$303,11,0),"SI","NO")</f>
        <v>#VALUE!</v>
      </c>
      <c r="J219" s="302" t="e">
        <f t="shared" si="21"/>
        <v>#VALUE!</v>
      </c>
      <c r="K219" s="301" t="e">
        <f>IF(VLOOKUP(B219,'Base de Datos'!$E$7:$T$303,11,0),"SI","NO")</f>
        <v>#VALUE!</v>
      </c>
      <c r="L219" s="302" t="e">
        <f t="shared" si="22"/>
        <v>#VALUE!</v>
      </c>
      <c r="M219" s="302">
        <f>VLOOKUP(B219,'Base de Datos'!$E$7:$AC$303,21,0)</f>
        <v>18714400</v>
      </c>
      <c r="N219" s="363" t="e">
        <f t="shared" ca="1" si="26"/>
        <v>#REF!</v>
      </c>
      <c r="O219" s="302">
        <f>VLOOKUP(B219,'Base de Datos'!$E$7:$AC$303,22,0)</f>
        <v>0</v>
      </c>
      <c r="P219" s="362" t="str">
        <f t="shared" ca="1" si="23"/>
        <v/>
      </c>
      <c r="Q219" s="375" t="e">
        <f t="shared" ca="1" si="27"/>
        <v>#VALUE!</v>
      </c>
      <c r="R219" s="298" t="str">
        <f>VLOOKUP(B219,'Base de Datos'!E219:AU530,33,0)</f>
        <v>Dirección Administrativa</v>
      </c>
      <c r="S219" s="301" t="e">
        <f t="shared" ca="1" si="24"/>
        <v>#REF!</v>
      </c>
      <c r="T219" s="298" t="str">
        <f t="shared" si="25"/>
        <v/>
      </c>
      <c r="U219" s="298" t="str">
        <f>VLOOKUP(B219,'Base de Datos'!$E$7:$AU$401,38,0)</f>
        <v>SI</v>
      </c>
    </row>
    <row r="220" spans="1:21" ht="23.25" customHeight="1" thickTop="1" thickBot="1" x14ac:dyDescent="0.35">
      <c r="A220" s="96">
        <v>214</v>
      </c>
      <c r="B220" s="298" t="str">
        <f>+'Base de Datos'!E220</f>
        <v>140234-0-2014</v>
      </c>
      <c r="C220" s="298" t="str">
        <f>+'Base de Datos'!F220</f>
        <v>BUSINESS TECHNOLOGIES COMPANY</v>
      </c>
      <c r="D220" s="299">
        <f>+'Base de Datos'!I220</f>
        <v>683000</v>
      </c>
      <c r="E220" s="300">
        <f>+'Base de Datos'!M220</f>
        <v>41838</v>
      </c>
      <c r="F220" s="300">
        <f>+'Base de Datos'!N220</f>
        <v>42203</v>
      </c>
      <c r="G220" s="300" t="e">
        <f>+'Base de Datos'!#REF!</f>
        <v>#REF!</v>
      </c>
      <c r="H220" s="299">
        <f>+'Base de Datos'!X220</f>
        <v>683000</v>
      </c>
      <c r="I220" s="301" t="e">
        <f>IF(VLOOKUP(B220,'Base de Datos'!$E$7:$T$303,11,0),"SI","NO")</f>
        <v>#VALUE!</v>
      </c>
      <c r="J220" s="302" t="e">
        <f t="shared" si="21"/>
        <v>#VALUE!</v>
      </c>
      <c r="K220" s="301" t="e">
        <f>IF(VLOOKUP(B220,'Base de Datos'!$E$7:$T$303,11,0),"SI","NO")</f>
        <v>#VALUE!</v>
      </c>
      <c r="L220" s="302" t="e">
        <f t="shared" si="22"/>
        <v>#VALUE!</v>
      </c>
      <c r="M220" s="302">
        <f>VLOOKUP(B220,'Base de Datos'!$E$7:$AC$303,21,0)</f>
        <v>683000</v>
      </c>
      <c r="N220" s="363" t="e">
        <f t="shared" ca="1" si="26"/>
        <v>#REF!</v>
      </c>
      <c r="O220" s="302">
        <f>VLOOKUP(B220,'Base de Datos'!$E$7:$AC$303,22,0)</f>
        <v>0</v>
      </c>
      <c r="P220" s="362" t="str">
        <f t="shared" ca="1" si="23"/>
        <v/>
      </c>
      <c r="Q220" s="375" t="e">
        <f t="shared" ca="1" si="27"/>
        <v>#VALUE!</v>
      </c>
      <c r="R220" s="298" t="str">
        <f>VLOOKUP(B220,'Base de Datos'!E220:AU531,33,0)</f>
        <v>Oficina Asesora de Comunicaciones</v>
      </c>
      <c r="S220" s="301" t="e">
        <f t="shared" ca="1" si="24"/>
        <v>#REF!</v>
      </c>
      <c r="T220" s="298" t="str">
        <f t="shared" si="25"/>
        <v/>
      </c>
      <c r="U220" s="298" t="str">
        <f>VLOOKUP(B220,'Base de Datos'!$E$7:$AU$401,38,0)</f>
        <v>SI</v>
      </c>
    </row>
    <row r="221" spans="1:21" ht="23.25" customHeight="1" thickTop="1" thickBot="1" x14ac:dyDescent="0.35">
      <c r="A221" s="96">
        <v>215</v>
      </c>
      <c r="B221" s="298" t="str">
        <f>+'Base de Datos'!E221</f>
        <v>140236-0-2014</v>
      </c>
      <c r="C221" s="298" t="str">
        <f>+'Base de Datos'!F221</f>
        <v>DIVIEXPORT EU</v>
      </c>
      <c r="D221" s="299">
        <f>+'Base de Datos'!I221</f>
        <v>4672000</v>
      </c>
      <c r="E221" s="300">
        <f>+'Base de Datos'!M221</f>
        <v>41835</v>
      </c>
      <c r="F221" s="300">
        <f>+'Base de Datos'!N221</f>
        <v>42050</v>
      </c>
      <c r="G221" s="300" t="e">
        <f>+'Base de Datos'!#REF!</f>
        <v>#REF!</v>
      </c>
      <c r="H221" s="299">
        <f>+'Base de Datos'!X221</f>
        <v>4672000</v>
      </c>
      <c r="I221" s="301" t="e">
        <f>IF(VLOOKUP(B221,'Base de Datos'!$E$7:$T$303,11,0),"SI","NO")</f>
        <v>#VALUE!</v>
      </c>
      <c r="J221" s="302" t="e">
        <f t="shared" si="21"/>
        <v>#VALUE!</v>
      </c>
      <c r="K221" s="301" t="e">
        <f>IF(VLOOKUP(B221,'Base de Datos'!$E$7:$T$303,11,0),"SI","NO")</f>
        <v>#VALUE!</v>
      </c>
      <c r="L221" s="302" t="e">
        <f t="shared" si="22"/>
        <v>#VALUE!</v>
      </c>
      <c r="M221" s="302">
        <f>VLOOKUP(B221,'Base de Datos'!$E$7:$AC$303,21,0)</f>
        <v>1806200</v>
      </c>
      <c r="N221" s="363" t="e">
        <f t="shared" ca="1" si="26"/>
        <v>#REF!</v>
      </c>
      <c r="O221" s="302">
        <f>VLOOKUP(B221,'Base de Datos'!$E$7:$AC$303,22,0)</f>
        <v>2865800</v>
      </c>
      <c r="P221" s="362" t="str">
        <f t="shared" ca="1" si="23"/>
        <v/>
      </c>
      <c r="Q221" s="375" t="e">
        <f t="shared" ca="1" si="27"/>
        <v>#VALUE!</v>
      </c>
      <c r="R221" s="298" t="str">
        <f>VLOOKUP(B221,'Base de Datos'!E221:AU532,33,0)</f>
        <v>Dirección Administrativa</v>
      </c>
      <c r="S221" s="301" t="e">
        <f t="shared" ca="1" si="24"/>
        <v>#REF!</v>
      </c>
      <c r="T221" s="298" t="str">
        <f t="shared" si="25"/>
        <v/>
      </c>
      <c r="U221" s="298" t="str">
        <f>VLOOKUP(B221,'Base de Datos'!$E$7:$AU$401,38,0)</f>
        <v>SI</v>
      </c>
    </row>
    <row r="222" spans="1:21" ht="23.25" customHeight="1" thickTop="1" thickBot="1" x14ac:dyDescent="0.35">
      <c r="A222" s="96">
        <v>216</v>
      </c>
      <c r="B222" s="298" t="str">
        <f>+'Base de Datos'!E222</f>
        <v>140241-0-2014</v>
      </c>
      <c r="C222" s="298" t="str">
        <f>+'Base de Datos'!F222</f>
        <v>SEGUROS GENERALES SURAMERICANA</v>
      </c>
      <c r="D222" s="299">
        <f>+'Base de Datos'!I222</f>
        <v>3846133</v>
      </c>
      <c r="E222" s="300">
        <f>+'Base de Datos'!M222</f>
        <v>41837</v>
      </c>
      <c r="F222" s="300">
        <f>+'Base de Datos'!N222</f>
        <v>42202</v>
      </c>
      <c r="G222" s="300" t="e">
        <f>+'Base de Datos'!#REF!</f>
        <v>#REF!</v>
      </c>
      <c r="H222" s="299">
        <f>+'Base de Datos'!X222</f>
        <v>3846133</v>
      </c>
      <c r="I222" s="301" t="e">
        <f>IF(VLOOKUP(B222,'Base de Datos'!$E$7:$T$303,11,0),"SI","NO")</f>
        <v>#VALUE!</v>
      </c>
      <c r="J222" s="302" t="e">
        <f t="shared" si="21"/>
        <v>#VALUE!</v>
      </c>
      <c r="K222" s="301" t="e">
        <f>IF(VLOOKUP(B222,'Base de Datos'!$E$7:$T$303,11,0),"SI","NO")</f>
        <v>#VALUE!</v>
      </c>
      <c r="L222" s="302" t="e">
        <f t="shared" si="22"/>
        <v>#VALUE!</v>
      </c>
      <c r="M222" s="302">
        <f>VLOOKUP(B222,'Base de Datos'!$E$7:$AC$303,21,0)</f>
        <v>0</v>
      </c>
      <c r="N222" s="363" t="e">
        <f t="shared" ca="1" si="26"/>
        <v>#REF!</v>
      </c>
      <c r="O222" s="302">
        <f>VLOOKUP(B222,'Base de Datos'!$E$7:$AC$303,22,0)</f>
        <v>3846133</v>
      </c>
      <c r="P222" s="362" t="str">
        <f t="shared" ca="1" si="23"/>
        <v/>
      </c>
      <c r="Q222" s="375" t="e">
        <f t="shared" ca="1" si="27"/>
        <v>#VALUE!</v>
      </c>
      <c r="R222" s="298">
        <f>VLOOKUP(B222,'Base de Datos'!E222:AU533,33,0)</f>
        <v>0</v>
      </c>
      <c r="S222" s="301" t="e">
        <f t="shared" ca="1" si="24"/>
        <v>#REF!</v>
      </c>
      <c r="T222" s="298" t="str">
        <f t="shared" si="25"/>
        <v/>
      </c>
      <c r="U222" s="298">
        <f>VLOOKUP(B222,'Base de Datos'!$E$7:$AU$401,38,0)</f>
        <v>0</v>
      </c>
    </row>
    <row r="223" spans="1:21" ht="23.25" customHeight="1" thickTop="1" thickBot="1" x14ac:dyDescent="0.35">
      <c r="A223" s="96">
        <v>217</v>
      </c>
      <c r="B223" s="298" t="str">
        <f>+'Base de Datos'!E223</f>
        <v>140184-0-2014</v>
      </c>
      <c r="C223" s="298" t="str">
        <f>+'Base de Datos'!F223</f>
        <v>SODINLEC LTDA</v>
      </c>
      <c r="D223" s="299">
        <f>+'Base de Datos'!I223</f>
        <v>10564000</v>
      </c>
      <c r="E223" s="300">
        <f>+'Base de Datos'!M223</f>
        <v>41793</v>
      </c>
      <c r="F223" s="300">
        <f>+'Base de Datos'!N223</f>
        <v>42096</v>
      </c>
      <c r="G223" s="300" t="e">
        <f>+'Base de Datos'!#REF!</f>
        <v>#REF!</v>
      </c>
      <c r="H223" s="299">
        <f>+'Base de Datos'!X223</f>
        <v>10564000</v>
      </c>
      <c r="I223" s="301" t="e">
        <f>IF(VLOOKUP(B223,'Base de Datos'!$E$7:$T$303,11,0),"SI","NO")</f>
        <v>#VALUE!</v>
      </c>
      <c r="J223" s="302" t="e">
        <f t="shared" si="21"/>
        <v>#VALUE!</v>
      </c>
      <c r="K223" s="301" t="e">
        <f>IF(VLOOKUP(B223,'Base de Datos'!$E$7:$T$303,11,0),"SI","NO")</f>
        <v>#VALUE!</v>
      </c>
      <c r="L223" s="302" t="e">
        <f t="shared" si="22"/>
        <v>#VALUE!</v>
      </c>
      <c r="M223" s="302">
        <f>VLOOKUP(B223,'Base de Datos'!$E$7:$AC$303,21,0)</f>
        <v>10055157</v>
      </c>
      <c r="N223" s="363" t="e">
        <f t="shared" ca="1" si="26"/>
        <v>#REF!</v>
      </c>
      <c r="O223" s="302">
        <f>VLOOKUP(B223,'Base de Datos'!$E$7:$AC$303,22,0)</f>
        <v>508843</v>
      </c>
      <c r="P223" s="362" t="str">
        <f t="shared" ca="1" si="23"/>
        <v/>
      </c>
      <c r="Q223" s="375" t="e">
        <f t="shared" ca="1" si="27"/>
        <v>#VALUE!</v>
      </c>
      <c r="R223" s="298" t="str">
        <f>VLOOKUP(B223,'Base de Datos'!E223:AU534,33,0)</f>
        <v>Dirección Administrativa</v>
      </c>
      <c r="S223" s="301" t="e">
        <f t="shared" ca="1" si="24"/>
        <v>#REF!</v>
      </c>
      <c r="T223" s="298" t="str">
        <f t="shared" si="25"/>
        <v/>
      </c>
      <c r="U223" s="298" t="str">
        <f>VLOOKUP(B223,'Base de Datos'!$E$7:$AU$401,38,0)</f>
        <v>SI</v>
      </c>
    </row>
    <row r="224" spans="1:21" ht="23.25" customHeight="1" thickTop="1" thickBot="1" x14ac:dyDescent="0.35">
      <c r="A224" s="96">
        <v>218</v>
      </c>
      <c r="B224" s="298" t="str">
        <f>+'Base de Datos'!E224</f>
        <v>140210-0-2014</v>
      </c>
      <c r="C224" s="298" t="str">
        <f>+'Base de Datos'!F224</f>
        <v>H &amp; D OFIMAGEN</v>
      </c>
      <c r="D224" s="299">
        <f>+'Base de Datos'!I224</f>
        <v>249991314</v>
      </c>
      <c r="E224" s="300">
        <f>+'Base de Datos'!M224</f>
        <v>41837</v>
      </c>
      <c r="F224" s="300">
        <f>+'Base de Datos'!N224</f>
        <v>42171</v>
      </c>
      <c r="G224" s="300" t="e">
        <f>+'Base de Datos'!#REF!</f>
        <v>#REF!</v>
      </c>
      <c r="H224" s="299">
        <f>+'Base de Datos'!X224</f>
        <v>249991314</v>
      </c>
      <c r="I224" s="301" t="e">
        <f>IF(VLOOKUP(B224,'Base de Datos'!$E$7:$T$303,11,0),"SI","NO")</f>
        <v>#VALUE!</v>
      </c>
      <c r="J224" s="302" t="e">
        <f t="shared" si="21"/>
        <v>#VALUE!</v>
      </c>
      <c r="K224" s="301" t="e">
        <f>IF(VLOOKUP(B224,'Base de Datos'!$E$7:$T$303,11,0),"SI","NO")</f>
        <v>#VALUE!</v>
      </c>
      <c r="L224" s="302" t="e">
        <f t="shared" si="22"/>
        <v>#VALUE!</v>
      </c>
      <c r="M224" s="302">
        <f>VLOOKUP(B224,'Base de Datos'!$E$7:$AC$303,21,0)</f>
        <v>248275406</v>
      </c>
      <c r="N224" s="363" t="e">
        <f t="shared" ca="1" si="26"/>
        <v>#REF!</v>
      </c>
      <c r="O224" s="302">
        <f>VLOOKUP(B224,'Base de Datos'!$E$7:$AC$303,22,0)</f>
        <v>1715908</v>
      </c>
      <c r="P224" s="362" t="str">
        <f t="shared" ca="1" si="23"/>
        <v/>
      </c>
      <c r="Q224" s="375" t="e">
        <f t="shared" ca="1" si="27"/>
        <v>#VALUE!</v>
      </c>
      <c r="R224" s="298" t="str">
        <f>VLOOKUP(B224,'Base de Datos'!E224:AU535,33,0)</f>
        <v>Dirección Administrativa</v>
      </c>
      <c r="S224" s="301" t="e">
        <f t="shared" ca="1" si="24"/>
        <v>#REF!</v>
      </c>
      <c r="T224" s="298" t="str">
        <f t="shared" si="25"/>
        <v/>
      </c>
      <c r="U224" s="298" t="str">
        <f>VLOOKUP(B224,'Base de Datos'!$E$7:$AU$401,38,0)</f>
        <v>NO</v>
      </c>
    </row>
    <row r="225" spans="1:21" ht="23.25" customHeight="1" thickTop="1" thickBot="1" x14ac:dyDescent="0.35">
      <c r="A225" s="96">
        <v>219</v>
      </c>
      <c r="B225" s="298" t="str">
        <f>+'Base de Datos'!E225</f>
        <v>140224-0-2014</v>
      </c>
      <c r="C225" s="298" t="str">
        <f>+'Base de Datos'!F225</f>
        <v>SISTEMA Y SEGURIDAD INDUSTRIAL COLOMBIANA E.U.</v>
      </c>
      <c r="D225" s="299">
        <f>+'Base de Datos'!I225</f>
        <v>4136000</v>
      </c>
      <c r="E225" s="300">
        <f>+'Base de Datos'!M225</f>
        <v>41935</v>
      </c>
      <c r="F225" s="300">
        <f>+'Base de Datos'!N225</f>
        <v>42027</v>
      </c>
      <c r="G225" s="300" t="e">
        <f>+'Base de Datos'!#REF!</f>
        <v>#REF!</v>
      </c>
      <c r="H225" s="299">
        <f>+'Base de Datos'!X225</f>
        <v>4136000</v>
      </c>
      <c r="I225" s="301" t="e">
        <f>IF(VLOOKUP(B225,'Base de Datos'!$E$7:$T$303,11,0),"SI","NO")</f>
        <v>#VALUE!</v>
      </c>
      <c r="J225" s="302" t="e">
        <f t="shared" si="21"/>
        <v>#VALUE!</v>
      </c>
      <c r="K225" s="301" t="e">
        <f>IF(VLOOKUP(B225,'Base de Datos'!$E$7:$T$303,11,0),"SI","NO")</f>
        <v>#VALUE!</v>
      </c>
      <c r="L225" s="302" t="e">
        <f t="shared" si="22"/>
        <v>#VALUE!</v>
      </c>
      <c r="M225" s="302">
        <f>VLOOKUP(B225,'Base de Datos'!$E$7:$AC$303,21,0)</f>
        <v>2251047</v>
      </c>
      <c r="N225" s="363" t="e">
        <f t="shared" ca="1" si="26"/>
        <v>#REF!</v>
      </c>
      <c r="O225" s="302">
        <f>VLOOKUP(B225,'Base de Datos'!$E$7:$AC$303,22,0)</f>
        <v>1884953</v>
      </c>
      <c r="P225" s="362" t="str">
        <f t="shared" ca="1" si="23"/>
        <v/>
      </c>
      <c r="Q225" s="375" t="e">
        <f t="shared" ca="1" si="27"/>
        <v>#VALUE!</v>
      </c>
      <c r="R225" s="298" t="str">
        <f>VLOOKUP(B225,'Base de Datos'!E225:AU536,33,0)</f>
        <v>Dirección Administrativa</v>
      </c>
      <c r="S225" s="301" t="e">
        <f t="shared" ca="1" si="24"/>
        <v>#REF!</v>
      </c>
      <c r="T225" s="298" t="str">
        <f t="shared" si="25"/>
        <v/>
      </c>
      <c r="U225" s="298" t="str">
        <f>VLOOKUP(B225,'Base de Datos'!$E$7:$AU$401,38,0)</f>
        <v>SI</v>
      </c>
    </row>
    <row r="226" spans="1:21" ht="23.25" customHeight="1" thickTop="1" thickBot="1" x14ac:dyDescent="0.35">
      <c r="A226" s="96">
        <v>220</v>
      </c>
      <c r="B226" s="298" t="str">
        <f>+'Base de Datos'!E226</f>
        <v>140238-0-2014</v>
      </c>
      <c r="C226" s="298" t="str">
        <f>+'Base de Datos'!F226</f>
        <v>COMPENSAR SALONES</v>
      </c>
      <c r="D226" s="299">
        <f>+'Base de Datos'!I226</f>
        <v>65200000</v>
      </c>
      <c r="E226" s="300">
        <f>+'Base de Datos'!M226</f>
        <v>41835</v>
      </c>
      <c r="F226" s="300">
        <f>+'Base de Datos'!N226</f>
        <v>42078</v>
      </c>
      <c r="G226" s="300" t="e">
        <f>+'Base de Datos'!#REF!</f>
        <v>#REF!</v>
      </c>
      <c r="H226" s="299">
        <f>+'Base de Datos'!X226</f>
        <v>97800000</v>
      </c>
      <c r="I226" s="301" t="e">
        <f>IF(VLOOKUP(B226,'Base de Datos'!$E$7:$T$303,11,0),"SI","NO")</f>
        <v>#VALUE!</v>
      </c>
      <c r="J226" s="302" t="e">
        <f t="shared" si="21"/>
        <v>#VALUE!</v>
      </c>
      <c r="K226" s="301" t="e">
        <f>IF(VLOOKUP(B226,'Base de Datos'!$E$7:$T$303,11,0),"SI","NO")</f>
        <v>#VALUE!</v>
      </c>
      <c r="L226" s="302" t="e">
        <f t="shared" si="22"/>
        <v>#VALUE!</v>
      </c>
      <c r="M226" s="302">
        <f>VLOOKUP(B226,'Base de Datos'!$E$7:$AC$303,21,0)</f>
        <v>97794518</v>
      </c>
      <c r="N226" s="363" t="e">
        <f t="shared" ca="1" si="26"/>
        <v>#REF!</v>
      </c>
      <c r="O226" s="302">
        <f>VLOOKUP(B226,'Base de Datos'!$E$7:$AC$303,22,0)</f>
        <v>5482</v>
      </c>
      <c r="P226" s="362" t="str">
        <f t="shared" ca="1" si="23"/>
        <v/>
      </c>
      <c r="Q226" s="375" t="e">
        <f t="shared" ca="1" si="27"/>
        <v>#VALUE!</v>
      </c>
      <c r="R226" s="298" t="str">
        <f>VLOOKUP(B226,'Base de Datos'!E226:AU537,33,0)</f>
        <v>Dirección Administrativa</v>
      </c>
      <c r="S226" s="301" t="e">
        <f t="shared" ca="1" si="24"/>
        <v>#REF!</v>
      </c>
      <c r="T226" s="298" t="str">
        <f t="shared" si="25"/>
        <v/>
      </c>
      <c r="U226" s="298" t="str">
        <f>VLOOKUP(B226,'Base de Datos'!$E$7:$AU$401,38,0)</f>
        <v>SI</v>
      </c>
    </row>
    <row r="227" spans="1:21" ht="23.25" customHeight="1" thickTop="1" thickBot="1" x14ac:dyDescent="0.35">
      <c r="A227" s="96">
        <v>221</v>
      </c>
      <c r="B227" s="298" t="str">
        <f>+'Base de Datos'!E227</f>
        <v>140243-0-2014</v>
      </c>
      <c r="C227" s="298" t="str">
        <f>+'Base de Datos'!F227</f>
        <v>COTECNA CERTIFICADORA SEVICES LIMITADA</v>
      </c>
      <c r="D227" s="299">
        <f>+'Base de Datos'!I227</f>
        <v>2228070</v>
      </c>
      <c r="E227" s="300">
        <f>+'Base de Datos'!M227</f>
        <v>41842</v>
      </c>
      <c r="F227" s="300">
        <f>+'Base de Datos'!N227</f>
        <v>41965</v>
      </c>
      <c r="G227" s="300" t="e">
        <f>+'Base de Datos'!#REF!</f>
        <v>#REF!</v>
      </c>
      <c r="H227" s="299">
        <f>+'Base de Datos'!X227</f>
        <v>2228070</v>
      </c>
      <c r="I227" s="301" t="e">
        <f>IF(VLOOKUP(B227,'Base de Datos'!$E$7:$T$303,11,0),"SI","NO")</f>
        <v>#VALUE!</v>
      </c>
      <c r="J227" s="302" t="e">
        <f t="shared" si="21"/>
        <v>#VALUE!</v>
      </c>
      <c r="K227" s="301" t="e">
        <f>IF(VLOOKUP(B227,'Base de Datos'!$E$7:$T$303,11,0),"SI","NO")</f>
        <v>#VALUE!</v>
      </c>
      <c r="L227" s="302" t="e">
        <f t="shared" si="22"/>
        <v>#VALUE!</v>
      </c>
      <c r="M227" s="302">
        <f>VLOOKUP(B227,'Base de Datos'!$E$7:$AC$303,21,0)</f>
        <v>2228070</v>
      </c>
      <c r="N227" s="363" t="e">
        <f t="shared" ca="1" si="26"/>
        <v>#REF!</v>
      </c>
      <c r="O227" s="302">
        <f>VLOOKUP(B227,'Base de Datos'!$E$7:$AC$303,22,0)</f>
        <v>0</v>
      </c>
      <c r="P227" s="362" t="str">
        <f t="shared" ca="1" si="23"/>
        <v/>
      </c>
      <c r="Q227" s="375" t="e">
        <f t="shared" ca="1" si="27"/>
        <v>#VALUE!</v>
      </c>
      <c r="R227" s="298" t="str">
        <f>VLOOKUP(B227,'Base de Datos'!E227:AU538,33,0)</f>
        <v>Oficina Asesora de Planeación</v>
      </c>
      <c r="S227" s="301" t="e">
        <f t="shared" ca="1" si="24"/>
        <v>#REF!</v>
      </c>
      <c r="T227" s="298" t="str">
        <f t="shared" si="25"/>
        <v/>
      </c>
      <c r="U227" s="298" t="str">
        <f>VLOOKUP(B227,'Base de Datos'!$E$7:$AU$401,38,0)</f>
        <v>SI</v>
      </c>
    </row>
    <row r="228" spans="1:21" ht="23.25" customHeight="1" thickTop="1" thickBot="1" x14ac:dyDescent="0.35">
      <c r="A228" s="96">
        <v>222</v>
      </c>
      <c r="B228" s="298" t="str">
        <f>+'Base de Datos'!E228</f>
        <v>140244-0-2014</v>
      </c>
      <c r="C228" s="298" t="str">
        <f>+'Base de Datos'!F228</f>
        <v>INDUSTRIAS QUÍMICAS FIQ LTDA</v>
      </c>
      <c r="D228" s="299">
        <f>+'Base de Datos'!I228</f>
        <v>2260000</v>
      </c>
      <c r="E228" s="300">
        <f>+'Base de Datos'!M228</f>
        <v>41862</v>
      </c>
      <c r="F228" s="300">
        <f>+'Base de Datos'!N228</f>
        <v>41923</v>
      </c>
      <c r="G228" s="300" t="e">
        <f>+'Base de Datos'!#REF!</f>
        <v>#REF!</v>
      </c>
      <c r="H228" s="299">
        <f>+'Base de Datos'!X228</f>
        <v>2260000</v>
      </c>
      <c r="I228" s="301" t="e">
        <f>IF(VLOOKUP(B228,'Base de Datos'!$E$7:$T$303,11,0),"SI","NO")</f>
        <v>#VALUE!</v>
      </c>
      <c r="J228" s="302" t="e">
        <f t="shared" si="21"/>
        <v>#VALUE!</v>
      </c>
      <c r="K228" s="301" t="e">
        <f>IF(VLOOKUP(B228,'Base de Datos'!$E$7:$T$303,11,0),"SI","NO")</f>
        <v>#VALUE!</v>
      </c>
      <c r="L228" s="302" t="e">
        <f t="shared" si="22"/>
        <v>#VALUE!</v>
      </c>
      <c r="M228" s="302">
        <f>VLOOKUP(B228,'Base de Datos'!$E$7:$AC$303,21,0)</f>
        <v>1595000</v>
      </c>
      <c r="N228" s="363" t="e">
        <f t="shared" ca="1" si="26"/>
        <v>#REF!</v>
      </c>
      <c r="O228" s="302">
        <f>VLOOKUP(B228,'Base de Datos'!$E$7:$AC$303,22,0)</f>
        <v>665000</v>
      </c>
      <c r="P228" s="362" t="str">
        <f t="shared" ca="1" si="23"/>
        <v/>
      </c>
      <c r="Q228" s="375" t="e">
        <f t="shared" ca="1" si="27"/>
        <v>#VALUE!</v>
      </c>
      <c r="R228" s="298">
        <f>VLOOKUP(B228,'Base de Datos'!E228:AU539,33,0)</f>
        <v>0</v>
      </c>
      <c r="S228" s="301" t="e">
        <f t="shared" ca="1" si="24"/>
        <v>#REF!</v>
      </c>
      <c r="T228" s="298" t="str">
        <f t="shared" si="25"/>
        <v/>
      </c>
      <c r="U228" s="298" t="str">
        <f>VLOOKUP(B228,'Base de Datos'!$E$7:$AU$401,38,0)</f>
        <v>SI</v>
      </c>
    </row>
    <row r="229" spans="1:21" ht="23.25" customHeight="1" thickTop="1" thickBot="1" x14ac:dyDescent="0.35">
      <c r="A229" s="96">
        <v>223</v>
      </c>
      <c r="B229" s="298" t="str">
        <f>+'Base de Datos'!E229</f>
        <v>140249-0-2014</v>
      </c>
      <c r="C229" s="298" t="str">
        <f>+'Base de Datos'!F229</f>
        <v>INVERSIONES MATAY SAS</v>
      </c>
      <c r="D229" s="299">
        <f>+'Base de Datos'!I229</f>
        <v>202978686</v>
      </c>
      <c r="E229" s="300">
        <f>+'Base de Datos'!M229</f>
        <v>41850</v>
      </c>
      <c r="F229" s="300">
        <f>+'Base de Datos'!N229</f>
        <v>42034</v>
      </c>
      <c r="G229" s="300" t="e">
        <f>+'Base de Datos'!#REF!</f>
        <v>#REF!</v>
      </c>
      <c r="H229" s="299">
        <f>+'Base de Datos'!X229</f>
        <v>290648563</v>
      </c>
      <c r="I229" s="301" t="e">
        <f>IF(VLOOKUP(B229,'Base de Datos'!$E$7:$T$303,11,0),"SI","NO")</f>
        <v>#VALUE!</v>
      </c>
      <c r="J229" s="302" t="e">
        <f t="shared" si="21"/>
        <v>#VALUE!</v>
      </c>
      <c r="K229" s="301" t="e">
        <f>IF(VLOOKUP(B229,'Base de Datos'!$E$7:$T$303,11,0),"SI","NO")</f>
        <v>#VALUE!</v>
      </c>
      <c r="L229" s="302" t="e">
        <f t="shared" si="22"/>
        <v>#VALUE!</v>
      </c>
      <c r="M229" s="302">
        <f>VLOOKUP(B229,'Base de Datos'!$E$7:$AC$303,21,0)</f>
        <v>290648563</v>
      </c>
      <c r="N229" s="363" t="e">
        <f t="shared" ca="1" si="26"/>
        <v>#REF!</v>
      </c>
      <c r="O229" s="302">
        <f>VLOOKUP(B229,'Base de Datos'!$E$7:$AC$303,22,0)</f>
        <v>0</v>
      </c>
      <c r="P229" s="362" t="str">
        <f t="shared" ca="1" si="23"/>
        <v/>
      </c>
      <c r="Q229" s="375" t="e">
        <f t="shared" ca="1" si="27"/>
        <v>#VALUE!</v>
      </c>
      <c r="R229" s="298" t="str">
        <f>VLOOKUP(B229,'Base de Datos'!E229:AU540,33,0)</f>
        <v>Dirección Administrativa</v>
      </c>
      <c r="S229" s="301" t="e">
        <f t="shared" ca="1" si="24"/>
        <v>#REF!</v>
      </c>
      <c r="T229" s="298" t="str">
        <f t="shared" si="25"/>
        <v/>
      </c>
      <c r="U229" s="298" t="str">
        <f>VLOOKUP(B229,'Base de Datos'!$E$7:$AU$401,38,0)</f>
        <v>SI</v>
      </c>
    </row>
    <row r="230" spans="1:21" ht="23.25" customHeight="1" thickTop="1" thickBot="1" x14ac:dyDescent="0.35">
      <c r="A230" s="96">
        <v>224</v>
      </c>
      <c r="B230" s="298" t="str">
        <f>+'Base de Datos'!E230</f>
        <v>140252-0-2014</v>
      </c>
      <c r="C230" s="298" t="str">
        <f>+'Base de Datos'!F230</f>
        <v>LINALCA INFORMATICA</v>
      </c>
      <c r="D230" s="299">
        <f>+'Base de Datos'!I230</f>
        <v>16592327</v>
      </c>
      <c r="E230" s="300">
        <f>+'Base de Datos'!M230</f>
        <v>41936</v>
      </c>
      <c r="F230" s="300">
        <f>+'Base de Datos'!N230</f>
        <v>42301</v>
      </c>
      <c r="G230" s="300" t="e">
        <f>+'Base de Datos'!#REF!</f>
        <v>#REF!</v>
      </c>
      <c r="H230" s="299">
        <f>+'Base de Datos'!X230</f>
        <v>16592327</v>
      </c>
      <c r="I230" s="301" t="e">
        <f>IF(VLOOKUP(B230,'Base de Datos'!$E$7:$T$303,11,0),"SI","NO")</f>
        <v>#VALUE!</v>
      </c>
      <c r="J230" s="302" t="e">
        <f t="shared" si="21"/>
        <v>#VALUE!</v>
      </c>
      <c r="K230" s="301" t="e">
        <f>IF(VLOOKUP(B230,'Base de Datos'!$E$7:$T$303,11,0),"SI","NO")</f>
        <v>#VALUE!</v>
      </c>
      <c r="L230" s="302" t="e">
        <f t="shared" si="22"/>
        <v>#VALUE!</v>
      </c>
      <c r="M230" s="302">
        <f>VLOOKUP(B230,'Base de Datos'!$E$7:$AC$303,21,0)</f>
        <v>14933095</v>
      </c>
      <c r="N230" s="363" t="e">
        <f t="shared" ca="1" si="26"/>
        <v>#REF!</v>
      </c>
      <c r="O230" s="302">
        <f>VLOOKUP(B230,'Base de Datos'!$E$7:$AC$303,22,0)</f>
        <v>1659232</v>
      </c>
      <c r="P230" s="362" t="str">
        <f t="shared" ca="1" si="23"/>
        <v/>
      </c>
      <c r="Q230" s="375" t="e">
        <f t="shared" ca="1" si="27"/>
        <v>#VALUE!</v>
      </c>
      <c r="R230" s="298" t="str">
        <f>VLOOKUP(B230,'Base de Datos'!E230:AU541,33,0)</f>
        <v>Dirección Administrativa</v>
      </c>
      <c r="S230" s="301" t="e">
        <f t="shared" ca="1" si="24"/>
        <v>#REF!</v>
      </c>
      <c r="T230" s="298" t="str">
        <f t="shared" si="25"/>
        <v/>
      </c>
      <c r="U230" s="298" t="str">
        <f>VLOOKUP(B230,'Base de Datos'!$E$7:$AU$401,38,0)</f>
        <v>SI</v>
      </c>
    </row>
    <row r="231" spans="1:21" ht="23.25" customHeight="1" thickTop="1" thickBot="1" x14ac:dyDescent="0.35">
      <c r="A231" s="96">
        <v>225</v>
      </c>
      <c r="B231" s="298" t="str">
        <f>+'Base de Datos'!E231</f>
        <v>140274-0-2014</v>
      </c>
      <c r="C231" s="298" t="str">
        <f>+'Base de Datos'!F231</f>
        <v>PUBLICACIONES SEMANA S.A.</v>
      </c>
      <c r="D231" s="299">
        <f>+'Base de Datos'!I231</f>
        <v>807000</v>
      </c>
      <c r="E231" s="300">
        <f>+'Base de Datos'!M231</f>
        <v>41912</v>
      </c>
      <c r="F231" s="300">
        <f>+'Base de Datos'!N231</f>
        <v>42277</v>
      </c>
      <c r="G231" s="300" t="e">
        <f>+'Base de Datos'!#REF!</f>
        <v>#REF!</v>
      </c>
      <c r="H231" s="299">
        <f>+'Base de Datos'!X231</f>
        <v>807000</v>
      </c>
      <c r="I231" s="301" t="e">
        <f>IF(VLOOKUP(B231,'Base de Datos'!$E$7:$T$303,11,0),"SI","NO")</f>
        <v>#VALUE!</v>
      </c>
      <c r="J231" s="302" t="e">
        <f t="shared" si="21"/>
        <v>#VALUE!</v>
      </c>
      <c r="K231" s="301" t="e">
        <f>IF(VLOOKUP(B231,'Base de Datos'!$E$7:$T$303,11,0),"SI","NO")</f>
        <v>#VALUE!</v>
      </c>
      <c r="L231" s="302" t="e">
        <f t="shared" si="22"/>
        <v>#VALUE!</v>
      </c>
      <c r="M231" s="302">
        <f>VLOOKUP(B231,'Base de Datos'!$E$7:$AC$303,21,0)</f>
        <v>807000</v>
      </c>
      <c r="N231" s="363" t="e">
        <f t="shared" ca="1" si="26"/>
        <v>#REF!</v>
      </c>
      <c r="O231" s="302">
        <f>VLOOKUP(B231,'Base de Datos'!$E$7:$AC$303,22,0)</f>
        <v>0</v>
      </c>
      <c r="P231" s="362" t="str">
        <f t="shared" ca="1" si="23"/>
        <v/>
      </c>
      <c r="Q231" s="375" t="e">
        <f t="shared" ca="1" si="27"/>
        <v>#VALUE!</v>
      </c>
      <c r="R231" s="298" t="str">
        <f>VLOOKUP(B231,'Base de Datos'!E231:AU542,33,0)</f>
        <v>Oficina Asesora de Comunicaciones</v>
      </c>
      <c r="S231" s="301" t="e">
        <f t="shared" ca="1" si="24"/>
        <v>#REF!</v>
      </c>
      <c r="T231" s="298" t="str">
        <f t="shared" si="25"/>
        <v/>
      </c>
      <c r="U231" s="298" t="str">
        <f>VLOOKUP(B231,'Base de Datos'!$E$7:$AU$401,38,0)</f>
        <v>SI</v>
      </c>
    </row>
    <row r="232" spans="1:21" ht="23.25" customHeight="1" thickTop="1" thickBot="1" x14ac:dyDescent="0.35">
      <c r="A232" s="96">
        <v>226</v>
      </c>
      <c r="B232" s="298" t="str">
        <f>+'Base de Datos'!E232</f>
        <v>140276-0-2014</v>
      </c>
      <c r="C232" s="298" t="str">
        <f>+'Base de Datos'!F232</f>
        <v>COMUNICAN S.A</v>
      </c>
      <c r="D232" s="299">
        <f>+'Base de Datos'!I232</f>
        <v>936000</v>
      </c>
      <c r="E232" s="300">
        <f>+'Base de Datos'!M232</f>
        <v>41893</v>
      </c>
      <c r="F232" s="300">
        <f>+'Base de Datos'!N232</f>
        <v>42258</v>
      </c>
      <c r="G232" s="300" t="e">
        <f>+'Base de Datos'!#REF!</f>
        <v>#REF!</v>
      </c>
      <c r="H232" s="299">
        <f>+'Base de Datos'!X232</f>
        <v>936000</v>
      </c>
      <c r="I232" s="301" t="e">
        <f>IF(VLOOKUP(B232,'Base de Datos'!$E$7:$T$303,11,0),"SI","NO")</f>
        <v>#VALUE!</v>
      </c>
      <c r="J232" s="302" t="e">
        <f t="shared" si="21"/>
        <v>#VALUE!</v>
      </c>
      <c r="K232" s="301" t="e">
        <f>IF(VLOOKUP(B232,'Base de Datos'!$E$7:$T$303,11,0),"SI","NO")</f>
        <v>#VALUE!</v>
      </c>
      <c r="L232" s="302" t="e">
        <f t="shared" si="22"/>
        <v>#VALUE!</v>
      </c>
      <c r="M232" s="302">
        <f>VLOOKUP(B232,'Base de Datos'!$E$7:$AC$303,21,0)</f>
        <v>936000</v>
      </c>
      <c r="N232" s="363" t="e">
        <f t="shared" ca="1" si="26"/>
        <v>#REF!</v>
      </c>
      <c r="O232" s="302">
        <f>VLOOKUP(B232,'Base de Datos'!$E$7:$AC$303,22,0)</f>
        <v>0</v>
      </c>
      <c r="P232" s="362" t="str">
        <f t="shared" ca="1" si="23"/>
        <v/>
      </c>
      <c r="Q232" s="375" t="e">
        <f t="shared" ca="1" si="27"/>
        <v>#VALUE!</v>
      </c>
      <c r="R232" s="298" t="str">
        <f>VLOOKUP(B232,'Base de Datos'!E232:AU543,33,0)</f>
        <v>Oficina Asesora de Comunicaciones</v>
      </c>
      <c r="S232" s="301" t="e">
        <f t="shared" ca="1" si="24"/>
        <v>#REF!</v>
      </c>
      <c r="T232" s="298" t="str">
        <f t="shared" si="25"/>
        <v/>
      </c>
      <c r="U232" s="298" t="str">
        <f>VLOOKUP(B232,'Base de Datos'!$E$7:$AU$401,38,0)</f>
        <v>SI</v>
      </c>
    </row>
    <row r="233" spans="1:21" ht="23.25" customHeight="1" thickTop="1" thickBot="1" x14ac:dyDescent="0.35">
      <c r="A233" s="96">
        <v>227</v>
      </c>
      <c r="B233" s="298" t="str">
        <f>+'Base de Datos'!E233</f>
        <v>140279-0-2014</v>
      </c>
      <c r="C233" s="298" t="str">
        <f>+'Base de Datos'!F233</f>
        <v>EDITORIAL LA UNIDAD</v>
      </c>
      <c r="D233" s="299">
        <f>+'Base de Datos'!I233</f>
        <v>855000</v>
      </c>
      <c r="E233" s="300">
        <f>+'Base de Datos'!M233</f>
        <v>41896</v>
      </c>
      <c r="F233" s="300">
        <f>+'Base de Datos'!N233</f>
        <v>42261</v>
      </c>
      <c r="G233" s="300" t="e">
        <f>+'Base de Datos'!#REF!</f>
        <v>#REF!</v>
      </c>
      <c r="H233" s="299">
        <f>+'Base de Datos'!X233</f>
        <v>855000</v>
      </c>
      <c r="I233" s="301" t="e">
        <f>IF(VLOOKUP(B233,'Base de Datos'!$E$7:$T$303,11,0),"SI","NO")</f>
        <v>#VALUE!</v>
      </c>
      <c r="J233" s="302" t="e">
        <f t="shared" si="21"/>
        <v>#VALUE!</v>
      </c>
      <c r="K233" s="301" t="e">
        <f>IF(VLOOKUP(B233,'Base de Datos'!$E$7:$T$303,11,0),"SI","NO")</f>
        <v>#VALUE!</v>
      </c>
      <c r="L233" s="302" t="e">
        <f t="shared" si="22"/>
        <v>#VALUE!</v>
      </c>
      <c r="M233" s="302">
        <f>VLOOKUP(B233,'Base de Datos'!$E$7:$AC$303,21,0)</f>
        <v>855000</v>
      </c>
      <c r="N233" s="363" t="e">
        <f t="shared" ca="1" si="26"/>
        <v>#REF!</v>
      </c>
      <c r="O233" s="302">
        <f>VLOOKUP(B233,'Base de Datos'!$E$7:$AC$303,22,0)</f>
        <v>0</v>
      </c>
      <c r="P233" s="362" t="str">
        <f t="shared" ca="1" si="23"/>
        <v/>
      </c>
      <c r="Q233" s="375" t="e">
        <f t="shared" ca="1" si="27"/>
        <v>#VALUE!</v>
      </c>
      <c r="R233" s="298" t="str">
        <f>VLOOKUP(B233,'Base de Datos'!E233:AU544,33,0)</f>
        <v>Oficina Asesora de Comunicaciones</v>
      </c>
      <c r="S233" s="301" t="e">
        <f t="shared" ca="1" si="24"/>
        <v>#REF!</v>
      </c>
      <c r="T233" s="298" t="str">
        <f t="shared" si="25"/>
        <v/>
      </c>
      <c r="U233" s="298" t="str">
        <f>VLOOKUP(B233,'Base de Datos'!$E$7:$AU$401,38,0)</f>
        <v>SI</v>
      </c>
    </row>
    <row r="234" spans="1:21" ht="23.25" customHeight="1" thickTop="1" thickBot="1" x14ac:dyDescent="0.35">
      <c r="A234" s="96">
        <v>228</v>
      </c>
      <c r="B234" s="298" t="str">
        <f>+'Base de Datos'!E234</f>
        <v>140281-0-2014</v>
      </c>
      <c r="C234" s="298" t="str">
        <f>+'Base de Datos'!F234</f>
        <v>SUPERIOR DE DOTACIONES SAS</v>
      </c>
      <c r="D234" s="299">
        <f>+'Base de Datos'!I234</f>
        <v>19356282</v>
      </c>
      <c r="E234" s="300">
        <f>+'Base de Datos'!M234</f>
        <v>41887</v>
      </c>
      <c r="F234" s="300">
        <f>+'Base de Datos'!N234</f>
        <v>42009</v>
      </c>
      <c r="G234" s="300" t="e">
        <f>+'Base de Datos'!#REF!</f>
        <v>#REF!</v>
      </c>
      <c r="H234" s="299">
        <f>+'Base de Datos'!X234</f>
        <v>19356282</v>
      </c>
      <c r="I234" s="301" t="e">
        <f>IF(VLOOKUP(B234,'Base de Datos'!$E$7:$T$303,11,0),"SI","NO")</f>
        <v>#VALUE!</v>
      </c>
      <c r="J234" s="302" t="e">
        <f t="shared" si="21"/>
        <v>#VALUE!</v>
      </c>
      <c r="K234" s="301" t="e">
        <f>IF(VLOOKUP(B234,'Base de Datos'!$E$7:$T$303,11,0),"SI","NO")</f>
        <v>#VALUE!</v>
      </c>
      <c r="L234" s="302" t="e">
        <f t="shared" si="22"/>
        <v>#VALUE!</v>
      </c>
      <c r="M234" s="302">
        <f>VLOOKUP(B234,'Base de Datos'!$E$7:$AC$303,21,0)</f>
        <v>19356282</v>
      </c>
      <c r="N234" s="363" t="e">
        <f t="shared" ca="1" si="26"/>
        <v>#REF!</v>
      </c>
      <c r="O234" s="302">
        <f>VLOOKUP(B234,'Base de Datos'!$E$7:$AC$303,22,0)</f>
        <v>0</v>
      </c>
      <c r="P234" s="362" t="str">
        <f t="shared" ca="1" si="23"/>
        <v/>
      </c>
      <c r="Q234" s="375" t="e">
        <f t="shared" ca="1" si="27"/>
        <v>#VALUE!</v>
      </c>
      <c r="R234" s="298" t="str">
        <f>VLOOKUP(B234,'Base de Datos'!E234:AU545,33,0)</f>
        <v>Dirección Administrativa</v>
      </c>
      <c r="S234" s="301" t="e">
        <f t="shared" ca="1" si="24"/>
        <v>#REF!</v>
      </c>
      <c r="T234" s="298" t="str">
        <f t="shared" si="25"/>
        <v/>
      </c>
      <c r="U234" s="298" t="str">
        <f>VLOOKUP(B234,'Base de Datos'!$E$7:$AU$401,38,0)</f>
        <v>SI</v>
      </c>
    </row>
    <row r="235" spans="1:21" ht="23.25" customHeight="1" thickTop="1" thickBot="1" x14ac:dyDescent="0.35">
      <c r="A235" s="96">
        <v>229</v>
      </c>
      <c r="B235" s="298" t="str">
        <f>+'Base de Datos'!E235</f>
        <v>140282-0-2014</v>
      </c>
      <c r="C235" s="298" t="str">
        <f>+'Base de Datos'!F235</f>
        <v>GRUPO EDITORIAL EL PERIÓDICO S.A.S</v>
      </c>
      <c r="D235" s="299">
        <f>+'Base de Datos'!I235</f>
        <v>810000</v>
      </c>
      <c r="E235" s="300">
        <f>+'Base de Datos'!M235</f>
        <v>41940</v>
      </c>
      <c r="F235" s="300">
        <f>+'Base de Datos'!N235</f>
        <v>42305</v>
      </c>
      <c r="G235" s="300" t="e">
        <f>+'Base de Datos'!#REF!</f>
        <v>#REF!</v>
      </c>
      <c r="H235" s="299">
        <f>+'Base de Datos'!X235</f>
        <v>810000</v>
      </c>
      <c r="I235" s="301" t="e">
        <f>IF(VLOOKUP(B235,'Base de Datos'!$E$7:$T$303,11,0),"SI","NO")</f>
        <v>#VALUE!</v>
      </c>
      <c r="J235" s="302" t="e">
        <f t="shared" si="21"/>
        <v>#VALUE!</v>
      </c>
      <c r="K235" s="301" t="e">
        <f>IF(VLOOKUP(B235,'Base de Datos'!$E$7:$T$303,11,0),"SI","NO")</f>
        <v>#VALUE!</v>
      </c>
      <c r="L235" s="302" t="e">
        <f t="shared" si="22"/>
        <v>#VALUE!</v>
      </c>
      <c r="M235" s="302">
        <f>VLOOKUP(B235,'Base de Datos'!$E$7:$AC$303,21,0)</f>
        <v>810000</v>
      </c>
      <c r="N235" s="363" t="e">
        <f t="shared" ca="1" si="26"/>
        <v>#REF!</v>
      </c>
      <c r="O235" s="302">
        <f>VLOOKUP(B235,'Base de Datos'!$E$7:$AC$303,22,0)</f>
        <v>0</v>
      </c>
      <c r="P235" s="362" t="str">
        <f t="shared" ca="1" si="23"/>
        <v/>
      </c>
      <c r="Q235" s="375" t="e">
        <f t="shared" ca="1" si="27"/>
        <v>#VALUE!</v>
      </c>
      <c r="R235" s="298" t="str">
        <f>VLOOKUP(B235,'Base de Datos'!E235:AU546,33,0)</f>
        <v>Oficina Asesora de Comunicaciones</v>
      </c>
      <c r="S235" s="301" t="e">
        <f t="shared" ca="1" si="24"/>
        <v>#REF!</v>
      </c>
      <c r="T235" s="298" t="str">
        <f t="shared" si="25"/>
        <v/>
      </c>
      <c r="U235" s="298" t="str">
        <f>VLOOKUP(B235,'Base de Datos'!$E$7:$AU$401,38,0)</f>
        <v>SI</v>
      </c>
    </row>
    <row r="236" spans="1:21" ht="23.25" customHeight="1" thickTop="1" thickBot="1" x14ac:dyDescent="0.35">
      <c r="A236" s="96">
        <v>230</v>
      </c>
      <c r="B236" s="298" t="str">
        <f>+'Base de Datos'!E236</f>
        <v>140288-0-2014</v>
      </c>
      <c r="C236" s="298" t="str">
        <f>+'Base de Datos'!F236</f>
        <v>SGS COLOMBIA S.A.</v>
      </c>
      <c r="D236" s="299">
        <f>+'Base de Datos'!I236</f>
        <v>4621440</v>
      </c>
      <c r="E236" s="300">
        <f>+'Base de Datos'!M236</f>
        <v>41934</v>
      </c>
      <c r="F236" s="300">
        <f>+'Base de Datos'!N236</f>
        <v>42085</v>
      </c>
      <c r="G236" s="300" t="e">
        <f>+'Base de Datos'!#REF!</f>
        <v>#REF!</v>
      </c>
      <c r="H236" s="299">
        <f>+'Base de Datos'!X236</f>
        <v>4621440</v>
      </c>
      <c r="I236" s="301" t="e">
        <f>IF(VLOOKUP(B236,'Base de Datos'!$E$7:$T$303,11,0),"SI","NO")</f>
        <v>#VALUE!</v>
      </c>
      <c r="J236" s="302" t="e">
        <f t="shared" si="21"/>
        <v>#VALUE!</v>
      </c>
      <c r="K236" s="301" t="e">
        <f>IF(VLOOKUP(B236,'Base de Datos'!$E$7:$T$303,11,0),"SI","NO")</f>
        <v>#VALUE!</v>
      </c>
      <c r="L236" s="302" t="e">
        <f t="shared" si="22"/>
        <v>#VALUE!</v>
      </c>
      <c r="M236" s="302">
        <f>VLOOKUP(B236,'Base de Datos'!$E$7:$AC$303,21,0)</f>
        <v>4621440</v>
      </c>
      <c r="N236" s="363" t="e">
        <f t="shared" ca="1" si="26"/>
        <v>#REF!</v>
      </c>
      <c r="O236" s="302">
        <f>VLOOKUP(B236,'Base de Datos'!$E$7:$AC$303,22,0)</f>
        <v>0</v>
      </c>
      <c r="P236" s="362" t="str">
        <f t="shared" ca="1" si="23"/>
        <v/>
      </c>
      <c r="Q236" s="375" t="e">
        <f t="shared" ca="1" si="27"/>
        <v>#VALUE!</v>
      </c>
      <c r="R236" s="298" t="str">
        <f>VLOOKUP(B236,'Base de Datos'!E236:AU547,33,0)</f>
        <v>Oficina Asesora de Planeación</v>
      </c>
      <c r="S236" s="301" t="e">
        <f t="shared" ca="1" si="24"/>
        <v>#REF!</v>
      </c>
      <c r="T236" s="298" t="str">
        <f t="shared" si="25"/>
        <v/>
      </c>
      <c r="U236" s="298" t="str">
        <f>VLOOKUP(B236,'Base de Datos'!$E$7:$AU$401,38,0)</f>
        <v>SI</v>
      </c>
    </row>
    <row r="237" spans="1:21" ht="23.25" customHeight="1" thickTop="1" thickBot="1" x14ac:dyDescent="0.35">
      <c r="A237" s="96">
        <v>231</v>
      </c>
      <c r="B237" s="298" t="str">
        <f>+'Base de Datos'!E237</f>
        <v>140290-0-2014</v>
      </c>
      <c r="C237" s="298" t="str">
        <f>+'Base de Datos'!F237</f>
        <v>CENTRO DE DIAGNOSTICO Y TRATAMIENTO CENDIATRA LTDA</v>
      </c>
      <c r="D237" s="299">
        <f>+'Base de Datos'!I237</f>
        <v>41850000</v>
      </c>
      <c r="E237" s="300">
        <f>+'Base de Datos'!M237</f>
        <v>41926</v>
      </c>
      <c r="F237" s="300">
        <f>+'Base de Datos'!N237</f>
        <v>42138</v>
      </c>
      <c r="G237" s="300" t="e">
        <f>+'Base de Datos'!#REF!</f>
        <v>#REF!</v>
      </c>
      <c r="H237" s="299">
        <f>+'Base de Datos'!X237</f>
        <v>41850000</v>
      </c>
      <c r="I237" s="301" t="e">
        <f>IF(VLOOKUP(B237,'Base de Datos'!$E$7:$T$303,11,0),"SI","NO")</f>
        <v>#VALUE!</v>
      </c>
      <c r="J237" s="302" t="e">
        <f t="shared" si="21"/>
        <v>#VALUE!</v>
      </c>
      <c r="K237" s="301" t="e">
        <f>IF(VLOOKUP(B237,'Base de Datos'!$E$7:$T$303,11,0),"SI","NO")</f>
        <v>#VALUE!</v>
      </c>
      <c r="L237" s="302" t="e">
        <f t="shared" si="22"/>
        <v>#VALUE!</v>
      </c>
      <c r="M237" s="302">
        <f>VLOOKUP(B237,'Base de Datos'!$E$7:$AC$303,21,0)</f>
        <v>26363000</v>
      </c>
      <c r="N237" s="363" t="e">
        <f t="shared" ca="1" si="26"/>
        <v>#REF!</v>
      </c>
      <c r="O237" s="302">
        <f>VLOOKUP(B237,'Base de Datos'!$E$7:$AC$303,22,0)</f>
        <v>15487000</v>
      </c>
      <c r="P237" s="362" t="str">
        <f t="shared" ca="1" si="23"/>
        <v/>
      </c>
      <c r="Q237" s="375" t="e">
        <f t="shared" ca="1" si="27"/>
        <v>#VALUE!</v>
      </c>
      <c r="R237" s="298" t="str">
        <f>VLOOKUP(B237,'Base de Datos'!E237:AU548,33,0)</f>
        <v>Dirección Administrativa</v>
      </c>
      <c r="S237" s="301" t="e">
        <f t="shared" ca="1" si="24"/>
        <v>#REF!</v>
      </c>
      <c r="T237" s="298" t="str">
        <f t="shared" si="25"/>
        <v/>
      </c>
      <c r="U237" s="298" t="str">
        <f>VLOOKUP(B237,'Base de Datos'!$E$7:$AU$401,38,0)</f>
        <v>SI</v>
      </c>
    </row>
    <row r="238" spans="1:21" ht="23.25" customHeight="1" thickTop="1" thickBot="1" x14ac:dyDescent="0.35">
      <c r="A238" s="96">
        <v>232</v>
      </c>
      <c r="B238" s="298" t="str">
        <f>+'Base de Datos'!E238</f>
        <v>140291-0-2014</v>
      </c>
      <c r="C238" s="298" t="str">
        <f>+'Base de Datos'!F238</f>
        <v>NAYIVE CARRASCO PATIÑO</v>
      </c>
      <c r="D238" s="299">
        <f>+'Base de Datos'!I238</f>
        <v>25000000</v>
      </c>
      <c r="E238" s="300">
        <f>+'Base de Datos'!M238</f>
        <v>41891</v>
      </c>
      <c r="F238" s="300">
        <f>+'Base de Datos'!N238</f>
        <v>42013</v>
      </c>
      <c r="G238" s="300" t="e">
        <f>+'Base de Datos'!#REF!</f>
        <v>#REF!</v>
      </c>
      <c r="H238" s="299">
        <f>+'Base de Datos'!X238</f>
        <v>25000000</v>
      </c>
      <c r="I238" s="301" t="e">
        <f>IF(VLOOKUP(B238,'Base de Datos'!$E$7:$T$303,11,0),"SI","NO")</f>
        <v>#VALUE!</v>
      </c>
      <c r="J238" s="302" t="e">
        <f t="shared" si="21"/>
        <v>#VALUE!</v>
      </c>
      <c r="K238" s="301" t="e">
        <f>IF(VLOOKUP(B238,'Base de Datos'!$E$7:$T$303,11,0),"SI","NO")</f>
        <v>#VALUE!</v>
      </c>
      <c r="L238" s="302" t="e">
        <f t="shared" si="22"/>
        <v>#VALUE!</v>
      </c>
      <c r="M238" s="302">
        <f>VLOOKUP(B238,'Base de Datos'!$E$7:$AC$303,21,0)</f>
        <v>25000000</v>
      </c>
      <c r="N238" s="363" t="e">
        <f t="shared" ca="1" si="26"/>
        <v>#REF!</v>
      </c>
      <c r="O238" s="302">
        <f>VLOOKUP(B238,'Base de Datos'!$E$7:$AC$303,22,0)</f>
        <v>0</v>
      </c>
      <c r="P238" s="362" t="str">
        <f t="shared" ca="1" si="23"/>
        <v/>
      </c>
      <c r="Q238" s="375" t="e">
        <f t="shared" ca="1" si="27"/>
        <v>#VALUE!</v>
      </c>
      <c r="R238" s="298" t="str">
        <f>VLOOKUP(B238,'Base de Datos'!E238:AU549,33,0)</f>
        <v>Dirección Financiera</v>
      </c>
      <c r="S238" s="301" t="e">
        <f t="shared" ca="1" si="24"/>
        <v>#REF!</v>
      </c>
      <c r="T238" s="298" t="str">
        <f t="shared" si="25"/>
        <v/>
      </c>
      <c r="U238" s="298" t="str">
        <f>VLOOKUP(B238,'Base de Datos'!$E$7:$AU$401,38,0)</f>
        <v>NO</v>
      </c>
    </row>
    <row r="239" spans="1:21" ht="23.25" customHeight="1" thickTop="1" thickBot="1" x14ac:dyDescent="0.35">
      <c r="A239" s="96">
        <v>233</v>
      </c>
      <c r="B239" s="298" t="str">
        <f>+'Base de Datos'!E239</f>
        <v>140292-0-2014</v>
      </c>
      <c r="C239" s="298" t="str">
        <f>+'Base de Datos'!F239</f>
        <v>JUAN SEBASTIÁN RAMÍREZ</v>
      </c>
      <c r="D239" s="299">
        <f>+'Base de Datos'!I239</f>
        <v>25000000</v>
      </c>
      <c r="E239" s="300">
        <f>+'Base de Datos'!M239</f>
        <v>41893</v>
      </c>
      <c r="F239" s="300">
        <f>+'Base de Datos'!N239</f>
        <v>42046</v>
      </c>
      <c r="G239" s="300" t="e">
        <f>+'Base de Datos'!#REF!</f>
        <v>#REF!</v>
      </c>
      <c r="H239" s="299">
        <f>+'Base de Datos'!X239</f>
        <v>25000000</v>
      </c>
      <c r="I239" s="301" t="e">
        <f>IF(VLOOKUP(B239,'Base de Datos'!$E$7:$T$303,11,0),"SI","NO")</f>
        <v>#VALUE!</v>
      </c>
      <c r="J239" s="302" t="e">
        <f t="shared" si="21"/>
        <v>#VALUE!</v>
      </c>
      <c r="K239" s="301" t="e">
        <f>IF(VLOOKUP(B239,'Base de Datos'!$E$7:$T$303,11,0),"SI","NO")</f>
        <v>#VALUE!</v>
      </c>
      <c r="L239" s="302" t="e">
        <f t="shared" si="22"/>
        <v>#VALUE!</v>
      </c>
      <c r="M239" s="302">
        <f>VLOOKUP(B239,'Base de Datos'!$E$7:$AC$303,21,0)</f>
        <v>25000000</v>
      </c>
      <c r="N239" s="363" t="e">
        <f t="shared" ca="1" si="26"/>
        <v>#REF!</v>
      </c>
      <c r="O239" s="302">
        <f>VLOOKUP(B239,'Base de Datos'!$E$7:$AC$303,22,0)</f>
        <v>0</v>
      </c>
      <c r="P239" s="362" t="str">
        <f t="shared" ca="1" si="23"/>
        <v/>
      </c>
      <c r="Q239" s="375" t="e">
        <f t="shared" ca="1" si="27"/>
        <v>#VALUE!</v>
      </c>
      <c r="R239" s="298" t="str">
        <f>VLOOKUP(B239,'Base de Datos'!E239:AU550,33,0)</f>
        <v>Dirección Financiera</v>
      </c>
      <c r="S239" s="301" t="e">
        <f t="shared" ca="1" si="24"/>
        <v>#REF!</v>
      </c>
      <c r="T239" s="298" t="str">
        <f t="shared" si="25"/>
        <v/>
      </c>
      <c r="U239" s="298" t="str">
        <f>VLOOKUP(B239,'Base de Datos'!$E$7:$AU$401,38,0)</f>
        <v>NO</v>
      </c>
    </row>
    <row r="240" spans="1:21" ht="23.25" customHeight="1" thickTop="1" thickBot="1" x14ac:dyDescent="0.35">
      <c r="A240" s="96">
        <v>234</v>
      </c>
      <c r="B240" s="298" t="str">
        <f>+'Base de Datos'!E240</f>
        <v>140296-0-2014</v>
      </c>
      <c r="C240" s="298" t="str">
        <f>+'Base de Datos'!F240</f>
        <v>INGEAL S.A.</v>
      </c>
      <c r="D240" s="299">
        <f>+'Base de Datos'!I240</f>
        <v>311460000</v>
      </c>
      <c r="E240" s="300">
        <f>+'Base de Datos'!M240</f>
        <v>41907</v>
      </c>
      <c r="F240" s="300">
        <f>+'Base de Datos'!N240</f>
        <v>41996</v>
      </c>
      <c r="G240" s="300" t="e">
        <f>+'Base de Datos'!#REF!</f>
        <v>#REF!</v>
      </c>
      <c r="H240" s="299">
        <f>+'Base de Datos'!X240</f>
        <v>311460000</v>
      </c>
      <c r="I240" s="301" t="e">
        <f>IF(VLOOKUP(B240,'Base de Datos'!$E$7:$T$303,11,0),"SI","NO")</f>
        <v>#VALUE!</v>
      </c>
      <c r="J240" s="302" t="e">
        <f t="shared" si="21"/>
        <v>#VALUE!</v>
      </c>
      <c r="K240" s="301" t="e">
        <f>IF(VLOOKUP(B240,'Base de Datos'!$E$7:$T$303,11,0),"SI","NO")</f>
        <v>#VALUE!</v>
      </c>
      <c r="L240" s="302" t="e">
        <f t="shared" si="22"/>
        <v>#VALUE!</v>
      </c>
      <c r="M240" s="302">
        <f>VLOOKUP(B240,'Base de Datos'!$E$7:$AC$303,21,0)</f>
        <v>311460000</v>
      </c>
      <c r="N240" s="363" t="e">
        <f t="shared" ca="1" si="26"/>
        <v>#REF!</v>
      </c>
      <c r="O240" s="302">
        <f>VLOOKUP(B240,'Base de Datos'!$E$7:$AC$303,22,0)</f>
        <v>0</v>
      </c>
      <c r="P240" s="362" t="str">
        <f t="shared" ca="1" si="23"/>
        <v/>
      </c>
      <c r="Q240" s="375" t="e">
        <f t="shared" ca="1" si="27"/>
        <v>#VALUE!</v>
      </c>
      <c r="R240" s="298" t="str">
        <f>VLOOKUP(B240,'Base de Datos'!E240:AU551,33,0)</f>
        <v>Dirección Administrativa</v>
      </c>
      <c r="S240" s="301" t="e">
        <f t="shared" ca="1" si="24"/>
        <v>#REF!</v>
      </c>
      <c r="T240" s="298" t="str">
        <f t="shared" si="25"/>
        <v/>
      </c>
      <c r="U240" s="298" t="str">
        <f>VLOOKUP(B240,'Base de Datos'!$E$7:$AU$401,38,0)</f>
        <v>SI</v>
      </c>
    </row>
    <row r="241" spans="1:21" ht="23.25" customHeight="1" thickTop="1" thickBot="1" x14ac:dyDescent="0.35">
      <c r="A241" s="96">
        <v>235</v>
      </c>
      <c r="B241" s="298" t="str">
        <f>+'Base de Datos'!E241</f>
        <v>140299-0-2014</v>
      </c>
      <c r="C241" s="298" t="str">
        <f>+'Base de Datos'!F241</f>
        <v>LIZETH  GONZÁLEZ VARGAS</v>
      </c>
      <c r="D241" s="299">
        <f>+'Base de Datos'!I241</f>
        <v>17500000</v>
      </c>
      <c r="E241" s="300">
        <f>+'Base de Datos'!M241</f>
        <v>41900</v>
      </c>
      <c r="F241" s="300">
        <f>+'Base de Datos'!N241</f>
        <v>42053</v>
      </c>
      <c r="G241" s="300" t="e">
        <f>+'Base de Datos'!#REF!</f>
        <v>#REF!</v>
      </c>
      <c r="H241" s="299">
        <f>+'Base de Datos'!X241</f>
        <v>17500000</v>
      </c>
      <c r="I241" s="301" t="e">
        <f>IF(VLOOKUP(B241,'Base de Datos'!$E$7:$T$303,11,0),"SI","NO")</f>
        <v>#VALUE!</v>
      </c>
      <c r="J241" s="302" t="e">
        <f t="shared" si="21"/>
        <v>#VALUE!</v>
      </c>
      <c r="K241" s="301" t="e">
        <f>IF(VLOOKUP(B241,'Base de Datos'!$E$7:$T$303,11,0),"SI","NO")</f>
        <v>#VALUE!</v>
      </c>
      <c r="L241" s="302" t="e">
        <f t="shared" si="22"/>
        <v>#VALUE!</v>
      </c>
      <c r="M241" s="302">
        <f>VLOOKUP(B241,'Base de Datos'!$E$7:$AC$303,21,0)</f>
        <v>17500000</v>
      </c>
      <c r="N241" s="363" t="e">
        <f t="shared" ca="1" si="26"/>
        <v>#REF!</v>
      </c>
      <c r="O241" s="302">
        <f>VLOOKUP(B241,'Base de Datos'!$E$7:$AC$303,22,0)</f>
        <v>0</v>
      </c>
      <c r="P241" s="362" t="str">
        <f t="shared" ca="1" si="23"/>
        <v/>
      </c>
      <c r="Q241" s="375" t="e">
        <f t="shared" ca="1" si="27"/>
        <v>#VALUE!</v>
      </c>
      <c r="R241" s="298" t="str">
        <f>VLOOKUP(B241,'Base de Datos'!E241:AU552,33,0)</f>
        <v>Dirección Financiera</v>
      </c>
      <c r="S241" s="301" t="e">
        <f t="shared" ca="1" si="24"/>
        <v>#REF!</v>
      </c>
      <c r="T241" s="298" t="str">
        <f t="shared" si="25"/>
        <v/>
      </c>
      <c r="U241" s="298" t="str">
        <f>VLOOKUP(B241,'Base de Datos'!$E$7:$AU$401,38,0)</f>
        <v>NO</v>
      </c>
    </row>
    <row r="242" spans="1:21" ht="23.25" customHeight="1" thickTop="1" thickBot="1" x14ac:dyDescent="0.35">
      <c r="A242" s="96">
        <v>236</v>
      </c>
      <c r="B242" s="298" t="str">
        <f>+'Base de Datos'!E242</f>
        <v>140306-0-2014</v>
      </c>
      <c r="C242" s="298" t="str">
        <f>+'Base de Datos'!F242</f>
        <v>I3NET  S.A.S</v>
      </c>
      <c r="D242" s="299">
        <f>+'Base de Datos'!I242</f>
        <v>14153603</v>
      </c>
      <c r="E242" s="300">
        <f>+'Base de Datos'!M242</f>
        <v>41929</v>
      </c>
      <c r="F242" s="300">
        <f>+'Base de Datos'!N242</f>
        <v>42021</v>
      </c>
      <c r="G242" s="300" t="e">
        <f>+'Base de Datos'!#REF!</f>
        <v>#REF!</v>
      </c>
      <c r="H242" s="299">
        <f>+'Base de Datos'!X242</f>
        <v>14153603</v>
      </c>
      <c r="I242" s="301" t="e">
        <f>IF(VLOOKUP(B242,'Base de Datos'!$E$7:$T$303,11,0),"SI","NO")</f>
        <v>#VALUE!</v>
      </c>
      <c r="J242" s="302" t="e">
        <f t="shared" si="21"/>
        <v>#VALUE!</v>
      </c>
      <c r="K242" s="301" t="e">
        <f>IF(VLOOKUP(B242,'Base de Datos'!$E$7:$T$303,11,0),"SI","NO")</f>
        <v>#VALUE!</v>
      </c>
      <c r="L242" s="302" t="e">
        <f t="shared" si="22"/>
        <v>#VALUE!</v>
      </c>
      <c r="M242" s="302">
        <f>VLOOKUP(B242,'Base de Datos'!$E$7:$AC$303,21,0)</f>
        <v>14153603</v>
      </c>
      <c r="N242" s="363" t="e">
        <f t="shared" ca="1" si="26"/>
        <v>#REF!</v>
      </c>
      <c r="O242" s="302">
        <f>VLOOKUP(B242,'Base de Datos'!$E$7:$AC$303,22,0)</f>
        <v>0</v>
      </c>
      <c r="P242" s="362" t="str">
        <f t="shared" ca="1" si="23"/>
        <v/>
      </c>
      <c r="Q242" s="375" t="e">
        <f t="shared" ca="1" si="27"/>
        <v>#VALUE!</v>
      </c>
      <c r="R242" s="298" t="str">
        <f>VLOOKUP(B242,'Base de Datos'!E242:AU553,33,0)</f>
        <v>Dirección Administrativa</v>
      </c>
      <c r="S242" s="301" t="e">
        <f t="shared" ca="1" si="24"/>
        <v>#REF!</v>
      </c>
      <c r="T242" s="298" t="str">
        <f t="shared" si="25"/>
        <v/>
      </c>
      <c r="U242" s="298" t="str">
        <f>VLOOKUP(B242,'Base de Datos'!$E$7:$AU$401,38,0)</f>
        <v>SI</v>
      </c>
    </row>
    <row r="243" spans="1:21" ht="23.25" customHeight="1" thickTop="1" thickBot="1" x14ac:dyDescent="0.35">
      <c r="A243" s="96">
        <v>237</v>
      </c>
      <c r="B243" s="298" t="str">
        <f>+'Base de Datos'!E243</f>
        <v>140312-0-2014</v>
      </c>
      <c r="C243" s="298" t="str">
        <f>+'Base de Datos'!F243</f>
        <v>CRISTIAN DAVID PARDO MARTINEZ</v>
      </c>
      <c r="D243" s="299">
        <f>+'Base de Datos'!I243</f>
        <v>10000000</v>
      </c>
      <c r="E243" s="300">
        <f>+'Base de Datos'!M243</f>
        <v>41911</v>
      </c>
      <c r="F243" s="300">
        <f>+'Base de Datos'!N243</f>
        <v>42033</v>
      </c>
      <c r="G243" s="300" t="e">
        <f>+'Base de Datos'!#REF!</f>
        <v>#REF!</v>
      </c>
      <c r="H243" s="299">
        <f>+'Base de Datos'!X243</f>
        <v>10000000</v>
      </c>
      <c r="I243" s="301" t="e">
        <f>IF(VLOOKUP(B243,'Base de Datos'!$E$7:$T$303,11,0),"SI","NO")</f>
        <v>#VALUE!</v>
      </c>
      <c r="J243" s="302" t="e">
        <f t="shared" si="21"/>
        <v>#VALUE!</v>
      </c>
      <c r="K243" s="301" t="e">
        <f>IF(VLOOKUP(B243,'Base de Datos'!$E$7:$T$303,11,0),"SI","NO")</f>
        <v>#VALUE!</v>
      </c>
      <c r="L243" s="302" t="e">
        <f t="shared" si="22"/>
        <v>#VALUE!</v>
      </c>
      <c r="M243" s="302">
        <f>VLOOKUP(B243,'Base de Datos'!$E$7:$AC$303,21,0)</f>
        <v>10000000</v>
      </c>
      <c r="N243" s="363" t="e">
        <f t="shared" ca="1" si="26"/>
        <v>#REF!</v>
      </c>
      <c r="O243" s="302">
        <f>VLOOKUP(B243,'Base de Datos'!$E$7:$AC$303,22,0)</f>
        <v>0</v>
      </c>
      <c r="P243" s="362" t="str">
        <f t="shared" ca="1" si="23"/>
        <v/>
      </c>
      <c r="Q243" s="375" t="e">
        <f t="shared" ca="1" si="27"/>
        <v>#VALUE!</v>
      </c>
      <c r="R243" s="298" t="str">
        <f>VLOOKUP(B243,'Base de Datos'!E243:AU554,33,0)</f>
        <v>Dirección Financiera</v>
      </c>
      <c r="S243" s="301" t="e">
        <f t="shared" ca="1" si="24"/>
        <v>#REF!</v>
      </c>
      <c r="T243" s="298" t="str">
        <f t="shared" si="25"/>
        <v/>
      </c>
      <c r="U243" s="298" t="str">
        <f>VLOOKUP(B243,'Base de Datos'!$E$7:$AU$401,38,0)</f>
        <v>NO</v>
      </c>
    </row>
    <row r="244" spans="1:21" ht="23.25" customHeight="1" thickTop="1" thickBot="1" x14ac:dyDescent="0.35">
      <c r="A244" s="96">
        <v>238</v>
      </c>
      <c r="B244" s="298" t="str">
        <f>+'Base de Datos'!E244</f>
        <v xml:space="preserve">140316-0-2014 </v>
      </c>
      <c r="C244" s="298" t="str">
        <f>+'Base de Datos'!F244</f>
        <v>SOLUCIONES EN INGENIERIA Y SOFTWARE SAS</v>
      </c>
      <c r="D244" s="299">
        <f>+'Base de Datos'!I244</f>
        <v>812500</v>
      </c>
      <c r="E244" s="300">
        <f>+'Base de Datos'!M244</f>
        <v>41928</v>
      </c>
      <c r="F244" s="300">
        <f>+'Base de Datos'!N244</f>
        <v>42004</v>
      </c>
      <c r="G244" s="300" t="e">
        <f>+'Base de Datos'!#REF!</f>
        <v>#REF!</v>
      </c>
      <c r="H244" s="299">
        <f>+'Base de Datos'!X244</f>
        <v>812500</v>
      </c>
      <c r="I244" s="301" t="e">
        <f>IF(VLOOKUP(B244,'Base de Datos'!$E$7:$T$303,11,0),"SI","NO")</f>
        <v>#VALUE!</v>
      </c>
      <c r="J244" s="302" t="e">
        <f t="shared" si="21"/>
        <v>#VALUE!</v>
      </c>
      <c r="K244" s="301" t="e">
        <f>IF(VLOOKUP(B244,'Base de Datos'!$E$7:$T$303,11,0),"SI","NO")</f>
        <v>#VALUE!</v>
      </c>
      <c r="L244" s="302" t="e">
        <f t="shared" si="22"/>
        <v>#VALUE!</v>
      </c>
      <c r="M244" s="302">
        <f>VLOOKUP(B244,'Base de Datos'!$E$7:$AC$303,21,0)</f>
        <v>812500</v>
      </c>
      <c r="N244" s="363" t="e">
        <f t="shared" ca="1" si="26"/>
        <v>#REF!</v>
      </c>
      <c r="O244" s="302">
        <f>VLOOKUP(B244,'Base de Datos'!$E$7:$AC$303,22,0)</f>
        <v>0</v>
      </c>
      <c r="P244" s="362" t="str">
        <f t="shared" ca="1" si="23"/>
        <v/>
      </c>
      <c r="Q244" s="375" t="e">
        <f t="shared" ca="1" si="27"/>
        <v>#VALUE!</v>
      </c>
      <c r="R244" s="298" t="str">
        <f>VLOOKUP(B244,'Base de Datos'!E244:AU555,33,0)</f>
        <v>Dirección Administrativa</v>
      </c>
      <c r="S244" s="301" t="e">
        <f t="shared" ca="1" si="24"/>
        <v>#REF!</v>
      </c>
      <c r="T244" s="298" t="str">
        <f t="shared" si="25"/>
        <v/>
      </c>
      <c r="U244" s="298" t="str">
        <f>VLOOKUP(B244,'Base de Datos'!$E$7:$AU$401,38,0)</f>
        <v>SI</v>
      </c>
    </row>
    <row r="245" spans="1:21" ht="23.25" customHeight="1" thickTop="1" thickBot="1" x14ac:dyDescent="0.35">
      <c r="A245" s="96">
        <v>239</v>
      </c>
      <c r="B245" s="298" t="str">
        <f>+'Base de Datos'!E245</f>
        <v>140317-0-2014</v>
      </c>
      <c r="C245" s="298" t="str">
        <f>+'Base de Datos'!F245</f>
        <v>FACTOR VISUAL EAT</v>
      </c>
      <c r="D245" s="299">
        <f>+'Base de Datos'!I245</f>
        <v>44544000</v>
      </c>
      <c r="E245" s="300">
        <f>+'Base de Datos'!M245</f>
        <v>41929</v>
      </c>
      <c r="F245" s="300">
        <f>+'Base de Datos'!N245</f>
        <v>42294</v>
      </c>
      <c r="G245" s="300" t="e">
        <f>+'Base de Datos'!#REF!</f>
        <v>#REF!</v>
      </c>
      <c r="H245" s="299">
        <f>+'Base de Datos'!X245</f>
        <v>66816000</v>
      </c>
      <c r="I245" s="301" t="e">
        <f>IF(VLOOKUP(B245,'Base de Datos'!$E$7:$T$303,11,0),"SI","NO")</f>
        <v>#VALUE!</v>
      </c>
      <c r="J245" s="302" t="e">
        <f t="shared" si="21"/>
        <v>#VALUE!</v>
      </c>
      <c r="K245" s="301" t="e">
        <f>IF(VLOOKUP(B245,'Base de Datos'!$E$7:$T$303,11,0),"SI","NO")</f>
        <v>#VALUE!</v>
      </c>
      <c r="L245" s="302" t="e">
        <f t="shared" si="22"/>
        <v>#VALUE!</v>
      </c>
      <c r="M245" s="302">
        <f>VLOOKUP(B245,'Base de Datos'!$E$7:$AC$303,21,0)</f>
        <v>66816000</v>
      </c>
      <c r="N245" s="363" t="e">
        <f t="shared" ca="1" si="26"/>
        <v>#REF!</v>
      </c>
      <c r="O245" s="302">
        <f>VLOOKUP(B245,'Base de Datos'!$E$7:$AC$303,22,0)</f>
        <v>0</v>
      </c>
      <c r="P245" s="362" t="str">
        <f t="shared" ca="1" si="23"/>
        <v/>
      </c>
      <c r="Q245" s="375" t="e">
        <f t="shared" ca="1" si="27"/>
        <v>#VALUE!</v>
      </c>
      <c r="R245" s="298" t="str">
        <f>VLOOKUP(B245,'Base de Datos'!E245:AU556,33,0)</f>
        <v>Dirección Administrativa</v>
      </c>
      <c r="S245" s="301" t="e">
        <f t="shared" ca="1" si="24"/>
        <v>#REF!</v>
      </c>
      <c r="T245" s="298" t="str">
        <f t="shared" si="25"/>
        <v/>
      </c>
      <c r="U245" s="298" t="str">
        <f>VLOOKUP(B245,'Base de Datos'!$E$7:$AU$401,38,0)</f>
        <v>SI</v>
      </c>
    </row>
    <row r="246" spans="1:21" ht="23.25" customHeight="1" thickTop="1" thickBot="1" x14ac:dyDescent="0.35">
      <c r="A246" s="96">
        <v>240</v>
      </c>
      <c r="B246" s="298" t="str">
        <f>+'Base de Datos'!E246</f>
        <v>140319-0-2014</v>
      </c>
      <c r="C246" s="298" t="str">
        <f>+'Base de Datos'!F246</f>
        <v>CANAL REGIONAL DE TELEVISION TEVEANDINA LTDA - TEVEANDINA LTDA</v>
      </c>
      <c r="D246" s="299">
        <f>+'Base de Datos'!I246</f>
        <v>818527824</v>
      </c>
      <c r="E246" s="300">
        <f>+'Base de Datos'!M246</f>
        <v>41921</v>
      </c>
      <c r="F246" s="300">
        <f>+'Base de Datos'!N246</f>
        <v>42102</v>
      </c>
      <c r="G246" s="300" t="e">
        <f>+'Base de Datos'!#REF!</f>
        <v>#REF!</v>
      </c>
      <c r="H246" s="299">
        <f>+'Base de Datos'!X246</f>
        <v>818527824</v>
      </c>
      <c r="I246" s="301" t="e">
        <f>IF(VLOOKUP(B246,'Base de Datos'!$E$7:$T$303,11,0),"SI","NO")</f>
        <v>#VALUE!</v>
      </c>
      <c r="J246" s="302" t="e">
        <f t="shared" si="21"/>
        <v>#VALUE!</v>
      </c>
      <c r="K246" s="301" t="e">
        <f>IF(VLOOKUP(B246,'Base de Datos'!$E$7:$T$303,11,0),"SI","NO")</f>
        <v>#VALUE!</v>
      </c>
      <c r="L246" s="302" t="e">
        <f t="shared" si="22"/>
        <v>#VALUE!</v>
      </c>
      <c r="M246" s="302">
        <f>VLOOKUP(B246,'Base de Datos'!$E$7:$AC$303,21,0)</f>
        <v>800790708</v>
      </c>
      <c r="N246" s="363" t="e">
        <f t="shared" ca="1" si="26"/>
        <v>#REF!</v>
      </c>
      <c r="O246" s="302">
        <f>VLOOKUP(B246,'Base de Datos'!$E$7:$AC$303,22,0)</f>
        <v>17737116</v>
      </c>
      <c r="P246" s="362" t="str">
        <f t="shared" ca="1" si="23"/>
        <v/>
      </c>
      <c r="Q246" s="375" t="e">
        <f t="shared" ca="1" si="27"/>
        <v>#VALUE!</v>
      </c>
      <c r="R246" s="298" t="str">
        <f>VLOOKUP(B246,'Base de Datos'!E246:AU557,33,0)</f>
        <v>Oficina Asesora de Comunicaciones</v>
      </c>
      <c r="S246" s="301" t="e">
        <f t="shared" ca="1" si="24"/>
        <v>#REF!</v>
      </c>
      <c r="T246" s="298" t="str">
        <f t="shared" si="25"/>
        <v/>
      </c>
      <c r="U246" s="298" t="str">
        <f>VLOOKUP(B246,'Base de Datos'!$E$7:$AU$401,38,0)</f>
        <v>SI</v>
      </c>
    </row>
    <row r="247" spans="1:21" ht="23.25" customHeight="1" thickTop="1" thickBot="1" x14ac:dyDescent="0.35">
      <c r="A247" s="96">
        <v>241</v>
      </c>
      <c r="B247" s="298" t="str">
        <f>+'Base de Datos'!E247</f>
        <v>140322-0-2014</v>
      </c>
      <c r="C247" s="298" t="str">
        <f>+'Base de Datos'!F247</f>
        <v>SUMIMAS SAS</v>
      </c>
      <c r="D247" s="299">
        <f>+'Base de Datos'!I247</f>
        <v>75520000</v>
      </c>
      <c r="E247" s="300">
        <f>+'Base de Datos'!M247</f>
        <v>41929</v>
      </c>
      <c r="F247" s="300">
        <f>+'Base de Datos'!N247</f>
        <v>42294</v>
      </c>
      <c r="G247" s="300" t="e">
        <f>+'Base de Datos'!#REF!</f>
        <v>#REF!</v>
      </c>
      <c r="H247" s="299">
        <f>+'Base de Datos'!X247</f>
        <v>75520000</v>
      </c>
      <c r="I247" s="301" t="e">
        <f>IF(VLOOKUP(B247,'Base de Datos'!$E$7:$T$303,11,0),"SI","NO")</f>
        <v>#VALUE!</v>
      </c>
      <c r="J247" s="302" t="e">
        <f t="shared" si="21"/>
        <v>#VALUE!</v>
      </c>
      <c r="K247" s="301" t="e">
        <f>IF(VLOOKUP(B247,'Base de Datos'!$E$7:$T$303,11,0),"SI","NO")</f>
        <v>#VALUE!</v>
      </c>
      <c r="L247" s="302" t="e">
        <f t="shared" si="22"/>
        <v>#VALUE!</v>
      </c>
      <c r="M247" s="302">
        <f>VLOOKUP(B247,'Base de Datos'!$E$7:$AC$303,21,0)</f>
        <v>75519999</v>
      </c>
      <c r="N247" s="363" t="e">
        <f t="shared" ca="1" si="26"/>
        <v>#REF!</v>
      </c>
      <c r="O247" s="302">
        <f>VLOOKUP(B247,'Base de Datos'!$E$7:$AC$303,22,0)</f>
        <v>1</v>
      </c>
      <c r="P247" s="362" t="str">
        <f t="shared" ca="1" si="23"/>
        <v/>
      </c>
      <c r="Q247" s="375" t="e">
        <f t="shared" ca="1" si="27"/>
        <v>#VALUE!</v>
      </c>
      <c r="R247" s="298" t="str">
        <f>VLOOKUP(B247,'Base de Datos'!E247:AU558,33,0)</f>
        <v>Dirección Administrativa</v>
      </c>
      <c r="S247" s="301" t="e">
        <f t="shared" ca="1" si="24"/>
        <v>#REF!</v>
      </c>
      <c r="T247" s="298" t="str">
        <f t="shared" si="25"/>
        <v>Liquidar</v>
      </c>
      <c r="U247" s="298" t="str">
        <f>VLOOKUP(B247,'Base de Datos'!$E$7:$AU$401,38,0)</f>
        <v>SI</v>
      </c>
    </row>
    <row r="248" spans="1:21" ht="23.25" customHeight="1" thickTop="1" thickBot="1" x14ac:dyDescent="0.35">
      <c r="A248" s="96">
        <v>242</v>
      </c>
      <c r="B248" s="298" t="str">
        <f>+'Base de Datos'!E248</f>
        <v>140330-0-2014</v>
      </c>
      <c r="C248" s="298" t="str">
        <f>+'Base de Datos'!F248</f>
        <v>SOLUCIONES INTEGRALES DE OFICINAS      SAS</v>
      </c>
      <c r="D248" s="299">
        <f>+'Base de Datos'!I248</f>
        <v>324800</v>
      </c>
      <c r="E248" s="300">
        <f>+'Base de Datos'!M248</f>
        <v>41939</v>
      </c>
      <c r="F248" s="300">
        <f>+'Base de Datos'!N248</f>
        <v>41970</v>
      </c>
      <c r="G248" s="300" t="e">
        <f>+'Base de Datos'!#REF!</f>
        <v>#REF!</v>
      </c>
      <c r="H248" s="299">
        <f>+'Base de Datos'!X248</f>
        <v>324800</v>
      </c>
      <c r="I248" s="301" t="e">
        <f>IF(VLOOKUP(B248,'Base de Datos'!$E$7:$T$303,11,0),"SI","NO")</f>
        <v>#VALUE!</v>
      </c>
      <c r="J248" s="302" t="e">
        <f t="shared" si="21"/>
        <v>#VALUE!</v>
      </c>
      <c r="K248" s="301" t="e">
        <f>IF(VLOOKUP(B248,'Base de Datos'!$E$7:$T$303,11,0),"SI","NO")</f>
        <v>#VALUE!</v>
      </c>
      <c r="L248" s="302" t="e">
        <f t="shared" si="22"/>
        <v>#VALUE!</v>
      </c>
      <c r="M248" s="302">
        <f>VLOOKUP(B248,'Base de Datos'!$E$7:$AC$303,21,0)</f>
        <v>324800</v>
      </c>
      <c r="N248" s="363" t="e">
        <f t="shared" ca="1" si="26"/>
        <v>#REF!</v>
      </c>
      <c r="O248" s="302">
        <f>VLOOKUP(B248,'Base de Datos'!$E$7:$AC$303,22,0)</f>
        <v>0</v>
      </c>
      <c r="P248" s="362" t="str">
        <f t="shared" ca="1" si="23"/>
        <v/>
      </c>
      <c r="Q248" s="375" t="e">
        <f t="shared" ca="1" si="27"/>
        <v>#VALUE!</v>
      </c>
      <c r="R248" s="298" t="str">
        <f>VLOOKUP(B248,'Base de Datos'!E248:AU559,33,0)</f>
        <v>Dirección Administrativa</v>
      </c>
      <c r="S248" s="301" t="e">
        <f t="shared" ca="1" si="24"/>
        <v>#REF!</v>
      </c>
      <c r="T248" s="298" t="str">
        <f t="shared" si="25"/>
        <v/>
      </c>
      <c r="U248" s="298" t="str">
        <f>VLOOKUP(B248,'Base de Datos'!$E$7:$AU$401,38,0)</f>
        <v>NO</v>
      </c>
    </row>
    <row r="249" spans="1:21" ht="23.25" customHeight="1" thickTop="1" thickBot="1" x14ac:dyDescent="0.35">
      <c r="A249" s="96">
        <v>243</v>
      </c>
      <c r="B249" s="298" t="str">
        <f>+'Base de Datos'!E249</f>
        <v>140342-0-2014</v>
      </c>
      <c r="C249" s="298" t="str">
        <f>+'Base de Datos'!F249</f>
        <v>EDITORES CONARTE SAS</v>
      </c>
      <c r="D249" s="299">
        <f>+'Base de Datos'!I249</f>
        <v>1659960</v>
      </c>
      <c r="E249" s="300">
        <f>+'Base de Datos'!M249</f>
        <v>41968</v>
      </c>
      <c r="F249" s="300">
        <f>+'Base de Datos'!N249</f>
        <v>42241</v>
      </c>
      <c r="G249" s="300" t="e">
        <f>+'Base de Datos'!#REF!</f>
        <v>#REF!</v>
      </c>
      <c r="H249" s="299">
        <f>+'Base de Datos'!X249</f>
        <v>2459960</v>
      </c>
      <c r="I249" s="301" t="e">
        <f>IF(VLOOKUP(B249,'Base de Datos'!$E$7:$T$303,11,0),"SI","NO")</f>
        <v>#VALUE!</v>
      </c>
      <c r="J249" s="302" t="e">
        <f t="shared" si="21"/>
        <v>#VALUE!</v>
      </c>
      <c r="K249" s="301" t="e">
        <f>IF(VLOOKUP(B249,'Base de Datos'!$E$7:$T$303,11,0),"SI","NO")</f>
        <v>#VALUE!</v>
      </c>
      <c r="L249" s="302" t="e">
        <f t="shared" si="22"/>
        <v>#VALUE!</v>
      </c>
      <c r="M249" s="302">
        <f>VLOOKUP(B249,'Base de Datos'!$E$7:$AC$303,21,0)</f>
        <v>2457884</v>
      </c>
      <c r="N249" s="363" t="e">
        <f t="shared" ca="1" si="26"/>
        <v>#REF!</v>
      </c>
      <c r="O249" s="302">
        <f>VLOOKUP(B249,'Base de Datos'!$E$7:$AC$303,22,0)</f>
        <v>2076</v>
      </c>
      <c r="P249" s="362" t="str">
        <f t="shared" ca="1" si="23"/>
        <v/>
      </c>
      <c r="Q249" s="375" t="e">
        <f t="shared" ca="1" si="27"/>
        <v>#VALUE!</v>
      </c>
      <c r="R249" s="298" t="str">
        <f>VLOOKUP(B249,'Base de Datos'!E249:AU560,33,0)</f>
        <v>Secretaría General</v>
      </c>
      <c r="S249" s="301" t="e">
        <f t="shared" ca="1" si="24"/>
        <v>#REF!</v>
      </c>
      <c r="T249" s="298" t="str">
        <f t="shared" si="25"/>
        <v/>
      </c>
      <c r="U249" s="298" t="str">
        <f>VLOOKUP(B249,'Base de Datos'!$E$7:$AU$401,38,0)</f>
        <v>SI</v>
      </c>
    </row>
    <row r="250" spans="1:21" ht="23.25" customHeight="1" thickTop="1" thickBot="1" x14ac:dyDescent="0.35">
      <c r="A250" s="96">
        <v>244</v>
      </c>
      <c r="B250" s="298" t="str">
        <f>+'Base de Datos'!E250</f>
        <v>140344-0-2014</v>
      </c>
      <c r="C250" s="298" t="str">
        <f>+'Base de Datos'!F250</f>
        <v>GUSTAVO ADOLFO BARRETO CASANOVA</v>
      </c>
      <c r="D250" s="299">
        <f>+'Base de Datos'!I250</f>
        <v>20188000</v>
      </c>
      <c r="E250" s="300">
        <f>+'Base de Datos'!M250</f>
        <v>41957</v>
      </c>
      <c r="F250" s="300">
        <f>+'Base de Datos'!N250</f>
        <v>42077</v>
      </c>
      <c r="G250" s="300" t="e">
        <f>+'Base de Datos'!#REF!</f>
        <v>#REF!</v>
      </c>
      <c r="H250" s="299">
        <f>+'Base de Datos'!X250</f>
        <v>20188000</v>
      </c>
      <c r="I250" s="301" t="e">
        <f>IF(VLOOKUP(B250,'Base de Datos'!$E$7:$T$303,11,0),"SI","NO")</f>
        <v>#VALUE!</v>
      </c>
      <c r="J250" s="302" t="e">
        <f t="shared" si="21"/>
        <v>#VALUE!</v>
      </c>
      <c r="K250" s="301" t="e">
        <f>IF(VLOOKUP(B250,'Base de Datos'!$E$7:$T$303,11,0),"SI","NO")</f>
        <v>#VALUE!</v>
      </c>
      <c r="L250" s="302" t="e">
        <f t="shared" si="22"/>
        <v>#VALUE!</v>
      </c>
      <c r="M250" s="302">
        <f>VLOOKUP(B250,'Base de Datos'!$E$7:$AC$303,21,0)</f>
        <v>20188000</v>
      </c>
      <c r="N250" s="363" t="e">
        <f t="shared" ca="1" si="26"/>
        <v>#REF!</v>
      </c>
      <c r="O250" s="302">
        <f>VLOOKUP(B250,'Base de Datos'!$E$7:$AC$303,22,0)</f>
        <v>0</v>
      </c>
      <c r="P250" s="362" t="str">
        <f t="shared" ca="1" si="23"/>
        <v/>
      </c>
      <c r="Q250" s="375" t="e">
        <f t="shared" ca="1" si="27"/>
        <v>#VALUE!</v>
      </c>
      <c r="R250" s="298" t="str">
        <f>VLOOKUP(B250,'Base de Datos'!E250:AU561,33,0)</f>
        <v>Dirección Administrativa</v>
      </c>
      <c r="S250" s="301" t="e">
        <f t="shared" ca="1" si="24"/>
        <v>#REF!</v>
      </c>
      <c r="T250" s="298" t="str">
        <f t="shared" si="25"/>
        <v/>
      </c>
      <c r="U250" s="298" t="str">
        <f>VLOOKUP(B250,'Base de Datos'!$E$7:$AU$401,38,0)</f>
        <v>NO</v>
      </c>
    </row>
    <row r="251" spans="1:21" ht="23.25" customHeight="1" thickTop="1" thickBot="1" x14ac:dyDescent="0.35">
      <c r="A251" s="96">
        <v>245</v>
      </c>
      <c r="B251" s="298" t="str">
        <f>+'Base de Datos'!E251</f>
        <v>140315-0-2014</v>
      </c>
      <c r="C251" s="298" t="str">
        <f>+'Base de Datos'!F251</f>
        <v>PROSEGUR TECNOLOGÍA S.A.S.</v>
      </c>
      <c r="D251" s="299">
        <f>+'Base de Datos'!I251</f>
        <v>59383678</v>
      </c>
      <c r="E251" s="300">
        <f>+'Base de Datos'!M251</f>
        <v>41941</v>
      </c>
      <c r="F251" s="300">
        <f>+'Base de Datos'!N251</f>
        <v>42033</v>
      </c>
      <c r="G251" s="300" t="e">
        <f>+'Base de Datos'!#REF!</f>
        <v>#REF!</v>
      </c>
      <c r="H251" s="299">
        <f>+'Base de Datos'!X251</f>
        <v>59383678</v>
      </c>
      <c r="I251" s="301" t="e">
        <f>IF(VLOOKUP(B251,'Base de Datos'!$E$7:$T$303,11,0),"SI","NO")</f>
        <v>#VALUE!</v>
      </c>
      <c r="J251" s="302" t="e">
        <f t="shared" si="21"/>
        <v>#VALUE!</v>
      </c>
      <c r="K251" s="301" t="e">
        <f>IF(VLOOKUP(B251,'Base de Datos'!$E$7:$T$303,11,0),"SI","NO")</f>
        <v>#VALUE!</v>
      </c>
      <c r="L251" s="302" t="e">
        <f t="shared" si="22"/>
        <v>#VALUE!</v>
      </c>
      <c r="M251" s="302">
        <f>VLOOKUP(B251,'Base de Datos'!$E$7:$AC$303,21,0)</f>
        <v>27770152</v>
      </c>
      <c r="N251" s="363" t="e">
        <f t="shared" ca="1" si="26"/>
        <v>#REF!</v>
      </c>
      <c r="O251" s="302">
        <f>VLOOKUP(B251,'Base de Datos'!$E$7:$AC$303,22,0)</f>
        <v>31613526</v>
      </c>
      <c r="P251" s="362" t="str">
        <f t="shared" ca="1" si="23"/>
        <v/>
      </c>
      <c r="Q251" s="375" t="e">
        <f t="shared" ca="1" si="27"/>
        <v>#VALUE!</v>
      </c>
      <c r="R251" s="298" t="str">
        <f>VLOOKUP(B251,'Base de Datos'!E251:AU562,33,0)</f>
        <v>Dirección Administrativa</v>
      </c>
      <c r="S251" s="301" t="e">
        <f t="shared" ca="1" si="24"/>
        <v>#REF!</v>
      </c>
      <c r="T251" s="298" t="str">
        <f t="shared" si="25"/>
        <v/>
      </c>
      <c r="U251" s="298" t="str">
        <f>VLOOKUP(B251,'Base de Datos'!$E$7:$AU$401,38,0)</f>
        <v>SI</v>
      </c>
    </row>
    <row r="252" spans="1:21" ht="23.25" customHeight="1" thickTop="1" thickBot="1" x14ac:dyDescent="0.35">
      <c r="A252" s="96">
        <v>246</v>
      </c>
      <c r="B252" s="298" t="str">
        <f>+'Base de Datos'!E252</f>
        <v>140334-0-2014</v>
      </c>
      <c r="C252" s="298" t="str">
        <f>+'Base de Datos'!F252</f>
        <v>EDITORIAL EL GLOBO S.A</v>
      </c>
      <c r="D252" s="299">
        <f>+'Base de Datos'!I252</f>
        <v>764100</v>
      </c>
      <c r="E252" s="300">
        <f>+'Base de Datos'!M252</f>
        <v>41970</v>
      </c>
      <c r="F252" s="300">
        <f>+'Base de Datos'!N252</f>
        <v>42335</v>
      </c>
      <c r="G252" s="300" t="e">
        <f>+'Base de Datos'!#REF!</f>
        <v>#REF!</v>
      </c>
      <c r="H252" s="299">
        <f>+'Base de Datos'!X252</f>
        <v>764100</v>
      </c>
      <c r="I252" s="301" t="e">
        <f>IF(VLOOKUP(B252,'Base de Datos'!$E$7:$T$303,11,0),"SI","NO")</f>
        <v>#VALUE!</v>
      </c>
      <c r="J252" s="302" t="e">
        <f t="shared" si="21"/>
        <v>#VALUE!</v>
      </c>
      <c r="K252" s="301" t="e">
        <f>IF(VLOOKUP(B252,'Base de Datos'!$E$7:$T$303,11,0),"SI","NO")</f>
        <v>#VALUE!</v>
      </c>
      <c r="L252" s="302" t="e">
        <f t="shared" si="22"/>
        <v>#VALUE!</v>
      </c>
      <c r="M252" s="302">
        <f>VLOOKUP(B252,'Base de Datos'!$E$7:$AC$303,21,0)</f>
        <v>764100</v>
      </c>
      <c r="N252" s="363" t="e">
        <f t="shared" ca="1" si="26"/>
        <v>#REF!</v>
      </c>
      <c r="O252" s="302">
        <f>VLOOKUP(B252,'Base de Datos'!$E$7:$AC$303,22,0)</f>
        <v>0</v>
      </c>
      <c r="P252" s="362" t="str">
        <f t="shared" ca="1" si="23"/>
        <v/>
      </c>
      <c r="Q252" s="375" t="e">
        <f t="shared" ca="1" si="27"/>
        <v>#VALUE!</v>
      </c>
      <c r="R252" s="298" t="str">
        <f>VLOOKUP(B252,'Base de Datos'!E252:AU563,33,0)</f>
        <v>Oficina Asesora de Comunicaciones</v>
      </c>
      <c r="S252" s="301" t="e">
        <f t="shared" ca="1" si="24"/>
        <v>#REF!</v>
      </c>
      <c r="T252" s="298" t="str">
        <f t="shared" si="25"/>
        <v/>
      </c>
      <c r="U252" s="298" t="str">
        <f>VLOOKUP(B252,'Base de Datos'!$E$7:$AU$401,38,0)</f>
        <v>SI</v>
      </c>
    </row>
    <row r="253" spans="1:21" ht="23.25" customHeight="1" thickTop="1" thickBot="1" x14ac:dyDescent="0.35">
      <c r="A253" s="96">
        <v>247</v>
      </c>
      <c r="B253" s="298" t="str">
        <f>+'Base de Datos'!E253</f>
        <v>140310-0-2014</v>
      </c>
      <c r="C253" s="298" t="str">
        <f>+'Base de Datos'!F253</f>
        <v>TECOLSOF SAS</v>
      </c>
      <c r="D253" s="299">
        <f>+'Base de Datos'!I253</f>
        <v>108570688</v>
      </c>
      <c r="E253" s="300">
        <f>+'Base de Datos'!M253</f>
        <v>41935</v>
      </c>
      <c r="F253" s="300">
        <f>+'Base de Datos'!N253</f>
        <v>42117</v>
      </c>
      <c r="G253" s="300" t="e">
        <f>+'Base de Datos'!#REF!</f>
        <v>#REF!</v>
      </c>
      <c r="H253" s="299">
        <f>+'Base de Datos'!X253</f>
        <v>162856033</v>
      </c>
      <c r="I253" s="301" t="e">
        <f>IF(VLOOKUP(B253,'Base de Datos'!$E$7:$T$303,11,0),"SI","NO")</f>
        <v>#VALUE!</v>
      </c>
      <c r="J253" s="302" t="e">
        <f t="shared" si="21"/>
        <v>#VALUE!</v>
      </c>
      <c r="K253" s="301" t="e">
        <f>IF(VLOOKUP(B253,'Base de Datos'!$E$7:$T$303,11,0),"SI","NO")</f>
        <v>#VALUE!</v>
      </c>
      <c r="L253" s="302" t="e">
        <f t="shared" si="22"/>
        <v>#VALUE!</v>
      </c>
      <c r="M253" s="302">
        <f>VLOOKUP(B253,'Base de Datos'!$E$7:$AC$303,21,0)</f>
        <v>155665571</v>
      </c>
      <c r="N253" s="363" t="e">
        <f t="shared" ca="1" si="26"/>
        <v>#REF!</v>
      </c>
      <c r="O253" s="302">
        <f>VLOOKUP(B253,'Base de Datos'!$E$7:$AC$303,22,0)</f>
        <v>7190462</v>
      </c>
      <c r="P253" s="362" t="str">
        <f t="shared" ca="1" si="23"/>
        <v/>
      </c>
      <c r="Q253" s="375" t="e">
        <f t="shared" ca="1" si="27"/>
        <v>#VALUE!</v>
      </c>
      <c r="R253" s="298" t="str">
        <f>VLOOKUP(B253,'Base de Datos'!E253:AU564,33,0)</f>
        <v>Dirección Administrativa</v>
      </c>
      <c r="S253" s="301" t="e">
        <f t="shared" ca="1" si="24"/>
        <v>#REF!</v>
      </c>
      <c r="T253" s="298" t="str">
        <f t="shared" si="25"/>
        <v/>
      </c>
      <c r="U253" s="298" t="str">
        <f>VLOOKUP(B253,'Base de Datos'!$E$7:$AU$401,38,0)</f>
        <v>SI</v>
      </c>
    </row>
    <row r="254" spans="1:21" ht="23.25" customHeight="1" thickTop="1" thickBot="1" x14ac:dyDescent="0.35">
      <c r="A254" s="96">
        <v>248</v>
      </c>
      <c r="B254" s="298" t="str">
        <f>+'Base de Datos'!E254</f>
        <v>140313-0-2014</v>
      </c>
      <c r="C254" s="298" t="str">
        <f>+'Base de Datos'!F254</f>
        <v>M@ICROTEL LTDA</v>
      </c>
      <c r="D254" s="299">
        <f>+'Base de Datos'!I254</f>
        <v>27235640</v>
      </c>
      <c r="E254" s="300">
        <f>+'Base de Datos'!M254</f>
        <v>41969</v>
      </c>
      <c r="F254" s="300">
        <f>+'Base de Datos'!N254</f>
        <v>42334</v>
      </c>
      <c r="G254" s="300" t="e">
        <f>+'Base de Datos'!#REF!</f>
        <v>#REF!</v>
      </c>
      <c r="H254" s="299">
        <f>+'Base de Datos'!X254</f>
        <v>27235640</v>
      </c>
      <c r="I254" s="301" t="e">
        <f>IF(VLOOKUP(B254,'Base de Datos'!$E$7:$T$303,11,0),"SI","NO")</f>
        <v>#VALUE!</v>
      </c>
      <c r="J254" s="302" t="e">
        <f t="shared" si="21"/>
        <v>#VALUE!</v>
      </c>
      <c r="K254" s="301" t="e">
        <f>IF(VLOOKUP(B254,'Base de Datos'!$E$7:$T$303,11,0),"SI","NO")</f>
        <v>#VALUE!</v>
      </c>
      <c r="L254" s="302" t="e">
        <f t="shared" si="22"/>
        <v>#VALUE!</v>
      </c>
      <c r="M254" s="302">
        <f>VLOOKUP(B254,'Base de Datos'!$E$7:$AC$303,21,0)</f>
        <v>27235640</v>
      </c>
      <c r="N254" s="363" t="e">
        <f t="shared" ca="1" si="26"/>
        <v>#REF!</v>
      </c>
      <c r="O254" s="302">
        <f>VLOOKUP(B254,'Base de Datos'!$E$7:$AC$303,22,0)</f>
        <v>0</v>
      </c>
      <c r="P254" s="362" t="str">
        <f t="shared" ca="1" si="23"/>
        <v/>
      </c>
      <c r="Q254" s="375" t="e">
        <f t="shared" ca="1" si="27"/>
        <v>#VALUE!</v>
      </c>
      <c r="R254" s="298" t="str">
        <f>VLOOKUP(B254,'Base de Datos'!E254:AU565,33,0)</f>
        <v>Dirección Administrativa</v>
      </c>
      <c r="S254" s="301" t="e">
        <f t="shared" ca="1" si="24"/>
        <v>#REF!</v>
      </c>
      <c r="T254" s="298" t="str">
        <f t="shared" si="25"/>
        <v/>
      </c>
      <c r="U254" s="298" t="str">
        <f>VLOOKUP(B254,'Base de Datos'!$E$7:$AU$401,38,0)</f>
        <v>SI</v>
      </c>
    </row>
    <row r="255" spans="1:21" ht="23.25" customHeight="1" thickTop="1" thickBot="1" x14ac:dyDescent="0.35">
      <c r="A255" s="96">
        <v>249</v>
      </c>
      <c r="B255" s="298" t="str">
        <f>+'Base de Datos'!E255</f>
        <v>140332-0-2014</v>
      </c>
      <c r="C255" s="298" t="str">
        <f>+'Base de Datos'!F255</f>
        <v>CARLOS ALBERTO CASTELLANOS MEDINA</v>
      </c>
      <c r="D255" s="299">
        <f>+'Base de Datos'!I255</f>
        <v>39999999</v>
      </c>
      <c r="E255" s="300">
        <f>+'Base de Datos'!M255</f>
        <v>41957</v>
      </c>
      <c r="F255" s="300">
        <f>+'Base de Datos'!N255</f>
        <v>42504</v>
      </c>
      <c r="G255" s="300" t="e">
        <f>+'Base de Datos'!#REF!</f>
        <v>#REF!</v>
      </c>
      <c r="H255" s="299">
        <f>+'Base de Datos'!X255</f>
        <v>39999999</v>
      </c>
      <c r="I255" s="301" t="e">
        <f>IF(VLOOKUP(B255,'Base de Datos'!$E$7:$T$303,11,0),"SI","NO")</f>
        <v>#VALUE!</v>
      </c>
      <c r="J255" s="302" t="e">
        <f t="shared" si="21"/>
        <v>#VALUE!</v>
      </c>
      <c r="K255" s="301" t="e">
        <f>IF(VLOOKUP(B255,'Base de Datos'!$E$7:$T$303,11,0),"SI","NO")</f>
        <v>#VALUE!</v>
      </c>
      <c r="L255" s="302" t="e">
        <f t="shared" si="22"/>
        <v>#VALUE!</v>
      </c>
      <c r="M255" s="302">
        <f>VLOOKUP(B255,'Base de Datos'!$E$7:$AC$303,21,0)</f>
        <v>39999998</v>
      </c>
      <c r="N255" s="363" t="e">
        <f t="shared" ca="1" si="26"/>
        <v>#REF!</v>
      </c>
      <c r="O255" s="302">
        <f>VLOOKUP(B255,'Base de Datos'!$E$7:$AC$303,22,0)</f>
        <v>1</v>
      </c>
      <c r="P255" s="362" t="str">
        <f t="shared" ca="1" si="23"/>
        <v/>
      </c>
      <c r="Q255" s="375" t="e">
        <f t="shared" ca="1" si="27"/>
        <v>#VALUE!</v>
      </c>
      <c r="R255" s="298" t="str">
        <f>VLOOKUP(B255,'Base de Datos'!E255:AU566,33,0)</f>
        <v>Dirección Administrativa</v>
      </c>
      <c r="S255" s="301" t="e">
        <f t="shared" ca="1" si="24"/>
        <v>#REF!</v>
      </c>
      <c r="T255" s="298" t="str">
        <f t="shared" si="25"/>
        <v>Liquidar</v>
      </c>
      <c r="U255" s="298" t="str">
        <f>VLOOKUP(B255,'Base de Datos'!$E$7:$AU$401,38,0)</f>
        <v>SI</v>
      </c>
    </row>
    <row r="256" spans="1:21" ht="23.25" customHeight="1" thickTop="1" thickBot="1" x14ac:dyDescent="0.35">
      <c r="A256" s="96">
        <v>250</v>
      </c>
      <c r="B256" s="298" t="str">
        <f>+'Base de Datos'!E256</f>
        <v>140345-0-2014</v>
      </c>
      <c r="C256" s="298" t="str">
        <f>+'Base de Datos'!F256</f>
        <v>JOHN KENNEDY LEON CASTIBLANCO</v>
      </c>
      <c r="D256" s="299">
        <f>+'Base de Datos'!I256</f>
        <v>17664500</v>
      </c>
      <c r="E256" s="300">
        <f>+'Base de Datos'!M256</f>
        <v>41956</v>
      </c>
      <c r="F256" s="300">
        <f>+'Base de Datos'!N256</f>
        <v>42063</v>
      </c>
      <c r="G256" s="300" t="e">
        <f>+'Base de Datos'!#REF!</f>
        <v>#REF!</v>
      </c>
      <c r="H256" s="299">
        <f>+'Base de Datos'!X256</f>
        <v>17664500</v>
      </c>
      <c r="I256" s="301" t="e">
        <f>IF(VLOOKUP(B256,'Base de Datos'!$E$7:$T$303,11,0),"SI","NO")</f>
        <v>#VALUE!</v>
      </c>
      <c r="J256" s="302" t="e">
        <f t="shared" si="21"/>
        <v>#VALUE!</v>
      </c>
      <c r="K256" s="301" t="e">
        <f>IF(VLOOKUP(B256,'Base de Datos'!$E$7:$T$303,11,0),"SI","NO")</f>
        <v>#VALUE!</v>
      </c>
      <c r="L256" s="302" t="e">
        <f t="shared" si="22"/>
        <v>#VALUE!</v>
      </c>
      <c r="M256" s="302">
        <f>VLOOKUP(B256,'Base de Datos'!$E$7:$AC$303,21,0)</f>
        <v>17664500</v>
      </c>
      <c r="N256" s="363" t="e">
        <f t="shared" ca="1" si="26"/>
        <v>#REF!</v>
      </c>
      <c r="O256" s="302">
        <f>VLOOKUP(B256,'Base de Datos'!$E$7:$AC$303,22,0)</f>
        <v>0</v>
      </c>
      <c r="P256" s="362" t="str">
        <f t="shared" ca="1" si="23"/>
        <v/>
      </c>
      <c r="Q256" s="375" t="e">
        <f t="shared" ca="1" si="27"/>
        <v>#VALUE!</v>
      </c>
      <c r="R256" s="298" t="str">
        <f>VLOOKUP(B256,'Base de Datos'!E256:AU567,33,0)</f>
        <v>Dirección Financiera</v>
      </c>
      <c r="S256" s="301" t="e">
        <f t="shared" ca="1" si="24"/>
        <v>#REF!</v>
      </c>
      <c r="T256" s="298" t="str">
        <f t="shared" si="25"/>
        <v/>
      </c>
      <c r="U256" s="298" t="str">
        <f>VLOOKUP(B256,'Base de Datos'!$E$7:$AU$401,38,0)</f>
        <v>NO</v>
      </c>
    </row>
    <row r="257" spans="1:21" ht="23.25" customHeight="1" thickTop="1" thickBot="1" x14ac:dyDescent="0.35">
      <c r="A257" s="96">
        <v>251</v>
      </c>
      <c r="B257" s="298" t="str">
        <f>+'Base de Datos'!E257</f>
        <v>140356-0-2014</v>
      </c>
      <c r="C257" s="298" t="str">
        <f>+'Base de Datos'!F257</f>
        <v>S.O.S. SOLUCIONES DE OFICINA &amp; SUMINISTROS S.A.S.</v>
      </c>
      <c r="D257" s="299">
        <f>+'Base de Datos'!I257</f>
        <v>4750000</v>
      </c>
      <c r="E257" s="300">
        <f>+'Base de Datos'!M257</f>
        <v>41968</v>
      </c>
      <c r="F257" s="300">
        <f>+'Base de Datos'!N257</f>
        <v>42060</v>
      </c>
      <c r="G257" s="300" t="e">
        <f>+'Base de Datos'!#REF!</f>
        <v>#REF!</v>
      </c>
      <c r="H257" s="299">
        <f>+'Base de Datos'!X257</f>
        <v>4750000</v>
      </c>
      <c r="I257" s="301" t="e">
        <f>IF(VLOOKUP(B257,'Base de Datos'!$E$7:$T$303,11,0),"SI","NO")</f>
        <v>#VALUE!</v>
      </c>
      <c r="J257" s="302" t="e">
        <f t="shared" si="21"/>
        <v>#VALUE!</v>
      </c>
      <c r="K257" s="301" t="e">
        <f>IF(VLOOKUP(B257,'Base de Datos'!$E$7:$T$303,11,0),"SI","NO")</f>
        <v>#VALUE!</v>
      </c>
      <c r="L257" s="302" t="e">
        <f t="shared" si="22"/>
        <v>#VALUE!</v>
      </c>
      <c r="M257" s="302">
        <f>VLOOKUP(B257,'Base de Datos'!$E$7:$AC$303,21,0)</f>
        <v>3978684</v>
      </c>
      <c r="N257" s="363" t="e">
        <f t="shared" ca="1" si="26"/>
        <v>#REF!</v>
      </c>
      <c r="O257" s="302">
        <f>VLOOKUP(B257,'Base de Datos'!$E$7:$AC$303,22,0)</f>
        <v>771316</v>
      </c>
      <c r="P257" s="362" t="str">
        <f t="shared" ca="1" si="23"/>
        <v/>
      </c>
      <c r="Q257" s="375" t="e">
        <f t="shared" ca="1" si="27"/>
        <v>#VALUE!</v>
      </c>
      <c r="R257" s="298" t="str">
        <f>VLOOKUP(B257,'Base de Datos'!E257:AU568,33,0)</f>
        <v>Dirección Administrativa</v>
      </c>
      <c r="S257" s="301" t="e">
        <f t="shared" ca="1" si="24"/>
        <v>#REF!</v>
      </c>
      <c r="T257" s="298" t="str">
        <f t="shared" si="25"/>
        <v/>
      </c>
      <c r="U257" s="298" t="str">
        <f>VLOOKUP(B257,'Base de Datos'!$E$7:$AU$401,38,0)</f>
        <v>SI</v>
      </c>
    </row>
    <row r="258" spans="1:21" ht="23.25" customHeight="1" thickTop="1" thickBot="1" x14ac:dyDescent="0.35">
      <c r="A258" s="96">
        <v>252</v>
      </c>
      <c r="B258" s="298" t="str">
        <f>+'Base de Datos'!E258</f>
        <v>140351-0-2014</v>
      </c>
      <c r="C258" s="298" t="str">
        <f>+'Base de Datos'!F258</f>
        <v>J.A. ZABALA &amp; CONSULTORES ASOCIADOS LTDA.</v>
      </c>
      <c r="D258" s="299">
        <f>+'Base de Datos'!I258</f>
        <v>506601000</v>
      </c>
      <c r="E258" s="300">
        <f>+'Base de Datos'!M258</f>
        <v>41963</v>
      </c>
      <c r="F258" s="300">
        <f>+'Base de Datos'!N258</f>
        <v>42205</v>
      </c>
      <c r="G258" s="300" t="e">
        <f>+'Base de Datos'!#REF!</f>
        <v>#REF!</v>
      </c>
      <c r="H258" s="299">
        <f>+'Base de Datos'!X258</f>
        <v>668707669</v>
      </c>
      <c r="I258" s="301" t="e">
        <f>IF(VLOOKUP(B258,'Base de Datos'!$E$7:$T$303,11,0),"SI","NO")</f>
        <v>#VALUE!</v>
      </c>
      <c r="J258" s="302" t="e">
        <f t="shared" si="21"/>
        <v>#VALUE!</v>
      </c>
      <c r="K258" s="301" t="e">
        <f>IF(VLOOKUP(B258,'Base de Datos'!$E$7:$T$303,11,0),"SI","NO")</f>
        <v>#VALUE!</v>
      </c>
      <c r="L258" s="302" t="e">
        <f t="shared" si="22"/>
        <v>#VALUE!</v>
      </c>
      <c r="M258" s="302">
        <f>VLOOKUP(B258,'Base de Datos'!$E$7:$AC$303,21,0)</f>
        <v>665337830</v>
      </c>
      <c r="N258" s="363" t="e">
        <f t="shared" ca="1" si="26"/>
        <v>#REF!</v>
      </c>
      <c r="O258" s="302">
        <f>VLOOKUP(B258,'Base de Datos'!$E$7:$AC$303,22,0)</f>
        <v>3369839</v>
      </c>
      <c r="P258" s="362" t="str">
        <f t="shared" ca="1" si="23"/>
        <v/>
      </c>
      <c r="Q258" s="375" t="e">
        <f t="shared" ca="1" si="27"/>
        <v>#VALUE!</v>
      </c>
      <c r="R258" s="298" t="str">
        <f>VLOOKUP(B258,'Base de Datos'!E258:AU569,33,0)</f>
        <v>Dirección Administrativa</v>
      </c>
      <c r="S258" s="301" t="e">
        <f t="shared" ca="1" si="24"/>
        <v>#REF!</v>
      </c>
      <c r="T258" s="298" t="str">
        <f t="shared" si="25"/>
        <v/>
      </c>
      <c r="U258" s="298" t="str">
        <f>VLOOKUP(B258,'Base de Datos'!$E$7:$AU$401,38,0)</f>
        <v>SI</v>
      </c>
    </row>
    <row r="259" spans="1:21" ht="23.25" customHeight="1" thickTop="1" thickBot="1" x14ac:dyDescent="0.35">
      <c r="A259" s="96">
        <v>253</v>
      </c>
      <c r="B259" s="298" t="str">
        <f>+'Base de Datos'!E259</f>
        <v>140367-0-2014</v>
      </c>
      <c r="C259" s="298" t="str">
        <f>+'Base de Datos'!F259</f>
        <v>CENTRO DE RECURSOS EDUCATIVOS PARA LA COMPETITIVIDAD EMPRESARIAL LTDA - CRECE</v>
      </c>
      <c r="D259" s="299">
        <f>+'Base de Datos'!I259</f>
        <v>401058400</v>
      </c>
      <c r="E259" s="300">
        <f>+'Base de Datos'!M259</f>
        <v>42031</v>
      </c>
      <c r="F259" s="300">
        <f>+'Base de Datos'!N259</f>
        <v>42274</v>
      </c>
      <c r="G259" s="300" t="e">
        <f>+'Base de Datos'!#REF!</f>
        <v>#REF!</v>
      </c>
      <c r="H259" s="299">
        <f>+'Base de Datos'!X259</f>
        <v>401058400</v>
      </c>
      <c r="I259" s="301" t="e">
        <f>IF(VLOOKUP(B259,'Base de Datos'!$E$7:$T$303,11,0),"SI","NO")</f>
        <v>#VALUE!</v>
      </c>
      <c r="J259" s="302" t="e">
        <f t="shared" si="21"/>
        <v>#VALUE!</v>
      </c>
      <c r="K259" s="301" t="e">
        <f>IF(VLOOKUP(B259,'Base de Datos'!$E$7:$T$303,11,0),"SI","NO")</f>
        <v>#VALUE!</v>
      </c>
      <c r="L259" s="302" t="e">
        <f t="shared" si="22"/>
        <v>#VALUE!</v>
      </c>
      <c r="M259" s="302">
        <f>VLOOKUP(B259,'Base de Datos'!$E$7:$AC$303,21,0)</f>
        <v>401058400</v>
      </c>
      <c r="N259" s="363" t="e">
        <f t="shared" ca="1" si="26"/>
        <v>#REF!</v>
      </c>
      <c r="O259" s="302">
        <f>VLOOKUP(B259,'Base de Datos'!$E$7:$AC$303,22,0)</f>
        <v>0</v>
      </c>
      <c r="P259" s="362" t="str">
        <f t="shared" ca="1" si="23"/>
        <v/>
      </c>
      <c r="Q259" s="375" t="e">
        <f t="shared" ca="1" si="27"/>
        <v>#VALUE!</v>
      </c>
      <c r="R259" s="298" t="str">
        <f>VLOOKUP(B259,'Base de Datos'!E259:AU570,33,0)</f>
        <v>Dirección Administrativa</v>
      </c>
      <c r="S259" s="301" t="e">
        <f t="shared" ca="1" si="24"/>
        <v>#REF!</v>
      </c>
      <c r="T259" s="298" t="str">
        <f t="shared" si="25"/>
        <v/>
      </c>
      <c r="U259" s="298" t="str">
        <f>VLOOKUP(B259,'Base de Datos'!$E$7:$AU$401,38,0)</f>
        <v>SI</v>
      </c>
    </row>
    <row r="260" spans="1:21" ht="23.25" customHeight="1" thickTop="1" thickBot="1" x14ac:dyDescent="0.35">
      <c r="A260" s="96">
        <v>254</v>
      </c>
      <c r="B260" s="298" t="str">
        <f>+'Base de Datos'!E260</f>
        <v>140358-0-2014</v>
      </c>
      <c r="C260" s="298" t="str">
        <f>+'Base de Datos'!F260</f>
        <v>ORGANIZACIÓN TERPEL S.A.</v>
      </c>
      <c r="D260" s="299">
        <f>+'Base de Datos'!I260</f>
        <v>171253333</v>
      </c>
      <c r="E260" s="300">
        <f>+'Base de Datos'!M260</f>
        <v>41961</v>
      </c>
      <c r="F260" s="300">
        <f>+'Base de Datos'!N260</f>
        <v>42063</v>
      </c>
      <c r="G260" s="300" t="e">
        <f>+'Base de Datos'!#REF!</f>
        <v>#REF!</v>
      </c>
      <c r="H260" s="299">
        <f>+'Base de Datos'!X260</f>
        <v>171253333</v>
      </c>
      <c r="I260" s="301" t="e">
        <f>IF(VLOOKUP(B260,'Base de Datos'!$E$7:$T$303,11,0),"SI","NO")</f>
        <v>#VALUE!</v>
      </c>
      <c r="J260" s="302" t="e">
        <f t="shared" si="21"/>
        <v>#VALUE!</v>
      </c>
      <c r="K260" s="301" t="e">
        <f>IF(VLOOKUP(B260,'Base de Datos'!$E$7:$T$303,11,0),"SI","NO")</f>
        <v>#VALUE!</v>
      </c>
      <c r="L260" s="302" t="e">
        <f t="shared" si="22"/>
        <v>#VALUE!</v>
      </c>
      <c r="M260" s="302">
        <f>VLOOKUP(B260,'Base de Datos'!$E$7:$AC$303,21,0)</f>
        <v>123537109</v>
      </c>
      <c r="N260" s="363" t="e">
        <f t="shared" ca="1" si="26"/>
        <v>#REF!</v>
      </c>
      <c r="O260" s="302">
        <f>VLOOKUP(B260,'Base de Datos'!$E$7:$AC$303,22,0)</f>
        <v>47716224</v>
      </c>
      <c r="P260" s="362" t="str">
        <f t="shared" ca="1" si="23"/>
        <v/>
      </c>
      <c r="Q260" s="375" t="e">
        <f t="shared" ca="1" si="27"/>
        <v>#VALUE!</v>
      </c>
      <c r="R260" s="298" t="str">
        <f>VLOOKUP(B260,'Base de Datos'!E260:AU571,33,0)</f>
        <v>Dirección Administrativa</v>
      </c>
      <c r="S260" s="301" t="e">
        <f t="shared" ca="1" si="24"/>
        <v>#REF!</v>
      </c>
      <c r="T260" s="298" t="str">
        <f t="shared" si="25"/>
        <v/>
      </c>
      <c r="U260" s="298">
        <f>VLOOKUP(B260,'Base de Datos'!$E$7:$AU$401,38,0)</f>
        <v>0</v>
      </c>
    </row>
    <row r="261" spans="1:21" ht="23.25" customHeight="1" thickTop="1" thickBot="1" x14ac:dyDescent="0.35">
      <c r="A261" s="96">
        <v>255</v>
      </c>
      <c r="B261" s="298" t="str">
        <f>+'Base de Datos'!E261</f>
        <v>140370-0-2014</v>
      </c>
      <c r="C261" s="298" t="str">
        <f>+'Base de Datos'!F261</f>
        <v>RIGOBERTO GÓMEZ JAIMES</v>
      </c>
      <c r="D261" s="299">
        <f>+'Base de Datos'!I261</f>
        <v>12700000</v>
      </c>
      <c r="E261" s="300">
        <f>+'Base de Datos'!M261</f>
        <v>41982</v>
      </c>
      <c r="F261" s="300">
        <f>+'Base de Datos'!N261</f>
        <v>42044</v>
      </c>
      <c r="G261" s="300" t="e">
        <f>+'Base de Datos'!#REF!</f>
        <v>#REF!</v>
      </c>
      <c r="H261" s="299">
        <f>+'Base de Datos'!X261</f>
        <v>12700000</v>
      </c>
      <c r="I261" s="301" t="e">
        <f>IF(VLOOKUP(B261,'Base de Datos'!$E$7:$T$303,11,0),"SI","NO")</f>
        <v>#VALUE!</v>
      </c>
      <c r="J261" s="302" t="e">
        <f t="shared" si="21"/>
        <v>#VALUE!</v>
      </c>
      <c r="K261" s="301" t="e">
        <f>IF(VLOOKUP(B261,'Base de Datos'!$E$7:$T$303,11,0),"SI","NO")</f>
        <v>#VALUE!</v>
      </c>
      <c r="L261" s="302" t="e">
        <f t="shared" si="22"/>
        <v>#VALUE!</v>
      </c>
      <c r="M261" s="302">
        <f>VLOOKUP(B261,'Base de Datos'!$E$7:$AC$303,21,0)</f>
        <v>12458400</v>
      </c>
      <c r="N261" s="363" t="e">
        <f t="shared" ca="1" si="26"/>
        <v>#REF!</v>
      </c>
      <c r="O261" s="302">
        <f>VLOOKUP(B261,'Base de Datos'!$E$7:$AC$303,22,0)</f>
        <v>241600</v>
      </c>
      <c r="P261" s="362" t="str">
        <f t="shared" ca="1" si="23"/>
        <v/>
      </c>
      <c r="Q261" s="375" t="e">
        <f t="shared" ca="1" si="27"/>
        <v>#VALUE!</v>
      </c>
      <c r="R261" s="298" t="str">
        <f>VLOOKUP(B261,'Base de Datos'!E261:AU572,33,0)</f>
        <v>Dirección Administrativa</v>
      </c>
      <c r="S261" s="301" t="e">
        <f t="shared" ca="1" si="24"/>
        <v>#REF!</v>
      </c>
      <c r="T261" s="298" t="str">
        <f t="shared" si="25"/>
        <v/>
      </c>
      <c r="U261" s="298" t="str">
        <f>VLOOKUP(B261,'Base de Datos'!$E$7:$AU$401,38,0)</f>
        <v>SI</v>
      </c>
    </row>
    <row r="262" spans="1:21" ht="23.25" customHeight="1" thickTop="1" thickBot="1" x14ac:dyDescent="0.35">
      <c r="A262" s="96">
        <v>256</v>
      </c>
      <c r="B262" s="298" t="str">
        <f>+'Base de Datos'!E262</f>
        <v>140372-0-2014</v>
      </c>
      <c r="C262" s="298" t="str">
        <f>+'Base de Datos'!F262</f>
        <v>CAJA COLOMBIANA DE SUBSIDIO FAMILIAR – COLSUBSIDIO</v>
      </c>
      <c r="D262" s="299">
        <f>+'Base de Datos'!I262</f>
        <v>39424000</v>
      </c>
      <c r="E262" s="300">
        <f>+'Base de Datos'!M262</f>
        <v>41982</v>
      </c>
      <c r="F262" s="300">
        <f>+'Base de Datos'!N262</f>
        <v>42013</v>
      </c>
      <c r="G262" s="300" t="e">
        <f>+'Base de Datos'!#REF!</f>
        <v>#REF!</v>
      </c>
      <c r="H262" s="299">
        <f>+'Base de Datos'!X262</f>
        <v>39424000</v>
      </c>
      <c r="I262" s="301" t="e">
        <f>IF(VLOOKUP(B262,'Base de Datos'!$E$7:$T$303,11,0),"SI","NO")</f>
        <v>#VALUE!</v>
      </c>
      <c r="J262" s="302" t="e">
        <f t="shared" si="21"/>
        <v>#VALUE!</v>
      </c>
      <c r="K262" s="301" t="e">
        <f>IF(VLOOKUP(B262,'Base de Datos'!$E$7:$T$303,11,0),"SI","NO")</f>
        <v>#VALUE!</v>
      </c>
      <c r="L262" s="302" t="e">
        <f t="shared" si="22"/>
        <v>#VALUE!</v>
      </c>
      <c r="M262" s="302">
        <f>VLOOKUP(B262,'Base de Datos'!$E$7:$AC$303,21,0)</f>
        <v>39424000</v>
      </c>
      <c r="N262" s="363" t="e">
        <f t="shared" ca="1" si="26"/>
        <v>#REF!</v>
      </c>
      <c r="O262" s="302">
        <f>VLOOKUP(B262,'Base de Datos'!$E$7:$AC$303,22,0)</f>
        <v>0</v>
      </c>
      <c r="P262" s="362" t="str">
        <f t="shared" ca="1" si="23"/>
        <v/>
      </c>
      <c r="Q262" s="375" t="e">
        <f t="shared" ca="1" si="27"/>
        <v>#VALUE!</v>
      </c>
      <c r="R262" s="298" t="str">
        <f>VLOOKUP(B262,'Base de Datos'!E262:AU573,33,0)</f>
        <v>Dirección Administrativa</v>
      </c>
      <c r="S262" s="301" t="e">
        <f t="shared" ca="1" si="24"/>
        <v>#REF!</v>
      </c>
      <c r="T262" s="298" t="str">
        <f t="shared" si="25"/>
        <v/>
      </c>
      <c r="U262" s="298" t="str">
        <f>VLOOKUP(B262,'Base de Datos'!$E$7:$AU$401,38,0)</f>
        <v>NO</v>
      </c>
    </row>
    <row r="263" spans="1:21" ht="23.25" customHeight="1" thickTop="1" thickBot="1" x14ac:dyDescent="0.35">
      <c r="A263" s="96">
        <v>257</v>
      </c>
      <c r="B263" s="298" t="str">
        <f>+'Base de Datos'!E263</f>
        <v>140377-0-2014</v>
      </c>
      <c r="C263" s="298" t="str">
        <f>+'Base de Datos'!F263</f>
        <v>GAMMA INGENIEROS S A</v>
      </c>
      <c r="D263" s="299">
        <f>+'Base de Datos'!I263</f>
        <v>187940000</v>
      </c>
      <c r="E263" s="300">
        <f>+'Base de Datos'!M263</f>
        <v>42023</v>
      </c>
      <c r="F263" s="300">
        <f>+'Base de Datos'!N263</f>
        <v>42102</v>
      </c>
      <c r="G263" s="300" t="e">
        <f>+'Base de Datos'!#REF!</f>
        <v>#REF!</v>
      </c>
      <c r="H263" s="299">
        <f>+'Base de Datos'!X263</f>
        <v>187940000</v>
      </c>
      <c r="I263" s="301" t="e">
        <f>IF(VLOOKUP(B263,'Base de Datos'!$E$7:$T$303,11,0),"SI","NO")</f>
        <v>#VALUE!</v>
      </c>
      <c r="J263" s="302" t="e">
        <f t="shared" ref="J263:J311" si="28">IF(I263=$AB$7,((G263-F263)*100%)/(F263-E263),"")</f>
        <v>#VALUE!</v>
      </c>
      <c r="K263" s="301" t="e">
        <f>IF(VLOOKUP(B263,'Base de Datos'!$E$7:$T$303,11,0),"SI","NO")</f>
        <v>#VALUE!</v>
      </c>
      <c r="L263" s="302" t="e">
        <f t="shared" ref="L263:L311" si="29">IF(K263=$AB$7,((H263-D263)*100%)/(D263),"")</f>
        <v>#VALUE!</v>
      </c>
      <c r="M263" s="302">
        <f>VLOOKUP(B263,'Base de Datos'!$E$7:$AC$303,21,0)</f>
        <v>187940000</v>
      </c>
      <c r="N263" s="363" t="e">
        <f t="shared" ca="1" si="26"/>
        <v>#REF!</v>
      </c>
      <c r="O263" s="302">
        <f>VLOOKUP(B263,'Base de Datos'!$E$7:$AC$303,22,0)</f>
        <v>0</v>
      </c>
      <c r="P263" s="362" t="str">
        <f t="shared" ref="P263:P311" ca="1" si="30">IF(R263=$AC$7,"",IFERROR(IF(R263=$AC$8,"",($C$5-G263)),""))</f>
        <v/>
      </c>
      <c r="Q263" s="375" t="e">
        <f t="shared" ca="1" si="27"/>
        <v>#VALUE!</v>
      </c>
      <c r="R263" s="298" t="str">
        <f>VLOOKUP(B263,'Base de Datos'!E263:AU574,33,0)</f>
        <v>Dirección Administrativa</v>
      </c>
      <c r="S263" s="301" t="e">
        <f t="shared" ref="S263:S311" ca="1" si="31">IF((TODAY()-G263&lt;900),"SI","NO")</f>
        <v>#REF!</v>
      </c>
      <c r="T263" s="298" t="str">
        <f t="shared" ref="T263:T311" si="32">IF(R263=$AC$8,"",IF(O263=100%,"Liquidar",IF(R263=$AC$7,"Supervisar","")))</f>
        <v/>
      </c>
      <c r="U263" s="298" t="str">
        <f>VLOOKUP(B263,'Base de Datos'!$E$7:$AU$401,38,0)</f>
        <v>SI</v>
      </c>
    </row>
    <row r="264" spans="1:21" ht="23.25" customHeight="1" thickTop="1" thickBot="1" x14ac:dyDescent="0.35">
      <c r="A264" s="96">
        <v>258</v>
      </c>
      <c r="B264" s="298" t="str">
        <f>+'Base de Datos'!E264</f>
        <v>140382-0-2014</v>
      </c>
      <c r="C264" s="298" t="str">
        <f>+'Base de Datos'!F264</f>
        <v>VIGILANCIA ACOSTA LIMITADA</v>
      </c>
      <c r="D264" s="299">
        <f>+'Base de Datos'!I264</f>
        <v>300000000</v>
      </c>
      <c r="E264" s="300">
        <f>+'Base de Datos'!M264</f>
        <v>41989</v>
      </c>
      <c r="F264" s="300">
        <f>+'Base de Datos'!N264</f>
        <v>42140</v>
      </c>
      <c r="G264" s="300" t="e">
        <f>+'Base de Datos'!#REF!</f>
        <v>#REF!</v>
      </c>
      <c r="H264" s="299">
        <f>+'Base de Datos'!X264</f>
        <v>300000000</v>
      </c>
      <c r="I264" s="301" t="e">
        <f>IF(VLOOKUP(B264,'Base de Datos'!$E$7:$T$303,11,0),"SI","NO")</f>
        <v>#VALUE!</v>
      </c>
      <c r="J264" s="302" t="e">
        <f t="shared" si="28"/>
        <v>#VALUE!</v>
      </c>
      <c r="K264" s="301" t="e">
        <f>IF(VLOOKUP(B264,'Base de Datos'!$E$7:$T$303,11,0),"SI","NO")</f>
        <v>#VALUE!</v>
      </c>
      <c r="L264" s="302" t="e">
        <f t="shared" si="29"/>
        <v>#VALUE!</v>
      </c>
      <c r="M264" s="302">
        <f>VLOOKUP(B264,'Base de Datos'!$E$7:$AC$303,21,0)</f>
        <v>238626484</v>
      </c>
      <c r="N264" s="363" t="e">
        <f t="shared" ref="N264:N311" ca="1" si="33">IF(G264&lt;TODAY(),"",G264-TODAY())</f>
        <v>#REF!</v>
      </c>
      <c r="O264" s="302">
        <f>VLOOKUP(B264,'Base de Datos'!$E$7:$AC$303,22,0)</f>
        <v>61373516</v>
      </c>
      <c r="P264" s="362" t="str">
        <f t="shared" ca="1" si="30"/>
        <v/>
      </c>
      <c r="Q264" s="375" t="e">
        <f t="shared" ref="Q264:Q311" ca="1" si="34">IF(P264=0,"",(P264*100%)/120)</f>
        <v>#VALUE!</v>
      </c>
      <c r="R264" s="298" t="str">
        <f>VLOOKUP(B264,'Base de Datos'!E264:AU575,33,0)</f>
        <v>Dirección Administrativa</v>
      </c>
      <c r="S264" s="301" t="e">
        <f t="shared" ca="1" si="31"/>
        <v>#REF!</v>
      </c>
      <c r="T264" s="298" t="str">
        <f t="shared" si="32"/>
        <v/>
      </c>
      <c r="U264" s="298" t="str">
        <f>VLOOKUP(B264,'Base de Datos'!$E$7:$AU$401,38,0)</f>
        <v>SI</v>
      </c>
    </row>
    <row r="265" spans="1:21" ht="23.25" customHeight="1" thickTop="1" thickBot="1" x14ac:dyDescent="0.35">
      <c r="A265" s="96">
        <v>259</v>
      </c>
      <c r="B265" s="298" t="str">
        <f>+'Base de Datos'!E265</f>
        <v>140385-0-2014</v>
      </c>
      <c r="C265" s="298" t="str">
        <f>+'Base de Datos'!F265</f>
        <v>S.O.S. SOLUCIONES DE OFICINA &amp; SUMINISTROS S.A.S.</v>
      </c>
      <c r="D265" s="299">
        <f>+'Base de Datos'!I265</f>
        <v>29997466</v>
      </c>
      <c r="E265" s="300">
        <f>+'Base de Datos'!M265</f>
        <v>41988</v>
      </c>
      <c r="F265" s="300">
        <f>+'Base de Datos'!N265</f>
        <v>42109</v>
      </c>
      <c r="G265" s="300" t="e">
        <f>+'Base de Datos'!#REF!</f>
        <v>#REF!</v>
      </c>
      <c r="H265" s="299">
        <f>+'Base de Datos'!X265</f>
        <v>29997466</v>
      </c>
      <c r="I265" s="301" t="e">
        <f>IF(VLOOKUP(B265,'Base de Datos'!$E$7:$T$303,11,0),"SI","NO")</f>
        <v>#VALUE!</v>
      </c>
      <c r="J265" s="302" t="e">
        <f t="shared" si="28"/>
        <v>#VALUE!</v>
      </c>
      <c r="K265" s="301" t="e">
        <f>IF(VLOOKUP(B265,'Base de Datos'!$E$7:$T$303,11,0),"SI","NO")</f>
        <v>#VALUE!</v>
      </c>
      <c r="L265" s="302" t="e">
        <f t="shared" si="29"/>
        <v>#VALUE!</v>
      </c>
      <c r="M265" s="302">
        <f>VLOOKUP(B265,'Base de Datos'!$E$7:$AC$303,21,0)</f>
        <v>29997466</v>
      </c>
      <c r="N265" s="363" t="e">
        <f t="shared" ca="1" si="33"/>
        <v>#REF!</v>
      </c>
      <c r="O265" s="302">
        <f>VLOOKUP(B265,'Base de Datos'!$E$7:$AC$303,22,0)</f>
        <v>0</v>
      </c>
      <c r="P265" s="362" t="str">
        <f t="shared" ca="1" si="30"/>
        <v/>
      </c>
      <c r="Q265" s="375" t="e">
        <f t="shared" ca="1" si="34"/>
        <v>#VALUE!</v>
      </c>
      <c r="R265" s="298" t="str">
        <f>VLOOKUP(B265,'Base de Datos'!E265:AU576,33,0)</f>
        <v>Dirección Administrativa</v>
      </c>
      <c r="S265" s="301" t="e">
        <f t="shared" ca="1" si="31"/>
        <v>#REF!</v>
      </c>
      <c r="T265" s="298" t="str">
        <f t="shared" si="32"/>
        <v/>
      </c>
      <c r="U265" s="298" t="str">
        <f>VLOOKUP(B265,'Base de Datos'!$E$7:$AU$401,38,0)</f>
        <v>SI</v>
      </c>
    </row>
    <row r="266" spans="1:21" ht="23.25" customHeight="1" thickTop="1" thickBot="1" x14ac:dyDescent="0.35">
      <c r="A266" s="96">
        <v>260</v>
      </c>
      <c r="B266" s="298" t="str">
        <f>+'Base de Datos'!E266</f>
        <v>140387-0-2014</v>
      </c>
      <c r="C266" s="298" t="str">
        <f>+'Base de Datos'!F266</f>
        <v>SERVIMETERS SA</v>
      </c>
      <c r="D266" s="299">
        <f>+'Base de Datos'!I266</f>
        <v>1624000</v>
      </c>
      <c r="E266" s="300">
        <f>+'Base de Datos'!M266</f>
        <v>42037</v>
      </c>
      <c r="F266" s="300">
        <f>+'Base de Datos'!N266</f>
        <v>42279</v>
      </c>
      <c r="G266" s="300" t="e">
        <f>+'Base de Datos'!#REF!</f>
        <v>#REF!</v>
      </c>
      <c r="H266" s="299">
        <f>+'Base de Datos'!X266</f>
        <v>1624000</v>
      </c>
      <c r="I266" s="301" t="e">
        <f>IF(VLOOKUP(B266,'Base de Datos'!$E$7:$T$303,11,0),"SI","NO")</f>
        <v>#VALUE!</v>
      </c>
      <c r="J266" s="302" t="e">
        <f t="shared" si="28"/>
        <v>#VALUE!</v>
      </c>
      <c r="K266" s="301" t="e">
        <f>IF(VLOOKUP(B266,'Base de Datos'!$E$7:$T$303,11,0),"SI","NO")</f>
        <v>#VALUE!</v>
      </c>
      <c r="L266" s="302" t="e">
        <f t="shared" si="29"/>
        <v>#VALUE!</v>
      </c>
      <c r="M266" s="302">
        <f>VLOOKUP(B266,'Base de Datos'!$E$7:$AC$303,21,0)</f>
        <v>0</v>
      </c>
      <c r="N266" s="363" t="e">
        <f t="shared" ca="1" si="33"/>
        <v>#REF!</v>
      </c>
      <c r="O266" s="302">
        <f>VLOOKUP(B266,'Base de Datos'!$E$7:$AC$303,22,0)</f>
        <v>1624000</v>
      </c>
      <c r="P266" s="362" t="str">
        <f t="shared" ca="1" si="30"/>
        <v/>
      </c>
      <c r="Q266" s="375" t="e">
        <f t="shared" ca="1" si="34"/>
        <v>#VALUE!</v>
      </c>
      <c r="R266" s="298" t="str">
        <f>VLOOKUP(B266,'Base de Datos'!E266:AU577,33,0)</f>
        <v>Dirección Administrativa</v>
      </c>
      <c r="S266" s="301" t="e">
        <f t="shared" ca="1" si="31"/>
        <v>#REF!</v>
      </c>
      <c r="T266" s="298" t="str">
        <f t="shared" si="32"/>
        <v/>
      </c>
      <c r="U266" s="298" t="str">
        <f>VLOOKUP(B266,'Base de Datos'!$E$7:$AU$401,38,0)</f>
        <v>SI</v>
      </c>
    </row>
    <row r="267" spans="1:21" ht="23.25" customHeight="1" thickTop="1" thickBot="1" x14ac:dyDescent="0.35">
      <c r="A267" s="96">
        <v>261</v>
      </c>
      <c r="B267" s="298" t="str">
        <f>+'Base de Datos'!E267</f>
        <v>140396-0-2014</v>
      </c>
      <c r="C267" s="298" t="str">
        <f>+'Base de Datos'!F267</f>
        <v>KAWAK SAS</v>
      </c>
      <c r="D267" s="299">
        <f>+'Base de Datos'!I267</f>
        <v>64621280</v>
      </c>
      <c r="E267" s="300">
        <f>+'Base de Datos'!M267</f>
        <v>42045</v>
      </c>
      <c r="F267" s="300">
        <f>+'Base de Datos'!N267</f>
        <v>42165</v>
      </c>
      <c r="G267" s="300" t="e">
        <f>+'Base de Datos'!#REF!</f>
        <v>#REF!</v>
      </c>
      <c r="H267" s="299">
        <f>+'Base de Datos'!X267</f>
        <v>64621280</v>
      </c>
      <c r="I267" s="301" t="e">
        <f>IF(VLOOKUP(B267,'Base de Datos'!$E$7:$T$303,11,0),"SI","NO")</f>
        <v>#VALUE!</v>
      </c>
      <c r="J267" s="302" t="e">
        <f t="shared" si="28"/>
        <v>#VALUE!</v>
      </c>
      <c r="K267" s="301" t="e">
        <f>IF(VLOOKUP(B267,'Base de Datos'!$E$7:$T$303,11,0),"SI","NO")</f>
        <v>#VALUE!</v>
      </c>
      <c r="L267" s="302" t="e">
        <f t="shared" si="29"/>
        <v>#VALUE!</v>
      </c>
      <c r="M267" s="302">
        <f>VLOOKUP(B267,'Base de Datos'!$E$7:$AC$303,21,0)</f>
        <v>64621280</v>
      </c>
      <c r="N267" s="363" t="e">
        <f t="shared" ca="1" si="33"/>
        <v>#REF!</v>
      </c>
      <c r="O267" s="302">
        <f>VLOOKUP(B267,'Base de Datos'!$E$7:$AC$303,22,0)</f>
        <v>0</v>
      </c>
      <c r="P267" s="362" t="str">
        <f t="shared" ca="1" si="30"/>
        <v/>
      </c>
      <c r="Q267" s="375" t="e">
        <f t="shared" ca="1" si="34"/>
        <v>#VALUE!</v>
      </c>
      <c r="R267" s="298" t="str">
        <f>VLOOKUP(B267,'Base de Datos'!E267:AU578,33,0)</f>
        <v>Dirección Administrativa</v>
      </c>
      <c r="S267" s="301" t="e">
        <f t="shared" ca="1" si="31"/>
        <v>#REF!</v>
      </c>
      <c r="T267" s="298" t="str">
        <f t="shared" si="32"/>
        <v/>
      </c>
      <c r="U267" s="298" t="str">
        <f>VLOOKUP(B267,'Base de Datos'!$E$7:$AU$401,38,0)</f>
        <v>SI</v>
      </c>
    </row>
    <row r="268" spans="1:21" ht="23.25" customHeight="1" thickTop="1" thickBot="1" x14ac:dyDescent="0.35">
      <c r="A268" s="96">
        <v>262</v>
      </c>
      <c r="B268" s="298" t="str">
        <f>+'Base de Datos'!E268</f>
        <v>140422-0-2014</v>
      </c>
      <c r="C268" s="298" t="str">
        <f>+'Base de Datos'!F268</f>
        <v>ICETEX</v>
      </c>
      <c r="D268" s="299">
        <f>+'Base de Datos'!I268</f>
        <v>300000000</v>
      </c>
      <c r="E268" s="300">
        <f>+'Base de Datos'!M268</f>
        <v>42002</v>
      </c>
      <c r="F268" s="300">
        <f>+'Base de Datos'!N268</f>
        <v>43828</v>
      </c>
      <c r="G268" s="300" t="e">
        <f>+'Base de Datos'!#REF!</f>
        <v>#REF!</v>
      </c>
      <c r="H268" s="299">
        <f>+'Base de Datos'!X268</f>
        <v>1500000000</v>
      </c>
      <c r="I268" s="301" t="e">
        <f>IF(VLOOKUP(B268,'Base de Datos'!$E$7:$T$303,11,0),"SI","NO")</f>
        <v>#VALUE!</v>
      </c>
      <c r="J268" s="302" t="e">
        <f t="shared" si="28"/>
        <v>#VALUE!</v>
      </c>
      <c r="K268" s="301" t="e">
        <f>IF(VLOOKUP(B268,'Base de Datos'!$E$7:$T$303,11,0),"SI","NO")</f>
        <v>#VALUE!</v>
      </c>
      <c r="L268" s="302" t="e">
        <f t="shared" si="29"/>
        <v>#VALUE!</v>
      </c>
      <c r="M268" s="302">
        <f>VLOOKUP(B268,'Base de Datos'!$E$7:$AC$303,21,0)</f>
        <v>1500000000</v>
      </c>
      <c r="N268" s="363" t="e">
        <f t="shared" ca="1" si="33"/>
        <v>#REF!</v>
      </c>
      <c r="O268" s="302">
        <f>VLOOKUP(B268,'Base de Datos'!$E$7:$AC$303,22,0)</f>
        <v>0</v>
      </c>
      <c r="P268" s="362" t="str">
        <f t="shared" ca="1" si="30"/>
        <v/>
      </c>
      <c r="Q268" s="375" t="e">
        <f t="shared" ca="1" si="34"/>
        <v>#VALUE!</v>
      </c>
      <c r="R268" s="298" t="str">
        <f>VLOOKUP(B268,'Base de Datos'!E268:AU579,33,0)</f>
        <v>Dirección Administrativa</v>
      </c>
      <c r="S268" s="301" t="e">
        <f t="shared" ca="1" si="31"/>
        <v>#REF!</v>
      </c>
      <c r="T268" s="298" t="str">
        <f t="shared" si="32"/>
        <v/>
      </c>
      <c r="U268" s="298" t="str">
        <f>VLOOKUP(B268,'Base de Datos'!$E$7:$AU$401,38,0)</f>
        <v>SI</v>
      </c>
    </row>
    <row r="269" spans="1:21" ht="23.25" customHeight="1" thickTop="1" thickBot="1" x14ac:dyDescent="0.35">
      <c r="A269" s="96">
        <v>263</v>
      </c>
      <c r="B269" s="298" t="str">
        <f>+'Base de Datos'!E269</f>
        <v>140392-0-2014</v>
      </c>
      <c r="C269" s="298" t="str">
        <f>+'Base de Datos'!F269</f>
        <v>M@ICROTEL LTDA</v>
      </c>
      <c r="D269" s="299">
        <f>+'Base de Datos'!I269</f>
        <v>137450000</v>
      </c>
      <c r="E269" s="300">
        <f>+'Base de Datos'!M269</f>
        <v>42018</v>
      </c>
      <c r="F269" s="300">
        <f>+'Base de Datos'!N269</f>
        <v>42383</v>
      </c>
      <c r="G269" s="300" t="e">
        <f>+'Base de Datos'!#REF!</f>
        <v>#REF!</v>
      </c>
      <c r="H269" s="299">
        <f>+'Base de Datos'!X269</f>
        <v>137450000</v>
      </c>
      <c r="I269" s="301" t="e">
        <f>IF(VLOOKUP(B269,'Base de Datos'!$E$7:$T$303,11,0),"SI","NO")</f>
        <v>#VALUE!</v>
      </c>
      <c r="J269" s="302" t="e">
        <f t="shared" si="28"/>
        <v>#VALUE!</v>
      </c>
      <c r="K269" s="301" t="e">
        <f>IF(VLOOKUP(B269,'Base de Datos'!$E$7:$T$303,11,0),"SI","NO")</f>
        <v>#VALUE!</v>
      </c>
      <c r="L269" s="302" t="e">
        <f t="shared" si="29"/>
        <v>#VALUE!</v>
      </c>
      <c r="M269" s="302">
        <f>VLOOKUP(B269,'Base de Datos'!$E$7:$AC$303,21,0)</f>
        <v>137449999</v>
      </c>
      <c r="N269" s="363" t="e">
        <f t="shared" ca="1" si="33"/>
        <v>#REF!</v>
      </c>
      <c r="O269" s="302">
        <f>VLOOKUP(B269,'Base de Datos'!$E$7:$AC$303,22,0)</f>
        <v>1</v>
      </c>
      <c r="P269" s="362" t="str">
        <f t="shared" ca="1" si="30"/>
        <v/>
      </c>
      <c r="Q269" s="375" t="e">
        <f t="shared" ca="1" si="34"/>
        <v>#VALUE!</v>
      </c>
      <c r="R269" s="298" t="str">
        <f>VLOOKUP(B269,'Base de Datos'!E269:AU580,33,0)</f>
        <v>Dirección Administrativa</v>
      </c>
      <c r="S269" s="301" t="e">
        <f t="shared" ca="1" si="31"/>
        <v>#REF!</v>
      </c>
      <c r="T269" s="298" t="str">
        <f t="shared" si="32"/>
        <v>Liquidar</v>
      </c>
      <c r="U269" s="298" t="str">
        <f>VLOOKUP(B269,'Base de Datos'!$E$7:$AU$401,38,0)</f>
        <v>SI</v>
      </c>
    </row>
    <row r="270" spans="1:21" ht="23.25" customHeight="1" thickTop="1" thickBot="1" x14ac:dyDescent="0.35">
      <c r="A270" s="96">
        <v>264</v>
      </c>
      <c r="B270" s="298" t="str">
        <f>+'Base de Datos'!E270</f>
        <v>140418-0-2014</v>
      </c>
      <c r="C270" s="298" t="str">
        <f>+'Base de Datos'!F270</f>
        <v>CENTURY MEDIA SAS</v>
      </c>
      <c r="D270" s="299">
        <f>+'Base de Datos'!I270</f>
        <v>249210000</v>
      </c>
      <c r="E270" s="300">
        <f>+'Base de Datos'!M270</f>
        <v>42017</v>
      </c>
      <c r="F270" s="300">
        <f>+'Base de Datos'!N270</f>
        <v>42198</v>
      </c>
      <c r="G270" s="300" t="e">
        <f>+'Base de Datos'!#REF!</f>
        <v>#REF!</v>
      </c>
      <c r="H270" s="299">
        <f>+'Base de Datos'!X270</f>
        <v>309210000</v>
      </c>
      <c r="I270" s="301" t="e">
        <f>IF(VLOOKUP(B270,'Base de Datos'!$E$7:$T$303,11,0),"SI","NO")</f>
        <v>#VALUE!</v>
      </c>
      <c r="J270" s="302" t="e">
        <f t="shared" si="28"/>
        <v>#VALUE!</v>
      </c>
      <c r="K270" s="301" t="e">
        <f>IF(VLOOKUP(B270,'Base de Datos'!$E$7:$T$303,11,0),"SI","NO")</f>
        <v>#VALUE!</v>
      </c>
      <c r="L270" s="302" t="e">
        <f t="shared" si="29"/>
        <v>#VALUE!</v>
      </c>
      <c r="M270" s="302">
        <f>VLOOKUP(B270,'Base de Datos'!$E$7:$AC$303,21,0)</f>
        <v>309210000</v>
      </c>
      <c r="N270" s="363" t="e">
        <f t="shared" ca="1" si="33"/>
        <v>#REF!</v>
      </c>
      <c r="O270" s="302">
        <f>VLOOKUP(B270,'Base de Datos'!$E$7:$AC$303,22,0)</f>
        <v>0</v>
      </c>
      <c r="P270" s="362" t="str">
        <f t="shared" ca="1" si="30"/>
        <v/>
      </c>
      <c r="Q270" s="375" t="e">
        <f t="shared" ca="1" si="34"/>
        <v>#VALUE!</v>
      </c>
      <c r="R270" s="298" t="str">
        <f>VLOOKUP(B270,'Base de Datos'!E270:AU581,33,0)</f>
        <v>Oficina Asesora de Comunicaciones</v>
      </c>
      <c r="S270" s="301" t="e">
        <f t="shared" ca="1" si="31"/>
        <v>#REF!</v>
      </c>
      <c r="T270" s="298" t="str">
        <f t="shared" si="32"/>
        <v/>
      </c>
      <c r="U270" s="298" t="str">
        <f>VLOOKUP(B270,'Base de Datos'!$E$7:$AU$401,38,0)</f>
        <v>SI</v>
      </c>
    </row>
    <row r="271" spans="1:21" ht="23.25" customHeight="1" thickTop="1" thickBot="1" x14ac:dyDescent="0.35">
      <c r="A271" s="96">
        <v>265</v>
      </c>
      <c r="B271" s="298" t="str">
        <f>+'Base de Datos'!E271</f>
        <v>150028-0-2015</v>
      </c>
      <c r="C271" s="298" t="str">
        <f>+'Base de Datos'!F271</f>
        <v>RICARDO ROJAS SANABRIA (Cesionario) / Antes: NAYIVE CARRASCO PATIÑO</v>
      </c>
      <c r="D271" s="299">
        <f>+'Base de Datos'!I271</f>
        <v>84000000</v>
      </c>
      <c r="E271" s="300">
        <f>+'Base de Datos'!M271</f>
        <v>42031</v>
      </c>
      <c r="F271" s="300">
        <f>+'Base de Datos'!N271</f>
        <v>42396</v>
      </c>
      <c r="G271" s="300" t="e">
        <f>+'Base de Datos'!#REF!</f>
        <v>#REF!</v>
      </c>
      <c r="H271" s="299">
        <f>+'Base de Datos'!X271</f>
        <v>84000000</v>
      </c>
      <c r="I271" s="301" t="e">
        <f>IF(VLOOKUP(B271,'Base de Datos'!$E$7:$T$303,11,0),"SI","NO")</f>
        <v>#VALUE!</v>
      </c>
      <c r="J271" s="302" t="e">
        <f t="shared" si="28"/>
        <v>#VALUE!</v>
      </c>
      <c r="K271" s="301" t="e">
        <f>IF(VLOOKUP(B271,'Base de Datos'!$E$7:$T$303,11,0),"SI","NO")</f>
        <v>#VALUE!</v>
      </c>
      <c r="L271" s="302" t="e">
        <f t="shared" si="29"/>
        <v>#VALUE!</v>
      </c>
      <c r="M271" s="302">
        <f>VLOOKUP(B271,'Base de Datos'!$E$7:$AC$303,21,0)</f>
        <v>84000000</v>
      </c>
      <c r="N271" s="363" t="e">
        <f t="shared" ca="1" si="33"/>
        <v>#REF!</v>
      </c>
      <c r="O271" s="302">
        <f>VLOOKUP(B271,'Base de Datos'!$E$7:$AC$303,22,0)</f>
        <v>0</v>
      </c>
      <c r="P271" s="362" t="str">
        <f t="shared" ca="1" si="30"/>
        <v/>
      </c>
      <c r="Q271" s="375" t="e">
        <f t="shared" ca="1" si="34"/>
        <v>#VALUE!</v>
      </c>
      <c r="R271" s="298" t="str">
        <f>VLOOKUP(B271,'Base de Datos'!E271:AU582,33,0)</f>
        <v>Dirección Financiera</v>
      </c>
      <c r="S271" s="301" t="e">
        <f t="shared" ca="1" si="31"/>
        <v>#REF!</v>
      </c>
      <c r="T271" s="298" t="str">
        <f t="shared" si="32"/>
        <v/>
      </c>
      <c r="U271" s="298" t="str">
        <f>VLOOKUP(B271,'Base de Datos'!$E$7:$AU$401,38,0)</f>
        <v>NO</v>
      </c>
    </row>
    <row r="272" spans="1:21" ht="23.25" customHeight="1" thickTop="1" thickBot="1" x14ac:dyDescent="0.35">
      <c r="A272" s="96">
        <v>266</v>
      </c>
      <c r="B272" s="298" t="str">
        <f>+'Base de Datos'!E272</f>
        <v>140369-0-2014</v>
      </c>
      <c r="C272" s="298" t="str">
        <f>+'Base de Datos'!F272</f>
        <v>INSTITUTO COLOMBIANO DE NORMAS TÉCNICAS Y CERTIFICACIÓN ICONTEC</v>
      </c>
      <c r="D272" s="299">
        <f>+'Base de Datos'!I272</f>
        <v>4961088</v>
      </c>
      <c r="E272" s="300">
        <f>+'Base de Datos'!M272</f>
        <v>42178</v>
      </c>
      <c r="F272" s="300">
        <f>+'Base de Datos'!N272</f>
        <v>42423</v>
      </c>
      <c r="G272" s="300" t="e">
        <f>+'Base de Datos'!#REF!</f>
        <v>#REF!</v>
      </c>
      <c r="H272" s="299">
        <f>+'Base de Datos'!X272</f>
        <v>4961088</v>
      </c>
      <c r="I272" s="301" t="e">
        <f>IF(VLOOKUP(B272,'Base de Datos'!$E$7:$T$303,11,0),"SI","NO")</f>
        <v>#VALUE!</v>
      </c>
      <c r="J272" s="302" t="e">
        <f t="shared" si="28"/>
        <v>#VALUE!</v>
      </c>
      <c r="K272" s="301" t="e">
        <f>IF(VLOOKUP(B272,'Base de Datos'!$E$7:$T$303,11,0),"SI","NO")</f>
        <v>#VALUE!</v>
      </c>
      <c r="L272" s="302" t="e">
        <f t="shared" si="29"/>
        <v>#VALUE!</v>
      </c>
      <c r="M272" s="302">
        <f>VLOOKUP(B272,'Base de Datos'!$E$7:$AC$303,21,0)</f>
        <v>4961088</v>
      </c>
      <c r="N272" s="363" t="e">
        <f t="shared" ca="1" si="33"/>
        <v>#REF!</v>
      </c>
      <c r="O272" s="302">
        <f>VLOOKUP(B272,'Base de Datos'!$E$7:$AC$303,22,0)</f>
        <v>0</v>
      </c>
      <c r="P272" s="362" t="str">
        <f t="shared" ca="1" si="30"/>
        <v/>
      </c>
      <c r="Q272" s="375" t="e">
        <f t="shared" ca="1" si="34"/>
        <v>#VALUE!</v>
      </c>
      <c r="R272" s="298" t="str">
        <f>VLOOKUP(B272,'Base de Datos'!E272:AU583,33,0)</f>
        <v>Dirección Administrativa</v>
      </c>
      <c r="S272" s="301" t="e">
        <f t="shared" ca="1" si="31"/>
        <v>#REF!</v>
      </c>
      <c r="T272" s="298" t="str">
        <f t="shared" si="32"/>
        <v/>
      </c>
      <c r="U272" s="298" t="str">
        <f>VLOOKUP(B272,'Base de Datos'!$E$7:$AU$401,38,0)</f>
        <v>SI</v>
      </c>
    </row>
    <row r="273" spans="1:21" ht="23.25" customHeight="1" thickTop="1" thickBot="1" x14ac:dyDescent="0.35">
      <c r="A273" s="96">
        <v>267</v>
      </c>
      <c r="B273" s="298" t="str">
        <f>+'Base de Datos'!E273</f>
        <v>140390-0-2014</v>
      </c>
      <c r="C273" s="298" t="str">
        <f>+'Base de Datos'!F273</f>
        <v>UNIÓN TEMPORAL SICVEL HACIENDA 2014</v>
      </c>
      <c r="D273" s="299">
        <f>+'Base de Datos'!I273</f>
        <v>10075000</v>
      </c>
      <c r="E273" s="300">
        <f>+'Base de Datos'!M273</f>
        <v>42020</v>
      </c>
      <c r="F273" s="300">
        <f>+'Base de Datos'!N273</f>
        <v>42079</v>
      </c>
      <c r="G273" s="300" t="e">
        <f>+'Base de Datos'!#REF!</f>
        <v>#REF!</v>
      </c>
      <c r="H273" s="299">
        <f>+'Base de Datos'!X273</f>
        <v>10075000</v>
      </c>
      <c r="I273" s="301" t="e">
        <f>IF(VLOOKUP(B273,'Base de Datos'!$E$7:$T$303,11,0),"SI","NO")</f>
        <v>#VALUE!</v>
      </c>
      <c r="J273" s="302" t="e">
        <f t="shared" si="28"/>
        <v>#VALUE!</v>
      </c>
      <c r="K273" s="301" t="e">
        <f>IF(VLOOKUP(B273,'Base de Datos'!$E$7:$T$303,11,0),"SI","NO")</f>
        <v>#VALUE!</v>
      </c>
      <c r="L273" s="302" t="e">
        <f t="shared" si="29"/>
        <v>#VALUE!</v>
      </c>
      <c r="M273" s="302">
        <f>VLOOKUP(B273,'Base de Datos'!$E$7:$AC$303,21,0)</f>
        <v>10075000</v>
      </c>
      <c r="N273" s="363" t="e">
        <f t="shared" ca="1" si="33"/>
        <v>#REF!</v>
      </c>
      <c r="O273" s="302">
        <f>VLOOKUP(B273,'Base de Datos'!$E$7:$AC$303,22,0)</f>
        <v>0</v>
      </c>
      <c r="P273" s="362" t="str">
        <f t="shared" ca="1" si="30"/>
        <v/>
      </c>
      <c r="Q273" s="375" t="e">
        <f t="shared" ca="1" si="34"/>
        <v>#VALUE!</v>
      </c>
      <c r="R273" s="298" t="str">
        <f>VLOOKUP(B273,'Base de Datos'!E273:AU584,33,0)</f>
        <v>Dirección Administrativa</v>
      </c>
      <c r="S273" s="301" t="e">
        <f t="shared" ca="1" si="31"/>
        <v>#REF!</v>
      </c>
      <c r="T273" s="298" t="str">
        <f t="shared" si="32"/>
        <v/>
      </c>
      <c r="U273" s="298" t="str">
        <f>VLOOKUP(B273,'Base de Datos'!$E$7:$AU$401,38,0)</f>
        <v>SI</v>
      </c>
    </row>
    <row r="274" spans="1:21" ht="23.25" customHeight="1" thickTop="1" thickBot="1" x14ac:dyDescent="0.35">
      <c r="A274" s="96">
        <v>268</v>
      </c>
      <c r="B274" s="298" t="str">
        <f>+'Base de Datos'!E274</f>
        <v>150035-0-2015</v>
      </c>
      <c r="C274" s="298" t="str">
        <f>+'Base de Datos'!F274</f>
        <v>EDGAR EULICES GONZÁLEZ</v>
      </c>
      <c r="D274" s="299">
        <f>+'Base de Datos'!I274</f>
        <v>46068000</v>
      </c>
      <c r="E274" s="300">
        <f>+'Base de Datos'!M274</f>
        <v>42037</v>
      </c>
      <c r="F274" s="300">
        <f>+'Base de Datos'!N274</f>
        <v>42402</v>
      </c>
      <c r="G274" s="300" t="e">
        <f>+'Base de Datos'!#REF!</f>
        <v>#REF!</v>
      </c>
      <c r="H274" s="299">
        <f>+'Base de Datos'!X274</f>
        <v>46068000</v>
      </c>
      <c r="I274" s="301" t="e">
        <f>IF(VLOOKUP(B274,'Base de Datos'!$E$7:$T$303,11,0),"SI","NO")</f>
        <v>#VALUE!</v>
      </c>
      <c r="J274" s="302" t="e">
        <f t="shared" si="28"/>
        <v>#VALUE!</v>
      </c>
      <c r="K274" s="301" t="e">
        <f>IF(VLOOKUP(B274,'Base de Datos'!$E$7:$T$303,11,0),"SI","NO")</f>
        <v>#VALUE!</v>
      </c>
      <c r="L274" s="302" t="e">
        <f t="shared" si="29"/>
        <v>#VALUE!</v>
      </c>
      <c r="M274" s="302">
        <f>VLOOKUP(B274,'Base de Datos'!$E$7:$AC$303,21,0)</f>
        <v>46068000</v>
      </c>
      <c r="N274" s="363" t="e">
        <f t="shared" ca="1" si="33"/>
        <v>#REF!</v>
      </c>
      <c r="O274" s="302">
        <f>VLOOKUP(B274,'Base de Datos'!$E$7:$AC$303,22,0)</f>
        <v>0</v>
      </c>
      <c r="P274" s="362" t="str">
        <f t="shared" ca="1" si="30"/>
        <v/>
      </c>
      <c r="Q274" s="375" t="e">
        <f t="shared" ca="1" si="34"/>
        <v>#VALUE!</v>
      </c>
      <c r="R274" s="298" t="str">
        <f>VLOOKUP(B274,'Base de Datos'!E274:AU585,33,0)</f>
        <v>Dirección Financiera</v>
      </c>
      <c r="S274" s="301" t="e">
        <f t="shared" ca="1" si="31"/>
        <v>#REF!</v>
      </c>
      <c r="T274" s="298" t="str">
        <f t="shared" si="32"/>
        <v/>
      </c>
      <c r="U274" s="298" t="str">
        <f>VLOOKUP(B274,'Base de Datos'!$E$7:$AU$401,38,0)</f>
        <v>NO</v>
      </c>
    </row>
    <row r="275" spans="1:21" ht="23.25" customHeight="1" thickTop="1" thickBot="1" x14ac:dyDescent="0.35">
      <c r="A275" s="96">
        <v>269</v>
      </c>
      <c r="B275" s="298" t="str">
        <f>+'Base de Datos'!E275</f>
        <v>140381-0-2014</v>
      </c>
      <c r="C275" s="298" t="str">
        <f>+'Base de Datos'!F275</f>
        <v>INSTITUTO DISTRITAL DEL PATRIMONIO CULTURAL - IDPC</v>
      </c>
      <c r="D275" s="299">
        <f>+'Base de Datos'!I275</f>
        <v>0</v>
      </c>
      <c r="E275" s="300">
        <f>+'Base de Datos'!M275</f>
        <v>41984</v>
      </c>
      <c r="F275" s="300">
        <f>+'Base de Datos'!N275</f>
        <v>42046</v>
      </c>
      <c r="G275" s="300" t="e">
        <f>+'Base de Datos'!#REF!</f>
        <v>#REF!</v>
      </c>
      <c r="H275" s="299">
        <f>+'Base de Datos'!X275</f>
        <v>0</v>
      </c>
      <c r="I275" s="301" t="e">
        <f>IF(VLOOKUP(B275,'Base de Datos'!$E$7:$T$303,11,0),"SI","NO")</f>
        <v>#VALUE!</v>
      </c>
      <c r="J275" s="302" t="e">
        <f t="shared" si="28"/>
        <v>#VALUE!</v>
      </c>
      <c r="K275" s="301" t="e">
        <f>IF(VLOOKUP(B275,'Base de Datos'!$E$7:$T$303,11,0),"SI","NO")</f>
        <v>#VALUE!</v>
      </c>
      <c r="L275" s="302" t="e">
        <f t="shared" si="29"/>
        <v>#VALUE!</v>
      </c>
      <c r="M275" s="302">
        <f>VLOOKUP(B275,'Base de Datos'!$E$7:$AC$303,21,0)</f>
        <v>0</v>
      </c>
      <c r="N275" s="363" t="e">
        <f t="shared" ca="1" si="33"/>
        <v>#REF!</v>
      </c>
      <c r="O275" s="302">
        <f>VLOOKUP(B275,'Base de Datos'!$E$7:$AC$303,22,0)</f>
        <v>0</v>
      </c>
      <c r="P275" s="362" t="str">
        <f t="shared" ca="1" si="30"/>
        <v/>
      </c>
      <c r="Q275" s="375" t="e">
        <f t="shared" ca="1" si="34"/>
        <v>#VALUE!</v>
      </c>
      <c r="R275" s="298">
        <f>VLOOKUP(B275,'Base de Datos'!E275:AU586,33,0)</f>
        <v>0</v>
      </c>
      <c r="S275" s="301" t="e">
        <f t="shared" ca="1" si="31"/>
        <v>#REF!</v>
      </c>
      <c r="T275" s="298" t="str">
        <f t="shared" si="32"/>
        <v/>
      </c>
      <c r="U275" s="298">
        <f>VLOOKUP(B275,'Base de Datos'!$E$7:$AU$401,38,0)</f>
        <v>0</v>
      </c>
    </row>
    <row r="276" spans="1:21" ht="23.25" customHeight="1" thickTop="1" thickBot="1" x14ac:dyDescent="0.35">
      <c r="A276" s="96">
        <v>270</v>
      </c>
      <c r="B276" s="298" t="str">
        <f>+'Base de Datos'!E276</f>
        <v>150049-0-2015</v>
      </c>
      <c r="C276" s="298" t="str">
        <f>+'Base de Datos'!F276</f>
        <v>ROSA ENRIQUELINA GÓMEZ CORREDOR</v>
      </c>
      <c r="D276" s="299">
        <f>+'Base de Datos'!I276</f>
        <v>60000000</v>
      </c>
      <c r="E276" s="300">
        <f>+'Base de Datos'!M276</f>
        <v>42045</v>
      </c>
      <c r="F276" s="300">
        <f>+'Base de Datos'!N276</f>
        <v>42410</v>
      </c>
      <c r="G276" s="300" t="e">
        <f>+'Base de Datos'!#REF!</f>
        <v>#REF!</v>
      </c>
      <c r="H276" s="299">
        <f>+'Base de Datos'!X276</f>
        <v>60000000</v>
      </c>
      <c r="I276" s="301" t="e">
        <f>IF(VLOOKUP(B276,'Base de Datos'!$E$7:$T$303,11,0),"SI","NO")</f>
        <v>#VALUE!</v>
      </c>
      <c r="J276" s="302" t="e">
        <f t="shared" si="28"/>
        <v>#VALUE!</v>
      </c>
      <c r="K276" s="301" t="e">
        <f>IF(VLOOKUP(B276,'Base de Datos'!$E$7:$T$303,11,0),"SI","NO")</f>
        <v>#VALUE!</v>
      </c>
      <c r="L276" s="302" t="e">
        <f t="shared" si="29"/>
        <v>#VALUE!</v>
      </c>
      <c r="M276" s="302">
        <f>VLOOKUP(B276,'Base de Datos'!$E$7:$AC$303,21,0)</f>
        <v>60000000</v>
      </c>
      <c r="N276" s="363" t="e">
        <f t="shared" ca="1" si="33"/>
        <v>#REF!</v>
      </c>
      <c r="O276" s="302">
        <f>VLOOKUP(B276,'Base de Datos'!$E$7:$AC$303,22,0)</f>
        <v>0</v>
      </c>
      <c r="P276" s="362" t="str">
        <f t="shared" ca="1" si="30"/>
        <v/>
      </c>
      <c r="Q276" s="375" t="e">
        <f t="shared" ca="1" si="34"/>
        <v>#VALUE!</v>
      </c>
      <c r="R276" s="298" t="str">
        <f>VLOOKUP(B276,'Base de Datos'!E276:AU587,33,0)</f>
        <v>Dirección Financiera</v>
      </c>
      <c r="S276" s="301" t="e">
        <f t="shared" ca="1" si="31"/>
        <v>#REF!</v>
      </c>
      <c r="T276" s="298" t="str">
        <f t="shared" si="32"/>
        <v/>
      </c>
      <c r="U276" s="298" t="str">
        <f>VLOOKUP(B276,'Base de Datos'!$E$7:$AU$401,38,0)</f>
        <v>NO</v>
      </c>
    </row>
    <row r="277" spans="1:21" ht="23.25" customHeight="1" thickTop="1" thickBot="1" x14ac:dyDescent="0.35">
      <c r="A277" s="96">
        <v>271</v>
      </c>
      <c r="B277" s="298" t="str">
        <f>+'Base de Datos'!E277</f>
        <v>150053-0-2015</v>
      </c>
      <c r="C277" s="298" t="str">
        <f>+'Base de Datos'!F277</f>
        <v xml:space="preserve">ADRIANA MARGARITA PAYARES (Cesionaria) / Antes: JEAN PAUL RUBIO MARTIN </v>
      </c>
      <c r="D277" s="299">
        <f>+'Base de Datos'!I277</f>
        <v>63654000</v>
      </c>
      <c r="E277" s="300">
        <f>+'Base de Datos'!M277</f>
        <v>42045</v>
      </c>
      <c r="F277" s="300">
        <f>+'Base de Datos'!N277</f>
        <v>42379</v>
      </c>
      <c r="G277" s="300" t="e">
        <f>+'Base de Datos'!#REF!</f>
        <v>#REF!</v>
      </c>
      <c r="H277" s="299">
        <f>+'Base de Datos'!X277</f>
        <v>63654000</v>
      </c>
      <c r="I277" s="301" t="e">
        <f>IF(VLOOKUP(B277,'Base de Datos'!$E$7:$T$303,11,0),"SI","NO")</f>
        <v>#VALUE!</v>
      </c>
      <c r="J277" s="302" t="e">
        <f t="shared" si="28"/>
        <v>#VALUE!</v>
      </c>
      <c r="K277" s="301" t="e">
        <f>IF(VLOOKUP(B277,'Base de Datos'!$E$7:$T$303,11,0),"SI","NO")</f>
        <v>#VALUE!</v>
      </c>
      <c r="L277" s="302" t="e">
        <f t="shared" si="29"/>
        <v>#VALUE!</v>
      </c>
      <c r="M277" s="302">
        <f>VLOOKUP(B277,'Base de Datos'!$E$7:$AC$303,21,0)</f>
        <v>63654000</v>
      </c>
      <c r="N277" s="363" t="e">
        <f t="shared" ca="1" si="33"/>
        <v>#REF!</v>
      </c>
      <c r="O277" s="302">
        <f>VLOOKUP(B277,'Base de Datos'!$E$7:$AC$303,22,0)</f>
        <v>0</v>
      </c>
      <c r="P277" s="362" t="str">
        <f t="shared" ca="1" si="30"/>
        <v/>
      </c>
      <c r="Q277" s="375" t="e">
        <f t="shared" ca="1" si="34"/>
        <v>#VALUE!</v>
      </c>
      <c r="R277" s="298" t="str">
        <f>VLOOKUP(B277,'Base de Datos'!E277:AU588,33,0)</f>
        <v>Dirección Financiera</v>
      </c>
      <c r="S277" s="301" t="e">
        <f t="shared" ca="1" si="31"/>
        <v>#REF!</v>
      </c>
      <c r="T277" s="298" t="str">
        <f t="shared" si="32"/>
        <v/>
      </c>
      <c r="U277" s="298" t="str">
        <f>VLOOKUP(B277,'Base de Datos'!$E$7:$AU$401,38,0)</f>
        <v>NO</v>
      </c>
    </row>
    <row r="278" spans="1:21" ht="23.25" customHeight="1" thickTop="1" thickBot="1" x14ac:dyDescent="0.35">
      <c r="A278" s="96">
        <v>272</v>
      </c>
      <c r="B278" s="298" t="str">
        <f>+'Base de Datos'!E278</f>
        <v>150067-0-2015</v>
      </c>
      <c r="C278" s="298" t="str">
        <f>+'Base de Datos'!F278</f>
        <v>WIESNER FABIÁN ROBAYO SALCEDO</v>
      </c>
      <c r="D278" s="299">
        <f>+'Base de Datos'!I278</f>
        <v>48000000</v>
      </c>
      <c r="E278" s="300">
        <f>+'Base de Datos'!M278</f>
        <v>42053</v>
      </c>
      <c r="F278" s="300">
        <f>+'Base de Datos'!N278</f>
        <v>42418</v>
      </c>
      <c r="G278" s="300" t="e">
        <f>+'Base de Datos'!#REF!</f>
        <v>#REF!</v>
      </c>
      <c r="H278" s="299">
        <f>+'Base de Datos'!X278</f>
        <v>48000000</v>
      </c>
      <c r="I278" s="301" t="e">
        <f>IF(VLOOKUP(B278,'Base de Datos'!$E$7:$T$303,11,0),"SI","NO")</f>
        <v>#VALUE!</v>
      </c>
      <c r="J278" s="302" t="e">
        <f t="shared" si="28"/>
        <v>#VALUE!</v>
      </c>
      <c r="K278" s="301" t="e">
        <f>IF(VLOOKUP(B278,'Base de Datos'!$E$7:$T$303,11,0),"SI","NO")</f>
        <v>#VALUE!</v>
      </c>
      <c r="L278" s="302" t="e">
        <f t="shared" si="29"/>
        <v>#VALUE!</v>
      </c>
      <c r="M278" s="302">
        <f>VLOOKUP(B278,'Base de Datos'!$E$7:$AC$303,21,0)</f>
        <v>48000000</v>
      </c>
      <c r="N278" s="363" t="e">
        <f t="shared" ca="1" si="33"/>
        <v>#REF!</v>
      </c>
      <c r="O278" s="302">
        <f>VLOOKUP(B278,'Base de Datos'!$E$7:$AC$303,22,0)</f>
        <v>0</v>
      </c>
      <c r="P278" s="362" t="str">
        <f t="shared" ca="1" si="30"/>
        <v/>
      </c>
      <c r="Q278" s="375" t="e">
        <f t="shared" ca="1" si="34"/>
        <v>#VALUE!</v>
      </c>
      <c r="R278" s="298" t="str">
        <f>VLOOKUP(B278,'Base de Datos'!E278:AU589,33,0)</f>
        <v>Oficina Asesora de Comunicaciones</v>
      </c>
      <c r="S278" s="301" t="e">
        <f t="shared" ca="1" si="31"/>
        <v>#REF!</v>
      </c>
      <c r="T278" s="298" t="str">
        <f t="shared" si="32"/>
        <v/>
      </c>
      <c r="U278" s="298" t="str">
        <f>VLOOKUP(B278,'Base de Datos'!$E$7:$AU$401,38,0)</f>
        <v>NO</v>
      </c>
    </row>
    <row r="279" spans="1:21" ht="23.25" customHeight="1" thickTop="1" thickBot="1" x14ac:dyDescent="0.35">
      <c r="A279" s="96">
        <v>273</v>
      </c>
      <c r="B279" s="298" t="str">
        <f>+'Base de Datos'!E279</f>
        <v>150076-0-2015</v>
      </c>
      <c r="C279" s="298" t="str">
        <f>+'Base de Datos'!F279</f>
        <v>JUDITH HERNÁNDEZ VILLALBA</v>
      </c>
      <c r="D279" s="299">
        <f>+'Base de Datos'!I279</f>
        <v>63654000</v>
      </c>
      <c r="E279" s="300">
        <f>+'Base de Datos'!M279</f>
        <v>42054</v>
      </c>
      <c r="F279" s="300">
        <f>+'Base de Datos'!N279</f>
        <v>42419</v>
      </c>
      <c r="G279" s="300" t="e">
        <f>+'Base de Datos'!#REF!</f>
        <v>#REF!</v>
      </c>
      <c r="H279" s="299">
        <f>+'Base de Datos'!X279</f>
        <v>63654000</v>
      </c>
      <c r="I279" s="301" t="e">
        <f>IF(VLOOKUP(B279,'Base de Datos'!$E$7:$T$303,11,0),"SI","NO")</f>
        <v>#VALUE!</v>
      </c>
      <c r="J279" s="302" t="e">
        <f t="shared" si="28"/>
        <v>#VALUE!</v>
      </c>
      <c r="K279" s="301" t="e">
        <f>IF(VLOOKUP(B279,'Base de Datos'!$E$7:$T$303,11,0),"SI","NO")</f>
        <v>#VALUE!</v>
      </c>
      <c r="L279" s="302" t="e">
        <f t="shared" si="29"/>
        <v>#VALUE!</v>
      </c>
      <c r="M279" s="302">
        <f>VLOOKUP(B279,'Base de Datos'!$E$7:$AC$303,21,0)</f>
        <v>63654000</v>
      </c>
      <c r="N279" s="363" t="e">
        <f t="shared" ca="1" si="33"/>
        <v>#REF!</v>
      </c>
      <c r="O279" s="302">
        <f>VLOOKUP(B279,'Base de Datos'!$E$7:$AC$303,22,0)</f>
        <v>0</v>
      </c>
      <c r="P279" s="362" t="str">
        <f t="shared" ca="1" si="30"/>
        <v/>
      </c>
      <c r="Q279" s="375" t="e">
        <f t="shared" ca="1" si="34"/>
        <v>#VALUE!</v>
      </c>
      <c r="R279" s="298" t="str">
        <f>VLOOKUP(B279,'Base de Datos'!E279:AU590,33,0)</f>
        <v>Dirección Financiera</v>
      </c>
      <c r="S279" s="301" t="e">
        <f t="shared" ca="1" si="31"/>
        <v>#REF!</v>
      </c>
      <c r="T279" s="298" t="str">
        <f t="shared" si="32"/>
        <v/>
      </c>
      <c r="U279" s="298" t="str">
        <f>VLOOKUP(B279,'Base de Datos'!$E$7:$AU$401,38,0)</f>
        <v>NO</v>
      </c>
    </row>
    <row r="280" spans="1:21" ht="23.25" customHeight="1" thickTop="1" thickBot="1" x14ac:dyDescent="0.35">
      <c r="A280" s="96">
        <v>274</v>
      </c>
      <c r="B280" s="298" t="str">
        <f>+'Base de Datos'!E280</f>
        <v>150073-0-2015</v>
      </c>
      <c r="C280" s="298" t="str">
        <f>+'Base de Datos'!F280</f>
        <v>ELVIN ALEXANDER AVEBDAÑO FONSECA (Cesionario) / JAVIER ANDRÉS VIDAL MELO (Antes)</v>
      </c>
      <c r="D280" s="299">
        <f>+'Base de Datos'!I280</f>
        <v>60000000</v>
      </c>
      <c r="E280" s="300">
        <f>+'Base de Datos'!M280</f>
        <v>42054</v>
      </c>
      <c r="F280" s="300">
        <f>+'Base de Datos'!N280</f>
        <v>42419</v>
      </c>
      <c r="G280" s="300" t="e">
        <f>+'Base de Datos'!#REF!</f>
        <v>#REF!</v>
      </c>
      <c r="H280" s="299">
        <f>+'Base de Datos'!X280</f>
        <v>60000000</v>
      </c>
      <c r="I280" s="301" t="e">
        <f>IF(VLOOKUP(B280,'Base de Datos'!$E$7:$T$303,11,0),"SI","NO")</f>
        <v>#VALUE!</v>
      </c>
      <c r="J280" s="302" t="e">
        <f t="shared" si="28"/>
        <v>#VALUE!</v>
      </c>
      <c r="K280" s="301" t="e">
        <f>IF(VLOOKUP(B280,'Base de Datos'!$E$7:$T$303,11,0),"SI","NO")</f>
        <v>#VALUE!</v>
      </c>
      <c r="L280" s="302" t="e">
        <f t="shared" si="29"/>
        <v>#VALUE!</v>
      </c>
      <c r="M280" s="302">
        <f>VLOOKUP(B280,'Base de Datos'!$E$7:$AC$303,21,0)</f>
        <v>60000000</v>
      </c>
      <c r="N280" s="363" t="e">
        <f t="shared" ca="1" si="33"/>
        <v>#REF!</v>
      </c>
      <c r="O280" s="302">
        <f>VLOOKUP(B280,'Base de Datos'!$E$7:$AC$303,22,0)</f>
        <v>0</v>
      </c>
      <c r="P280" s="362" t="str">
        <f t="shared" ca="1" si="30"/>
        <v/>
      </c>
      <c r="Q280" s="375" t="e">
        <f t="shared" ca="1" si="34"/>
        <v>#VALUE!</v>
      </c>
      <c r="R280" s="298" t="str">
        <f>VLOOKUP(B280,'Base de Datos'!E280:AU591,33,0)</f>
        <v>Dirección Financiera</v>
      </c>
      <c r="S280" s="301" t="e">
        <f t="shared" ca="1" si="31"/>
        <v>#REF!</v>
      </c>
      <c r="T280" s="298" t="str">
        <f t="shared" si="32"/>
        <v/>
      </c>
      <c r="U280" s="298" t="str">
        <f>VLOOKUP(B280,'Base de Datos'!$E$7:$AU$401,38,0)</f>
        <v>NO</v>
      </c>
    </row>
    <row r="281" spans="1:21" ht="23.25" customHeight="1" thickTop="1" thickBot="1" x14ac:dyDescent="0.35">
      <c r="A281" s="96">
        <v>275</v>
      </c>
      <c r="B281" s="298" t="str">
        <f>+'Base de Datos'!E281</f>
        <v>150080-0-2015</v>
      </c>
      <c r="C281" s="298" t="str">
        <f>+'Base de Datos'!F281</f>
        <v>LIZETH  GONZÁLEZ VARGAS</v>
      </c>
      <c r="D281" s="299">
        <f>+'Base de Datos'!I281</f>
        <v>43260000</v>
      </c>
      <c r="E281" s="300">
        <f>+'Base de Datos'!M281</f>
        <v>42060</v>
      </c>
      <c r="F281" s="300">
        <f>+'Base de Datos'!N281</f>
        <v>42425</v>
      </c>
      <c r="G281" s="300" t="e">
        <f>+'Base de Datos'!#REF!</f>
        <v>#REF!</v>
      </c>
      <c r="H281" s="299">
        <f>+'Base de Datos'!X281</f>
        <v>43260000</v>
      </c>
      <c r="I281" s="301" t="e">
        <f>IF(VLOOKUP(B281,'Base de Datos'!$E$7:$T$303,11,0),"SI","NO")</f>
        <v>#VALUE!</v>
      </c>
      <c r="J281" s="302" t="e">
        <f t="shared" si="28"/>
        <v>#VALUE!</v>
      </c>
      <c r="K281" s="301" t="e">
        <f>IF(VLOOKUP(B281,'Base de Datos'!$E$7:$T$303,11,0),"SI","NO")</f>
        <v>#VALUE!</v>
      </c>
      <c r="L281" s="302" t="e">
        <f t="shared" si="29"/>
        <v>#VALUE!</v>
      </c>
      <c r="M281" s="302">
        <f>VLOOKUP(B281,'Base de Datos'!$E$7:$AC$303,21,0)</f>
        <v>43260000</v>
      </c>
      <c r="N281" s="363" t="e">
        <f t="shared" ca="1" si="33"/>
        <v>#REF!</v>
      </c>
      <c r="O281" s="302">
        <f>VLOOKUP(B281,'Base de Datos'!$E$7:$AC$303,22,0)</f>
        <v>0</v>
      </c>
      <c r="P281" s="362" t="str">
        <f t="shared" ca="1" si="30"/>
        <v/>
      </c>
      <c r="Q281" s="375" t="e">
        <f t="shared" ca="1" si="34"/>
        <v>#VALUE!</v>
      </c>
      <c r="R281" s="298" t="str">
        <f>VLOOKUP(B281,'Base de Datos'!E281:AU592,33,0)</f>
        <v>Dirección Financiera</v>
      </c>
      <c r="S281" s="301" t="e">
        <f t="shared" ca="1" si="31"/>
        <v>#REF!</v>
      </c>
      <c r="T281" s="298" t="str">
        <f t="shared" si="32"/>
        <v/>
      </c>
      <c r="U281" s="298" t="str">
        <f>VLOOKUP(B281,'Base de Datos'!$E$7:$AU$401,38,0)</f>
        <v>NO</v>
      </c>
    </row>
    <row r="282" spans="1:21" ht="23.25" customHeight="1" thickTop="1" thickBot="1" x14ac:dyDescent="0.35">
      <c r="A282" s="96">
        <v>276</v>
      </c>
      <c r="B282" s="298" t="str">
        <f>+'Base de Datos'!E282</f>
        <v>150081-0-2015</v>
      </c>
      <c r="C282" s="298" t="str">
        <f>+'Base de Datos'!F282</f>
        <v>LEIDY YONETH RIVERA GONZALEZ (Cesionario) / LUISA FERNANDA GUTIÉRREZ RAMÍREZ (Antes)</v>
      </c>
      <c r="D282" s="299">
        <f>+'Base de Datos'!I282</f>
        <v>63654000</v>
      </c>
      <c r="E282" s="300">
        <f>+'Base de Datos'!M282</f>
        <v>42060</v>
      </c>
      <c r="F282" s="300">
        <f>+'Base de Datos'!N282</f>
        <v>42425</v>
      </c>
      <c r="G282" s="300" t="e">
        <f>+'Base de Datos'!#REF!</f>
        <v>#REF!</v>
      </c>
      <c r="H282" s="299">
        <f>+'Base de Datos'!X282</f>
        <v>63654000</v>
      </c>
      <c r="I282" s="301" t="e">
        <f>IF(VLOOKUP(B282,'Base de Datos'!$E$7:$T$303,11,0),"SI","NO")</f>
        <v>#VALUE!</v>
      </c>
      <c r="J282" s="302" t="e">
        <f t="shared" si="28"/>
        <v>#VALUE!</v>
      </c>
      <c r="K282" s="301" t="e">
        <f>IF(VLOOKUP(B282,'Base de Datos'!$E$7:$T$303,11,0),"SI","NO")</f>
        <v>#VALUE!</v>
      </c>
      <c r="L282" s="302" t="e">
        <f t="shared" si="29"/>
        <v>#VALUE!</v>
      </c>
      <c r="M282" s="302">
        <f>VLOOKUP(B282,'Base de Datos'!$E$7:$AC$303,21,0)</f>
        <v>62769917</v>
      </c>
      <c r="N282" s="363" t="e">
        <f t="shared" ca="1" si="33"/>
        <v>#REF!</v>
      </c>
      <c r="O282" s="302">
        <f>VLOOKUP(B282,'Base de Datos'!$E$7:$AC$303,22,0)</f>
        <v>884083</v>
      </c>
      <c r="P282" s="362" t="str">
        <f t="shared" ca="1" si="30"/>
        <v/>
      </c>
      <c r="Q282" s="375" t="e">
        <f t="shared" ca="1" si="34"/>
        <v>#VALUE!</v>
      </c>
      <c r="R282" s="298" t="str">
        <f>VLOOKUP(B282,'Base de Datos'!E282:AU593,33,0)</f>
        <v>Dirección Financiera</v>
      </c>
      <c r="S282" s="301" t="e">
        <f t="shared" ca="1" si="31"/>
        <v>#REF!</v>
      </c>
      <c r="T282" s="298" t="str">
        <f t="shared" si="32"/>
        <v/>
      </c>
      <c r="U282" s="298" t="str">
        <f>VLOOKUP(B282,'Base de Datos'!$E$7:$AU$401,38,0)</f>
        <v>NO</v>
      </c>
    </row>
    <row r="283" spans="1:21" ht="23.25" customHeight="1" thickTop="1" thickBot="1" x14ac:dyDescent="0.35">
      <c r="A283" s="96">
        <v>277</v>
      </c>
      <c r="B283" s="298" t="str">
        <f>+'Base de Datos'!E283</f>
        <v>150083-0-2015</v>
      </c>
      <c r="C283" s="298" t="str">
        <f>+'Base de Datos'!F283</f>
        <v>DIANA MARCELA REYES</v>
      </c>
      <c r="D283" s="299">
        <f>+'Base de Datos'!I283</f>
        <v>30900000</v>
      </c>
      <c r="E283" s="300">
        <f>+'Base de Datos'!M283</f>
        <v>42065</v>
      </c>
      <c r="F283" s="300">
        <f>+'Base de Datos'!N283</f>
        <v>42431</v>
      </c>
      <c r="G283" s="300" t="e">
        <f>+'Base de Datos'!#REF!</f>
        <v>#REF!</v>
      </c>
      <c r="H283" s="299">
        <f>+'Base de Datos'!X283</f>
        <v>30900000</v>
      </c>
      <c r="I283" s="301" t="e">
        <f>IF(VLOOKUP(B283,'Base de Datos'!$E$7:$T$303,11,0),"SI","NO")</f>
        <v>#VALUE!</v>
      </c>
      <c r="J283" s="302" t="e">
        <f t="shared" si="28"/>
        <v>#VALUE!</v>
      </c>
      <c r="K283" s="301" t="e">
        <f>IF(VLOOKUP(B283,'Base de Datos'!$E$7:$T$303,11,0),"SI","NO")</f>
        <v>#VALUE!</v>
      </c>
      <c r="L283" s="302" t="e">
        <f t="shared" si="29"/>
        <v>#VALUE!</v>
      </c>
      <c r="M283" s="302">
        <f>VLOOKUP(B283,'Base de Datos'!$E$7:$AC$303,21,0)</f>
        <v>30900000</v>
      </c>
      <c r="N283" s="363" t="e">
        <f t="shared" ca="1" si="33"/>
        <v>#REF!</v>
      </c>
      <c r="O283" s="302">
        <f>VLOOKUP(B283,'Base de Datos'!$E$7:$AC$303,22,0)</f>
        <v>0</v>
      </c>
      <c r="P283" s="362" t="str">
        <f t="shared" ca="1" si="30"/>
        <v/>
      </c>
      <c r="Q283" s="375" t="e">
        <f t="shared" ca="1" si="34"/>
        <v>#VALUE!</v>
      </c>
      <c r="R283" s="298" t="str">
        <f>VLOOKUP(B283,'Base de Datos'!E283:AU594,33,0)</f>
        <v>Oficina Asesora de Comunicaciones</v>
      </c>
      <c r="S283" s="301" t="e">
        <f t="shared" ca="1" si="31"/>
        <v>#REF!</v>
      </c>
      <c r="T283" s="298" t="str">
        <f t="shared" si="32"/>
        <v/>
      </c>
      <c r="U283" s="298" t="str">
        <f>VLOOKUP(B283,'Base de Datos'!$E$7:$AU$401,38,0)</f>
        <v>NO</v>
      </c>
    </row>
    <row r="284" spans="1:21" ht="23.25" customHeight="1" thickTop="1" thickBot="1" x14ac:dyDescent="0.35">
      <c r="A284" s="96">
        <v>278</v>
      </c>
      <c r="B284" s="298" t="str">
        <f>+'Base de Datos'!E284</f>
        <v>150097-0-2015</v>
      </c>
      <c r="C284" s="298" t="str">
        <f>+'Base de Datos'!F284</f>
        <v>ORGANIZACIÓN TERPEL S.A.</v>
      </c>
      <c r="D284" s="299">
        <f>+'Base de Datos'!I284</f>
        <v>444600000</v>
      </c>
      <c r="E284" s="300">
        <f>+'Base de Datos'!M284</f>
        <v>42064</v>
      </c>
      <c r="F284" s="300">
        <f>+'Base de Datos'!N284</f>
        <v>42339</v>
      </c>
      <c r="G284" s="300" t="e">
        <f>+'Base de Datos'!#REF!</f>
        <v>#REF!</v>
      </c>
      <c r="H284" s="299">
        <f>+'Base de Datos'!X284</f>
        <v>444600000</v>
      </c>
      <c r="I284" s="301" t="e">
        <f>IF(VLOOKUP(B284,'Base de Datos'!$E$7:$T$303,11,0),"SI","NO")</f>
        <v>#VALUE!</v>
      </c>
      <c r="J284" s="302" t="e">
        <f t="shared" si="28"/>
        <v>#VALUE!</v>
      </c>
      <c r="K284" s="301" t="e">
        <f>IF(VLOOKUP(B284,'Base de Datos'!$E$7:$T$303,11,0),"SI","NO")</f>
        <v>#VALUE!</v>
      </c>
      <c r="L284" s="302" t="e">
        <f t="shared" si="29"/>
        <v>#VALUE!</v>
      </c>
      <c r="M284" s="302">
        <f>VLOOKUP(B284,'Base de Datos'!$E$7:$AC$303,21,0)</f>
        <v>365337152</v>
      </c>
      <c r="N284" s="363" t="e">
        <f t="shared" ca="1" si="33"/>
        <v>#REF!</v>
      </c>
      <c r="O284" s="302">
        <f>VLOOKUP(B284,'Base de Datos'!$E$7:$AC$303,22,0)</f>
        <v>79262848</v>
      </c>
      <c r="P284" s="362" t="str">
        <f t="shared" ca="1" si="30"/>
        <v/>
      </c>
      <c r="Q284" s="375" t="e">
        <f t="shared" ca="1" si="34"/>
        <v>#VALUE!</v>
      </c>
      <c r="R284" s="298" t="str">
        <f>VLOOKUP(B284,'Base de Datos'!E284:AU595,33,0)</f>
        <v>Dirección Administrativa</v>
      </c>
      <c r="S284" s="301" t="e">
        <f t="shared" ca="1" si="31"/>
        <v>#REF!</v>
      </c>
      <c r="T284" s="298" t="str">
        <f t="shared" si="32"/>
        <v/>
      </c>
      <c r="U284" s="298">
        <f>VLOOKUP(B284,'Base de Datos'!$E$7:$AU$401,38,0)</f>
        <v>0</v>
      </c>
    </row>
    <row r="285" spans="1:21" ht="23.25" customHeight="1" thickTop="1" thickBot="1" x14ac:dyDescent="0.35">
      <c r="A285" s="96">
        <v>279</v>
      </c>
      <c r="B285" s="298" t="str">
        <f>+'Base de Datos'!E285</f>
        <v>150100-0-2015</v>
      </c>
      <c r="C285" s="298" t="str">
        <f>+'Base de Datos'!F285</f>
        <v>KHAANKO NORBERTO RUIZ RODRÍGUEZ</v>
      </c>
      <c r="D285" s="299">
        <f>+'Base de Datos'!I285</f>
        <v>38400000</v>
      </c>
      <c r="E285" s="300">
        <f>+'Base de Datos'!M285</f>
        <v>42073</v>
      </c>
      <c r="F285" s="300">
        <f>+'Base de Datos'!N285</f>
        <v>42439</v>
      </c>
      <c r="G285" s="300" t="e">
        <f>+'Base de Datos'!#REF!</f>
        <v>#REF!</v>
      </c>
      <c r="H285" s="299">
        <f>+'Base de Datos'!X285</f>
        <v>38400000</v>
      </c>
      <c r="I285" s="301" t="e">
        <f>IF(VLOOKUP(B285,'Base de Datos'!$E$7:$T$303,11,0),"SI","NO")</f>
        <v>#VALUE!</v>
      </c>
      <c r="J285" s="302" t="e">
        <f t="shared" si="28"/>
        <v>#VALUE!</v>
      </c>
      <c r="K285" s="301" t="e">
        <f>IF(VLOOKUP(B285,'Base de Datos'!$E$7:$T$303,11,0),"SI","NO")</f>
        <v>#VALUE!</v>
      </c>
      <c r="L285" s="302" t="e">
        <f t="shared" si="29"/>
        <v>#VALUE!</v>
      </c>
      <c r="M285" s="302">
        <f>VLOOKUP(B285,'Base de Datos'!$E$7:$AC$303,21,0)</f>
        <v>38400000</v>
      </c>
      <c r="N285" s="363" t="e">
        <f t="shared" ca="1" si="33"/>
        <v>#REF!</v>
      </c>
      <c r="O285" s="302">
        <f>VLOOKUP(B285,'Base de Datos'!$E$7:$AC$303,22,0)</f>
        <v>0</v>
      </c>
      <c r="P285" s="362" t="str">
        <f t="shared" ca="1" si="30"/>
        <v/>
      </c>
      <c r="Q285" s="375" t="e">
        <f t="shared" ca="1" si="34"/>
        <v>#VALUE!</v>
      </c>
      <c r="R285" s="298" t="str">
        <f>VLOOKUP(B285,'Base de Datos'!E285:AU596,33,0)</f>
        <v>Dirección Administrativa</v>
      </c>
      <c r="S285" s="301" t="e">
        <f t="shared" ca="1" si="31"/>
        <v>#REF!</v>
      </c>
      <c r="T285" s="298" t="str">
        <f t="shared" si="32"/>
        <v/>
      </c>
      <c r="U285" s="298" t="str">
        <f>VLOOKUP(B285,'Base de Datos'!$E$7:$AU$401,38,0)</f>
        <v>NO</v>
      </c>
    </row>
    <row r="286" spans="1:21" ht="23.25" customHeight="1" thickTop="1" thickBot="1" x14ac:dyDescent="0.35">
      <c r="A286" s="96">
        <v>280</v>
      </c>
      <c r="B286" s="298" t="str">
        <f>+'Base de Datos'!E286</f>
        <v>150101-0-2015</v>
      </c>
      <c r="C286" s="298" t="str">
        <f>+'Base de Datos'!F286</f>
        <v>GLORIA CATALINA ROSERO TOLEDO</v>
      </c>
      <c r="D286" s="299">
        <f>+'Base de Datos'!I286</f>
        <v>78000000</v>
      </c>
      <c r="E286" s="300">
        <f>+'Base de Datos'!M286</f>
        <v>42066</v>
      </c>
      <c r="F286" s="300">
        <f>+'Base de Datos'!N286</f>
        <v>42432</v>
      </c>
      <c r="G286" s="300" t="e">
        <f>+'Base de Datos'!#REF!</f>
        <v>#REF!</v>
      </c>
      <c r="H286" s="299">
        <f>+'Base de Datos'!X286</f>
        <v>78000000</v>
      </c>
      <c r="I286" s="301" t="e">
        <f>IF(VLOOKUP(B286,'Base de Datos'!$E$7:$T$303,11,0),"SI","NO")</f>
        <v>#VALUE!</v>
      </c>
      <c r="J286" s="302" t="e">
        <f t="shared" si="28"/>
        <v>#VALUE!</v>
      </c>
      <c r="K286" s="301" t="e">
        <f>IF(VLOOKUP(B286,'Base de Datos'!$E$7:$T$303,11,0),"SI","NO")</f>
        <v>#VALUE!</v>
      </c>
      <c r="L286" s="302" t="e">
        <f t="shared" si="29"/>
        <v>#VALUE!</v>
      </c>
      <c r="M286" s="302">
        <f>VLOOKUP(B286,'Base de Datos'!$E$7:$AC$303,21,0)</f>
        <v>78000000</v>
      </c>
      <c r="N286" s="363" t="e">
        <f t="shared" ca="1" si="33"/>
        <v>#REF!</v>
      </c>
      <c r="O286" s="302">
        <f>VLOOKUP(B286,'Base de Datos'!$E$7:$AC$303,22,0)</f>
        <v>0</v>
      </c>
      <c r="P286" s="362" t="str">
        <f t="shared" ca="1" si="30"/>
        <v/>
      </c>
      <c r="Q286" s="375" t="e">
        <f t="shared" ca="1" si="34"/>
        <v>#VALUE!</v>
      </c>
      <c r="R286" s="298" t="str">
        <f>VLOOKUP(B286,'Base de Datos'!E286:AU597,33,0)</f>
        <v>Dirección Jurídica</v>
      </c>
      <c r="S286" s="301" t="e">
        <f t="shared" ca="1" si="31"/>
        <v>#REF!</v>
      </c>
      <c r="T286" s="298" t="str">
        <f t="shared" si="32"/>
        <v/>
      </c>
      <c r="U286" s="298" t="str">
        <f>VLOOKUP(B286,'Base de Datos'!$E$7:$AU$401,38,0)</f>
        <v>NO</v>
      </c>
    </row>
    <row r="287" spans="1:21" ht="23.25" customHeight="1" thickTop="1" thickBot="1" x14ac:dyDescent="0.35">
      <c r="A287" s="96">
        <v>281</v>
      </c>
      <c r="B287" s="298" t="str">
        <f>+'Base de Datos'!E287</f>
        <v>150102-0-2015</v>
      </c>
      <c r="C287" s="298" t="str">
        <f>+'Base de Datos'!F287</f>
        <v>LINA MARÍA GONZÁLEZ RUIZ</v>
      </c>
      <c r="D287" s="299">
        <f>+'Base de Datos'!I287</f>
        <v>30900000</v>
      </c>
      <c r="E287" s="300">
        <f>+'Base de Datos'!M287</f>
        <v>42073</v>
      </c>
      <c r="F287" s="300">
        <f>+'Base de Datos'!N287</f>
        <v>42439</v>
      </c>
      <c r="G287" s="300" t="e">
        <f>+'Base de Datos'!#REF!</f>
        <v>#REF!</v>
      </c>
      <c r="H287" s="299">
        <f>+'Base de Datos'!X287</f>
        <v>30900000</v>
      </c>
      <c r="I287" s="301" t="e">
        <f>IF(VLOOKUP(B287,'Base de Datos'!$E$7:$T$303,11,0),"SI","NO")</f>
        <v>#VALUE!</v>
      </c>
      <c r="J287" s="302" t="e">
        <f t="shared" si="28"/>
        <v>#VALUE!</v>
      </c>
      <c r="K287" s="301" t="e">
        <f>IF(VLOOKUP(B287,'Base de Datos'!$E$7:$T$303,11,0),"SI","NO")</f>
        <v>#VALUE!</v>
      </c>
      <c r="L287" s="302" t="e">
        <f t="shared" si="29"/>
        <v>#VALUE!</v>
      </c>
      <c r="M287" s="302">
        <f>VLOOKUP(B287,'Base de Datos'!$E$7:$AC$303,21,0)</f>
        <v>30900000</v>
      </c>
      <c r="N287" s="363" t="e">
        <f t="shared" ca="1" si="33"/>
        <v>#REF!</v>
      </c>
      <c r="O287" s="302">
        <f>VLOOKUP(B287,'Base de Datos'!$E$7:$AC$303,22,0)</f>
        <v>0</v>
      </c>
      <c r="P287" s="362" t="str">
        <f t="shared" ca="1" si="30"/>
        <v/>
      </c>
      <c r="Q287" s="375" t="e">
        <f t="shared" ca="1" si="34"/>
        <v>#VALUE!</v>
      </c>
      <c r="R287" s="298" t="str">
        <f>VLOOKUP(B287,'Base de Datos'!E287:AU598,33,0)</f>
        <v>Dirección Financiera</v>
      </c>
      <c r="S287" s="301" t="e">
        <f t="shared" ca="1" si="31"/>
        <v>#REF!</v>
      </c>
      <c r="T287" s="298" t="str">
        <f t="shared" si="32"/>
        <v/>
      </c>
      <c r="U287" s="298" t="str">
        <f>VLOOKUP(B287,'Base de Datos'!$E$7:$AU$401,38,0)</f>
        <v>NO</v>
      </c>
    </row>
    <row r="288" spans="1:21" ht="23.25" customHeight="1" thickTop="1" thickBot="1" x14ac:dyDescent="0.35">
      <c r="A288" s="96">
        <v>282</v>
      </c>
      <c r="B288" s="298" t="str">
        <f>+'Base de Datos'!E289</f>
        <v>150113-0-2015</v>
      </c>
      <c r="C288" s="298" t="str">
        <f>+'Base de Datos'!F289</f>
        <v>JARGU S.A. CORREDORES DE SEGUROS</v>
      </c>
      <c r="D288" s="299">
        <f>+'Base de Datos'!I289</f>
        <v>0</v>
      </c>
      <c r="E288" s="300">
        <f>+'Base de Datos'!M289</f>
        <v>0</v>
      </c>
      <c r="F288" s="300">
        <f>+'Base de Datos'!N289</f>
        <v>0</v>
      </c>
      <c r="G288" s="300" t="e">
        <f>+'Base de Datos'!#REF!</f>
        <v>#REF!</v>
      </c>
      <c r="H288" s="299">
        <f>+'Base de Datos'!X289</f>
        <v>0</v>
      </c>
      <c r="I288" s="301" t="e">
        <f>IF(VLOOKUP(B288,'Base de Datos'!$E$7:$T$303,11,0),"SI","NO")</f>
        <v>#VALUE!</v>
      </c>
      <c r="J288" s="302" t="e">
        <f t="shared" si="28"/>
        <v>#VALUE!</v>
      </c>
      <c r="K288" s="301" t="e">
        <f>IF(VLOOKUP(B288,'Base de Datos'!$E$7:$T$303,11,0),"SI","NO")</f>
        <v>#VALUE!</v>
      </c>
      <c r="L288" s="302" t="e">
        <f t="shared" si="29"/>
        <v>#VALUE!</v>
      </c>
      <c r="M288" s="302">
        <f>VLOOKUP(B288,'Base de Datos'!$E$7:$AC$303,21,0)</f>
        <v>0</v>
      </c>
      <c r="N288" s="363" t="e">
        <f t="shared" ca="1" si="33"/>
        <v>#REF!</v>
      </c>
      <c r="O288" s="302">
        <f>VLOOKUP(B288,'Base de Datos'!$E$7:$AC$303,22,0)</f>
        <v>0</v>
      </c>
      <c r="P288" s="362" t="str">
        <f t="shared" ca="1" si="30"/>
        <v/>
      </c>
      <c r="Q288" s="375" t="e">
        <f t="shared" ca="1" si="34"/>
        <v>#VALUE!</v>
      </c>
      <c r="R288" s="298">
        <f>VLOOKUP(B288,'Base de Datos'!E288:AU599,33,0)</f>
        <v>0</v>
      </c>
      <c r="S288" s="301" t="e">
        <f t="shared" ca="1" si="31"/>
        <v>#REF!</v>
      </c>
      <c r="T288" s="298" t="str">
        <f t="shared" si="32"/>
        <v/>
      </c>
      <c r="U288" s="298" t="str">
        <f>VLOOKUP(B288,'Base de Datos'!$E$7:$AU$401,38,0)</f>
        <v>SI</v>
      </c>
    </row>
    <row r="289" spans="1:21" ht="23.25" customHeight="1" thickTop="1" thickBot="1" x14ac:dyDescent="0.35">
      <c r="A289" s="96">
        <v>283</v>
      </c>
      <c r="B289" s="298" t="str">
        <f>+'Base de Datos'!E290</f>
        <v>150124-0-2015</v>
      </c>
      <c r="C289" s="298" t="str">
        <f>+'Base de Datos'!F290</f>
        <v>DPC LTDA PUBLICACIONES DESPACHOS PÚBLICOS DE COLOMBIA LTDA</v>
      </c>
      <c r="D289" s="299">
        <f>+'Base de Datos'!I290</f>
        <v>4100000</v>
      </c>
      <c r="E289" s="300">
        <f>+'Base de Datos'!M290</f>
        <v>42088</v>
      </c>
      <c r="F289" s="300">
        <f>+'Base de Datos'!N290</f>
        <v>42241</v>
      </c>
      <c r="G289" s="300" t="e">
        <f>+'Base de Datos'!#REF!</f>
        <v>#REF!</v>
      </c>
      <c r="H289" s="299">
        <f>+'Base de Datos'!X290</f>
        <v>4100000</v>
      </c>
      <c r="I289" s="301" t="e">
        <f>IF(VLOOKUP(B289,'Base de Datos'!$E$7:$T$303,11,0),"SI","NO")</f>
        <v>#VALUE!</v>
      </c>
      <c r="J289" s="302" t="e">
        <f t="shared" si="28"/>
        <v>#VALUE!</v>
      </c>
      <c r="K289" s="301" t="e">
        <f>IF(VLOOKUP(B289,'Base de Datos'!$E$7:$T$303,11,0),"SI","NO")</f>
        <v>#VALUE!</v>
      </c>
      <c r="L289" s="302" t="e">
        <f t="shared" si="29"/>
        <v>#VALUE!</v>
      </c>
      <c r="M289" s="302">
        <f>VLOOKUP(B289,'Base de Datos'!$E$7:$AC$303,21,0)</f>
        <v>4100000</v>
      </c>
      <c r="N289" s="363" t="e">
        <f t="shared" ca="1" si="33"/>
        <v>#REF!</v>
      </c>
      <c r="O289" s="302">
        <f>VLOOKUP(B289,'Base de Datos'!$E$7:$AC$303,22,0)</f>
        <v>0</v>
      </c>
      <c r="P289" s="362" t="str">
        <f t="shared" ca="1" si="30"/>
        <v/>
      </c>
      <c r="Q289" s="375" t="e">
        <f t="shared" ca="1" si="34"/>
        <v>#VALUE!</v>
      </c>
      <c r="R289" s="298" t="str">
        <f>VLOOKUP(B289,'Base de Datos'!E289:AU600,33,0)</f>
        <v>Oficina Asesora de Comunicaciones</v>
      </c>
      <c r="S289" s="301" t="e">
        <f t="shared" ca="1" si="31"/>
        <v>#REF!</v>
      </c>
      <c r="T289" s="298" t="str">
        <f t="shared" si="32"/>
        <v/>
      </c>
      <c r="U289" s="298" t="str">
        <f>VLOOKUP(B289,'Base de Datos'!$E$7:$AU$401,38,0)</f>
        <v>NO</v>
      </c>
    </row>
    <row r="290" spans="1:21" ht="23.25" customHeight="1" thickTop="1" thickBot="1" x14ac:dyDescent="0.35">
      <c r="A290" s="96">
        <v>284</v>
      </c>
      <c r="B290" s="298" t="str">
        <f>+'Base de Datos'!E291</f>
        <v>150123-0-2015</v>
      </c>
      <c r="C290" s="298" t="str">
        <f>+'Base de Datos'!F291</f>
        <v>CASA EDITORIAL EL TIEMPO SA</v>
      </c>
      <c r="D290" s="299">
        <f>+'Base de Datos'!I291</f>
        <v>1226994</v>
      </c>
      <c r="E290" s="300">
        <f>+'Base de Datos'!M291</f>
        <v>42082</v>
      </c>
      <c r="F290" s="300">
        <f>+'Base de Datos'!N291</f>
        <v>42447</v>
      </c>
      <c r="G290" s="300" t="e">
        <f>+'Base de Datos'!#REF!</f>
        <v>#REF!</v>
      </c>
      <c r="H290" s="299">
        <f>+'Base de Datos'!X291</f>
        <v>1226994</v>
      </c>
      <c r="I290" s="301" t="e">
        <f>IF(VLOOKUP(B290,'Base de Datos'!$E$7:$T$303,11,0),"SI","NO")</f>
        <v>#VALUE!</v>
      </c>
      <c r="J290" s="302" t="e">
        <f t="shared" si="28"/>
        <v>#VALUE!</v>
      </c>
      <c r="K290" s="301" t="e">
        <f>IF(VLOOKUP(B290,'Base de Datos'!$E$7:$T$303,11,0),"SI","NO")</f>
        <v>#VALUE!</v>
      </c>
      <c r="L290" s="302" t="e">
        <f t="shared" si="29"/>
        <v>#VALUE!</v>
      </c>
      <c r="M290" s="302">
        <f>VLOOKUP(B290,'Base de Datos'!$E$7:$AC$303,21,0)</f>
        <v>1226994</v>
      </c>
      <c r="N290" s="363" t="e">
        <f t="shared" ca="1" si="33"/>
        <v>#REF!</v>
      </c>
      <c r="O290" s="302">
        <f>VLOOKUP(B290,'Base de Datos'!$E$7:$AC$303,22,0)</f>
        <v>0</v>
      </c>
      <c r="P290" s="362" t="str">
        <f t="shared" ca="1" si="30"/>
        <v/>
      </c>
      <c r="Q290" s="375" t="e">
        <f t="shared" ca="1" si="34"/>
        <v>#VALUE!</v>
      </c>
      <c r="R290" s="298" t="str">
        <f>VLOOKUP(B290,'Base de Datos'!E290:AU601,33,0)</f>
        <v>Oficina Asesora de Comunicaciones</v>
      </c>
      <c r="S290" s="301" t="e">
        <f t="shared" ca="1" si="31"/>
        <v>#REF!</v>
      </c>
      <c r="T290" s="298" t="str">
        <f t="shared" si="32"/>
        <v/>
      </c>
      <c r="U290" s="298" t="str">
        <f>VLOOKUP(B290,'Base de Datos'!$E$7:$AU$401,38,0)</f>
        <v>SI</v>
      </c>
    </row>
    <row r="291" spans="1:21" ht="23.25" customHeight="1" thickTop="1" thickBot="1" x14ac:dyDescent="0.35">
      <c r="A291" s="96">
        <v>285</v>
      </c>
      <c r="B291" s="298" t="str">
        <f>+'Base de Datos'!E292</f>
        <v>150128-0-2015</v>
      </c>
      <c r="C291" s="298" t="str">
        <f>+'Base de Datos'!F292</f>
        <v>PASSWORD CONSULTING SERVICES S.A.S.</v>
      </c>
      <c r="D291" s="299">
        <f>+'Base de Datos'!I292</f>
        <v>334080000</v>
      </c>
      <c r="E291" s="300">
        <f>+'Base de Datos'!M292</f>
        <v>42104</v>
      </c>
      <c r="F291" s="300">
        <f>+'Base de Datos'!N292</f>
        <v>42287</v>
      </c>
      <c r="G291" s="300" t="e">
        <f>+'Base de Datos'!#REF!</f>
        <v>#REF!</v>
      </c>
      <c r="H291" s="299">
        <f>+'Base de Datos'!X292</f>
        <v>334080000</v>
      </c>
      <c r="I291" s="301" t="e">
        <f>IF(VLOOKUP(B291,'Base de Datos'!$E$7:$T$303,11,0),"SI","NO")</f>
        <v>#VALUE!</v>
      </c>
      <c r="J291" s="302" t="e">
        <f t="shared" si="28"/>
        <v>#VALUE!</v>
      </c>
      <c r="K291" s="301" t="e">
        <f>IF(VLOOKUP(B291,'Base de Datos'!$E$7:$T$303,11,0),"SI","NO")</f>
        <v>#VALUE!</v>
      </c>
      <c r="L291" s="302" t="e">
        <f t="shared" si="29"/>
        <v>#VALUE!</v>
      </c>
      <c r="M291" s="302">
        <f>VLOOKUP(B291,'Base de Datos'!$E$7:$AC$303,21,0)</f>
        <v>334080000</v>
      </c>
      <c r="N291" s="363" t="e">
        <f t="shared" ca="1" si="33"/>
        <v>#REF!</v>
      </c>
      <c r="O291" s="302">
        <f>VLOOKUP(B291,'Base de Datos'!$E$7:$AC$303,22,0)</f>
        <v>0</v>
      </c>
      <c r="P291" s="362" t="str">
        <f t="shared" ca="1" si="30"/>
        <v/>
      </c>
      <c r="Q291" s="375" t="e">
        <f t="shared" ca="1" si="34"/>
        <v>#VALUE!</v>
      </c>
      <c r="R291" s="298" t="str">
        <f>VLOOKUP(B291,'Base de Datos'!E291:AU602,33,0)</f>
        <v>Dirección Administrativa</v>
      </c>
      <c r="S291" s="301" t="e">
        <f t="shared" ca="1" si="31"/>
        <v>#REF!</v>
      </c>
      <c r="T291" s="298" t="str">
        <f t="shared" si="32"/>
        <v/>
      </c>
      <c r="U291" s="298" t="str">
        <f>VLOOKUP(B291,'Base de Datos'!$E$7:$AU$401,38,0)</f>
        <v>SI</v>
      </c>
    </row>
    <row r="292" spans="1:21" ht="23.25" customHeight="1" thickTop="1" thickBot="1" x14ac:dyDescent="0.35">
      <c r="A292" s="96">
        <v>286</v>
      </c>
      <c r="B292" s="298" t="str">
        <f>+'Base de Datos'!E293</f>
        <v>150129-0-2015</v>
      </c>
      <c r="C292" s="298" t="str">
        <f>+'Base de Datos'!F293</f>
        <v>DIEGO ALEJANDRO RUBIO RAMOS</v>
      </c>
      <c r="D292" s="299">
        <f>+'Base de Datos'!I293</f>
        <v>7442000</v>
      </c>
      <c r="E292" s="300">
        <f>+'Base de Datos'!M293</f>
        <v>42111</v>
      </c>
      <c r="F292" s="300">
        <f>+'Base de Datos'!N293</f>
        <v>42477</v>
      </c>
      <c r="G292" s="300" t="e">
        <f>+'Base de Datos'!#REF!</f>
        <v>#REF!</v>
      </c>
      <c r="H292" s="299">
        <f>+'Base de Datos'!X293</f>
        <v>7442000</v>
      </c>
      <c r="I292" s="301" t="e">
        <f>IF(VLOOKUP(B292,'Base de Datos'!$E$7:$T$303,11,0),"SI","NO")</f>
        <v>#VALUE!</v>
      </c>
      <c r="J292" s="302" t="e">
        <f t="shared" si="28"/>
        <v>#VALUE!</v>
      </c>
      <c r="K292" s="301" t="e">
        <f>IF(VLOOKUP(B292,'Base de Datos'!$E$7:$T$303,11,0),"SI","NO")</f>
        <v>#VALUE!</v>
      </c>
      <c r="L292" s="302" t="e">
        <f t="shared" si="29"/>
        <v>#VALUE!</v>
      </c>
      <c r="M292" s="302">
        <f>VLOOKUP(B292,'Base de Datos'!$E$7:$AC$303,21,0)</f>
        <v>5249000</v>
      </c>
      <c r="N292" s="363" t="e">
        <f t="shared" ca="1" si="33"/>
        <v>#REF!</v>
      </c>
      <c r="O292" s="302">
        <f>VLOOKUP(B292,'Base de Datos'!$E$7:$AC$303,22,0)</f>
        <v>2193000</v>
      </c>
      <c r="P292" s="362" t="str">
        <f t="shared" ca="1" si="30"/>
        <v/>
      </c>
      <c r="Q292" s="375" t="e">
        <f t="shared" ca="1" si="34"/>
        <v>#VALUE!</v>
      </c>
      <c r="R292" s="298" t="str">
        <f>VLOOKUP(B292,'Base de Datos'!E292:AU603,33,0)</f>
        <v>Dirección Administrativa</v>
      </c>
      <c r="S292" s="301" t="e">
        <f t="shared" ca="1" si="31"/>
        <v>#REF!</v>
      </c>
      <c r="T292" s="298" t="str">
        <f t="shared" si="32"/>
        <v/>
      </c>
      <c r="U292" s="298" t="str">
        <f>VLOOKUP(B292,'Base de Datos'!$E$7:$AU$401,38,0)</f>
        <v>SI</v>
      </c>
    </row>
    <row r="293" spans="1:21" ht="23.25" customHeight="1" thickTop="1" thickBot="1" x14ac:dyDescent="0.35">
      <c r="A293" s="96">
        <v>287</v>
      </c>
      <c r="B293" s="298" t="str">
        <f>+'Base de Datos'!E294</f>
        <v>150192-0-2015</v>
      </c>
      <c r="C293" s="298" t="str">
        <f>+'Base de Datos'!F294</f>
        <v>INVERSIONES MATAY SAS</v>
      </c>
      <c r="D293" s="299">
        <f>+'Base de Datos'!I294</f>
        <v>379200000</v>
      </c>
      <c r="E293" s="300">
        <f>+'Base de Datos'!M294</f>
        <v>42109</v>
      </c>
      <c r="F293" s="300">
        <f>+'Base de Datos'!N294</f>
        <v>42429</v>
      </c>
      <c r="G293" s="300" t="e">
        <f>+'Base de Datos'!#REF!</f>
        <v>#REF!</v>
      </c>
      <c r="H293" s="299">
        <f>+'Base de Datos'!X294</f>
        <v>559200000</v>
      </c>
      <c r="I293" s="301" t="e">
        <f>IF(VLOOKUP(B293,'Base de Datos'!$E$7:$T$303,11,0),"SI","NO")</f>
        <v>#VALUE!</v>
      </c>
      <c r="J293" s="302" t="e">
        <f t="shared" si="28"/>
        <v>#VALUE!</v>
      </c>
      <c r="K293" s="301" t="e">
        <f>IF(VLOOKUP(B293,'Base de Datos'!$E$7:$T$303,11,0),"SI","NO")</f>
        <v>#VALUE!</v>
      </c>
      <c r="L293" s="302" t="e">
        <f t="shared" si="29"/>
        <v>#VALUE!</v>
      </c>
      <c r="M293" s="302">
        <f>VLOOKUP(B293,'Base de Datos'!$E$7:$AC$303,21,0)</f>
        <v>559200000</v>
      </c>
      <c r="N293" s="363" t="e">
        <f t="shared" ca="1" si="33"/>
        <v>#REF!</v>
      </c>
      <c r="O293" s="302">
        <f>VLOOKUP(B293,'Base de Datos'!$E$7:$AC$303,22,0)</f>
        <v>0</v>
      </c>
      <c r="P293" s="362" t="str">
        <f t="shared" ca="1" si="30"/>
        <v/>
      </c>
      <c r="Q293" s="375" t="e">
        <f t="shared" ca="1" si="34"/>
        <v>#VALUE!</v>
      </c>
      <c r="R293" s="298" t="str">
        <f>VLOOKUP(B293,'Base de Datos'!E293:AU604,33,0)</f>
        <v>Dirección Administrativa</v>
      </c>
      <c r="S293" s="301" t="e">
        <f t="shared" ca="1" si="31"/>
        <v>#REF!</v>
      </c>
      <c r="T293" s="298" t="str">
        <f t="shared" si="32"/>
        <v/>
      </c>
      <c r="U293" s="298" t="str">
        <f>VLOOKUP(B293,'Base de Datos'!$E$7:$AU$401,38,0)</f>
        <v>SI</v>
      </c>
    </row>
    <row r="294" spans="1:21" ht="23.25" customHeight="1" thickTop="1" thickBot="1" x14ac:dyDescent="0.35">
      <c r="A294" s="96">
        <v>288</v>
      </c>
      <c r="B294" s="298" t="str">
        <f>+'Base de Datos'!E295</f>
        <v>150152-0-2015</v>
      </c>
      <c r="C294" s="298" t="str">
        <f>+'Base de Datos'!F295</f>
        <v>REPRESENTACIONES E INVERSIONES AGUAFILTERS J F LTDA</v>
      </c>
      <c r="D294" s="299">
        <f>+'Base de Datos'!I295</f>
        <v>3035520</v>
      </c>
      <c r="E294" s="300">
        <f>+'Base de Datos'!M295</f>
        <v>42121</v>
      </c>
      <c r="F294" s="300">
        <f>+'Base de Datos'!N295</f>
        <v>42487</v>
      </c>
      <c r="G294" s="300" t="e">
        <f>+'Base de Datos'!#REF!</f>
        <v>#REF!</v>
      </c>
      <c r="H294" s="299">
        <f>+'Base de Datos'!X295</f>
        <v>3035520</v>
      </c>
      <c r="I294" s="301" t="e">
        <f>IF(VLOOKUP(B294,'Base de Datos'!$E$7:$T$303,11,0),"SI","NO")</f>
        <v>#VALUE!</v>
      </c>
      <c r="J294" s="302" t="e">
        <f t="shared" si="28"/>
        <v>#VALUE!</v>
      </c>
      <c r="K294" s="301" t="e">
        <f>IF(VLOOKUP(B294,'Base de Datos'!$E$7:$T$303,11,0),"SI","NO")</f>
        <v>#VALUE!</v>
      </c>
      <c r="L294" s="302" t="e">
        <f t="shared" si="29"/>
        <v>#VALUE!</v>
      </c>
      <c r="M294" s="302">
        <f>VLOOKUP(B294,'Base de Datos'!$E$7:$AC$303,21,0)</f>
        <v>2009011</v>
      </c>
      <c r="N294" s="363" t="e">
        <f t="shared" ca="1" si="33"/>
        <v>#REF!</v>
      </c>
      <c r="O294" s="302">
        <f>VLOOKUP(B294,'Base de Datos'!$E$7:$AC$303,22,0)</f>
        <v>1026509</v>
      </c>
      <c r="P294" s="362" t="str">
        <f t="shared" ca="1" si="30"/>
        <v/>
      </c>
      <c r="Q294" s="375" t="e">
        <f t="shared" ca="1" si="34"/>
        <v>#VALUE!</v>
      </c>
      <c r="R294" s="298" t="str">
        <f>VLOOKUP(B294,'Base de Datos'!E294:AU605,33,0)</f>
        <v>Dirección Administrativa</v>
      </c>
      <c r="S294" s="301" t="e">
        <f t="shared" ca="1" si="31"/>
        <v>#REF!</v>
      </c>
      <c r="T294" s="298" t="str">
        <f t="shared" si="32"/>
        <v/>
      </c>
      <c r="U294" s="298" t="str">
        <f>VLOOKUP(B294,'Base de Datos'!$E$7:$AU$401,38,0)</f>
        <v>SI</v>
      </c>
    </row>
    <row r="295" spans="1:21" ht="23.25" customHeight="1" thickTop="1" thickBot="1" x14ac:dyDescent="0.35">
      <c r="A295" s="96">
        <v>289</v>
      </c>
      <c r="B295" s="298" t="str">
        <f>+'Base de Datos'!E296</f>
        <v>150168-0-2015</v>
      </c>
      <c r="C295" s="298" t="str">
        <f>+'Base de Datos'!F296</f>
        <v>MONRAK INGENIERIA LIMITADA</v>
      </c>
      <c r="D295" s="299">
        <f>+'Base de Datos'!I296</f>
        <v>4721200</v>
      </c>
      <c r="E295" s="300">
        <f>+'Base de Datos'!M296</f>
        <v>42116</v>
      </c>
      <c r="F295" s="300">
        <f>+'Base de Datos'!N296</f>
        <v>42451</v>
      </c>
      <c r="G295" s="300" t="e">
        <f>+'Base de Datos'!#REF!</f>
        <v>#REF!</v>
      </c>
      <c r="H295" s="299">
        <f>+'Base de Datos'!X296</f>
        <v>4721200</v>
      </c>
      <c r="I295" s="301" t="e">
        <f>IF(VLOOKUP(B295,'Base de Datos'!$E$7:$T$303,11,0),"SI","NO")</f>
        <v>#VALUE!</v>
      </c>
      <c r="J295" s="302" t="e">
        <f t="shared" si="28"/>
        <v>#VALUE!</v>
      </c>
      <c r="K295" s="301" t="e">
        <f>IF(VLOOKUP(B295,'Base de Datos'!$E$7:$T$303,11,0),"SI","NO")</f>
        <v>#VALUE!</v>
      </c>
      <c r="L295" s="302" t="e">
        <f t="shared" si="29"/>
        <v>#VALUE!</v>
      </c>
      <c r="M295" s="302">
        <f>VLOOKUP(B295,'Base de Datos'!$E$7:$AC$303,21,0)</f>
        <v>4721200</v>
      </c>
      <c r="N295" s="363" t="e">
        <f t="shared" ca="1" si="33"/>
        <v>#REF!</v>
      </c>
      <c r="O295" s="302">
        <f>VLOOKUP(B295,'Base de Datos'!$E$7:$AC$303,22,0)</f>
        <v>0</v>
      </c>
      <c r="P295" s="362" t="str">
        <f t="shared" ca="1" si="30"/>
        <v/>
      </c>
      <c r="Q295" s="375" t="e">
        <f t="shared" ca="1" si="34"/>
        <v>#VALUE!</v>
      </c>
      <c r="R295" s="298" t="str">
        <f>VLOOKUP(B295,'Base de Datos'!E295:AU606,33,0)</f>
        <v>Dirección Administrativa</v>
      </c>
      <c r="S295" s="301" t="e">
        <f t="shared" ca="1" si="31"/>
        <v>#REF!</v>
      </c>
      <c r="T295" s="298" t="str">
        <f t="shared" si="32"/>
        <v/>
      </c>
      <c r="U295" s="298" t="str">
        <f>VLOOKUP(B295,'Base de Datos'!$E$7:$AU$401,38,0)</f>
        <v>SI</v>
      </c>
    </row>
    <row r="296" spans="1:21" ht="23.25" customHeight="1" thickTop="1" thickBot="1" x14ac:dyDescent="0.35">
      <c r="A296" s="96">
        <v>290</v>
      </c>
      <c r="B296" s="298" t="str">
        <f>+'Base de Datos'!E297</f>
        <v>150141-0-2015</v>
      </c>
      <c r="C296" s="298" t="str">
        <f>+'Base de Datos'!F297</f>
        <v>MIGUEL ANDRÉS GUTIÉRREZ ROMERO</v>
      </c>
      <c r="D296" s="299">
        <f>+'Base de Datos'!I297</f>
        <v>28000000</v>
      </c>
      <c r="E296" s="300">
        <f>+'Base de Datos'!M297</f>
        <v>42116</v>
      </c>
      <c r="F296" s="300">
        <f>+'Base de Datos'!N297</f>
        <v>42482</v>
      </c>
      <c r="G296" s="300" t="e">
        <f>+'Base de Datos'!#REF!</f>
        <v>#REF!</v>
      </c>
      <c r="H296" s="299">
        <f>+'Base de Datos'!X297</f>
        <v>28000000</v>
      </c>
      <c r="I296" s="301" t="e">
        <f>IF(VLOOKUP(B296,'Base de Datos'!$E$7:$T$303,11,0),"SI","NO")</f>
        <v>#VALUE!</v>
      </c>
      <c r="J296" s="302" t="e">
        <f t="shared" si="28"/>
        <v>#VALUE!</v>
      </c>
      <c r="K296" s="301" t="e">
        <f>IF(VLOOKUP(B296,'Base de Datos'!$E$7:$T$303,11,0),"SI","NO")</f>
        <v>#VALUE!</v>
      </c>
      <c r="L296" s="302" t="e">
        <f t="shared" si="29"/>
        <v>#VALUE!</v>
      </c>
      <c r="M296" s="302">
        <f>VLOOKUP(B296,'Base de Datos'!$E$7:$AC$303,21,0)</f>
        <v>27999658</v>
      </c>
      <c r="N296" s="363" t="e">
        <f t="shared" ca="1" si="33"/>
        <v>#REF!</v>
      </c>
      <c r="O296" s="302">
        <f>VLOOKUP(B296,'Base de Datos'!$E$7:$AC$303,22,0)</f>
        <v>342</v>
      </c>
      <c r="P296" s="362" t="str">
        <f t="shared" ca="1" si="30"/>
        <v/>
      </c>
      <c r="Q296" s="375" t="e">
        <f t="shared" ca="1" si="34"/>
        <v>#VALUE!</v>
      </c>
      <c r="R296" s="298" t="str">
        <f>VLOOKUP(B296,'Base de Datos'!E296:AU607,33,0)</f>
        <v>Dirección Administrativa</v>
      </c>
      <c r="S296" s="301" t="e">
        <f t="shared" ca="1" si="31"/>
        <v>#REF!</v>
      </c>
      <c r="T296" s="298" t="str">
        <f t="shared" si="32"/>
        <v/>
      </c>
      <c r="U296" s="298" t="str">
        <f>VLOOKUP(B296,'Base de Datos'!$E$7:$AU$401,38,0)</f>
        <v>SI</v>
      </c>
    </row>
    <row r="297" spans="1:21" ht="23.25" customHeight="1" thickTop="1" thickBot="1" x14ac:dyDescent="0.35">
      <c r="A297" s="96">
        <v>291</v>
      </c>
      <c r="B297" s="298" t="str">
        <f>+'Base de Datos'!E298</f>
        <v>150198-0-2015</v>
      </c>
      <c r="C297" s="298" t="str">
        <f>+'Base de Datos'!F298</f>
        <v>UNIDAD NACIONAL DE PROTECCIÓN UNP</v>
      </c>
      <c r="D297" s="299">
        <f>+'Base de Datos'!I298</f>
        <v>4174276985</v>
      </c>
      <c r="E297" s="300">
        <f>+'Base de Datos'!M298</f>
        <v>42117</v>
      </c>
      <c r="F297" s="300">
        <f>+'Base de Datos'!N298</f>
        <v>42468</v>
      </c>
      <c r="G297" s="300" t="e">
        <f>+'Base de Datos'!#REF!</f>
        <v>#REF!</v>
      </c>
      <c r="H297" s="299">
        <f>+'Base de Datos'!X298</f>
        <v>4174276985</v>
      </c>
      <c r="I297" s="301" t="e">
        <f>IF(VLOOKUP(B297,'Base de Datos'!$E$7:$T$303,11,0),"SI","NO")</f>
        <v>#VALUE!</v>
      </c>
      <c r="J297" s="302" t="e">
        <f t="shared" si="28"/>
        <v>#VALUE!</v>
      </c>
      <c r="K297" s="301" t="e">
        <f>IF(VLOOKUP(B297,'Base de Datos'!$E$7:$T$303,11,0),"SI","NO")</f>
        <v>#VALUE!</v>
      </c>
      <c r="L297" s="302" t="e">
        <f t="shared" si="29"/>
        <v>#VALUE!</v>
      </c>
      <c r="M297" s="302">
        <f>VLOOKUP(B297,'Base de Datos'!$E$7:$AC$303,21,0)</f>
        <v>3756849288</v>
      </c>
      <c r="N297" s="363" t="e">
        <f t="shared" ca="1" si="33"/>
        <v>#REF!</v>
      </c>
      <c r="O297" s="302">
        <f>VLOOKUP(B297,'Base de Datos'!$E$7:$AC$303,22,0)</f>
        <v>417427697</v>
      </c>
      <c r="P297" s="362" t="str">
        <f t="shared" ca="1" si="30"/>
        <v/>
      </c>
      <c r="Q297" s="375" t="e">
        <f t="shared" ca="1" si="34"/>
        <v>#VALUE!</v>
      </c>
      <c r="R297" s="298" t="str">
        <f>VLOOKUP(B297,'Base de Datos'!E297:AU608,33,0)</f>
        <v>Dirección Administrativa</v>
      </c>
      <c r="S297" s="301" t="e">
        <f t="shared" ca="1" si="31"/>
        <v>#REF!</v>
      </c>
      <c r="T297" s="298" t="str">
        <f t="shared" si="32"/>
        <v/>
      </c>
      <c r="U297" s="298" t="str">
        <f>VLOOKUP(B297,'Base de Datos'!$E$7:$AU$401,38,0)</f>
        <v>SI</v>
      </c>
    </row>
    <row r="298" spans="1:21" ht="23.25" customHeight="1" thickTop="1" thickBot="1" x14ac:dyDescent="0.35">
      <c r="A298" s="96">
        <v>292</v>
      </c>
      <c r="B298" s="298" t="str">
        <f>+'Base de Datos'!E299</f>
        <v>150191-0-2015</v>
      </c>
      <c r="C298" s="298" t="str">
        <f>+'Base de Datos'!F299</f>
        <v>HERNANDO  BULLA ORJUELA</v>
      </c>
      <c r="D298" s="299">
        <f>+'Base de Datos'!I299</f>
        <v>27620000</v>
      </c>
      <c r="E298" s="300">
        <f>+'Base de Datos'!M299</f>
        <v>42137</v>
      </c>
      <c r="F298" s="300">
        <f>+'Base de Datos'!N299</f>
        <v>42503</v>
      </c>
      <c r="G298" s="300" t="e">
        <f>+'Base de Datos'!#REF!</f>
        <v>#REF!</v>
      </c>
      <c r="H298" s="299">
        <f>+'Base de Datos'!X299</f>
        <v>41620000</v>
      </c>
      <c r="I298" s="301" t="e">
        <f>IF(VLOOKUP(B298,'Base de Datos'!$E$7:$T$303,11,0),"SI","NO")</f>
        <v>#VALUE!</v>
      </c>
      <c r="J298" s="302" t="e">
        <f t="shared" si="28"/>
        <v>#VALUE!</v>
      </c>
      <c r="K298" s="301" t="e">
        <f>IF(VLOOKUP(B298,'Base de Datos'!$E$7:$T$303,11,0),"SI","NO")</f>
        <v>#VALUE!</v>
      </c>
      <c r="L298" s="302" t="e">
        <f t="shared" si="29"/>
        <v>#VALUE!</v>
      </c>
      <c r="M298" s="302">
        <f>VLOOKUP(B298,'Base de Datos'!$E$7:$AC$303,21,0)</f>
        <v>40473799</v>
      </c>
      <c r="N298" s="363" t="e">
        <f t="shared" ca="1" si="33"/>
        <v>#REF!</v>
      </c>
      <c r="O298" s="302">
        <f>VLOOKUP(B298,'Base de Datos'!$E$7:$AC$303,22,0)</f>
        <v>1146201</v>
      </c>
      <c r="P298" s="362" t="str">
        <f t="shared" ca="1" si="30"/>
        <v/>
      </c>
      <c r="Q298" s="375" t="e">
        <f t="shared" ca="1" si="34"/>
        <v>#VALUE!</v>
      </c>
      <c r="R298" s="298" t="str">
        <f>VLOOKUP(B298,'Base de Datos'!E298:AU609,33,0)</f>
        <v>Dirección Administrativa</v>
      </c>
      <c r="S298" s="301" t="e">
        <f t="shared" ca="1" si="31"/>
        <v>#REF!</v>
      </c>
      <c r="T298" s="298" t="str">
        <f t="shared" si="32"/>
        <v/>
      </c>
      <c r="U298" s="298" t="str">
        <f>VLOOKUP(B298,'Base de Datos'!$E$7:$AU$401,38,0)</f>
        <v>SI</v>
      </c>
    </row>
    <row r="299" spans="1:21" ht="23.25" customHeight="1" thickTop="1" thickBot="1" x14ac:dyDescent="0.35">
      <c r="A299" s="96">
        <v>293</v>
      </c>
      <c r="B299" s="298" t="str">
        <f>+'Base de Datos'!E300</f>
        <v>150209-0-2015</v>
      </c>
      <c r="C299" s="298" t="str">
        <f>+'Base de Datos'!F300</f>
        <v>A&amp;V EXPRESS S.A.</v>
      </c>
      <c r="D299" s="299">
        <f>+'Base de Datos'!I300</f>
        <v>33500000</v>
      </c>
      <c r="E299" s="300">
        <f>+'Base de Datos'!M300</f>
        <v>42130</v>
      </c>
      <c r="F299" s="300">
        <f>+'Base de Datos'!N300</f>
        <v>42496</v>
      </c>
      <c r="G299" s="300" t="e">
        <f>+'Base de Datos'!#REF!</f>
        <v>#REF!</v>
      </c>
      <c r="H299" s="299">
        <f>+'Base de Datos'!X300</f>
        <v>33500000</v>
      </c>
      <c r="I299" s="301" t="e">
        <f>IF(VLOOKUP(B299,'Base de Datos'!$E$7:$T$303,11,0),"SI","NO")</f>
        <v>#VALUE!</v>
      </c>
      <c r="J299" s="302" t="e">
        <f t="shared" si="28"/>
        <v>#VALUE!</v>
      </c>
      <c r="K299" s="301" t="e">
        <f>IF(VLOOKUP(B299,'Base de Datos'!$E$7:$T$303,11,0),"SI","NO")</f>
        <v>#VALUE!</v>
      </c>
      <c r="L299" s="302" t="e">
        <f t="shared" si="29"/>
        <v>#VALUE!</v>
      </c>
      <c r="M299" s="302">
        <f>VLOOKUP(B299,'Base de Datos'!$E$7:$AC$303,21,0)</f>
        <v>28680629</v>
      </c>
      <c r="N299" s="363" t="e">
        <f t="shared" ca="1" si="33"/>
        <v>#REF!</v>
      </c>
      <c r="O299" s="302">
        <f>VLOOKUP(B299,'Base de Datos'!$E$7:$AC$303,22,0)</f>
        <v>4819371</v>
      </c>
      <c r="P299" s="362" t="str">
        <f t="shared" ca="1" si="30"/>
        <v/>
      </c>
      <c r="Q299" s="375" t="e">
        <f t="shared" ca="1" si="34"/>
        <v>#VALUE!</v>
      </c>
      <c r="R299" s="298" t="str">
        <f>VLOOKUP(B299,'Base de Datos'!E299:AU610,33,0)</f>
        <v>Secretaría General</v>
      </c>
      <c r="S299" s="301" t="e">
        <f t="shared" ca="1" si="31"/>
        <v>#REF!</v>
      </c>
      <c r="T299" s="298" t="str">
        <f t="shared" si="32"/>
        <v/>
      </c>
      <c r="U299" s="298" t="str">
        <f>VLOOKUP(B299,'Base de Datos'!$E$7:$AU$401,38,0)</f>
        <v>SI</v>
      </c>
    </row>
    <row r="300" spans="1:21" ht="23.25" customHeight="1" thickTop="1" thickBot="1" x14ac:dyDescent="0.35">
      <c r="A300" s="96">
        <v>294</v>
      </c>
      <c r="B300" s="298" t="str">
        <f>+'Base de Datos'!E301</f>
        <v>150200-0-2015</v>
      </c>
      <c r="C300" s="298" t="str">
        <f>+'Base de Datos'!F301</f>
        <v>INGELECTRO SAS</v>
      </c>
      <c r="D300" s="299">
        <f>+'Base de Datos'!I301</f>
        <v>12975945</v>
      </c>
      <c r="E300" s="300">
        <f>+'Base de Datos'!M301</f>
        <v>42135</v>
      </c>
      <c r="F300" s="300">
        <f>+'Base de Datos'!N301</f>
        <v>42258</v>
      </c>
      <c r="G300" s="300" t="e">
        <f>+'Base de Datos'!#REF!</f>
        <v>#REF!</v>
      </c>
      <c r="H300" s="299">
        <f>+'Base de Datos'!X301</f>
        <v>12975945</v>
      </c>
      <c r="I300" s="301" t="e">
        <f>IF(VLOOKUP(B300,'Base de Datos'!$E$7:$T$303,11,0),"SI","NO")</f>
        <v>#VALUE!</v>
      </c>
      <c r="J300" s="302" t="e">
        <f t="shared" si="28"/>
        <v>#VALUE!</v>
      </c>
      <c r="K300" s="301" t="e">
        <f>IF(VLOOKUP(B300,'Base de Datos'!$E$7:$T$303,11,0),"SI","NO")</f>
        <v>#VALUE!</v>
      </c>
      <c r="L300" s="302" t="e">
        <f t="shared" si="29"/>
        <v>#VALUE!</v>
      </c>
      <c r="M300" s="302">
        <f>VLOOKUP(B300,'Base de Datos'!$E$7:$AC$303,21,0)</f>
        <v>12975945</v>
      </c>
      <c r="N300" s="363" t="e">
        <f t="shared" ca="1" si="33"/>
        <v>#REF!</v>
      </c>
      <c r="O300" s="302">
        <f>VLOOKUP(B300,'Base de Datos'!$E$7:$AC$303,22,0)</f>
        <v>0</v>
      </c>
      <c r="P300" s="362" t="str">
        <f t="shared" ca="1" si="30"/>
        <v/>
      </c>
      <c r="Q300" s="375" t="e">
        <f t="shared" ca="1" si="34"/>
        <v>#VALUE!</v>
      </c>
      <c r="R300" s="298" t="str">
        <f>VLOOKUP(B300,'Base de Datos'!E300:AU611,33,0)</f>
        <v>Dirección Administrativa</v>
      </c>
      <c r="S300" s="301" t="e">
        <f t="shared" ca="1" si="31"/>
        <v>#REF!</v>
      </c>
      <c r="T300" s="298" t="str">
        <f t="shared" si="32"/>
        <v/>
      </c>
      <c r="U300" s="298" t="str">
        <f>VLOOKUP(B300,'Base de Datos'!$E$7:$AU$401,38,0)</f>
        <v>NO</v>
      </c>
    </row>
    <row r="301" spans="1:21" ht="23.25" customHeight="1" thickTop="1" thickBot="1" x14ac:dyDescent="0.35">
      <c r="A301" s="96">
        <v>295</v>
      </c>
      <c r="B301" s="298" t="str">
        <f>+'Base de Datos'!E302</f>
        <v>150193-0-2015</v>
      </c>
      <c r="C301" s="298" t="str">
        <f>+'Base de Datos'!F302</f>
        <v>SOMOS LA OPTIMIZACION EMPRESARIAL A SU SERVICIO- SOPT SAS</v>
      </c>
      <c r="D301" s="299">
        <f>+'Base de Datos'!I302</f>
        <v>11000000</v>
      </c>
      <c r="E301" s="300">
        <f>+'Base de Datos'!M302</f>
        <v>42135</v>
      </c>
      <c r="F301" s="300">
        <f>+'Base de Datos'!N302</f>
        <v>42501</v>
      </c>
      <c r="G301" s="300" t="e">
        <f>+'Base de Datos'!#REF!</f>
        <v>#REF!</v>
      </c>
      <c r="H301" s="299">
        <f>+'Base de Datos'!X302</f>
        <v>11000000</v>
      </c>
      <c r="I301" s="301" t="e">
        <f>IF(VLOOKUP(B301,'Base de Datos'!$E$7:$T$303,11,0),"SI","NO")</f>
        <v>#VALUE!</v>
      </c>
      <c r="J301" s="302" t="e">
        <f t="shared" si="28"/>
        <v>#VALUE!</v>
      </c>
      <c r="K301" s="301" t="e">
        <f>IF(VLOOKUP(B301,'Base de Datos'!$E$7:$T$303,11,0),"SI","NO")</f>
        <v>#VALUE!</v>
      </c>
      <c r="L301" s="302" t="e">
        <f t="shared" si="29"/>
        <v>#VALUE!</v>
      </c>
      <c r="M301" s="302">
        <f>VLOOKUP(B301,'Base de Datos'!$E$7:$AC$303,21,0)</f>
        <v>7486074</v>
      </c>
      <c r="N301" s="363" t="e">
        <f t="shared" ca="1" si="33"/>
        <v>#REF!</v>
      </c>
      <c r="O301" s="302">
        <f>VLOOKUP(B301,'Base de Datos'!$E$7:$AC$303,22,0)</f>
        <v>3513926</v>
      </c>
      <c r="P301" s="362" t="str">
        <f t="shared" ca="1" si="30"/>
        <v/>
      </c>
      <c r="Q301" s="375" t="e">
        <f t="shared" ca="1" si="34"/>
        <v>#VALUE!</v>
      </c>
      <c r="R301" s="298" t="str">
        <f>VLOOKUP(B301,'Base de Datos'!E301:AU612,33,0)</f>
        <v>Dirección Administrativa</v>
      </c>
      <c r="S301" s="301" t="e">
        <f t="shared" ca="1" si="31"/>
        <v>#REF!</v>
      </c>
      <c r="T301" s="298" t="str">
        <f t="shared" si="32"/>
        <v/>
      </c>
      <c r="U301" s="298" t="str">
        <f>VLOOKUP(B301,'Base de Datos'!$E$7:$AU$401,38,0)</f>
        <v>SI</v>
      </c>
    </row>
    <row r="302" spans="1:21" ht="23.25" customHeight="1" thickTop="1" thickBot="1" x14ac:dyDescent="0.35">
      <c r="A302" s="96">
        <v>296</v>
      </c>
      <c r="B302" s="298" t="str">
        <f>+'Base de Datos'!E303</f>
        <v>150189-0-2015</v>
      </c>
      <c r="C302" s="298" t="str">
        <f>+'Base de Datos'!F303</f>
        <v>UNIPLES S.A.</v>
      </c>
      <c r="D302" s="299">
        <f>+'Base de Datos'!I303</f>
        <v>10514762</v>
      </c>
      <c r="E302" s="300">
        <f>+'Base de Datos'!M303</f>
        <v>42117</v>
      </c>
      <c r="F302" s="300">
        <f>+'Base de Datos'!N303</f>
        <v>42147</v>
      </c>
      <c r="G302" s="300" t="e">
        <f>+'Base de Datos'!#REF!</f>
        <v>#REF!</v>
      </c>
      <c r="H302" s="299">
        <f>+'Base de Datos'!X303</f>
        <v>10514762</v>
      </c>
      <c r="I302" s="301" t="e">
        <f>IF(VLOOKUP(B302,'Base de Datos'!$E$7:$T$303,11,0),"SI","NO")</f>
        <v>#VALUE!</v>
      </c>
      <c r="J302" s="302" t="e">
        <f t="shared" si="28"/>
        <v>#VALUE!</v>
      </c>
      <c r="K302" s="301" t="e">
        <f>IF(VLOOKUP(B302,'Base de Datos'!$E$7:$T$303,11,0),"SI","NO")</f>
        <v>#VALUE!</v>
      </c>
      <c r="L302" s="302" t="e">
        <f t="shared" si="29"/>
        <v>#VALUE!</v>
      </c>
      <c r="M302" s="302">
        <f>VLOOKUP(B302,'Base de Datos'!$E$7:$AC$303,21,0)</f>
        <v>10514762</v>
      </c>
      <c r="N302" s="363" t="e">
        <f t="shared" ca="1" si="33"/>
        <v>#REF!</v>
      </c>
      <c r="O302" s="302">
        <f>VLOOKUP(B302,'Base de Datos'!$E$7:$AC$303,22,0)</f>
        <v>0</v>
      </c>
      <c r="P302" s="362" t="str">
        <f t="shared" ca="1" si="30"/>
        <v/>
      </c>
      <c r="Q302" s="375" t="e">
        <f t="shared" ca="1" si="34"/>
        <v>#VALUE!</v>
      </c>
      <c r="R302" s="298" t="str">
        <f>VLOOKUP(B302,'Base de Datos'!E302:AU613,33,0)</f>
        <v>Dirección Administrativa</v>
      </c>
      <c r="S302" s="301" t="e">
        <f t="shared" ca="1" si="31"/>
        <v>#REF!</v>
      </c>
      <c r="T302" s="298" t="str">
        <f t="shared" si="32"/>
        <v/>
      </c>
      <c r="U302" s="298" t="str">
        <f>VLOOKUP(B302,'Base de Datos'!$E$7:$AU$401,38,0)</f>
        <v>NO</v>
      </c>
    </row>
    <row r="303" spans="1:21" ht="23.25" customHeight="1" thickTop="1" thickBot="1" x14ac:dyDescent="0.35">
      <c r="A303" s="96">
        <v>297</v>
      </c>
      <c r="B303" s="298" t="str">
        <f>+'Base de Datos'!E304</f>
        <v>150215-0-2015</v>
      </c>
      <c r="C303" s="298" t="str">
        <f>+'Base de Datos'!F304</f>
        <v>MODULARES OFIMA LTDA</v>
      </c>
      <c r="D303" s="299">
        <f>+'Base de Datos'!I304</f>
        <v>5874000</v>
      </c>
      <c r="E303" s="300">
        <f>+'Base de Datos'!M304</f>
        <v>42149</v>
      </c>
      <c r="F303" s="300">
        <f>+'Base de Datos'!N304</f>
        <v>42515</v>
      </c>
      <c r="G303" s="300" t="e">
        <f>+'Base de Datos'!#REF!</f>
        <v>#REF!</v>
      </c>
      <c r="H303" s="299">
        <f>+'Base de Datos'!X304</f>
        <v>5874000</v>
      </c>
      <c r="I303" s="301" t="e">
        <f>IF(VLOOKUP(B303,'Base de Datos'!$E$7:$T$303,11,0),"SI","NO")</f>
        <v>#N/A</v>
      </c>
      <c r="J303" s="302" t="e">
        <f t="shared" si="28"/>
        <v>#N/A</v>
      </c>
      <c r="K303" s="301" t="e">
        <f>IF(VLOOKUP(B303,'Base de Datos'!$E$7:$T$303,11,0),"SI","NO")</f>
        <v>#N/A</v>
      </c>
      <c r="L303" s="302" t="e">
        <f t="shared" si="29"/>
        <v>#N/A</v>
      </c>
      <c r="M303" s="302" t="e">
        <f>VLOOKUP(B303,'Base de Datos'!$E$7:$AC$303,21,0)</f>
        <v>#N/A</v>
      </c>
      <c r="N303" s="363" t="e">
        <f t="shared" ca="1" si="33"/>
        <v>#REF!</v>
      </c>
      <c r="O303" s="302" t="e">
        <f>VLOOKUP(B303,'Base de Datos'!$E$7:$AC$303,22,0)</f>
        <v>#N/A</v>
      </c>
      <c r="P303" s="362" t="str">
        <f t="shared" ca="1" si="30"/>
        <v/>
      </c>
      <c r="Q303" s="375" t="e">
        <f t="shared" ca="1" si="34"/>
        <v>#VALUE!</v>
      </c>
      <c r="R303" s="298" t="str">
        <f>VLOOKUP(B303,'Base de Datos'!E303:AU614,33,0)</f>
        <v>Dirección Administrativa</v>
      </c>
      <c r="S303" s="301" t="e">
        <f t="shared" ca="1" si="31"/>
        <v>#REF!</v>
      </c>
      <c r="T303" s="298" t="e">
        <f t="shared" si="32"/>
        <v>#N/A</v>
      </c>
      <c r="U303" s="298" t="str">
        <f>VLOOKUP(B303,'Base de Datos'!$E$7:$AU$401,38,0)</f>
        <v>SI</v>
      </c>
    </row>
    <row r="304" spans="1:21" ht="23.25" customHeight="1" thickTop="1" thickBot="1" x14ac:dyDescent="0.35">
      <c r="A304" s="96">
        <v>298</v>
      </c>
      <c r="B304" s="298" t="str">
        <f>+'Base de Datos'!E305</f>
        <v>150219-0-2015</v>
      </c>
      <c r="C304" s="298" t="str">
        <f>+'Base de Datos'!F305</f>
        <v>MITSUBISHI ELECTRIC DE COLOMBIA LTDA</v>
      </c>
      <c r="D304" s="299">
        <f>+'Base de Datos'!I305</f>
        <v>14210000</v>
      </c>
      <c r="E304" s="300">
        <f>+'Base de Datos'!M305</f>
        <v>42149</v>
      </c>
      <c r="F304" s="300">
        <f>+'Base de Datos'!N305</f>
        <v>42454</v>
      </c>
      <c r="G304" s="300" t="e">
        <f>+'Base de Datos'!#REF!</f>
        <v>#REF!</v>
      </c>
      <c r="H304" s="299">
        <f>+'Base de Datos'!X305</f>
        <v>18836508</v>
      </c>
      <c r="I304" s="301" t="e">
        <f>IF(VLOOKUP(B304,'Base de Datos'!$E$7:$T$303,11,0),"SI","NO")</f>
        <v>#N/A</v>
      </c>
      <c r="J304" s="302" t="e">
        <f t="shared" si="28"/>
        <v>#N/A</v>
      </c>
      <c r="K304" s="301" t="e">
        <f>IF(VLOOKUP(B304,'Base de Datos'!$E$7:$T$303,11,0),"SI","NO")</f>
        <v>#N/A</v>
      </c>
      <c r="L304" s="302" t="e">
        <f t="shared" si="29"/>
        <v>#N/A</v>
      </c>
      <c r="M304" s="302" t="e">
        <f>VLOOKUP(B304,'Base de Datos'!$E$7:$AC$303,21,0)</f>
        <v>#N/A</v>
      </c>
      <c r="N304" s="363" t="e">
        <f t="shared" ca="1" si="33"/>
        <v>#REF!</v>
      </c>
      <c r="O304" s="302" t="e">
        <f>VLOOKUP(B304,'Base de Datos'!$E$7:$AC$303,22,0)</f>
        <v>#N/A</v>
      </c>
      <c r="P304" s="362" t="str">
        <f t="shared" ca="1" si="30"/>
        <v/>
      </c>
      <c r="Q304" s="375" t="e">
        <f t="shared" ca="1" si="34"/>
        <v>#VALUE!</v>
      </c>
      <c r="R304" s="298" t="str">
        <f>VLOOKUP(B304,'Base de Datos'!E304:AU615,33,0)</f>
        <v>Dirección Administrativa</v>
      </c>
      <c r="S304" s="301" t="e">
        <f t="shared" ca="1" si="31"/>
        <v>#REF!</v>
      </c>
      <c r="T304" s="298" t="e">
        <f t="shared" si="32"/>
        <v>#N/A</v>
      </c>
      <c r="U304" s="298" t="str">
        <f>VLOOKUP(B304,'Base de Datos'!$E$7:$AU$401,38,0)</f>
        <v>SI</v>
      </c>
    </row>
    <row r="305" spans="1:21" ht="23.25" customHeight="1" thickTop="1" thickBot="1" x14ac:dyDescent="0.35">
      <c r="A305" s="96">
        <v>299</v>
      </c>
      <c r="B305" s="298" t="str">
        <f>+'Base de Datos'!E306</f>
        <v>150221-0-2015</v>
      </c>
      <c r="C305" s="298" t="str">
        <f>+'Base de Datos'!F306</f>
        <v>SGS COLOMBIA S.A.</v>
      </c>
      <c r="D305" s="299">
        <f>+'Base de Datos'!I306</f>
        <v>7714000</v>
      </c>
      <c r="E305" s="300">
        <f>+'Base de Datos'!M306</f>
        <v>42144</v>
      </c>
      <c r="F305" s="300">
        <f>+'Base de Datos'!N306</f>
        <v>42236</v>
      </c>
      <c r="G305" s="300" t="e">
        <f>+'Base de Datos'!#REF!</f>
        <v>#REF!</v>
      </c>
      <c r="H305" s="299">
        <f>+'Base de Datos'!X306</f>
        <v>7714000</v>
      </c>
      <c r="I305" s="301" t="e">
        <f>IF(VLOOKUP(B305,'Base de Datos'!$E$7:$T$303,11,0),"SI","NO")</f>
        <v>#N/A</v>
      </c>
      <c r="J305" s="302" t="e">
        <f t="shared" si="28"/>
        <v>#N/A</v>
      </c>
      <c r="K305" s="301" t="e">
        <f>IF(VLOOKUP(B305,'Base de Datos'!$E$7:$T$303,11,0),"SI","NO")</f>
        <v>#N/A</v>
      </c>
      <c r="L305" s="302" t="e">
        <f t="shared" si="29"/>
        <v>#N/A</v>
      </c>
      <c r="M305" s="302" t="e">
        <f>VLOOKUP(B305,'Base de Datos'!$E$7:$AC$303,21,0)</f>
        <v>#N/A</v>
      </c>
      <c r="N305" s="363" t="e">
        <f t="shared" ca="1" si="33"/>
        <v>#REF!</v>
      </c>
      <c r="O305" s="302" t="e">
        <f>VLOOKUP(B305,'Base de Datos'!$E$7:$AC$303,22,0)</f>
        <v>#N/A</v>
      </c>
      <c r="P305" s="362" t="str">
        <f t="shared" ca="1" si="30"/>
        <v/>
      </c>
      <c r="Q305" s="375" t="e">
        <f t="shared" ca="1" si="34"/>
        <v>#VALUE!</v>
      </c>
      <c r="R305" s="298" t="str">
        <f>VLOOKUP(B305,'Base de Datos'!E305:AU616,33,0)</f>
        <v>Oficina Asesora de Planeación</v>
      </c>
      <c r="S305" s="301" t="e">
        <f t="shared" ca="1" si="31"/>
        <v>#REF!</v>
      </c>
      <c r="T305" s="298" t="e">
        <f t="shared" si="32"/>
        <v>#N/A</v>
      </c>
      <c r="U305" s="298" t="str">
        <f>VLOOKUP(B305,'Base de Datos'!$E$7:$AU$401,38,0)</f>
        <v>SI</v>
      </c>
    </row>
    <row r="306" spans="1:21" ht="23.25" customHeight="1" thickTop="1" thickBot="1" x14ac:dyDescent="0.35">
      <c r="A306" s="96">
        <v>300</v>
      </c>
      <c r="B306" s="298" t="str">
        <f>+'Base de Datos'!E307</f>
        <v>150211-0-2015</v>
      </c>
      <c r="C306" s="298" t="str">
        <f>+'Base de Datos'!F307</f>
        <v>SEAN ELECTRONICA LIMITADA</v>
      </c>
      <c r="D306" s="299">
        <f>+'Base de Datos'!I307</f>
        <v>60000000</v>
      </c>
      <c r="E306" s="300">
        <f>+'Base de Datos'!M307</f>
        <v>42156</v>
      </c>
      <c r="F306" s="300">
        <f>+'Base de Datos'!N307</f>
        <v>42522</v>
      </c>
      <c r="G306" s="300" t="e">
        <f>+'Base de Datos'!#REF!</f>
        <v>#REF!</v>
      </c>
      <c r="H306" s="299">
        <f>+'Base de Datos'!X307</f>
        <v>68000000</v>
      </c>
      <c r="I306" s="301" t="e">
        <f>IF(VLOOKUP(B306,'Base de Datos'!$E$7:$T$303,11,0),"SI","NO")</f>
        <v>#N/A</v>
      </c>
      <c r="J306" s="302" t="e">
        <f t="shared" si="28"/>
        <v>#N/A</v>
      </c>
      <c r="K306" s="301" t="e">
        <f>IF(VLOOKUP(B306,'Base de Datos'!$E$7:$T$303,11,0),"SI","NO")</f>
        <v>#N/A</v>
      </c>
      <c r="L306" s="302" t="e">
        <f t="shared" si="29"/>
        <v>#N/A</v>
      </c>
      <c r="M306" s="302" t="e">
        <f>VLOOKUP(B306,'Base de Datos'!$E$7:$AC$303,21,0)</f>
        <v>#N/A</v>
      </c>
      <c r="N306" s="363" t="e">
        <f t="shared" ca="1" si="33"/>
        <v>#REF!</v>
      </c>
      <c r="O306" s="302" t="e">
        <f>VLOOKUP(B306,'Base de Datos'!$E$7:$AC$303,22,0)</f>
        <v>#N/A</v>
      </c>
      <c r="P306" s="362" t="str">
        <f t="shared" ca="1" si="30"/>
        <v/>
      </c>
      <c r="Q306" s="375" t="e">
        <f t="shared" ca="1" si="34"/>
        <v>#VALUE!</v>
      </c>
      <c r="R306" s="298" t="str">
        <f>VLOOKUP(B306,'Base de Datos'!E306:AU617,33,0)</f>
        <v>Dirección Administrativa</v>
      </c>
      <c r="S306" s="301" t="e">
        <f t="shared" ca="1" si="31"/>
        <v>#REF!</v>
      </c>
      <c r="T306" s="298" t="e">
        <f t="shared" si="32"/>
        <v>#N/A</v>
      </c>
      <c r="U306" s="298" t="str">
        <f>VLOOKUP(B306,'Base de Datos'!$E$7:$AU$401,38,0)</f>
        <v>SI</v>
      </c>
    </row>
    <row r="307" spans="1:21" ht="23.25" customHeight="1" thickTop="1" thickBot="1" x14ac:dyDescent="0.35">
      <c r="A307" s="96">
        <v>301</v>
      </c>
      <c r="B307" s="298" t="str">
        <f>+'Base de Datos'!E308</f>
        <v>150223-0-2015</v>
      </c>
      <c r="C307" s="298" t="str">
        <f>+'Base de Datos'!F308</f>
        <v>SECURITYCOM SAS</v>
      </c>
      <c r="D307" s="299">
        <f>+'Base de Datos'!I308</f>
        <v>2000000</v>
      </c>
      <c r="E307" s="300">
        <f>+'Base de Datos'!M308</f>
        <v>42150</v>
      </c>
      <c r="F307" s="300">
        <f>+'Base de Datos'!N308</f>
        <v>42455</v>
      </c>
      <c r="G307" s="300" t="e">
        <f>+'Base de Datos'!#REF!</f>
        <v>#REF!</v>
      </c>
      <c r="H307" s="299">
        <f>+'Base de Datos'!X308</f>
        <v>2000000</v>
      </c>
      <c r="I307" s="301" t="e">
        <f>IF(VLOOKUP(B307,'Base de Datos'!$E$7:$T$303,11,0),"SI","NO")</f>
        <v>#N/A</v>
      </c>
      <c r="J307" s="302" t="e">
        <f t="shared" si="28"/>
        <v>#N/A</v>
      </c>
      <c r="K307" s="301" t="e">
        <f>IF(VLOOKUP(B307,'Base de Datos'!$E$7:$T$303,11,0),"SI","NO")</f>
        <v>#N/A</v>
      </c>
      <c r="L307" s="302" t="e">
        <f t="shared" si="29"/>
        <v>#N/A</v>
      </c>
      <c r="M307" s="302" t="e">
        <f>VLOOKUP(B307,'Base de Datos'!$E$7:$AC$303,21,0)</f>
        <v>#N/A</v>
      </c>
      <c r="N307" s="363" t="e">
        <f t="shared" ca="1" si="33"/>
        <v>#REF!</v>
      </c>
      <c r="O307" s="302" t="e">
        <f>VLOOKUP(B307,'Base de Datos'!$E$7:$AC$303,22,0)</f>
        <v>#N/A</v>
      </c>
      <c r="P307" s="362" t="str">
        <f t="shared" ca="1" si="30"/>
        <v/>
      </c>
      <c r="Q307" s="375" t="e">
        <f t="shared" ca="1" si="34"/>
        <v>#VALUE!</v>
      </c>
      <c r="R307" s="298" t="str">
        <f>VLOOKUP(B307,'Base de Datos'!E307:AU618,33,0)</f>
        <v>Dirección Administrativa</v>
      </c>
      <c r="S307" s="301" t="e">
        <f t="shared" ca="1" si="31"/>
        <v>#REF!</v>
      </c>
      <c r="T307" s="298" t="e">
        <f t="shared" si="32"/>
        <v>#N/A</v>
      </c>
      <c r="U307" s="298" t="str">
        <f>VLOOKUP(B307,'Base de Datos'!$E$7:$AU$401,38,0)</f>
        <v>SI</v>
      </c>
    </row>
    <row r="308" spans="1:21" ht="23.25" customHeight="1" thickTop="1" thickBot="1" x14ac:dyDescent="0.35">
      <c r="A308" s="96">
        <v>302</v>
      </c>
      <c r="B308" s="298" t="str">
        <f>+'Base de Datos'!E309</f>
        <v>150226-0-2015</v>
      </c>
      <c r="C308" s="298" t="str">
        <f>+'Base de Datos'!F309</f>
        <v>COOPERATIVA DE VIGILANTES STARCOOP CTA</v>
      </c>
      <c r="D308" s="299">
        <f>+'Base de Datos'!I309</f>
        <v>566000000</v>
      </c>
      <c r="E308" s="300">
        <f>+'Base de Datos'!M309</f>
        <v>42141</v>
      </c>
      <c r="F308" s="300">
        <f>+'Base de Datos'!N309</f>
        <v>42507</v>
      </c>
      <c r="G308" s="300" t="e">
        <f>+'Base de Datos'!#REF!</f>
        <v>#REF!</v>
      </c>
      <c r="H308" s="299">
        <f>+'Base de Datos'!X309</f>
        <v>566000000</v>
      </c>
      <c r="I308" s="301" t="e">
        <f>IF(VLOOKUP(B308,'Base de Datos'!$E$7:$T$303,11,0),"SI","NO")</f>
        <v>#N/A</v>
      </c>
      <c r="J308" s="302" t="e">
        <f t="shared" si="28"/>
        <v>#N/A</v>
      </c>
      <c r="K308" s="301" t="e">
        <f>IF(VLOOKUP(B308,'Base de Datos'!$E$7:$T$303,11,0),"SI","NO")</f>
        <v>#N/A</v>
      </c>
      <c r="L308" s="302" t="e">
        <f t="shared" si="29"/>
        <v>#N/A</v>
      </c>
      <c r="M308" s="302" t="e">
        <f>VLOOKUP(B308,'Base de Datos'!$E$7:$AC$303,21,0)</f>
        <v>#N/A</v>
      </c>
      <c r="N308" s="363" t="e">
        <f t="shared" ca="1" si="33"/>
        <v>#REF!</v>
      </c>
      <c r="O308" s="302" t="e">
        <f>VLOOKUP(B308,'Base de Datos'!$E$7:$AC$303,22,0)</f>
        <v>#N/A</v>
      </c>
      <c r="P308" s="362" t="str">
        <f t="shared" ca="1" si="30"/>
        <v/>
      </c>
      <c r="Q308" s="375" t="e">
        <f t="shared" ca="1" si="34"/>
        <v>#VALUE!</v>
      </c>
      <c r="R308" s="298" t="str">
        <f>VLOOKUP(B308,'Base de Datos'!E308:AU619,33,0)</f>
        <v>Dirección Administrativa</v>
      </c>
      <c r="S308" s="301" t="e">
        <f t="shared" ca="1" si="31"/>
        <v>#REF!</v>
      </c>
      <c r="T308" s="298" t="e">
        <f t="shared" si="32"/>
        <v>#N/A</v>
      </c>
      <c r="U308" s="298" t="str">
        <f>VLOOKUP(B308,'Base de Datos'!$E$7:$AU$401,38,0)</f>
        <v>SI</v>
      </c>
    </row>
    <row r="309" spans="1:21" ht="23.25" customHeight="1" thickTop="1" thickBot="1" x14ac:dyDescent="0.35">
      <c r="A309" s="96">
        <v>303</v>
      </c>
      <c r="B309" s="298" t="str">
        <f>+'Base de Datos'!E310</f>
        <v>150214-0-2015</v>
      </c>
      <c r="C309" s="298" t="str">
        <f>+'Base de Datos'!F310</f>
        <v>CARLOS FERNANDO IBARRA VALLEJO</v>
      </c>
      <c r="D309" s="299">
        <f>+'Base de Datos'!I310</f>
        <v>18000000</v>
      </c>
      <c r="E309" s="300">
        <f>+'Base de Datos'!M310</f>
        <v>42137</v>
      </c>
      <c r="F309" s="300">
        <f>+'Base de Datos'!N310</f>
        <v>42413</v>
      </c>
      <c r="G309" s="300" t="e">
        <f>+'Base de Datos'!#REF!</f>
        <v>#REF!</v>
      </c>
      <c r="H309" s="299">
        <f>+'Base de Datos'!X310</f>
        <v>18000000</v>
      </c>
      <c r="I309" s="301" t="e">
        <f>IF(VLOOKUP(B309,'Base de Datos'!$E$7:$T$303,11,0),"SI","NO")</f>
        <v>#N/A</v>
      </c>
      <c r="J309" s="302" t="e">
        <f t="shared" si="28"/>
        <v>#N/A</v>
      </c>
      <c r="K309" s="301" t="e">
        <f>IF(VLOOKUP(B309,'Base de Datos'!$E$7:$T$303,11,0),"SI","NO")</f>
        <v>#N/A</v>
      </c>
      <c r="L309" s="302" t="e">
        <f t="shared" si="29"/>
        <v>#N/A</v>
      </c>
      <c r="M309" s="302" t="e">
        <f>VLOOKUP(B309,'Base de Datos'!$E$7:$AC$303,21,0)</f>
        <v>#N/A</v>
      </c>
      <c r="N309" s="363" t="e">
        <f t="shared" ca="1" si="33"/>
        <v>#REF!</v>
      </c>
      <c r="O309" s="302" t="e">
        <f>VLOOKUP(B309,'Base de Datos'!$E$7:$AC$303,22,0)</f>
        <v>#N/A</v>
      </c>
      <c r="P309" s="362" t="str">
        <f t="shared" ca="1" si="30"/>
        <v/>
      </c>
      <c r="Q309" s="375" t="e">
        <f t="shared" ca="1" si="34"/>
        <v>#VALUE!</v>
      </c>
      <c r="R309" s="298" t="str">
        <f>VLOOKUP(B309,'Base de Datos'!E309:AU620,33,0)</f>
        <v>Dirección Jurídica</v>
      </c>
      <c r="S309" s="301" t="e">
        <f t="shared" ca="1" si="31"/>
        <v>#REF!</v>
      </c>
      <c r="T309" s="298" t="e">
        <f t="shared" si="32"/>
        <v>#N/A</v>
      </c>
      <c r="U309" s="298" t="str">
        <f>VLOOKUP(B309,'Base de Datos'!$E$7:$AU$401,38,0)</f>
        <v>NO</v>
      </c>
    </row>
    <row r="310" spans="1:21" ht="23.25" customHeight="1" thickTop="1" thickBot="1" x14ac:dyDescent="0.35">
      <c r="A310" s="96">
        <v>304</v>
      </c>
      <c r="B310" s="298" t="str">
        <f>+'Base de Datos'!E311</f>
        <v>150225-0-2015</v>
      </c>
      <c r="C310" s="298" t="str">
        <f>+'Base de Datos'!F311</f>
        <v>CANAL REGIONAL DE TELEVISION TEVEANDINA LTDA - TEVEANDINA LTDA</v>
      </c>
      <c r="D310" s="299">
        <f>+'Base de Datos'!I311</f>
        <v>1291938453</v>
      </c>
      <c r="E310" s="300">
        <f>+'Base de Datos'!M311</f>
        <v>42139</v>
      </c>
      <c r="F310" s="300">
        <f>+'Base de Datos'!N311</f>
        <v>42421</v>
      </c>
      <c r="G310" s="300" t="e">
        <f>+'Base de Datos'!#REF!</f>
        <v>#REF!</v>
      </c>
      <c r="H310" s="299">
        <f>+'Base de Datos'!X311</f>
        <v>1433352777</v>
      </c>
      <c r="I310" s="301" t="e">
        <f>IF(VLOOKUP(B310,'Base de Datos'!$E$7:$T$303,11,0),"SI","NO")</f>
        <v>#N/A</v>
      </c>
      <c r="J310" s="302" t="e">
        <f t="shared" si="28"/>
        <v>#N/A</v>
      </c>
      <c r="K310" s="301" t="e">
        <f>IF(VLOOKUP(B310,'Base de Datos'!$E$7:$T$303,11,0),"SI","NO")</f>
        <v>#N/A</v>
      </c>
      <c r="L310" s="302" t="e">
        <f t="shared" si="29"/>
        <v>#N/A</v>
      </c>
      <c r="M310" s="302" t="e">
        <f>VLOOKUP(B310,'Base de Datos'!$E$7:$AC$303,21,0)</f>
        <v>#N/A</v>
      </c>
      <c r="N310" s="363" t="e">
        <f t="shared" ca="1" si="33"/>
        <v>#REF!</v>
      </c>
      <c r="O310" s="302" t="e">
        <f>VLOOKUP(B310,'Base de Datos'!$E$7:$AC$303,22,0)</f>
        <v>#N/A</v>
      </c>
      <c r="P310" s="362" t="str">
        <f t="shared" ca="1" si="30"/>
        <v/>
      </c>
      <c r="Q310" s="375" t="e">
        <f t="shared" ca="1" si="34"/>
        <v>#VALUE!</v>
      </c>
      <c r="R310" s="298" t="str">
        <f>VLOOKUP(B310,'Base de Datos'!E310:AU621,33,0)</f>
        <v>Oficina Asesora de Comunicaciones</v>
      </c>
      <c r="S310" s="301" t="e">
        <f t="shared" ca="1" si="31"/>
        <v>#REF!</v>
      </c>
      <c r="T310" s="298" t="e">
        <f t="shared" si="32"/>
        <v>#N/A</v>
      </c>
      <c r="U310" s="298" t="str">
        <f>VLOOKUP(B310,'Base de Datos'!$E$7:$AU$401,38,0)</f>
        <v>SI</v>
      </c>
    </row>
    <row r="311" spans="1:21" ht="23.25" customHeight="1" thickTop="1" thickBot="1" x14ac:dyDescent="0.35">
      <c r="A311" s="96">
        <v>305</v>
      </c>
      <c r="B311" s="298" t="str">
        <f>+'Base de Datos'!E312</f>
        <v>150228-0-2015</v>
      </c>
      <c r="C311" s="298" t="str">
        <f>+'Base de Datos'!F312</f>
        <v xml:space="preserve">REVISTA EL CONGRESO SIGLO XXI </v>
      </c>
      <c r="D311" s="299">
        <f>+'Base de Datos'!I312</f>
        <v>7800000</v>
      </c>
      <c r="E311" s="300">
        <f>+'Base de Datos'!M312</f>
        <v>42145</v>
      </c>
      <c r="F311" s="300">
        <f>+'Base de Datos'!N312</f>
        <v>42511</v>
      </c>
      <c r="G311" s="300" t="e">
        <f>+'Base de Datos'!#REF!</f>
        <v>#REF!</v>
      </c>
      <c r="H311" s="299">
        <f>+'Base de Datos'!X312</f>
        <v>7800000</v>
      </c>
      <c r="I311" s="301" t="e">
        <f>IF(VLOOKUP(B311,'Base de Datos'!$E$7:$T$303,11,0),"SI","NO")</f>
        <v>#N/A</v>
      </c>
      <c r="J311" s="302" t="e">
        <f t="shared" si="28"/>
        <v>#N/A</v>
      </c>
      <c r="K311" s="301" t="e">
        <f>IF(VLOOKUP(B311,'Base de Datos'!$E$7:$T$303,11,0),"SI","NO")</f>
        <v>#N/A</v>
      </c>
      <c r="L311" s="302" t="e">
        <f t="shared" si="29"/>
        <v>#N/A</v>
      </c>
      <c r="M311" s="302" t="e">
        <f>VLOOKUP(B311,'Base de Datos'!$E$7:$AC$303,21,0)</f>
        <v>#N/A</v>
      </c>
      <c r="N311" s="363" t="e">
        <f t="shared" ca="1" si="33"/>
        <v>#REF!</v>
      </c>
      <c r="O311" s="302" t="e">
        <f>VLOOKUP(B311,'Base de Datos'!$E$7:$AC$303,22,0)</f>
        <v>#N/A</v>
      </c>
      <c r="P311" s="362" t="str">
        <f t="shared" ca="1" si="30"/>
        <v/>
      </c>
      <c r="Q311" s="375" t="e">
        <f t="shared" ca="1" si="34"/>
        <v>#VALUE!</v>
      </c>
      <c r="R311" s="298" t="str">
        <f>VLOOKUP(B311,'Base de Datos'!E311:AU622,33,0)</f>
        <v>Oficina Asesora de Comunicaciones</v>
      </c>
      <c r="S311" s="301" t="e">
        <f t="shared" ca="1" si="31"/>
        <v>#REF!</v>
      </c>
      <c r="T311" s="298" t="e">
        <f t="shared" si="32"/>
        <v>#N/A</v>
      </c>
      <c r="U311" s="298" t="str">
        <f>VLOOKUP(B311,'Base de Datos'!$E$7:$AU$401,38,0)</f>
        <v>SI</v>
      </c>
    </row>
    <row r="312" spans="1:21" ht="10.8" thickTop="1" x14ac:dyDescent="0.3"/>
  </sheetData>
  <autoFilter ref="A6:U311" xr:uid="{00000000-0009-0000-0000-00000A000000}"/>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xr:uid="{00000000-0002-0000-0A00-000000000000}"/>
    <dataValidation allowBlank="1" showInputMessage="1" showErrorMessage="1" prompt="Es el valor que resulta de la sumatoria entre el valor del contrato y las adiciones, si las hubo." sqref="H6" xr:uid="{00000000-0002-0000-0A00-000001000000}"/>
    <dataValidation allowBlank="1" showInputMessage="1" showErrorMessage="1" prompt="Corresponde al grado de avance en la ejecución financiera del contrato" sqref="M6:N6" xr:uid="{00000000-0002-0000-0A00-000002000000}"/>
    <dataValidation allowBlank="1" showInputMessage="1" showErrorMessage="1" prompt="Corresponde al grado de avance en el tiempo programado para la ejecución del contrato. " sqref="O6:Q6" xr:uid="{00000000-0002-0000-0A00-000003000000}"/>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ColWidth="11.44140625" defaultRowHeight="10.199999999999999" x14ac:dyDescent="0.3"/>
  <cols>
    <col min="1" max="1" width="3.44140625" style="440" customWidth="1"/>
    <col min="2" max="2" width="4.33203125" style="96" customWidth="1"/>
    <col min="3" max="3" width="13.6640625" style="217" bestFit="1" customWidth="1"/>
    <col min="4" max="4" width="8.44140625" style="96" customWidth="1"/>
    <col min="5" max="5" width="19.88671875" style="217" customWidth="1"/>
    <col min="6" max="6" width="13.33203125" style="402" customWidth="1"/>
    <col min="7" max="7" width="26.88671875" style="256" customWidth="1"/>
    <col min="8" max="8" width="11.6640625" style="256" customWidth="1"/>
    <col min="9" max="9" width="13" style="256" customWidth="1"/>
    <col min="10" max="10" width="13.109375" style="256" customWidth="1"/>
    <col min="11" max="12" width="11.44140625" style="217"/>
    <col min="13" max="13" width="11.44140625" style="404"/>
    <col min="14" max="17" width="11.44140625" style="217"/>
    <col min="18" max="18" width="13.109375" style="217" customWidth="1"/>
    <col min="19" max="19" width="11.44140625" style="217"/>
    <col min="20" max="20" width="18.44140625" style="217" customWidth="1"/>
    <col min="21" max="21" width="21.88671875" style="217" customWidth="1"/>
    <col min="22" max="22" width="12.5546875" style="402" customWidth="1"/>
    <col min="23" max="23" width="13.109375" style="217" customWidth="1"/>
    <col min="24" max="24" width="12.5546875" style="403" customWidth="1"/>
    <col min="25" max="25" width="12.44140625" style="403" customWidth="1"/>
    <col min="26" max="26" width="14.6640625" style="217" customWidth="1"/>
    <col min="27" max="27" width="14.6640625" style="424" customWidth="1"/>
    <col min="28" max="29" width="14.6640625" style="217" customWidth="1"/>
    <col min="30" max="30" width="14.6640625" style="403" customWidth="1"/>
    <col min="31" max="31" width="12.5546875" style="402" customWidth="1"/>
    <col min="32" max="32" width="15.6640625" style="402" customWidth="1"/>
    <col min="33" max="33" width="12.5546875" style="217" customWidth="1"/>
    <col min="34" max="35" width="11.44140625" style="217" customWidth="1"/>
    <col min="36" max="36" width="11.44140625" style="403"/>
    <col min="37" max="37" width="15.6640625" style="217" bestFit="1" customWidth="1"/>
    <col min="38" max="38" width="23.6640625" style="217" customWidth="1"/>
    <col min="39" max="39" width="14.6640625" style="402" bestFit="1" customWidth="1"/>
    <col min="40" max="40" width="13.44140625" style="217" bestFit="1" customWidth="1"/>
    <col min="41" max="42" width="11.44140625" style="403"/>
    <col min="43" max="43" width="11.44140625" style="430"/>
    <col min="44" max="44" width="11.44140625" style="424"/>
    <col min="45" max="45" width="11.44140625" style="430"/>
    <col min="46" max="46" width="11.44140625" style="217"/>
    <col min="47" max="47" width="11.44140625" style="404"/>
    <col min="48" max="48" width="14.6640625" style="402" bestFit="1" customWidth="1"/>
    <col min="49" max="49" width="13" style="217" customWidth="1"/>
    <col min="50" max="50" width="12.5546875" style="217" bestFit="1" customWidth="1"/>
    <col min="51" max="51" width="11.44140625" style="435"/>
    <col min="52" max="52" width="11.44140625" style="217"/>
    <col min="53" max="53" width="14.6640625" style="440" bestFit="1" customWidth="1"/>
    <col min="54" max="54" width="14.88671875" style="217" bestFit="1" customWidth="1"/>
    <col min="55" max="16384" width="11.44140625" style="217"/>
  </cols>
  <sheetData>
    <row r="1" spans="1:54" s="440" customFormat="1" ht="10.8" thickBot="1" x14ac:dyDescent="0.35">
      <c r="B1" s="113"/>
      <c r="D1" s="113"/>
      <c r="G1" s="303"/>
      <c r="H1" s="303"/>
      <c r="I1" s="303"/>
      <c r="J1" s="303"/>
      <c r="V1" s="441"/>
      <c r="X1" s="442"/>
      <c r="Y1" s="442"/>
      <c r="AA1" s="443"/>
      <c r="AD1" s="442"/>
      <c r="AE1" s="441"/>
      <c r="AF1" s="441"/>
      <c r="AJ1" s="442"/>
      <c r="AM1" s="441"/>
      <c r="AO1" s="442"/>
      <c r="AP1" s="442"/>
      <c r="AQ1" s="444"/>
      <c r="AR1" s="443"/>
      <c r="AS1" s="444"/>
      <c r="AU1" s="445"/>
      <c r="AV1" s="441"/>
      <c r="AY1" s="446"/>
    </row>
    <row r="2" spans="1:54" s="440" customFormat="1" ht="24.75" customHeight="1" thickTop="1" x14ac:dyDescent="0.3">
      <c r="B2" s="1231" t="s">
        <v>1773</v>
      </c>
      <c r="C2" s="1232"/>
      <c r="D2" s="1232"/>
      <c r="E2" s="1232"/>
      <c r="F2" s="1232"/>
      <c r="G2" s="1232"/>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3"/>
    </row>
    <row r="3" spans="1:54" s="440" customFormat="1" ht="24.75" customHeight="1" x14ac:dyDescent="0.3">
      <c r="B3" s="1234" t="s">
        <v>1795</v>
      </c>
      <c r="C3" s="1235"/>
      <c r="D3" s="1235"/>
      <c r="E3" s="1235"/>
      <c r="F3" s="1235"/>
      <c r="G3" s="1235"/>
      <c r="H3" s="1235"/>
      <c r="I3" s="1235"/>
      <c r="J3" s="1235"/>
      <c r="K3" s="1235"/>
      <c r="L3" s="1235"/>
      <c r="M3" s="1235"/>
      <c r="N3" s="1235"/>
      <c r="O3" s="1235"/>
      <c r="P3" s="1235"/>
      <c r="Q3" s="1235"/>
      <c r="R3" s="1235"/>
      <c r="S3" s="1235"/>
      <c r="T3" s="1235"/>
      <c r="U3" s="1235"/>
      <c r="V3" s="1235"/>
      <c r="W3" s="1235"/>
      <c r="X3" s="1235"/>
      <c r="Y3" s="1235"/>
      <c r="Z3" s="1235"/>
      <c r="AA3" s="1235"/>
      <c r="AB3" s="1235"/>
      <c r="AC3" s="1235"/>
      <c r="AD3" s="1235"/>
      <c r="AE3" s="1235"/>
      <c r="AF3" s="1235"/>
      <c r="AG3" s="1235"/>
      <c r="AH3" s="1235"/>
      <c r="AI3" s="1235"/>
      <c r="AJ3" s="1235"/>
      <c r="AK3" s="1235"/>
      <c r="AL3" s="1235"/>
      <c r="AM3" s="1235"/>
      <c r="AN3" s="1235"/>
      <c r="AO3" s="1235"/>
      <c r="AP3" s="1235"/>
      <c r="AQ3" s="1235"/>
      <c r="AR3" s="1235"/>
      <c r="AS3" s="1235"/>
      <c r="AT3" s="1235"/>
      <c r="AU3" s="1235"/>
      <c r="AV3" s="1235"/>
      <c r="AW3" s="1235"/>
      <c r="AX3" s="1235"/>
      <c r="AY3" s="1235"/>
      <c r="AZ3" s="1236"/>
    </row>
    <row r="4" spans="1:54" s="440" customFormat="1" ht="24.75" customHeight="1" thickBot="1" x14ac:dyDescent="0.35">
      <c r="B4" s="494"/>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c r="AY4" s="495"/>
      <c r="AZ4" s="496"/>
    </row>
    <row r="5" spans="1:54" s="440" customFormat="1" ht="10.8" thickTop="1" x14ac:dyDescent="0.3">
      <c r="B5" s="113"/>
      <c r="D5" s="113"/>
      <c r="G5" s="303"/>
      <c r="H5" s="303"/>
      <c r="I5" s="303"/>
      <c r="J5" s="303"/>
      <c r="V5" s="441"/>
      <c r="X5" s="442"/>
      <c r="Y5" s="442"/>
      <c r="AA5" s="443"/>
      <c r="AD5" s="442"/>
      <c r="AE5" s="441"/>
      <c r="AF5" s="441"/>
      <c r="AJ5" s="442"/>
      <c r="AM5" s="441"/>
      <c r="AO5" s="442"/>
      <c r="AP5" s="442"/>
      <c r="AQ5" s="444"/>
      <c r="AR5" s="443"/>
      <c r="AS5" s="444"/>
      <c r="AU5" s="445"/>
      <c r="AV5" s="441"/>
      <c r="AY5" s="446"/>
    </row>
    <row r="6" spans="1:54" s="493" customFormat="1" ht="30.6" x14ac:dyDescent="0.3">
      <c r="A6" s="477"/>
      <c r="B6" s="478" t="s">
        <v>1688</v>
      </c>
      <c r="C6" s="478" t="s">
        <v>1689</v>
      </c>
      <c r="D6" s="478" t="s">
        <v>1692</v>
      </c>
      <c r="E6" s="478" t="s">
        <v>1690</v>
      </c>
      <c r="F6" s="478" t="s">
        <v>1691</v>
      </c>
      <c r="G6" s="478" t="s">
        <v>1693</v>
      </c>
      <c r="H6" s="478" t="s">
        <v>1774</v>
      </c>
      <c r="I6" s="478" t="s">
        <v>1694</v>
      </c>
      <c r="J6" s="479" t="s">
        <v>1732</v>
      </c>
      <c r="K6" s="480" t="s">
        <v>1695</v>
      </c>
      <c r="L6" s="480" t="s">
        <v>1696</v>
      </c>
      <c r="M6" s="480" t="s">
        <v>1697</v>
      </c>
      <c r="N6" s="480" t="s">
        <v>1698</v>
      </c>
      <c r="O6" s="480" t="s">
        <v>1699</v>
      </c>
      <c r="P6" s="480" t="s">
        <v>1700</v>
      </c>
      <c r="Q6" s="480" t="s">
        <v>1701</v>
      </c>
      <c r="R6" s="481" t="s">
        <v>1817</v>
      </c>
      <c r="S6" s="481" t="s">
        <v>1721</v>
      </c>
      <c r="T6" s="482" t="s">
        <v>1723</v>
      </c>
      <c r="U6" s="482" t="s">
        <v>1703</v>
      </c>
      <c r="V6" s="483" t="s">
        <v>1704</v>
      </c>
      <c r="W6" s="482" t="s">
        <v>1705</v>
      </c>
      <c r="X6" s="484" t="s">
        <v>1706</v>
      </c>
      <c r="Y6" s="484" t="s">
        <v>1707</v>
      </c>
      <c r="Z6" s="482" t="s">
        <v>1726</v>
      </c>
      <c r="AA6" s="485" t="s">
        <v>1727</v>
      </c>
      <c r="AB6" s="482" t="s">
        <v>1724</v>
      </c>
      <c r="AC6" s="482" t="s">
        <v>1725</v>
      </c>
      <c r="AD6" s="484" t="s">
        <v>1728</v>
      </c>
      <c r="AE6" s="483" t="s">
        <v>1729</v>
      </c>
      <c r="AF6" s="483" t="s">
        <v>1737</v>
      </c>
      <c r="AG6" s="482" t="s">
        <v>1708</v>
      </c>
      <c r="AH6" s="482" t="s">
        <v>1730</v>
      </c>
      <c r="AI6" s="486" t="s">
        <v>1731</v>
      </c>
      <c r="AJ6" s="487" t="s">
        <v>1722</v>
      </c>
      <c r="AK6" s="488" t="s">
        <v>1702</v>
      </c>
      <c r="AL6" s="488" t="s">
        <v>1703</v>
      </c>
      <c r="AM6" s="489" t="s">
        <v>1704</v>
      </c>
      <c r="AN6" s="488" t="s">
        <v>1705</v>
      </c>
      <c r="AO6" s="487" t="s">
        <v>1706</v>
      </c>
      <c r="AP6" s="487" t="s">
        <v>1707</v>
      </c>
      <c r="AQ6" s="490" t="s">
        <v>1726</v>
      </c>
      <c r="AR6" s="491" t="s">
        <v>1727</v>
      </c>
      <c r="AS6" s="490" t="s">
        <v>1724</v>
      </c>
      <c r="AT6" s="488" t="s">
        <v>1725</v>
      </c>
      <c r="AU6" s="487" t="s">
        <v>1728</v>
      </c>
      <c r="AV6" s="489" t="s">
        <v>1729</v>
      </c>
      <c r="AW6" s="488" t="s">
        <v>1737</v>
      </c>
      <c r="AX6" s="488" t="s">
        <v>1708</v>
      </c>
      <c r="AY6" s="492" t="s">
        <v>1730</v>
      </c>
      <c r="AZ6" s="488" t="s">
        <v>1731</v>
      </c>
      <c r="BA6" s="477"/>
    </row>
    <row r="7" spans="1:54" ht="55.5" hidden="1" customHeight="1" x14ac:dyDescent="0.3">
      <c r="B7" s="406">
        <v>1</v>
      </c>
      <c r="C7" s="414" t="s">
        <v>1641</v>
      </c>
      <c r="D7" s="406">
        <v>122</v>
      </c>
      <c r="E7" s="414" t="s">
        <v>1642</v>
      </c>
      <c r="F7" s="415">
        <f>VLOOKUP(D7,'Presupuesto - PAA 2015'!$B$10:$E$265,4,0)</f>
        <v>2365972</v>
      </c>
      <c r="G7" s="407" t="str">
        <f>VLOOKUP(D7,'[4]Seguimiento Plan'!$C$2:$R$101,16,0)</f>
        <v>Realizar las auditorías de seguimiento a los Subsistemas de Gestión Ambiental y Seguridad y Salud Ocupacional bajo las normas ISO 14001:2004 y OHSAS 18001:2007</v>
      </c>
      <c r="H7" s="407" t="s">
        <v>1775</v>
      </c>
      <c r="I7" s="407" t="s">
        <v>1709</v>
      </c>
      <c r="J7" s="416" t="s">
        <v>908</v>
      </c>
      <c r="K7" s="417" t="s">
        <v>390</v>
      </c>
      <c r="L7" s="417" t="str">
        <f>VLOOKUP(D7,'[4]Seguimiento Plan'!$C$2:$AJ$101,30,0)</f>
        <v>SI</v>
      </c>
      <c r="M7" s="418">
        <f>VLOOKUP(D7,'[4]Seguimiento Plan'!$C$2:$AJ$101,31,0)</f>
        <v>42066</v>
      </c>
      <c r="N7" s="417"/>
      <c r="O7" s="419"/>
      <c r="P7" s="419"/>
      <c r="Q7" s="419"/>
      <c r="R7" s="420"/>
      <c r="S7" s="420"/>
      <c r="T7" s="318" t="s">
        <v>304</v>
      </c>
      <c r="U7" s="423" t="str">
        <f>IF(ISERROR(VLOOKUP(T7,'Base de Datos'!$E$7:$AU$302,3,0))=TRUE," ",(VLOOKUP(T7,'Base de Datos'!$E$7:$AU$302,2,0)))</f>
        <v>COTECNA CERTIFICADORA SEVICES LIMITADA</v>
      </c>
      <c r="V7" s="426">
        <f>IF(ISERROR(VLOOKUP(T7,'Base de Datos'!$E$7:$AU$302,5,0))=TRUE," ",(VLOOKUP(T7,'Base de Datos'!$E$7:$AU$302,5,0)))</f>
        <v>2228070</v>
      </c>
      <c r="W7" s="423">
        <f>IF(ISERROR(VLOOKUP(T7,'Base de Datos'!$E$7:$AU$302,19,0))=TRUE," ",(VLOOKUP(T7,'Base de Datos'!$E$7:$AU$302,19,0)))</f>
        <v>41965</v>
      </c>
      <c r="X7" s="428" t="str">
        <f>IF(ISERROR(VLOOKUP(T7,'Base de Datos'!$E$7:$AU$302,8,0))=TRUE," ",(VLOOKUP(T7,'Base de Datos'!$E$7:$AU$302,8,0)))</f>
        <v xml:space="preserve"> </v>
      </c>
      <c r="Y7" s="428">
        <f>IF(ISERROR(VLOOKUP(T7,'Base de Datos'!$E$7:$AU$302,9,0))=TRUE," ",(VLOOKUP(T7,'Base de Datos'!$E$7:$AU$302,9,0)))</f>
        <v>41842</v>
      </c>
      <c r="Z7" s="422">
        <f>IF(ISERROR(VLOOKUP(T7,'Base de Datos'!$E$7:$AU$302,10,0))=TRUE," ",(VLOOKUP(T7,'Base de Datos'!$E$7:$AU$302,10,0)))</f>
        <v>41965</v>
      </c>
      <c r="AA7" s="425" t="str">
        <f>IF(ISERROR(VLOOKUP(T7,'Base de Datos'!$E$7:$AU$302,11,0))=TRUE," ",(VLOOKUP(T7,'Base de Datos'!$E$7:$AU$302,11,0)))</f>
        <v/>
      </c>
      <c r="AB7" s="422">
        <f>IF(ISERROR(VLOOKUP(T7,'Base de Datos'!$E$7:$AU$302,12,0))=TRUE," ",(VLOOKUP(T7,'Base de Datos'!$E$7:$AU$302,12,0)))</f>
        <v>0</v>
      </c>
      <c r="AC7" s="422">
        <f>IF(ISERROR(VLOOKUP(T7,'Base de Datos'!$E$7:$AU$302,12,0))=TRUE," ",(VLOOKUP(T7,'Base de Datos'!$E$7:$AU$302,12,0)))</f>
        <v>0</v>
      </c>
      <c r="AD7" s="428" t="str">
        <f>IF(ISERROR(VLOOKUP(T7,'Base de Datos'!$E$7:$AU$302,15,0))=TRUE," ",(VLOOKUP(T7,'Base de Datos'!$E$7:$AU$302,15,0)))</f>
        <v/>
      </c>
      <c r="AE7" s="433" t="str">
        <f>IF(ISERROR(VLOOKUP(T7,'Base de Datos'!$E$7:$AU$302,16,0))=TRUE," ",(VLOOKUP(T7,'Base de Datos'!$E$7:$AU$302,16,0)))</f>
        <v/>
      </c>
      <c r="AF7" s="433" t="str">
        <f>IF(ISERROR(VLOOKUP(T7,'Base de Datos'!$E$7:$AU$302,17,0))=TRUE," ",(VLOOKUP(T7,'Base de Datos'!$E$7:$AU$302,17,0)))</f>
        <v/>
      </c>
      <c r="AG7" s="433" t="str">
        <f>IF(ISERROR(VLOOKUP(T7,'Base de Datos'!$E$7:$AU$302,18,0))=TRUE," ",(VLOOKUP(T7,'Base de Datos'!$E$7:$AU$302,18,0)))</f>
        <v/>
      </c>
      <c r="AH7" s="434">
        <f>IF(ISERROR(VLOOKUP(T7,'Base de Datos'!$E$7:$AU$302,20,0))=TRUE," ",(VLOOKUP(T7,'Base de Datos'!$E$7:$AU$302,20,0)))</f>
        <v>2228070</v>
      </c>
      <c r="AI7" s="434">
        <f>IF(ISERROR(VLOOKUP(T7,'Base de Datos'!$E$7:$AU$302,21,0))=TRUE," ",(VLOOKUP(T7,'Base de Datos'!$E$7:$AU$302,21,0)))</f>
        <v>2228070</v>
      </c>
      <c r="AJ7" s="437">
        <v>42158</v>
      </c>
      <c r="AK7" s="423" t="str">
        <f>IF(ISERROR(VLOOKUP(D7,'Base de Datos'!$C$7:$AU$400,2,0))=TRUE," ",(VLOOKUP(D7,'Base de Datos'!$C$7:$AU$400,2,0)))</f>
        <v>2015122</v>
      </c>
      <c r="AL7" s="423" t="str">
        <f>IF(ISERROR(VLOOKUP(D7,'Base de Datos'!$C$7:$AU$400,3,0))=TRUE," ",(VLOOKUP(D7,'Base de Datos'!$C$7:$AU$400,3,0)))</f>
        <v>150244-0-2015</v>
      </c>
      <c r="AM7" s="426" t="str">
        <f>IF(ISERROR(VLOOKUP(D7,'Base de Datos'!$C$7:$AU$3761,6,0))=TRUE," ",(VLOOKUP(D7,'Base de Datos'!$C$7:$AU$400,6,0)))</f>
        <v>Realizar las auditorías de seguimiento a los sistemas de Gestión Ambiental y Seguridad y Salud Ocupacional del Concejo de Bogotá, bajo las normas ISO 14001:2004 y OHSAS 18001:2007</v>
      </c>
      <c r="AN7" s="426" t="str">
        <f>IF(ISERROR(VLOOKUP(D7,'Base de Datos'!$C$7:$AU$400,20,0))=TRUE," ",(VLOOKUP(D7,'Base de Datos'!$C$7:$AU$400,19,0)))</f>
        <v/>
      </c>
      <c r="AO7" s="429">
        <f>IF(ISERROR(VLOOKUP(D7,'Base de Datos'!$C$7:$AU$400,9,0))=TRUE," ",(VLOOKUP(D7,'Base de Datos'!$C$7:$AU$400,9,0)))</f>
        <v>2015</v>
      </c>
      <c r="AP7" s="429">
        <f>IF(ISERROR(VLOOKUP(D7,'Base de Datos'!$C$7:$AU$400,10,0))=TRUE," ",(VLOOKUP(D7,'Base de Datos'!$C$7:$AU$400,10,0)))</f>
        <v>42158</v>
      </c>
      <c r="AQ7" s="431">
        <f>IF(ISERROR(VLOOKUP(D7,'Base de Datos'!$C$7:$AU$400,11,0))=TRUE," ",(VLOOKUP(D7,'Base de Datos'!$C$7:$AU$400,11,0)))</f>
        <v>42174</v>
      </c>
      <c r="AR7" s="432">
        <f>IF(ISERROR(VLOOKUP(D7,'Base de Datos'!$C$7:$AU$400,12,0))=TRUE," ",(VLOOKUP(D7,'Base de Datos'!$C$7:$AU$400,12,0)))</f>
        <v>42296</v>
      </c>
      <c r="AS7" s="431" t="str">
        <f>IF(ISERROR(VLOOKUP(D7,'Base de Datos'!$C$7:$AU$400,13,0))=TRUE," ",(VLOOKUP(D7,'Base de Datos'!$C$7:$AU$400,13,0)))</f>
        <v/>
      </c>
      <c r="AT7" s="431">
        <f>IF(ISERROR(VLOOKUP(D7,'Base de Datos'!$C$7:$AU$400,14,0))=TRUE," ",(VLOOKUP(D7,'Base de Datos'!$C$7:$AU$400,14,0)))</f>
        <v>0</v>
      </c>
      <c r="AU7" s="429">
        <f>IF(ISERROR(VLOOKUP(D7,'Base de Datos'!$C$7:$AU$400,16,0))=TRUE," ",(VLOOKUP(D7,'Base de Datos'!$C$7:$AU$400,16,0)))</f>
        <v>0</v>
      </c>
      <c r="AV7" s="433" t="str">
        <f>IF(ISERROR(VLOOKUP(D7,'Base de Datos'!$C$7:$AU$400,17,0))=TRUE," ",(VLOOKUP(D7,'Base de Datos'!$C$7:$AU$400,17,0)))</f>
        <v/>
      </c>
      <c r="AW7" s="433" t="str">
        <f>IF(ISERROR(VLOOKUP(D7,'Base de Datos'!$C$7:$AU$400,18,0))=TRUE," ",(VLOOKUP(D7,'Base de Datos'!$C$7:$AU$400,18,0)))</f>
        <v/>
      </c>
      <c r="AX7" s="433" t="str">
        <f>IF(ISERROR(VLOOKUP(D7,'Base de Datos'!$C$7:$AU$400,19,0))=TRUE," ",(VLOOKUP(D7,'Base de Datos'!$C$7:$AU$400,19,0)))</f>
        <v/>
      </c>
      <c r="AY7" s="436">
        <f>IF(ISERROR(VLOOKUP(D7,'Base de Datos'!$C$7:$AU$400,21,0))=TRUE," ",(VLOOKUP(D7,'Base de Datos'!$C$7:$AU$400,21,0)))</f>
        <v>42296</v>
      </c>
      <c r="AZ7" s="436">
        <f>IF(ISERROR(VLOOKUP(D7,'Base de Datos'!$C$7:$AU$400,22,0))=TRUE," ",(VLOOKUP(D7,'Base de Datos'!$C$7:$AU$400,22,0)))</f>
        <v>2365972</v>
      </c>
      <c r="BA7" s="443"/>
      <c r="BB7" s="453"/>
    </row>
    <row r="8" spans="1:54" ht="55.5" hidden="1" customHeight="1" x14ac:dyDescent="0.3">
      <c r="B8" s="406">
        <v>2</v>
      </c>
      <c r="C8" s="414" t="s">
        <v>1641</v>
      </c>
      <c r="D8" s="406">
        <v>123</v>
      </c>
      <c r="E8" s="414" t="s">
        <v>1642</v>
      </c>
      <c r="F8" s="415">
        <f>VLOOKUP(D8,'Presupuesto - PAA 2015'!$B$10:$E$265,4,0)</f>
        <v>7714000</v>
      </c>
      <c r="G8" s="407" t="str">
        <f>VLOOKUP(D8,'[4]Seguimiento Plan'!$C$2:$R$101,16,0)</f>
        <v>Realizar las auditorías para la recertificación del Sistema de Gestión de Calidad del Concejo de Bogotá.</v>
      </c>
      <c r="H8" s="407" t="s">
        <v>1775</v>
      </c>
      <c r="I8" s="407" t="s">
        <v>1709</v>
      </c>
      <c r="J8" s="416" t="s">
        <v>909</v>
      </c>
      <c r="K8" s="417" t="s">
        <v>390</v>
      </c>
      <c r="L8" s="417" t="str">
        <f>VLOOKUP(D8,'[4]Seguimiento Plan'!$C$2:$AJ$101,30,0)</f>
        <v>SI</v>
      </c>
      <c r="M8" s="418">
        <f>VLOOKUP(D8,'[4]Seguimiento Plan'!$C$2:$AJ$101,31,0)</f>
        <v>42066</v>
      </c>
      <c r="N8" s="417"/>
      <c r="O8" s="419"/>
      <c r="P8" s="419"/>
      <c r="Q8" s="419"/>
      <c r="R8" s="420"/>
      <c r="S8" s="438" t="s">
        <v>1744</v>
      </c>
      <c r="T8" s="421"/>
      <c r="U8" s="423" t="str">
        <f>IF(ISERROR(VLOOKUP(T8,'Base de Datos'!$E$7:$AU$302,3,0))=TRUE," ",(VLOOKUP(T8,'Base de Datos'!$E$7:$AU$302,2,0)))</f>
        <v xml:space="preserve"> </v>
      </c>
      <c r="V8" s="426" t="str">
        <f>IF(ISERROR(VLOOKUP(T8,'Base de Datos'!$E$7:$AU$302,5,0))=TRUE," ",(VLOOKUP(T8,'Base de Datos'!$E$7:$AU$302,5,0)))</f>
        <v xml:space="preserve"> </v>
      </c>
      <c r="W8" s="423" t="str">
        <f>IF(ISERROR(VLOOKUP(T8,'Base de Datos'!$E$7:$AU$302,19,0))=TRUE," ",(VLOOKUP(T8,'Base de Datos'!$E$7:$AU$302,19,0)))</f>
        <v xml:space="preserve"> </v>
      </c>
      <c r="X8" s="428" t="str">
        <f>IF(ISERROR(VLOOKUP(T8,'Base de Datos'!$E$7:$AU$302,8,0))=TRUE," ",(VLOOKUP(T8,'Base de Datos'!$E$7:$AU$302,8,0)))</f>
        <v xml:space="preserve"> </v>
      </c>
      <c r="Y8" s="428" t="str">
        <f>IF(ISERROR(VLOOKUP(T8,'Base de Datos'!$E$7:$AU$302,9,0))=TRUE," ",(VLOOKUP(T8,'Base de Datos'!$E$7:$AU$302,9,0)))</f>
        <v xml:space="preserve"> </v>
      </c>
      <c r="Z8" s="422" t="str">
        <f>IF(ISERROR(VLOOKUP(T8,'Base de Datos'!$E$7:$AU$302,10,0))=TRUE," ",(VLOOKUP(T8,'Base de Datos'!$E$7:$AU$302,10,0)))</f>
        <v xml:space="preserve"> </v>
      </c>
      <c r="AA8" s="425" t="str">
        <f>IF(ISERROR(VLOOKUP(T8,'Base de Datos'!$E$7:$AU$302,11,0))=TRUE," ",(VLOOKUP(T8,'Base de Datos'!$E$7:$AU$302,11,0)))</f>
        <v xml:space="preserve"> </v>
      </c>
      <c r="AB8" s="422" t="str">
        <f>IF(ISERROR(VLOOKUP(T8,'Base de Datos'!$E$7:$AU$302,12,0))=TRUE," ",(VLOOKUP(T8,'Base de Datos'!$E$7:$AU$302,12,0)))</f>
        <v xml:space="preserve"> </v>
      </c>
      <c r="AC8" s="422" t="str">
        <f>IF(ISERROR(VLOOKUP(T8,'Base de Datos'!$E$7:$AU$302,12,0))=TRUE," ",(VLOOKUP(T8,'Base de Datos'!$E$7:$AU$302,12,0)))</f>
        <v xml:space="preserve"> </v>
      </c>
      <c r="AD8" s="428" t="str">
        <f>IF(ISERROR(VLOOKUP(T8,'Base de Datos'!$E$7:$AU$302,15,0))=TRUE," ",(VLOOKUP(T8,'Base de Datos'!$E$7:$AU$302,15,0)))</f>
        <v xml:space="preserve"> </v>
      </c>
      <c r="AE8" s="433" t="str">
        <f>IF(ISERROR(VLOOKUP(T8,'Base de Datos'!$E$7:$AU$302,16,0))=TRUE," ",(VLOOKUP(T8,'Base de Datos'!$E$7:$AU$302,16,0)))</f>
        <v xml:space="preserve"> </v>
      </c>
      <c r="AF8" s="433" t="str">
        <f>IF(ISERROR(VLOOKUP(T8,'Base de Datos'!$E$7:$AU$302,17,0))=TRUE," ",(VLOOKUP(T8,'Base de Datos'!$E$7:$AU$302,17,0)))</f>
        <v xml:space="preserve"> </v>
      </c>
      <c r="AG8" s="433" t="str">
        <f>IF(ISERROR(VLOOKUP(T8,'Base de Datos'!$E$7:$AU$302,18,0))=TRUE," ",(VLOOKUP(T8,'Base de Datos'!$E$7:$AU$302,18,0)))</f>
        <v xml:space="preserve"> </v>
      </c>
      <c r="AH8" s="434" t="str">
        <f>IF(ISERROR(VLOOKUP(T8,'Base de Datos'!$E$7:$AU$302,20,0))=TRUE," ",(VLOOKUP(T8,'Base de Datos'!$E$7:$AU$302,20,0)))</f>
        <v xml:space="preserve"> </v>
      </c>
      <c r="AI8" s="434" t="str">
        <f>IF(ISERROR(VLOOKUP(T8,'Base de Datos'!$E$7:$AU$302,21,0))=TRUE," ",(VLOOKUP(T8,'Base de Datos'!$E$7:$AU$302,21,0)))</f>
        <v xml:space="preserve"> </v>
      </c>
      <c r="AJ8" s="437">
        <v>42132</v>
      </c>
      <c r="AK8" s="423" t="str">
        <f>IF(ISERROR(VLOOKUP(D8,'Base de Datos'!$C$7:$AU$400,2,0))=TRUE," ",(VLOOKUP(D8,'Base de Datos'!$C$7:$AU$400,2,0)))</f>
        <v>2015123</v>
      </c>
      <c r="AL8" s="423" t="str">
        <f>IF(ISERROR(VLOOKUP(D8,'Base de Datos'!$C$7:$AU$400,3,0))=TRUE," ",(VLOOKUP(D8,'Base de Datos'!$C$7:$AU$400,3,0)))</f>
        <v>150221-0-2015</v>
      </c>
      <c r="AM8" s="426" t="str">
        <f>IF(ISERROR(VLOOKUP(D8,'Base de Datos'!$C$7:$AU$3761,6,0))=TRUE," ",(VLOOKUP(D8,'Base de Datos'!$C$7:$AU$400,6,0)))</f>
        <v>Realizar las auditorías para la recertificación del Sistema de Gestión de Calidad del Concejo de Bogotá.</v>
      </c>
      <c r="AN8" s="426" t="str">
        <f>IF(ISERROR(VLOOKUP(D8,'Base de Datos'!$C$7:$AU$400,20,0))=TRUE," ",(VLOOKUP(D8,'Base de Datos'!$C$7:$AU$400,19,0)))</f>
        <v/>
      </c>
      <c r="AO8" s="429">
        <f>IF(ISERROR(VLOOKUP(D8,'Base de Datos'!$C$7:$AU$400,9,0))=TRUE," ",(VLOOKUP(D8,'Base de Datos'!$C$7:$AU$400,9,0)))</f>
        <v>2015</v>
      </c>
      <c r="AP8" s="429">
        <f>IF(ISERROR(VLOOKUP(D8,'Base de Datos'!$C$7:$AU$400,10,0))=TRUE," ",(VLOOKUP(D8,'Base de Datos'!$C$7:$AU$400,10,0)))</f>
        <v>42132</v>
      </c>
      <c r="AQ8" s="431">
        <f>IF(ISERROR(VLOOKUP(D8,'Base de Datos'!$C$7:$AU$400,11,0))=TRUE," ",(VLOOKUP(D8,'Base de Datos'!$C$7:$AU$400,11,0)))</f>
        <v>42144</v>
      </c>
      <c r="AR8" s="432">
        <f>IF(ISERROR(VLOOKUP(D8,'Base de Datos'!$C$7:$AU$400,12,0))=TRUE," ",(VLOOKUP(D8,'Base de Datos'!$C$7:$AU$400,12,0)))</f>
        <v>42236</v>
      </c>
      <c r="AS8" s="431" t="str">
        <f>IF(ISERROR(VLOOKUP(D8,'Base de Datos'!$C$7:$AU$400,13,0))=TRUE," ",(VLOOKUP(D8,'Base de Datos'!$C$7:$AU$400,13,0)))</f>
        <v/>
      </c>
      <c r="AT8" s="431">
        <f>IF(ISERROR(VLOOKUP(D8,'Base de Datos'!$C$7:$AU$400,14,0))=TRUE," ",(VLOOKUP(D8,'Base de Datos'!$C$7:$AU$400,14,0)))</f>
        <v>0</v>
      </c>
      <c r="AU8" s="429">
        <f>IF(ISERROR(VLOOKUP(D8,'Base de Datos'!$C$7:$AU$400,16,0))=TRUE," ",(VLOOKUP(D8,'Base de Datos'!$C$7:$AU$400,16,0)))</f>
        <v>0</v>
      </c>
      <c r="AV8" s="433" t="str">
        <f>IF(ISERROR(VLOOKUP(D8,'Base de Datos'!$C$7:$AU$400,17,0))=TRUE," ",(VLOOKUP(D8,'Base de Datos'!$C$7:$AU$400,17,0)))</f>
        <v/>
      </c>
      <c r="AW8" s="433" t="str">
        <f>IF(ISERROR(VLOOKUP(D8,'Base de Datos'!$C$7:$AU$400,18,0))=TRUE," ",(VLOOKUP(D8,'Base de Datos'!$C$7:$AU$400,18,0)))</f>
        <v/>
      </c>
      <c r="AX8" s="433" t="str">
        <f>IF(ISERROR(VLOOKUP(D8,'Base de Datos'!$C$7:$AU$400,19,0))=TRUE," ",(VLOOKUP(D8,'Base de Datos'!$C$7:$AU$400,19,0)))</f>
        <v/>
      </c>
      <c r="AY8" s="436">
        <f>IF(ISERROR(VLOOKUP(D8,'Base de Datos'!$C$7:$AU$400,21,0))=TRUE," ",(VLOOKUP(D8,'Base de Datos'!$C$7:$AU$400,21,0)))</f>
        <v>42236</v>
      </c>
      <c r="AZ8" s="436">
        <f>IF(ISERROR(VLOOKUP(D8,'Base de Datos'!$C$7:$AU$400,22,0))=TRUE," ",(VLOOKUP(D8,'Base de Datos'!$C$7:$AU$400,22,0)))</f>
        <v>7714000</v>
      </c>
      <c r="BA8" s="443"/>
      <c r="BB8" s="453"/>
    </row>
    <row r="9" spans="1:54" ht="55.5" hidden="1" customHeight="1" x14ac:dyDescent="0.3">
      <c r="B9" s="406">
        <v>3</v>
      </c>
      <c r="C9" s="414" t="s">
        <v>1641</v>
      </c>
      <c r="D9" s="406">
        <v>124</v>
      </c>
      <c r="E9" s="414" t="s">
        <v>1642</v>
      </c>
      <c r="F9" s="415">
        <f>VLOOKUP(D9,'Presupuesto - PAA 2015'!$B$10:$E$265,4,0)</f>
        <v>60000000</v>
      </c>
      <c r="G9" s="407" t="str">
        <f>VLOOKUP(D9,'[4]Seguimiento Plan'!$C$2:$R$101,16,0)</f>
        <v>Prestar los servicios profesionales para acompañar la definición, contratación y seguimiento a los temas de infraestructura física que requiera el Concejo de Bogotá.</v>
      </c>
      <c r="H9" s="407" t="s">
        <v>1775</v>
      </c>
      <c r="I9" s="407" t="s">
        <v>1710</v>
      </c>
      <c r="J9" s="416" t="s">
        <v>908</v>
      </c>
      <c r="K9" s="417" t="s">
        <v>390</v>
      </c>
      <c r="L9" s="417" t="str">
        <f>VLOOKUP(D9,'[4]Seguimiento Plan'!$C$2:$AJ$101,30,0)</f>
        <v>SI</v>
      </c>
      <c r="M9" s="418">
        <f>VLOOKUP(D9,'[4]Seguimiento Plan'!$C$2:$AJ$101,31,0)</f>
        <v>42013</v>
      </c>
      <c r="N9" s="417"/>
      <c r="O9" s="419"/>
      <c r="P9" s="419"/>
      <c r="Q9" s="419"/>
      <c r="R9" s="420"/>
      <c r="S9" s="438" t="s">
        <v>1549</v>
      </c>
      <c r="T9" s="421" t="s">
        <v>254</v>
      </c>
      <c r="U9" s="423" t="str">
        <f>IF(ISERROR(VLOOKUP(T9,'Base de Datos'!$E$7:$AU$302,3,0))=TRUE," ",(VLOOKUP(T9,'Base de Datos'!$E$7:$AU$302,2,0)))</f>
        <v>ROSA ENRIQUELINA GÓMEZ CORREDOR</v>
      </c>
      <c r="V9" s="426">
        <f>IF(ISERROR(VLOOKUP(T9,'Base de Datos'!$E$7:$AU$302,5,0))=TRUE," ",(VLOOKUP(T9,'Base de Datos'!$E$7:$AU$302,5,0)))</f>
        <v>42800000</v>
      </c>
      <c r="W9" s="423">
        <f>IF(ISERROR(VLOOKUP(T9,'Base de Datos'!$E$7:$AU$302,19,0))=TRUE," ",(VLOOKUP(T9,'Base de Datos'!$E$7:$AU$302,19,0)))</f>
        <v>42006</v>
      </c>
      <c r="X9" s="428" t="str">
        <f>IF(ISERROR(VLOOKUP(T9,'Base de Datos'!$E$7:$AU$302,8,0))=TRUE," ",(VLOOKUP(T9,'Base de Datos'!$E$7:$AU$302,8,0)))</f>
        <v xml:space="preserve"> </v>
      </c>
      <c r="Y9" s="428">
        <f>IF(ISERROR(VLOOKUP(T9,'Base de Datos'!$E$7:$AU$302,9,0))=TRUE," ",(VLOOKUP(T9,'Base de Datos'!$E$7:$AU$302,9,0)))</f>
        <v>41701</v>
      </c>
      <c r="Z9" s="422">
        <f>IF(ISERROR(VLOOKUP(T9,'Base de Datos'!$E$7:$AU$302,10,0))=TRUE," ",(VLOOKUP(T9,'Base de Datos'!$E$7:$AU$302,10,0)))</f>
        <v>42006</v>
      </c>
      <c r="AA9" s="425" t="str">
        <f>IF(ISERROR(VLOOKUP(T9,'Base de Datos'!$E$7:$AU$302,11,0))=TRUE," ",(VLOOKUP(T9,'Base de Datos'!$E$7:$AU$302,11,0)))</f>
        <v/>
      </c>
      <c r="AB9" s="422">
        <f>IF(ISERROR(VLOOKUP(T9,'Base de Datos'!$E$7:$AU$302,12,0))=TRUE," ",(VLOOKUP(T9,'Base de Datos'!$E$7:$AU$302,12,0)))</f>
        <v>0</v>
      </c>
      <c r="AC9" s="422">
        <f>IF(ISERROR(VLOOKUP(T9,'Base de Datos'!$E$7:$AU$302,12,0))=TRUE," ",(VLOOKUP(T9,'Base de Datos'!$E$7:$AU$302,12,0)))</f>
        <v>0</v>
      </c>
      <c r="AD9" s="428" t="str">
        <f>IF(ISERROR(VLOOKUP(T9,'Base de Datos'!$E$7:$AU$302,15,0))=TRUE," ",(VLOOKUP(T9,'Base de Datos'!$E$7:$AU$302,15,0)))</f>
        <v/>
      </c>
      <c r="AE9" s="433" t="str">
        <f>IF(ISERROR(VLOOKUP(T9,'Base de Datos'!$E$7:$AU$302,16,0))=TRUE," ",(VLOOKUP(T9,'Base de Datos'!$E$7:$AU$302,16,0)))</f>
        <v/>
      </c>
      <c r="AF9" s="433" t="str">
        <f>IF(ISERROR(VLOOKUP(T9,'Base de Datos'!$E$7:$AU$302,17,0))=TRUE," ",(VLOOKUP(T9,'Base de Datos'!$E$7:$AU$302,17,0)))</f>
        <v/>
      </c>
      <c r="AG9" s="433" t="str">
        <f>IF(ISERROR(VLOOKUP(T9,'Base de Datos'!$E$7:$AU$302,18,0))=TRUE," ",(VLOOKUP(T9,'Base de Datos'!$E$7:$AU$302,18,0)))</f>
        <v/>
      </c>
      <c r="AH9" s="434">
        <f>IF(ISERROR(VLOOKUP(T9,'Base de Datos'!$E$7:$AU$302,20,0))=TRUE," ",(VLOOKUP(T9,'Base de Datos'!$E$7:$AU$302,20,0)))</f>
        <v>42800000</v>
      </c>
      <c r="AI9" s="434">
        <f>IF(ISERROR(VLOOKUP(T9,'Base de Datos'!$E$7:$AU$302,21,0))=TRUE," ",(VLOOKUP(T9,'Base de Datos'!$E$7:$AU$302,21,0)))</f>
        <v>42800000</v>
      </c>
      <c r="AJ9" s="428">
        <v>42044</v>
      </c>
      <c r="AK9" s="423" t="str">
        <f>IF(ISERROR(VLOOKUP(D9,'Base de Datos'!$C$7:$AU$400,2,0))=TRUE," ",(VLOOKUP(D9,'Base de Datos'!$C$7:$AU$400,2,0)))</f>
        <v>2015124</v>
      </c>
      <c r="AL9" s="423" t="str">
        <f>IF(ISERROR(VLOOKUP(D9,'Base de Datos'!$C$7:$AU$400,3,0))=TRUE," ",(VLOOKUP(D9,'Base de Datos'!$C$7:$AU$400,3,0)))</f>
        <v>150049-0-2015</v>
      </c>
      <c r="AM9" s="426" t="str">
        <f>IF(ISERROR(VLOOKUP(D9,'Base de Datos'!$C$7:$AU$3761,6,0))=TRUE," ",(VLOOKUP(D9,'Base de Datos'!$C$7:$AU$400,6,0)))</f>
        <v>Prestar los servicios profesionales para acompañar la definición, contratación y seguimiento de los temas de infraestructura física que requiera el Concejo de Bogotá, D.C.</v>
      </c>
      <c r="AN9" s="426" t="str">
        <f>IF(ISERROR(VLOOKUP(D9,'Base de Datos'!$C$7:$AU$400,20,0))=TRUE," ",(VLOOKUP(D9,'Base de Datos'!$C$7:$AU$400,19,0)))</f>
        <v/>
      </c>
      <c r="AO9" s="429">
        <f>IF(ISERROR(VLOOKUP(D9,'Base de Datos'!$C$7:$AU$400,9,0))=TRUE," ",(VLOOKUP(D9,'Base de Datos'!$C$7:$AU$400,9,0)))</f>
        <v>2015</v>
      </c>
      <c r="AP9" s="429">
        <f>IF(ISERROR(VLOOKUP(D9,'Base de Datos'!$C$7:$AU$400,10,0))=TRUE," ",(VLOOKUP(D9,'Base de Datos'!$C$7:$AU$400,10,0)))</f>
        <v>42044</v>
      </c>
      <c r="AQ9" s="431">
        <f>IF(ISERROR(VLOOKUP(D9,'Base de Datos'!$C$7:$AU$400,11,0))=TRUE," ",(VLOOKUP(D9,'Base de Datos'!$C$7:$AU$400,11,0)))</f>
        <v>42045</v>
      </c>
      <c r="AR9" s="432">
        <f>IF(ISERROR(VLOOKUP(D9,'Base de Datos'!$C$7:$AU$400,12,0))=TRUE," ",(VLOOKUP(D9,'Base de Datos'!$C$7:$AU$400,12,0)))</f>
        <v>42410</v>
      </c>
      <c r="AS9" s="431" t="str">
        <f>IF(ISERROR(VLOOKUP(D9,'Base de Datos'!$C$7:$AU$400,13,0))=TRUE," ",(VLOOKUP(D9,'Base de Datos'!$C$7:$AU$400,13,0)))</f>
        <v/>
      </c>
      <c r="AT9" s="431">
        <f>IF(ISERROR(VLOOKUP(D9,'Base de Datos'!$C$7:$AU$400,14,0))=TRUE," ",(VLOOKUP(D9,'Base de Datos'!$C$7:$AU$400,14,0)))</f>
        <v>0</v>
      </c>
      <c r="AU9" s="429">
        <f>IF(ISERROR(VLOOKUP(D9,'Base de Datos'!$C$7:$AU$400,16,0))=TRUE," ",(VLOOKUP(D9,'Base de Datos'!$C$7:$AU$400,16,0)))</f>
        <v>0</v>
      </c>
      <c r="AV9" s="433" t="str">
        <f>IF(ISERROR(VLOOKUP(D9,'Base de Datos'!$C$7:$AU$400,17,0))=TRUE," ",(VLOOKUP(D9,'Base de Datos'!$C$7:$AU$400,17,0)))</f>
        <v/>
      </c>
      <c r="AW9" s="433" t="str">
        <f>IF(ISERROR(VLOOKUP(D9,'Base de Datos'!$C$7:$AU$400,18,0))=TRUE," ",(VLOOKUP(D9,'Base de Datos'!$C$7:$AU$400,18,0)))</f>
        <v/>
      </c>
      <c r="AX9" s="433" t="str">
        <f>IF(ISERROR(VLOOKUP(D9,'Base de Datos'!$C$7:$AU$400,19,0))=TRUE," ",(VLOOKUP(D9,'Base de Datos'!$C$7:$AU$400,19,0)))</f>
        <v/>
      </c>
      <c r="AY9" s="436">
        <f>IF(ISERROR(VLOOKUP(D9,'Base de Datos'!$C$7:$AU$400,21,0))=TRUE," ",(VLOOKUP(D9,'Base de Datos'!$C$7:$AU$400,21,0)))</f>
        <v>42410</v>
      </c>
      <c r="AZ9" s="436">
        <f>IF(ISERROR(VLOOKUP(D9,'Base de Datos'!$C$7:$AU$400,22,0))=TRUE," ",(VLOOKUP(D9,'Base de Datos'!$C$7:$AU$400,22,0)))</f>
        <v>60000000</v>
      </c>
      <c r="BA9" s="443"/>
      <c r="BB9" s="453"/>
    </row>
    <row r="10" spans="1:54" ht="55.5" hidden="1" customHeight="1" x14ac:dyDescent="0.3">
      <c r="B10" s="406">
        <v>4</v>
      </c>
      <c r="C10" s="414" t="s">
        <v>1641</v>
      </c>
      <c r="D10" s="406">
        <v>125</v>
      </c>
      <c r="E10" s="414" t="s">
        <v>1642</v>
      </c>
      <c r="F10" s="415">
        <f>VLOOKUP(D10,'Presupuesto - PAA 2015'!$B$10:$E$265,4,0)</f>
        <v>63654000</v>
      </c>
      <c r="G10" s="407" t="str">
        <f>VLOOKUP(D10,'[4]Seguimiento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07" t="s">
        <v>1775</v>
      </c>
      <c r="I10" s="407" t="s">
        <v>1710</v>
      </c>
      <c r="J10" s="416" t="s">
        <v>908</v>
      </c>
      <c r="K10" s="417" t="s">
        <v>390</v>
      </c>
      <c r="L10" s="417" t="str">
        <f>VLOOKUP(D10,'[4]Seguimiento Plan'!$C$2:$AJ$101,30,0)</f>
        <v>SI</v>
      </c>
      <c r="M10" s="418">
        <f>VLOOKUP(D10,'[4]Seguimiento Plan'!$C$2:$AJ$101,31,0)</f>
        <v>42025</v>
      </c>
      <c r="N10" s="417"/>
      <c r="O10" s="419"/>
      <c r="P10" s="419"/>
      <c r="Q10" s="419"/>
      <c r="R10" s="497"/>
      <c r="S10" s="324" t="s">
        <v>1557</v>
      </c>
      <c r="T10" s="421"/>
      <c r="U10" s="423" t="str">
        <f>IF(ISERROR(VLOOKUP(T10,'Base de Datos'!$E$7:$AU$302,3,0))=TRUE," ",(VLOOKUP(T10,'Base de Datos'!$E$7:$AU$302,2,0)))</f>
        <v xml:space="preserve"> </v>
      </c>
      <c r="V10" s="426" t="str">
        <f>IF(ISERROR(VLOOKUP(T10,'Base de Datos'!$E$7:$AU$302,5,0))=TRUE," ",(VLOOKUP(T10,'Base de Datos'!$E$7:$AU$302,5,0)))</f>
        <v xml:space="preserve"> </v>
      </c>
      <c r="W10" s="423" t="str">
        <f>IF(ISERROR(VLOOKUP(T10,'Base de Datos'!$E$7:$AU$302,19,0))=TRUE," ",(VLOOKUP(T10,'Base de Datos'!$E$7:$AU$302,19,0)))</f>
        <v xml:space="preserve"> </v>
      </c>
      <c r="X10" s="428" t="str">
        <f>IF(ISERROR(VLOOKUP(T10,'Base de Datos'!$E$7:$AU$302,8,0))=TRUE," ",(VLOOKUP(T10,'Base de Datos'!$E$7:$AU$302,8,0)))</f>
        <v xml:space="preserve"> </v>
      </c>
      <c r="Y10" s="428" t="str">
        <f>IF(ISERROR(VLOOKUP(T10,'Base de Datos'!$E$7:$AU$302,9,0))=TRUE," ",(VLOOKUP(T10,'Base de Datos'!$E$7:$AU$302,9,0)))</f>
        <v xml:space="preserve"> </v>
      </c>
      <c r="Z10" s="422" t="str">
        <f>IF(ISERROR(VLOOKUP(T10,'Base de Datos'!$E$7:$AU$302,10,0))=TRUE," ",(VLOOKUP(T10,'Base de Datos'!$E$7:$AU$302,10,0)))</f>
        <v xml:space="preserve"> </v>
      </c>
      <c r="AA10" s="425" t="str">
        <f>IF(ISERROR(VLOOKUP(T10,'Base de Datos'!$E$7:$AU$302,11,0))=TRUE," ",(VLOOKUP(T10,'Base de Datos'!$E$7:$AU$302,11,0)))</f>
        <v xml:space="preserve"> </v>
      </c>
      <c r="AB10" s="422" t="str">
        <f>IF(ISERROR(VLOOKUP(T10,'Base de Datos'!$E$7:$AU$302,12,0))=TRUE," ",(VLOOKUP(T10,'Base de Datos'!$E$7:$AU$302,12,0)))</f>
        <v xml:space="preserve"> </v>
      </c>
      <c r="AC10" s="422" t="str">
        <f>IF(ISERROR(VLOOKUP(T10,'Base de Datos'!$E$7:$AU$302,12,0))=TRUE," ",(VLOOKUP(T10,'Base de Datos'!$E$7:$AU$302,12,0)))</f>
        <v xml:space="preserve"> </v>
      </c>
      <c r="AD10" s="428" t="str">
        <f>IF(ISERROR(VLOOKUP(T10,'Base de Datos'!$E$7:$AU$302,15,0))=TRUE," ",(VLOOKUP(T10,'Base de Datos'!$E$7:$AU$302,15,0)))</f>
        <v xml:space="preserve"> </v>
      </c>
      <c r="AE10" s="433" t="str">
        <f>IF(ISERROR(VLOOKUP(T10,'Base de Datos'!$E$7:$AU$302,16,0))=TRUE," ",(VLOOKUP(T10,'Base de Datos'!$E$7:$AU$302,16,0)))</f>
        <v xml:space="preserve"> </v>
      </c>
      <c r="AF10" s="433" t="str">
        <f>IF(ISERROR(VLOOKUP(T10,'Base de Datos'!$E$7:$AU$302,17,0))=TRUE," ",(VLOOKUP(T10,'Base de Datos'!$E$7:$AU$302,17,0)))</f>
        <v xml:space="preserve"> </v>
      </c>
      <c r="AG10" s="433" t="str">
        <f>IF(ISERROR(VLOOKUP(T10,'Base de Datos'!$E$7:$AU$302,18,0))=TRUE," ",(VLOOKUP(T10,'Base de Datos'!$E$7:$AU$302,18,0)))</f>
        <v xml:space="preserve"> </v>
      </c>
      <c r="AH10" s="434" t="str">
        <f>IF(ISERROR(VLOOKUP(T10,'Base de Datos'!$E$7:$AU$302,20,0))=TRUE," ",(VLOOKUP(T10,'Base de Datos'!$E$7:$AU$302,20,0)))</f>
        <v xml:space="preserve"> </v>
      </c>
      <c r="AI10" s="434" t="str">
        <f>IF(ISERROR(VLOOKUP(T10,'Base de Datos'!$E$7:$AU$302,21,0))=TRUE," ",(VLOOKUP(T10,'Base de Datos'!$E$7:$AU$302,21,0)))</f>
        <v xml:space="preserve"> </v>
      </c>
      <c r="AJ10" s="428">
        <v>42054</v>
      </c>
      <c r="AK10" s="423" t="str">
        <f>IF(ISERROR(VLOOKUP(D10,'Base de Datos'!$C$7:$AU$400,2,0))=TRUE," ",(VLOOKUP(D10,'Base de Datos'!$C$7:$AU$400,2,0)))</f>
        <v>2015125</v>
      </c>
      <c r="AL10" s="423" t="str">
        <f>IF(ISERROR(VLOOKUP(D10,'Base de Datos'!$C$7:$AU$400,3,0))=TRUE," ",(VLOOKUP(D10,'Base de Datos'!$C$7:$AU$400,3,0)))</f>
        <v>150081-0-2015</v>
      </c>
      <c r="AM10" s="426" t="str">
        <f>IF(ISERROR(VLOOKUP(D10,'Base de Datos'!$C$7:$AU$3761,6,0))=TRUE," ",(VLOOKUP(D10,'Base de Datos'!$C$7:$AU$400,6,0)))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26" t="str">
        <f>IF(ISERROR(VLOOKUP(D10,'Base de Datos'!$C$7:$AU$400,20,0))=TRUE," ",(VLOOKUP(D10,'Base de Datos'!$C$7:$AU$400,19,0)))</f>
        <v/>
      </c>
      <c r="AO10" s="429">
        <f>IF(ISERROR(VLOOKUP(D10,'Base de Datos'!$C$7:$AU$400,9,0))=TRUE," ",(VLOOKUP(D10,'Base de Datos'!$C$7:$AU$400,9,0)))</f>
        <v>2015</v>
      </c>
      <c r="AP10" s="429">
        <f>IF(ISERROR(VLOOKUP(D10,'Base de Datos'!$C$7:$AU$400,10,0))=TRUE," ",(VLOOKUP(D10,'Base de Datos'!$C$7:$AU$400,10,0)))</f>
        <v>42054</v>
      </c>
      <c r="AQ10" s="431">
        <f>IF(ISERROR(VLOOKUP(D10,'Base de Datos'!$C$7:$AU$400,11,0))=TRUE," ",(VLOOKUP(D10,'Base de Datos'!$C$7:$AU$400,11,0)))</f>
        <v>42060</v>
      </c>
      <c r="AR10" s="432">
        <f>IF(ISERROR(VLOOKUP(D10,'Base de Datos'!$C$7:$AU$400,12,0))=TRUE," ",(VLOOKUP(D10,'Base de Datos'!$C$7:$AU$400,12,0)))</f>
        <v>42425</v>
      </c>
      <c r="AS10" s="431" t="str">
        <f>IF(ISERROR(VLOOKUP(D10,'Base de Datos'!$C$7:$AU$400,13,0))=TRUE," ",(VLOOKUP(D10,'Base de Datos'!$C$7:$AU$400,13,0)))</f>
        <v/>
      </c>
      <c r="AT10" s="431">
        <f>IF(ISERROR(VLOOKUP(D10,'Base de Datos'!$C$7:$AU$400,14,0))=TRUE," ",(VLOOKUP(D10,'Base de Datos'!$C$7:$AU$400,14,0)))</f>
        <v>0</v>
      </c>
      <c r="AU10" s="429">
        <f>IF(ISERROR(VLOOKUP(D10,'Base de Datos'!$C$7:$AU$400,16,0))=TRUE," ",(VLOOKUP(D10,'Base de Datos'!$C$7:$AU$400,16,0)))</f>
        <v>2</v>
      </c>
      <c r="AV10" s="433" t="str">
        <f>IF(ISERROR(VLOOKUP(D10,'Base de Datos'!$C$7:$AU$400,17,0))=TRUE," ",(VLOOKUP(D10,'Base de Datos'!$C$7:$AU$400,17,0)))</f>
        <v>3 meses y 14 días</v>
      </c>
      <c r="AW10" s="433">
        <f>IF(ISERROR(VLOOKUP(D10,'Base de Datos'!$C$7:$AU$400,18,0))=TRUE," ",(VLOOKUP(D10,'Base de Datos'!$C$7:$AU$400,18,0)))</f>
        <v>42530</v>
      </c>
      <c r="AX10" s="433" t="str">
        <f>IF(ISERROR(VLOOKUP(D10,'Base de Datos'!$C$7:$AU$400,19,0))=TRUE," ",(VLOOKUP(D10,'Base de Datos'!$C$7:$AU$400,19,0)))</f>
        <v/>
      </c>
      <c r="AY10" s="436">
        <f>IF(ISERROR(VLOOKUP(D10,'Base de Datos'!$C$7:$AU$400,21,0))=TRUE," ",(VLOOKUP(D10,'Base de Datos'!$C$7:$AU$400,21,0)))</f>
        <v>42530</v>
      </c>
      <c r="AZ10" s="436">
        <f>IF(ISERROR(VLOOKUP(D10,'Base de Datos'!$C$7:$AU$400,22,0))=TRUE," ",(VLOOKUP(D10,'Base de Datos'!$C$7:$AU$400,22,0)))</f>
        <v>63654000</v>
      </c>
      <c r="BA10" s="443"/>
      <c r="BB10" s="453"/>
    </row>
    <row r="11" spans="1:54" ht="55.5" hidden="1" customHeight="1" x14ac:dyDescent="0.3">
      <c r="B11" s="406">
        <v>5</v>
      </c>
      <c r="C11" s="414" t="s">
        <v>1641</v>
      </c>
      <c r="D11" s="406">
        <v>126</v>
      </c>
      <c r="E11" s="414" t="s">
        <v>1642</v>
      </c>
      <c r="F11" s="415">
        <f>VLOOKUP(D11,'Presupuesto - PAA 2015'!$B$10:$E$265,4,0)</f>
        <v>48000000</v>
      </c>
      <c r="G11" s="407" t="str">
        <f>VLOOKUP(D11,'[4]Seguimiento Plan'!$C$2:$R$101,16,0)</f>
        <v>Prestar los servicios profesionales para la actualización, administración, publicación y salvaguarda de la información publicada en la página WEB oficial del Concejo de Bogotá D.C.</v>
      </c>
      <c r="H11" s="407" t="s">
        <v>1775</v>
      </c>
      <c r="I11" s="407" t="s">
        <v>1710</v>
      </c>
      <c r="J11" s="416" t="s">
        <v>908</v>
      </c>
      <c r="K11" s="417" t="s">
        <v>390</v>
      </c>
      <c r="L11" s="417" t="str">
        <f>VLOOKUP(D11,'[4]Seguimiento Plan'!$C$2:$AJ$101,30,0)</f>
        <v>SI</v>
      </c>
      <c r="M11" s="418">
        <f>VLOOKUP(D11,'[4]Seguimiento Plan'!$C$2:$AJ$101,31,0)</f>
        <v>42013</v>
      </c>
      <c r="N11" s="417"/>
      <c r="O11" s="419"/>
      <c r="P11" s="419"/>
      <c r="Q11" s="419"/>
      <c r="R11" s="497"/>
      <c r="S11" s="324" t="s">
        <v>1553</v>
      </c>
      <c r="T11" s="421" t="s">
        <v>267</v>
      </c>
      <c r="U11" s="423" t="str">
        <f>IF(ISERROR(VLOOKUP(T11,'Base de Datos'!$E$7:$AU$302,3,0))=TRUE," ",(VLOOKUP(T11,'Base de Datos'!$E$7:$AU$302,2,0)))</f>
        <v>WIESNER FABIÁN ROBAYO SALCEDO</v>
      </c>
      <c r="V11" s="426">
        <f>IF(ISERROR(VLOOKUP(T11,'Base de Datos'!$E$7:$AU$302,5,0))=TRUE," ",(VLOOKUP(T11,'Base de Datos'!$E$7:$AU$302,5,0)))</f>
        <v>38830000</v>
      </c>
      <c r="W11" s="423">
        <f>IF(ISERROR(VLOOKUP(T11,'Base de Datos'!$E$7:$AU$302,19,0))=TRUE," ",(VLOOKUP(T11,'Base de Datos'!$E$7:$AU$302,19,0)))</f>
        <v>42013</v>
      </c>
      <c r="X11" s="428" t="str">
        <f>IF(ISERROR(VLOOKUP(T11,'Base de Datos'!$E$7:$AU$302,8,0))=TRUE," ",(VLOOKUP(T11,'Base de Datos'!$E$7:$AU$302,8,0)))</f>
        <v xml:space="preserve"> </v>
      </c>
      <c r="Y11" s="428">
        <f>IF(ISERROR(VLOOKUP(T11,'Base de Datos'!$E$7:$AU$302,9,0))=TRUE," ",(VLOOKUP(T11,'Base de Datos'!$E$7:$AU$302,9,0)))</f>
        <v>41708</v>
      </c>
      <c r="Z11" s="422">
        <f>IF(ISERROR(VLOOKUP(T11,'Base de Datos'!$E$7:$AU$302,10,0))=TRUE," ",(VLOOKUP(T11,'Base de Datos'!$E$7:$AU$302,10,0)))</f>
        <v>42013</v>
      </c>
      <c r="AA11" s="425" t="str">
        <f>IF(ISERROR(VLOOKUP(T11,'Base de Datos'!$E$7:$AU$302,11,0))=TRUE," ",(VLOOKUP(T11,'Base de Datos'!$E$7:$AU$302,11,0)))</f>
        <v/>
      </c>
      <c r="AB11" s="422">
        <f>IF(ISERROR(VLOOKUP(T11,'Base de Datos'!$E$7:$AU$302,12,0))=TRUE," ",(VLOOKUP(T11,'Base de Datos'!$E$7:$AU$302,12,0)))</f>
        <v>0</v>
      </c>
      <c r="AC11" s="422">
        <f>IF(ISERROR(VLOOKUP(T11,'Base de Datos'!$E$7:$AU$302,12,0))=TRUE," ",(VLOOKUP(T11,'Base de Datos'!$E$7:$AU$302,12,0)))</f>
        <v>0</v>
      </c>
      <c r="AD11" s="428" t="str">
        <f>IF(ISERROR(VLOOKUP(T11,'Base de Datos'!$E$7:$AU$302,15,0))=TRUE," ",(VLOOKUP(T11,'Base de Datos'!$E$7:$AU$302,15,0)))</f>
        <v/>
      </c>
      <c r="AE11" s="433" t="str">
        <f>IF(ISERROR(VLOOKUP(T11,'Base de Datos'!$E$7:$AU$302,16,0))=TRUE," ",(VLOOKUP(T11,'Base de Datos'!$E$7:$AU$302,16,0)))</f>
        <v/>
      </c>
      <c r="AF11" s="433" t="str">
        <f>IF(ISERROR(VLOOKUP(T11,'Base de Datos'!$E$7:$AU$302,17,0))=TRUE," ",(VLOOKUP(T11,'Base de Datos'!$E$7:$AU$302,17,0)))</f>
        <v/>
      </c>
      <c r="AG11" s="433" t="str">
        <f>IF(ISERROR(VLOOKUP(T11,'Base de Datos'!$E$7:$AU$302,18,0))=TRUE," ",(VLOOKUP(T11,'Base de Datos'!$E$7:$AU$302,18,0)))</f>
        <v/>
      </c>
      <c r="AH11" s="434">
        <f>IF(ISERROR(VLOOKUP(T11,'Base de Datos'!$E$7:$AU$302,20,0))=TRUE," ",(VLOOKUP(T11,'Base de Datos'!$E$7:$AU$302,20,0)))</f>
        <v>38830000</v>
      </c>
      <c r="AI11" s="434">
        <f>IF(ISERROR(VLOOKUP(T11,'Base de Datos'!$E$7:$AU$302,21,0))=TRUE," ",(VLOOKUP(T11,'Base de Datos'!$E$7:$AU$302,21,0)))</f>
        <v>38830000</v>
      </c>
      <c r="AJ11" s="428">
        <v>42051</v>
      </c>
      <c r="AK11" s="423" t="str">
        <f>IF(ISERROR(VLOOKUP(D11,'Base de Datos'!$C$7:$AU$400,2,0))=TRUE," ",(VLOOKUP(D11,'Base de Datos'!$C$7:$AU$400,2,0)))</f>
        <v>2015126</v>
      </c>
      <c r="AL11" s="423" t="str">
        <f>IF(ISERROR(VLOOKUP(D11,'Base de Datos'!$C$7:$AU$400,3,0))=TRUE," ",(VLOOKUP(D11,'Base de Datos'!$C$7:$AU$400,3,0)))</f>
        <v>150067-0-2015</v>
      </c>
      <c r="AM11" s="426" t="str">
        <f>IF(ISERROR(VLOOKUP(D11,'Base de Datos'!$C$7:$AU$3761,6,0))=TRUE," ",(VLOOKUP(D11,'Base de Datos'!$C$7:$AU$400,6,0)))</f>
        <v>Prestar servicios profesionales para la actualización, administración, publicación y salvaguarda de la información publicada en la pagina WEB oficial del Concejo de Bogotá D. C.</v>
      </c>
      <c r="AN11" s="426" t="str">
        <f>IF(ISERROR(VLOOKUP(D11,'Base de Datos'!$C$7:$AU$400,20,0))=TRUE," ",(VLOOKUP(D11,'Base de Datos'!$C$7:$AU$400,19,0)))</f>
        <v/>
      </c>
      <c r="AO11" s="429">
        <f>IF(ISERROR(VLOOKUP(D11,'Base de Datos'!$C$7:$AU$400,9,0))=TRUE," ",(VLOOKUP(D11,'Base de Datos'!$C$7:$AU$400,9,0)))</f>
        <v>2015</v>
      </c>
      <c r="AP11" s="429">
        <f>IF(ISERROR(VLOOKUP(D11,'Base de Datos'!$C$7:$AU$400,10,0))=TRUE," ",(VLOOKUP(D11,'Base de Datos'!$C$7:$AU$400,10,0)))</f>
        <v>42051</v>
      </c>
      <c r="AQ11" s="431">
        <f>IF(ISERROR(VLOOKUP(D11,'Base de Datos'!$C$7:$AU$400,11,0))=TRUE," ",(VLOOKUP(D11,'Base de Datos'!$C$7:$AU$400,11,0)))</f>
        <v>42053</v>
      </c>
      <c r="AR11" s="432">
        <f>IF(ISERROR(VLOOKUP(D11,'Base de Datos'!$C$7:$AU$400,12,0))=TRUE," ",(VLOOKUP(D11,'Base de Datos'!$C$7:$AU$400,12,0)))</f>
        <v>42418</v>
      </c>
      <c r="AS11" s="431" t="str">
        <f>IF(ISERROR(VLOOKUP(D11,'Base de Datos'!$C$7:$AU$400,13,0))=TRUE," ",(VLOOKUP(D11,'Base de Datos'!$C$7:$AU$400,13,0)))</f>
        <v/>
      </c>
      <c r="AT11" s="431">
        <f>IF(ISERROR(VLOOKUP(D11,'Base de Datos'!$C$7:$AU$400,14,0))=TRUE," ",(VLOOKUP(D11,'Base de Datos'!$C$7:$AU$400,14,0)))</f>
        <v>0</v>
      </c>
      <c r="AU11" s="429">
        <f>IF(ISERROR(VLOOKUP(D11,'Base de Datos'!$C$7:$AU$400,16,0))=TRUE," ",(VLOOKUP(D11,'Base de Datos'!$C$7:$AU$400,16,0)))</f>
        <v>0</v>
      </c>
      <c r="AV11" s="433" t="str">
        <f>IF(ISERROR(VLOOKUP(D11,'Base de Datos'!$C$7:$AU$400,17,0))=TRUE," ",(VLOOKUP(D11,'Base de Datos'!$C$7:$AU$400,17,0)))</f>
        <v/>
      </c>
      <c r="AW11" s="433" t="str">
        <f>IF(ISERROR(VLOOKUP(D11,'Base de Datos'!$C$7:$AU$400,18,0))=TRUE," ",(VLOOKUP(D11,'Base de Datos'!$C$7:$AU$400,18,0)))</f>
        <v/>
      </c>
      <c r="AX11" s="433" t="str">
        <f>IF(ISERROR(VLOOKUP(D11,'Base de Datos'!$C$7:$AU$400,19,0))=TRUE," ",(VLOOKUP(D11,'Base de Datos'!$C$7:$AU$400,19,0)))</f>
        <v/>
      </c>
      <c r="AY11" s="436">
        <f>IF(ISERROR(VLOOKUP(D11,'Base de Datos'!$C$7:$AU$400,21,0))=TRUE," ",(VLOOKUP(D11,'Base de Datos'!$C$7:$AU$400,21,0)))</f>
        <v>42418</v>
      </c>
      <c r="AZ11" s="436">
        <f>IF(ISERROR(VLOOKUP(D11,'Base de Datos'!$C$7:$AU$400,22,0))=TRUE," ",(VLOOKUP(D11,'Base de Datos'!$C$7:$AU$400,22,0)))</f>
        <v>48000000</v>
      </c>
      <c r="BA11" s="443"/>
      <c r="BB11" s="453"/>
    </row>
    <row r="12" spans="1:54" ht="55.5" hidden="1" customHeight="1" x14ac:dyDescent="0.3">
      <c r="B12" s="406">
        <v>6</v>
      </c>
      <c r="C12" s="414" t="s">
        <v>1641</v>
      </c>
      <c r="D12" s="406">
        <v>127</v>
      </c>
      <c r="E12" s="414" t="s">
        <v>1642</v>
      </c>
      <c r="F12" s="415">
        <f>VLOOKUP(D12,'Presupuesto - PAA 2015'!$B$10:$E$265,4,0)</f>
        <v>78000000</v>
      </c>
      <c r="G12" s="407" t="str">
        <f>VLOOKUP(D12,'[4]Seguimiento Plan'!$C$2:$R$101,16,0)</f>
        <v>Prestar los servicios profesionales para la consolidación y actualización de la estrategia de depuración normativa del Concejo de Bogotá D.C.</v>
      </c>
      <c r="H12" s="407" t="s">
        <v>1775</v>
      </c>
      <c r="I12" s="407" t="s">
        <v>1710</v>
      </c>
      <c r="J12" s="416" t="s">
        <v>908</v>
      </c>
      <c r="K12" s="417" t="s">
        <v>390</v>
      </c>
      <c r="L12" s="417" t="str">
        <f>VLOOKUP(D12,'[4]Seguimiento Plan'!$C$2:$AJ$101,30,0)</f>
        <v>SI</v>
      </c>
      <c r="M12" s="418">
        <f>VLOOKUP(D12,'[4]Seguimiento Plan'!$C$2:$AJ$101,31,0)</f>
        <v>42033</v>
      </c>
      <c r="N12" s="417"/>
      <c r="O12" s="419"/>
      <c r="P12" s="419"/>
      <c r="Q12" s="419"/>
      <c r="R12" s="497"/>
      <c r="S12" s="324" t="s">
        <v>1580</v>
      </c>
      <c r="T12" s="421"/>
      <c r="U12" s="423" t="str">
        <f>IF(ISERROR(VLOOKUP(T12,'Base de Datos'!$E$7:$AU$302,3,0))=TRUE," ",(VLOOKUP(T12,'Base de Datos'!$E$7:$AU$302,2,0)))</f>
        <v xml:space="preserve"> </v>
      </c>
      <c r="V12" s="426" t="str">
        <f>IF(ISERROR(VLOOKUP(T12,'Base de Datos'!$E$7:$AU$302,5,0))=TRUE," ",(VLOOKUP(T12,'Base de Datos'!$E$7:$AU$302,5,0)))</f>
        <v xml:space="preserve"> </v>
      </c>
      <c r="W12" s="423" t="str">
        <f>IF(ISERROR(VLOOKUP(T12,'Base de Datos'!$E$7:$AU$302,19,0))=TRUE," ",(VLOOKUP(T12,'Base de Datos'!$E$7:$AU$302,19,0)))</f>
        <v xml:space="preserve"> </v>
      </c>
      <c r="X12" s="428" t="str">
        <f>IF(ISERROR(VLOOKUP(T12,'Base de Datos'!$E$7:$AU$302,8,0))=TRUE," ",(VLOOKUP(T12,'Base de Datos'!$E$7:$AU$302,8,0)))</f>
        <v xml:space="preserve"> </v>
      </c>
      <c r="Y12" s="428" t="str">
        <f>IF(ISERROR(VLOOKUP(T12,'Base de Datos'!$E$7:$AU$302,9,0))=TRUE," ",(VLOOKUP(T12,'Base de Datos'!$E$7:$AU$302,9,0)))</f>
        <v xml:space="preserve"> </v>
      </c>
      <c r="Z12" s="422" t="str">
        <f>IF(ISERROR(VLOOKUP(T12,'Base de Datos'!$E$7:$AU$302,10,0))=TRUE," ",(VLOOKUP(T12,'Base de Datos'!$E$7:$AU$302,10,0)))</f>
        <v xml:space="preserve"> </v>
      </c>
      <c r="AA12" s="425" t="str">
        <f>IF(ISERROR(VLOOKUP(T12,'Base de Datos'!$E$7:$AU$302,11,0))=TRUE," ",(VLOOKUP(T12,'Base de Datos'!$E$7:$AU$302,11,0)))</f>
        <v xml:space="preserve"> </v>
      </c>
      <c r="AB12" s="422" t="str">
        <f>IF(ISERROR(VLOOKUP(T12,'Base de Datos'!$E$7:$AU$302,12,0))=TRUE," ",(VLOOKUP(T12,'Base de Datos'!$E$7:$AU$302,12,0)))</f>
        <v xml:space="preserve"> </v>
      </c>
      <c r="AC12" s="422" t="str">
        <f>IF(ISERROR(VLOOKUP(T12,'Base de Datos'!$E$7:$AU$302,12,0))=TRUE," ",(VLOOKUP(T12,'Base de Datos'!$E$7:$AU$302,12,0)))</f>
        <v xml:space="preserve"> </v>
      </c>
      <c r="AD12" s="428" t="str">
        <f>IF(ISERROR(VLOOKUP(T12,'Base de Datos'!$E$7:$AU$302,15,0))=TRUE," ",(VLOOKUP(T12,'Base de Datos'!$E$7:$AU$302,15,0)))</f>
        <v xml:space="preserve"> </v>
      </c>
      <c r="AE12" s="433" t="str">
        <f>IF(ISERROR(VLOOKUP(T12,'Base de Datos'!$E$7:$AU$302,16,0))=TRUE," ",(VLOOKUP(T12,'Base de Datos'!$E$7:$AU$302,16,0)))</f>
        <v xml:space="preserve"> </v>
      </c>
      <c r="AF12" s="433" t="str">
        <f>IF(ISERROR(VLOOKUP(T12,'Base de Datos'!$E$7:$AU$302,17,0))=TRUE," ",(VLOOKUP(T12,'Base de Datos'!$E$7:$AU$302,17,0)))</f>
        <v xml:space="preserve"> </v>
      </c>
      <c r="AG12" s="433" t="str">
        <f>IF(ISERROR(VLOOKUP(T12,'Base de Datos'!$E$7:$AU$302,18,0))=TRUE," ",(VLOOKUP(T12,'Base de Datos'!$E$7:$AU$302,18,0)))</f>
        <v xml:space="preserve"> </v>
      </c>
      <c r="AH12" s="434" t="str">
        <f>IF(ISERROR(VLOOKUP(T12,'Base de Datos'!$E$7:$AU$302,20,0))=TRUE," ",(VLOOKUP(T12,'Base de Datos'!$E$7:$AU$302,20,0)))</f>
        <v xml:space="preserve"> </v>
      </c>
      <c r="AI12" s="434" t="str">
        <f>IF(ISERROR(VLOOKUP(T12,'Base de Datos'!$E$7:$AU$302,21,0))=TRUE," ",(VLOOKUP(T12,'Base de Datos'!$E$7:$AU$302,21,0)))</f>
        <v xml:space="preserve"> </v>
      </c>
      <c r="AJ12" s="428">
        <v>42066</v>
      </c>
      <c r="AK12" s="423" t="str">
        <f>IF(ISERROR(VLOOKUP(D12,'Base de Datos'!$C$7:$AU$400,2,0))=TRUE," ",(VLOOKUP(D12,'Base de Datos'!$C$7:$AU$400,2,0)))</f>
        <v>2015127</v>
      </c>
      <c r="AL12" s="423" t="str">
        <f>IF(ISERROR(VLOOKUP(D12,'Base de Datos'!$C$7:$AU$400,3,0))=TRUE," ",(VLOOKUP(D12,'Base de Datos'!$C$7:$AU$400,3,0)))</f>
        <v>150101-0-2015</v>
      </c>
      <c r="AM12" s="426" t="str">
        <f>IF(ISERROR(VLOOKUP(D12,'Base de Datos'!$C$7:$AU$3761,6,0))=TRUE," ",(VLOOKUP(D12,'Base de Datos'!$C$7:$AU$400,6,0)))</f>
        <v>Prestar los servicios profesionales para la consolidación y actualización de la estrategia de la depuración normativa del Concejo de Bogotá D.C.</v>
      </c>
      <c r="AN12" s="426" t="str">
        <f>IF(ISERROR(VLOOKUP(D12,'Base de Datos'!$C$7:$AU$400,20,0))=TRUE," ",(VLOOKUP(D12,'Base de Datos'!$C$7:$AU$400,19,0)))</f>
        <v/>
      </c>
      <c r="AO12" s="429">
        <f>IF(ISERROR(VLOOKUP(D12,'Base de Datos'!$C$7:$AU$400,9,0))=TRUE," ",(VLOOKUP(D12,'Base de Datos'!$C$7:$AU$400,9,0)))</f>
        <v>2015</v>
      </c>
      <c r="AP12" s="429">
        <f>IF(ISERROR(VLOOKUP(D12,'Base de Datos'!$C$7:$AU$400,10,0))=TRUE," ",(VLOOKUP(D12,'Base de Datos'!$C$7:$AU$400,10,0)))</f>
        <v>42066</v>
      </c>
      <c r="AQ12" s="431">
        <f>IF(ISERROR(VLOOKUP(D12,'Base de Datos'!$C$7:$AU$400,11,0))=TRUE," ",(VLOOKUP(D12,'Base de Datos'!$C$7:$AU$400,11,0)))</f>
        <v>42066</v>
      </c>
      <c r="AR12" s="432">
        <f>IF(ISERROR(VLOOKUP(D12,'Base de Datos'!$C$7:$AU$400,12,0))=TRUE," ",(VLOOKUP(D12,'Base de Datos'!$C$7:$AU$400,12,0)))</f>
        <v>42432</v>
      </c>
      <c r="AS12" s="431" t="str">
        <f>IF(ISERROR(VLOOKUP(D12,'Base de Datos'!$C$7:$AU$400,13,0))=TRUE," ",(VLOOKUP(D12,'Base de Datos'!$C$7:$AU$400,13,0)))</f>
        <v/>
      </c>
      <c r="AT12" s="431">
        <f>IF(ISERROR(VLOOKUP(D12,'Base de Datos'!$C$7:$AU$400,14,0))=TRUE," ",(VLOOKUP(D12,'Base de Datos'!$C$7:$AU$400,14,0)))</f>
        <v>0</v>
      </c>
      <c r="AU12" s="429">
        <f>IF(ISERROR(VLOOKUP(D12,'Base de Datos'!$C$7:$AU$400,16,0))=TRUE," ",(VLOOKUP(D12,'Base de Datos'!$C$7:$AU$400,16,0)))</f>
        <v>0</v>
      </c>
      <c r="AV12" s="433" t="str">
        <f>IF(ISERROR(VLOOKUP(D12,'Base de Datos'!$C$7:$AU$400,17,0))=TRUE," ",(VLOOKUP(D12,'Base de Datos'!$C$7:$AU$400,17,0)))</f>
        <v/>
      </c>
      <c r="AW12" s="433" t="str">
        <f>IF(ISERROR(VLOOKUP(D12,'Base de Datos'!$C$7:$AU$400,18,0))=TRUE," ",(VLOOKUP(D12,'Base de Datos'!$C$7:$AU$400,18,0)))</f>
        <v/>
      </c>
      <c r="AX12" s="433" t="str">
        <f>IF(ISERROR(VLOOKUP(D12,'Base de Datos'!$C$7:$AU$400,19,0))=TRUE," ",(VLOOKUP(D12,'Base de Datos'!$C$7:$AU$400,19,0)))</f>
        <v/>
      </c>
      <c r="AY12" s="436">
        <f>IF(ISERROR(VLOOKUP(D12,'Base de Datos'!$C$7:$AU$400,21,0))=TRUE," ",(VLOOKUP(D12,'Base de Datos'!$C$7:$AU$400,21,0)))</f>
        <v>42432</v>
      </c>
      <c r="AZ12" s="436">
        <f>IF(ISERROR(VLOOKUP(D12,'Base de Datos'!$C$7:$AU$400,22,0))=TRUE," ",(VLOOKUP(D12,'Base de Datos'!$C$7:$AU$400,22,0)))</f>
        <v>78000000</v>
      </c>
      <c r="BA12" s="443"/>
      <c r="BB12" s="453"/>
    </row>
    <row r="13" spans="1:54" ht="55.5" hidden="1" customHeight="1" x14ac:dyDescent="0.3">
      <c r="B13" s="406">
        <v>7</v>
      </c>
      <c r="C13" s="414" t="s">
        <v>1641</v>
      </c>
      <c r="D13" s="406">
        <v>128</v>
      </c>
      <c r="E13" s="414" t="s">
        <v>1642</v>
      </c>
      <c r="F13" s="415">
        <f>VLOOKUP(D13,'Presupuesto - PAA 2015'!$B$10:$E$265,4,0)</f>
        <v>38400000</v>
      </c>
      <c r="G13" s="407" t="str">
        <f>VLOOKUP(D13,'[4]Seguimiento Plan'!$C$2:$R$101,16,0)</f>
        <v>Prestar los servicios profesionales para apoyar el proceso de sistemas y seguridad informática del Concejo de Bogotá con especial énfasis en la identificación y mitigación de riesgos.</v>
      </c>
      <c r="H13" s="407" t="s">
        <v>1775</v>
      </c>
      <c r="I13" s="407" t="s">
        <v>1710</v>
      </c>
      <c r="J13" s="416" t="s">
        <v>908</v>
      </c>
      <c r="K13" s="417" t="s">
        <v>390</v>
      </c>
      <c r="L13" s="417" t="str">
        <f>VLOOKUP(D13,'[4]Seguimiento Plan'!$C$2:$AJ$101,30,0)</f>
        <v>SI</v>
      </c>
      <c r="M13" s="418">
        <f>VLOOKUP(D13,'[4]Seguimiento Plan'!$C$2:$AJ$101,31,0)</f>
        <v>42013</v>
      </c>
      <c r="N13" s="417"/>
      <c r="O13" s="419"/>
      <c r="P13" s="419"/>
      <c r="Q13" s="419"/>
      <c r="R13" s="497"/>
      <c r="S13" s="324" t="s">
        <v>1579</v>
      </c>
      <c r="T13" s="421" t="s">
        <v>171</v>
      </c>
      <c r="U13" s="423" t="str">
        <f>IF(ISERROR(VLOOKUP(T13,'Base de Datos'!$E$7:$AU$302,3,0))=TRUE," ",(VLOOKUP(T13,'Base de Datos'!$E$7:$AU$302,2,0)))</f>
        <v>KHAANKO NORBERTO RUIZ RODRÍGUEZ</v>
      </c>
      <c r="V13" s="426">
        <f>IF(ISERROR(VLOOKUP(T13,'Base de Datos'!$E$7:$AU$302,5,0))=TRUE," ",(VLOOKUP(T13,'Base de Datos'!$E$7:$AU$302,5,0)))</f>
        <v>29819999</v>
      </c>
      <c r="W13" s="423">
        <f>IF(ISERROR(VLOOKUP(T13,'Base de Datos'!$E$7:$AU$302,19,0))=TRUE," ",(VLOOKUP(T13,'Base de Datos'!$E$7:$AU$302,19,0)))</f>
        <v>42008</v>
      </c>
      <c r="X13" s="428" t="str">
        <f>IF(ISERROR(VLOOKUP(T13,'Base de Datos'!$E$7:$AU$302,8,0))=TRUE," ",(VLOOKUP(T13,'Base de Datos'!$E$7:$AU$302,8,0)))</f>
        <v xml:space="preserve"> </v>
      </c>
      <c r="Y13" s="428">
        <f>IF(ISERROR(VLOOKUP(T13,'Base de Datos'!$E$7:$AU$302,9,0))=TRUE," ",(VLOOKUP(T13,'Base de Datos'!$E$7:$AU$302,9,0)))</f>
        <v>41675</v>
      </c>
      <c r="Z13" s="422">
        <f>IF(ISERROR(VLOOKUP(T13,'Base de Datos'!$E$7:$AU$302,10,0))=TRUE," ",(VLOOKUP(T13,'Base de Datos'!$E$7:$AU$302,10,0)))</f>
        <v>42008</v>
      </c>
      <c r="AA13" s="425" t="str">
        <f>IF(ISERROR(VLOOKUP(T13,'Base de Datos'!$E$7:$AU$302,11,0))=TRUE," ",(VLOOKUP(T13,'Base de Datos'!$E$7:$AU$302,11,0)))</f>
        <v/>
      </c>
      <c r="AB13" s="422">
        <f>IF(ISERROR(VLOOKUP(T13,'Base de Datos'!$E$7:$AU$302,12,0))=TRUE," ",(VLOOKUP(T13,'Base de Datos'!$E$7:$AU$302,12,0)))</f>
        <v>0</v>
      </c>
      <c r="AC13" s="422">
        <f>IF(ISERROR(VLOOKUP(T13,'Base de Datos'!$E$7:$AU$302,12,0))=TRUE," ",(VLOOKUP(T13,'Base de Datos'!$E$7:$AU$302,12,0)))</f>
        <v>0</v>
      </c>
      <c r="AD13" s="428" t="str">
        <f>IF(ISERROR(VLOOKUP(T13,'Base de Datos'!$E$7:$AU$302,15,0))=TRUE," ",(VLOOKUP(T13,'Base de Datos'!$E$7:$AU$302,15,0)))</f>
        <v/>
      </c>
      <c r="AE13" s="433" t="str">
        <f>IF(ISERROR(VLOOKUP(T13,'Base de Datos'!$E$7:$AU$302,16,0))=TRUE," ",(VLOOKUP(T13,'Base de Datos'!$E$7:$AU$302,16,0)))</f>
        <v/>
      </c>
      <c r="AF13" s="433" t="str">
        <f>IF(ISERROR(VLOOKUP(T13,'Base de Datos'!$E$7:$AU$302,17,0))=TRUE," ",(VLOOKUP(T13,'Base de Datos'!$E$7:$AU$302,17,0)))</f>
        <v/>
      </c>
      <c r="AG13" s="433" t="str">
        <f>IF(ISERROR(VLOOKUP(T13,'Base de Datos'!$E$7:$AU$302,18,0))=TRUE," ",(VLOOKUP(T13,'Base de Datos'!$E$7:$AU$302,18,0)))</f>
        <v/>
      </c>
      <c r="AH13" s="434">
        <f>IF(ISERROR(VLOOKUP(T13,'Base de Datos'!$E$7:$AU$302,20,0))=TRUE," ",(VLOOKUP(T13,'Base de Datos'!$E$7:$AU$302,20,0)))</f>
        <v>29819999</v>
      </c>
      <c r="AI13" s="434">
        <f>IF(ISERROR(VLOOKUP(T13,'Base de Datos'!$E$7:$AU$302,21,0))=TRUE," ",(VLOOKUP(T13,'Base de Datos'!$E$7:$AU$302,21,0)))</f>
        <v>29819999</v>
      </c>
      <c r="AJ13" s="428">
        <v>42062</v>
      </c>
      <c r="AK13" s="423" t="str">
        <f>IF(ISERROR(VLOOKUP(D13,'Base de Datos'!$C$7:$AU$400,2,0))=TRUE," ",(VLOOKUP(D13,'Base de Datos'!$C$7:$AU$400,2,0)))</f>
        <v>2015128</v>
      </c>
      <c r="AL13" s="423" t="str">
        <f>IF(ISERROR(VLOOKUP(D13,'Base de Datos'!$C$7:$AU$400,3,0))=TRUE," ",(VLOOKUP(D13,'Base de Datos'!$C$7:$AU$400,3,0)))</f>
        <v>150100-0-2015</v>
      </c>
      <c r="AM13" s="426" t="str">
        <f>IF(ISERROR(VLOOKUP(D13,'Base de Datos'!$C$7:$AU$3761,6,0))=TRUE," ",(VLOOKUP(D13,'Base de Datos'!$C$7:$AU$400,6,0)))</f>
        <v>Prestar servicios profesionales para apoyar el proceso de sistemas y seguridad informática del Concejo de Bogotá con especial énfasis en la identificación y mitigación de riesgos.</v>
      </c>
      <c r="AN13" s="426" t="str">
        <f>IF(ISERROR(VLOOKUP(D13,'Base de Datos'!$C$7:$AU$400,20,0))=TRUE," ",(VLOOKUP(D13,'Base de Datos'!$C$7:$AU$400,19,0)))</f>
        <v/>
      </c>
      <c r="AO13" s="429">
        <f>IF(ISERROR(VLOOKUP(D13,'Base de Datos'!$C$7:$AU$400,9,0))=TRUE," ",(VLOOKUP(D13,'Base de Datos'!$C$7:$AU$400,9,0)))</f>
        <v>2015</v>
      </c>
      <c r="AP13" s="429">
        <f>IF(ISERROR(VLOOKUP(D13,'Base de Datos'!$C$7:$AU$400,10,0))=TRUE," ",(VLOOKUP(D13,'Base de Datos'!$C$7:$AU$400,10,0)))</f>
        <v>42062</v>
      </c>
      <c r="AQ13" s="431">
        <f>IF(ISERROR(VLOOKUP(D13,'Base de Datos'!$C$7:$AU$400,11,0))=TRUE," ",(VLOOKUP(D13,'Base de Datos'!$C$7:$AU$400,11,0)))</f>
        <v>42073</v>
      </c>
      <c r="AR13" s="432">
        <f>IF(ISERROR(VLOOKUP(D13,'Base de Datos'!$C$7:$AU$400,12,0))=TRUE," ",(VLOOKUP(D13,'Base de Datos'!$C$7:$AU$400,12,0)))</f>
        <v>42439</v>
      </c>
      <c r="AS13" s="431" t="str">
        <f>IF(ISERROR(VLOOKUP(D13,'Base de Datos'!$C$7:$AU$400,13,0))=TRUE," ",(VLOOKUP(D13,'Base de Datos'!$C$7:$AU$400,13,0)))</f>
        <v/>
      </c>
      <c r="AT13" s="431">
        <f>IF(ISERROR(VLOOKUP(D13,'Base de Datos'!$C$7:$AU$400,14,0))=TRUE," ",(VLOOKUP(D13,'Base de Datos'!$C$7:$AU$400,14,0)))</f>
        <v>0</v>
      </c>
      <c r="AU13" s="429">
        <f>IF(ISERROR(VLOOKUP(D13,'Base de Datos'!$C$7:$AU$400,16,0))=TRUE," ",(VLOOKUP(D13,'Base de Datos'!$C$7:$AU$400,16,0)))</f>
        <v>0</v>
      </c>
      <c r="AV13" s="433" t="str">
        <f>IF(ISERROR(VLOOKUP(D13,'Base de Datos'!$C$7:$AU$400,17,0))=TRUE," ",(VLOOKUP(D13,'Base de Datos'!$C$7:$AU$400,17,0)))</f>
        <v/>
      </c>
      <c r="AW13" s="433" t="str">
        <f>IF(ISERROR(VLOOKUP(D13,'Base de Datos'!$C$7:$AU$400,18,0))=TRUE," ",(VLOOKUP(D13,'Base de Datos'!$C$7:$AU$400,18,0)))</f>
        <v/>
      </c>
      <c r="AX13" s="433" t="str">
        <f>IF(ISERROR(VLOOKUP(D13,'Base de Datos'!$C$7:$AU$400,19,0))=TRUE," ",(VLOOKUP(D13,'Base de Datos'!$C$7:$AU$400,19,0)))</f>
        <v/>
      </c>
      <c r="AY13" s="436">
        <f>IF(ISERROR(VLOOKUP(D13,'Base de Datos'!$C$7:$AU$400,21,0))=TRUE," ",(VLOOKUP(D13,'Base de Datos'!$C$7:$AU$400,21,0)))</f>
        <v>42439</v>
      </c>
      <c r="AZ13" s="436">
        <f>IF(ISERROR(VLOOKUP(D13,'Base de Datos'!$C$7:$AU$400,22,0))=TRUE," ",(VLOOKUP(D13,'Base de Datos'!$C$7:$AU$400,22,0)))</f>
        <v>38400000</v>
      </c>
      <c r="BA13" s="443"/>
      <c r="BB13" s="453"/>
    </row>
    <row r="14" spans="1:54" ht="55.5" hidden="1" customHeight="1" x14ac:dyDescent="0.3">
      <c r="B14" s="406">
        <v>8</v>
      </c>
      <c r="C14" s="414" t="s">
        <v>1641</v>
      </c>
      <c r="D14" s="406">
        <v>129</v>
      </c>
      <c r="E14" s="414" t="s">
        <v>1642</v>
      </c>
      <c r="F14" s="415">
        <f>VLOOKUP(D14,'Presupuesto - PAA 2015'!$B$10:$E$265,4,0)</f>
        <v>46068000</v>
      </c>
      <c r="G14" s="407" t="str">
        <f>VLOOKUP(D14,'[4]Seguimiento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07" t="s">
        <v>1775</v>
      </c>
      <c r="I14" s="407" t="s">
        <v>1710</v>
      </c>
      <c r="J14" s="416" t="s">
        <v>908</v>
      </c>
      <c r="K14" s="417" t="s">
        <v>390</v>
      </c>
      <c r="L14" s="417" t="str">
        <f>VLOOKUP(D14,'[4]Seguimiento Plan'!$C$2:$AJ$101,30,0)</f>
        <v>SI</v>
      </c>
      <c r="M14" s="418">
        <f>VLOOKUP(D14,'[4]Seguimiento Plan'!$C$2:$AJ$101,31,0)</f>
        <v>42013</v>
      </c>
      <c r="N14" s="417"/>
      <c r="O14" s="419"/>
      <c r="P14" s="419"/>
      <c r="Q14" s="419"/>
      <c r="R14" s="420"/>
      <c r="S14" s="438" t="s">
        <v>1766</v>
      </c>
      <c r="T14" s="421" t="s">
        <v>257</v>
      </c>
      <c r="U14" s="423" t="str">
        <f>IF(ISERROR(VLOOKUP(T14,'Base de Datos'!$E$7:$AU$302,3,0))=TRUE," ",(VLOOKUP(T14,'Base de Datos'!$E$7:$AU$302,2,0)))</f>
        <v>EDGAR EULICES GONZÁLEZ</v>
      </c>
      <c r="V14" s="426">
        <f>IF(ISERROR(VLOOKUP(T14,'Base de Datos'!$E$7:$AU$302,5,0))=TRUE," ",(VLOOKUP(T14,'Base de Datos'!$E$7:$AU$302,5,0)))</f>
        <v>40997000</v>
      </c>
      <c r="W14" s="423">
        <f>IF(ISERROR(VLOOKUP(T14,'Base de Datos'!$E$7:$AU$302,19,0))=TRUE," ",(VLOOKUP(T14,'Base de Datos'!$E$7:$AU$302,19,0)))</f>
        <v>42008</v>
      </c>
      <c r="X14" s="428" t="str">
        <f>IF(ISERROR(VLOOKUP(T14,'Base de Datos'!$E$7:$AU$302,8,0))=TRUE," ",(VLOOKUP(T14,'Base de Datos'!$E$7:$AU$302,8,0)))</f>
        <v xml:space="preserve"> </v>
      </c>
      <c r="Y14" s="428">
        <f>IF(ISERROR(VLOOKUP(T14,'Base de Datos'!$E$7:$AU$302,9,0))=TRUE," ",(VLOOKUP(T14,'Base de Datos'!$E$7:$AU$302,9,0)))</f>
        <v>41675</v>
      </c>
      <c r="Z14" s="422">
        <f>IF(ISERROR(VLOOKUP(T14,'Base de Datos'!$E$7:$AU$302,10,0))=TRUE," ",(VLOOKUP(T14,'Base de Datos'!$E$7:$AU$302,10,0)))</f>
        <v>42008</v>
      </c>
      <c r="AA14" s="425" t="str">
        <f>IF(ISERROR(VLOOKUP(T14,'Base de Datos'!$E$7:$AU$302,11,0))=TRUE," ",(VLOOKUP(T14,'Base de Datos'!$E$7:$AU$302,11,0)))</f>
        <v/>
      </c>
      <c r="AB14" s="422">
        <f>IF(ISERROR(VLOOKUP(T14,'Base de Datos'!$E$7:$AU$302,12,0))=TRUE," ",(VLOOKUP(T14,'Base de Datos'!$E$7:$AU$302,12,0)))</f>
        <v>0</v>
      </c>
      <c r="AC14" s="422">
        <f>IF(ISERROR(VLOOKUP(T14,'Base de Datos'!$E$7:$AU$302,12,0))=TRUE," ",(VLOOKUP(T14,'Base de Datos'!$E$7:$AU$302,12,0)))</f>
        <v>0</v>
      </c>
      <c r="AD14" s="428" t="str">
        <f>IF(ISERROR(VLOOKUP(T14,'Base de Datos'!$E$7:$AU$302,15,0))=TRUE," ",(VLOOKUP(T14,'Base de Datos'!$E$7:$AU$302,15,0)))</f>
        <v/>
      </c>
      <c r="AE14" s="433" t="str">
        <f>IF(ISERROR(VLOOKUP(T14,'Base de Datos'!$E$7:$AU$302,16,0))=TRUE," ",(VLOOKUP(T14,'Base de Datos'!$E$7:$AU$302,16,0)))</f>
        <v/>
      </c>
      <c r="AF14" s="433" t="str">
        <f>IF(ISERROR(VLOOKUP(T14,'Base de Datos'!$E$7:$AU$302,17,0))=TRUE," ",(VLOOKUP(T14,'Base de Datos'!$E$7:$AU$302,17,0)))</f>
        <v/>
      </c>
      <c r="AG14" s="433" t="str">
        <f>IF(ISERROR(VLOOKUP(T14,'Base de Datos'!$E$7:$AU$302,18,0))=TRUE," ",(VLOOKUP(T14,'Base de Datos'!$E$7:$AU$302,18,0)))</f>
        <v/>
      </c>
      <c r="AH14" s="434">
        <f>IF(ISERROR(VLOOKUP(T14,'Base de Datos'!$E$7:$AU$302,20,0))=TRUE," ",(VLOOKUP(T14,'Base de Datos'!$E$7:$AU$302,20,0)))</f>
        <v>40997000</v>
      </c>
      <c r="AI14" s="434">
        <f>IF(ISERROR(VLOOKUP(T14,'Base de Datos'!$E$7:$AU$302,21,0))=TRUE," ",(VLOOKUP(T14,'Base de Datos'!$E$7:$AU$302,21,0)))</f>
        <v>40997000</v>
      </c>
      <c r="AJ14" s="428">
        <v>42033</v>
      </c>
      <c r="AK14" s="423" t="str">
        <f>IF(ISERROR(VLOOKUP(D14,'Base de Datos'!$C$7:$AU$400,2,0))=TRUE," ",(VLOOKUP(D14,'Base de Datos'!$C$7:$AU$400,2,0)))</f>
        <v>2015129</v>
      </c>
      <c r="AL14" s="423" t="str">
        <f>IF(ISERROR(VLOOKUP(D14,'Base de Datos'!$C$7:$AU$400,3,0))=TRUE," ",(VLOOKUP(D14,'Base de Datos'!$C$7:$AU$400,3,0)))</f>
        <v>150035-0-2015</v>
      </c>
      <c r="AM14" s="426" t="str">
        <f>IF(ISERROR(VLOOKUP(D14,'Base de Datos'!$C$7:$AU$3761,6,0))=TRUE," ",(VLOOKUP(D14,'Base de Datos'!$C$7:$AU$400,6,0)))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26" t="str">
        <f>IF(ISERROR(VLOOKUP(D14,'Base de Datos'!$C$7:$AU$400,20,0))=TRUE," ",(VLOOKUP(D14,'Base de Datos'!$C$7:$AU$400,19,0)))</f>
        <v/>
      </c>
      <c r="AO14" s="429">
        <f>IF(ISERROR(VLOOKUP(D14,'Base de Datos'!$C$7:$AU$400,9,0))=TRUE," ",(VLOOKUP(D14,'Base de Datos'!$C$7:$AU$400,9,0)))</f>
        <v>2015</v>
      </c>
      <c r="AP14" s="429">
        <f>IF(ISERROR(VLOOKUP(D14,'Base de Datos'!$C$7:$AU$400,10,0))=TRUE," ",(VLOOKUP(D14,'Base de Datos'!$C$7:$AU$400,10,0)))</f>
        <v>42033</v>
      </c>
      <c r="AQ14" s="431">
        <f>IF(ISERROR(VLOOKUP(D14,'Base de Datos'!$C$7:$AU$400,11,0))=TRUE," ",(VLOOKUP(D14,'Base de Datos'!$C$7:$AU$400,11,0)))</f>
        <v>42037</v>
      </c>
      <c r="AR14" s="432">
        <f>IF(ISERROR(VLOOKUP(D14,'Base de Datos'!$C$7:$AU$400,12,0))=TRUE," ",(VLOOKUP(D14,'Base de Datos'!$C$7:$AU$400,12,0)))</f>
        <v>42402</v>
      </c>
      <c r="AS14" s="431" t="str">
        <f>IF(ISERROR(VLOOKUP(D14,'Base de Datos'!$C$7:$AU$400,13,0))=TRUE," ",(VLOOKUP(D14,'Base de Datos'!$C$7:$AU$400,13,0)))</f>
        <v/>
      </c>
      <c r="AT14" s="431">
        <f>IF(ISERROR(VLOOKUP(D14,'Base de Datos'!$C$7:$AU$400,14,0))=TRUE," ",(VLOOKUP(D14,'Base de Datos'!$C$7:$AU$400,14,0)))</f>
        <v>0</v>
      </c>
      <c r="AU14" s="429">
        <f>IF(ISERROR(VLOOKUP(D14,'Base de Datos'!$C$7:$AU$400,16,0))=TRUE," ",(VLOOKUP(D14,'Base de Datos'!$C$7:$AU$400,16,0)))</f>
        <v>0</v>
      </c>
      <c r="AV14" s="433" t="str">
        <f>IF(ISERROR(VLOOKUP(D14,'Base de Datos'!$C$7:$AU$400,17,0))=TRUE," ",(VLOOKUP(D14,'Base de Datos'!$C$7:$AU$400,17,0)))</f>
        <v/>
      </c>
      <c r="AW14" s="433" t="str">
        <f>IF(ISERROR(VLOOKUP(D14,'Base de Datos'!$C$7:$AU$400,18,0))=TRUE," ",(VLOOKUP(D14,'Base de Datos'!$C$7:$AU$400,18,0)))</f>
        <v/>
      </c>
      <c r="AX14" s="433" t="str">
        <f>IF(ISERROR(VLOOKUP(D14,'Base de Datos'!$C$7:$AU$400,19,0))=TRUE," ",(VLOOKUP(D14,'Base de Datos'!$C$7:$AU$400,19,0)))</f>
        <v/>
      </c>
      <c r="AY14" s="436">
        <f>IF(ISERROR(VLOOKUP(D14,'Base de Datos'!$C$7:$AU$400,21,0))=TRUE," ",(VLOOKUP(D14,'Base de Datos'!$C$7:$AU$400,21,0)))</f>
        <v>42402</v>
      </c>
      <c r="AZ14" s="436">
        <f>IF(ISERROR(VLOOKUP(D14,'Base de Datos'!$C$7:$AU$400,22,0))=TRUE," ",(VLOOKUP(D14,'Base de Datos'!$C$7:$AU$400,22,0)))</f>
        <v>46068000</v>
      </c>
      <c r="BA14" s="443"/>
      <c r="BB14" s="453"/>
    </row>
    <row r="15" spans="1:54" ht="55.5" hidden="1" customHeight="1" x14ac:dyDescent="0.3">
      <c r="B15" s="406">
        <v>9</v>
      </c>
      <c r="C15" s="414" t="s">
        <v>1641</v>
      </c>
      <c r="D15" s="406">
        <v>130</v>
      </c>
      <c r="E15" s="414" t="s">
        <v>1642</v>
      </c>
      <c r="F15" s="415">
        <f>VLOOKUP(D15,'Presupuesto - PAA 2015'!$B$10:$E$265,4,0)</f>
        <v>60000000</v>
      </c>
      <c r="G15" s="407" t="str">
        <f>VLOOKUP(D15,'[4]Seguimiento Plan'!$C$2:$R$101,16,0)</f>
        <v>Prestar los servicios profesionales para elaborar las especificaciones y condiciones técnicas de los procesos para la adquisición de bienes y servicios y apoyar la funcion de supervision de los contratos</v>
      </c>
      <c r="H15" s="407" t="s">
        <v>1775</v>
      </c>
      <c r="I15" s="407" t="s">
        <v>1710</v>
      </c>
      <c r="J15" s="416" t="s">
        <v>908</v>
      </c>
      <c r="K15" s="417" t="s">
        <v>390</v>
      </c>
      <c r="L15" s="417" t="str">
        <f>VLOOKUP(D15,'[4]Seguimiento Plan'!$C$2:$AJ$101,30,0)</f>
        <v>SI</v>
      </c>
      <c r="M15" s="418">
        <f>VLOOKUP(D15,'[4]Seguimiento Plan'!$C$2:$AJ$101,31,0)</f>
        <v>42025</v>
      </c>
      <c r="N15" s="417"/>
      <c r="O15" s="419"/>
      <c r="P15" s="419"/>
      <c r="Q15" s="419"/>
      <c r="R15" s="497"/>
      <c r="S15" s="324" t="s">
        <v>1607</v>
      </c>
      <c r="T15" s="421"/>
      <c r="U15" s="423" t="str">
        <f>IF(ISERROR(VLOOKUP(T15,'Base de Datos'!$E$7:$AU$302,3,0))=TRUE," ",(VLOOKUP(T15,'Base de Datos'!$E$7:$AU$302,2,0)))</f>
        <v xml:space="preserve"> </v>
      </c>
      <c r="V15" s="426" t="str">
        <f>IF(ISERROR(VLOOKUP(T15,'Base de Datos'!$E$7:$AU$302,5,0))=TRUE," ",(VLOOKUP(T15,'Base de Datos'!$E$7:$AU$302,5,0)))</f>
        <v xml:space="preserve"> </v>
      </c>
      <c r="W15" s="423" t="str">
        <f>IF(ISERROR(VLOOKUP(T15,'Base de Datos'!$E$7:$AU$302,19,0))=TRUE," ",(VLOOKUP(T15,'Base de Datos'!$E$7:$AU$302,19,0)))</f>
        <v xml:space="preserve"> </v>
      </c>
      <c r="X15" s="428" t="str">
        <f>IF(ISERROR(VLOOKUP(T15,'Base de Datos'!$E$7:$AU$302,8,0))=TRUE," ",(VLOOKUP(T15,'Base de Datos'!$E$7:$AU$302,8,0)))</f>
        <v xml:space="preserve"> </v>
      </c>
      <c r="Y15" s="428" t="str">
        <f>IF(ISERROR(VLOOKUP(T15,'Base de Datos'!$E$7:$AU$302,9,0))=TRUE," ",(VLOOKUP(T15,'Base de Datos'!$E$7:$AU$302,9,0)))</f>
        <v xml:space="preserve"> </v>
      </c>
      <c r="Z15" s="422" t="str">
        <f>IF(ISERROR(VLOOKUP(T15,'Base de Datos'!$E$7:$AU$302,10,0))=TRUE," ",(VLOOKUP(T15,'Base de Datos'!$E$7:$AU$302,10,0)))</f>
        <v xml:space="preserve"> </v>
      </c>
      <c r="AA15" s="425" t="str">
        <f>IF(ISERROR(VLOOKUP(T15,'Base de Datos'!$E$7:$AU$302,11,0))=TRUE," ",(VLOOKUP(T15,'Base de Datos'!$E$7:$AU$302,11,0)))</f>
        <v xml:space="preserve"> </v>
      </c>
      <c r="AB15" s="422" t="str">
        <f>IF(ISERROR(VLOOKUP(T15,'Base de Datos'!$E$7:$AU$302,12,0))=TRUE," ",(VLOOKUP(T15,'Base de Datos'!$E$7:$AU$302,12,0)))</f>
        <v xml:space="preserve"> </v>
      </c>
      <c r="AC15" s="422" t="str">
        <f>IF(ISERROR(VLOOKUP(T15,'Base de Datos'!$E$7:$AU$302,12,0))=TRUE," ",(VLOOKUP(T15,'Base de Datos'!$E$7:$AU$302,12,0)))</f>
        <v xml:space="preserve"> </v>
      </c>
      <c r="AD15" s="428" t="str">
        <f>IF(ISERROR(VLOOKUP(T15,'Base de Datos'!$E$7:$AU$302,15,0))=TRUE," ",(VLOOKUP(T15,'Base de Datos'!$E$7:$AU$302,15,0)))</f>
        <v xml:space="preserve"> </v>
      </c>
      <c r="AE15" s="433" t="str">
        <f>IF(ISERROR(VLOOKUP(T15,'Base de Datos'!$E$7:$AU$302,16,0))=TRUE," ",(VLOOKUP(T15,'Base de Datos'!$E$7:$AU$302,16,0)))</f>
        <v xml:space="preserve"> </v>
      </c>
      <c r="AF15" s="433" t="str">
        <f>IF(ISERROR(VLOOKUP(T15,'Base de Datos'!$E$7:$AU$302,17,0))=TRUE," ",(VLOOKUP(T15,'Base de Datos'!$E$7:$AU$302,17,0)))</f>
        <v xml:space="preserve"> </v>
      </c>
      <c r="AG15" s="433" t="str">
        <f>IF(ISERROR(VLOOKUP(T15,'Base de Datos'!$E$7:$AU$302,18,0))=TRUE," ",(VLOOKUP(T15,'Base de Datos'!$E$7:$AU$302,18,0)))</f>
        <v xml:space="preserve"> </v>
      </c>
      <c r="AH15" s="434" t="str">
        <f>IF(ISERROR(VLOOKUP(T15,'Base de Datos'!$E$7:$AU$302,20,0))=TRUE," ",(VLOOKUP(T15,'Base de Datos'!$E$7:$AU$302,20,0)))</f>
        <v xml:space="preserve"> </v>
      </c>
      <c r="AI15" s="434" t="str">
        <f>IF(ISERROR(VLOOKUP(T15,'Base de Datos'!$E$7:$AU$302,21,0))=TRUE," ",(VLOOKUP(T15,'Base de Datos'!$E$7:$AU$302,21,0)))</f>
        <v xml:space="preserve"> </v>
      </c>
      <c r="AJ15" s="428">
        <v>42052</v>
      </c>
      <c r="AK15" s="423" t="str">
        <f>IF(ISERROR(VLOOKUP(D15,'Base de Datos'!$C$7:$AU$400,2,0))=TRUE," ",(VLOOKUP(D15,'Base de Datos'!$C$7:$AU$400,2,0)))</f>
        <v>2015130</v>
      </c>
      <c r="AL15" s="423" t="str">
        <f>IF(ISERROR(VLOOKUP(D15,'Base de Datos'!$C$7:$AU$400,3,0))=TRUE," ",(VLOOKUP(D15,'Base de Datos'!$C$7:$AU$400,3,0)))</f>
        <v>150073-0-2015</v>
      </c>
      <c r="AM15" s="426" t="str">
        <f>IF(ISERROR(VLOOKUP(D15,'Base de Datos'!$C$7:$AU$3761,6,0))=TRUE," ",(VLOOKUP(D15,'Base de Datos'!$C$7:$AU$400,6,0)))</f>
        <v>Prestar los servicios profesionales para elaborar las especificaciones técnicas y condiciones técnicas de los procesos para la adquisición de bienes y servicios y apoyar la función de supervisión de los contratos.</v>
      </c>
      <c r="AN15" s="426" t="str">
        <f>IF(ISERROR(VLOOKUP(D15,'Base de Datos'!$C$7:$AU$400,20,0))=TRUE," ",(VLOOKUP(D15,'Base de Datos'!$C$7:$AU$400,19,0)))</f>
        <v/>
      </c>
      <c r="AO15" s="429">
        <f>IF(ISERROR(VLOOKUP(D15,'Base de Datos'!$C$7:$AU$400,9,0))=TRUE," ",(VLOOKUP(D15,'Base de Datos'!$C$7:$AU$400,9,0)))</f>
        <v>2015</v>
      </c>
      <c r="AP15" s="429">
        <f>IF(ISERROR(VLOOKUP(D15,'Base de Datos'!$C$7:$AU$400,10,0))=TRUE," ",(VLOOKUP(D15,'Base de Datos'!$C$7:$AU$400,10,0)))</f>
        <v>42052</v>
      </c>
      <c r="AQ15" s="431">
        <f>IF(ISERROR(VLOOKUP(D15,'Base de Datos'!$C$7:$AU$400,11,0))=TRUE," ",(VLOOKUP(D15,'Base de Datos'!$C$7:$AU$400,11,0)))</f>
        <v>42054</v>
      </c>
      <c r="AR15" s="432">
        <f>IF(ISERROR(VLOOKUP(D15,'Base de Datos'!$C$7:$AU$400,12,0))=TRUE," ",(VLOOKUP(D15,'Base de Datos'!$C$7:$AU$400,12,0)))</f>
        <v>42419</v>
      </c>
      <c r="AS15" s="431" t="str">
        <f>IF(ISERROR(VLOOKUP(D15,'Base de Datos'!$C$7:$AU$400,13,0))=TRUE," ",(VLOOKUP(D15,'Base de Datos'!$C$7:$AU$400,13,0)))</f>
        <v/>
      </c>
      <c r="AT15" s="431">
        <f>IF(ISERROR(VLOOKUP(D15,'Base de Datos'!$C$7:$AU$400,14,0))=TRUE," ",(VLOOKUP(D15,'Base de Datos'!$C$7:$AU$400,14,0)))</f>
        <v>0</v>
      </c>
      <c r="AU15" s="429">
        <f>IF(ISERROR(VLOOKUP(D15,'Base de Datos'!$C$7:$AU$400,16,0))=TRUE," ",(VLOOKUP(D15,'Base de Datos'!$C$7:$AU$400,16,0)))</f>
        <v>0</v>
      </c>
      <c r="AV15" s="433" t="str">
        <f>IF(ISERROR(VLOOKUP(D15,'Base de Datos'!$C$7:$AU$400,17,0))=TRUE," ",(VLOOKUP(D15,'Base de Datos'!$C$7:$AU$400,17,0)))</f>
        <v/>
      </c>
      <c r="AW15" s="433" t="str">
        <f>IF(ISERROR(VLOOKUP(D15,'Base de Datos'!$C$7:$AU$400,18,0))=TRUE," ",(VLOOKUP(D15,'Base de Datos'!$C$7:$AU$400,18,0)))</f>
        <v/>
      </c>
      <c r="AX15" s="433" t="str">
        <f>IF(ISERROR(VLOOKUP(D15,'Base de Datos'!$C$7:$AU$400,19,0))=TRUE," ",(VLOOKUP(D15,'Base de Datos'!$C$7:$AU$400,19,0)))</f>
        <v/>
      </c>
      <c r="AY15" s="436">
        <f>IF(ISERROR(VLOOKUP(D15,'Base de Datos'!$C$7:$AU$400,21,0))=TRUE," ",(VLOOKUP(D15,'Base de Datos'!$C$7:$AU$400,21,0)))</f>
        <v>42419</v>
      </c>
      <c r="AZ15" s="436">
        <f>IF(ISERROR(VLOOKUP(D15,'Base de Datos'!$C$7:$AU$400,22,0))=TRUE," ",(VLOOKUP(D15,'Base de Datos'!$C$7:$AU$400,22,0)))</f>
        <v>60000000</v>
      </c>
      <c r="BA15" s="443"/>
      <c r="BB15" s="453"/>
    </row>
    <row r="16" spans="1:54" ht="55.5" hidden="1" customHeight="1" x14ac:dyDescent="0.3">
      <c r="B16" s="406">
        <v>10</v>
      </c>
      <c r="C16" s="414" t="s">
        <v>1641</v>
      </c>
      <c r="D16" s="406">
        <v>131</v>
      </c>
      <c r="E16" s="414" t="s">
        <v>1642</v>
      </c>
      <c r="F16" s="415">
        <f>VLOOKUP(D16,'Presupuesto - PAA 2015'!$B$10:$E$265,4,0)</f>
        <v>30900000</v>
      </c>
      <c r="G16" s="407" t="str">
        <f>VLOOKUP(D16,'[4]Seguimiento Plan'!$C$2:$R$101,16,0)</f>
        <v>Prestar los servicios profesionales para apoyar la gestión administrativa, documental y contractual en los asuntos de competencia del Concejo de Bogotá.</v>
      </c>
      <c r="H16" s="407" t="s">
        <v>1775</v>
      </c>
      <c r="I16" s="407" t="s">
        <v>1710</v>
      </c>
      <c r="J16" s="416" t="s">
        <v>908</v>
      </c>
      <c r="K16" s="417" t="s">
        <v>390</v>
      </c>
      <c r="L16" s="417" t="str">
        <f>VLOOKUP(D16,'[4]Seguimiento Plan'!$C$2:$AJ$101,30,0)</f>
        <v>SI</v>
      </c>
      <c r="M16" s="418">
        <f>VLOOKUP(D16,'[4]Seguimiento Plan'!$C$2:$AJ$101,31,0)</f>
        <v>42033</v>
      </c>
      <c r="N16" s="417"/>
      <c r="O16" s="419"/>
      <c r="P16" s="419"/>
      <c r="Q16" s="419"/>
      <c r="R16" s="497"/>
      <c r="S16" s="324" t="s">
        <v>1583</v>
      </c>
      <c r="T16" s="317" t="s">
        <v>1070</v>
      </c>
      <c r="U16" s="423" t="str">
        <f>IF(ISERROR(VLOOKUP(T16,'Base de Datos'!$E$7:$AU$302,3,0))=TRUE," ",(VLOOKUP(T16,'Base de Datos'!$E$7:$AU$302,2,0)))</f>
        <v>CRISTIAN DAVID PARDO MARTINEZ</v>
      </c>
      <c r="V16" s="426">
        <f>IF(ISERROR(VLOOKUP(T16,'Base de Datos'!$E$7:$AU$302,5,0))=TRUE," ",(VLOOKUP(T16,'Base de Datos'!$E$7:$AU$302,5,0)))</f>
        <v>10000000</v>
      </c>
      <c r="W16" s="423">
        <f>IF(ISERROR(VLOOKUP(T16,'Base de Datos'!$E$7:$AU$302,19,0))=TRUE," ",(VLOOKUP(T16,'Base de Datos'!$E$7:$AU$302,19,0)))</f>
        <v>42033</v>
      </c>
      <c r="X16" s="428" t="str">
        <f>IF(ISERROR(VLOOKUP(T16,'Base de Datos'!$E$7:$AU$302,8,0))=TRUE," ",(VLOOKUP(T16,'Base de Datos'!$E$7:$AU$302,8,0)))</f>
        <v xml:space="preserve"> </v>
      </c>
      <c r="Y16" s="428">
        <f>IF(ISERROR(VLOOKUP(T16,'Base de Datos'!$E$7:$AU$302,9,0))=TRUE," ",(VLOOKUP(T16,'Base de Datos'!$E$7:$AU$302,9,0)))</f>
        <v>41911</v>
      </c>
      <c r="Z16" s="422">
        <f>IF(ISERROR(VLOOKUP(T16,'Base de Datos'!$E$7:$AU$302,10,0))=TRUE," ",(VLOOKUP(T16,'Base de Datos'!$E$7:$AU$302,10,0)))</f>
        <v>42033</v>
      </c>
      <c r="AA16" s="425" t="str">
        <f>IF(ISERROR(VLOOKUP(T16,'Base de Datos'!$E$7:$AU$302,11,0))=TRUE," ",(VLOOKUP(T16,'Base de Datos'!$E$7:$AU$302,11,0)))</f>
        <v/>
      </c>
      <c r="AB16" s="422">
        <f>IF(ISERROR(VLOOKUP(T16,'Base de Datos'!$E$7:$AU$302,12,0))=TRUE," ",(VLOOKUP(T16,'Base de Datos'!$E$7:$AU$302,12,0)))</f>
        <v>0</v>
      </c>
      <c r="AC16" s="422">
        <f>IF(ISERROR(VLOOKUP(T16,'Base de Datos'!$E$7:$AU$302,12,0))=TRUE," ",(VLOOKUP(T16,'Base de Datos'!$E$7:$AU$302,12,0)))</f>
        <v>0</v>
      </c>
      <c r="AD16" s="428" t="str">
        <f>IF(ISERROR(VLOOKUP(T16,'Base de Datos'!$E$7:$AU$302,15,0))=TRUE," ",(VLOOKUP(T16,'Base de Datos'!$E$7:$AU$302,15,0)))</f>
        <v/>
      </c>
      <c r="AE16" s="433" t="str">
        <f>IF(ISERROR(VLOOKUP(T16,'Base de Datos'!$E$7:$AU$302,16,0))=TRUE," ",(VLOOKUP(T16,'Base de Datos'!$E$7:$AU$302,16,0)))</f>
        <v/>
      </c>
      <c r="AF16" s="433" t="str">
        <f>IF(ISERROR(VLOOKUP(T16,'Base de Datos'!$E$7:$AU$302,17,0))=TRUE," ",(VLOOKUP(T16,'Base de Datos'!$E$7:$AU$302,17,0)))</f>
        <v/>
      </c>
      <c r="AG16" s="433" t="str">
        <f>IF(ISERROR(VLOOKUP(T16,'Base de Datos'!$E$7:$AU$302,18,0))=TRUE," ",(VLOOKUP(T16,'Base de Datos'!$E$7:$AU$302,18,0)))</f>
        <v/>
      </c>
      <c r="AH16" s="434">
        <f>IF(ISERROR(VLOOKUP(T16,'Base de Datos'!$E$7:$AU$302,20,0))=TRUE," ",(VLOOKUP(T16,'Base de Datos'!$E$7:$AU$302,20,0)))</f>
        <v>10000000</v>
      </c>
      <c r="AI16" s="434">
        <f>IF(ISERROR(VLOOKUP(T16,'Base de Datos'!$E$7:$AU$302,21,0))=TRUE," ",(VLOOKUP(T16,'Base de Datos'!$E$7:$AU$302,21,0)))</f>
        <v>10000000</v>
      </c>
      <c r="AJ16" s="428">
        <v>42066</v>
      </c>
      <c r="AK16" s="423" t="str">
        <f>IF(ISERROR(VLOOKUP(D16,'Base de Datos'!$C$7:$AU$400,2,0))=TRUE," ",(VLOOKUP(D16,'Base de Datos'!$C$7:$AU$400,2,0)))</f>
        <v>2015131</v>
      </c>
      <c r="AL16" s="423" t="str">
        <f>IF(ISERROR(VLOOKUP(D16,'Base de Datos'!$C$7:$AU$400,3,0))=TRUE," ",(VLOOKUP(D16,'Base de Datos'!$C$7:$AU$400,3,0)))</f>
        <v>150102-0-2015</v>
      </c>
      <c r="AM16" s="426" t="str">
        <f>IF(ISERROR(VLOOKUP(D16,'Base de Datos'!$C$7:$AU$3761,6,0))=TRUE," ",(VLOOKUP(D16,'Base de Datos'!$C$7:$AU$400,6,0)))</f>
        <v>Prestar servicios profesionales para apoyar la gestión administrativa, documental y contractual en los asuntos de competencia de la Dirección Financiera del Concejo de Bogotá, D.C.</v>
      </c>
      <c r="AN16" s="426" t="str">
        <f>IF(ISERROR(VLOOKUP(D16,'Base de Datos'!$C$7:$AU$400,20,0))=TRUE," ",(VLOOKUP(D16,'Base de Datos'!$C$7:$AU$400,19,0)))</f>
        <v/>
      </c>
      <c r="AO16" s="429">
        <f>IF(ISERROR(VLOOKUP(D16,'Base de Datos'!$C$7:$AU$400,9,0))=TRUE," ",(VLOOKUP(D16,'Base de Datos'!$C$7:$AU$400,9,0)))</f>
        <v>2015</v>
      </c>
      <c r="AP16" s="429">
        <f>IF(ISERROR(VLOOKUP(D16,'Base de Datos'!$C$7:$AU$400,10,0))=TRUE," ",(VLOOKUP(D16,'Base de Datos'!$C$7:$AU$400,10,0)))</f>
        <v>42066</v>
      </c>
      <c r="AQ16" s="431">
        <f>IF(ISERROR(VLOOKUP(D16,'Base de Datos'!$C$7:$AU$400,11,0))=TRUE," ",(VLOOKUP(D16,'Base de Datos'!$C$7:$AU$400,11,0)))</f>
        <v>42073</v>
      </c>
      <c r="AR16" s="432">
        <f>IF(ISERROR(VLOOKUP(D16,'Base de Datos'!$C$7:$AU$400,12,0))=TRUE," ",(VLOOKUP(D16,'Base de Datos'!$C$7:$AU$400,12,0)))</f>
        <v>42439</v>
      </c>
      <c r="AS16" s="431" t="str">
        <f>IF(ISERROR(VLOOKUP(D16,'Base de Datos'!$C$7:$AU$400,13,0))=TRUE," ",(VLOOKUP(D16,'Base de Datos'!$C$7:$AU$400,13,0)))</f>
        <v/>
      </c>
      <c r="AT16" s="431">
        <f>IF(ISERROR(VLOOKUP(D16,'Base de Datos'!$C$7:$AU$400,14,0))=TRUE," ",(VLOOKUP(D16,'Base de Datos'!$C$7:$AU$400,14,0)))</f>
        <v>0</v>
      </c>
      <c r="AU16" s="429">
        <f>IF(ISERROR(VLOOKUP(D16,'Base de Datos'!$C$7:$AU$400,16,0))=TRUE," ",(VLOOKUP(D16,'Base de Datos'!$C$7:$AU$400,16,0)))</f>
        <v>0</v>
      </c>
      <c r="AV16" s="433" t="str">
        <f>IF(ISERROR(VLOOKUP(D16,'Base de Datos'!$C$7:$AU$400,17,0))=TRUE," ",(VLOOKUP(D16,'Base de Datos'!$C$7:$AU$400,17,0)))</f>
        <v/>
      </c>
      <c r="AW16" s="433" t="str">
        <f>IF(ISERROR(VLOOKUP(D16,'Base de Datos'!$C$7:$AU$400,18,0))=TRUE," ",(VLOOKUP(D16,'Base de Datos'!$C$7:$AU$400,18,0)))</f>
        <v/>
      </c>
      <c r="AX16" s="433" t="str">
        <f>IF(ISERROR(VLOOKUP(D16,'Base de Datos'!$C$7:$AU$400,19,0))=TRUE," ",(VLOOKUP(D16,'Base de Datos'!$C$7:$AU$400,19,0)))</f>
        <v/>
      </c>
      <c r="AY16" s="436">
        <f>IF(ISERROR(VLOOKUP(D16,'Base de Datos'!$C$7:$AU$400,21,0))=TRUE," ",(VLOOKUP(D16,'Base de Datos'!$C$7:$AU$400,21,0)))</f>
        <v>42439</v>
      </c>
      <c r="AZ16" s="436">
        <f>IF(ISERROR(VLOOKUP(D16,'Base de Datos'!$C$7:$AU$400,22,0))=TRUE," ",(VLOOKUP(D16,'Base de Datos'!$C$7:$AU$400,22,0)))</f>
        <v>30900000</v>
      </c>
      <c r="BA16" s="443"/>
      <c r="BB16" s="453"/>
    </row>
    <row r="17" spans="2:54" ht="55.5" hidden="1" customHeight="1" x14ac:dyDescent="0.3">
      <c r="B17" s="406">
        <v>11</v>
      </c>
      <c r="C17" s="414" t="s">
        <v>1641</v>
      </c>
      <c r="D17" s="406">
        <v>132</v>
      </c>
      <c r="E17" s="414" t="s">
        <v>1642</v>
      </c>
      <c r="F17" s="415">
        <f>VLOOKUP(D17,'Presupuesto - PAA 2015'!$B$10:$E$265,4,0)</f>
        <v>30900000</v>
      </c>
      <c r="G17" s="407" t="str">
        <f>VLOOKUP(D17,'[4]Seguimiento Plan'!$C$2:$R$101,16,0)</f>
        <v>Prestar los servicios profesionales para acompañar a la Oficina de Comunicaciones del Concejo de Bogotá en la implementación de estrategias comunicativas</v>
      </c>
      <c r="H17" s="407" t="s">
        <v>1775</v>
      </c>
      <c r="I17" s="407" t="s">
        <v>1710</v>
      </c>
      <c r="J17" s="416" t="s">
        <v>908</v>
      </c>
      <c r="K17" s="417" t="s">
        <v>390</v>
      </c>
      <c r="L17" s="417" t="str">
        <f>VLOOKUP(D17,'[4]Seguimiento Plan'!$C$2:$AJ$101,30,0)</f>
        <v>SI</v>
      </c>
      <c r="M17" s="418">
        <f>VLOOKUP(D17,'[4]Seguimiento Plan'!$C$2:$AJ$101,31,0)</f>
        <v>42025</v>
      </c>
      <c r="N17" s="417"/>
      <c r="O17" s="419"/>
      <c r="P17" s="419"/>
      <c r="Q17" s="419"/>
      <c r="R17" s="497"/>
      <c r="S17" s="324" t="s">
        <v>1575</v>
      </c>
      <c r="T17" s="421"/>
      <c r="U17" s="423" t="str">
        <f>IF(ISERROR(VLOOKUP(T17,'Base de Datos'!$E$7:$AU$302,3,0))=TRUE," ",(VLOOKUP(T17,'Base de Datos'!$E$7:$AU$302,2,0)))</f>
        <v xml:space="preserve"> </v>
      </c>
      <c r="V17" s="426" t="str">
        <f>IF(ISERROR(VLOOKUP(T17,'Base de Datos'!$E$7:$AU$302,5,0))=TRUE," ",(VLOOKUP(T17,'Base de Datos'!$E$7:$AU$302,5,0)))</f>
        <v xml:space="preserve"> </v>
      </c>
      <c r="W17" s="423" t="str">
        <f>IF(ISERROR(VLOOKUP(T17,'Base de Datos'!$E$7:$AU$302,19,0))=TRUE," ",(VLOOKUP(T17,'Base de Datos'!$E$7:$AU$302,19,0)))</f>
        <v xml:space="preserve"> </v>
      </c>
      <c r="X17" s="428" t="str">
        <f>IF(ISERROR(VLOOKUP(T17,'Base de Datos'!$E$7:$AU$302,8,0))=TRUE," ",(VLOOKUP(T17,'Base de Datos'!$E$7:$AU$302,8,0)))</f>
        <v xml:space="preserve"> </v>
      </c>
      <c r="Y17" s="428" t="str">
        <f>IF(ISERROR(VLOOKUP(T17,'Base de Datos'!$E$7:$AU$302,9,0))=TRUE," ",(VLOOKUP(T17,'Base de Datos'!$E$7:$AU$302,9,0)))</f>
        <v xml:space="preserve"> </v>
      </c>
      <c r="Z17" s="422" t="str">
        <f>IF(ISERROR(VLOOKUP(T17,'Base de Datos'!$E$7:$AU$302,10,0))=TRUE," ",(VLOOKUP(T17,'Base de Datos'!$E$7:$AU$302,10,0)))</f>
        <v xml:space="preserve"> </v>
      </c>
      <c r="AA17" s="425" t="str">
        <f>IF(ISERROR(VLOOKUP(T17,'Base de Datos'!$E$7:$AU$302,11,0))=TRUE," ",(VLOOKUP(T17,'Base de Datos'!$E$7:$AU$302,11,0)))</f>
        <v xml:space="preserve"> </v>
      </c>
      <c r="AB17" s="422" t="str">
        <f>IF(ISERROR(VLOOKUP(T17,'Base de Datos'!$E$7:$AU$302,12,0))=TRUE," ",(VLOOKUP(T17,'Base de Datos'!$E$7:$AU$302,12,0)))</f>
        <v xml:space="preserve"> </v>
      </c>
      <c r="AC17" s="422" t="str">
        <f>IF(ISERROR(VLOOKUP(T17,'Base de Datos'!$E$7:$AU$302,12,0))=TRUE," ",(VLOOKUP(T17,'Base de Datos'!$E$7:$AU$302,12,0)))</f>
        <v xml:space="preserve"> </v>
      </c>
      <c r="AD17" s="428" t="str">
        <f>IF(ISERROR(VLOOKUP(T17,'Base de Datos'!$E$7:$AU$302,15,0))=TRUE," ",(VLOOKUP(T17,'Base de Datos'!$E$7:$AU$302,15,0)))</f>
        <v xml:space="preserve"> </v>
      </c>
      <c r="AE17" s="433" t="str">
        <f>IF(ISERROR(VLOOKUP(T17,'Base de Datos'!$E$7:$AU$302,16,0))=TRUE," ",(VLOOKUP(T17,'Base de Datos'!$E$7:$AU$302,16,0)))</f>
        <v xml:space="preserve"> </v>
      </c>
      <c r="AF17" s="433" t="str">
        <f>IF(ISERROR(VLOOKUP(T17,'Base de Datos'!$E$7:$AU$302,17,0))=TRUE," ",(VLOOKUP(T17,'Base de Datos'!$E$7:$AU$302,17,0)))</f>
        <v xml:space="preserve"> </v>
      </c>
      <c r="AG17" s="433" t="str">
        <f>IF(ISERROR(VLOOKUP(T17,'Base de Datos'!$E$7:$AU$302,18,0))=TRUE," ",(VLOOKUP(T17,'Base de Datos'!$E$7:$AU$302,18,0)))</f>
        <v xml:space="preserve"> </v>
      </c>
      <c r="AH17" s="434" t="str">
        <f>IF(ISERROR(VLOOKUP(T17,'Base de Datos'!$E$7:$AU$302,20,0))=TRUE," ",(VLOOKUP(T17,'Base de Datos'!$E$7:$AU$302,20,0)))</f>
        <v xml:space="preserve"> </v>
      </c>
      <c r="AI17" s="434" t="str">
        <f>IF(ISERROR(VLOOKUP(T17,'Base de Datos'!$E$7:$AU$302,21,0))=TRUE," ",(VLOOKUP(T17,'Base de Datos'!$E$7:$AU$302,21,0)))</f>
        <v xml:space="preserve"> </v>
      </c>
      <c r="AJ17" s="428">
        <v>42055</v>
      </c>
      <c r="AK17" s="423" t="str">
        <f>IF(ISERROR(VLOOKUP(D17,'Base de Datos'!$C$7:$AU$400,2,0))=TRUE," ",(VLOOKUP(D17,'Base de Datos'!$C$7:$AU$400,2,0)))</f>
        <v>2015132</v>
      </c>
      <c r="AL17" s="423" t="str">
        <f>IF(ISERROR(VLOOKUP(D17,'Base de Datos'!$C$7:$AU$400,3,0))=TRUE," ",(VLOOKUP(D17,'Base de Datos'!$C$7:$AU$400,3,0)))</f>
        <v>150083-0-2015</v>
      </c>
      <c r="AM17" s="426" t="str">
        <f>IF(ISERROR(VLOOKUP(D17,'Base de Datos'!$C$7:$AU$3761,6,0))=TRUE," ",(VLOOKUP(D17,'Base de Datos'!$C$7:$AU$400,6,0)))</f>
        <v>Prestar servicios profesionales para acompañar la Oficina de Comunicaciones del Concejo de Bogotá en la implementación de estrategias comunicativas.</v>
      </c>
      <c r="AN17" s="426" t="str">
        <f>IF(ISERROR(VLOOKUP(D17,'Base de Datos'!$C$7:$AU$400,20,0))=TRUE," ",(VLOOKUP(D17,'Base de Datos'!$C$7:$AU$400,19,0)))</f>
        <v/>
      </c>
      <c r="AO17" s="429">
        <f>IF(ISERROR(VLOOKUP(D17,'Base de Datos'!$C$7:$AU$400,9,0))=TRUE," ",(VLOOKUP(D17,'Base de Datos'!$C$7:$AU$400,9,0)))</f>
        <v>2015</v>
      </c>
      <c r="AP17" s="429">
        <f>IF(ISERROR(VLOOKUP(D17,'Base de Datos'!$C$7:$AU$400,10,0))=TRUE," ",(VLOOKUP(D17,'Base de Datos'!$C$7:$AU$400,10,0)))</f>
        <v>42055</v>
      </c>
      <c r="AQ17" s="431">
        <f>IF(ISERROR(VLOOKUP(D17,'Base de Datos'!$C$7:$AU$400,11,0))=TRUE," ",(VLOOKUP(D17,'Base de Datos'!$C$7:$AU$400,11,0)))</f>
        <v>42065</v>
      </c>
      <c r="AR17" s="432">
        <f>IF(ISERROR(VLOOKUP(D17,'Base de Datos'!$C$7:$AU$400,12,0))=TRUE," ",(VLOOKUP(D17,'Base de Datos'!$C$7:$AU$400,12,0)))</f>
        <v>42431</v>
      </c>
      <c r="AS17" s="431" t="str">
        <f>IF(ISERROR(VLOOKUP(D17,'Base de Datos'!$C$7:$AU$400,13,0))=TRUE," ",(VLOOKUP(D17,'Base de Datos'!$C$7:$AU$400,13,0)))</f>
        <v/>
      </c>
      <c r="AT17" s="431">
        <f>IF(ISERROR(VLOOKUP(D17,'Base de Datos'!$C$7:$AU$400,14,0))=TRUE," ",(VLOOKUP(D17,'Base de Datos'!$C$7:$AU$400,14,0)))</f>
        <v>0</v>
      </c>
      <c r="AU17" s="429">
        <f>IF(ISERROR(VLOOKUP(D17,'Base de Datos'!$C$7:$AU$400,16,0))=TRUE," ",(VLOOKUP(D17,'Base de Datos'!$C$7:$AU$400,16,0)))</f>
        <v>0</v>
      </c>
      <c r="AV17" s="433" t="str">
        <f>IF(ISERROR(VLOOKUP(D17,'Base de Datos'!$C$7:$AU$400,17,0))=TRUE," ",(VLOOKUP(D17,'Base de Datos'!$C$7:$AU$400,17,0)))</f>
        <v/>
      </c>
      <c r="AW17" s="433" t="str">
        <f>IF(ISERROR(VLOOKUP(D17,'Base de Datos'!$C$7:$AU$400,18,0))=TRUE," ",(VLOOKUP(D17,'Base de Datos'!$C$7:$AU$400,18,0)))</f>
        <v/>
      </c>
      <c r="AX17" s="433" t="str">
        <f>IF(ISERROR(VLOOKUP(D17,'Base de Datos'!$C$7:$AU$400,19,0))=TRUE," ",(VLOOKUP(D17,'Base de Datos'!$C$7:$AU$400,19,0)))</f>
        <v/>
      </c>
      <c r="AY17" s="436">
        <f>IF(ISERROR(VLOOKUP(D17,'Base de Datos'!$C$7:$AU$400,21,0))=TRUE," ",(VLOOKUP(D17,'Base de Datos'!$C$7:$AU$400,21,0)))</f>
        <v>42431</v>
      </c>
      <c r="AZ17" s="436">
        <f>IF(ISERROR(VLOOKUP(D17,'Base de Datos'!$C$7:$AU$400,22,0))=TRUE," ",(VLOOKUP(D17,'Base de Datos'!$C$7:$AU$400,22,0)))</f>
        <v>30900000</v>
      </c>
      <c r="BA17" s="443"/>
      <c r="BB17" s="453"/>
    </row>
    <row r="18" spans="2:54" ht="55.5" hidden="1" customHeight="1" x14ac:dyDescent="0.3">
      <c r="B18" s="406">
        <v>12</v>
      </c>
      <c r="C18" s="414" t="s">
        <v>1641</v>
      </c>
      <c r="D18" s="406">
        <v>133</v>
      </c>
      <c r="E18" s="414" t="s">
        <v>1642</v>
      </c>
      <c r="F18" s="415">
        <f>VLOOKUP(D18,'Presupuesto - PAA 2015'!$B$10:$E$265,4,0)</f>
        <v>63654000</v>
      </c>
      <c r="G18" s="407" t="str">
        <f>VLOOKUP(D18,'[4]Seguimiento Plan'!$C$2:$R$101,16,0)</f>
        <v>Prestar los servicios profesionales para  apoyar al Concejo de Bogotá en el enlace con la Unidad Ejecutora 04 de la Secretaría Distrital de Hacienda para la liquidación y cierre de los expedientes contractuales</v>
      </c>
      <c r="H18" s="407" t="s">
        <v>1775</v>
      </c>
      <c r="I18" s="407" t="s">
        <v>1710</v>
      </c>
      <c r="J18" s="416" t="s">
        <v>908</v>
      </c>
      <c r="K18" s="417" t="s">
        <v>390</v>
      </c>
      <c r="L18" s="417" t="str">
        <f>VLOOKUP(D18,'[4]Seguimiento Plan'!$C$2:$AJ$101,30,0)</f>
        <v>SI</v>
      </c>
      <c r="M18" s="418">
        <f>VLOOKUP(D18,'[4]Seguimiento Plan'!$C$2:$AJ$101,31,0)</f>
        <v>42020</v>
      </c>
      <c r="N18" s="417"/>
      <c r="O18" s="419"/>
      <c r="P18" s="419"/>
      <c r="Q18" s="419"/>
      <c r="R18" s="497"/>
      <c r="S18" s="324" t="s">
        <v>1566</v>
      </c>
      <c r="T18" s="421"/>
      <c r="U18" s="423" t="str">
        <f>IF(ISERROR(VLOOKUP(T18,'Base de Datos'!$E$7:$AU$302,3,0))=TRUE," ",(VLOOKUP(T18,'Base de Datos'!$E$7:$AU$302,2,0)))</f>
        <v xml:space="preserve"> </v>
      </c>
      <c r="V18" s="426" t="str">
        <f>IF(ISERROR(VLOOKUP(T18,'Base de Datos'!$E$7:$AU$302,5,0))=TRUE," ",(VLOOKUP(T18,'Base de Datos'!$E$7:$AU$302,5,0)))</f>
        <v xml:space="preserve"> </v>
      </c>
      <c r="W18" s="423" t="str">
        <f>IF(ISERROR(VLOOKUP(T18,'Base de Datos'!$E$7:$AU$302,19,0))=TRUE," ",(VLOOKUP(T18,'Base de Datos'!$E$7:$AU$302,19,0)))</f>
        <v xml:space="preserve"> </v>
      </c>
      <c r="X18" s="428" t="str">
        <f>IF(ISERROR(VLOOKUP(T18,'Base de Datos'!$E$7:$AU$302,8,0))=TRUE," ",(VLOOKUP(T18,'Base de Datos'!$E$7:$AU$302,8,0)))</f>
        <v xml:space="preserve"> </v>
      </c>
      <c r="Y18" s="428" t="str">
        <f>IF(ISERROR(VLOOKUP(T18,'Base de Datos'!$E$7:$AU$302,9,0))=TRUE," ",(VLOOKUP(T18,'Base de Datos'!$E$7:$AU$302,9,0)))</f>
        <v xml:space="preserve"> </v>
      </c>
      <c r="Z18" s="422" t="str">
        <f>IF(ISERROR(VLOOKUP(T18,'Base de Datos'!$E$7:$AU$302,10,0))=TRUE," ",(VLOOKUP(T18,'Base de Datos'!$E$7:$AU$302,10,0)))</f>
        <v xml:space="preserve"> </v>
      </c>
      <c r="AA18" s="425" t="str">
        <f>IF(ISERROR(VLOOKUP(T18,'Base de Datos'!$E$7:$AU$302,11,0))=TRUE," ",(VLOOKUP(T18,'Base de Datos'!$E$7:$AU$302,11,0)))</f>
        <v xml:space="preserve"> </v>
      </c>
      <c r="AB18" s="422" t="str">
        <f>IF(ISERROR(VLOOKUP(T18,'Base de Datos'!$E$7:$AU$302,12,0))=TRUE," ",(VLOOKUP(T18,'Base de Datos'!$E$7:$AU$302,12,0)))</f>
        <v xml:space="preserve"> </v>
      </c>
      <c r="AC18" s="422" t="str">
        <f>IF(ISERROR(VLOOKUP(T18,'Base de Datos'!$E$7:$AU$302,12,0))=TRUE," ",(VLOOKUP(T18,'Base de Datos'!$E$7:$AU$302,12,0)))</f>
        <v xml:space="preserve"> </v>
      </c>
      <c r="AD18" s="428" t="str">
        <f>IF(ISERROR(VLOOKUP(T18,'Base de Datos'!$E$7:$AU$302,15,0))=TRUE," ",(VLOOKUP(T18,'Base de Datos'!$E$7:$AU$302,15,0)))</f>
        <v xml:space="preserve"> </v>
      </c>
      <c r="AE18" s="433" t="str">
        <f>IF(ISERROR(VLOOKUP(T18,'Base de Datos'!$E$7:$AU$302,16,0))=TRUE," ",(VLOOKUP(T18,'Base de Datos'!$E$7:$AU$302,16,0)))</f>
        <v xml:space="preserve"> </v>
      </c>
      <c r="AF18" s="433" t="str">
        <f>IF(ISERROR(VLOOKUP(T18,'Base de Datos'!$E$7:$AU$302,17,0))=TRUE," ",(VLOOKUP(T18,'Base de Datos'!$E$7:$AU$302,17,0)))</f>
        <v xml:space="preserve"> </v>
      </c>
      <c r="AG18" s="433" t="str">
        <f>IF(ISERROR(VLOOKUP(T18,'Base de Datos'!$E$7:$AU$302,18,0))=TRUE," ",(VLOOKUP(T18,'Base de Datos'!$E$7:$AU$302,18,0)))</f>
        <v xml:space="preserve"> </v>
      </c>
      <c r="AH18" s="434" t="str">
        <f>IF(ISERROR(VLOOKUP(T18,'Base de Datos'!$E$7:$AU$302,20,0))=TRUE," ",(VLOOKUP(T18,'Base de Datos'!$E$7:$AU$302,20,0)))</f>
        <v xml:space="preserve"> </v>
      </c>
      <c r="AI18" s="434" t="str">
        <f>IF(ISERROR(VLOOKUP(T18,'Base de Datos'!$E$7:$AU$302,21,0))=TRUE," ",(VLOOKUP(T18,'Base de Datos'!$E$7:$AU$302,21,0)))</f>
        <v xml:space="preserve"> </v>
      </c>
      <c r="AJ18" s="428">
        <v>42053</v>
      </c>
      <c r="AK18" s="423" t="str">
        <f>IF(ISERROR(VLOOKUP(D18,'Base de Datos'!$C$7:$AU$400,2,0))=TRUE," ",(VLOOKUP(D18,'Base de Datos'!$C$7:$AU$400,2,0)))</f>
        <v>2015133</v>
      </c>
      <c r="AL18" s="423" t="str">
        <f>IF(ISERROR(VLOOKUP(D18,'Base de Datos'!$C$7:$AU$400,3,0))=TRUE," ",(VLOOKUP(D18,'Base de Datos'!$C$7:$AU$400,3,0)))</f>
        <v>150076-0-2015</v>
      </c>
      <c r="AM18" s="426" t="str">
        <f>IF(ISERROR(VLOOKUP(D18,'Base de Datos'!$C$7:$AU$3761,6,0))=TRUE," ",(VLOOKUP(D18,'Base de Datos'!$C$7:$AU$400,6,0)))</f>
        <v>Prestar servicios profesionales para apoyar al Concejo de Bogotá en el enlace con la Unidad Ejecutora 04 de la Secretaría Distrital de Hacienda para la liquidación y cierre de los expedientes contractuales.</v>
      </c>
      <c r="AN18" s="426" t="str">
        <f>IF(ISERROR(VLOOKUP(D18,'Base de Datos'!$C$7:$AU$400,20,0))=TRUE," ",(VLOOKUP(D18,'Base de Datos'!$C$7:$AU$400,19,0)))</f>
        <v/>
      </c>
      <c r="AO18" s="429">
        <f>IF(ISERROR(VLOOKUP(D18,'Base de Datos'!$C$7:$AU$400,9,0))=TRUE," ",(VLOOKUP(D18,'Base de Datos'!$C$7:$AU$400,9,0)))</f>
        <v>2015</v>
      </c>
      <c r="AP18" s="429">
        <f>IF(ISERROR(VLOOKUP(D18,'Base de Datos'!$C$7:$AU$400,10,0))=TRUE," ",(VLOOKUP(D18,'Base de Datos'!$C$7:$AU$400,10,0)))</f>
        <v>42053</v>
      </c>
      <c r="AQ18" s="431">
        <f>IF(ISERROR(VLOOKUP(D18,'Base de Datos'!$C$7:$AU$400,11,0))=TRUE," ",(VLOOKUP(D18,'Base de Datos'!$C$7:$AU$400,11,0)))</f>
        <v>42054</v>
      </c>
      <c r="AR18" s="432">
        <f>IF(ISERROR(VLOOKUP(D18,'Base de Datos'!$C$7:$AU$400,12,0))=TRUE," ",(VLOOKUP(D18,'Base de Datos'!$C$7:$AU$400,12,0)))</f>
        <v>42419</v>
      </c>
      <c r="AS18" s="431" t="str">
        <f>IF(ISERROR(VLOOKUP(D18,'Base de Datos'!$C$7:$AU$400,13,0))=TRUE," ",(VLOOKUP(D18,'Base de Datos'!$C$7:$AU$400,13,0)))</f>
        <v/>
      </c>
      <c r="AT18" s="431">
        <f>IF(ISERROR(VLOOKUP(D18,'Base de Datos'!$C$7:$AU$400,14,0))=TRUE," ",(VLOOKUP(D18,'Base de Datos'!$C$7:$AU$400,14,0)))</f>
        <v>0</v>
      </c>
      <c r="AU18" s="429">
        <f>IF(ISERROR(VLOOKUP(D18,'Base de Datos'!$C$7:$AU$400,16,0))=TRUE," ",(VLOOKUP(D18,'Base de Datos'!$C$7:$AU$400,16,0)))</f>
        <v>0</v>
      </c>
      <c r="AV18" s="433" t="str">
        <f>IF(ISERROR(VLOOKUP(D18,'Base de Datos'!$C$7:$AU$400,17,0))=TRUE," ",(VLOOKUP(D18,'Base de Datos'!$C$7:$AU$400,17,0)))</f>
        <v/>
      </c>
      <c r="AW18" s="433" t="str">
        <f>IF(ISERROR(VLOOKUP(D18,'Base de Datos'!$C$7:$AU$400,18,0))=TRUE," ",(VLOOKUP(D18,'Base de Datos'!$C$7:$AU$400,18,0)))</f>
        <v/>
      </c>
      <c r="AX18" s="433" t="str">
        <f>IF(ISERROR(VLOOKUP(D18,'Base de Datos'!$C$7:$AU$400,19,0))=TRUE," ",(VLOOKUP(D18,'Base de Datos'!$C$7:$AU$400,19,0)))</f>
        <v/>
      </c>
      <c r="AY18" s="436">
        <f>IF(ISERROR(VLOOKUP(D18,'Base de Datos'!$C$7:$AU$400,21,0))=TRUE," ",(VLOOKUP(D18,'Base de Datos'!$C$7:$AU$400,21,0)))</f>
        <v>42419</v>
      </c>
      <c r="AZ18" s="436">
        <f>IF(ISERROR(VLOOKUP(D18,'Base de Datos'!$C$7:$AU$400,22,0))=TRUE," ",(VLOOKUP(D18,'Base de Datos'!$C$7:$AU$400,22,0)))</f>
        <v>63654000</v>
      </c>
      <c r="BA18" s="443"/>
      <c r="BB18" s="453"/>
    </row>
    <row r="19" spans="2:54" ht="55.5" hidden="1" customHeight="1" x14ac:dyDescent="0.3">
      <c r="B19" s="406">
        <v>13</v>
      </c>
      <c r="C19" s="414" t="s">
        <v>1641</v>
      </c>
      <c r="D19" s="406">
        <v>134</v>
      </c>
      <c r="E19" s="414" t="s">
        <v>1642</v>
      </c>
      <c r="F19" s="415">
        <f>VLOOKUP(D19,'Presupuesto - PAA 2015'!$B$10:$E$265,4,0)</f>
        <v>6660000</v>
      </c>
      <c r="G19" s="407" t="str">
        <f>VLOOKUP(D19,'[4]Seguimiento Plan'!$C$2:$R$101,16,0)</f>
        <v>Prestar los servicios para la elaboracion del retrato sobre lienzo al oleo del Presidente de la Mesa Directiva del Concejo de Bogota.</v>
      </c>
      <c r="H19" s="407" t="s">
        <v>1775</v>
      </c>
      <c r="I19" s="407" t="s">
        <v>1709</v>
      </c>
      <c r="J19" s="416" t="s">
        <v>908</v>
      </c>
      <c r="K19" s="417"/>
      <c r="L19" s="417"/>
      <c r="M19" s="418"/>
      <c r="N19" s="417"/>
      <c r="O19" s="419"/>
      <c r="P19" s="419"/>
      <c r="Q19" s="419"/>
      <c r="R19" s="420"/>
      <c r="S19" s="420"/>
      <c r="T19" s="421"/>
      <c r="U19" s="423" t="str">
        <f>IF(ISERROR(VLOOKUP(T19,'Base de Datos'!$E$7:$AU$302,3,0))=TRUE," ",(VLOOKUP(T19,'Base de Datos'!$E$7:$AU$302,2,0)))</f>
        <v xml:space="preserve"> </v>
      </c>
      <c r="V19" s="426" t="str">
        <f>IF(ISERROR(VLOOKUP(T19,'Base de Datos'!$E$7:$AU$302,5,0))=TRUE," ",(VLOOKUP(T19,'Base de Datos'!$E$7:$AU$302,5,0)))</f>
        <v xml:space="preserve"> </v>
      </c>
      <c r="W19" s="423" t="str">
        <f>IF(ISERROR(VLOOKUP(T19,'Base de Datos'!$E$7:$AU$302,19,0))=TRUE," ",(VLOOKUP(T19,'Base de Datos'!$E$7:$AU$302,19,0)))</f>
        <v xml:space="preserve"> </v>
      </c>
      <c r="X19" s="428" t="str">
        <f>IF(ISERROR(VLOOKUP(T19,'Base de Datos'!$E$7:$AU$302,8,0))=TRUE," ",(VLOOKUP(T19,'Base de Datos'!$E$7:$AU$302,8,0)))</f>
        <v xml:space="preserve"> </v>
      </c>
      <c r="Y19" s="428" t="str">
        <f>IF(ISERROR(VLOOKUP(T19,'Base de Datos'!$E$7:$AU$302,9,0))=TRUE," ",(VLOOKUP(T19,'Base de Datos'!$E$7:$AU$302,9,0)))</f>
        <v xml:space="preserve"> </v>
      </c>
      <c r="Z19" s="422" t="str">
        <f>IF(ISERROR(VLOOKUP(T19,'Base de Datos'!$E$7:$AU$302,10,0))=TRUE," ",(VLOOKUP(T19,'Base de Datos'!$E$7:$AU$302,10,0)))</f>
        <v xml:space="preserve"> </v>
      </c>
      <c r="AA19" s="425" t="str">
        <f>IF(ISERROR(VLOOKUP(T19,'Base de Datos'!$E$7:$AU$302,11,0))=TRUE," ",(VLOOKUP(T19,'Base de Datos'!$E$7:$AU$302,11,0)))</f>
        <v xml:space="preserve"> </v>
      </c>
      <c r="AB19" s="422" t="str">
        <f>IF(ISERROR(VLOOKUP(T19,'Base de Datos'!$E$7:$AU$302,12,0))=TRUE," ",(VLOOKUP(T19,'Base de Datos'!$E$7:$AU$302,12,0)))</f>
        <v xml:space="preserve"> </v>
      </c>
      <c r="AC19" s="422" t="str">
        <f>IF(ISERROR(VLOOKUP(T19,'Base de Datos'!$E$7:$AU$302,12,0))=TRUE," ",(VLOOKUP(T19,'Base de Datos'!$E$7:$AU$302,12,0)))</f>
        <v xml:space="preserve"> </v>
      </c>
      <c r="AD19" s="428" t="str">
        <f>IF(ISERROR(VLOOKUP(T19,'Base de Datos'!$E$7:$AU$302,15,0))=TRUE," ",(VLOOKUP(T19,'Base de Datos'!$E$7:$AU$302,15,0)))</f>
        <v xml:space="preserve"> </v>
      </c>
      <c r="AE19" s="433" t="str">
        <f>IF(ISERROR(VLOOKUP(T19,'Base de Datos'!$E$7:$AU$302,16,0))=TRUE," ",(VLOOKUP(T19,'Base de Datos'!$E$7:$AU$302,16,0)))</f>
        <v xml:space="preserve"> </v>
      </c>
      <c r="AF19" s="433" t="str">
        <f>IF(ISERROR(VLOOKUP(T19,'Base de Datos'!$E$7:$AU$302,17,0))=TRUE," ",(VLOOKUP(T19,'Base de Datos'!$E$7:$AU$302,17,0)))</f>
        <v xml:space="preserve"> </v>
      </c>
      <c r="AG19" s="433" t="str">
        <f>IF(ISERROR(VLOOKUP(T19,'Base de Datos'!$E$7:$AU$302,18,0))=TRUE," ",(VLOOKUP(T19,'Base de Datos'!$E$7:$AU$302,18,0)))</f>
        <v xml:space="preserve"> </v>
      </c>
      <c r="AH19" s="434" t="str">
        <f>IF(ISERROR(VLOOKUP(T19,'Base de Datos'!$E$7:$AU$302,20,0))=TRUE," ",(VLOOKUP(T19,'Base de Datos'!$E$7:$AU$302,20,0)))</f>
        <v xml:space="preserve"> </v>
      </c>
      <c r="AI19" s="434" t="str">
        <f>IF(ISERROR(VLOOKUP(T19,'Base de Datos'!$E$7:$AU$302,21,0))=TRUE," ",(VLOOKUP(T19,'Base de Datos'!$E$7:$AU$302,21,0)))</f>
        <v xml:space="preserve"> </v>
      </c>
      <c r="AJ19" s="423"/>
      <c r="AK19" s="423" t="str">
        <f>IF(ISERROR(VLOOKUP(D19,'Base de Datos'!$C$7:$AU$400,2,0))=TRUE," ",(VLOOKUP(D19,'Base de Datos'!$C$7:$AU$400,2,0)))</f>
        <v>2015134</v>
      </c>
      <c r="AL19" s="423" t="str">
        <f>IF(ISERROR(VLOOKUP(D19,'Base de Datos'!$C$7:$AU$400,3,0))=TRUE," ",(VLOOKUP(D19,'Base de Datos'!$C$7:$AU$400,3,0)))</f>
        <v>150369-0-2015</v>
      </c>
      <c r="AM19" s="426" t="str">
        <f>IF(ISERROR(VLOOKUP(D19,'Base de Datos'!$C$7:$AU$3761,6,0))=TRUE," ",(VLOOKUP(D19,'Base de Datos'!$C$7:$AU$400,6,0)))</f>
        <v>PRESTAR LOS SERVICIOS PARA LA ELABORACIÓN DEL RETRATO SOBRE LIENZO AL ÓLEO DEL PRESIDENTE DE LA MESA DIRECTIVA DEL CONCEJO DE BOGOTÁ.</v>
      </c>
      <c r="AN19" s="426" t="str">
        <f>IF(ISERROR(VLOOKUP(D19,'Base de Datos'!$C$7:$AU$400,20,0))=TRUE," ",(VLOOKUP(D19,'Base de Datos'!$C$7:$AU$400,19,0)))</f>
        <v/>
      </c>
      <c r="AO19" s="429">
        <f>IF(ISERROR(VLOOKUP(D19,'Base de Datos'!$C$7:$AU$400,9,0))=TRUE," ",(VLOOKUP(D19,'Base de Datos'!$C$7:$AU$400,9,0)))</f>
        <v>2015</v>
      </c>
      <c r="AP19" s="429">
        <f>IF(ISERROR(VLOOKUP(D19,'Base de Datos'!$C$7:$AU$400,10,0))=TRUE," ",(VLOOKUP(D19,'Base de Datos'!$C$7:$AU$400,10,0)))</f>
        <v>42284</v>
      </c>
      <c r="AQ19" s="431">
        <f>IF(ISERROR(VLOOKUP(D19,'Base de Datos'!$C$7:$AU$400,11,0))=TRUE," ",(VLOOKUP(D19,'Base de Datos'!$C$7:$AU$400,11,0)))</f>
        <v>42303</v>
      </c>
      <c r="AR19" s="432">
        <f>IF(ISERROR(VLOOKUP(D19,'Base de Datos'!$C$7:$AU$400,12,0))=TRUE," ",(VLOOKUP(D19,'Base de Datos'!$C$7:$AU$400,12,0)))</f>
        <v>42364</v>
      </c>
      <c r="AS19" s="431" t="str">
        <f>IF(ISERROR(VLOOKUP(D19,'Base de Datos'!$C$7:$AU$400,13,0))=TRUE," ",(VLOOKUP(D19,'Base de Datos'!$C$7:$AU$400,13,0)))</f>
        <v/>
      </c>
      <c r="AT19" s="431">
        <f>IF(ISERROR(VLOOKUP(D19,'Base de Datos'!$C$7:$AU$400,14,0))=TRUE," ",(VLOOKUP(D19,'Base de Datos'!$C$7:$AU$400,14,0)))</f>
        <v>0</v>
      </c>
      <c r="AU19" s="429">
        <f>IF(ISERROR(VLOOKUP(D19,'Base de Datos'!$C$7:$AU$400,16,0))=TRUE," ",(VLOOKUP(D19,'Base de Datos'!$C$7:$AU$400,16,0)))</f>
        <v>0</v>
      </c>
      <c r="AV19" s="433" t="str">
        <f>IF(ISERROR(VLOOKUP(D19,'Base de Datos'!$C$7:$AU$400,17,0))=TRUE," ",(VLOOKUP(D19,'Base de Datos'!$C$7:$AU$400,17,0)))</f>
        <v/>
      </c>
      <c r="AW19" s="433" t="str">
        <f>IF(ISERROR(VLOOKUP(D19,'Base de Datos'!$C$7:$AU$400,18,0))=TRUE," ",(VLOOKUP(D19,'Base de Datos'!$C$7:$AU$400,18,0)))</f>
        <v/>
      </c>
      <c r="AX19" s="433" t="str">
        <f>IF(ISERROR(VLOOKUP(D19,'Base de Datos'!$C$7:$AU$400,19,0))=TRUE," ",(VLOOKUP(D19,'Base de Datos'!$C$7:$AU$400,19,0)))</f>
        <v/>
      </c>
      <c r="AY19" s="436">
        <f>IF(ISERROR(VLOOKUP(D19,'Base de Datos'!$C$7:$AU$400,21,0))=TRUE," ",(VLOOKUP(D19,'Base de Datos'!$C$7:$AU$400,21,0)))</f>
        <v>42364</v>
      </c>
      <c r="AZ19" s="436">
        <f>IF(ISERROR(VLOOKUP(D19,'Base de Datos'!$C$7:$AU$400,22,0))=TRUE," ",(VLOOKUP(D19,'Base de Datos'!$C$7:$AU$400,22,0)))</f>
        <v>6660000</v>
      </c>
      <c r="BA19" s="443"/>
      <c r="BB19" s="453"/>
    </row>
    <row r="20" spans="2:54" ht="55.5" hidden="1" customHeight="1" x14ac:dyDescent="0.3">
      <c r="B20" s="406">
        <v>14</v>
      </c>
      <c r="C20" s="414" t="s">
        <v>1641</v>
      </c>
      <c r="D20" s="406">
        <v>135</v>
      </c>
      <c r="E20" s="414" t="s">
        <v>1642</v>
      </c>
      <c r="F20" s="415">
        <f>VLOOKUP(D20,'Presupuesto - PAA 2015'!$B$10:$E$265,4,0)</f>
        <v>84000000</v>
      </c>
      <c r="G20" s="407" t="str">
        <f>VLOOKUP(D20,'[4]Seguimiento Plan'!$C$2:$R$101,16,0)</f>
        <v>Prestar los servicios profesionales para realizar acompañamiento y seguimiento a los procesos de adquisición de bienes y servicios y seguimiento a la ejecución de contratos para el Concejo de Bogotá D. C.</v>
      </c>
      <c r="H20" s="407" t="s">
        <v>1775</v>
      </c>
      <c r="I20" s="407" t="s">
        <v>1710</v>
      </c>
      <c r="J20" s="416" t="s">
        <v>908</v>
      </c>
      <c r="K20" s="417" t="s">
        <v>390</v>
      </c>
      <c r="L20" s="417" t="str">
        <f>VLOOKUP(D20,'[4]Seguimiento Plan'!$C$2:$AJ$101,30,0)</f>
        <v>SI</v>
      </c>
      <c r="M20" s="418">
        <f>VLOOKUP(D20,'[4]Seguimiento Plan'!$C$2:$AJ$101,31,0)</f>
        <v>42013</v>
      </c>
      <c r="N20" s="417"/>
      <c r="O20" s="419"/>
      <c r="P20" s="419"/>
      <c r="Q20" s="419"/>
      <c r="R20" s="420"/>
      <c r="S20" s="438" t="s">
        <v>1535</v>
      </c>
      <c r="T20" s="318" t="s">
        <v>555</v>
      </c>
      <c r="U20" s="423" t="str">
        <f>IF(ISERROR(VLOOKUP(T20,'Base de Datos'!$E$7:$AU$302,3,0))=TRUE," ",(VLOOKUP(T20,'Base de Datos'!$E$7:$AU$302,2,0)))</f>
        <v>NAYIVE CARRASCO PATIÑO</v>
      </c>
      <c r="V20" s="426">
        <f>IF(ISERROR(VLOOKUP(T20,'Base de Datos'!$E$7:$AU$302,5,0))=TRUE," ",(VLOOKUP(T20,'Base de Datos'!$E$7:$AU$302,5,0)))</f>
        <v>25000000</v>
      </c>
      <c r="W20" s="423">
        <f>IF(ISERROR(VLOOKUP(T20,'Base de Datos'!$E$7:$AU$302,19,0))=TRUE," ",(VLOOKUP(T20,'Base de Datos'!$E$7:$AU$302,19,0)))</f>
        <v>42013</v>
      </c>
      <c r="X20" s="428" t="str">
        <f>IF(ISERROR(VLOOKUP(T20,'Base de Datos'!$E$7:$AU$302,8,0))=TRUE," ",(VLOOKUP(T20,'Base de Datos'!$E$7:$AU$302,8,0)))</f>
        <v xml:space="preserve"> </v>
      </c>
      <c r="Y20" s="428">
        <f>IF(ISERROR(VLOOKUP(T20,'Base de Datos'!$E$7:$AU$302,9,0))=TRUE," ",(VLOOKUP(T20,'Base de Datos'!$E$7:$AU$302,9,0)))</f>
        <v>41891</v>
      </c>
      <c r="Z20" s="422">
        <f>IF(ISERROR(VLOOKUP(T20,'Base de Datos'!$E$7:$AU$302,10,0))=TRUE," ",(VLOOKUP(T20,'Base de Datos'!$E$7:$AU$302,10,0)))</f>
        <v>42013</v>
      </c>
      <c r="AA20" s="425" t="str">
        <f>IF(ISERROR(VLOOKUP(T20,'Base de Datos'!$E$7:$AU$302,11,0))=TRUE," ",(VLOOKUP(T20,'Base de Datos'!$E$7:$AU$302,11,0)))</f>
        <v/>
      </c>
      <c r="AB20" s="422">
        <f>IF(ISERROR(VLOOKUP(T20,'Base de Datos'!$E$7:$AU$302,12,0))=TRUE," ",(VLOOKUP(T20,'Base de Datos'!$E$7:$AU$302,12,0)))</f>
        <v>0</v>
      </c>
      <c r="AC20" s="422">
        <f>IF(ISERROR(VLOOKUP(T20,'Base de Datos'!$E$7:$AU$302,12,0))=TRUE," ",(VLOOKUP(T20,'Base de Datos'!$E$7:$AU$302,12,0)))</f>
        <v>0</v>
      </c>
      <c r="AD20" s="428" t="str">
        <f>IF(ISERROR(VLOOKUP(T20,'Base de Datos'!$E$7:$AU$302,15,0))=TRUE," ",(VLOOKUP(T20,'Base de Datos'!$E$7:$AU$302,15,0)))</f>
        <v/>
      </c>
      <c r="AE20" s="433" t="str">
        <f>IF(ISERROR(VLOOKUP(T20,'Base de Datos'!$E$7:$AU$302,16,0))=TRUE," ",(VLOOKUP(T20,'Base de Datos'!$E$7:$AU$302,16,0)))</f>
        <v/>
      </c>
      <c r="AF20" s="433" t="str">
        <f>IF(ISERROR(VLOOKUP(T20,'Base de Datos'!$E$7:$AU$302,17,0))=TRUE," ",(VLOOKUP(T20,'Base de Datos'!$E$7:$AU$302,17,0)))</f>
        <v/>
      </c>
      <c r="AG20" s="433" t="str">
        <f>IF(ISERROR(VLOOKUP(T20,'Base de Datos'!$E$7:$AU$302,18,0))=TRUE," ",(VLOOKUP(T20,'Base de Datos'!$E$7:$AU$302,18,0)))</f>
        <v/>
      </c>
      <c r="AH20" s="434">
        <f>IF(ISERROR(VLOOKUP(T20,'Base de Datos'!$E$7:$AU$302,20,0))=TRUE," ",(VLOOKUP(T20,'Base de Datos'!$E$7:$AU$302,20,0)))</f>
        <v>25000000</v>
      </c>
      <c r="AI20" s="434">
        <f>IF(ISERROR(VLOOKUP(T20,'Base de Datos'!$E$7:$AU$302,21,0))=TRUE," ",(VLOOKUP(T20,'Base de Datos'!$E$7:$AU$302,21,0)))</f>
        <v>25000000</v>
      </c>
      <c r="AJ20" s="428">
        <v>42027</v>
      </c>
      <c r="AK20" s="423" t="str">
        <f>IF(ISERROR(VLOOKUP(D20,'Base de Datos'!$C$7:$AU$400,2,0))=TRUE," ",(VLOOKUP(D20,'Base de Datos'!$C$7:$AU$400,2,0)))</f>
        <v>2015135</v>
      </c>
      <c r="AL20" s="423" t="str">
        <f>IF(ISERROR(VLOOKUP(D20,'Base de Datos'!$C$7:$AU$400,3,0))=TRUE," ",(VLOOKUP(D20,'Base de Datos'!$C$7:$AU$400,3,0)))</f>
        <v>150028-0-2015</v>
      </c>
      <c r="AM20" s="426" t="str">
        <f>IF(ISERROR(VLOOKUP(D20,'Base de Datos'!$C$7:$AU$3761,6,0))=TRUE," ",(VLOOKUP(D20,'Base de Datos'!$C$7:$AU$400,6,0)))</f>
        <v>Prestar Servicios Profesionales para realizar acompañamiento y seguimiento a los procesos de adquisición de bienes y servicios y seguimiento a la ejecución de contratos para el Concejo de Bogotá, D.C.</v>
      </c>
      <c r="AN20" s="426" t="str">
        <f>IF(ISERROR(VLOOKUP(D20,'Base de Datos'!$C$7:$AU$400,20,0))=TRUE," ",(VLOOKUP(D20,'Base de Datos'!$C$7:$AU$400,19,0)))</f>
        <v/>
      </c>
      <c r="AO20" s="429">
        <f>IF(ISERROR(VLOOKUP(D20,'Base de Datos'!$C$7:$AU$400,9,0))=TRUE," ",(VLOOKUP(D20,'Base de Datos'!$C$7:$AU$400,9,0)))</f>
        <v>2015</v>
      </c>
      <c r="AP20" s="429">
        <f>IF(ISERROR(VLOOKUP(D20,'Base de Datos'!$C$7:$AU$400,10,0))=TRUE," ",(VLOOKUP(D20,'Base de Datos'!$C$7:$AU$400,10,0)))</f>
        <v>42027</v>
      </c>
      <c r="AQ20" s="431">
        <f>IF(ISERROR(VLOOKUP(D20,'Base de Datos'!$C$7:$AU$400,11,0))=TRUE," ",(VLOOKUP(D20,'Base de Datos'!$C$7:$AU$400,11,0)))</f>
        <v>42031</v>
      </c>
      <c r="AR20" s="432">
        <f>IF(ISERROR(VLOOKUP(D20,'Base de Datos'!$C$7:$AU$400,12,0))=TRUE," ",(VLOOKUP(D20,'Base de Datos'!$C$7:$AU$400,12,0)))</f>
        <v>42396</v>
      </c>
      <c r="AS20" s="431" t="str">
        <f>IF(ISERROR(VLOOKUP(D20,'Base de Datos'!$C$7:$AU$400,13,0))=TRUE," ",(VLOOKUP(D20,'Base de Datos'!$C$7:$AU$400,13,0)))</f>
        <v/>
      </c>
      <c r="AT20" s="431">
        <f>IF(ISERROR(VLOOKUP(D20,'Base de Datos'!$C$7:$AU$400,14,0))=TRUE," ",(VLOOKUP(D20,'Base de Datos'!$C$7:$AU$400,14,0)))</f>
        <v>0</v>
      </c>
      <c r="AU20" s="429">
        <f>IF(ISERROR(VLOOKUP(D20,'Base de Datos'!$C$7:$AU$400,16,0))=TRUE," ",(VLOOKUP(D20,'Base de Datos'!$C$7:$AU$400,16,0)))</f>
        <v>0</v>
      </c>
      <c r="AV20" s="433" t="str">
        <f>IF(ISERROR(VLOOKUP(D20,'Base de Datos'!$C$7:$AU$400,17,0))=TRUE," ",(VLOOKUP(D20,'Base de Datos'!$C$7:$AU$400,17,0)))</f>
        <v/>
      </c>
      <c r="AW20" s="433" t="str">
        <f>IF(ISERROR(VLOOKUP(D20,'Base de Datos'!$C$7:$AU$400,18,0))=TRUE," ",(VLOOKUP(D20,'Base de Datos'!$C$7:$AU$400,18,0)))</f>
        <v/>
      </c>
      <c r="AX20" s="433" t="str">
        <f>IF(ISERROR(VLOOKUP(D20,'Base de Datos'!$C$7:$AU$400,19,0))=TRUE," ",(VLOOKUP(D20,'Base de Datos'!$C$7:$AU$400,19,0)))</f>
        <v/>
      </c>
      <c r="AY20" s="436">
        <f>IF(ISERROR(VLOOKUP(D20,'Base de Datos'!$C$7:$AU$400,21,0))=TRUE," ",(VLOOKUP(D20,'Base de Datos'!$C$7:$AU$400,21,0)))</f>
        <v>42396</v>
      </c>
      <c r="AZ20" s="436">
        <f>IF(ISERROR(VLOOKUP(D20,'Base de Datos'!$C$7:$AU$400,22,0))=TRUE," ",(VLOOKUP(D20,'Base de Datos'!$C$7:$AU$400,22,0)))</f>
        <v>84000000</v>
      </c>
      <c r="BA20" s="443"/>
      <c r="BB20" s="453"/>
    </row>
    <row r="21" spans="2:54" ht="55.5" hidden="1" customHeight="1" x14ac:dyDescent="0.3">
      <c r="B21" s="406">
        <v>15</v>
      </c>
      <c r="C21" s="414" t="s">
        <v>1641</v>
      </c>
      <c r="D21" s="406">
        <v>136</v>
      </c>
      <c r="E21" s="414" t="s">
        <v>1642</v>
      </c>
      <c r="F21" s="415">
        <f>VLOOKUP(D21,'Presupuesto - PAA 2015'!$B$10:$E$265,4,0)</f>
        <v>43260000</v>
      </c>
      <c r="G21" s="407" t="str">
        <f>VLOOKUP(D21,'[4]Seguimiento Plan'!$C$2:$R$101,16,0)</f>
        <v>Prestar los servicios profesionales para sistematizar y consolidar la informacion de los trámites contractuales a cargo del proceso administrativo y finanaciero del Concejo de Bogotá</v>
      </c>
      <c r="H21" s="407" t="s">
        <v>1775</v>
      </c>
      <c r="I21" s="407" t="s">
        <v>1710</v>
      </c>
      <c r="J21" s="416" t="s">
        <v>908</v>
      </c>
      <c r="K21" s="417" t="s">
        <v>390</v>
      </c>
      <c r="L21" s="417" t="str">
        <f>VLOOKUP(D21,'[4]Seguimiento Plan'!$C$2:$AJ$101,30,0)</f>
        <v>SI</v>
      </c>
      <c r="M21" s="418">
        <f>VLOOKUP(D21,'[4]Seguimiento Plan'!$C$2:$AJ$101,31,0)</f>
        <v>42025</v>
      </c>
      <c r="N21" s="417"/>
      <c r="O21" s="419"/>
      <c r="P21" s="419"/>
      <c r="Q21" s="419"/>
      <c r="R21" s="497"/>
      <c r="S21" s="324" t="s">
        <v>1556</v>
      </c>
      <c r="T21" s="320" t="s">
        <v>1068</v>
      </c>
      <c r="U21" s="423" t="str">
        <f>IF(ISERROR(VLOOKUP(T21,'Base de Datos'!$E$7:$AU$302,3,0))=TRUE," ",(VLOOKUP(T21,'Base de Datos'!$E$7:$AU$302,2,0)))</f>
        <v>LIZETH  GONZÁLEZ VARGAS</v>
      </c>
      <c r="V21" s="426">
        <f>IF(ISERROR(VLOOKUP(T21,'Base de Datos'!$E$7:$AU$302,5,0))=TRUE," ",(VLOOKUP(T21,'Base de Datos'!$E$7:$AU$302,5,0)))</f>
        <v>17500000</v>
      </c>
      <c r="W21" s="423">
        <f>IF(ISERROR(VLOOKUP(T21,'Base de Datos'!$E$7:$AU$302,19,0))=TRUE," ",(VLOOKUP(T21,'Base de Datos'!$E$7:$AU$302,19,0)))</f>
        <v>42053</v>
      </c>
      <c r="X21" s="428" t="str">
        <f>IF(ISERROR(VLOOKUP(T21,'Base de Datos'!$E$7:$AU$302,8,0))=TRUE," ",(VLOOKUP(T21,'Base de Datos'!$E$7:$AU$302,8,0)))</f>
        <v xml:space="preserve"> </v>
      </c>
      <c r="Y21" s="428">
        <f>IF(ISERROR(VLOOKUP(T21,'Base de Datos'!$E$7:$AU$302,9,0))=TRUE," ",(VLOOKUP(T21,'Base de Datos'!$E$7:$AU$302,9,0)))</f>
        <v>41900</v>
      </c>
      <c r="Z21" s="422">
        <f>IF(ISERROR(VLOOKUP(T21,'Base de Datos'!$E$7:$AU$302,10,0))=TRUE," ",(VLOOKUP(T21,'Base de Datos'!$E$7:$AU$302,10,0)))</f>
        <v>42053</v>
      </c>
      <c r="AA21" s="425" t="str">
        <f>IF(ISERROR(VLOOKUP(T21,'Base de Datos'!$E$7:$AU$302,11,0))=TRUE," ",(VLOOKUP(T21,'Base de Datos'!$E$7:$AU$302,11,0)))</f>
        <v/>
      </c>
      <c r="AB21" s="422">
        <f>IF(ISERROR(VLOOKUP(T21,'Base de Datos'!$E$7:$AU$302,12,0))=TRUE," ",(VLOOKUP(T21,'Base de Datos'!$E$7:$AU$302,12,0)))</f>
        <v>0</v>
      </c>
      <c r="AC21" s="422">
        <f>IF(ISERROR(VLOOKUP(T21,'Base de Datos'!$E$7:$AU$302,12,0))=TRUE," ",(VLOOKUP(T21,'Base de Datos'!$E$7:$AU$302,12,0)))</f>
        <v>0</v>
      </c>
      <c r="AD21" s="428" t="str">
        <f>IF(ISERROR(VLOOKUP(T21,'Base de Datos'!$E$7:$AU$302,15,0))=TRUE," ",(VLOOKUP(T21,'Base de Datos'!$E$7:$AU$302,15,0)))</f>
        <v/>
      </c>
      <c r="AE21" s="433" t="str">
        <f>IF(ISERROR(VLOOKUP(T21,'Base de Datos'!$E$7:$AU$302,16,0))=TRUE," ",(VLOOKUP(T21,'Base de Datos'!$E$7:$AU$302,16,0)))</f>
        <v/>
      </c>
      <c r="AF21" s="433" t="str">
        <f>IF(ISERROR(VLOOKUP(T21,'Base de Datos'!$E$7:$AU$302,17,0))=TRUE," ",(VLOOKUP(T21,'Base de Datos'!$E$7:$AU$302,17,0)))</f>
        <v/>
      </c>
      <c r="AG21" s="433" t="str">
        <f>IF(ISERROR(VLOOKUP(T21,'Base de Datos'!$E$7:$AU$302,18,0))=TRUE," ",(VLOOKUP(T21,'Base de Datos'!$E$7:$AU$302,18,0)))</f>
        <v/>
      </c>
      <c r="AH21" s="434">
        <f>IF(ISERROR(VLOOKUP(T21,'Base de Datos'!$E$7:$AU$302,20,0))=TRUE," ",(VLOOKUP(T21,'Base de Datos'!$E$7:$AU$302,20,0)))</f>
        <v>17500000</v>
      </c>
      <c r="AI21" s="434">
        <f>IF(ISERROR(VLOOKUP(T21,'Base de Datos'!$E$7:$AU$302,21,0))=TRUE," ",(VLOOKUP(T21,'Base de Datos'!$E$7:$AU$302,21,0)))</f>
        <v>17500000</v>
      </c>
      <c r="AJ21" s="428">
        <v>42054</v>
      </c>
      <c r="AK21" s="423" t="str">
        <f>IF(ISERROR(VLOOKUP(D21,'Base de Datos'!$C$7:$AU$400,2,0))=TRUE," ",(VLOOKUP(D21,'Base de Datos'!$C$7:$AU$400,2,0)))</f>
        <v>2015136</v>
      </c>
      <c r="AL21" s="423" t="str">
        <f>IF(ISERROR(VLOOKUP(D21,'Base de Datos'!$C$7:$AU$400,3,0))=TRUE," ",(VLOOKUP(D21,'Base de Datos'!$C$7:$AU$400,3,0)))</f>
        <v>150080-0-2015</v>
      </c>
      <c r="AM21" s="426" t="str">
        <f>IF(ISERROR(VLOOKUP(D21,'Base de Datos'!$C$7:$AU$3761,6,0))=TRUE," ",(VLOOKUP(D21,'Base de Datos'!$C$7:$AU$400,6,0)))</f>
        <v>Prestar los servicios profesionales para sistematizar y consolidar la información de los trámites contractuales a cargo del proceso administrativo y financiero del Concejo de Bogotá, D.C.</v>
      </c>
      <c r="AN21" s="426" t="str">
        <f>IF(ISERROR(VLOOKUP(D21,'Base de Datos'!$C$7:$AU$400,20,0))=TRUE," ",(VLOOKUP(D21,'Base de Datos'!$C$7:$AU$400,19,0)))</f>
        <v/>
      </c>
      <c r="AO21" s="429">
        <f>IF(ISERROR(VLOOKUP(D21,'Base de Datos'!$C$7:$AU$400,9,0))=TRUE," ",(VLOOKUP(D21,'Base de Datos'!$C$7:$AU$400,9,0)))</f>
        <v>2015</v>
      </c>
      <c r="AP21" s="429">
        <f>IF(ISERROR(VLOOKUP(D21,'Base de Datos'!$C$7:$AU$400,10,0))=TRUE," ",(VLOOKUP(D21,'Base de Datos'!$C$7:$AU$400,10,0)))</f>
        <v>42054</v>
      </c>
      <c r="AQ21" s="431">
        <f>IF(ISERROR(VLOOKUP(D21,'Base de Datos'!$C$7:$AU$400,11,0))=TRUE," ",(VLOOKUP(D21,'Base de Datos'!$C$7:$AU$400,11,0)))</f>
        <v>42060</v>
      </c>
      <c r="AR21" s="432">
        <f>IF(ISERROR(VLOOKUP(D21,'Base de Datos'!$C$7:$AU$400,12,0))=TRUE," ",(VLOOKUP(D21,'Base de Datos'!$C$7:$AU$400,12,0)))</f>
        <v>42425</v>
      </c>
      <c r="AS21" s="431" t="str">
        <f>IF(ISERROR(VLOOKUP(D21,'Base de Datos'!$C$7:$AU$400,13,0))=TRUE," ",(VLOOKUP(D21,'Base de Datos'!$C$7:$AU$400,13,0)))</f>
        <v/>
      </c>
      <c r="AT21" s="431">
        <f>IF(ISERROR(VLOOKUP(D21,'Base de Datos'!$C$7:$AU$400,14,0))=TRUE," ",(VLOOKUP(D21,'Base de Datos'!$C$7:$AU$400,14,0)))</f>
        <v>0</v>
      </c>
      <c r="AU21" s="429">
        <f>IF(ISERROR(VLOOKUP(D21,'Base de Datos'!$C$7:$AU$400,16,0))=TRUE," ",(VLOOKUP(D21,'Base de Datos'!$C$7:$AU$400,16,0)))</f>
        <v>0</v>
      </c>
      <c r="AV21" s="433" t="str">
        <f>IF(ISERROR(VLOOKUP(D21,'Base de Datos'!$C$7:$AU$400,17,0))=TRUE," ",(VLOOKUP(D21,'Base de Datos'!$C$7:$AU$400,17,0)))</f>
        <v/>
      </c>
      <c r="AW21" s="433" t="str">
        <f>IF(ISERROR(VLOOKUP(D21,'Base de Datos'!$C$7:$AU$400,18,0))=TRUE," ",(VLOOKUP(D21,'Base de Datos'!$C$7:$AU$400,18,0)))</f>
        <v/>
      </c>
      <c r="AX21" s="433" t="str">
        <f>IF(ISERROR(VLOOKUP(D21,'Base de Datos'!$C$7:$AU$400,19,0))=TRUE," ",(VLOOKUP(D21,'Base de Datos'!$C$7:$AU$400,19,0)))</f>
        <v/>
      </c>
      <c r="AY21" s="436">
        <f>IF(ISERROR(VLOOKUP(D21,'Base de Datos'!$C$7:$AU$400,21,0))=TRUE," ",(VLOOKUP(D21,'Base de Datos'!$C$7:$AU$400,21,0)))</f>
        <v>42425</v>
      </c>
      <c r="AZ21" s="436">
        <f>IF(ISERROR(VLOOKUP(D21,'Base de Datos'!$C$7:$AU$400,22,0))=TRUE," ",(VLOOKUP(D21,'Base de Datos'!$C$7:$AU$400,22,0)))</f>
        <v>43260000</v>
      </c>
      <c r="BA21" s="443"/>
      <c r="BB21" s="453"/>
    </row>
    <row r="22" spans="2:54" ht="55.5" hidden="1" customHeight="1" x14ac:dyDescent="0.3">
      <c r="B22" s="406">
        <v>16</v>
      </c>
      <c r="C22" s="414" t="s">
        <v>1641</v>
      </c>
      <c r="D22" s="406">
        <v>137</v>
      </c>
      <c r="E22" s="414" t="s">
        <v>1642</v>
      </c>
      <c r="F22" s="415">
        <f>VLOOKUP(D22,'Presupuesto - PAA 2015'!$B$10:$E$265,4,0)</f>
        <v>63654000</v>
      </c>
      <c r="G22" s="407" t="str">
        <f>VLOOKUP(D22,'[4]Seguimiento Plan'!$C$2:$R$101,16,0)</f>
        <v>Prestar los servicios profesionales para acompañar la definición de especificaciones y condiciones técnicas para la adquisición de bienes y servicios relacionadas con tecnología e informática</v>
      </c>
      <c r="H22" s="407" t="s">
        <v>1775</v>
      </c>
      <c r="I22" s="407" t="s">
        <v>1710</v>
      </c>
      <c r="J22" s="416" t="s">
        <v>908</v>
      </c>
      <c r="K22" s="417" t="s">
        <v>390</v>
      </c>
      <c r="L22" s="417" t="str">
        <f>VLOOKUP(D22,'[4]Seguimiento Plan'!$C$2:$AJ$101,30,0)</f>
        <v>SI</v>
      </c>
      <c r="M22" s="418">
        <f>VLOOKUP(D22,'[4]Seguimiento Plan'!$C$2:$AJ$101,31,0)</f>
        <v>42025</v>
      </c>
      <c r="N22" s="417"/>
      <c r="O22" s="419"/>
      <c r="P22" s="419"/>
      <c r="Q22" s="419"/>
      <c r="R22" s="497"/>
      <c r="S22" s="324" t="s">
        <v>1551</v>
      </c>
      <c r="T22" s="421"/>
      <c r="U22" s="423" t="str">
        <f>IF(ISERROR(VLOOKUP(T22,'Base de Datos'!$E$7:$AU$302,3,0))=TRUE," ",(VLOOKUP(T22,'Base de Datos'!$E$7:$AU$302,2,0)))</f>
        <v xml:space="preserve"> </v>
      </c>
      <c r="V22" s="426" t="str">
        <f>IF(ISERROR(VLOOKUP(T22,'Base de Datos'!$E$7:$AU$302,5,0))=TRUE," ",(VLOOKUP(T22,'Base de Datos'!$E$7:$AU$302,5,0)))</f>
        <v xml:space="preserve"> </v>
      </c>
      <c r="W22" s="423" t="str">
        <f>IF(ISERROR(VLOOKUP(T22,'Base de Datos'!$E$7:$AU$302,19,0))=TRUE," ",(VLOOKUP(T22,'Base de Datos'!$E$7:$AU$302,19,0)))</f>
        <v xml:space="preserve"> </v>
      </c>
      <c r="X22" s="428" t="str">
        <f>IF(ISERROR(VLOOKUP(T22,'Base de Datos'!$E$7:$AU$302,8,0))=TRUE," ",(VLOOKUP(T22,'Base de Datos'!$E$7:$AU$302,8,0)))</f>
        <v xml:space="preserve"> </v>
      </c>
      <c r="Y22" s="428" t="str">
        <f>IF(ISERROR(VLOOKUP(T22,'Base de Datos'!$E$7:$AU$302,9,0))=TRUE," ",(VLOOKUP(T22,'Base de Datos'!$E$7:$AU$302,9,0)))</f>
        <v xml:space="preserve"> </v>
      </c>
      <c r="Z22" s="422" t="str">
        <f>IF(ISERROR(VLOOKUP(T22,'Base de Datos'!$E$7:$AU$302,10,0))=TRUE," ",(VLOOKUP(T22,'Base de Datos'!$E$7:$AU$302,10,0)))</f>
        <v xml:space="preserve"> </v>
      </c>
      <c r="AA22" s="425" t="str">
        <f>IF(ISERROR(VLOOKUP(T22,'Base de Datos'!$E$7:$AU$302,11,0))=TRUE," ",(VLOOKUP(T22,'Base de Datos'!$E$7:$AU$302,11,0)))</f>
        <v xml:space="preserve"> </v>
      </c>
      <c r="AB22" s="422" t="str">
        <f>IF(ISERROR(VLOOKUP(T22,'Base de Datos'!$E$7:$AU$302,12,0))=TRUE," ",(VLOOKUP(T22,'Base de Datos'!$E$7:$AU$302,12,0)))</f>
        <v xml:space="preserve"> </v>
      </c>
      <c r="AC22" s="422" t="str">
        <f>IF(ISERROR(VLOOKUP(T22,'Base de Datos'!$E$7:$AU$302,12,0))=TRUE," ",(VLOOKUP(T22,'Base de Datos'!$E$7:$AU$302,12,0)))</f>
        <v xml:space="preserve"> </v>
      </c>
      <c r="AD22" s="428" t="str">
        <f>IF(ISERROR(VLOOKUP(T22,'Base de Datos'!$E$7:$AU$302,15,0))=TRUE," ",(VLOOKUP(T22,'Base de Datos'!$E$7:$AU$302,15,0)))</f>
        <v xml:space="preserve"> </v>
      </c>
      <c r="AE22" s="433" t="str">
        <f>IF(ISERROR(VLOOKUP(T22,'Base de Datos'!$E$7:$AU$302,16,0))=TRUE," ",(VLOOKUP(T22,'Base de Datos'!$E$7:$AU$302,16,0)))</f>
        <v xml:space="preserve"> </v>
      </c>
      <c r="AF22" s="433" t="str">
        <f>IF(ISERROR(VLOOKUP(T22,'Base de Datos'!$E$7:$AU$302,17,0))=TRUE," ",(VLOOKUP(T22,'Base de Datos'!$E$7:$AU$302,17,0)))</f>
        <v xml:space="preserve"> </v>
      </c>
      <c r="AG22" s="433" t="str">
        <f>IF(ISERROR(VLOOKUP(T22,'Base de Datos'!$E$7:$AU$302,18,0))=TRUE," ",(VLOOKUP(T22,'Base de Datos'!$E$7:$AU$302,18,0)))</f>
        <v xml:space="preserve"> </v>
      </c>
      <c r="AH22" s="434" t="str">
        <f>IF(ISERROR(VLOOKUP(T22,'Base de Datos'!$E$7:$AU$302,20,0))=TRUE," ",(VLOOKUP(T22,'Base de Datos'!$E$7:$AU$302,20,0)))</f>
        <v xml:space="preserve"> </v>
      </c>
      <c r="AI22" s="434" t="str">
        <f>IF(ISERROR(VLOOKUP(T22,'Base de Datos'!$E$7:$AU$302,21,0))=TRUE," ",(VLOOKUP(T22,'Base de Datos'!$E$7:$AU$302,21,0)))</f>
        <v xml:space="preserve"> </v>
      </c>
      <c r="AJ22" s="428">
        <v>42044</v>
      </c>
      <c r="AK22" s="423" t="str">
        <f>IF(ISERROR(VLOOKUP(D22,'Base de Datos'!$C$7:$AU$400,2,0))=TRUE," ",(VLOOKUP(D22,'Base de Datos'!$C$7:$AU$400,2,0)))</f>
        <v>2015137</v>
      </c>
      <c r="AL22" s="423" t="str">
        <f>IF(ISERROR(VLOOKUP(D22,'Base de Datos'!$C$7:$AU$400,3,0))=TRUE," ",(VLOOKUP(D22,'Base de Datos'!$C$7:$AU$400,3,0)))</f>
        <v>150053-0-2015</v>
      </c>
      <c r="AM22" s="426" t="str">
        <f>IF(ISERROR(VLOOKUP(D22,'Base de Datos'!$C$7:$AU$3761,6,0))=TRUE," ",(VLOOKUP(D22,'Base de Datos'!$C$7:$AU$400,6,0)))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26" t="str">
        <f>IF(ISERROR(VLOOKUP(D22,'Base de Datos'!$C$7:$AU$400,20,0))=TRUE," ",(VLOOKUP(D22,'Base de Datos'!$C$7:$AU$400,19,0)))</f>
        <v/>
      </c>
      <c r="AO22" s="429">
        <f>IF(ISERROR(VLOOKUP(D22,'Base de Datos'!$C$7:$AU$400,9,0))=TRUE," ",(VLOOKUP(D22,'Base de Datos'!$C$7:$AU$400,9,0)))</f>
        <v>2015</v>
      </c>
      <c r="AP22" s="429">
        <f>IF(ISERROR(VLOOKUP(D22,'Base de Datos'!$C$7:$AU$400,10,0))=TRUE," ",(VLOOKUP(D22,'Base de Datos'!$C$7:$AU$400,10,0)))</f>
        <v>42044</v>
      </c>
      <c r="AQ22" s="431">
        <f>IF(ISERROR(VLOOKUP(D22,'Base de Datos'!$C$7:$AU$400,11,0))=TRUE," ",(VLOOKUP(D22,'Base de Datos'!$C$7:$AU$400,11,0)))</f>
        <v>42045</v>
      </c>
      <c r="AR22" s="432">
        <f>IF(ISERROR(VLOOKUP(D22,'Base de Datos'!$C$7:$AU$400,12,0))=TRUE," ",(VLOOKUP(D22,'Base de Datos'!$C$7:$AU$400,12,0)))</f>
        <v>42379</v>
      </c>
      <c r="AS22" s="431" t="str">
        <f>IF(ISERROR(VLOOKUP(D22,'Base de Datos'!$C$7:$AU$400,13,0))=TRUE," ",(VLOOKUP(D22,'Base de Datos'!$C$7:$AU$400,13,0)))</f>
        <v/>
      </c>
      <c r="AT22" s="431">
        <f>IF(ISERROR(VLOOKUP(D22,'Base de Datos'!$C$7:$AU$400,14,0))=TRUE," ",(VLOOKUP(D22,'Base de Datos'!$C$7:$AU$400,14,0)))</f>
        <v>0</v>
      </c>
      <c r="AU22" s="429">
        <f>IF(ISERROR(VLOOKUP(D22,'Base de Datos'!$C$7:$AU$400,16,0))=TRUE," ",(VLOOKUP(D22,'Base de Datos'!$C$7:$AU$400,16,0)))</f>
        <v>1</v>
      </c>
      <c r="AV22" s="433" t="str">
        <f>IF(ISERROR(VLOOKUP(D22,'Base de Datos'!$C$7:$AU$400,17,0))=TRUE," ",(VLOOKUP(D22,'Base de Datos'!$C$7:$AU$400,17,0)))</f>
        <v>1 mes</v>
      </c>
      <c r="AW22" s="433">
        <f>IF(ISERROR(VLOOKUP(D22,'Base de Datos'!$C$7:$AU$400,18,0))=TRUE," ",(VLOOKUP(D22,'Base de Datos'!$C$7:$AU$400,18,0)))</f>
        <v>42410</v>
      </c>
      <c r="AX22" s="433" t="str">
        <f>IF(ISERROR(VLOOKUP(D22,'Base de Datos'!$C$7:$AU$400,19,0))=TRUE," ",(VLOOKUP(D22,'Base de Datos'!$C$7:$AU$400,19,0)))</f>
        <v/>
      </c>
      <c r="AY22" s="436">
        <f>IF(ISERROR(VLOOKUP(D22,'Base de Datos'!$C$7:$AU$400,21,0))=TRUE," ",(VLOOKUP(D22,'Base de Datos'!$C$7:$AU$400,21,0)))</f>
        <v>42410</v>
      </c>
      <c r="AZ22" s="436">
        <f>IF(ISERROR(VLOOKUP(D22,'Base de Datos'!$C$7:$AU$400,22,0))=TRUE," ",(VLOOKUP(D22,'Base de Datos'!$C$7:$AU$400,22,0)))</f>
        <v>63654000</v>
      </c>
      <c r="BA22" s="443"/>
      <c r="BB22" s="453"/>
    </row>
    <row r="23" spans="2:54" ht="71.25" hidden="1" customHeight="1" x14ac:dyDescent="0.3">
      <c r="B23" s="406">
        <v>17</v>
      </c>
      <c r="C23" s="414" t="s">
        <v>1641</v>
      </c>
      <c r="D23" s="406">
        <v>274</v>
      </c>
      <c r="E23" s="414" t="s">
        <v>1644</v>
      </c>
      <c r="F23" s="415">
        <f>VLOOKUP(D23,'Presupuesto - PAA 2015'!$B$10:$E$265,4,0)</f>
        <v>18000000</v>
      </c>
      <c r="G23" s="407" t="str">
        <f>VLOOKUP(D23,'[4]Seguimiento Plan'!$C$2:$R$101,16,0)</f>
        <v>Prestar los servicios de apoyo al Concejo de Bogota D.C., en la elaboracion y actualizacion  para el control en el proceso de depuracion y actualizacion de la normativa de los acuerdos Distritales.</v>
      </c>
      <c r="H23" s="407" t="s">
        <v>1775</v>
      </c>
      <c r="I23" s="407" t="s">
        <v>1709</v>
      </c>
      <c r="J23" s="416" t="s">
        <v>908</v>
      </c>
      <c r="K23" s="417" t="s">
        <v>390</v>
      </c>
      <c r="L23" s="417" t="str">
        <f>VLOOKUP(D23,'[4]Seguimiento Plan'!$C$2:$AJ$101,30,0)</f>
        <v>SI</v>
      </c>
      <c r="M23" s="418"/>
      <c r="N23" s="417"/>
      <c r="O23" s="419"/>
      <c r="P23" s="419"/>
      <c r="Q23" s="419"/>
      <c r="R23" s="420"/>
      <c r="S23" s="420"/>
      <c r="T23" s="421"/>
      <c r="U23" s="423" t="str">
        <f>IF(ISERROR(VLOOKUP(T23,'Base de Datos'!$E$7:$AU$302,3,0))=TRUE," ",(VLOOKUP(T23,'Base de Datos'!$E$7:$AU$302,2,0)))</f>
        <v xml:space="preserve"> </v>
      </c>
      <c r="V23" s="426" t="str">
        <f>IF(ISERROR(VLOOKUP(T23,'Base de Datos'!$E$7:$AU$302,5,0))=TRUE," ",(VLOOKUP(T23,'Base de Datos'!$E$7:$AU$302,5,0)))</f>
        <v xml:space="preserve"> </v>
      </c>
      <c r="W23" s="423" t="str">
        <f>IF(ISERROR(VLOOKUP(T23,'Base de Datos'!$E$7:$AU$302,19,0))=TRUE," ",(VLOOKUP(T23,'Base de Datos'!$E$7:$AU$302,19,0)))</f>
        <v xml:space="preserve"> </v>
      </c>
      <c r="X23" s="428" t="str">
        <f>IF(ISERROR(VLOOKUP(T23,'Base de Datos'!$E$7:$AU$302,8,0))=TRUE," ",(VLOOKUP(T23,'Base de Datos'!$E$7:$AU$302,8,0)))</f>
        <v xml:space="preserve"> </v>
      </c>
      <c r="Y23" s="428" t="str">
        <f>IF(ISERROR(VLOOKUP(T23,'Base de Datos'!$E$7:$AU$302,9,0))=TRUE," ",(VLOOKUP(T23,'Base de Datos'!$E$7:$AU$302,9,0)))</f>
        <v xml:space="preserve"> </v>
      </c>
      <c r="Z23" s="422" t="str">
        <f>IF(ISERROR(VLOOKUP(T23,'Base de Datos'!$E$7:$AU$302,10,0))=TRUE," ",(VLOOKUP(T23,'Base de Datos'!$E$7:$AU$302,10,0)))</f>
        <v xml:space="preserve"> </v>
      </c>
      <c r="AA23" s="425" t="str">
        <f>IF(ISERROR(VLOOKUP(T23,'Base de Datos'!$E$7:$AU$302,11,0))=TRUE," ",(VLOOKUP(T23,'Base de Datos'!$E$7:$AU$302,11,0)))</f>
        <v xml:space="preserve"> </v>
      </c>
      <c r="AB23" s="422" t="str">
        <f>IF(ISERROR(VLOOKUP(T23,'Base de Datos'!$E$7:$AU$302,12,0))=TRUE," ",(VLOOKUP(T23,'Base de Datos'!$E$7:$AU$302,12,0)))</f>
        <v xml:space="preserve"> </v>
      </c>
      <c r="AC23" s="422" t="str">
        <f>IF(ISERROR(VLOOKUP(T23,'Base de Datos'!$E$7:$AU$302,12,0))=TRUE," ",(VLOOKUP(T23,'Base de Datos'!$E$7:$AU$302,12,0)))</f>
        <v xml:space="preserve"> </v>
      </c>
      <c r="AD23" s="428" t="str">
        <f>IF(ISERROR(VLOOKUP(T23,'Base de Datos'!$E$7:$AU$302,15,0))=TRUE," ",(VLOOKUP(T23,'Base de Datos'!$E$7:$AU$302,15,0)))</f>
        <v xml:space="preserve"> </v>
      </c>
      <c r="AE23" s="433" t="str">
        <f>IF(ISERROR(VLOOKUP(T23,'Base de Datos'!$E$7:$AU$302,16,0))=TRUE," ",(VLOOKUP(T23,'Base de Datos'!$E$7:$AU$302,16,0)))</f>
        <v xml:space="preserve"> </v>
      </c>
      <c r="AF23" s="433" t="str">
        <f>IF(ISERROR(VLOOKUP(T23,'Base de Datos'!$E$7:$AU$302,17,0))=TRUE," ",(VLOOKUP(T23,'Base de Datos'!$E$7:$AU$302,17,0)))</f>
        <v xml:space="preserve"> </v>
      </c>
      <c r="AG23" s="433" t="str">
        <f>IF(ISERROR(VLOOKUP(T23,'Base de Datos'!$E$7:$AU$302,18,0))=TRUE," ",(VLOOKUP(T23,'Base de Datos'!$E$7:$AU$302,18,0)))</f>
        <v xml:space="preserve"> </v>
      </c>
      <c r="AH23" s="434" t="str">
        <f>IF(ISERROR(VLOOKUP(T23,'Base de Datos'!$E$7:$AU$302,20,0))=TRUE," ",(VLOOKUP(T23,'Base de Datos'!$E$7:$AU$302,20,0)))</f>
        <v xml:space="preserve"> </v>
      </c>
      <c r="AI23" s="434" t="str">
        <f>IF(ISERROR(VLOOKUP(T23,'Base de Datos'!$E$7:$AU$302,21,0))=TRUE," ",(VLOOKUP(T23,'Base de Datos'!$E$7:$AU$302,21,0)))</f>
        <v xml:space="preserve"> </v>
      </c>
      <c r="AJ23" s="437">
        <v>42130</v>
      </c>
      <c r="AK23" s="423" t="str">
        <f>IF(ISERROR(VLOOKUP(D23,'Base de Datos'!$C$7:$AU$400,2,0))=TRUE," ",(VLOOKUP(D23,'Base de Datos'!$C$7:$AU$400,2,0)))</f>
        <v>2015274</v>
      </c>
      <c r="AL23" s="423" t="str">
        <f>IF(ISERROR(VLOOKUP(D23,'Base de Datos'!$C$7:$AU$400,3,0))=TRUE," ",(VLOOKUP(D23,'Base de Datos'!$C$7:$AU$400,3,0)))</f>
        <v>150214-0-2015</v>
      </c>
      <c r="AM23" s="426" t="str">
        <f>IF(ISERROR(VLOOKUP(D23,'Base de Datos'!$C$7:$AU$3761,6,0))=TRUE," ",(VLOOKUP(D23,'Base de Datos'!$C$7:$AU$400,6,0)))</f>
        <v>Prestar servicios de apoyo al Concejo de Bogotá D.C., en la elaboración y actualización de las bases de datos para el control y depuración de los acuerdos distritales.</v>
      </c>
      <c r="AN23" s="426" t="str">
        <f>IF(ISERROR(VLOOKUP(D23,'Base de Datos'!$C$7:$AU$400,20,0))=TRUE," ",(VLOOKUP(D23,'Base de Datos'!$C$7:$AU$400,19,0)))</f>
        <v/>
      </c>
      <c r="AO23" s="429">
        <f>IF(ISERROR(VLOOKUP(D23,'Base de Datos'!$C$7:$AU$400,9,0))=TRUE," ",(VLOOKUP(D23,'Base de Datos'!$C$7:$AU$400,9,0)))</f>
        <v>2015</v>
      </c>
      <c r="AP23" s="429">
        <f>IF(ISERROR(VLOOKUP(D23,'Base de Datos'!$C$7:$AU$400,10,0))=TRUE," ",(VLOOKUP(D23,'Base de Datos'!$C$7:$AU$400,10,0)))</f>
        <v>42130</v>
      </c>
      <c r="AQ23" s="431">
        <f>IF(ISERROR(VLOOKUP(D23,'Base de Datos'!$C$7:$AU$400,11,0))=TRUE," ",(VLOOKUP(D23,'Base de Datos'!$C$7:$AU$400,11,0)))</f>
        <v>42137</v>
      </c>
      <c r="AR23" s="432">
        <f>IF(ISERROR(VLOOKUP(D23,'Base de Datos'!$C$7:$AU$400,12,0))=TRUE," ",(VLOOKUP(D23,'Base de Datos'!$C$7:$AU$400,12,0)))</f>
        <v>42413</v>
      </c>
      <c r="AS23" s="431" t="str">
        <f>IF(ISERROR(VLOOKUP(D23,'Base de Datos'!$C$7:$AU$400,13,0))=TRUE," ",(VLOOKUP(D23,'Base de Datos'!$C$7:$AU$400,13,0)))</f>
        <v/>
      </c>
      <c r="AT23" s="431">
        <f>IF(ISERROR(VLOOKUP(D23,'Base de Datos'!$C$7:$AU$400,14,0))=TRUE," ",(VLOOKUP(D23,'Base de Datos'!$C$7:$AU$400,14,0)))</f>
        <v>0</v>
      </c>
      <c r="AU23" s="429">
        <f>IF(ISERROR(VLOOKUP(D23,'Base de Datos'!$C$7:$AU$400,16,0))=TRUE," ",(VLOOKUP(D23,'Base de Datos'!$C$7:$AU$400,16,0)))</f>
        <v>0</v>
      </c>
      <c r="AV23" s="433" t="str">
        <f>IF(ISERROR(VLOOKUP(D23,'Base de Datos'!$C$7:$AU$400,17,0))=TRUE," ",(VLOOKUP(D23,'Base de Datos'!$C$7:$AU$400,17,0)))</f>
        <v/>
      </c>
      <c r="AW23" s="433" t="str">
        <f>IF(ISERROR(VLOOKUP(D23,'Base de Datos'!$C$7:$AU$400,18,0))=TRUE," ",(VLOOKUP(D23,'Base de Datos'!$C$7:$AU$400,18,0)))</f>
        <v/>
      </c>
      <c r="AX23" s="433" t="str">
        <f>IF(ISERROR(VLOOKUP(D23,'Base de Datos'!$C$7:$AU$400,19,0))=TRUE," ",(VLOOKUP(D23,'Base de Datos'!$C$7:$AU$400,19,0)))</f>
        <v/>
      </c>
      <c r="AY23" s="436">
        <f>IF(ISERROR(VLOOKUP(D23,'Base de Datos'!$C$7:$AU$400,21,0))=TRUE," ",(VLOOKUP(D23,'Base de Datos'!$C$7:$AU$400,21,0)))</f>
        <v>42413</v>
      </c>
      <c r="AZ23" s="436">
        <f>IF(ISERROR(VLOOKUP(D23,'Base de Datos'!$C$7:$AU$400,22,0))=TRUE," ",(VLOOKUP(D23,'Base de Datos'!$C$7:$AU$400,22,0)))</f>
        <v>18000000</v>
      </c>
      <c r="BA23" s="443"/>
      <c r="BB23" s="453"/>
    </row>
    <row r="24" spans="2:54" ht="55.5" hidden="1" customHeight="1" x14ac:dyDescent="0.3">
      <c r="B24" s="406">
        <v>18</v>
      </c>
      <c r="C24" s="414" t="s">
        <v>1641</v>
      </c>
      <c r="D24" s="406">
        <v>53</v>
      </c>
      <c r="E24" s="414" t="s">
        <v>1647</v>
      </c>
      <c r="F24" s="415" t="str">
        <f>VLOOKUP(D24,'Presupuesto - PAA 2015'!$B$10:$E$265,4,0)</f>
        <v>Se unifican 53 y 56</v>
      </c>
      <c r="G24" s="407" t="str">
        <f>VLOOKUP(D24,'[4]Seguimiento Plan'!$C$2:$R$101,16,0)</f>
        <v>Prestar el servicio integral de servicios de impresión para la Secretaría Distrital de Hacienda y el Concejo de Bogotá.</v>
      </c>
      <c r="H24" s="407" t="s">
        <v>1776</v>
      </c>
      <c r="I24" s="407" t="s">
        <v>1709</v>
      </c>
      <c r="J24" s="416" t="s">
        <v>1733</v>
      </c>
      <c r="K24" s="417" t="s">
        <v>390</v>
      </c>
      <c r="L24" s="417" t="str">
        <f>VLOOKUP(D24,'[4]Seguimiento Plan'!$C$2:$AJ$101,30,0)</f>
        <v>SI</v>
      </c>
      <c r="M24" s="418">
        <f>VLOOKUP(D24,'[4]Seguimiento Plan'!$C$2:$AJ$101,31,0)</f>
        <v>42009</v>
      </c>
      <c r="N24" s="417" t="s">
        <v>1796</v>
      </c>
      <c r="O24" s="419"/>
      <c r="P24" s="419"/>
      <c r="Q24" s="419"/>
      <c r="R24" s="420"/>
      <c r="S24" s="420"/>
      <c r="T24" s="421"/>
      <c r="U24" s="423" t="str">
        <f>IF(ISERROR(VLOOKUP(T24,'Base de Datos'!$E$7:$AU$302,3,0))=TRUE," ",(VLOOKUP(T24,'Base de Datos'!$E$7:$AU$302,2,0)))</f>
        <v xml:space="preserve"> </v>
      </c>
      <c r="V24" s="426" t="str">
        <f>IF(ISERROR(VLOOKUP(T24,'Base de Datos'!$E$7:$AU$302,5,0))=TRUE," ",(VLOOKUP(T24,'Base de Datos'!$E$7:$AU$302,5,0)))</f>
        <v xml:space="preserve"> </v>
      </c>
      <c r="W24" s="423" t="str">
        <f>IF(ISERROR(VLOOKUP(T24,'Base de Datos'!$E$7:$AU$302,19,0))=TRUE," ",(VLOOKUP(T24,'Base de Datos'!$E$7:$AU$302,19,0)))</f>
        <v xml:space="preserve"> </v>
      </c>
      <c r="X24" s="428" t="str">
        <f>IF(ISERROR(VLOOKUP(T24,'Base de Datos'!$E$7:$AU$302,8,0))=TRUE," ",(VLOOKUP(T24,'Base de Datos'!$E$7:$AU$302,8,0)))</f>
        <v xml:space="preserve"> </v>
      </c>
      <c r="Y24" s="428" t="str">
        <f>IF(ISERROR(VLOOKUP(T24,'Base de Datos'!$E$7:$AU$302,9,0))=TRUE," ",(VLOOKUP(T24,'Base de Datos'!$E$7:$AU$302,9,0)))</f>
        <v xml:space="preserve"> </v>
      </c>
      <c r="Z24" s="422" t="str">
        <f>IF(ISERROR(VLOOKUP(T24,'Base de Datos'!$E$7:$AU$302,10,0))=TRUE," ",(VLOOKUP(T24,'Base de Datos'!$E$7:$AU$302,10,0)))</f>
        <v xml:space="preserve"> </v>
      </c>
      <c r="AA24" s="425" t="str">
        <f>IF(ISERROR(VLOOKUP(T24,'Base de Datos'!$E$7:$AU$302,11,0))=TRUE," ",(VLOOKUP(T24,'Base de Datos'!$E$7:$AU$302,11,0)))</f>
        <v xml:space="preserve"> </v>
      </c>
      <c r="AB24" s="422" t="str">
        <f>IF(ISERROR(VLOOKUP(T24,'Base de Datos'!$E$7:$AU$302,12,0))=TRUE," ",(VLOOKUP(T24,'Base de Datos'!$E$7:$AU$302,12,0)))</f>
        <v xml:space="preserve"> </v>
      </c>
      <c r="AC24" s="422" t="str">
        <f>IF(ISERROR(VLOOKUP(T24,'Base de Datos'!$E$7:$AU$302,12,0))=TRUE," ",(VLOOKUP(T24,'Base de Datos'!$E$7:$AU$302,12,0)))</f>
        <v xml:space="preserve"> </v>
      </c>
      <c r="AD24" s="428" t="str">
        <f>IF(ISERROR(VLOOKUP(T24,'Base de Datos'!$E$7:$AU$302,15,0))=TRUE," ",(VLOOKUP(T24,'Base de Datos'!$E$7:$AU$302,15,0)))</f>
        <v xml:space="preserve"> </v>
      </c>
      <c r="AE24" s="433" t="str">
        <f>IF(ISERROR(VLOOKUP(T24,'Base de Datos'!$E$7:$AU$302,16,0))=TRUE," ",(VLOOKUP(T24,'Base de Datos'!$E$7:$AU$302,16,0)))</f>
        <v xml:space="preserve"> </v>
      </c>
      <c r="AF24" s="433" t="str">
        <f>IF(ISERROR(VLOOKUP(T24,'Base de Datos'!$E$7:$AU$302,17,0))=TRUE," ",(VLOOKUP(T24,'Base de Datos'!$E$7:$AU$302,17,0)))</f>
        <v xml:space="preserve"> </v>
      </c>
      <c r="AG24" s="433" t="str">
        <f>IF(ISERROR(VLOOKUP(T24,'Base de Datos'!$E$7:$AU$302,18,0))=TRUE," ",(VLOOKUP(T24,'Base de Datos'!$E$7:$AU$302,18,0)))</f>
        <v xml:space="preserve"> </v>
      </c>
      <c r="AH24" s="434" t="str">
        <f>IF(ISERROR(VLOOKUP(T24,'Base de Datos'!$E$7:$AU$302,20,0))=TRUE," ",(VLOOKUP(T24,'Base de Datos'!$E$7:$AU$302,20,0)))</f>
        <v xml:space="preserve"> </v>
      </c>
      <c r="AI24" s="434" t="str">
        <f>IF(ISERROR(VLOOKUP(T24,'Base de Datos'!$E$7:$AU$302,21,0))=TRUE," ",(VLOOKUP(T24,'Base de Datos'!$E$7:$AU$302,21,0)))</f>
        <v xml:space="preserve"> </v>
      </c>
      <c r="AJ24" s="423"/>
      <c r="AK24" s="423" t="str">
        <f>IF(ISERROR(VLOOKUP(D24,'Base de Datos'!$C$7:$AU$400,2,0))=TRUE," ",(VLOOKUP(D24,'Base de Datos'!$C$7:$AU$400,2,0)))</f>
        <v xml:space="preserve"> </v>
      </c>
      <c r="AL24" s="423" t="str">
        <f>IF(ISERROR(VLOOKUP(D24,'Base de Datos'!$C$7:$AU$400,3,0))=TRUE," ",(VLOOKUP(D24,'Base de Datos'!$C$7:$AU$400,3,0)))</f>
        <v xml:space="preserve"> </v>
      </c>
      <c r="AM24" s="426" t="e">
        <f>IF(ISERROR(VLOOKUP(D24,'Base de Datos'!$C$7:$AU$3761,6,0))=TRUE," ",(VLOOKUP(D24,'Base de Datos'!$C$7:$AU$400,6,0)))</f>
        <v>#N/A</v>
      </c>
      <c r="AN24" s="426" t="str">
        <f>IF(ISERROR(VLOOKUP(D24,'Base de Datos'!$C$7:$AU$400,20,0))=TRUE," ",(VLOOKUP(D24,'Base de Datos'!$C$7:$AU$400,19,0)))</f>
        <v xml:space="preserve"> </v>
      </c>
      <c r="AO24" s="429" t="str">
        <f>IF(ISERROR(VLOOKUP(D24,'Base de Datos'!$C$7:$AU$400,9,0))=TRUE," ",(VLOOKUP(D24,'Base de Datos'!$C$7:$AU$400,9,0)))</f>
        <v xml:space="preserve"> </v>
      </c>
      <c r="AP24" s="429" t="str">
        <f>IF(ISERROR(VLOOKUP(D24,'Base de Datos'!$C$7:$AU$400,10,0))=TRUE," ",(VLOOKUP(D24,'Base de Datos'!$C$7:$AU$400,10,0)))</f>
        <v xml:space="preserve"> </v>
      </c>
      <c r="AQ24" s="431" t="str">
        <f>IF(ISERROR(VLOOKUP(D24,'Base de Datos'!$C$7:$AU$400,11,0))=TRUE," ",(VLOOKUP(D24,'Base de Datos'!$C$7:$AU$400,11,0)))</f>
        <v xml:space="preserve"> </v>
      </c>
      <c r="AR24" s="432" t="str">
        <f>IF(ISERROR(VLOOKUP(D24,'Base de Datos'!$C$7:$AU$400,12,0))=TRUE," ",(VLOOKUP(D24,'Base de Datos'!$C$7:$AU$400,12,0)))</f>
        <v xml:space="preserve"> </v>
      </c>
      <c r="AS24" s="431" t="str">
        <f>IF(ISERROR(VLOOKUP(D24,'Base de Datos'!$C$7:$AU$400,13,0))=TRUE," ",(VLOOKUP(D24,'Base de Datos'!$C$7:$AU$400,13,0)))</f>
        <v xml:space="preserve"> </v>
      </c>
      <c r="AT24" s="431" t="str">
        <f>IF(ISERROR(VLOOKUP(D24,'Base de Datos'!$C$7:$AU$400,14,0))=TRUE," ",(VLOOKUP(D24,'Base de Datos'!$C$7:$AU$400,14,0)))</f>
        <v xml:space="preserve"> </v>
      </c>
      <c r="AU24" s="429" t="str">
        <f>IF(ISERROR(VLOOKUP(D24,'Base de Datos'!$C$7:$AU$400,16,0))=TRUE," ",(VLOOKUP(D24,'Base de Datos'!$C$7:$AU$400,16,0)))</f>
        <v xml:space="preserve"> </v>
      </c>
      <c r="AV24" s="433" t="str">
        <f>IF(ISERROR(VLOOKUP(D24,'Base de Datos'!$C$7:$AU$400,17,0))=TRUE," ",(VLOOKUP(D24,'Base de Datos'!$C$7:$AU$400,17,0)))</f>
        <v xml:space="preserve"> </v>
      </c>
      <c r="AW24" s="433" t="str">
        <f>IF(ISERROR(VLOOKUP(D24,'Base de Datos'!$C$7:$AU$400,18,0))=TRUE," ",(VLOOKUP(D24,'Base de Datos'!$C$7:$AU$400,18,0)))</f>
        <v xml:space="preserve"> </v>
      </c>
      <c r="AX24" s="433" t="str">
        <f>IF(ISERROR(VLOOKUP(D24,'Base de Datos'!$C$7:$AU$400,19,0))=TRUE," ",(VLOOKUP(D24,'Base de Datos'!$C$7:$AU$400,19,0)))</f>
        <v xml:space="preserve"> </v>
      </c>
      <c r="AY24" s="436" t="str">
        <f>IF(ISERROR(VLOOKUP(D24,'Base de Datos'!$C$7:$AU$400,21,0))=TRUE," ",(VLOOKUP(D24,'Base de Datos'!$C$7:$AU$400,21,0)))</f>
        <v xml:space="preserve"> </v>
      </c>
      <c r="AZ24" s="436" t="str">
        <f>IF(ISERROR(VLOOKUP(D24,'Base de Datos'!$C$7:$AU$400,22,0))=TRUE," ",(VLOOKUP(D24,'Base de Datos'!$C$7:$AU$400,22,0)))</f>
        <v xml:space="preserve"> </v>
      </c>
      <c r="BA24" s="443"/>
      <c r="BB24" s="453"/>
    </row>
    <row r="25" spans="2:54" ht="66.75" hidden="1" customHeight="1" x14ac:dyDescent="0.3">
      <c r="B25" s="406">
        <v>19</v>
      </c>
      <c r="C25" s="414" t="s">
        <v>1641</v>
      </c>
      <c r="D25" s="406">
        <v>54</v>
      </c>
      <c r="E25" s="414" t="s">
        <v>1647</v>
      </c>
      <c r="F25" s="415">
        <f>VLOOKUP(D25,'Presupuesto - PAA 2015'!$B$10:$E$265,4,0)</f>
        <v>60000000</v>
      </c>
      <c r="G25" s="407" t="str">
        <f>VLOOKUP(D25,'[4]Seguimiento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07" t="s">
        <v>1776</v>
      </c>
      <c r="I25" s="407" t="s">
        <v>1709</v>
      </c>
      <c r="J25" s="416" t="s">
        <v>1733</v>
      </c>
      <c r="K25" s="417" t="s">
        <v>390</v>
      </c>
      <c r="L25" s="417" t="str">
        <f>VLOOKUP(D25,'[4]Seguimiento Plan'!$C$2:$AJ$101,30,0)</f>
        <v>SI</v>
      </c>
      <c r="M25" s="418">
        <f>VLOOKUP(D25,'[4]Seguimiento Plan'!$C$2:$AJ$101,31,0)</f>
        <v>41983</v>
      </c>
      <c r="N25" s="417" t="s">
        <v>1797</v>
      </c>
      <c r="O25" s="419"/>
      <c r="P25" s="419"/>
      <c r="Q25" s="419"/>
      <c r="R25" s="420"/>
      <c r="S25" s="438" t="s">
        <v>1764</v>
      </c>
      <c r="T25" s="421"/>
      <c r="U25" s="423" t="str">
        <f>IF(ISERROR(VLOOKUP(T25,'Base de Datos'!$E$7:$AU$302,3,0))=TRUE," ",(VLOOKUP(T25,'Base de Datos'!$E$7:$AU$302,2,0)))</f>
        <v xml:space="preserve"> </v>
      </c>
      <c r="V25" s="426" t="str">
        <f>IF(ISERROR(VLOOKUP(T25,'Base de Datos'!$E$7:$AU$302,5,0))=TRUE," ",(VLOOKUP(T25,'Base de Datos'!$E$7:$AU$302,5,0)))</f>
        <v xml:space="preserve"> </v>
      </c>
      <c r="W25" s="423" t="str">
        <f>IF(ISERROR(VLOOKUP(T25,'Base de Datos'!$E$7:$AU$302,19,0))=TRUE," ",(VLOOKUP(T25,'Base de Datos'!$E$7:$AU$302,19,0)))</f>
        <v xml:space="preserve"> </v>
      </c>
      <c r="X25" s="428" t="str">
        <f>IF(ISERROR(VLOOKUP(T25,'Base de Datos'!$E$7:$AU$302,8,0))=TRUE," ",(VLOOKUP(T25,'Base de Datos'!$E$7:$AU$302,8,0)))</f>
        <v xml:space="preserve"> </v>
      </c>
      <c r="Y25" s="428" t="str">
        <f>IF(ISERROR(VLOOKUP(T25,'Base de Datos'!$E$7:$AU$302,9,0))=TRUE," ",(VLOOKUP(T25,'Base de Datos'!$E$7:$AU$302,9,0)))</f>
        <v xml:space="preserve"> </v>
      </c>
      <c r="Z25" s="422" t="str">
        <f>IF(ISERROR(VLOOKUP(T25,'Base de Datos'!$E$7:$AU$302,10,0))=TRUE," ",(VLOOKUP(T25,'Base de Datos'!$E$7:$AU$302,10,0)))</f>
        <v xml:space="preserve"> </v>
      </c>
      <c r="AA25" s="425" t="str">
        <f>IF(ISERROR(VLOOKUP(T25,'Base de Datos'!$E$7:$AU$302,11,0))=TRUE," ",(VLOOKUP(T25,'Base de Datos'!$E$7:$AU$302,11,0)))</f>
        <v xml:space="preserve"> </v>
      </c>
      <c r="AB25" s="422" t="str">
        <f>IF(ISERROR(VLOOKUP(T25,'Base de Datos'!$E$7:$AU$302,12,0))=TRUE," ",(VLOOKUP(T25,'Base de Datos'!$E$7:$AU$302,12,0)))</f>
        <v xml:space="preserve"> </v>
      </c>
      <c r="AC25" s="422" t="str">
        <f>IF(ISERROR(VLOOKUP(T25,'Base de Datos'!$E$7:$AU$302,12,0))=TRUE," ",(VLOOKUP(T25,'Base de Datos'!$E$7:$AU$302,12,0)))</f>
        <v xml:space="preserve"> </v>
      </c>
      <c r="AD25" s="428" t="str">
        <f>IF(ISERROR(VLOOKUP(T25,'Base de Datos'!$E$7:$AU$302,15,0))=TRUE," ",(VLOOKUP(T25,'Base de Datos'!$E$7:$AU$302,15,0)))</f>
        <v xml:space="preserve"> </v>
      </c>
      <c r="AE25" s="433" t="str">
        <f>IF(ISERROR(VLOOKUP(T25,'Base de Datos'!$E$7:$AU$302,16,0))=TRUE," ",(VLOOKUP(T25,'Base de Datos'!$E$7:$AU$302,16,0)))</f>
        <v xml:space="preserve"> </v>
      </c>
      <c r="AF25" s="433" t="str">
        <f>IF(ISERROR(VLOOKUP(T25,'Base de Datos'!$E$7:$AU$302,17,0))=TRUE," ",(VLOOKUP(T25,'Base de Datos'!$E$7:$AU$302,17,0)))</f>
        <v xml:space="preserve"> </v>
      </c>
      <c r="AG25" s="433" t="str">
        <f>IF(ISERROR(VLOOKUP(T25,'Base de Datos'!$E$7:$AU$302,18,0))=TRUE," ",(VLOOKUP(T25,'Base de Datos'!$E$7:$AU$302,18,0)))</f>
        <v xml:space="preserve"> </v>
      </c>
      <c r="AH25" s="434" t="str">
        <f>IF(ISERROR(VLOOKUP(T25,'Base de Datos'!$E$7:$AU$302,20,0))=TRUE," ",(VLOOKUP(T25,'Base de Datos'!$E$7:$AU$302,20,0)))</f>
        <v xml:space="preserve"> </v>
      </c>
      <c r="AI25" s="434" t="str">
        <f>IF(ISERROR(VLOOKUP(T25,'Base de Datos'!$E$7:$AU$302,21,0))=TRUE," ",(VLOOKUP(T25,'Base de Datos'!$E$7:$AU$302,21,0)))</f>
        <v xml:space="preserve"> </v>
      </c>
      <c r="AJ25" s="437">
        <v>42128</v>
      </c>
      <c r="AK25" s="423" t="str">
        <f>IF(ISERROR(VLOOKUP(D25,'Base de Datos'!$C$7:$AU$400,2,0))=TRUE," ",(VLOOKUP(D25,'Base de Datos'!$C$7:$AU$400,2,0)))</f>
        <v>201554</v>
      </c>
      <c r="AL25" s="423" t="str">
        <f>IF(ISERROR(VLOOKUP(D25,'Base de Datos'!$C$7:$AU$400,3,0))=TRUE," ",(VLOOKUP(D25,'Base de Datos'!$C$7:$AU$400,3,0)))</f>
        <v>150211-0-2015</v>
      </c>
      <c r="AM25" s="426" t="str">
        <f>IF(ISERROR(VLOOKUP(D25,'Base de Datos'!$C$7:$AU$3761,6,0))=TRUE," ",(VLOOKUP(D25,'Base de Datos'!$C$7:$AU$400,6,0)))</f>
        <v>Prestar los servicios de mantenimientos, soporte y actualización con el suministro de repuestos para la infraestructura de telecomunicaciones, cableado estructurado (voz y datos), fibra óptica, energía normal y regulada del Concejo de Bogota D.C.</v>
      </c>
      <c r="AN25" s="426" t="str">
        <f>IF(ISERROR(VLOOKUP(D25,'Base de Datos'!$C$7:$AU$400,20,0))=TRUE," ",(VLOOKUP(D25,'Base de Datos'!$C$7:$AU$400,19,0)))</f>
        <v/>
      </c>
      <c r="AO25" s="429">
        <f>IF(ISERROR(VLOOKUP(D25,'Base de Datos'!$C$7:$AU$400,9,0))=TRUE," ",(VLOOKUP(D25,'Base de Datos'!$C$7:$AU$400,9,0)))</f>
        <v>2015</v>
      </c>
      <c r="AP25" s="429">
        <f>IF(ISERROR(VLOOKUP(D25,'Base de Datos'!$C$7:$AU$400,10,0))=TRUE," ",(VLOOKUP(D25,'Base de Datos'!$C$7:$AU$400,10,0)))</f>
        <v>42128</v>
      </c>
      <c r="AQ25" s="431">
        <f>IF(ISERROR(VLOOKUP(D25,'Base de Datos'!$C$7:$AU$400,11,0))=TRUE," ",(VLOOKUP(D25,'Base de Datos'!$C$7:$AU$400,11,0)))</f>
        <v>42156</v>
      </c>
      <c r="AR25" s="432">
        <f>IF(ISERROR(VLOOKUP(D25,'Base de Datos'!$C$7:$AU$400,12,0))=TRUE," ",(VLOOKUP(D25,'Base de Datos'!$C$7:$AU$400,12,0)))</f>
        <v>42522</v>
      </c>
      <c r="AS25" s="431" t="str">
        <f>IF(ISERROR(VLOOKUP(D25,'Base de Datos'!$C$7:$AU$400,13,0))=TRUE," ",(VLOOKUP(D25,'Base de Datos'!$C$7:$AU$400,13,0)))</f>
        <v/>
      </c>
      <c r="AT25" s="431">
        <f>IF(ISERROR(VLOOKUP(D25,'Base de Datos'!$C$7:$AU$400,14,0))=TRUE," ",(VLOOKUP(D25,'Base de Datos'!$C$7:$AU$400,14,0)))</f>
        <v>1</v>
      </c>
      <c r="AU25" s="429">
        <f>IF(ISERROR(VLOOKUP(D25,'Base de Datos'!$C$7:$AU$400,16,0))=TRUE," ",(VLOOKUP(D25,'Base de Datos'!$C$7:$AU$400,16,0)))</f>
        <v>1</v>
      </c>
      <c r="AV25" s="433" t="str">
        <f>IF(ISERROR(VLOOKUP(D25,'Base de Datos'!$C$7:$AU$400,17,0))=TRUE," ",(VLOOKUP(D25,'Base de Datos'!$C$7:$AU$400,17,0)))</f>
        <v>4 meses</v>
      </c>
      <c r="AW25" s="433">
        <f>IF(ISERROR(VLOOKUP(D25,'Base de Datos'!$C$7:$AU$400,18,0))=TRUE," ",(VLOOKUP(D25,'Base de Datos'!$C$7:$AU$400,18,0)))</f>
        <v>42644</v>
      </c>
      <c r="AX25" s="433" t="str">
        <f>IF(ISERROR(VLOOKUP(D25,'Base de Datos'!$C$7:$AU$400,19,0))=TRUE," ",(VLOOKUP(D25,'Base de Datos'!$C$7:$AU$400,19,0)))</f>
        <v/>
      </c>
      <c r="AY25" s="436">
        <f>IF(ISERROR(VLOOKUP(D25,'Base de Datos'!$C$7:$AU$400,21,0))=TRUE," ",(VLOOKUP(D25,'Base de Datos'!$C$7:$AU$400,21,0)))</f>
        <v>42644</v>
      </c>
      <c r="AZ25" s="436">
        <f>IF(ISERROR(VLOOKUP(D25,'Base de Datos'!$C$7:$AU$400,22,0))=TRUE," ",(VLOOKUP(D25,'Base de Datos'!$C$7:$AU$400,22,0)))</f>
        <v>68000000</v>
      </c>
      <c r="BA25" s="443"/>
      <c r="BB25" s="453"/>
    </row>
    <row r="26" spans="2:54" ht="55.5" hidden="1" customHeight="1" x14ac:dyDescent="0.3">
      <c r="B26" s="406">
        <v>20</v>
      </c>
      <c r="C26" s="414" t="s">
        <v>1641</v>
      </c>
      <c r="D26" s="406">
        <v>55</v>
      </c>
      <c r="E26" s="414" t="s">
        <v>1647</v>
      </c>
      <c r="F26" s="415">
        <f>VLOOKUP(D26,'Presupuesto - PAA 2015'!$B$10:$E$265,4,0)</f>
        <v>10514762</v>
      </c>
      <c r="G26" s="407" t="str">
        <f>VLOOKUP(D26,'[4]Seguimiento Plan'!$C$2:$R$101,16,0)</f>
        <v>Adquisición de medios magnéticos para copias de respaldo para la Secretaría Distrital de Hacienda y el Concejo de Bogotá.</v>
      </c>
      <c r="H26" s="407" t="s">
        <v>1776</v>
      </c>
      <c r="I26" s="407" t="s">
        <v>1711</v>
      </c>
      <c r="J26" s="416" t="s">
        <v>909</v>
      </c>
      <c r="K26" s="417" t="s">
        <v>390</v>
      </c>
      <c r="L26" s="417" t="str">
        <f>VLOOKUP(D26,'[4]Seguimiento Plan'!$C$2:$AJ$101,30,0)</f>
        <v>SI</v>
      </c>
      <c r="M26" s="418">
        <f>VLOOKUP(D26,'[4]Seguimiento Plan'!$C$2:$AJ$101,31,0)</f>
        <v>42018</v>
      </c>
      <c r="N26" s="417" t="s">
        <v>1798</v>
      </c>
      <c r="O26" s="419"/>
      <c r="P26" s="419"/>
      <c r="Q26" s="439">
        <v>42083</v>
      </c>
      <c r="R26" s="498"/>
      <c r="S26" s="438" t="s">
        <v>1759</v>
      </c>
      <c r="T26" s="421" t="s">
        <v>289</v>
      </c>
      <c r="U26" s="423" t="str">
        <f>IF(ISERROR(VLOOKUP(T26,'Base de Datos'!$E$7:$AU$302,3,0))=TRUE," ",(VLOOKUP(T26,'Base de Datos'!$E$7:$AU$302,2,0)))</f>
        <v>UNIPLES S.A.</v>
      </c>
      <c r="V26" s="426">
        <f>IF(ISERROR(VLOOKUP(T26,'Base de Datos'!$E$7:$AU$302,5,0))=TRUE," ",(VLOOKUP(T26,'Base de Datos'!$E$7:$AU$302,5,0)))</f>
        <v>9998117</v>
      </c>
      <c r="W26" s="423">
        <f>IF(ISERROR(VLOOKUP(T26,'Base de Datos'!$E$7:$AU$302,19,0))=TRUE," ",(VLOOKUP(T26,'Base de Datos'!$E$7:$AU$302,19,0)))</f>
        <v>41855</v>
      </c>
      <c r="X26" s="428" t="str">
        <f>IF(ISERROR(VLOOKUP(T26,'Base de Datos'!$E$7:$AU$302,8,0))=TRUE," ",(VLOOKUP(T26,'Base de Datos'!$E$7:$AU$302,8,0)))</f>
        <v xml:space="preserve"> </v>
      </c>
      <c r="Y26" s="428">
        <f>IF(ISERROR(VLOOKUP(T26,'Base de Datos'!$E$7:$AU$302,9,0))=TRUE," ",(VLOOKUP(T26,'Base de Datos'!$E$7:$AU$302,9,0)))</f>
        <v>41794</v>
      </c>
      <c r="Z26" s="422">
        <f>IF(ISERROR(VLOOKUP(T26,'Base de Datos'!$E$7:$AU$302,10,0))=TRUE," ",(VLOOKUP(T26,'Base de Datos'!$E$7:$AU$302,10,0)))</f>
        <v>41855</v>
      </c>
      <c r="AA26" s="425" t="str">
        <f>IF(ISERROR(VLOOKUP(T26,'Base de Datos'!$E$7:$AU$302,11,0))=TRUE," ",(VLOOKUP(T26,'Base de Datos'!$E$7:$AU$302,11,0)))</f>
        <v/>
      </c>
      <c r="AB26" s="422">
        <f>IF(ISERROR(VLOOKUP(T26,'Base de Datos'!$E$7:$AU$302,12,0))=TRUE," ",(VLOOKUP(T26,'Base de Datos'!$E$7:$AU$302,12,0)))</f>
        <v>0</v>
      </c>
      <c r="AC26" s="422">
        <f>IF(ISERROR(VLOOKUP(T26,'Base de Datos'!$E$7:$AU$302,12,0))=TRUE," ",(VLOOKUP(T26,'Base de Datos'!$E$7:$AU$302,12,0)))</f>
        <v>0</v>
      </c>
      <c r="AD26" s="428" t="str">
        <f>IF(ISERROR(VLOOKUP(T26,'Base de Datos'!$E$7:$AU$302,15,0))=TRUE," ",(VLOOKUP(T26,'Base de Datos'!$E$7:$AU$302,15,0)))</f>
        <v/>
      </c>
      <c r="AE26" s="433" t="str">
        <f>IF(ISERROR(VLOOKUP(T26,'Base de Datos'!$E$7:$AU$302,16,0))=TRUE," ",(VLOOKUP(T26,'Base de Datos'!$E$7:$AU$302,16,0)))</f>
        <v/>
      </c>
      <c r="AF26" s="433" t="str">
        <f>IF(ISERROR(VLOOKUP(T26,'Base de Datos'!$E$7:$AU$302,17,0))=TRUE," ",(VLOOKUP(T26,'Base de Datos'!$E$7:$AU$302,17,0)))</f>
        <v/>
      </c>
      <c r="AG26" s="433" t="str">
        <f>IF(ISERROR(VLOOKUP(T26,'Base de Datos'!$E$7:$AU$302,18,0))=TRUE," ",(VLOOKUP(T26,'Base de Datos'!$E$7:$AU$302,18,0)))</f>
        <v/>
      </c>
      <c r="AH26" s="434">
        <f>IF(ISERROR(VLOOKUP(T26,'Base de Datos'!$E$7:$AU$302,20,0))=TRUE," ",(VLOOKUP(T26,'Base de Datos'!$E$7:$AU$302,20,0)))</f>
        <v>9998117</v>
      </c>
      <c r="AI26" s="434">
        <f>IF(ISERROR(VLOOKUP(T26,'Base de Datos'!$E$7:$AU$302,21,0))=TRUE," ",(VLOOKUP(T26,'Base de Datos'!$E$7:$AU$302,21,0)))</f>
        <v>9998097</v>
      </c>
      <c r="AJ26" s="437">
        <v>42108</v>
      </c>
      <c r="AK26" s="423" t="str">
        <f>IF(ISERROR(VLOOKUP(D26,'Base de Datos'!$C$7:$AU$400,2,0))=TRUE," ",(VLOOKUP(D26,'Base de Datos'!$C$7:$AU$400,2,0)))</f>
        <v>201555</v>
      </c>
      <c r="AL26" s="423" t="str">
        <f>IF(ISERROR(VLOOKUP(D26,'Base de Datos'!$C$7:$AU$400,3,0))=TRUE," ",(VLOOKUP(D26,'Base de Datos'!$C$7:$AU$400,3,0)))</f>
        <v>150189-0-2015</v>
      </c>
      <c r="AM26" s="426" t="str">
        <f>IF(ISERROR(VLOOKUP(D26,'Base de Datos'!$C$7:$AU$3761,6,0))=TRUE," ",(VLOOKUP(D26,'Base de Datos'!$C$7:$AU$400,6,0)))</f>
        <v>Adquisición de medios magnéticos para copias de respaldo para el Concejo de Bogotá D.C</v>
      </c>
      <c r="AN26" s="426" t="str">
        <f>IF(ISERROR(VLOOKUP(D26,'Base de Datos'!$C$7:$AU$400,20,0))=TRUE," ",(VLOOKUP(D26,'Base de Datos'!$C$7:$AU$400,19,0)))</f>
        <v/>
      </c>
      <c r="AO26" s="429">
        <f>IF(ISERROR(VLOOKUP(D26,'Base de Datos'!$C$7:$AU$400,9,0))=TRUE," ",(VLOOKUP(D26,'Base de Datos'!$C$7:$AU$400,9,0)))</f>
        <v>2015</v>
      </c>
      <c r="AP26" s="429">
        <f>IF(ISERROR(VLOOKUP(D26,'Base de Datos'!$C$7:$AU$400,10,0))=TRUE," ",(VLOOKUP(D26,'Base de Datos'!$C$7:$AU$400,10,0)))</f>
        <v>42108</v>
      </c>
      <c r="AQ26" s="431">
        <f>IF(ISERROR(VLOOKUP(D26,'Base de Datos'!$C$7:$AU$400,11,0))=TRUE," ",(VLOOKUP(D26,'Base de Datos'!$C$7:$AU$400,11,0)))</f>
        <v>42117</v>
      </c>
      <c r="AR26" s="432">
        <f>IF(ISERROR(VLOOKUP(D26,'Base de Datos'!$C$7:$AU$400,12,0))=TRUE," ",(VLOOKUP(D26,'Base de Datos'!$C$7:$AU$400,12,0)))</f>
        <v>42147</v>
      </c>
      <c r="AS26" s="431" t="str">
        <f>IF(ISERROR(VLOOKUP(D26,'Base de Datos'!$C$7:$AU$400,13,0))=TRUE," ",(VLOOKUP(D26,'Base de Datos'!$C$7:$AU$400,13,0)))</f>
        <v/>
      </c>
      <c r="AT26" s="431">
        <f>IF(ISERROR(VLOOKUP(D26,'Base de Datos'!$C$7:$AU$400,14,0))=TRUE," ",(VLOOKUP(D26,'Base de Datos'!$C$7:$AU$400,14,0)))</f>
        <v>0</v>
      </c>
      <c r="AU26" s="429">
        <f>IF(ISERROR(VLOOKUP(D26,'Base de Datos'!$C$7:$AU$400,16,0))=TRUE," ",(VLOOKUP(D26,'Base de Datos'!$C$7:$AU$400,16,0)))</f>
        <v>0</v>
      </c>
      <c r="AV26" s="433" t="str">
        <f>IF(ISERROR(VLOOKUP(D26,'Base de Datos'!$C$7:$AU$400,17,0))=TRUE," ",(VLOOKUP(D26,'Base de Datos'!$C$7:$AU$400,17,0)))</f>
        <v/>
      </c>
      <c r="AW26" s="433" t="str">
        <f>IF(ISERROR(VLOOKUP(D26,'Base de Datos'!$C$7:$AU$400,18,0))=TRUE," ",(VLOOKUP(D26,'Base de Datos'!$C$7:$AU$400,18,0)))</f>
        <v/>
      </c>
      <c r="AX26" s="433" t="str">
        <f>IF(ISERROR(VLOOKUP(D26,'Base de Datos'!$C$7:$AU$400,19,0))=TRUE," ",(VLOOKUP(D26,'Base de Datos'!$C$7:$AU$400,19,0)))</f>
        <v/>
      </c>
      <c r="AY26" s="436">
        <f>IF(ISERROR(VLOOKUP(D26,'Base de Datos'!$C$7:$AU$400,21,0))=TRUE," ",(VLOOKUP(D26,'Base de Datos'!$C$7:$AU$400,21,0)))</f>
        <v>42147</v>
      </c>
      <c r="AZ26" s="436">
        <f>IF(ISERROR(VLOOKUP(D26,'Base de Datos'!$C$7:$AU$400,22,0))=TRUE," ",(VLOOKUP(D26,'Base de Datos'!$C$7:$AU$400,22,0)))</f>
        <v>10514762</v>
      </c>
      <c r="BA26" s="443"/>
      <c r="BB26" s="453"/>
    </row>
    <row r="27" spans="2:54" ht="55.5" hidden="1" customHeight="1" x14ac:dyDescent="0.3">
      <c r="B27" s="406"/>
      <c r="C27" s="414" t="s">
        <v>1641</v>
      </c>
      <c r="D27" s="406">
        <v>57</v>
      </c>
      <c r="E27" s="414" t="s">
        <v>1647</v>
      </c>
      <c r="F27" s="415">
        <f>VLOOKUP(D27,'Presupuesto - PAA 2015'!$B$10:$E$265,4,0)</f>
        <v>154954934</v>
      </c>
      <c r="G27" s="407" t="s">
        <v>1936</v>
      </c>
      <c r="H27" s="407" t="s">
        <v>1776</v>
      </c>
      <c r="I27" s="407" t="s">
        <v>1709</v>
      </c>
      <c r="J27" s="416" t="s">
        <v>1733</v>
      </c>
      <c r="K27" s="417"/>
      <c r="L27" s="417"/>
      <c r="M27" s="418"/>
      <c r="N27" s="417"/>
      <c r="O27" s="419"/>
      <c r="P27" s="419"/>
      <c r="Q27" s="439"/>
      <c r="R27" s="498"/>
      <c r="S27" s="438" t="s">
        <v>2156</v>
      </c>
      <c r="T27" s="497"/>
      <c r="U27" s="423"/>
      <c r="V27" s="426"/>
      <c r="W27" s="423"/>
      <c r="X27" s="428"/>
      <c r="Y27" s="428"/>
      <c r="Z27" s="422"/>
      <c r="AA27" s="425"/>
      <c r="AB27" s="422"/>
      <c r="AC27" s="422"/>
      <c r="AD27" s="428"/>
      <c r="AE27" s="433"/>
      <c r="AF27" s="433"/>
      <c r="AG27" s="433"/>
      <c r="AH27" s="434"/>
      <c r="AI27" s="434"/>
      <c r="AJ27" s="437"/>
      <c r="AK27" s="423"/>
      <c r="AL27" s="423"/>
      <c r="AM27" s="426"/>
      <c r="AN27" s="426"/>
      <c r="AO27" s="429"/>
      <c r="AP27" s="429"/>
      <c r="AQ27" s="431"/>
      <c r="AR27" s="432"/>
      <c r="AS27" s="431"/>
      <c r="AT27" s="431"/>
      <c r="AU27" s="429"/>
      <c r="AV27" s="433"/>
      <c r="AW27" s="433"/>
      <c r="AX27" s="433"/>
      <c r="AY27" s="436"/>
      <c r="AZ27" s="436"/>
      <c r="BA27" s="443"/>
      <c r="BB27" s="453"/>
    </row>
    <row r="28" spans="2:54" ht="55.5" hidden="1" customHeight="1" x14ac:dyDescent="0.3">
      <c r="B28" s="406">
        <v>21</v>
      </c>
      <c r="C28" s="414" t="s">
        <v>1641</v>
      </c>
      <c r="D28" s="406">
        <v>58</v>
      </c>
      <c r="E28" s="414" t="s">
        <v>1647</v>
      </c>
      <c r="F28" s="415">
        <f>VLOOKUP(D28,'Presupuesto - PAA 2015'!$B$10:$E$265,4,0)</f>
        <v>450880</v>
      </c>
      <c r="G28" s="407" t="str">
        <f>VLOOKUP(D28,'[4]Seguimiento Plan'!$C$2:$R$101,16,0)</f>
        <v>Prestar los servicios de mantenimiento y actualizacion  de módulo de contabilidad programa SIIGO.-</v>
      </c>
      <c r="H28" s="407" t="s">
        <v>1776</v>
      </c>
      <c r="I28" s="407" t="s">
        <v>1709</v>
      </c>
      <c r="J28" s="416" t="s">
        <v>908</v>
      </c>
      <c r="K28" s="417" t="s">
        <v>390</v>
      </c>
      <c r="L28" s="417" t="str">
        <f>VLOOKUP(D28,'[4]Seguimiento Plan'!$C$2:$AJ$101,30,0)</f>
        <v>SI</v>
      </c>
      <c r="M28" s="418">
        <f>VLOOKUP(D28,'[4]Seguimiento Plan'!$C$2:$AJ$101,31,0)</f>
        <v>42081</v>
      </c>
      <c r="N28" s="417" t="s">
        <v>1799</v>
      </c>
      <c r="O28" s="419"/>
      <c r="P28" s="419"/>
      <c r="Q28" s="419"/>
      <c r="R28" s="420"/>
      <c r="S28" s="678" t="s">
        <v>2066</v>
      </c>
      <c r="T28" s="321" t="s">
        <v>1118</v>
      </c>
      <c r="U28" s="423" t="str">
        <f>IF(ISERROR(VLOOKUP(T28,'Base de Datos'!$E$7:$AU$302,3,0))=TRUE," ",(VLOOKUP(T28,'Base de Datos'!$E$7:$AU$302,2,0)))</f>
        <v>SOLUCIONES EN INGENIERIA Y SOFTWARE SAS</v>
      </c>
      <c r="V28" s="426">
        <f>IF(ISERROR(VLOOKUP(T28,'Base de Datos'!$E$7:$AU$302,5,0))=TRUE," ",(VLOOKUP(T28,'Base de Datos'!$E$7:$AU$302,5,0)))</f>
        <v>812500</v>
      </c>
      <c r="W28" s="423">
        <f>IF(ISERROR(VLOOKUP(T28,'Base de Datos'!$E$7:$AU$302,19,0))=TRUE," ",(VLOOKUP(T28,'Base de Datos'!$E$7:$AU$302,19,0)))</f>
        <v>42004</v>
      </c>
      <c r="X28" s="428" t="str">
        <f>IF(ISERROR(VLOOKUP(T28,'Base de Datos'!$E$7:$AU$302,8,0))=TRUE," ",(VLOOKUP(T28,'Base de Datos'!$E$7:$AU$302,8,0)))</f>
        <v xml:space="preserve"> </v>
      </c>
      <c r="Y28" s="428">
        <f>IF(ISERROR(VLOOKUP(T28,'Base de Datos'!$E$7:$AU$302,9,0))=TRUE," ",(VLOOKUP(T28,'Base de Datos'!$E$7:$AU$302,9,0)))</f>
        <v>41928</v>
      </c>
      <c r="Z28" s="422">
        <f>IF(ISERROR(VLOOKUP(T28,'Base de Datos'!$E$7:$AU$302,10,0))=TRUE," ",(VLOOKUP(T28,'Base de Datos'!$E$7:$AU$302,10,0)))</f>
        <v>42004</v>
      </c>
      <c r="AA28" s="425" t="str">
        <f>IF(ISERROR(VLOOKUP(T28,'Base de Datos'!$E$7:$AU$302,11,0))=TRUE," ",(VLOOKUP(T28,'Base de Datos'!$E$7:$AU$302,11,0)))</f>
        <v/>
      </c>
      <c r="AB28" s="422">
        <f>IF(ISERROR(VLOOKUP(T28,'Base de Datos'!$E$7:$AU$302,12,0))=TRUE," ",(VLOOKUP(T28,'Base de Datos'!$E$7:$AU$302,12,0)))</f>
        <v>0</v>
      </c>
      <c r="AC28" s="422">
        <f>IF(ISERROR(VLOOKUP(T28,'Base de Datos'!$E$7:$AU$302,12,0))=TRUE," ",(VLOOKUP(T28,'Base de Datos'!$E$7:$AU$302,12,0)))</f>
        <v>0</v>
      </c>
      <c r="AD28" s="428" t="str">
        <f>IF(ISERROR(VLOOKUP(T28,'Base de Datos'!$E$7:$AU$302,15,0))=TRUE," ",(VLOOKUP(T28,'Base de Datos'!$E$7:$AU$302,15,0)))</f>
        <v/>
      </c>
      <c r="AE28" s="433" t="str">
        <f>IF(ISERROR(VLOOKUP(T28,'Base de Datos'!$E$7:$AU$302,16,0))=TRUE," ",(VLOOKUP(T28,'Base de Datos'!$E$7:$AU$302,16,0)))</f>
        <v/>
      </c>
      <c r="AF28" s="433" t="str">
        <f>IF(ISERROR(VLOOKUP(T28,'Base de Datos'!$E$7:$AU$302,17,0))=TRUE," ",(VLOOKUP(T28,'Base de Datos'!$E$7:$AU$302,17,0)))</f>
        <v/>
      </c>
      <c r="AG28" s="433" t="str">
        <f>IF(ISERROR(VLOOKUP(T28,'Base de Datos'!$E$7:$AU$302,18,0))=TRUE," ",(VLOOKUP(T28,'Base de Datos'!$E$7:$AU$302,18,0)))</f>
        <v/>
      </c>
      <c r="AH28" s="434">
        <f>IF(ISERROR(VLOOKUP(T28,'Base de Datos'!$E$7:$AU$302,20,0))=TRUE," ",(VLOOKUP(T28,'Base de Datos'!$E$7:$AU$302,20,0)))</f>
        <v>812500</v>
      </c>
      <c r="AI28" s="434">
        <f>IF(ISERROR(VLOOKUP(T28,'Base de Datos'!$E$7:$AU$302,21,0))=TRUE," ",(VLOOKUP(T28,'Base de Datos'!$E$7:$AU$302,21,0)))</f>
        <v>812500</v>
      </c>
      <c r="AJ28" s="437">
        <v>42194</v>
      </c>
      <c r="AK28" s="423" t="str">
        <f>IF(ISERROR(VLOOKUP(D28,'Base de Datos'!$C$7:$AU$400,2,0))=TRUE," ",(VLOOKUP(D28,'Base de Datos'!$C$7:$AU$400,2,0)))</f>
        <v>201558</v>
      </c>
      <c r="AL28" s="423" t="str">
        <f>IF(ISERROR(VLOOKUP(D28,'Base de Datos'!$C$7:$AU$400,3,0))=TRUE," ",(VLOOKUP(D28,'Base de Datos'!$C$7:$AU$400,3,0)))</f>
        <v>150312-0-2015</v>
      </c>
      <c r="AM28" s="426" t="str">
        <f>IF(ISERROR(VLOOKUP(D28,'Base de Datos'!$C$7:$AU$3761,6,0))=TRUE," ",(VLOOKUP(D28,'Base de Datos'!$C$7:$AU$400,6,0)))</f>
        <v xml:space="preserve">Prestar los servicios de mantenimiento y actualización de módulo de contabilidad programa SIIGO </v>
      </c>
      <c r="AN28" s="426" t="str">
        <f>IF(ISERROR(VLOOKUP(D28,'Base de Datos'!$C$7:$AU$400,20,0))=TRUE," ",(VLOOKUP(D28,'Base de Datos'!$C$7:$AU$400,19,0)))</f>
        <v/>
      </c>
      <c r="AO28" s="429">
        <f>IF(ISERROR(VLOOKUP(D28,'Base de Datos'!$C$7:$AU$400,9,0))=TRUE," ",(VLOOKUP(D28,'Base de Datos'!$C$7:$AU$400,9,0)))</f>
        <v>2015</v>
      </c>
      <c r="AP28" s="429">
        <f>IF(ISERROR(VLOOKUP(D28,'Base de Datos'!$C$7:$AU$400,10,0))=TRUE," ",(VLOOKUP(D28,'Base de Datos'!$C$7:$AU$400,10,0)))</f>
        <v>42194</v>
      </c>
      <c r="AQ28" s="431">
        <f>IF(ISERROR(VLOOKUP(D28,'Base de Datos'!$C$7:$AU$400,11,0))=TRUE," ",(VLOOKUP(D28,'Base de Datos'!$C$7:$AU$400,11,0)))</f>
        <v>42219</v>
      </c>
      <c r="AR28" s="432">
        <f>IF(ISERROR(VLOOKUP(D28,'Base de Datos'!$C$7:$AU$400,12,0))=TRUE," ",(VLOOKUP(D28,'Base de Datos'!$C$7:$AU$400,12,0)))</f>
        <v>42311</v>
      </c>
      <c r="AS28" s="431" t="str">
        <f>IF(ISERROR(VLOOKUP(D28,'Base de Datos'!$C$7:$AU$400,13,0))=TRUE," ",(VLOOKUP(D28,'Base de Datos'!$C$7:$AU$400,13,0)))</f>
        <v/>
      </c>
      <c r="AT28" s="431">
        <f>IF(ISERROR(VLOOKUP(D28,'Base de Datos'!$C$7:$AU$400,14,0))=TRUE," ",(VLOOKUP(D28,'Base de Datos'!$C$7:$AU$400,14,0)))</f>
        <v>0</v>
      </c>
      <c r="AU28" s="429">
        <f>IF(ISERROR(VLOOKUP(D28,'Base de Datos'!$C$7:$AU$400,16,0))=TRUE," ",(VLOOKUP(D28,'Base de Datos'!$C$7:$AU$400,16,0)))</f>
        <v>0</v>
      </c>
      <c r="AV28" s="433" t="str">
        <f>IF(ISERROR(VLOOKUP(D28,'Base de Datos'!$C$7:$AU$400,17,0))=TRUE," ",(VLOOKUP(D28,'Base de Datos'!$C$7:$AU$400,17,0)))</f>
        <v/>
      </c>
      <c r="AW28" s="433" t="str">
        <f>IF(ISERROR(VLOOKUP(D28,'Base de Datos'!$C$7:$AU$400,18,0))=TRUE," ",(VLOOKUP(D28,'Base de Datos'!$C$7:$AU$400,18,0)))</f>
        <v/>
      </c>
      <c r="AX28" s="433" t="str">
        <f>IF(ISERROR(VLOOKUP(D28,'Base de Datos'!$C$7:$AU$400,19,0))=TRUE," ",(VLOOKUP(D28,'Base de Datos'!$C$7:$AU$400,19,0)))</f>
        <v/>
      </c>
      <c r="AY28" s="436">
        <f>IF(ISERROR(VLOOKUP(D28,'Base de Datos'!$C$7:$AU$400,21,0))=TRUE," ",(VLOOKUP(D28,'Base de Datos'!$C$7:$AU$400,21,0)))</f>
        <v>42311</v>
      </c>
      <c r="AZ28" s="436">
        <f>IF(ISERROR(VLOOKUP(D28,'Base de Datos'!$C$7:$AU$400,22,0))=TRUE," ",(VLOOKUP(D28,'Base de Datos'!$C$7:$AU$400,22,0)))</f>
        <v>450880</v>
      </c>
      <c r="BA28" s="443"/>
      <c r="BB28" s="453"/>
    </row>
    <row r="29" spans="2:54" ht="55.5" hidden="1" customHeight="1" x14ac:dyDescent="0.3">
      <c r="B29" s="406">
        <v>22</v>
      </c>
      <c r="C29" s="414" t="s">
        <v>1641</v>
      </c>
      <c r="D29" s="406">
        <v>59</v>
      </c>
      <c r="E29" s="414" t="s">
        <v>1647</v>
      </c>
      <c r="F29" s="415">
        <f>VLOOKUP(D29,'Presupuesto - PAA 2015'!$B$10:$E$265,4,0)</f>
        <v>20136071</v>
      </c>
      <c r="G29" s="407" t="str">
        <f>VLOOKUP(D29,'[4]Seguimiento Plan'!$C$2:$R$101,16,0)</f>
        <v>Prestar los servicios de mantenimiento preventivo, correctivo y soporte técnico especializado para sistema biométrico y control de horarios.</v>
      </c>
      <c r="H29" s="407" t="s">
        <v>1776</v>
      </c>
      <c r="I29" s="407" t="s">
        <v>1709</v>
      </c>
      <c r="J29" s="416" t="s">
        <v>909</v>
      </c>
      <c r="K29" s="417" t="s">
        <v>390</v>
      </c>
      <c r="L29" s="417" t="str">
        <f>VLOOKUP(D29,'[4]Seguimiento Plan'!$C$2:$AJ$101,30,0)</f>
        <v>SI</v>
      </c>
      <c r="M29" s="418">
        <f>VLOOKUP(D29,'[4]Seguimiento Plan'!$C$2:$AJ$101,31,0)</f>
        <v>41940</v>
      </c>
      <c r="N29" s="417" t="s">
        <v>1800</v>
      </c>
      <c r="O29" s="419"/>
      <c r="P29" s="419"/>
      <c r="Q29" s="419"/>
      <c r="R29" s="420"/>
      <c r="S29" s="677" t="s">
        <v>2051</v>
      </c>
      <c r="T29" s="421"/>
      <c r="U29" s="423" t="str">
        <f>IF(ISERROR(VLOOKUP(T29,'Base de Datos'!$E$7:$AU$302,3,0))=TRUE," ",(VLOOKUP(T29,'Base de Datos'!$E$7:$AU$302,2,0)))</f>
        <v xml:space="preserve"> </v>
      </c>
      <c r="V29" s="426" t="str">
        <f>IF(ISERROR(VLOOKUP(T29,'Base de Datos'!$E$7:$AU$302,5,0))=TRUE," ",(VLOOKUP(T29,'Base de Datos'!$E$7:$AU$302,5,0)))</f>
        <v xml:space="preserve"> </v>
      </c>
      <c r="W29" s="423" t="str">
        <f>IF(ISERROR(VLOOKUP(T29,'Base de Datos'!$E$7:$AU$302,19,0))=TRUE," ",(VLOOKUP(T29,'Base de Datos'!$E$7:$AU$302,19,0)))</f>
        <v xml:space="preserve"> </v>
      </c>
      <c r="X29" s="428" t="str">
        <f>IF(ISERROR(VLOOKUP(T29,'Base de Datos'!$E$7:$AU$302,8,0))=TRUE," ",(VLOOKUP(T29,'Base de Datos'!$E$7:$AU$302,8,0)))</f>
        <v xml:space="preserve"> </v>
      </c>
      <c r="Y29" s="428" t="str">
        <f>IF(ISERROR(VLOOKUP(T29,'Base de Datos'!$E$7:$AU$302,9,0))=TRUE," ",(VLOOKUP(T29,'Base de Datos'!$E$7:$AU$302,9,0)))</f>
        <v xml:space="preserve"> </v>
      </c>
      <c r="Z29" s="422" t="str">
        <f>IF(ISERROR(VLOOKUP(T29,'Base de Datos'!$E$7:$AU$302,10,0))=TRUE," ",(VLOOKUP(T29,'Base de Datos'!$E$7:$AU$302,10,0)))</f>
        <v xml:space="preserve"> </v>
      </c>
      <c r="AA29" s="425" t="str">
        <f>IF(ISERROR(VLOOKUP(T29,'Base de Datos'!$E$7:$AU$302,11,0))=TRUE," ",(VLOOKUP(T29,'Base de Datos'!$E$7:$AU$302,11,0)))</f>
        <v xml:space="preserve"> </v>
      </c>
      <c r="AB29" s="422" t="str">
        <f>IF(ISERROR(VLOOKUP(T29,'Base de Datos'!$E$7:$AU$302,12,0))=TRUE," ",(VLOOKUP(T29,'Base de Datos'!$E$7:$AU$302,12,0)))</f>
        <v xml:space="preserve"> </v>
      </c>
      <c r="AC29" s="422" t="str">
        <f>IF(ISERROR(VLOOKUP(T29,'Base de Datos'!$E$7:$AU$302,12,0))=TRUE," ",(VLOOKUP(T29,'Base de Datos'!$E$7:$AU$302,12,0)))</f>
        <v xml:space="preserve"> </v>
      </c>
      <c r="AD29" s="428" t="str">
        <f>IF(ISERROR(VLOOKUP(T29,'Base de Datos'!$E$7:$AU$302,15,0))=TRUE," ",(VLOOKUP(T29,'Base de Datos'!$E$7:$AU$302,15,0)))</f>
        <v xml:space="preserve"> </v>
      </c>
      <c r="AE29" s="433" t="str">
        <f>IF(ISERROR(VLOOKUP(T29,'Base de Datos'!$E$7:$AU$302,16,0))=TRUE," ",(VLOOKUP(T29,'Base de Datos'!$E$7:$AU$302,16,0)))</f>
        <v xml:space="preserve"> </v>
      </c>
      <c r="AF29" s="433" t="str">
        <f>IF(ISERROR(VLOOKUP(T29,'Base de Datos'!$E$7:$AU$302,17,0))=TRUE," ",(VLOOKUP(T29,'Base de Datos'!$E$7:$AU$302,17,0)))</f>
        <v xml:space="preserve"> </v>
      </c>
      <c r="AG29" s="433" t="str">
        <f>IF(ISERROR(VLOOKUP(T29,'Base de Datos'!$E$7:$AU$302,18,0))=TRUE," ",(VLOOKUP(T29,'Base de Datos'!$E$7:$AU$302,18,0)))</f>
        <v xml:space="preserve"> </v>
      </c>
      <c r="AH29" s="434" t="str">
        <f>IF(ISERROR(VLOOKUP(T29,'Base de Datos'!$E$7:$AU$302,20,0))=TRUE," ",(VLOOKUP(T29,'Base de Datos'!$E$7:$AU$302,20,0)))</f>
        <v xml:space="preserve"> </v>
      </c>
      <c r="AI29" s="434" t="str">
        <f>IF(ISERROR(VLOOKUP(T29,'Base de Datos'!$E$7:$AU$302,21,0))=TRUE," ",(VLOOKUP(T29,'Base de Datos'!$E$7:$AU$302,21,0)))</f>
        <v xml:space="preserve"> </v>
      </c>
      <c r="AJ29" s="437">
        <v>42209</v>
      </c>
      <c r="AK29" s="423" t="str">
        <f>IF(ISERROR(VLOOKUP(D29,'Base de Datos'!$C$7:$AU$400,2,0))=TRUE," ",(VLOOKUP(D29,'Base de Datos'!$C$7:$AU$400,2,0)))</f>
        <v>201559</v>
      </c>
      <c r="AL29" s="423" t="str">
        <f>IF(ISERROR(VLOOKUP(D29,'Base de Datos'!$C$7:$AU$400,3,0))=TRUE," ",(VLOOKUP(D29,'Base de Datos'!$C$7:$AU$400,3,0)))</f>
        <v>150322-0-2015</v>
      </c>
      <c r="AM29" s="426" t="str">
        <f>IF(ISERROR(VLOOKUP(D29,'Base de Datos'!$C$7:$AU$3761,6,0))=TRUE," ",(VLOOKUP(D29,'Base de Datos'!$C$7:$AU$400,6,0)))</f>
        <v>Prestar los servicios de mantenimiento preventivo, correctivo y soporte técnico especializado para sistema biométrico del Concejo de Bogotá</v>
      </c>
      <c r="AN29" s="426" t="str">
        <f>IF(ISERROR(VLOOKUP(D29,'Base de Datos'!$C$7:$AU$400,20,0))=TRUE," ",(VLOOKUP(D29,'Base de Datos'!$C$7:$AU$400,19,0)))</f>
        <v/>
      </c>
      <c r="AO29" s="429">
        <f>IF(ISERROR(VLOOKUP(D29,'Base de Datos'!$C$7:$AU$400,9,0))=TRUE," ",(VLOOKUP(D29,'Base de Datos'!$C$7:$AU$400,9,0)))</f>
        <v>2015</v>
      </c>
      <c r="AP29" s="429">
        <f>IF(ISERROR(VLOOKUP(D29,'Base de Datos'!$C$7:$AU$400,10,0))=TRUE," ",(VLOOKUP(D29,'Base de Datos'!$C$7:$AU$400,10,0)))</f>
        <v>42209</v>
      </c>
      <c r="AQ29" s="431">
        <f>IF(ISERROR(VLOOKUP(D29,'Base de Datos'!$C$7:$AU$400,11,0))=TRUE," ",(VLOOKUP(D29,'Base de Datos'!$C$7:$AU$400,11,0)))</f>
        <v>42221</v>
      </c>
      <c r="AR29" s="432">
        <f>IF(ISERROR(VLOOKUP(D29,'Base de Datos'!$C$7:$AU$400,12,0))=TRUE," ",(VLOOKUP(D29,'Base de Datos'!$C$7:$AU$400,12,0)))</f>
        <v>42587</v>
      </c>
      <c r="AS29" s="431" t="str">
        <f>IF(ISERROR(VLOOKUP(D29,'Base de Datos'!$C$7:$AU$400,13,0))=TRUE," ",(VLOOKUP(D29,'Base de Datos'!$C$7:$AU$400,13,0)))</f>
        <v/>
      </c>
      <c r="AT29" s="431">
        <f>IF(ISERROR(VLOOKUP(D29,'Base de Datos'!$C$7:$AU$400,14,0))=TRUE," ",(VLOOKUP(D29,'Base de Datos'!$C$7:$AU$400,14,0)))</f>
        <v>0</v>
      </c>
      <c r="AU29" s="429">
        <f>IF(ISERROR(VLOOKUP(D29,'Base de Datos'!$C$7:$AU$400,16,0))=TRUE," ",(VLOOKUP(D29,'Base de Datos'!$C$7:$AU$400,16,0)))</f>
        <v>0</v>
      </c>
      <c r="AV29" s="433" t="str">
        <f>IF(ISERROR(VLOOKUP(D29,'Base de Datos'!$C$7:$AU$400,17,0))=TRUE," ",(VLOOKUP(D29,'Base de Datos'!$C$7:$AU$400,17,0)))</f>
        <v/>
      </c>
      <c r="AW29" s="433" t="str">
        <f>IF(ISERROR(VLOOKUP(D29,'Base de Datos'!$C$7:$AU$400,18,0))=TRUE," ",(VLOOKUP(D29,'Base de Datos'!$C$7:$AU$400,18,0)))</f>
        <v/>
      </c>
      <c r="AX29" s="433" t="str">
        <f>IF(ISERROR(VLOOKUP(D29,'Base de Datos'!$C$7:$AU$400,19,0))=TRUE," ",(VLOOKUP(D29,'Base de Datos'!$C$7:$AU$400,19,0)))</f>
        <v/>
      </c>
      <c r="AY29" s="436">
        <f>IF(ISERROR(VLOOKUP(D29,'Base de Datos'!$C$7:$AU$400,21,0))=TRUE," ",(VLOOKUP(D29,'Base de Datos'!$C$7:$AU$400,21,0)))</f>
        <v>42587</v>
      </c>
      <c r="AZ29" s="436">
        <f>IF(ISERROR(VLOOKUP(D29,'Base de Datos'!$C$7:$AU$400,22,0))=TRUE," ",(VLOOKUP(D29,'Base de Datos'!$C$7:$AU$400,22,0)))</f>
        <v>20136071</v>
      </c>
      <c r="BA29" s="443"/>
      <c r="BB29" s="453"/>
    </row>
    <row r="30" spans="2:54" ht="55.5" hidden="1" customHeight="1" x14ac:dyDescent="0.3">
      <c r="B30" s="406">
        <v>23</v>
      </c>
      <c r="C30" s="414" t="s">
        <v>1641</v>
      </c>
      <c r="D30" s="406">
        <v>60</v>
      </c>
      <c r="E30" s="414" t="s">
        <v>1647</v>
      </c>
      <c r="F30" s="415">
        <f>VLOOKUP(D30,'Presupuesto - PAA 2015'!$B$10:$E$265,4,0)</f>
        <v>85933385</v>
      </c>
      <c r="G30" s="407" t="s">
        <v>2118</v>
      </c>
      <c r="H30" s="407" t="s">
        <v>1776</v>
      </c>
      <c r="I30" s="407" t="s">
        <v>1709</v>
      </c>
      <c r="J30" s="416" t="s">
        <v>909</v>
      </c>
      <c r="K30" s="417" t="s">
        <v>390</v>
      </c>
      <c r="L30" s="417" t="str">
        <f>VLOOKUP(D30,'[4]Seguimiento Plan'!$C$2:$AJ$101,30,0)</f>
        <v>SI</v>
      </c>
      <c r="M30" s="418">
        <f>VLOOKUP(D30,'[4]Seguimiento Plan'!$C$2:$AJ$101,31,0)</f>
        <v>42065</v>
      </c>
      <c r="N30" s="417"/>
      <c r="O30" s="419"/>
      <c r="P30" s="419"/>
      <c r="Q30" s="419"/>
      <c r="R30" s="420"/>
      <c r="S30" s="420"/>
      <c r="T30" s="421"/>
      <c r="U30" s="423" t="str">
        <f>IF(ISERROR(VLOOKUP(T30,'Base de Datos'!$E$7:$AU$302,3,0))=TRUE," ",(VLOOKUP(T30,'Base de Datos'!$E$7:$AU$302,2,0)))</f>
        <v xml:space="preserve"> </v>
      </c>
      <c r="V30" s="426" t="str">
        <f>IF(ISERROR(VLOOKUP(T30,'Base de Datos'!$E$7:$AU$302,5,0))=TRUE," ",(VLOOKUP(T30,'Base de Datos'!$E$7:$AU$302,5,0)))</f>
        <v xml:space="preserve"> </v>
      </c>
      <c r="W30" s="423" t="str">
        <f>IF(ISERROR(VLOOKUP(T30,'Base de Datos'!$E$7:$AU$302,19,0))=TRUE," ",(VLOOKUP(T30,'Base de Datos'!$E$7:$AU$302,19,0)))</f>
        <v xml:space="preserve"> </v>
      </c>
      <c r="X30" s="428" t="str">
        <f>IF(ISERROR(VLOOKUP(T30,'Base de Datos'!$E$7:$AU$302,8,0))=TRUE," ",(VLOOKUP(T30,'Base de Datos'!$E$7:$AU$302,8,0)))</f>
        <v xml:space="preserve"> </v>
      </c>
      <c r="Y30" s="428" t="str">
        <f>IF(ISERROR(VLOOKUP(T30,'Base de Datos'!$E$7:$AU$302,9,0))=TRUE," ",(VLOOKUP(T30,'Base de Datos'!$E$7:$AU$302,9,0)))</f>
        <v xml:space="preserve"> </v>
      </c>
      <c r="Z30" s="422" t="str">
        <f>IF(ISERROR(VLOOKUP(T30,'Base de Datos'!$E$7:$AU$302,10,0))=TRUE," ",(VLOOKUP(T30,'Base de Datos'!$E$7:$AU$302,10,0)))</f>
        <v xml:space="preserve"> </v>
      </c>
      <c r="AA30" s="425" t="str">
        <f>IF(ISERROR(VLOOKUP(T30,'Base de Datos'!$E$7:$AU$302,11,0))=TRUE," ",(VLOOKUP(T30,'Base de Datos'!$E$7:$AU$302,11,0)))</f>
        <v xml:space="preserve"> </v>
      </c>
      <c r="AB30" s="422" t="str">
        <f>IF(ISERROR(VLOOKUP(T30,'Base de Datos'!$E$7:$AU$302,12,0))=TRUE," ",(VLOOKUP(T30,'Base de Datos'!$E$7:$AU$302,12,0)))</f>
        <v xml:space="preserve"> </v>
      </c>
      <c r="AC30" s="422" t="str">
        <f>IF(ISERROR(VLOOKUP(T30,'Base de Datos'!$E$7:$AU$302,12,0))=TRUE," ",(VLOOKUP(T30,'Base de Datos'!$E$7:$AU$302,12,0)))</f>
        <v xml:space="preserve"> </v>
      </c>
      <c r="AD30" s="428" t="str">
        <f>IF(ISERROR(VLOOKUP(T30,'Base de Datos'!$E$7:$AU$302,15,0))=TRUE," ",(VLOOKUP(T30,'Base de Datos'!$E$7:$AU$302,15,0)))</f>
        <v xml:space="preserve"> </v>
      </c>
      <c r="AE30" s="433" t="str">
        <f>IF(ISERROR(VLOOKUP(T30,'Base de Datos'!$E$7:$AU$302,16,0))=TRUE," ",(VLOOKUP(T30,'Base de Datos'!$E$7:$AU$302,16,0)))</f>
        <v xml:space="preserve"> </v>
      </c>
      <c r="AF30" s="433" t="str">
        <f>IF(ISERROR(VLOOKUP(T30,'Base de Datos'!$E$7:$AU$302,17,0))=TRUE," ",(VLOOKUP(T30,'Base de Datos'!$E$7:$AU$302,17,0)))</f>
        <v xml:space="preserve"> </v>
      </c>
      <c r="AG30" s="433" t="str">
        <f>IF(ISERROR(VLOOKUP(T30,'Base de Datos'!$E$7:$AU$302,18,0))=TRUE," ",(VLOOKUP(T30,'Base de Datos'!$E$7:$AU$302,18,0)))</f>
        <v xml:space="preserve"> </v>
      </c>
      <c r="AH30" s="434" t="str">
        <f>IF(ISERROR(VLOOKUP(T30,'Base de Datos'!$E$7:$AU$302,20,0))=TRUE," ",(VLOOKUP(T30,'Base de Datos'!$E$7:$AU$302,20,0)))</f>
        <v xml:space="preserve"> </v>
      </c>
      <c r="AI30" s="434" t="str">
        <f>IF(ISERROR(VLOOKUP(T30,'Base de Datos'!$E$7:$AU$302,21,0))=TRUE," ",(VLOOKUP(T30,'Base de Datos'!$E$7:$AU$302,21,0)))</f>
        <v xml:space="preserve"> </v>
      </c>
      <c r="AJ30" s="423"/>
      <c r="AK30" s="423" t="str">
        <f>IF(ISERROR(VLOOKUP(D30,'Base de Datos'!$C$7:$AU$400,2,0))=TRUE," ",(VLOOKUP(D30,'Base de Datos'!$C$7:$AU$400,2,0)))</f>
        <v>201560</v>
      </c>
      <c r="AL30" s="423" t="str">
        <f>IF(ISERROR(VLOOKUP(D30,'Base de Datos'!$C$7:$AU$400,3,0))=TRUE," ",(VLOOKUP(D30,'Base de Datos'!$C$7:$AU$400,3,0)))</f>
        <v>150314-0-2015</v>
      </c>
      <c r="AM30" s="426" t="str">
        <f>IF(ISERROR(VLOOKUP(D30,'Base de Datos'!$C$7:$AU$3761,6,0))=TRUE," ",(VLOOKUP(D30,'Base de Datos'!$C$7:$AU$400,6,0)))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26" t="str">
        <f>IF(ISERROR(VLOOKUP(D30,'Base de Datos'!$C$7:$AU$400,20,0))=TRUE," ",(VLOOKUP(D30,'Base de Datos'!$C$7:$AU$400,19,0)))</f>
        <v/>
      </c>
      <c r="AO30" s="429">
        <f>IF(ISERROR(VLOOKUP(D30,'Base de Datos'!$C$7:$AU$400,9,0))=TRUE," ",(VLOOKUP(D30,'Base de Datos'!$C$7:$AU$400,9,0)))</f>
        <v>2015</v>
      </c>
      <c r="AP30" s="429">
        <f>IF(ISERROR(VLOOKUP(D30,'Base de Datos'!$C$7:$AU$400,10,0))=TRUE," ",(VLOOKUP(D30,'Base de Datos'!$C$7:$AU$400,10,0)))</f>
        <v>42200</v>
      </c>
      <c r="AQ30" s="431">
        <f>IF(ISERROR(VLOOKUP(D30,'Base de Datos'!$C$7:$AU$400,11,0))=TRUE," ",(VLOOKUP(D30,'Base de Datos'!$C$7:$AU$400,11,0)))</f>
        <v>42209</v>
      </c>
      <c r="AR30" s="432">
        <f>IF(ISERROR(VLOOKUP(D30,'Base de Datos'!$C$7:$AU$400,12,0))=TRUE," ",(VLOOKUP(D30,'Base de Datos'!$C$7:$AU$400,12,0)))</f>
        <v>42575</v>
      </c>
      <c r="AS30" s="431" t="str">
        <f>IF(ISERROR(VLOOKUP(D30,'Base de Datos'!$C$7:$AU$400,13,0))=TRUE," ",(VLOOKUP(D30,'Base de Datos'!$C$7:$AU$400,13,0)))</f>
        <v/>
      </c>
      <c r="AT30" s="431">
        <f>IF(ISERROR(VLOOKUP(D30,'Base de Datos'!$C$7:$AU$400,14,0))=TRUE," ",(VLOOKUP(D30,'Base de Datos'!$C$7:$AU$400,14,0)))</f>
        <v>0</v>
      </c>
      <c r="AU30" s="429">
        <f>IF(ISERROR(VLOOKUP(D30,'Base de Datos'!$C$7:$AU$400,16,0))=TRUE," ",(VLOOKUP(D30,'Base de Datos'!$C$7:$AU$400,16,0)))</f>
        <v>0</v>
      </c>
      <c r="AV30" s="433" t="str">
        <f>IF(ISERROR(VLOOKUP(D30,'Base de Datos'!$C$7:$AU$400,17,0))=TRUE," ",(VLOOKUP(D30,'Base de Datos'!$C$7:$AU$400,17,0)))</f>
        <v/>
      </c>
      <c r="AW30" s="433" t="str">
        <f>IF(ISERROR(VLOOKUP(D30,'Base de Datos'!$C$7:$AU$400,18,0))=TRUE," ",(VLOOKUP(D30,'Base de Datos'!$C$7:$AU$400,18,0)))</f>
        <v/>
      </c>
      <c r="AX30" s="433" t="str">
        <f>IF(ISERROR(VLOOKUP(D30,'Base de Datos'!$C$7:$AU$400,19,0))=TRUE," ",(VLOOKUP(D30,'Base de Datos'!$C$7:$AU$400,19,0)))</f>
        <v/>
      </c>
      <c r="AY30" s="436">
        <f>IF(ISERROR(VLOOKUP(D30,'Base de Datos'!$C$7:$AU$400,21,0))=TRUE," ",(VLOOKUP(D30,'Base de Datos'!$C$7:$AU$400,21,0)))</f>
        <v>42575</v>
      </c>
      <c r="AZ30" s="436">
        <f>IF(ISERROR(VLOOKUP(D30,'Base de Datos'!$C$7:$AU$400,22,0))=TRUE," ",(VLOOKUP(D30,'Base de Datos'!$C$7:$AU$400,22,0)))</f>
        <v>85933385</v>
      </c>
      <c r="BA30" s="443"/>
      <c r="BB30" s="453"/>
    </row>
    <row r="31" spans="2:54" ht="55.5" hidden="1" customHeight="1" x14ac:dyDescent="0.3">
      <c r="B31" s="406">
        <v>24</v>
      </c>
      <c r="C31" s="414" t="s">
        <v>1641</v>
      </c>
      <c r="D31" s="406">
        <v>61</v>
      </c>
      <c r="E31" s="414" t="s">
        <v>1647</v>
      </c>
      <c r="F31" s="415">
        <f>VLOOKUP(D31,'Presupuesto - PAA 2015'!$B$10:$E$265,4,0)</f>
        <v>40610000</v>
      </c>
      <c r="G31" s="407" t="str">
        <f>VLOOKUP(D31,'[4]Seguimiento Plan'!$C$2:$R$101,16,0)</f>
        <v>Adición y prórroga al contrato 140317 -2014 que tiene por objeto:  Prestar el servicio de actualización, mantenimiento y soporte al sitio WEB e intranet del Concejo de Bogotá.</v>
      </c>
      <c r="H31" s="407" t="s">
        <v>1776</v>
      </c>
      <c r="I31" s="407" t="s">
        <v>1709</v>
      </c>
      <c r="J31" s="416" t="s">
        <v>590</v>
      </c>
      <c r="K31" s="417"/>
      <c r="L31" s="417"/>
      <c r="M31" s="418"/>
      <c r="N31" s="417"/>
      <c r="O31" s="419"/>
      <c r="P31" s="419"/>
      <c r="Q31" s="419"/>
      <c r="R31" s="420"/>
      <c r="S31" s="420"/>
      <c r="T31" s="321" t="s">
        <v>1157</v>
      </c>
      <c r="U31" s="423" t="str">
        <f>IF(ISERROR(VLOOKUP(T31,'Base de Datos'!$E$7:$AU$302,3,0))=TRUE," ",(VLOOKUP(T31,'Base de Datos'!$E$7:$AU$302,2,0)))</f>
        <v>FACTOR VISUAL EAT</v>
      </c>
      <c r="V31" s="426">
        <f>IF(ISERROR(VLOOKUP(T31,'Base de Datos'!$E$7:$AU$302,5,0))=TRUE," ",(VLOOKUP(T31,'Base de Datos'!$E$7:$AU$302,5,0)))</f>
        <v>44544000</v>
      </c>
      <c r="W31" s="423">
        <f>IF(ISERROR(VLOOKUP(T31,'Base de Datos'!$E$7:$AU$302,19,0))=TRUE," ",(VLOOKUP(T31,'Base de Datos'!$E$7:$AU$302,19,0)))</f>
        <v>42477</v>
      </c>
      <c r="X31" s="428" t="str">
        <f>IF(ISERROR(VLOOKUP(T31,'Base de Datos'!$E$7:$AU$302,8,0))=TRUE," ",(VLOOKUP(T31,'Base de Datos'!$E$7:$AU$302,8,0)))</f>
        <v xml:space="preserve"> </v>
      </c>
      <c r="Y31" s="428">
        <f>IF(ISERROR(VLOOKUP(T31,'Base de Datos'!$E$7:$AU$302,9,0))=TRUE," ",(VLOOKUP(T31,'Base de Datos'!$E$7:$AU$302,9,0)))</f>
        <v>41929</v>
      </c>
      <c r="Z31" s="422">
        <f>IF(ISERROR(VLOOKUP(T31,'Base de Datos'!$E$7:$AU$302,10,0))=TRUE," ",(VLOOKUP(T31,'Base de Datos'!$E$7:$AU$302,10,0)))</f>
        <v>42294</v>
      </c>
      <c r="AA31" s="425" t="str">
        <f>IF(ISERROR(VLOOKUP(T31,'Base de Datos'!$E$7:$AU$302,11,0))=TRUE," ",(VLOOKUP(T31,'Base de Datos'!$E$7:$AU$302,11,0)))</f>
        <v/>
      </c>
      <c r="AB31" s="422">
        <f>IF(ISERROR(VLOOKUP(T31,'Base de Datos'!$E$7:$AU$302,12,0))=TRUE," ",(VLOOKUP(T31,'Base de Datos'!$E$7:$AU$302,12,0)))</f>
        <v>1</v>
      </c>
      <c r="AC31" s="422">
        <f>IF(ISERROR(VLOOKUP(T31,'Base de Datos'!$E$7:$AU$302,12,0))=TRUE," ",(VLOOKUP(T31,'Base de Datos'!$E$7:$AU$302,12,0)))</f>
        <v>1</v>
      </c>
      <c r="AD31" s="428" t="str">
        <f>IF(ISERROR(VLOOKUP(T31,'Base de Datos'!$E$7:$AU$302,15,0))=TRUE," ",(VLOOKUP(T31,'Base de Datos'!$E$7:$AU$302,15,0)))</f>
        <v>6 meses</v>
      </c>
      <c r="AE31" s="433">
        <f>IF(ISERROR(VLOOKUP(T31,'Base de Datos'!$E$7:$AU$302,16,0))=TRUE," ",(VLOOKUP(T31,'Base de Datos'!$E$7:$AU$302,16,0)))</f>
        <v>42477</v>
      </c>
      <c r="AF31" s="433" t="str">
        <f>IF(ISERROR(VLOOKUP(T31,'Base de Datos'!$E$7:$AU$302,17,0))=TRUE," ",(VLOOKUP(T31,'Base de Datos'!$E$7:$AU$302,17,0)))</f>
        <v/>
      </c>
      <c r="AG31" s="433" t="str">
        <f>IF(ISERROR(VLOOKUP(T31,'Base de Datos'!$E$7:$AU$302,18,0))=TRUE," ",(VLOOKUP(T31,'Base de Datos'!$E$7:$AU$302,18,0)))</f>
        <v/>
      </c>
      <c r="AH31" s="434">
        <f>IF(ISERROR(VLOOKUP(T31,'Base de Datos'!$E$7:$AU$302,20,0))=TRUE," ",(VLOOKUP(T31,'Base de Datos'!$E$7:$AU$302,20,0)))</f>
        <v>66816000</v>
      </c>
      <c r="AI31" s="434">
        <f>IF(ISERROR(VLOOKUP(T31,'Base de Datos'!$E$7:$AU$302,21,0))=TRUE," ",(VLOOKUP(T31,'Base de Datos'!$E$7:$AU$302,21,0)))</f>
        <v>66816000</v>
      </c>
      <c r="AJ31" s="423"/>
      <c r="AK31" s="423" t="str">
        <f>IF(ISERROR(VLOOKUP(D31,'Base de Datos'!$C$7:$AU$400,2,0))=TRUE," ",(VLOOKUP(D31,'Base de Datos'!$C$7:$AU$400,2,0)))</f>
        <v xml:space="preserve"> </v>
      </c>
      <c r="AL31" s="423" t="str">
        <f>IF(ISERROR(VLOOKUP(D31,'Base de Datos'!$C$7:$AU$400,3,0))=TRUE," ",(VLOOKUP(D31,'Base de Datos'!$C$7:$AU$400,3,0)))</f>
        <v xml:space="preserve"> </v>
      </c>
      <c r="AM31" s="426" t="e">
        <f>IF(ISERROR(VLOOKUP(D31,'Base de Datos'!$C$7:$AU$3761,6,0))=TRUE," ",(VLOOKUP(D31,'Base de Datos'!$C$7:$AU$400,6,0)))</f>
        <v>#N/A</v>
      </c>
      <c r="AN31" s="426" t="str">
        <f>IF(ISERROR(VLOOKUP(D31,'Base de Datos'!$C$7:$AU$400,20,0))=TRUE," ",(VLOOKUP(D31,'Base de Datos'!$C$7:$AU$400,19,0)))</f>
        <v xml:space="preserve"> </v>
      </c>
      <c r="AO31" s="429" t="str">
        <f>IF(ISERROR(VLOOKUP(D31,'Base de Datos'!$C$7:$AU$400,9,0))=TRUE," ",(VLOOKUP(D31,'Base de Datos'!$C$7:$AU$400,9,0)))</f>
        <v xml:space="preserve"> </v>
      </c>
      <c r="AP31" s="429" t="str">
        <f>IF(ISERROR(VLOOKUP(D31,'Base de Datos'!$C$7:$AU$400,10,0))=TRUE," ",(VLOOKUP(D31,'Base de Datos'!$C$7:$AU$400,10,0)))</f>
        <v xml:space="preserve"> </v>
      </c>
      <c r="AQ31" s="431" t="str">
        <f>IF(ISERROR(VLOOKUP(D31,'Base de Datos'!$C$7:$AU$400,11,0))=TRUE," ",(VLOOKUP(D31,'Base de Datos'!$C$7:$AU$400,11,0)))</f>
        <v xml:space="preserve"> </v>
      </c>
      <c r="AR31" s="432" t="str">
        <f>IF(ISERROR(VLOOKUP(D31,'Base de Datos'!$C$7:$AU$400,12,0))=TRUE," ",(VLOOKUP(D31,'Base de Datos'!$C$7:$AU$400,12,0)))</f>
        <v xml:space="preserve"> </v>
      </c>
      <c r="AS31" s="431" t="str">
        <f>IF(ISERROR(VLOOKUP(D31,'Base de Datos'!$C$7:$AU$400,13,0))=TRUE," ",(VLOOKUP(D31,'Base de Datos'!$C$7:$AU$400,13,0)))</f>
        <v xml:space="preserve"> </v>
      </c>
      <c r="AT31" s="431" t="str">
        <f>IF(ISERROR(VLOOKUP(D31,'Base de Datos'!$C$7:$AU$400,14,0))=TRUE," ",(VLOOKUP(D31,'Base de Datos'!$C$7:$AU$400,14,0)))</f>
        <v xml:space="preserve"> </v>
      </c>
      <c r="AU31" s="429" t="str">
        <f>IF(ISERROR(VLOOKUP(D31,'Base de Datos'!$C$7:$AU$400,16,0))=TRUE," ",(VLOOKUP(D31,'Base de Datos'!$C$7:$AU$400,16,0)))</f>
        <v xml:space="preserve"> </v>
      </c>
      <c r="AV31" s="433" t="str">
        <f>IF(ISERROR(VLOOKUP(D31,'Base de Datos'!$C$7:$AU$400,17,0))=TRUE," ",(VLOOKUP(D31,'Base de Datos'!$C$7:$AU$400,17,0)))</f>
        <v xml:space="preserve"> </v>
      </c>
      <c r="AW31" s="433" t="str">
        <f>IF(ISERROR(VLOOKUP(D31,'Base de Datos'!$C$7:$AU$400,18,0))=TRUE," ",(VLOOKUP(D31,'Base de Datos'!$C$7:$AU$400,18,0)))</f>
        <v xml:space="preserve"> </v>
      </c>
      <c r="AX31" s="433" t="str">
        <f>IF(ISERROR(VLOOKUP(D31,'Base de Datos'!$C$7:$AU$400,19,0))=TRUE," ",(VLOOKUP(D31,'Base de Datos'!$C$7:$AU$400,19,0)))</f>
        <v xml:space="preserve"> </v>
      </c>
      <c r="AY31" s="436" t="str">
        <f>IF(ISERROR(VLOOKUP(D31,'Base de Datos'!$C$7:$AU$400,21,0))=TRUE," ",(VLOOKUP(D31,'Base de Datos'!$C$7:$AU$400,21,0)))</f>
        <v xml:space="preserve"> </v>
      </c>
      <c r="AZ31" s="436" t="str">
        <f>IF(ISERROR(VLOOKUP(D31,'Base de Datos'!$C$7:$AU$400,22,0))=TRUE," ",(VLOOKUP(D31,'Base de Datos'!$C$7:$AU$400,22,0)))</f>
        <v xml:space="preserve"> </v>
      </c>
      <c r="BA31" s="443"/>
      <c r="BB31" s="453"/>
    </row>
    <row r="32" spans="2:54" ht="55.5" hidden="1" customHeight="1" x14ac:dyDescent="0.3">
      <c r="B32" s="406">
        <v>25</v>
      </c>
      <c r="C32" s="414" t="s">
        <v>1641</v>
      </c>
      <c r="D32" s="406">
        <v>62</v>
      </c>
      <c r="E32" s="414" t="s">
        <v>1647</v>
      </c>
      <c r="F32" s="415">
        <f>VLOOKUP(D32,'Presupuesto - PAA 2015'!$B$10:$E$265,4,0)</f>
        <v>194667840</v>
      </c>
      <c r="G32" s="407" t="str">
        <f>VLOOKUP(D32,'[4]Seguimiento Plan'!$C$2:$R$101,16,0)</f>
        <v>Prestar los servicios de mantenimieto, actualización y soporte de licencias y plataforma del sistema de voto electrónico del Concejo de Bogotá D.C</v>
      </c>
      <c r="H32" s="407" t="s">
        <v>1776</v>
      </c>
      <c r="I32" s="407" t="s">
        <v>1709</v>
      </c>
      <c r="J32" s="416" t="s">
        <v>913</v>
      </c>
      <c r="K32" s="417" t="s">
        <v>390</v>
      </c>
      <c r="L32" s="417" t="str">
        <f>VLOOKUP(D32,'[4]Seguimiento Plan'!$C$2:$AJ$101,30,0)</f>
        <v>SI</v>
      </c>
      <c r="M32" s="418">
        <f>VLOOKUP(D32,'[4]Seguimiento Plan'!$C$2:$AJ$101,31,0)</f>
        <v>42065</v>
      </c>
      <c r="N32" s="417" t="s">
        <v>1801</v>
      </c>
      <c r="O32" s="419"/>
      <c r="P32" s="419"/>
      <c r="Q32" s="419"/>
      <c r="R32" s="420"/>
      <c r="S32" s="438"/>
      <c r="T32" s="323" t="s">
        <v>1350</v>
      </c>
      <c r="U32" s="423" t="str">
        <f>IF(ISERROR(VLOOKUP(T32,'Base de Datos'!$E$7:$AU$302,3,0))=TRUE," ",(VLOOKUP(T32,'Base de Datos'!$E$7:$AU$302,2,0)))</f>
        <v>PROSEGUR TECNOLOGÍA S.A.S.</v>
      </c>
      <c r="V32" s="426">
        <f>IF(ISERROR(VLOOKUP(T32,'Base de Datos'!$E$7:$AU$302,5,0))=TRUE," ",(VLOOKUP(T32,'Base de Datos'!$E$7:$AU$302,5,0)))</f>
        <v>59383678</v>
      </c>
      <c r="W32" s="423">
        <f>IF(ISERROR(VLOOKUP(T32,'Base de Datos'!$E$7:$AU$302,19,0))=TRUE," ",(VLOOKUP(T32,'Base de Datos'!$E$7:$AU$302,19,0)))</f>
        <v>42184</v>
      </c>
      <c r="X32" s="428" t="str">
        <f>IF(ISERROR(VLOOKUP(T32,'Base de Datos'!$E$7:$AU$302,8,0))=TRUE," ",(VLOOKUP(T32,'Base de Datos'!$E$7:$AU$302,8,0)))</f>
        <v xml:space="preserve"> </v>
      </c>
      <c r="Y32" s="428">
        <f>IF(ISERROR(VLOOKUP(T32,'Base de Datos'!$E$7:$AU$302,9,0))=TRUE," ",(VLOOKUP(T32,'Base de Datos'!$E$7:$AU$302,9,0)))</f>
        <v>41941</v>
      </c>
      <c r="Z32" s="422">
        <f>IF(ISERROR(VLOOKUP(T32,'Base de Datos'!$E$7:$AU$302,10,0))=TRUE," ",(VLOOKUP(T32,'Base de Datos'!$E$7:$AU$302,10,0)))</f>
        <v>42033</v>
      </c>
      <c r="AA32" s="425" t="str">
        <f>IF(ISERROR(VLOOKUP(T32,'Base de Datos'!$E$7:$AU$302,11,0))=TRUE," ",(VLOOKUP(T32,'Base de Datos'!$E$7:$AU$302,11,0)))</f>
        <v/>
      </c>
      <c r="AB32" s="422">
        <f>IF(ISERROR(VLOOKUP(T32,'Base de Datos'!$E$7:$AU$302,12,0))=TRUE," ",(VLOOKUP(T32,'Base de Datos'!$E$7:$AU$302,12,0)))</f>
        <v>0</v>
      </c>
      <c r="AC32" s="422">
        <f>IF(ISERROR(VLOOKUP(T32,'Base de Datos'!$E$7:$AU$302,12,0))=TRUE," ",(VLOOKUP(T32,'Base de Datos'!$E$7:$AU$302,12,0)))</f>
        <v>0</v>
      </c>
      <c r="AD32" s="428" t="str">
        <f>IF(ISERROR(VLOOKUP(T32,'Base de Datos'!$E$7:$AU$302,15,0))=TRUE," ",(VLOOKUP(T32,'Base de Datos'!$E$7:$AU$302,15,0)))</f>
        <v>5 meses</v>
      </c>
      <c r="AE32" s="433">
        <f>IF(ISERROR(VLOOKUP(T32,'Base de Datos'!$E$7:$AU$302,16,0))=TRUE," ",(VLOOKUP(T32,'Base de Datos'!$E$7:$AU$302,16,0)))</f>
        <v>42184</v>
      </c>
      <c r="AF32" s="433" t="str">
        <f>IF(ISERROR(VLOOKUP(T32,'Base de Datos'!$E$7:$AU$302,17,0))=TRUE," ",(VLOOKUP(T32,'Base de Datos'!$E$7:$AU$302,17,0)))</f>
        <v/>
      </c>
      <c r="AG32" s="433" t="str">
        <f>IF(ISERROR(VLOOKUP(T32,'Base de Datos'!$E$7:$AU$302,18,0))=TRUE," ",(VLOOKUP(T32,'Base de Datos'!$E$7:$AU$302,18,0)))</f>
        <v/>
      </c>
      <c r="AH32" s="434">
        <f>IF(ISERROR(VLOOKUP(T32,'Base de Datos'!$E$7:$AU$302,20,0))=TRUE," ",(VLOOKUP(T32,'Base de Datos'!$E$7:$AU$302,20,0)))</f>
        <v>59383678</v>
      </c>
      <c r="AI32" s="434">
        <f>IF(ISERROR(VLOOKUP(T32,'Base de Datos'!$E$7:$AU$302,21,0))=TRUE," ",(VLOOKUP(T32,'Base de Datos'!$E$7:$AU$302,21,0)))</f>
        <v>27770152</v>
      </c>
      <c r="AJ32" s="427"/>
      <c r="AK32" s="423" t="str">
        <f>IF(ISERROR(VLOOKUP(D32,'Base de Datos'!$C$7:$AU$400,2,0))=TRUE," ",(VLOOKUP(D32,'Base de Datos'!$C$7:$AU$400,2,0)))</f>
        <v>201562</v>
      </c>
      <c r="AL32" s="423" t="str">
        <f>IF(ISERROR(VLOOKUP(D32,'Base de Datos'!$C$7:$AU$400,3,0))=TRUE," ",(VLOOKUP(D32,'Base de Datos'!$C$7:$AU$400,3,0)))</f>
        <v>150405-0-2015</v>
      </c>
      <c r="AM32" s="426" t="str">
        <f>IF(ISERROR(VLOOKUP(D32,'Base de Datos'!$C$7:$AU$3761,6,0))=TRUE," ",(VLOOKUP(D32,'Base de Datos'!$C$7:$AU$400,6,0)))</f>
        <v>Prestar los servicios de valoración y mantenimiento preventivo de la plataforma del sistema de voto electrónico del Concejo de Bogotá D.C.</v>
      </c>
      <c r="AN32" s="426" t="str">
        <f>IF(ISERROR(VLOOKUP(D32,'Base de Datos'!$C$7:$AU$400,20,0))=TRUE," ",(VLOOKUP(D32,'Base de Datos'!$C$7:$AU$400,19,0)))</f>
        <v/>
      </c>
      <c r="AO32" s="429">
        <f>IF(ISERROR(VLOOKUP(D32,'Base de Datos'!$C$7:$AU$400,9,0))=TRUE," ",(VLOOKUP(D32,'Base de Datos'!$C$7:$AU$400,9,0)))</f>
        <v>2015</v>
      </c>
      <c r="AP32" s="429">
        <f>IF(ISERROR(VLOOKUP(D32,'Base de Datos'!$C$7:$AU$400,10,0))=TRUE," ",(VLOOKUP(D32,'Base de Datos'!$C$7:$AU$400,10,0)))</f>
        <v>42359</v>
      </c>
      <c r="AQ32" s="431">
        <f>IF(ISERROR(VLOOKUP(D32,'Base de Datos'!$C$7:$AU$400,11,0))=TRUE," ",(VLOOKUP(D32,'Base de Datos'!$C$7:$AU$400,11,0)))</f>
        <v>42384</v>
      </c>
      <c r="AR32" s="432">
        <f>IF(ISERROR(VLOOKUP(D32,'Base de Datos'!$C$7:$AU$400,12,0))=TRUE," ",(VLOOKUP(D32,'Base de Datos'!$C$7:$AU$400,12,0)))</f>
        <v>42505</v>
      </c>
      <c r="AS32" s="431" t="str">
        <f>IF(ISERROR(VLOOKUP(D32,'Base de Datos'!$C$7:$AU$400,13,0))=TRUE," ",(VLOOKUP(D32,'Base de Datos'!$C$7:$AU$400,13,0)))</f>
        <v/>
      </c>
      <c r="AT32" s="431">
        <f>IF(ISERROR(VLOOKUP(D32,'Base de Datos'!$C$7:$AU$400,14,0))=TRUE," ",(VLOOKUP(D32,'Base de Datos'!$C$7:$AU$400,14,0)))</f>
        <v>0</v>
      </c>
      <c r="AU32" s="429">
        <f>IF(ISERROR(VLOOKUP(D32,'Base de Datos'!$C$7:$AU$400,16,0))=TRUE," ",(VLOOKUP(D32,'Base de Datos'!$C$7:$AU$400,16,0)))</f>
        <v>1</v>
      </c>
      <c r="AV32" s="433" t="str">
        <f>IF(ISERROR(VLOOKUP(D32,'Base de Datos'!$C$7:$AU$400,17,0))=TRUE," ",(VLOOKUP(D32,'Base de Datos'!$C$7:$AU$400,17,0)))</f>
        <v>1 mes</v>
      </c>
      <c r="AW32" s="433">
        <f>IF(ISERROR(VLOOKUP(D32,'Base de Datos'!$C$7:$AU$400,18,0))=TRUE," ",(VLOOKUP(D32,'Base de Datos'!$C$7:$AU$400,18,0)))</f>
        <v>42536</v>
      </c>
      <c r="AX32" s="433" t="str">
        <f>IF(ISERROR(VLOOKUP(D32,'Base de Datos'!$C$7:$AU$400,19,0))=TRUE," ",(VLOOKUP(D32,'Base de Datos'!$C$7:$AU$400,19,0)))</f>
        <v/>
      </c>
      <c r="AY32" s="436">
        <f>IF(ISERROR(VLOOKUP(D32,'Base de Datos'!$C$7:$AU$400,21,0))=TRUE," ",(VLOOKUP(D32,'Base de Datos'!$C$7:$AU$400,21,0)))</f>
        <v>42536</v>
      </c>
      <c r="AZ32" s="436">
        <f>IF(ISERROR(VLOOKUP(D32,'Base de Datos'!$C$7:$AU$400,22,0))=TRUE," ",(VLOOKUP(D32,'Base de Datos'!$C$7:$AU$400,22,0)))</f>
        <v>64250000</v>
      </c>
      <c r="BA32" s="443"/>
      <c r="BB32" s="453"/>
    </row>
    <row r="33" spans="2:54" ht="55.5" hidden="1" customHeight="1" x14ac:dyDescent="0.3">
      <c r="B33" s="406">
        <v>26</v>
      </c>
      <c r="C33" s="414" t="s">
        <v>1641</v>
      </c>
      <c r="D33" s="406">
        <v>63</v>
      </c>
      <c r="E33" s="414" t="s">
        <v>1647</v>
      </c>
      <c r="F33" s="415">
        <f>VLOOKUP(D33,'Presupuesto - PAA 2015'!$B$10:$E$265,4,0)</f>
        <v>213397762</v>
      </c>
      <c r="G33" s="407" t="str">
        <f>VLOOKUP(D33,'[4]Seguimiento Plan'!$C$2:$R$101,16,0)</f>
        <v>Prestar los servicios de administración y soporte técnico para la plataforma Oracle y Microsoft del Concejo de Bogotá-</v>
      </c>
      <c r="H33" s="407" t="s">
        <v>1776</v>
      </c>
      <c r="I33" s="407" t="s">
        <v>1709</v>
      </c>
      <c r="J33" s="416" t="s">
        <v>913</v>
      </c>
      <c r="K33" s="417" t="s">
        <v>390</v>
      </c>
      <c r="L33" s="417" t="str">
        <f>VLOOKUP(D33,'[4]Seguimiento Plan'!$C$2:$AJ$101,30,0)</f>
        <v>SI</v>
      </c>
      <c r="M33" s="418">
        <f>VLOOKUP(D33,'[4]Seguimiento Plan'!$C$2:$AJ$101,31,0)</f>
        <v>42065</v>
      </c>
      <c r="N33" s="417" t="s">
        <v>1802</v>
      </c>
      <c r="O33" s="419"/>
      <c r="P33" s="419"/>
      <c r="Q33" s="419"/>
      <c r="R33" s="420"/>
      <c r="S33" s="420" t="s">
        <v>2022</v>
      </c>
      <c r="T33" s="421"/>
      <c r="U33" s="423" t="str">
        <f>IF(ISERROR(VLOOKUP(T33,'Base de Datos'!$E$7:$AU$302,3,0))=TRUE," ",(VLOOKUP(T33,'Base de Datos'!$E$7:$AU$302,2,0)))</f>
        <v xml:space="preserve"> </v>
      </c>
      <c r="V33" s="426" t="str">
        <f>IF(ISERROR(VLOOKUP(T33,'Base de Datos'!$E$7:$AU$302,5,0))=TRUE," ",(VLOOKUP(T33,'Base de Datos'!$E$7:$AU$302,5,0)))</f>
        <v xml:space="preserve"> </v>
      </c>
      <c r="W33" s="423" t="str">
        <f>IF(ISERROR(VLOOKUP(T33,'Base de Datos'!$E$7:$AU$302,19,0))=TRUE," ",(VLOOKUP(T33,'Base de Datos'!$E$7:$AU$302,19,0)))</f>
        <v xml:space="preserve"> </v>
      </c>
      <c r="X33" s="428" t="str">
        <f>IF(ISERROR(VLOOKUP(T33,'Base de Datos'!$E$7:$AU$302,8,0))=TRUE," ",(VLOOKUP(T33,'Base de Datos'!$E$7:$AU$302,8,0)))</f>
        <v xml:space="preserve"> </v>
      </c>
      <c r="Y33" s="428" t="str">
        <f>IF(ISERROR(VLOOKUP(T33,'Base de Datos'!$E$7:$AU$302,9,0))=TRUE," ",(VLOOKUP(T33,'Base de Datos'!$E$7:$AU$302,9,0)))</f>
        <v xml:space="preserve"> </v>
      </c>
      <c r="Z33" s="422" t="str">
        <f>IF(ISERROR(VLOOKUP(T33,'Base de Datos'!$E$7:$AU$302,10,0))=TRUE," ",(VLOOKUP(T33,'Base de Datos'!$E$7:$AU$302,10,0)))</f>
        <v xml:space="preserve"> </v>
      </c>
      <c r="AA33" s="425" t="str">
        <f>IF(ISERROR(VLOOKUP(T33,'Base de Datos'!$E$7:$AU$302,11,0))=TRUE," ",(VLOOKUP(T33,'Base de Datos'!$E$7:$AU$302,11,0)))</f>
        <v xml:space="preserve"> </v>
      </c>
      <c r="AB33" s="422" t="str">
        <f>IF(ISERROR(VLOOKUP(T33,'Base de Datos'!$E$7:$AU$302,12,0))=TRUE," ",(VLOOKUP(T33,'Base de Datos'!$E$7:$AU$302,12,0)))</f>
        <v xml:space="preserve"> </v>
      </c>
      <c r="AC33" s="422" t="str">
        <f>IF(ISERROR(VLOOKUP(T33,'Base de Datos'!$E$7:$AU$302,12,0))=TRUE," ",(VLOOKUP(T33,'Base de Datos'!$E$7:$AU$302,12,0)))</f>
        <v xml:space="preserve"> </v>
      </c>
      <c r="AD33" s="428" t="str">
        <f>IF(ISERROR(VLOOKUP(T33,'Base de Datos'!$E$7:$AU$302,15,0))=TRUE," ",(VLOOKUP(T33,'Base de Datos'!$E$7:$AU$302,15,0)))</f>
        <v xml:space="preserve"> </v>
      </c>
      <c r="AE33" s="433" t="str">
        <f>IF(ISERROR(VLOOKUP(T33,'Base de Datos'!$E$7:$AU$302,16,0))=TRUE," ",(VLOOKUP(T33,'Base de Datos'!$E$7:$AU$302,16,0)))</f>
        <v xml:space="preserve"> </v>
      </c>
      <c r="AF33" s="433" t="str">
        <f>IF(ISERROR(VLOOKUP(T33,'Base de Datos'!$E$7:$AU$302,17,0))=TRUE," ",(VLOOKUP(T33,'Base de Datos'!$E$7:$AU$302,17,0)))</f>
        <v xml:space="preserve"> </v>
      </c>
      <c r="AG33" s="433" t="str">
        <f>IF(ISERROR(VLOOKUP(T33,'Base de Datos'!$E$7:$AU$302,18,0))=TRUE," ",(VLOOKUP(T33,'Base de Datos'!$E$7:$AU$302,18,0)))</f>
        <v xml:space="preserve"> </v>
      </c>
      <c r="AH33" s="434" t="str">
        <f>IF(ISERROR(VLOOKUP(T33,'Base de Datos'!$E$7:$AU$302,20,0))=TRUE," ",(VLOOKUP(T33,'Base de Datos'!$E$7:$AU$302,20,0)))</f>
        <v xml:space="preserve"> </v>
      </c>
      <c r="AI33" s="434" t="str">
        <f>IF(ISERROR(VLOOKUP(T33,'Base de Datos'!$E$7:$AU$302,21,0))=TRUE," ",(VLOOKUP(T33,'Base de Datos'!$E$7:$AU$302,21,0)))</f>
        <v xml:space="preserve"> </v>
      </c>
      <c r="AJ33" s="437">
        <v>42165</v>
      </c>
      <c r="AK33" s="423" t="str">
        <f>IF(ISERROR(VLOOKUP(D33,'Base de Datos'!$C$7:$AU$400,2,0))=TRUE," ",(VLOOKUP(D33,'Base de Datos'!$C$7:$AU$400,2,0)))</f>
        <v>201563</v>
      </c>
      <c r="AL33" s="423" t="str">
        <f>IF(ISERROR(VLOOKUP(D33,'Base de Datos'!$C$7:$AU$400,3,0))=TRUE," ",(VLOOKUP(D33,'Base de Datos'!$C$7:$AU$400,3,0)))</f>
        <v>150249-0-2015</v>
      </c>
      <c r="AM33" s="426" t="str">
        <f>IF(ISERROR(VLOOKUP(D33,'Base de Datos'!$C$7:$AU$3761,6,0))=TRUE," ",(VLOOKUP(D33,'Base de Datos'!$C$7:$AU$400,6,0)))</f>
        <v>Prestar los servicios de administración y soporte técnico para la plataforma Microsoft del Concejo de Bogotá, de conformidad con lo establecido en los documentos y estudios previos y la propuesta presentada por el contratista.</v>
      </c>
      <c r="AN33" s="426" t="str">
        <f>IF(ISERROR(VLOOKUP(D33,'Base de Datos'!$C$7:$AU$400,20,0))=TRUE," ",(VLOOKUP(D33,'Base de Datos'!$C$7:$AU$400,19,0)))</f>
        <v/>
      </c>
      <c r="AO33" s="429">
        <f>IF(ISERROR(VLOOKUP(D33,'Base de Datos'!$C$7:$AU$400,9,0))=TRUE," ",(VLOOKUP(D33,'Base de Datos'!$C$7:$AU$400,9,0)))</f>
        <v>2015</v>
      </c>
      <c r="AP33" s="429">
        <f>IF(ISERROR(VLOOKUP(D33,'Base de Datos'!$C$7:$AU$400,10,0))=TRUE," ",(VLOOKUP(D33,'Base de Datos'!$C$7:$AU$400,10,0)))</f>
        <v>42165</v>
      </c>
      <c r="AQ33" s="431">
        <f>IF(ISERROR(VLOOKUP(D33,'Base de Datos'!$C$7:$AU$400,11,0))=TRUE," ",(VLOOKUP(D33,'Base de Datos'!$C$7:$AU$400,11,0)))</f>
        <v>42181</v>
      </c>
      <c r="AR33" s="432">
        <f>IF(ISERROR(VLOOKUP(D33,'Base de Datos'!$C$7:$AU$400,12,0))=TRUE," ",(VLOOKUP(D33,'Base de Datos'!$C$7:$AU$400,12,0)))</f>
        <v>42537</v>
      </c>
      <c r="AS33" s="431" t="str">
        <f>IF(ISERROR(VLOOKUP(D33,'Base de Datos'!$C$7:$AU$400,13,0))=TRUE," ",(VLOOKUP(D33,'Base de Datos'!$C$7:$AU$400,13,0)))</f>
        <v/>
      </c>
      <c r="AT33" s="431">
        <f>IF(ISERROR(VLOOKUP(D33,'Base de Datos'!$C$7:$AU$400,14,0))=TRUE," ",(VLOOKUP(D33,'Base de Datos'!$C$7:$AU$400,14,0)))</f>
        <v>0</v>
      </c>
      <c r="AU33" s="429">
        <f>IF(ISERROR(VLOOKUP(D33,'Base de Datos'!$C$7:$AU$400,16,0))=TRUE," ",(VLOOKUP(D33,'Base de Datos'!$C$7:$AU$400,16,0)))</f>
        <v>0</v>
      </c>
      <c r="AV33" s="433" t="str">
        <f>IF(ISERROR(VLOOKUP(D33,'Base de Datos'!$C$7:$AU$400,17,0))=TRUE," ",(VLOOKUP(D33,'Base de Datos'!$C$7:$AU$400,17,0)))</f>
        <v/>
      </c>
      <c r="AW33" s="433" t="str">
        <f>IF(ISERROR(VLOOKUP(D33,'Base de Datos'!$C$7:$AU$400,18,0))=TRUE," ",(VLOOKUP(D33,'Base de Datos'!$C$7:$AU$400,18,0)))</f>
        <v/>
      </c>
      <c r="AX33" s="433" t="str">
        <f>IF(ISERROR(VLOOKUP(D33,'Base de Datos'!$C$7:$AU$400,19,0))=TRUE," ",(VLOOKUP(D33,'Base de Datos'!$C$7:$AU$400,19,0)))</f>
        <v/>
      </c>
      <c r="AY33" s="436">
        <f>IF(ISERROR(VLOOKUP(D33,'Base de Datos'!$C$7:$AU$400,21,0))=TRUE," ",(VLOOKUP(D33,'Base de Datos'!$C$7:$AU$400,21,0)))</f>
        <v>42537</v>
      </c>
      <c r="AZ33" s="436">
        <f>IF(ISERROR(VLOOKUP(D33,'Base de Datos'!$C$7:$AU$400,22,0))=TRUE," ",(VLOOKUP(D33,'Base de Datos'!$C$7:$AU$400,22,0)))</f>
        <v>213397762</v>
      </c>
      <c r="BA33" s="443"/>
      <c r="BB33" s="453"/>
    </row>
    <row r="34" spans="2:54" ht="55.5" hidden="1" customHeight="1" x14ac:dyDescent="0.3">
      <c r="B34" s="406">
        <v>27</v>
      </c>
      <c r="C34" s="414" t="s">
        <v>1641</v>
      </c>
      <c r="D34" s="406">
        <v>64</v>
      </c>
      <c r="E34" s="414" t="s">
        <v>1647</v>
      </c>
      <c r="F34" s="415">
        <f>VLOOKUP(D34,'Presupuesto - PAA 2015'!$B$10:$E$265,4,0)</f>
        <v>8300000</v>
      </c>
      <c r="G34" s="407" t="str">
        <f>VLOOKUP(D34,'[4]Seguimiento Plan'!$C$2:$R$101,16,0)</f>
        <v>Adición y prórroga al contrato 140252-2014 que tiene por objeto: Contratar la actualización, mantenimiento y soporte de licencias de software antivirus para la plataforma del Concejo de Bogotá.</v>
      </c>
      <c r="H34" s="407" t="s">
        <v>1776</v>
      </c>
      <c r="I34" s="407" t="s">
        <v>1709</v>
      </c>
      <c r="J34" s="416" t="s">
        <v>590</v>
      </c>
      <c r="K34" s="417"/>
      <c r="L34" s="417"/>
      <c r="M34" s="418"/>
      <c r="N34" s="417"/>
      <c r="O34" s="419"/>
      <c r="P34" s="419"/>
      <c r="Q34" s="419"/>
      <c r="R34" s="420"/>
      <c r="S34" s="420"/>
      <c r="T34" s="319" t="s">
        <v>1161</v>
      </c>
      <c r="U34" s="423" t="str">
        <f>IF(ISERROR(VLOOKUP(T34,'Base de Datos'!$E$7:$AU$302,3,0))=TRUE," ",(VLOOKUP(T34,'Base de Datos'!$E$7:$AU$302,2,0)))</f>
        <v>LINALCA INFORMATICA</v>
      </c>
      <c r="V34" s="426">
        <f>IF(ISERROR(VLOOKUP(T34,'Base de Datos'!$E$7:$AU$302,5,0))=TRUE," ",(VLOOKUP(T34,'Base de Datos'!$E$7:$AU$302,5,0)))</f>
        <v>16592327</v>
      </c>
      <c r="W34" s="423">
        <f>IF(ISERROR(VLOOKUP(T34,'Base de Datos'!$E$7:$AU$302,19,0))=TRUE," ",(VLOOKUP(T34,'Base de Datos'!$E$7:$AU$302,19,0)))</f>
        <v>42301</v>
      </c>
      <c r="X34" s="428" t="str">
        <f>IF(ISERROR(VLOOKUP(T34,'Base de Datos'!$E$7:$AU$302,8,0))=TRUE," ",(VLOOKUP(T34,'Base de Datos'!$E$7:$AU$302,8,0)))</f>
        <v xml:space="preserve"> </v>
      </c>
      <c r="Y34" s="428">
        <f>IF(ISERROR(VLOOKUP(T34,'Base de Datos'!$E$7:$AU$302,9,0))=TRUE," ",(VLOOKUP(T34,'Base de Datos'!$E$7:$AU$302,9,0)))</f>
        <v>41936</v>
      </c>
      <c r="Z34" s="422">
        <f>IF(ISERROR(VLOOKUP(T34,'Base de Datos'!$E$7:$AU$302,10,0))=TRUE," ",(VLOOKUP(T34,'Base de Datos'!$E$7:$AU$302,10,0)))</f>
        <v>42301</v>
      </c>
      <c r="AA34" s="425" t="str">
        <f>IF(ISERROR(VLOOKUP(T34,'Base de Datos'!$E$7:$AU$302,11,0))=TRUE," ",(VLOOKUP(T34,'Base de Datos'!$E$7:$AU$302,11,0)))</f>
        <v/>
      </c>
      <c r="AB34" s="422">
        <f>IF(ISERROR(VLOOKUP(T34,'Base de Datos'!$E$7:$AU$302,12,0))=TRUE," ",(VLOOKUP(T34,'Base de Datos'!$E$7:$AU$302,12,0)))</f>
        <v>0</v>
      </c>
      <c r="AC34" s="422">
        <f>IF(ISERROR(VLOOKUP(T34,'Base de Datos'!$E$7:$AU$302,12,0))=TRUE," ",(VLOOKUP(T34,'Base de Datos'!$E$7:$AU$302,12,0)))</f>
        <v>0</v>
      </c>
      <c r="AD34" s="428" t="str">
        <f>IF(ISERROR(VLOOKUP(T34,'Base de Datos'!$E$7:$AU$302,15,0))=TRUE," ",(VLOOKUP(T34,'Base de Datos'!$E$7:$AU$302,15,0)))</f>
        <v/>
      </c>
      <c r="AE34" s="433" t="str">
        <f>IF(ISERROR(VLOOKUP(T34,'Base de Datos'!$E$7:$AU$302,16,0))=TRUE," ",(VLOOKUP(T34,'Base de Datos'!$E$7:$AU$302,16,0)))</f>
        <v/>
      </c>
      <c r="AF34" s="433" t="str">
        <f>IF(ISERROR(VLOOKUP(T34,'Base de Datos'!$E$7:$AU$302,17,0))=TRUE," ",(VLOOKUP(T34,'Base de Datos'!$E$7:$AU$302,17,0)))</f>
        <v/>
      </c>
      <c r="AG34" s="433" t="str">
        <f>IF(ISERROR(VLOOKUP(T34,'Base de Datos'!$E$7:$AU$302,18,0))=TRUE," ",(VLOOKUP(T34,'Base de Datos'!$E$7:$AU$302,18,0)))</f>
        <v/>
      </c>
      <c r="AH34" s="434">
        <f>IF(ISERROR(VLOOKUP(T34,'Base de Datos'!$E$7:$AU$302,20,0))=TRUE," ",(VLOOKUP(T34,'Base de Datos'!$E$7:$AU$302,20,0)))</f>
        <v>16592327</v>
      </c>
      <c r="AI34" s="434">
        <f>IF(ISERROR(VLOOKUP(T34,'Base de Datos'!$E$7:$AU$302,21,0))=TRUE," ",(VLOOKUP(T34,'Base de Datos'!$E$7:$AU$302,21,0)))</f>
        <v>14933095</v>
      </c>
      <c r="AJ34" s="423"/>
      <c r="AK34" s="423" t="str">
        <f>IF(ISERROR(VLOOKUP(D34,'Base de Datos'!$C$7:$AU$400,2,0))=TRUE," ",(VLOOKUP(D34,'Base de Datos'!$C$7:$AU$400,2,0)))</f>
        <v xml:space="preserve"> </v>
      </c>
      <c r="AL34" s="423" t="str">
        <f>IF(ISERROR(VLOOKUP(D34,'Base de Datos'!$C$7:$AU$400,3,0))=TRUE," ",(VLOOKUP(D34,'Base de Datos'!$C$7:$AU$400,3,0)))</f>
        <v xml:space="preserve"> </v>
      </c>
      <c r="AM34" s="426" t="e">
        <f>IF(ISERROR(VLOOKUP(D34,'Base de Datos'!$C$7:$AU$3761,6,0))=TRUE," ",(VLOOKUP(D34,'Base de Datos'!$C$7:$AU$400,6,0)))</f>
        <v>#N/A</v>
      </c>
      <c r="AN34" s="426" t="str">
        <f>IF(ISERROR(VLOOKUP(D34,'Base de Datos'!$C$7:$AU$400,20,0))=TRUE," ",(VLOOKUP(D34,'Base de Datos'!$C$7:$AU$400,19,0)))</f>
        <v xml:space="preserve"> </v>
      </c>
      <c r="AO34" s="429" t="str">
        <f>IF(ISERROR(VLOOKUP(D34,'Base de Datos'!$C$7:$AU$400,9,0))=TRUE," ",(VLOOKUP(D34,'Base de Datos'!$C$7:$AU$400,9,0)))</f>
        <v xml:space="preserve"> </v>
      </c>
      <c r="AP34" s="429" t="str">
        <f>IF(ISERROR(VLOOKUP(D34,'Base de Datos'!$C$7:$AU$400,10,0))=TRUE," ",(VLOOKUP(D34,'Base de Datos'!$C$7:$AU$400,10,0)))</f>
        <v xml:space="preserve"> </v>
      </c>
      <c r="AQ34" s="431" t="str">
        <f>IF(ISERROR(VLOOKUP(D34,'Base de Datos'!$C$7:$AU$400,11,0))=TRUE," ",(VLOOKUP(D34,'Base de Datos'!$C$7:$AU$400,11,0)))</f>
        <v xml:space="preserve"> </v>
      </c>
      <c r="AR34" s="432" t="str">
        <f>IF(ISERROR(VLOOKUP(D34,'Base de Datos'!$C$7:$AU$400,12,0))=TRUE," ",(VLOOKUP(D34,'Base de Datos'!$C$7:$AU$400,12,0)))</f>
        <v xml:space="preserve"> </v>
      </c>
      <c r="AS34" s="431" t="str">
        <f>IF(ISERROR(VLOOKUP(D34,'Base de Datos'!$C$7:$AU$400,13,0))=TRUE," ",(VLOOKUP(D34,'Base de Datos'!$C$7:$AU$400,13,0)))</f>
        <v xml:space="preserve"> </v>
      </c>
      <c r="AT34" s="431" t="str">
        <f>IF(ISERROR(VLOOKUP(D34,'Base de Datos'!$C$7:$AU$400,14,0))=TRUE," ",(VLOOKUP(D34,'Base de Datos'!$C$7:$AU$400,14,0)))</f>
        <v xml:space="preserve"> </v>
      </c>
      <c r="AU34" s="429" t="str">
        <f>IF(ISERROR(VLOOKUP(D34,'Base de Datos'!$C$7:$AU$400,16,0))=TRUE," ",(VLOOKUP(D34,'Base de Datos'!$C$7:$AU$400,16,0)))</f>
        <v xml:space="preserve"> </v>
      </c>
      <c r="AV34" s="433" t="str">
        <f>IF(ISERROR(VLOOKUP(D34,'Base de Datos'!$C$7:$AU$400,17,0))=TRUE," ",(VLOOKUP(D34,'Base de Datos'!$C$7:$AU$400,17,0)))</f>
        <v xml:space="preserve"> </v>
      </c>
      <c r="AW34" s="433" t="str">
        <f>IF(ISERROR(VLOOKUP(D34,'Base de Datos'!$C$7:$AU$400,18,0))=TRUE," ",(VLOOKUP(D34,'Base de Datos'!$C$7:$AU$400,18,0)))</f>
        <v xml:space="preserve"> </v>
      </c>
      <c r="AX34" s="433" t="str">
        <f>IF(ISERROR(VLOOKUP(D34,'Base de Datos'!$C$7:$AU$400,19,0))=TRUE," ",(VLOOKUP(D34,'Base de Datos'!$C$7:$AU$400,19,0)))</f>
        <v xml:space="preserve"> </v>
      </c>
      <c r="AY34" s="436" t="str">
        <f>IF(ISERROR(VLOOKUP(D34,'Base de Datos'!$C$7:$AU$400,21,0))=TRUE," ",(VLOOKUP(D34,'Base de Datos'!$C$7:$AU$400,21,0)))</f>
        <v xml:space="preserve"> </v>
      </c>
      <c r="AZ34" s="436" t="str">
        <f>IF(ISERROR(VLOOKUP(D34,'Base de Datos'!$C$7:$AU$400,22,0))=TRUE," ",(VLOOKUP(D34,'Base de Datos'!$C$7:$AU$400,22,0)))</f>
        <v xml:space="preserve"> </v>
      </c>
      <c r="BA34" s="443"/>
      <c r="BB34" s="453"/>
    </row>
    <row r="35" spans="2:54" ht="55.5" hidden="1" customHeight="1" x14ac:dyDescent="0.3">
      <c r="B35" s="406">
        <v>28</v>
      </c>
      <c r="C35" s="414" t="s">
        <v>1641</v>
      </c>
      <c r="D35" s="406">
        <v>65</v>
      </c>
      <c r="E35" s="414" t="s">
        <v>1647</v>
      </c>
      <c r="F35" s="415">
        <f>VLOOKUP(D35,'Presupuesto - PAA 2015'!$B$10:$E$265,4,0)</f>
        <v>22500000</v>
      </c>
      <c r="G35" s="407" t="str">
        <f>VLOOKUP(D35,'[4]Seguimiento Plan'!$C$2:$R$101,16,0)</f>
        <v>Adición y prórroga al contrato 140317 suscrito con Factor Visual E A T cuyo objeto es: Prestar el servicio de actualización, mantenimiento y soporte al sitio web  e intranet"</v>
      </c>
      <c r="H35" s="407" t="s">
        <v>1776</v>
      </c>
      <c r="I35" s="407" t="s">
        <v>1709</v>
      </c>
      <c r="J35" s="416" t="s">
        <v>590</v>
      </c>
      <c r="K35" s="417"/>
      <c r="L35" s="417"/>
      <c r="M35" s="418"/>
      <c r="N35" s="417"/>
      <c r="O35" s="419"/>
      <c r="P35" s="419"/>
      <c r="Q35" s="419"/>
      <c r="R35" s="420"/>
      <c r="S35" s="420"/>
      <c r="T35" s="321" t="s">
        <v>1157</v>
      </c>
      <c r="U35" s="423" t="str">
        <f>IF(ISERROR(VLOOKUP(T35,'Base de Datos'!$E$7:$AU$302,3,0))=TRUE," ",(VLOOKUP(T35,'Base de Datos'!$E$7:$AU$302,2,0)))</f>
        <v>FACTOR VISUAL EAT</v>
      </c>
      <c r="V35" s="426">
        <f>IF(ISERROR(VLOOKUP(T35,'Base de Datos'!$E$7:$AU$302,5,0))=TRUE," ",(VLOOKUP(T35,'Base de Datos'!$E$7:$AU$302,5,0)))</f>
        <v>44544000</v>
      </c>
      <c r="W35" s="423">
        <f>IF(ISERROR(VLOOKUP(T35,'Base de Datos'!$E$7:$AU$302,19,0))=TRUE," ",(VLOOKUP(T35,'Base de Datos'!$E$7:$AU$302,19,0)))</f>
        <v>42477</v>
      </c>
      <c r="X35" s="428" t="str">
        <f>IF(ISERROR(VLOOKUP(T35,'Base de Datos'!$E$7:$AU$302,8,0))=TRUE," ",(VLOOKUP(T35,'Base de Datos'!$E$7:$AU$302,8,0)))</f>
        <v xml:space="preserve"> </v>
      </c>
      <c r="Y35" s="428">
        <f>IF(ISERROR(VLOOKUP(T35,'Base de Datos'!$E$7:$AU$302,9,0))=TRUE," ",(VLOOKUP(T35,'Base de Datos'!$E$7:$AU$302,9,0)))</f>
        <v>41929</v>
      </c>
      <c r="Z35" s="422">
        <f>IF(ISERROR(VLOOKUP(T35,'Base de Datos'!$E$7:$AU$302,10,0))=TRUE," ",(VLOOKUP(T35,'Base de Datos'!$E$7:$AU$302,10,0)))</f>
        <v>42294</v>
      </c>
      <c r="AA35" s="425" t="str">
        <f>IF(ISERROR(VLOOKUP(T35,'Base de Datos'!$E$7:$AU$302,11,0))=TRUE," ",(VLOOKUP(T35,'Base de Datos'!$E$7:$AU$302,11,0)))</f>
        <v/>
      </c>
      <c r="AB35" s="422">
        <f>IF(ISERROR(VLOOKUP(T35,'Base de Datos'!$E$7:$AU$302,12,0))=TRUE," ",(VLOOKUP(T35,'Base de Datos'!$E$7:$AU$302,12,0)))</f>
        <v>1</v>
      </c>
      <c r="AC35" s="422">
        <f>IF(ISERROR(VLOOKUP(T35,'Base de Datos'!$E$7:$AU$302,12,0))=TRUE," ",(VLOOKUP(T35,'Base de Datos'!$E$7:$AU$302,12,0)))</f>
        <v>1</v>
      </c>
      <c r="AD35" s="428" t="str">
        <f>IF(ISERROR(VLOOKUP(T35,'Base de Datos'!$E$7:$AU$302,15,0))=TRUE," ",(VLOOKUP(T35,'Base de Datos'!$E$7:$AU$302,15,0)))</f>
        <v>6 meses</v>
      </c>
      <c r="AE35" s="433">
        <f>IF(ISERROR(VLOOKUP(T35,'Base de Datos'!$E$7:$AU$302,16,0))=TRUE," ",(VLOOKUP(T35,'Base de Datos'!$E$7:$AU$302,16,0)))</f>
        <v>42477</v>
      </c>
      <c r="AF35" s="433" t="str">
        <f>IF(ISERROR(VLOOKUP(T35,'Base de Datos'!$E$7:$AU$302,17,0))=TRUE," ",(VLOOKUP(T35,'Base de Datos'!$E$7:$AU$302,17,0)))</f>
        <v/>
      </c>
      <c r="AG35" s="433" t="str">
        <f>IF(ISERROR(VLOOKUP(T35,'Base de Datos'!$E$7:$AU$302,18,0))=TRUE," ",(VLOOKUP(T35,'Base de Datos'!$E$7:$AU$302,18,0)))</f>
        <v/>
      </c>
      <c r="AH35" s="434">
        <f>IF(ISERROR(VLOOKUP(T35,'Base de Datos'!$E$7:$AU$302,20,0))=TRUE," ",(VLOOKUP(T35,'Base de Datos'!$E$7:$AU$302,20,0)))</f>
        <v>66816000</v>
      </c>
      <c r="AI35" s="434">
        <f>IF(ISERROR(VLOOKUP(T35,'Base de Datos'!$E$7:$AU$302,21,0))=TRUE," ",(VLOOKUP(T35,'Base de Datos'!$E$7:$AU$302,21,0)))</f>
        <v>66816000</v>
      </c>
      <c r="AJ35" s="423"/>
      <c r="AK35" s="423" t="str">
        <f>IF(ISERROR(VLOOKUP(D35,'Base de Datos'!$C$7:$AU$400,2,0))=TRUE," ",(VLOOKUP(D35,'Base de Datos'!$C$7:$AU$400,2,0)))</f>
        <v xml:space="preserve"> </v>
      </c>
      <c r="AL35" s="423" t="str">
        <f>IF(ISERROR(VLOOKUP(D35,'Base de Datos'!$C$7:$AU$400,3,0))=TRUE," ",(VLOOKUP(D35,'Base de Datos'!$C$7:$AU$400,3,0)))</f>
        <v xml:space="preserve"> </v>
      </c>
      <c r="AM35" s="426" t="e">
        <f>IF(ISERROR(VLOOKUP(D35,'Base de Datos'!$C$7:$AU$3761,6,0))=TRUE," ",(VLOOKUP(D35,'Base de Datos'!$C$7:$AU$400,6,0)))</f>
        <v>#N/A</v>
      </c>
      <c r="AN35" s="426" t="str">
        <f>IF(ISERROR(VLOOKUP(D35,'Base de Datos'!$C$7:$AU$400,20,0))=TRUE," ",(VLOOKUP(D35,'Base de Datos'!$C$7:$AU$400,19,0)))</f>
        <v xml:space="preserve"> </v>
      </c>
      <c r="AO35" s="429" t="str">
        <f>IF(ISERROR(VLOOKUP(D35,'Base de Datos'!$C$7:$AU$400,9,0))=TRUE," ",(VLOOKUP(D35,'Base de Datos'!$C$7:$AU$400,9,0)))</f>
        <v xml:space="preserve"> </v>
      </c>
      <c r="AP35" s="429" t="str">
        <f>IF(ISERROR(VLOOKUP(D35,'Base de Datos'!$C$7:$AU$400,10,0))=TRUE," ",(VLOOKUP(D35,'Base de Datos'!$C$7:$AU$400,10,0)))</f>
        <v xml:space="preserve"> </v>
      </c>
      <c r="AQ35" s="431" t="str">
        <f>IF(ISERROR(VLOOKUP(D35,'Base de Datos'!$C$7:$AU$400,11,0))=TRUE," ",(VLOOKUP(D35,'Base de Datos'!$C$7:$AU$400,11,0)))</f>
        <v xml:space="preserve"> </v>
      </c>
      <c r="AR35" s="432" t="str">
        <f>IF(ISERROR(VLOOKUP(D35,'Base de Datos'!$C$7:$AU$400,12,0))=TRUE," ",(VLOOKUP(D35,'Base de Datos'!$C$7:$AU$400,12,0)))</f>
        <v xml:space="preserve"> </v>
      </c>
      <c r="AS35" s="431" t="str">
        <f>IF(ISERROR(VLOOKUP(D35,'Base de Datos'!$C$7:$AU$400,13,0))=TRUE," ",(VLOOKUP(D35,'Base de Datos'!$C$7:$AU$400,13,0)))</f>
        <v xml:space="preserve"> </v>
      </c>
      <c r="AT35" s="431" t="str">
        <f>IF(ISERROR(VLOOKUP(D35,'Base de Datos'!$C$7:$AU$400,14,0))=TRUE," ",(VLOOKUP(D35,'Base de Datos'!$C$7:$AU$400,14,0)))</f>
        <v xml:space="preserve"> </v>
      </c>
      <c r="AU35" s="429" t="str">
        <f>IF(ISERROR(VLOOKUP(D35,'Base de Datos'!$C$7:$AU$400,16,0))=TRUE," ",(VLOOKUP(D35,'Base de Datos'!$C$7:$AU$400,16,0)))</f>
        <v xml:space="preserve"> </v>
      </c>
      <c r="AV35" s="433" t="str">
        <f>IF(ISERROR(VLOOKUP(D35,'Base de Datos'!$C$7:$AU$400,17,0))=TRUE," ",(VLOOKUP(D35,'Base de Datos'!$C$7:$AU$400,17,0)))</f>
        <v xml:space="preserve"> </v>
      </c>
      <c r="AW35" s="433" t="str">
        <f>IF(ISERROR(VLOOKUP(D35,'Base de Datos'!$C$7:$AU$400,18,0))=TRUE," ",(VLOOKUP(D35,'Base de Datos'!$C$7:$AU$400,18,0)))</f>
        <v xml:space="preserve"> </v>
      </c>
      <c r="AX35" s="433" t="str">
        <f>IF(ISERROR(VLOOKUP(D35,'Base de Datos'!$C$7:$AU$400,19,0))=TRUE," ",(VLOOKUP(D35,'Base de Datos'!$C$7:$AU$400,19,0)))</f>
        <v xml:space="preserve"> </v>
      </c>
      <c r="AY35" s="436" t="str">
        <f>IF(ISERROR(VLOOKUP(D35,'Base de Datos'!$C$7:$AU$400,21,0))=TRUE," ",(VLOOKUP(D35,'Base de Datos'!$C$7:$AU$400,21,0)))</f>
        <v xml:space="preserve"> </v>
      </c>
      <c r="AZ35" s="436" t="str">
        <f>IF(ISERROR(VLOOKUP(D35,'Base de Datos'!$C$7:$AU$400,22,0))=TRUE," ",(VLOOKUP(D35,'Base de Datos'!$C$7:$AU$400,22,0)))</f>
        <v xml:space="preserve"> </v>
      </c>
      <c r="BA35" s="443"/>
      <c r="BB35" s="453"/>
    </row>
    <row r="36" spans="2:54" ht="91.8" hidden="1" x14ac:dyDescent="0.3">
      <c r="B36" s="406">
        <v>29</v>
      </c>
      <c r="C36" s="414" t="s">
        <v>1641</v>
      </c>
      <c r="D36" s="406">
        <v>277</v>
      </c>
      <c r="E36" s="414" t="s">
        <v>1647</v>
      </c>
      <c r="F36" s="415">
        <f>VLOOKUP(D36,'Presupuesto - PAA 2015'!$B$10:$E$265,4,0)</f>
        <v>12975945</v>
      </c>
      <c r="G36" s="521" t="s">
        <v>1778</v>
      </c>
      <c r="H36" s="521" t="s">
        <v>1776</v>
      </c>
      <c r="I36" s="521" t="s">
        <v>1709</v>
      </c>
      <c r="J36" s="522" t="s">
        <v>909</v>
      </c>
      <c r="K36" s="523" t="s">
        <v>390</v>
      </c>
      <c r="L36" s="523" t="s">
        <v>390</v>
      </c>
      <c r="M36" s="418"/>
      <c r="N36" s="417"/>
      <c r="O36" s="419"/>
      <c r="P36" s="419"/>
      <c r="Q36" s="419"/>
      <c r="R36" s="420"/>
      <c r="S36" s="438" t="s">
        <v>1746</v>
      </c>
      <c r="T36" s="321"/>
      <c r="U36" s="423" t="str">
        <f>IF(ISERROR(VLOOKUP(T36,'Base de Datos'!$E$7:$AU$302,3,0))=TRUE," ",(VLOOKUP(T36,'Base de Datos'!$E$7:$AU$302,2,0)))</f>
        <v xml:space="preserve"> </v>
      </c>
      <c r="V36" s="426" t="str">
        <f>IF(ISERROR(VLOOKUP(T36,'Base de Datos'!$E$7:$AU$302,5,0))=TRUE," ",(VLOOKUP(T36,'Base de Datos'!$E$7:$AU$302,5,0)))</f>
        <v xml:space="preserve"> </v>
      </c>
      <c r="W36" s="423" t="str">
        <f>IF(ISERROR(VLOOKUP(T36,'Base de Datos'!$E$7:$AU$302,19,0))=TRUE," ",(VLOOKUP(T36,'Base de Datos'!$E$7:$AU$302,19,0)))</f>
        <v xml:space="preserve"> </v>
      </c>
      <c r="X36" s="428" t="str">
        <f>IF(ISERROR(VLOOKUP(T36,'Base de Datos'!$E$7:$AU$302,8,0))=TRUE," ",(VLOOKUP(T36,'Base de Datos'!$E$7:$AU$302,8,0)))</f>
        <v xml:space="preserve"> </v>
      </c>
      <c r="Y36" s="428" t="str">
        <f>IF(ISERROR(VLOOKUP(T36,'Base de Datos'!$E$7:$AU$302,9,0))=TRUE," ",(VLOOKUP(T36,'Base de Datos'!$E$7:$AU$302,9,0)))</f>
        <v xml:space="preserve"> </v>
      </c>
      <c r="Z36" s="422" t="str">
        <f>IF(ISERROR(VLOOKUP(T36,'Base de Datos'!$E$7:$AU$302,10,0))=TRUE," ",(VLOOKUP(T36,'Base de Datos'!$E$7:$AU$302,10,0)))</f>
        <v xml:space="preserve"> </v>
      </c>
      <c r="AA36" s="425" t="str">
        <f>IF(ISERROR(VLOOKUP(T36,'Base de Datos'!$E$7:$AU$302,11,0))=TRUE," ",(VLOOKUP(T36,'Base de Datos'!$E$7:$AU$302,11,0)))</f>
        <v xml:space="preserve"> </v>
      </c>
      <c r="AB36" s="422" t="str">
        <f>IF(ISERROR(VLOOKUP(T36,'Base de Datos'!$E$7:$AU$302,12,0))=TRUE," ",(VLOOKUP(T36,'Base de Datos'!$E$7:$AU$302,12,0)))</f>
        <v xml:space="preserve"> </v>
      </c>
      <c r="AC36" s="422" t="str">
        <f>IF(ISERROR(VLOOKUP(T36,'Base de Datos'!$E$7:$AU$302,12,0))=TRUE," ",(VLOOKUP(T36,'Base de Datos'!$E$7:$AU$302,12,0)))</f>
        <v xml:space="preserve"> </v>
      </c>
      <c r="AD36" s="428" t="str">
        <f>IF(ISERROR(VLOOKUP(T36,'Base de Datos'!$E$7:$AU$302,15,0))=TRUE," ",(VLOOKUP(T36,'Base de Datos'!$E$7:$AU$302,15,0)))</f>
        <v xml:space="preserve"> </v>
      </c>
      <c r="AE36" s="433" t="str">
        <f>IF(ISERROR(VLOOKUP(T36,'Base de Datos'!$E$7:$AU$302,16,0))=TRUE," ",(VLOOKUP(T36,'Base de Datos'!$E$7:$AU$302,16,0)))</f>
        <v xml:space="preserve"> </v>
      </c>
      <c r="AF36" s="433" t="str">
        <f>IF(ISERROR(VLOOKUP(T36,'Base de Datos'!$E$7:$AU$302,17,0))=TRUE," ",(VLOOKUP(T36,'Base de Datos'!$E$7:$AU$302,17,0)))</f>
        <v xml:space="preserve"> </v>
      </c>
      <c r="AG36" s="433" t="str">
        <f>IF(ISERROR(VLOOKUP(T36,'Base de Datos'!$E$7:$AU$302,18,0))=TRUE," ",(VLOOKUP(T36,'Base de Datos'!$E$7:$AU$302,18,0)))</f>
        <v xml:space="preserve"> </v>
      </c>
      <c r="AH36" s="434" t="str">
        <f>IF(ISERROR(VLOOKUP(T36,'Base de Datos'!$E$7:$AU$302,20,0))=TRUE," ",(VLOOKUP(T36,'Base de Datos'!$E$7:$AU$302,20,0)))</f>
        <v xml:space="preserve"> </v>
      </c>
      <c r="AI36" s="434" t="str">
        <f>IF(ISERROR(VLOOKUP(T36,'Base de Datos'!$E$7:$AU$302,21,0))=TRUE," ",(VLOOKUP(T36,'Base de Datos'!$E$7:$AU$302,21,0)))</f>
        <v xml:space="preserve"> </v>
      </c>
      <c r="AJ36" s="427">
        <v>42117</v>
      </c>
      <c r="AK36" s="423" t="str">
        <f>IF(ISERROR(VLOOKUP(D36,'Base de Datos'!$C$7:$AU$400,2,0))=TRUE," ",(VLOOKUP(D36,'Base de Datos'!$C$7:$AU$400,2,0)))</f>
        <v>2015277</v>
      </c>
      <c r="AL36" s="423" t="str">
        <f>IF(ISERROR(VLOOKUP(D36,'Base de Datos'!$C$7:$AU$400,3,0))=TRUE," ",(VLOOKUP(D36,'Base de Datos'!$C$7:$AU$400,3,0)))</f>
        <v>150200-0-2015</v>
      </c>
      <c r="AM36" s="426" t="str">
        <f>IF(ISERROR(VLOOKUP(D36,'Base de Datos'!$C$7:$AU$3761,6,0))=TRUE," ",(VLOOKUP(D36,'Base de Datos'!$C$7:$AU$400,6,0)))</f>
        <v>Adquirir elementos de hardware para el sistema de voto electrónico del Concejo de Bogotá, de conformidad con lo establecido en la presente invitación pública</v>
      </c>
      <c r="AN36" s="426" t="str">
        <f>IF(ISERROR(VLOOKUP(D36,'Base de Datos'!$C$7:$AU$400,20,0))=TRUE," ",(VLOOKUP(D36,'Base de Datos'!$C$7:$AU$400,19,0)))</f>
        <v/>
      </c>
      <c r="AO36" s="429">
        <f>IF(ISERROR(VLOOKUP(D36,'Base de Datos'!$C$7:$AU$400,9,0))=TRUE," ",(VLOOKUP(D36,'Base de Datos'!$C$7:$AU$400,9,0)))</f>
        <v>2015</v>
      </c>
      <c r="AP36" s="429">
        <f>IF(ISERROR(VLOOKUP(D36,'Base de Datos'!$C$7:$AU$400,10,0))=TRUE," ",(VLOOKUP(D36,'Base de Datos'!$C$7:$AU$400,10,0)))</f>
        <v>42117</v>
      </c>
      <c r="AQ36" s="431">
        <f>IF(ISERROR(VLOOKUP(D36,'Base de Datos'!$C$7:$AU$400,11,0))=TRUE," ",(VLOOKUP(D36,'Base de Datos'!$C$7:$AU$400,11,0)))</f>
        <v>42135</v>
      </c>
      <c r="AR36" s="432">
        <f>IF(ISERROR(VLOOKUP(D36,'Base de Datos'!$C$7:$AU$400,12,0))=TRUE," ",(VLOOKUP(D36,'Base de Datos'!$C$7:$AU$400,12,0)))</f>
        <v>42258</v>
      </c>
      <c r="AS36" s="431" t="str">
        <f>IF(ISERROR(VLOOKUP(D36,'Base de Datos'!$C$7:$AU$400,13,0))=TRUE," ",(VLOOKUP(D36,'Base de Datos'!$C$7:$AU$400,13,0)))</f>
        <v/>
      </c>
      <c r="AT36" s="431">
        <f>IF(ISERROR(VLOOKUP(D36,'Base de Datos'!$C$7:$AU$400,14,0))=TRUE," ",(VLOOKUP(D36,'Base de Datos'!$C$7:$AU$400,14,0)))</f>
        <v>0</v>
      </c>
      <c r="AU36" s="429">
        <f>IF(ISERROR(VLOOKUP(D36,'Base de Datos'!$C$7:$AU$400,16,0))=TRUE," ",(VLOOKUP(D36,'Base de Datos'!$C$7:$AU$400,16,0)))</f>
        <v>0</v>
      </c>
      <c r="AV36" s="433" t="str">
        <f>IF(ISERROR(VLOOKUP(D36,'Base de Datos'!$C$7:$AU$400,17,0))=TRUE," ",(VLOOKUP(D36,'Base de Datos'!$C$7:$AU$400,17,0)))</f>
        <v/>
      </c>
      <c r="AW36" s="433" t="str">
        <f>IF(ISERROR(VLOOKUP(D36,'Base de Datos'!$C$7:$AU$400,18,0))=TRUE," ",(VLOOKUP(D36,'Base de Datos'!$C$7:$AU$400,18,0)))</f>
        <v/>
      </c>
      <c r="AX36" s="433" t="str">
        <f>IF(ISERROR(VLOOKUP(D36,'Base de Datos'!$C$7:$AU$400,19,0))=TRUE," ",(VLOOKUP(D36,'Base de Datos'!$C$7:$AU$400,19,0)))</f>
        <v/>
      </c>
      <c r="AY36" s="436">
        <f>IF(ISERROR(VLOOKUP(D36,'Base de Datos'!$C$7:$AU$400,21,0))=TRUE," ",(VLOOKUP(D36,'Base de Datos'!$C$7:$AU$400,21,0)))</f>
        <v>42258</v>
      </c>
      <c r="AZ36" s="436">
        <f>IF(ISERROR(VLOOKUP(D36,'Base de Datos'!$C$7:$AU$400,22,0))=TRUE," ",(VLOOKUP(D36,'Base de Datos'!$C$7:$AU$400,22,0)))</f>
        <v>12975945</v>
      </c>
      <c r="BA36" s="443"/>
      <c r="BB36" s="453"/>
    </row>
    <row r="37" spans="2:54" ht="45" hidden="1" customHeight="1" x14ac:dyDescent="0.3">
      <c r="B37" s="406">
        <v>30</v>
      </c>
      <c r="C37" s="414" t="s">
        <v>1641</v>
      </c>
      <c r="D37" s="406">
        <v>282</v>
      </c>
      <c r="E37" s="414" t="s">
        <v>1647</v>
      </c>
      <c r="F37" s="415">
        <f>VLOOKUP(D37,'Presupuesto - PAA 2015'!$B$10:$E$265,4,0)</f>
        <v>436000000</v>
      </c>
      <c r="G37" s="407" t="s">
        <v>1779</v>
      </c>
      <c r="H37" s="407" t="s">
        <v>1776</v>
      </c>
      <c r="I37" s="407" t="s">
        <v>1709</v>
      </c>
      <c r="J37" s="416" t="s">
        <v>1735</v>
      </c>
      <c r="K37" s="417" t="s">
        <v>390</v>
      </c>
      <c r="L37" s="417" t="s">
        <v>390</v>
      </c>
      <c r="M37" s="418"/>
      <c r="N37" s="417"/>
      <c r="O37" s="419"/>
      <c r="P37" s="419"/>
      <c r="Q37" s="419"/>
      <c r="R37" s="420"/>
      <c r="S37" s="438" t="s">
        <v>1982</v>
      </c>
      <c r="T37" s="321"/>
      <c r="U37" s="423" t="str">
        <f>IF(ISERROR(VLOOKUP(T37,'Base de Datos'!$E$7:$AU$302,3,0))=TRUE," ",(VLOOKUP(T37,'Base de Datos'!$E$7:$AU$302,2,0)))</f>
        <v xml:space="preserve"> </v>
      </c>
      <c r="V37" s="426" t="str">
        <f>IF(ISERROR(VLOOKUP(T37,'Base de Datos'!$E$7:$AU$302,5,0))=TRUE," ",(VLOOKUP(T37,'Base de Datos'!$E$7:$AU$302,5,0)))</f>
        <v xml:space="preserve"> </v>
      </c>
      <c r="W37" s="423" t="str">
        <f>IF(ISERROR(VLOOKUP(T37,'Base de Datos'!$E$7:$AU$302,19,0))=TRUE," ",(VLOOKUP(T37,'Base de Datos'!$E$7:$AU$302,19,0)))</f>
        <v xml:space="preserve"> </v>
      </c>
      <c r="X37" s="428" t="str">
        <f>IF(ISERROR(VLOOKUP(T37,'Base de Datos'!$E$7:$AU$302,8,0))=TRUE," ",(VLOOKUP(T37,'Base de Datos'!$E$7:$AU$302,8,0)))</f>
        <v xml:space="preserve"> </v>
      </c>
      <c r="Y37" s="428" t="str">
        <f>IF(ISERROR(VLOOKUP(T37,'Base de Datos'!$E$7:$AU$302,9,0))=TRUE," ",(VLOOKUP(T37,'Base de Datos'!$E$7:$AU$302,9,0)))</f>
        <v xml:space="preserve"> </v>
      </c>
      <c r="Z37" s="422" t="str">
        <f>IF(ISERROR(VLOOKUP(T37,'Base de Datos'!$E$7:$AU$302,10,0))=TRUE," ",(VLOOKUP(T37,'Base de Datos'!$E$7:$AU$302,10,0)))</f>
        <v xml:space="preserve"> </v>
      </c>
      <c r="AA37" s="425" t="str">
        <f>IF(ISERROR(VLOOKUP(T37,'Base de Datos'!$E$7:$AU$302,11,0))=TRUE," ",(VLOOKUP(T37,'Base de Datos'!$E$7:$AU$302,11,0)))</f>
        <v xml:space="preserve"> </v>
      </c>
      <c r="AB37" s="422" t="str">
        <f>IF(ISERROR(VLOOKUP(T37,'Base de Datos'!$E$7:$AU$302,12,0))=TRUE," ",(VLOOKUP(T37,'Base de Datos'!$E$7:$AU$302,12,0)))</f>
        <v xml:space="preserve"> </v>
      </c>
      <c r="AC37" s="422" t="str">
        <f>IF(ISERROR(VLOOKUP(T37,'Base de Datos'!$E$7:$AU$302,12,0))=TRUE," ",(VLOOKUP(T37,'Base de Datos'!$E$7:$AU$302,12,0)))</f>
        <v xml:space="preserve"> </v>
      </c>
      <c r="AD37" s="428" t="str">
        <f>IF(ISERROR(VLOOKUP(T37,'Base de Datos'!$E$7:$AU$302,15,0))=TRUE," ",(VLOOKUP(T37,'Base de Datos'!$E$7:$AU$302,15,0)))</f>
        <v xml:space="preserve"> </v>
      </c>
      <c r="AE37" s="433" t="str">
        <f>IF(ISERROR(VLOOKUP(T37,'Base de Datos'!$E$7:$AU$302,16,0))=TRUE," ",(VLOOKUP(T37,'Base de Datos'!$E$7:$AU$302,16,0)))</f>
        <v xml:space="preserve"> </v>
      </c>
      <c r="AF37" s="433" t="str">
        <f>IF(ISERROR(VLOOKUP(T37,'Base de Datos'!$E$7:$AU$302,17,0))=TRUE," ",(VLOOKUP(T37,'Base de Datos'!$E$7:$AU$302,17,0)))</f>
        <v xml:space="preserve"> </v>
      </c>
      <c r="AG37" s="433" t="str">
        <f>IF(ISERROR(VLOOKUP(T37,'Base de Datos'!$E$7:$AU$302,18,0))=TRUE," ",(VLOOKUP(T37,'Base de Datos'!$E$7:$AU$302,18,0)))</f>
        <v xml:space="preserve"> </v>
      </c>
      <c r="AH37" s="434" t="str">
        <f>IF(ISERROR(VLOOKUP(T37,'Base de Datos'!$E$7:$AU$302,20,0))=TRUE," ",(VLOOKUP(T37,'Base de Datos'!$E$7:$AU$302,20,0)))</f>
        <v xml:space="preserve"> </v>
      </c>
      <c r="AI37" s="434" t="str">
        <f>IF(ISERROR(VLOOKUP(T37,'Base de Datos'!$E$7:$AU$302,21,0))=TRUE," ",(VLOOKUP(T37,'Base de Datos'!$E$7:$AU$302,21,0)))</f>
        <v xml:space="preserve"> </v>
      </c>
      <c r="AJ37" s="423"/>
      <c r="AK37" s="423" t="str">
        <f>IF(ISERROR(VLOOKUP(D37,'Base de Datos'!$C$7:$AU$400,2,0))=TRUE," ",(VLOOKUP(D37,'Base de Datos'!$C$7:$AU$400,2,0)))</f>
        <v>2015282</v>
      </c>
      <c r="AL37" s="423" t="str">
        <f>IF(ISERROR(VLOOKUP(D37,'Base de Datos'!$C$7:$AU$400,3,0))=TRUE," ",(VLOOKUP(D37,'Base de Datos'!$C$7:$AU$400,3,0)))</f>
        <v>150344-0-2015</v>
      </c>
      <c r="AM37" s="426" t="str">
        <f>IF(ISERROR(VLOOKUP(D37,'Base de Datos'!$C$7:$AU$3761,6,0))=TRUE," ",(VLOOKUP(D37,'Base de Datos'!$C$7:$AU$400,6,0)))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26" t="str">
        <f>IF(ISERROR(VLOOKUP(D37,'Base de Datos'!$C$7:$AU$400,20,0))=TRUE," ",(VLOOKUP(D37,'Base de Datos'!$C$7:$AU$400,19,0)))</f>
        <v/>
      </c>
      <c r="AO37" s="429">
        <f>IF(ISERROR(VLOOKUP(D37,'Base de Datos'!$C$7:$AU$400,9,0))=TRUE," ",(VLOOKUP(D37,'Base de Datos'!$C$7:$AU$400,9,0)))</f>
        <v>2015</v>
      </c>
      <c r="AP37" s="429">
        <f>IF(ISERROR(VLOOKUP(D37,'Base de Datos'!$C$7:$AU$400,10,0))=TRUE," ",(VLOOKUP(D37,'Base de Datos'!$C$7:$AU$400,10,0)))</f>
        <v>42240</v>
      </c>
      <c r="AQ37" s="431">
        <f>IF(ISERROR(VLOOKUP(D37,'Base de Datos'!$C$7:$AU$400,11,0))=TRUE," ",(VLOOKUP(D37,'Base de Datos'!$C$7:$AU$400,11,0)))</f>
        <v>42261</v>
      </c>
      <c r="AR37" s="432">
        <f>IF(ISERROR(VLOOKUP(D37,'Base de Datos'!$C$7:$AU$400,12,0))=TRUE," ",(VLOOKUP(D37,'Base de Datos'!$C$7:$AU$400,12,0)))</f>
        <v>42565</v>
      </c>
      <c r="AS37" s="431" t="str">
        <f>IF(ISERROR(VLOOKUP(D37,'Base de Datos'!$C$7:$AU$400,13,0))=TRUE," ",(VLOOKUP(D37,'Base de Datos'!$C$7:$AU$400,13,0)))</f>
        <v/>
      </c>
      <c r="AT37" s="431">
        <f>IF(ISERROR(VLOOKUP(D37,'Base de Datos'!$C$7:$AU$400,14,0))=TRUE," ",(VLOOKUP(D37,'Base de Datos'!$C$7:$AU$400,14,0)))</f>
        <v>2</v>
      </c>
      <c r="AU37" s="429">
        <f>IF(ISERROR(VLOOKUP(D37,'Base de Datos'!$C$7:$AU$400,16,0))=TRUE," ",(VLOOKUP(D37,'Base de Datos'!$C$7:$AU$400,16,0)))</f>
        <v>2</v>
      </c>
      <c r="AV37" s="433" t="str">
        <f>IF(ISERROR(VLOOKUP(D37,'Base de Datos'!$C$7:$AU$400,17,0))=TRUE," ",(VLOOKUP(D37,'Base de Datos'!$C$7:$AU$400,17,0)))</f>
        <v>4 meses</v>
      </c>
      <c r="AW37" s="433">
        <f>IF(ISERROR(VLOOKUP(D37,'Base de Datos'!$C$7:$AU$400,18,0))=TRUE," ",(VLOOKUP(D37,'Base de Datos'!$C$7:$AU$400,18,0)))</f>
        <v>42688</v>
      </c>
      <c r="AX37" s="433" t="str">
        <f>IF(ISERROR(VLOOKUP(D37,'Base de Datos'!$C$7:$AU$400,19,0))=TRUE," ",(VLOOKUP(D37,'Base de Datos'!$C$7:$AU$400,19,0)))</f>
        <v/>
      </c>
      <c r="AY37" s="436">
        <f>IF(ISERROR(VLOOKUP(D37,'Base de Datos'!$C$7:$AU$400,21,0))=TRUE," ",(VLOOKUP(D37,'Base de Datos'!$C$7:$AU$400,21,0)))</f>
        <v>42688</v>
      </c>
      <c r="AZ37" s="436">
        <f>IF(ISERROR(VLOOKUP(D37,'Base de Datos'!$C$7:$AU$400,22,0))=TRUE," ",(VLOOKUP(D37,'Base de Datos'!$C$7:$AU$400,22,0)))</f>
        <v>518574616</v>
      </c>
      <c r="BA37" s="443"/>
      <c r="BB37" s="453"/>
    </row>
    <row r="38" spans="2:54" ht="54" hidden="1" customHeight="1" x14ac:dyDescent="0.3">
      <c r="B38" s="406">
        <v>31</v>
      </c>
      <c r="C38" s="414" t="s">
        <v>1641</v>
      </c>
      <c r="D38" s="406">
        <v>284</v>
      </c>
      <c r="E38" s="414" t="s">
        <v>1647</v>
      </c>
      <c r="F38" s="415">
        <f>VLOOKUP(D38,'Presupuesto - PAA 2015'!$B$10:$E$265,4,0)</f>
        <v>54285345</v>
      </c>
      <c r="G38" s="407" t="s">
        <v>1780</v>
      </c>
      <c r="H38" s="407" t="s">
        <v>1776</v>
      </c>
      <c r="I38" s="407" t="s">
        <v>1709</v>
      </c>
      <c r="J38" s="416" t="s">
        <v>590</v>
      </c>
      <c r="K38" s="417" t="s">
        <v>390</v>
      </c>
      <c r="L38" s="417" t="s">
        <v>390</v>
      </c>
      <c r="M38" s="418"/>
      <c r="N38" s="417"/>
      <c r="O38" s="419"/>
      <c r="P38" s="419"/>
      <c r="Q38" s="419"/>
      <c r="R38" s="420"/>
      <c r="S38" s="420"/>
      <c r="T38" s="321"/>
      <c r="U38" s="423" t="str">
        <f>IF(ISERROR(VLOOKUP(T38,'Base de Datos'!$E$7:$AU$302,3,0))=TRUE," ",(VLOOKUP(T38,'Base de Datos'!$E$7:$AU$302,2,0)))</f>
        <v xml:space="preserve"> </v>
      </c>
      <c r="V38" s="426" t="str">
        <f>IF(ISERROR(VLOOKUP(T38,'Base de Datos'!$E$7:$AU$302,5,0))=TRUE," ",(VLOOKUP(T38,'Base de Datos'!$E$7:$AU$302,5,0)))</f>
        <v xml:space="preserve"> </v>
      </c>
      <c r="W38" s="423" t="str">
        <f>IF(ISERROR(VLOOKUP(T38,'Base de Datos'!$E$7:$AU$302,19,0))=TRUE," ",(VLOOKUP(T38,'Base de Datos'!$E$7:$AU$302,19,0)))</f>
        <v xml:space="preserve"> </v>
      </c>
      <c r="X38" s="428" t="str">
        <f>IF(ISERROR(VLOOKUP(T38,'Base de Datos'!$E$7:$AU$302,8,0))=TRUE," ",(VLOOKUP(T38,'Base de Datos'!$E$7:$AU$302,8,0)))</f>
        <v xml:space="preserve"> </v>
      </c>
      <c r="Y38" s="428" t="str">
        <f>IF(ISERROR(VLOOKUP(T38,'Base de Datos'!$E$7:$AU$302,9,0))=TRUE," ",(VLOOKUP(T38,'Base de Datos'!$E$7:$AU$302,9,0)))</f>
        <v xml:space="preserve"> </v>
      </c>
      <c r="Z38" s="422" t="str">
        <f>IF(ISERROR(VLOOKUP(T38,'Base de Datos'!$E$7:$AU$302,10,0))=TRUE," ",(VLOOKUP(T38,'Base de Datos'!$E$7:$AU$302,10,0)))</f>
        <v xml:space="preserve"> </v>
      </c>
      <c r="AA38" s="425" t="str">
        <f>IF(ISERROR(VLOOKUP(T38,'Base de Datos'!$E$7:$AU$302,11,0))=TRUE," ",(VLOOKUP(T38,'Base de Datos'!$E$7:$AU$302,11,0)))</f>
        <v xml:space="preserve"> </v>
      </c>
      <c r="AB38" s="422" t="str">
        <f>IF(ISERROR(VLOOKUP(T38,'Base de Datos'!$E$7:$AU$302,12,0))=TRUE," ",(VLOOKUP(T38,'Base de Datos'!$E$7:$AU$302,12,0)))</f>
        <v xml:space="preserve"> </v>
      </c>
      <c r="AC38" s="422" t="str">
        <f>IF(ISERROR(VLOOKUP(T38,'Base de Datos'!$E$7:$AU$302,12,0))=TRUE," ",(VLOOKUP(T38,'Base de Datos'!$E$7:$AU$302,12,0)))</f>
        <v xml:space="preserve"> </v>
      </c>
      <c r="AD38" s="428" t="str">
        <f>IF(ISERROR(VLOOKUP(T38,'Base de Datos'!$E$7:$AU$302,15,0))=TRUE," ",(VLOOKUP(T38,'Base de Datos'!$E$7:$AU$302,15,0)))</f>
        <v xml:space="preserve"> </v>
      </c>
      <c r="AE38" s="433" t="str">
        <f>IF(ISERROR(VLOOKUP(T38,'Base de Datos'!$E$7:$AU$302,16,0))=TRUE," ",(VLOOKUP(T38,'Base de Datos'!$E$7:$AU$302,16,0)))</f>
        <v xml:space="preserve"> </v>
      </c>
      <c r="AF38" s="433" t="str">
        <f>IF(ISERROR(VLOOKUP(T38,'Base de Datos'!$E$7:$AU$302,17,0))=TRUE," ",(VLOOKUP(T38,'Base de Datos'!$E$7:$AU$302,17,0)))</f>
        <v xml:space="preserve"> </v>
      </c>
      <c r="AG38" s="433" t="str">
        <f>IF(ISERROR(VLOOKUP(T38,'Base de Datos'!$E$7:$AU$302,18,0))=TRUE," ",(VLOOKUP(T38,'Base de Datos'!$E$7:$AU$302,18,0)))</f>
        <v xml:space="preserve"> </v>
      </c>
      <c r="AH38" s="434" t="str">
        <f>IF(ISERROR(VLOOKUP(T38,'Base de Datos'!$E$7:$AU$302,20,0))=TRUE," ",(VLOOKUP(T38,'Base de Datos'!$E$7:$AU$302,20,0)))</f>
        <v xml:space="preserve"> </v>
      </c>
      <c r="AI38" s="434" t="str">
        <f>IF(ISERROR(VLOOKUP(T38,'Base de Datos'!$E$7:$AU$302,21,0))=TRUE," ",(VLOOKUP(T38,'Base de Datos'!$E$7:$AU$302,21,0)))</f>
        <v xml:space="preserve"> </v>
      </c>
      <c r="AJ38" s="423"/>
      <c r="AK38" s="423" t="str">
        <f>IF(ISERROR(VLOOKUP(D38,'Base de Datos'!$C$7:$AU$400,2,0))=TRUE," ",(VLOOKUP(D38,'Base de Datos'!$C$7:$AU$400,2,0)))</f>
        <v xml:space="preserve"> </v>
      </c>
      <c r="AL38" s="423" t="str">
        <f>IF(ISERROR(VLOOKUP(D38,'Base de Datos'!$C$7:$AU$400,3,0))=TRUE," ",(VLOOKUP(D38,'Base de Datos'!$C$7:$AU$400,3,0)))</f>
        <v xml:space="preserve"> </v>
      </c>
      <c r="AM38" s="426" t="str">
        <f>IF(ISERROR(VLOOKUP(D38,'Base de Datos'!$C$7:$AU$3761,6,0))=TRUE," ",(VLOOKUP(D38,'Base de Datos'!$C$7:$AU$400,6,0)))</f>
        <v xml:space="preserve"> </v>
      </c>
      <c r="AN38" s="426" t="str">
        <f>IF(ISERROR(VLOOKUP(D38,'Base de Datos'!$C$7:$AU$400,20,0))=TRUE," ",(VLOOKUP(D38,'Base de Datos'!$C$7:$AU$400,19,0)))</f>
        <v xml:space="preserve"> </v>
      </c>
      <c r="AO38" s="429" t="str">
        <f>IF(ISERROR(VLOOKUP(D38,'Base de Datos'!$C$7:$AU$400,9,0))=TRUE," ",(VLOOKUP(D38,'Base de Datos'!$C$7:$AU$400,9,0)))</f>
        <v xml:space="preserve"> </v>
      </c>
      <c r="AP38" s="429" t="str">
        <f>IF(ISERROR(VLOOKUP(D38,'Base de Datos'!$C$7:$AU$400,10,0))=TRUE," ",(VLOOKUP(D38,'Base de Datos'!$C$7:$AU$400,10,0)))</f>
        <v xml:space="preserve"> </v>
      </c>
      <c r="AQ38" s="431" t="str">
        <f>IF(ISERROR(VLOOKUP(D38,'Base de Datos'!$C$7:$AU$400,11,0))=TRUE," ",(VLOOKUP(D38,'Base de Datos'!$C$7:$AU$400,11,0)))</f>
        <v xml:space="preserve"> </v>
      </c>
      <c r="AR38" s="432" t="str">
        <f>IF(ISERROR(VLOOKUP(D38,'Base de Datos'!$C$7:$AU$400,12,0))=TRUE," ",(VLOOKUP(D38,'Base de Datos'!$C$7:$AU$400,12,0)))</f>
        <v xml:space="preserve"> </v>
      </c>
      <c r="AS38" s="431" t="str">
        <f>IF(ISERROR(VLOOKUP(D38,'Base de Datos'!$C$7:$AU$400,13,0))=TRUE," ",(VLOOKUP(D38,'Base de Datos'!$C$7:$AU$400,13,0)))</f>
        <v xml:space="preserve"> </v>
      </c>
      <c r="AT38" s="431" t="str">
        <f>IF(ISERROR(VLOOKUP(D38,'Base de Datos'!$C$7:$AU$400,14,0))=TRUE," ",(VLOOKUP(D38,'Base de Datos'!$C$7:$AU$400,14,0)))</f>
        <v xml:space="preserve"> </v>
      </c>
      <c r="AU38" s="429" t="str">
        <f>IF(ISERROR(VLOOKUP(D38,'Base de Datos'!$C$7:$AU$400,16,0))=TRUE," ",(VLOOKUP(D38,'Base de Datos'!$C$7:$AU$400,16,0)))</f>
        <v xml:space="preserve"> </v>
      </c>
      <c r="AV38" s="433" t="str">
        <f>IF(ISERROR(VLOOKUP(D38,'Base de Datos'!$C$7:$AU$400,17,0))=TRUE," ",(VLOOKUP(D38,'Base de Datos'!$C$7:$AU$400,17,0)))</f>
        <v xml:space="preserve"> </v>
      </c>
      <c r="AW38" s="433" t="str">
        <f>IF(ISERROR(VLOOKUP(D38,'Base de Datos'!$C$7:$AU$400,18,0))=TRUE," ",(VLOOKUP(D38,'Base de Datos'!$C$7:$AU$400,18,0)))</f>
        <v xml:space="preserve"> </v>
      </c>
      <c r="AX38" s="433" t="str">
        <f>IF(ISERROR(VLOOKUP(D38,'Base de Datos'!$C$7:$AU$400,19,0))=TRUE," ",(VLOOKUP(D38,'Base de Datos'!$C$7:$AU$400,19,0)))</f>
        <v xml:space="preserve"> </v>
      </c>
      <c r="AY38" s="436" t="str">
        <f>IF(ISERROR(VLOOKUP(D38,'Base de Datos'!$C$7:$AU$400,21,0))=TRUE," ",(VLOOKUP(D38,'Base de Datos'!$C$7:$AU$400,21,0)))</f>
        <v xml:space="preserve"> </v>
      </c>
      <c r="AZ38" s="436" t="str">
        <f>IF(ISERROR(VLOOKUP(D38,'Base de Datos'!$C$7:$AU$400,22,0))=TRUE," ",(VLOOKUP(D38,'Base de Datos'!$C$7:$AU$400,22,0)))</f>
        <v xml:space="preserve"> </v>
      </c>
      <c r="BA38" s="443"/>
      <c r="BB38" s="453"/>
    </row>
    <row r="39" spans="2:54" ht="55.5" hidden="1" customHeight="1" x14ac:dyDescent="0.3">
      <c r="B39" s="406">
        <v>32</v>
      </c>
      <c r="C39" s="414" t="s">
        <v>1641</v>
      </c>
      <c r="D39" s="406">
        <v>162</v>
      </c>
      <c r="E39" s="414" t="s">
        <v>1648</v>
      </c>
      <c r="F39" s="415">
        <f>VLOOKUP(D39,'Presupuesto - PAA 2015'!$B$10:$E$265,4,0)</f>
        <v>444600000</v>
      </c>
      <c r="G39" s="407" t="str">
        <f>VLOOKUP(D39,'[4]Seguimiento Plan'!$C$2:$R$101,16,0)</f>
        <v>Suministro de combustible para la Secretaría Distrital de Hacienda y Concejo de Bogotá</v>
      </c>
      <c r="H39" s="407" t="s">
        <v>1775</v>
      </c>
      <c r="I39" s="407" t="s">
        <v>1712</v>
      </c>
      <c r="J39" s="416" t="s">
        <v>1734</v>
      </c>
      <c r="K39" s="417" t="s">
        <v>390</v>
      </c>
      <c r="L39" s="417" t="str">
        <f>VLOOKUP(D39,'[4]Seguimiento Plan'!$C$2:$AJ$101,30,0)</f>
        <v>SI</v>
      </c>
      <c r="M39" s="418">
        <f>VLOOKUP(D39,'[4]Seguimiento Plan'!$C$2:$AJ$101,31,0)</f>
        <v>41991</v>
      </c>
      <c r="N39" s="417"/>
      <c r="O39" s="419"/>
      <c r="P39" s="419"/>
      <c r="Q39" s="419"/>
      <c r="R39" s="420"/>
      <c r="S39" s="420"/>
      <c r="T39" s="454" t="s">
        <v>1476</v>
      </c>
      <c r="U39" s="423" t="str">
        <f>IF(ISERROR(VLOOKUP(T39,'Base de Datos'!$E$7:$AU$302,3,0))=TRUE," ",(VLOOKUP(T39,'Base de Datos'!$E$7:$AU$302,2,0)))</f>
        <v>ORGANIZACIÓN TERPEL S.A.</v>
      </c>
      <c r="V39" s="426">
        <f>IF(ISERROR(VLOOKUP(T39,'Base de Datos'!$E$7:$AU$302,5,0))=TRUE," ",(VLOOKUP(T39,'Base de Datos'!$E$7:$AU$302,5,0)))</f>
        <v>171253333</v>
      </c>
      <c r="W39" s="423">
        <f>IF(ISERROR(VLOOKUP(T39,'Base de Datos'!$E$7:$AU$302,19,0))=TRUE," ",(VLOOKUP(T39,'Base de Datos'!$E$7:$AU$302,19,0)))</f>
        <v>42063</v>
      </c>
      <c r="X39" s="428" t="str">
        <f>IF(ISERROR(VLOOKUP(T39,'Base de Datos'!$E$7:$AU$302,8,0))=TRUE," ",(VLOOKUP(T39,'Base de Datos'!$E$7:$AU$302,8,0)))</f>
        <v xml:space="preserve"> </v>
      </c>
      <c r="Y39" s="428">
        <f>IF(ISERROR(VLOOKUP(T39,'Base de Datos'!$E$7:$AU$302,9,0))=TRUE," ",(VLOOKUP(T39,'Base de Datos'!$E$7:$AU$302,9,0)))</f>
        <v>41961</v>
      </c>
      <c r="Z39" s="422">
        <f>IF(ISERROR(VLOOKUP(T39,'Base de Datos'!$E$7:$AU$302,10,0))=TRUE," ",(VLOOKUP(T39,'Base de Datos'!$E$7:$AU$302,10,0)))</f>
        <v>42063</v>
      </c>
      <c r="AA39" s="425" t="str">
        <f>IF(ISERROR(VLOOKUP(T39,'Base de Datos'!$E$7:$AU$302,11,0))=TRUE," ",(VLOOKUP(T39,'Base de Datos'!$E$7:$AU$302,11,0)))</f>
        <v/>
      </c>
      <c r="AB39" s="422">
        <f>IF(ISERROR(VLOOKUP(T39,'Base de Datos'!$E$7:$AU$302,12,0))=TRUE," ",(VLOOKUP(T39,'Base de Datos'!$E$7:$AU$302,12,0)))</f>
        <v>0</v>
      </c>
      <c r="AC39" s="422">
        <f>IF(ISERROR(VLOOKUP(T39,'Base de Datos'!$E$7:$AU$302,12,0))=TRUE," ",(VLOOKUP(T39,'Base de Datos'!$E$7:$AU$302,12,0)))</f>
        <v>0</v>
      </c>
      <c r="AD39" s="428" t="str">
        <f>IF(ISERROR(VLOOKUP(T39,'Base de Datos'!$E$7:$AU$302,15,0))=TRUE," ",(VLOOKUP(T39,'Base de Datos'!$E$7:$AU$302,15,0)))</f>
        <v/>
      </c>
      <c r="AE39" s="433" t="str">
        <f>IF(ISERROR(VLOOKUP(T39,'Base de Datos'!$E$7:$AU$302,16,0))=TRUE," ",(VLOOKUP(T39,'Base de Datos'!$E$7:$AU$302,16,0)))</f>
        <v/>
      </c>
      <c r="AF39" s="433" t="str">
        <f>IF(ISERROR(VLOOKUP(T39,'Base de Datos'!$E$7:$AU$302,17,0))=TRUE," ",(VLOOKUP(T39,'Base de Datos'!$E$7:$AU$302,17,0)))</f>
        <v/>
      </c>
      <c r="AG39" s="433" t="str">
        <f>IF(ISERROR(VLOOKUP(T39,'Base de Datos'!$E$7:$AU$302,18,0))=TRUE," ",(VLOOKUP(T39,'Base de Datos'!$E$7:$AU$302,18,0)))</f>
        <v/>
      </c>
      <c r="AH39" s="434">
        <f>IF(ISERROR(VLOOKUP(T39,'Base de Datos'!$E$7:$AU$302,20,0))=TRUE," ",(VLOOKUP(T39,'Base de Datos'!$E$7:$AU$302,20,0)))</f>
        <v>171253333</v>
      </c>
      <c r="AI39" s="434">
        <f>IF(ISERROR(VLOOKUP(T39,'Base de Datos'!$E$7:$AU$302,21,0))=TRUE," ",(VLOOKUP(T39,'Base de Datos'!$E$7:$AU$302,21,0)))</f>
        <v>123537109</v>
      </c>
      <c r="AJ39" s="428"/>
      <c r="AK39" s="423" t="str">
        <f>IF(ISERROR(VLOOKUP(D39,'Base de Datos'!$C$7:$AU$400,2,0))=TRUE," ",(VLOOKUP(D39,'Base de Datos'!$C$7:$AU$400,2,0)))</f>
        <v>2015162</v>
      </c>
      <c r="AL39" s="423" t="str">
        <f>IF(ISERROR(VLOOKUP(D39,'Base de Datos'!$C$7:$AU$400,3,0))=TRUE," ",(VLOOKUP(D39,'Base de Datos'!$C$7:$AU$400,3,0)))</f>
        <v>150097-0-2015</v>
      </c>
      <c r="AM39" s="426" t="str">
        <f>IF(ISERROR(VLOOKUP(D39,'Base de Datos'!$C$7:$AU$3761,6,0))=TRUE," ",(VLOOKUP(D39,'Base de Datos'!$C$7:$AU$400,6,0)))</f>
        <v>Suministro de combustible para el Concejo de Bogotá D.C.</v>
      </c>
      <c r="AN39" s="426" t="str">
        <f>IF(ISERROR(VLOOKUP(D39,'Base de Datos'!$C$7:$AU$400,20,0))=TRUE," ",(VLOOKUP(D39,'Base de Datos'!$C$7:$AU$400,19,0)))</f>
        <v/>
      </c>
      <c r="AO39" s="429">
        <f>IF(ISERROR(VLOOKUP(D39,'Base de Datos'!$C$7:$AU$400,9,0))=TRUE," ",(VLOOKUP(D39,'Base de Datos'!$C$7:$AU$400,9,0)))</f>
        <v>2015</v>
      </c>
      <c r="AP39" s="429">
        <f>IF(ISERROR(VLOOKUP(D39,'Base de Datos'!$C$7:$AU$400,10,0))=TRUE," ",(VLOOKUP(D39,'Base de Datos'!$C$7:$AU$400,10,0)))</f>
        <v>0</v>
      </c>
      <c r="AQ39" s="431">
        <f>IF(ISERROR(VLOOKUP(D39,'Base de Datos'!$C$7:$AU$400,11,0))=TRUE," ",(VLOOKUP(D39,'Base de Datos'!$C$7:$AU$400,11,0)))</f>
        <v>42064</v>
      </c>
      <c r="AR39" s="432">
        <f>IF(ISERROR(VLOOKUP(D39,'Base de Datos'!$C$7:$AU$400,12,0))=TRUE," ",(VLOOKUP(D39,'Base de Datos'!$C$7:$AU$400,12,0)))</f>
        <v>42339</v>
      </c>
      <c r="AS39" s="431" t="str">
        <f>IF(ISERROR(VLOOKUP(D39,'Base de Datos'!$C$7:$AU$400,13,0))=TRUE," ",(VLOOKUP(D39,'Base de Datos'!$C$7:$AU$400,13,0)))</f>
        <v/>
      </c>
      <c r="AT39" s="431">
        <f>IF(ISERROR(VLOOKUP(D39,'Base de Datos'!$C$7:$AU$400,14,0))=TRUE," ",(VLOOKUP(D39,'Base de Datos'!$C$7:$AU$400,14,0)))</f>
        <v>0</v>
      </c>
      <c r="AU39" s="429">
        <f>IF(ISERROR(VLOOKUP(D39,'Base de Datos'!$C$7:$AU$400,16,0))=TRUE," ",(VLOOKUP(D39,'Base de Datos'!$C$7:$AU$400,16,0)))</f>
        <v>0</v>
      </c>
      <c r="AV39" s="433" t="str">
        <f>IF(ISERROR(VLOOKUP(D39,'Base de Datos'!$C$7:$AU$400,17,0))=TRUE," ",(VLOOKUP(D39,'Base de Datos'!$C$7:$AU$400,17,0)))</f>
        <v/>
      </c>
      <c r="AW39" s="433" t="str">
        <f>IF(ISERROR(VLOOKUP(D39,'Base de Datos'!$C$7:$AU$400,18,0))=TRUE," ",(VLOOKUP(D39,'Base de Datos'!$C$7:$AU$400,18,0)))</f>
        <v/>
      </c>
      <c r="AX39" s="433" t="str">
        <f>IF(ISERROR(VLOOKUP(D39,'Base de Datos'!$C$7:$AU$400,19,0))=TRUE," ",(VLOOKUP(D39,'Base de Datos'!$C$7:$AU$400,19,0)))</f>
        <v/>
      </c>
      <c r="AY39" s="436">
        <f>IF(ISERROR(VLOOKUP(D39,'Base de Datos'!$C$7:$AU$400,21,0))=TRUE," ",(VLOOKUP(D39,'Base de Datos'!$C$7:$AU$400,21,0)))</f>
        <v>42339</v>
      </c>
      <c r="AZ39" s="436">
        <f>IF(ISERROR(VLOOKUP(D39,'Base de Datos'!$C$7:$AU$400,22,0))=TRUE," ",(VLOOKUP(D39,'Base de Datos'!$C$7:$AU$400,22,0)))</f>
        <v>444600000</v>
      </c>
      <c r="BA39" s="443"/>
      <c r="BB39" s="453"/>
    </row>
    <row r="40" spans="2:54" ht="55.5" hidden="1" customHeight="1" x14ac:dyDescent="0.3">
      <c r="B40" s="406">
        <v>33</v>
      </c>
      <c r="C40" s="414" t="s">
        <v>1641</v>
      </c>
      <c r="D40" s="406">
        <v>163</v>
      </c>
      <c r="E40" s="414" t="s">
        <v>1648</v>
      </c>
      <c r="F40" s="415">
        <f>VLOOKUP(D40,'Presupuesto - PAA 2015'!$B$10:$E$265,4,0)</f>
        <v>0</v>
      </c>
      <c r="G40" s="407" t="str">
        <f>VLOOKUP(D40,'[4]Seguimiento Plan'!$C$2:$R$101,16,0)</f>
        <v>Suministro de ACPM para la Secretaría Distrital de Hacienda y el Concejo de Bogotá</v>
      </c>
      <c r="H40" s="407" t="s">
        <v>1775</v>
      </c>
      <c r="I40" s="407" t="s">
        <v>1712</v>
      </c>
      <c r="J40" s="416" t="s">
        <v>909</v>
      </c>
      <c r="K40" s="417"/>
      <c r="L40" s="417" t="s">
        <v>590</v>
      </c>
      <c r="M40" s="418"/>
      <c r="N40" s="417"/>
      <c r="O40" s="419"/>
      <c r="P40" s="419"/>
      <c r="Q40" s="419"/>
      <c r="R40" s="420"/>
      <c r="S40" s="420"/>
      <c r="T40" s="421"/>
      <c r="U40" s="423" t="str">
        <f>IF(ISERROR(VLOOKUP(T40,'Base de Datos'!$E$7:$AU$302,3,0))=TRUE," ",(VLOOKUP(T40,'Base de Datos'!$E$7:$AU$302,2,0)))</f>
        <v xml:space="preserve"> </v>
      </c>
      <c r="V40" s="426" t="str">
        <f>IF(ISERROR(VLOOKUP(T40,'Base de Datos'!$E$7:$AU$302,5,0))=TRUE," ",(VLOOKUP(T40,'Base de Datos'!$E$7:$AU$302,5,0)))</f>
        <v xml:space="preserve"> </v>
      </c>
      <c r="W40" s="423" t="str">
        <f>IF(ISERROR(VLOOKUP(T40,'Base de Datos'!$E$7:$AU$302,19,0))=TRUE," ",(VLOOKUP(T40,'Base de Datos'!$E$7:$AU$302,19,0)))</f>
        <v xml:space="preserve"> </v>
      </c>
      <c r="X40" s="428" t="str">
        <f>IF(ISERROR(VLOOKUP(T40,'Base de Datos'!$E$7:$AU$302,8,0))=TRUE," ",(VLOOKUP(T40,'Base de Datos'!$E$7:$AU$302,8,0)))</f>
        <v xml:space="preserve"> </v>
      </c>
      <c r="Y40" s="428" t="str">
        <f>IF(ISERROR(VLOOKUP(T40,'Base de Datos'!$E$7:$AU$302,9,0))=TRUE," ",(VLOOKUP(T40,'Base de Datos'!$E$7:$AU$302,9,0)))</f>
        <v xml:space="preserve"> </v>
      </c>
      <c r="Z40" s="422" t="str">
        <f>IF(ISERROR(VLOOKUP(T40,'Base de Datos'!$E$7:$AU$302,10,0))=TRUE," ",(VLOOKUP(T40,'Base de Datos'!$E$7:$AU$302,10,0)))</f>
        <v xml:space="preserve"> </v>
      </c>
      <c r="AA40" s="425" t="str">
        <f>IF(ISERROR(VLOOKUP(T40,'Base de Datos'!$E$7:$AU$302,11,0))=TRUE," ",(VLOOKUP(T40,'Base de Datos'!$E$7:$AU$302,11,0)))</f>
        <v xml:space="preserve"> </v>
      </c>
      <c r="AB40" s="422" t="str">
        <f>IF(ISERROR(VLOOKUP(T40,'Base de Datos'!$E$7:$AU$302,12,0))=TRUE," ",(VLOOKUP(T40,'Base de Datos'!$E$7:$AU$302,12,0)))</f>
        <v xml:space="preserve"> </v>
      </c>
      <c r="AC40" s="422" t="str">
        <f>IF(ISERROR(VLOOKUP(T40,'Base de Datos'!$E$7:$AU$302,12,0))=TRUE," ",(VLOOKUP(T40,'Base de Datos'!$E$7:$AU$302,12,0)))</f>
        <v xml:space="preserve"> </v>
      </c>
      <c r="AD40" s="428" t="str">
        <f>IF(ISERROR(VLOOKUP(T40,'Base de Datos'!$E$7:$AU$302,15,0))=TRUE," ",(VLOOKUP(T40,'Base de Datos'!$E$7:$AU$302,15,0)))</f>
        <v xml:space="preserve"> </v>
      </c>
      <c r="AE40" s="433" t="str">
        <f>IF(ISERROR(VLOOKUP(T40,'Base de Datos'!$E$7:$AU$302,16,0))=TRUE," ",(VLOOKUP(T40,'Base de Datos'!$E$7:$AU$302,16,0)))</f>
        <v xml:space="preserve"> </v>
      </c>
      <c r="AF40" s="433" t="str">
        <f>IF(ISERROR(VLOOKUP(T40,'Base de Datos'!$E$7:$AU$302,17,0))=TRUE," ",(VLOOKUP(T40,'Base de Datos'!$E$7:$AU$302,17,0)))</f>
        <v xml:space="preserve"> </v>
      </c>
      <c r="AG40" s="433" t="str">
        <f>IF(ISERROR(VLOOKUP(T40,'Base de Datos'!$E$7:$AU$302,18,0))=TRUE," ",(VLOOKUP(T40,'Base de Datos'!$E$7:$AU$302,18,0)))</f>
        <v xml:space="preserve"> </v>
      </c>
      <c r="AH40" s="434" t="str">
        <f>IF(ISERROR(VLOOKUP(T40,'Base de Datos'!$E$7:$AU$302,20,0))=TRUE," ",(VLOOKUP(T40,'Base de Datos'!$E$7:$AU$302,20,0)))</f>
        <v xml:space="preserve"> </v>
      </c>
      <c r="AI40" s="434" t="str">
        <f>IF(ISERROR(VLOOKUP(T40,'Base de Datos'!$E$7:$AU$302,21,0))=TRUE," ",(VLOOKUP(T40,'Base de Datos'!$E$7:$AU$302,21,0)))</f>
        <v xml:space="preserve"> </v>
      </c>
      <c r="AJ40" s="423"/>
      <c r="AK40" s="423" t="str">
        <f>IF(ISERROR(VLOOKUP(D40,'Base de Datos'!$C$7:$AU$400,2,0))=TRUE," ",(VLOOKUP(D40,'Base de Datos'!$C$7:$AU$400,2,0)))</f>
        <v xml:space="preserve"> </v>
      </c>
      <c r="AL40" s="423" t="str">
        <f>IF(ISERROR(VLOOKUP(D40,'Base de Datos'!$C$7:$AU$400,3,0))=TRUE," ",(VLOOKUP(D40,'Base de Datos'!$C$7:$AU$400,3,0)))</f>
        <v xml:space="preserve"> </v>
      </c>
      <c r="AM40" s="426" t="e">
        <f>IF(ISERROR(VLOOKUP(D40,'Base de Datos'!$C$7:$AU$3761,6,0))=TRUE," ",(VLOOKUP(D40,'Base de Datos'!$C$7:$AU$400,6,0)))</f>
        <v>#N/A</v>
      </c>
      <c r="AN40" s="426" t="str">
        <f>IF(ISERROR(VLOOKUP(D40,'Base de Datos'!$C$7:$AU$400,20,0))=TRUE," ",(VLOOKUP(D40,'Base de Datos'!$C$7:$AU$400,19,0)))</f>
        <v xml:space="preserve"> </v>
      </c>
      <c r="AO40" s="429" t="str">
        <f>IF(ISERROR(VLOOKUP(D40,'Base de Datos'!$C$7:$AU$400,9,0))=TRUE," ",(VLOOKUP(D40,'Base de Datos'!$C$7:$AU$400,9,0)))</f>
        <v xml:space="preserve"> </v>
      </c>
      <c r="AP40" s="429" t="str">
        <f>IF(ISERROR(VLOOKUP(D40,'Base de Datos'!$C$7:$AU$400,10,0))=TRUE," ",(VLOOKUP(D40,'Base de Datos'!$C$7:$AU$400,10,0)))</f>
        <v xml:space="preserve"> </v>
      </c>
      <c r="AQ40" s="431" t="str">
        <f>IF(ISERROR(VLOOKUP(D40,'Base de Datos'!$C$7:$AU$400,11,0))=TRUE," ",(VLOOKUP(D40,'Base de Datos'!$C$7:$AU$400,11,0)))</f>
        <v xml:space="preserve"> </v>
      </c>
      <c r="AR40" s="432" t="str">
        <f>IF(ISERROR(VLOOKUP(D40,'Base de Datos'!$C$7:$AU$400,12,0))=TRUE," ",(VLOOKUP(D40,'Base de Datos'!$C$7:$AU$400,12,0)))</f>
        <v xml:space="preserve"> </v>
      </c>
      <c r="AS40" s="431" t="str">
        <f>IF(ISERROR(VLOOKUP(D40,'Base de Datos'!$C$7:$AU$400,13,0))=TRUE," ",(VLOOKUP(D40,'Base de Datos'!$C$7:$AU$400,13,0)))</f>
        <v xml:space="preserve"> </v>
      </c>
      <c r="AT40" s="431" t="str">
        <f>IF(ISERROR(VLOOKUP(D40,'Base de Datos'!$C$7:$AU$400,14,0))=TRUE," ",(VLOOKUP(D40,'Base de Datos'!$C$7:$AU$400,14,0)))</f>
        <v xml:space="preserve"> </v>
      </c>
      <c r="AU40" s="429" t="str">
        <f>IF(ISERROR(VLOOKUP(D40,'Base de Datos'!$C$7:$AU$400,16,0))=TRUE," ",(VLOOKUP(D40,'Base de Datos'!$C$7:$AU$400,16,0)))</f>
        <v xml:space="preserve"> </v>
      </c>
      <c r="AV40" s="433" t="str">
        <f>IF(ISERROR(VLOOKUP(D40,'Base de Datos'!$C$7:$AU$400,17,0))=TRUE," ",(VLOOKUP(D40,'Base de Datos'!$C$7:$AU$400,17,0)))</f>
        <v xml:space="preserve"> </v>
      </c>
      <c r="AW40" s="433" t="str">
        <f>IF(ISERROR(VLOOKUP(D40,'Base de Datos'!$C$7:$AU$400,18,0))=TRUE," ",(VLOOKUP(D40,'Base de Datos'!$C$7:$AU$400,18,0)))</f>
        <v xml:space="preserve"> </v>
      </c>
      <c r="AX40" s="433" t="str">
        <f>IF(ISERROR(VLOOKUP(D40,'Base de Datos'!$C$7:$AU$400,19,0))=TRUE," ",(VLOOKUP(D40,'Base de Datos'!$C$7:$AU$400,19,0)))</f>
        <v xml:space="preserve"> </v>
      </c>
      <c r="AY40" s="436" t="str">
        <f>IF(ISERROR(VLOOKUP(D40,'Base de Datos'!$C$7:$AU$400,21,0))=TRUE," ",(VLOOKUP(D40,'Base de Datos'!$C$7:$AU$400,21,0)))</f>
        <v xml:space="preserve"> </v>
      </c>
      <c r="AZ40" s="436" t="str">
        <f>IF(ISERROR(VLOOKUP(D40,'Base de Datos'!$C$7:$AU$400,22,0))=TRUE," ",(VLOOKUP(D40,'Base de Datos'!$C$7:$AU$400,22,0)))</f>
        <v xml:space="preserve"> </v>
      </c>
      <c r="BA40" s="443"/>
      <c r="BB40" s="453"/>
    </row>
    <row r="41" spans="2:54" ht="55.5" hidden="1" customHeight="1" x14ac:dyDescent="0.3">
      <c r="B41" s="406">
        <v>34</v>
      </c>
      <c r="C41" s="414" t="s">
        <v>1641</v>
      </c>
      <c r="D41" s="406">
        <v>164</v>
      </c>
      <c r="E41" s="414" t="s">
        <v>1648</v>
      </c>
      <c r="F41" s="415">
        <f>VLOOKUP(D41,'Presupuesto - PAA 2015'!$B$10:$E$265,4,0)</f>
        <v>3415000</v>
      </c>
      <c r="G41" s="407" t="str">
        <f>VLOOKUP(D41,'[4]Seguimiento Plan'!$C$2:$R$101,16,0)</f>
        <v>Prestar los servicios de mantenimiento preventivo para los vehículos de la Secretaría de Hacienda y del Concejo de Bogotá.-</v>
      </c>
      <c r="H41" s="407" t="s">
        <v>1775</v>
      </c>
      <c r="I41" s="407" t="s">
        <v>1709</v>
      </c>
      <c r="J41" s="416" t="s">
        <v>909</v>
      </c>
      <c r="K41" s="417" t="s">
        <v>390</v>
      </c>
      <c r="L41" s="417" t="str">
        <f>VLOOKUP(D41,'[4]Seguimiento Plan'!$C$2:$AJ$101,30,0)</f>
        <v>SI</v>
      </c>
      <c r="M41" s="418">
        <f>VLOOKUP(D41,'[4]Seguimiento Plan'!$C$2:$AJ$101,31,0)</f>
        <v>42025</v>
      </c>
      <c r="N41" s="417"/>
      <c r="O41" s="419"/>
      <c r="P41" s="419"/>
      <c r="Q41" s="419"/>
      <c r="R41" s="420" t="s">
        <v>1944</v>
      </c>
      <c r="S41" s="438" t="s">
        <v>1943</v>
      </c>
      <c r="T41" s="421"/>
      <c r="U41" s="423" t="str">
        <f>IF(ISERROR(VLOOKUP(T41,'Base de Datos'!$E$7:$AU$302,3,0))=TRUE," ",(VLOOKUP(T41,'Base de Datos'!$E$7:$AU$302,2,0)))</f>
        <v xml:space="preserve"> </v>
      </c>
      <c r="V41" s="426" t="str">
        <f>IF(ISERROR(VLOOKUP(T41,'Base de Datos'!$E$7:$AU$302,5,0))=TRUE," ",(VLOOKUP(T41,'Base de Datos'!$E$7:$AU$302,5,0)))</f>
        <v xml:space="preserve"> </v>
      </c>
      <c r="W41" s="423" t="str">
        <f>IF(ISERROR(VLOOKUP(T41,'Base de Datos'!$E$7:$AU$302,19,0))=TRUE," ",(VLOOKUP(T41,'Base de Datos'!$E$7:$AU$302,19,0)))</f>
        <v xml:space="preserve"> </v>
      </c>
      <c r="X41" s="428" t="str">
        <f>IF(ISERROR(VLOOKUP(T41,'Base de Datos'!$E$7:$AU$302,8,0))=TRUE," ",(VLOOKUP(T41,'Base de Datos'!$E$7:$AU$302,8,0)))</f>
        <v xml:space="preserve"> </v>
      </c>
      <c r="Y41" s="428" t="str">
        <f>IF(ISERROR(VLOOKUP(T41,'Base de Datos'!$E$7:$AU$302,9,0))=TRUE," ",(VLOOKUP(T41,'Base de Datos'!$E$7:$AU$302,9,0)))</f>
        <v xml:space="preserve"> </v>
      </c>
      <c r="Z41" s="422" t="str">
        <f>IF(ISERROR(VLOOKUP(T41,'Base de Datos'!$E$7:$AU$302,10,0))=TRUE," ",(VLOOKUP(T41,'Base de Datos'!$E$7:$AU$302,10,0)))</f>
        <v xml:space="preserve"> </v>
      </c>
      <c r="AA41" s="425" t="str">
        <f>IF(ISERROR(VLOOKUP(T41,'Base de Datos'!$E$7:$AU$302,11,0))=TRUE," ",(VLOOKUP(T41,'Base de Datos'!$E$7:$AU$302,11,0)))</f>
        <v xml:space="preserve"> </v>
      </c>
      <c r="AB41" s="422" t="str">
        <f>IF(ISERROR(VLOOKUP(T41,'Base de Datos'!$E$7:$AU$302,12,0))=TRUE," ",(VLOOKUP(T41,'Base de Datos'!$E$7:$AU$302,12,0)))</f>
        <v xml:space="preserve"> </v>
      </c>
      <c r="AC41" s="422" t="str">
        <f>IF(ISERROR(VLOOKUP(T41,'Base de Datos'!$E$7:$AU$302,12,0))=TRUE," ",(VLOOKUP(T41,'Base de Datos'!$E$7:$AU$302,12,0)))</f>
        <v xml:space="preserve"> </v>
      </c>
      <c r="AD41" s="428" t="str">
        <f>IF(ISERROR(VLOOKUP(T41,'Base de Datos'!$E$7:$AU$302,15,0))=TRUE," ",(VLOOKUP(T41,'Base de Datos'!$E$7:$AU$302,15,0)))</f>
        <v xml:space="preserve"> </v>
      </c>
      <c r="AE41" s="433" t="str">
        <f>IF(ISERROR(VLOOKUP(T41,'Base de Datos'!$E$7:$AU$302,16,0))=TRUE," ",(VLOOKUP(T41,'Base de Datos'!$E$7:$AU$302,16,0)))</f>
        <v xml:space="preserve"> </v>
      </c>
      <c r="AF41" s="433" t="str">
        <f>IF(ISERROR(VLOOKUP(T41,'Base de Datos'!$E$7:$AU$302,17,0))=TRUE," ",(VLOOKUP(T41,'Base de Datos'!$E$7:$AU$302,17,0)))</f>
        <v xml:space="preserve"> </v>
      </c>
      <c r="AG41" s="433" t="str">
        <f>IF(ISERROR(VLOOKUP(T41,'Base de Datos'!$E$7:$AU$302,18,0))=TRUE," ",(VLOOKUP(T41,'Base de Datos'!$E$7:$AU$302,18,0)))</f>
        <v xml:space="preserve"> </v>
      </c>
      <c r="AH41" s="434" t="str">
        <f>IF(ISERROR(VLOOKUP(T41,'Base de Datos'!$E$7:$AU$302,20,0))=TRUE," ",(VLOOKUP(T41,'Base de Datos'!$E$7:$AU$302,20,0)))</f>
        <v xml:space="preserve"> </v>
      </c>
      <c r="AI41" s="434" t="str">
        <f>IF(ISERROR(VLOOKUP(T41,'Base de Datos'!$E$7:$AU$302,21,0))=TRUE," ",(VLOOKUP(T41,'Base de Datos'!$E$7:$AU$302,21,0)))</f>
        <v xml:space="preserve"> </v>
      </c>
      <c r="AJ41" s="423"/>
      <c r="AK41" s="423" t="str">
        <f>IF(ISERROR(VLOOKUP(D41,'Base de Datos'!$C$7:$AU$400,2,0))=TRUE," ",(VLOOKUP(D41,'Base de Datos'!$C$7:$AU$400,2,0)))</f>
        <v>2015164</v>
      </c>
      <c r="AL41" s="423" t="str">
        <f>IF(ISERROR(VLOOKUP(D41,'Base de Datos'!$C$7:$AU$400,3,0))=TRUE," ",(VLOOKUP(D41,'Base de Datos'!$C$7:$AU$400,3,0)))</f>
        <v>150358-0-2015</v>
      </c>
      <c r="AM41" s="426" t="str">
        <f>IF(ISERROR(VLOOKUP(D41,'Base de Datos'!$C$7:$AU$3761,6,0))=TRUE," ",(VLOOKUP(D41,'Base de Datos'!$C$7:$AU$400,6,0)))</f>
        <v>Prestar el servicio de mantenimiento periódico preventivo del parque automotor al servicio del Concejo de Bogotá D.C., de conformidad con lo establecido en la presente invitación pública.</v>
      </c>
      <c r="AN41" s="426" t="str">
        <f>IF(ISERROR(VLOOKUP(D41,'Base de Datos'!$C$7:$AU$400,20,0))=TRUE," ",(VLOOKUP(D41,'Base de Datos'!$C$7:$AU$400,19,0)))</f>
        <v/>
      </c>
      <c r="AO41" s="429">
        <f>IF(ISERROR(VLOOKUP(D41,'Base de Datos'!$C$7:$AU$400,9,0))=TRUE," ",(VLOOKUP(D41,'Base de Datos'!$C$7:$AU$400,9,0)))</f>
        <v>2015</v>
      </c>
      <c r="AP41" s="429">
        <f>IF(ISERROR(VLOOKUP(D41,'Base de Datos'!$C$7:$AU$400,10,0))=TRUE," ",(VLOOKUP(D41,'Base de Datos'!$C$7:$AU$400,10,0)))</f>
        <v>42268</v>
      </c>
      <c r="AQ41" s="431">
        <f>IF(ISERROR(VLOOKUP(D41,'Base de Datos'!$C$7:$AU$400,11,0))=TRUE," ",(VLOOKUP(D41,'Base de Datos'!$C$7:$AU$400,11,0)))</f>
        <v>42296</v>
      </c>
      <c r="AR41" s="432">
        <f>IF(ISERROR(VLOOKUP(D41,'Base de Datos'!$C$7:$AU$400,12,0))=TRUE," ",(VLOOKUP(D41,'Base de Datos'!$C$7:$AU$400,12,0)))</f>
        <v>42662</v>
      </c>
      <c r="AS41" s="431" t="str">
        <f>IF(ISERROR(VLOOKUP(D41,'Base de Datos'!$C$7:$AU$400,13,0))=TRUE," ",(VLOOKUP(D41,'Base de Datos'!$C$7:$AU$400,13,0)))</f>
        <v/>
      </c>
      <c r="AT41" s="431">
        <f>IF(ISERROR(VLOOKUP(D41,'Base de Datos'!$C$7:$AU$400,14,0))=TRUE," ",(VLOOKUP(D41,'Base de Datos'!$C$7:$AU$400,14,0)))</f>
        <v>0</v>
      </c>
      <c r="AU41" s="429">
        <f>IF(ISERROR(VLOOKUP(D41,'Base de Datos'!$C$7:$AU$400,16,0))=TRUE," ",(VLOOKUP(D41,'Base de Datos'!$C$7:$AU$400,16,0)))</f>
        <v>1</v>
      </c>
      <c r="AV41" s="433" t="str">
        <f>IF(ISERROR(VLOOKUP(D41,'Base de Datos'!$C$7:$AU$400,17,0))=TRUE," ",(VLOOKUP(D41,'Base de Datos'!$C$7:$AU$400,17,0)))</f>
        <v>2 meses     12 días calendario</v>
      </c>
      <c r="AW41" s="433">
        <f>IF(ISERROR(VLOOKUP(D41,'Base de Datos'!$C$7:$AU$400,18,0))=TRUE," ",(VLOOKUP(D41,'Base de Datos'!$C$7:$AU$400,18,0)))</f>
        <v>42735</v>
      </c>
      <c r="AX41" s="433" t="str">
        <f>IF(ISERROR(VLOOKUP(D41,'Base de Datos'!$C$7:$AU$400,19,0))=TRUE," ",(VLOOKUP(D41,'Base de Datos'!$C$7:$AU$400,19,0)))</f>
        <v/>
      </c>
      <c r="AY41" s="436">
        <f>IF(ISERROR(VLOOKUP(D41,'Base de Datos'!$C$7:$AU$400,21,0))=TRUE," ",(VLOOKUP(D41,'Base de Datos'!$C$7:$AU$400,21,0)))</f>
        <v>42735</v>
      </c>
      <c r="AZ41" s="436">
        <f>IF(ISERROR(VLOOKUP(D41,'Base de Datos'!$C$7:$AU$400,22,0))=TRUE," ",(VLOOKUP(D41,'Base de Datos'!$C$7:$AU$400,22,0)))</f>
        <v>28805000</v>
      </c>
      <c r="BA41" s="443"/>
      <c r="BB41" s="453"/>
    </row>
    <row r="42" spans="2:54" ht="55.5" hidden="1" customHeight="1" x14ac:dyDescent="0.3">
      <c r="B42" s="406">
        <v>35</v>
      </c>
      <c r="C42" s="414" t="s">
        <v>1641</v>
      </c>
      <c r="D42" s="406">
        <v>165</v>
      </c>
      <c r="E42" s="414" t="s">
        <v>1649</v>
      </c>
      <c r="F42" s="415">
        <f>VLOOKUP(D42,'Presupuesto - PAA 2015'!$B$10:$E$265,4,0)</f>
        <v>133000000</v>
      </c>
      <c r="G42" s="407" t="str">
        <f>VLOOKUP(D42,'[4]Seguimiento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07" t="s">
        <v>1775</v>
      </c>
      <c r="I42" s="407" t="s">
        <v>1709</v>
      </c>
      <c r="J42" s="416" t="s">
        <v>1733</v>
      </c>
      <c r="K42" s="417" t="s">
        <v>390</v>
      </c>
      <c r="L42" s="417" t="str">
        <f>VLOOKUP(D42,'[4]Seguimiento Plan'!$C$2:$AJ$101,30,0)</f>
        <v>SI</v>
      </c>
      <c r="M42" s="418">
        <f>VLOOKUP(D42,'[4]Seguimiento Plan'!$C$2:$AJ$101,31,0)</f>
        <v>42009</v>
      </c>
      <c r="N42" s="417"/>
      <c r="O42" s="419"/>
      <c r="P42" s="419"/>
      <c r="Q42" s="439">
        <v>42079</v>
      </c>
      <c r="R42" s="498"/>
      <c r="S42" s="438" t="s">
        <v>1758</v>
      </c>
      <c r="T42" s="317" t="s">
        <v>287</v>
      </c>
      <c r="U42" s="423" t="str">
        <f>IF(ISERROR(VLOOKUP(T42,'Base de Datos'!$E$7:$AU$302,3,0))=TRUE," ",(VLOOKUP(T42,'Base de Datos'!$E$7:$AU$302,2,0)))</f>
        <v xml:space="preserve">UNIÓN TEMPORAL EMINSER-SOLOASEO </v>
      </c>
      <c r="V42" s="426">
        <f>IF(ISERROR(VLOOKUP(T42,'Base de Datos'!$E$7:$AU$302,5,0))=TRUE," ",(VLOOKUP(T42,'Base de Datos'!$E$7:$AU$302,5,0)))</f>
        <v>337487000</v>
      </c>
      <c r="W42" s="423">
        <f>IF(ISERROR(VLOOKUP(T42,'Base de Datos'!$E$7:$AU$302,19,0))=TRUE," ",(VLOOKUP(T42,'Base de Datos'!$E$7:$AU$302,19,0)))</f>
        <v>42186</v>
      </c>
      <c r="X42" s="428" t="str">
        <f>IF(ISERROR(VLOOKUP(T42,'Base de Datos'!$E$7:$AU$302,8,0))=TRUE," ",(VLOOKUP(T42,'Base de Datos'!$E$7:$AU$302,8,0)))</f>
        <v xml:space="preserve"> </v>
      </c>
      <c r="Y42" s="428">
        <f>IF(ISERROR(VLOOKUP(T42,'Base de Datos'!$E$7:$AU$302,9,0))=TRUE," ",(VLOOKUP(T42,'Base de Datos'!$E$7:$AU$302,9,0)))</f>
        <v>41811</v>
      </c>
      <c r="Z42" s="422">
        <f>IF(ISERROR(VLOOKUP(T42,'Base de Datos'!$E$7:$AU$302,10,0))=TRUE," ",(VLOOKUP(T42,'Base de Datos'!$E$7:$AU$302,10,0)))</f>
        <v>42130</v>
      </c>
      <c r="AA42" s="425" t="str">
        <f>IF(ISERROR(VLOOKUP(T42,'Base de Datos'!$E$7:$AU$302,11,0))=TRUE," ",(VLOOKUP(T42,'Base de Datos'!$E$7:$AU$302,11,0)))</f>
        <v/>
      </c>
      <c r="AB42" s="422">
        <f>IF(ISERROR(VLOOKUP(T42,'Base de Datos'!$E$7:$AU$302,12,0))=TRUE," ",(VLOOKUP(T42,'Base de Datos'!$E$7:$AU$302,12,0)))</f>
        <v>0</v>
      </c>
      <c r="AC42" s="422">
        <f>IF(ISERROR(VLOOKUP(T42,'Base de Datos'!$E$7:$AU$302,12,0))=TRUE," ",(VLOOKUP(T42,'Base de Datos'!$E$7:$AU$302,12,0)))</f>
        <v>0</v>
      </c>
      <c r="AD42" s="428" t="str">
        <f>IF(ISERROR(VLOOKUP(T42,'Base de Datos'!$E$7:$AU$302,15,0))=TRUE," ",(VLOOKUP(T42,'Base de Datos'!$E$7:$AU$302,15,0)))</f>
        <v>1 mes y 25 días</v>
      </c>
      <c r="AE42" s="433">
        <f>IF(ISERROR(VLOOKUP(T42,'Base de Datos'!$E$7:$AU$302,16,0))=TRUE," ",(VLOOKUP(T42,'Base de Datos'!$E$7:$AU$302,16,0)))</f>
        <v>42186</v>
      </c>
      <c r="AF42" s="433" t="str">
        <f>IF(ISERROR(VLOOKUP(T42,'Base de Datos'!$E$7:$AU$302,17,0))=TRUE," ",(VLOOKUP(T42,'Base de Datos'!$E$7:$AU$302,17,0)))</f>
        <v/>
      </c>
      <c r="AG42" s="433" t="str">
        <f>IF(ISERROR(VLOOKUP(T42,'Base de Datos'!$E$7:$AU$302,18,0))=TRUE," ",(VLOOKUP(T42,'Base de Datos'!$E$7:$AU$302,18,0)))</f>
        <v/>
      </c>
      <c r="AH42" s="434">
        <f>IF(ISERROR(VLOOKUP(T42,'Base de Datos'!$E$7:$AU$302,20,0))=TRUE," ",(VLOOKUP(T42,'Base de Datos'!$E$7:$AU$302,20,0)))</f>
        <v>337487000</v>
      </c>
      <c r="AI42" s="434">
        <f>IF(ISERROR(VLOOKUP(T42,'Base de Datos'!$E$7:$AU$302,21,0))=TRUE," ",(VLOOKUP(T42,'Base de Datos'!$E$7:$AU$302,21,0)))</f>
        <v>337486998</v>
      </c>
      <c r="AJ42" s="423"/>
      <c r="AK42" s="423" t="str">
        <f>IF(ISERROR(VLOOKUP(D42,'Base de Datos'!$C$7:$AU$400,2,0))=TRUE," ",(VLOOKUP(D42,'Base de Datos'!$C$7:$AU$400,2,0)))</f>
        <v>2015165</v>
      </c>
      <c r="AL42" s="423" t="str">
        <f>IF(ISERROR(VLOOKUP(D42,'Base de Datos'!$C$7:$AU$400,3,0))=TRUE," ",(VLOOKUP(D42,'Base de Datos'!$C$7:$AU$400,3,0)))</f>
        <v>150265-0-2015</v>
      </c>
      <c r="AM42" s="426" t="str">
        <f>IF(ISERROR(VLOOKUP(D42,'Base de Datos'!$C$7:$AU$3761,6,0))=TRUE," ",(VLOOKUP(D42,'Base de Datos'!$C$7:$AU$400,6,0)))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26" t="str">
        <f>IF(ISERROR(VLOOKUP(D42,'Base de Datos'!$C$7:$AU$400,20,0))=TRUE," ",(VLOOKUP(D42,'Base de Datos'!$C$7:$AU$400,19,0)))</f>
        <v/>
      </c>
      <c r="AO42" s="429">
        <f>IF(ISERROR(VLOOKUP(D42,'Base de Datos'!$C$7:$AU$400,9,0))=TRUE," ",(VLOOKUP(D42,'Base de Datos'!$C$7:$AU$400,9,0)))</f>
        <v>2015</v>
      </c>
      <c r="AP42" s="429">
        <f>IF(ISERROR(VLOOKUP(D42,'Base de Datos'!$C$7:$AU$400,10,0))=TRUE," ",(VLOOKUP(D42,'Base de Datos'!$C$7:$AU$400,10,0)))</f>
        <v>42174</v>
      </c>
      <c r="AQ42" s="431">
        <f>IF(ISERROR(VLOOKUP(D42,'Base de Datos'!$C$7:$AU$400,11,0))=TRUE," ",(VLOOKUP(D42,'Base de Datos'!$C$7:$AU$400,11,0)))</f>
        <v>42187</v>
      </c>
      <c r="AR42" s="432">
        <f>IF(ISERROR(VLOOKUP(D42,'Base de Datos'!$C$7:$AU$400,12,0))=TRUE," ",(VLOOKUP(D42,'Base de Datos'!$C$7:$AU$400,12,0)))</f>
        <v>42492</v>
      </c>
      <c r="AS42" s="431" t="str">
        <f>IF(ISERROR(VLOOKUP(D42,'Base de Datos'!$C$7:$AU$400,13,0))=TRUE," ",(VLOOKUP(D42,'Base de Datos'!$C$7:$AU$400,13,0)))</f>
        <v/>
      </c>
      <c r="AT42" s="431">
        <f>IF(ISERROR(VLOOKUP(D42,'Base de Datos'!$C$7:$AU$400,14,0))=TRUE," ",(VLOOKUP(D42,'Base de Datos'!$C$7:$AU$400,14,0)))</f>
        <v>2</v>
      </c>
      <c r="AU42" s="429">
        <f>IF(ISERROR(VLOOKUP(D42,'Base de Datos'!$C$7:$AU$400,16,0))=TRUE," ",(VLOOKUP(D42,'Base de Datos'!$C$7:$AU$400,16,0)))</f>
        <v>4</v>
      </c>
      <c r="AV42" s="433" t="str">
        <f>IF(ISERROR(VLOOKUP(D42,'Base de Datos'!$C$7:$AU$400,17,0))=TRUE," ",(VLOOKUP(D42,'Base de Datos'!$C$7:$AU$400,17,0)))</f>
        <v>7 meses          23 días</v>
      </c>
      <c r="AW42" s="433">
        <f>IF(ISERROR(VLOOKUP(D42,'Base de Datos'!$C$7:$AU$400,18,0))=TRUE," ",(VLOOKUP(D42,'Base de Datos'!$C$7:$AU$400,18,0)))</f>
        <v>42728</v>
      </c>
      <c r="AX42" s="433" t="str">
        <f>IF(ISERROR(VLOOKUP(D42,'Base de Datos'!$C$7:$AU$400,19,0))=TRUE," ",(VLOOKUP(D42,'Base de Datos'!$C$7:$AU$400,19,0)))</f>
        <v/>
      </c>
      <c r="AY42" s="436">
        <f>IF(ISERROR(VLOOKUP(D42,'Base de Datos'!$C$7:$AU$400,21,0))=TRUE," ",(VLOOKUP(D42,'Base de Datos'!$C$7:$AU$400,21,0)))</f>
        <v>42728</v>
      </c>
      <c r="AZ42" s="436">
        <f>IF(ISERROR(VLOOKUP(D42,'Base de Datos'!$C$7:$AU$400,22,0))=TRUE," ",(VLOOKUP(D42,'Base de Datos'!$C$7:$AU$400,22,0)))</f>
        <v>434000000</v>
      </c>
      <c r="BA42" s="443"/>
      <c r="BB42" s="453"/>
    </row>
    <row r="43" spans="2:54" ht="55.5" hidden="1" customHeight="1" x14ac:dyDescent="0.3">
      <c r="B43" s="406">
        <v>36</v>
      </c>
      <c r="C43" s="414" t="s">
        <v>1641</v>
      </c>
      <c r="D43" s="406">
        <v>166</v>
      </c>
      <c r="E43" s="414" t="s">
        <v>1649</v>
      </c>
      <c r="F43" s="415">
        <f>VLOOKUP(D43,'Presupuesto - PAA 2015'!$B$10:$E$265,4,0)</f>
        <v>5000000</v>
      </c>
      <c r="G43" s="407" t="str">
        <f>VLOOKUP(D43,'[4]Seguimiento Plan'!$C$2:$R$101,16,0)</f>
        <v>Suministro de elementos para protección y embalaje de documentos para la Secretaria Distrital de Hacienda y del Concejo de Bogotá</v>
      </c>
      <c r="H43" s="407" t="s">
        <v>1775</v>
      </c>
      <c r="I43" s="407" t="s">
        <v>1712</v>
      </c>
      <c r="J43" s="416" t="s">
        <v>909</v>
      </c>
      <c r="K43" s="417" t="s">
        <v>390</v>
      </c>
      <c r="L43" s="417" t="str">
        <f>VLOOKUP(D43,'[4]Seguimiento Plan'!$C$2:$AJ$101,30,0)</f>
        <v>SI</v>
      </c>
      <c r="M43" s="418">
        <f>VLOOKUP(D43,'[4]Seguimiento Plan'!$C$2:$AJ$101,31,0)</f>
        <v>42065</v>
      </c>
      <c r="N43" s="417" t="s">
        <v>1803</v>
      </c>
      <c r="O43" s="419"/>
      <c r="P43" s="419"/>
      <c r="Q43" s="419"/>
      <c r="R43" s="420"/>
      <c r="S43" s="438" t="s">
        <v>1842</v>
      </c>
      <c r="T43" s="421"/>
      <c r="U43" s="423" t="str">
        <f>IF(ISERROR(VLOOKUP(T43,'Base de Datos'!$E$7:$AU$302,3,0))=TRUE," ",(VLOOKUP(T43,'Base de Datos'!$E$7:$AU$302,2,0)))</f>
        <v xml:space="preserve"> </v>
      </c>
      <c r="V43" s="426" t="str">
        <f>IF(ISERROR(VLOOKUP(T43,'Base de Datos'!$E$7:$AU$302,5,0))=TRUE," ",(VLOOKUP(T43,'Base de Datos'!$E$7:$AU$302,5,0)))</f>
        <v xml:space="preserve"> </v>
      </c>
      <c r="W43" s="423" t="str">
        <f>IF(ISERROR(VLOOKUP(T43,'Base de Datos'!$E$7:$AU$302,19,0))=TRUE," ",(VLOOKUP(T43,'Base de Datos'!$E$7:$AU$302,19,0)))</f>
        <v xml:space="preserve"> </v>
      </c>
      <c r="X43" s="428" t="str">
        <f>IF(ISERROR(VLOOKUP(T43,'Base de Datos'!$E$7:$AU$302,8,0))=TRUE," ",(VLOOKUP(T43,'Base de Datos'!$E$7:$AU$302,8,0)))</f>
        <v xml:space="preserve"> </v>
      </c>
      <c r="Y43" s="428" t="str">
        <f>IF(ISERROR(VLOOKUP(T43,'Base de Datos'!$E$7:$AU$302,9,0))=TRUE," ",(VLOOKUP(T43,'Base de Datos'!$E$7:$AU$302,9,0)))</f>
        <v xml:space="preserve"> </v>
      </c>
      <c r="Z43" s="422" t="str">
        <f>IF(ISERROR(VLOOKUP(T43,'Base de Datos'!$E$7:$AU$302,10,0))=TRUE," ",(VLOOKUP(T43,'Base de Datos'!$E$7:$AU$302,10,0)))</f>
        <v xml:space="preserve"> </v>
      </c>
      <c r="AA43" s="425" t="str">
        <f>IF(ISERROR(VLOOKUP(T43,'Base de Datos'!$E$7:$AU$302,11,0))=TRUE," ",(VLOOKUP(T43,'Base de Datos'!$E$7:$AU$302,11,0)))</f>
        <v xml:space="preserve"> </v>
      </c>
      <c r="AB43" s="422" t="str">
        <f>IF(ISERROR(VLOOKUP(T43,'Base de Datos'!$E$7:$AU$302,12,0))=TRUE," ",(VLOOKUP(T43,'Base de Datos'!$E$7:$AU$302,12,0)))</f>
        <v xml:space="preserve"> </v>
      </c>
      <c r="AC43" s="422" t="str">
        <f>IF(ISERROR(VLOOKUP(T43,'Base de Datos'!$E$7:$AU$302,12,0))=TRUE," ",(VLOOKUP(T43,'Base de Datos'!$E$7:$AU$302,12,0)))</f>
        <v xml:space="preserve"> </v>
      </c>
      <c r="AD43" s="428" t="str">
        <f>IF(ISERROR(VLOOKUP(T43,'Base de Datos'!$E$7:$AU$302,15,0))=TRUE," ",(VLOOKUP(T43,'Base de Datos'!$E$7:$AU$302,15,0)))</f>
        <v xml:space="preserve"> </v>
      </c>
      <c r="AE43" s="433" t="str">
        <f>IF(ISERROR(VLOOKUP(T43,'Base de Datos'!$E$7:$AU$302,16,0))=TRUE," ",(VLOOKUP(T43,'Base de Datos'!$E$7:$AU$302,16,0)))</f>
        <v xml:space="preserve"> </v>
      </c>
      <c r="AF43" s="433" t="str">
        <f>IF(ISERROR(VLOOKUP(T43,'Base de Datos'!$E$7:$AU$302,17,0))=TRUE," ",(VLOOKUP(T43,'Base de Datos'!$E$7:$AU$302,17,0)))</f>
        <v xml:space="preserve"> </v>
      </c>
      <c r="AG43" s="433" t="str">
        <f>IF(ISERROR(VLOOKUP(T43,'Base de Datos'!$E$7:$AU$302,18,0))=TRUE," ",(VLOOKUP(T43,'Base de Datos'!$E$7:$AU$302,18,0)))</f>
        <v xml:space="preserve"> </v>
      </c>
      <c r="AH43" s="434" t="str">
        <f>IF(ISERROR(VLOOKUP(T43,'Base de Datos'!$E$7:$AU$302,20,0))=TRUE," ",(VLOOKUP(T43,'Base de Datos'!$E$7:$AU$302,20,0)))</f>
        <v xml:space="preserve"> </v>
      </c>
      <c r="AI43" s="434" t="str">
        <f>IF(ISERROR(VLOOKUP(T43,'Base de Datos'!$E$7:$AU$302,21,0))=TRUE," ",(VLOOKUP(T43,'Base de Datos'!$E$7:$AU$302,21,0)))</f>
        <v xml:space="preserve"> </v>
      </c>
      <c r="AJ43" s="437">
        <v>42149</v>
      </c>
      <c r="AK43" s="423" t="str">
        <f>IF(ISERROR(VLOOKUP(D43,'Base de Datos'!$C$7:$AU$400,2,0))=TRUE," ",(VLOOKUP(D43,'Base de Datos'!$C$7:$AU$400,2,0)))</f>
        <v>2015166</v>
      </c>
      <c r="AL43" s="423" t="str">
        <f>IF(ISERROR(VLOOKUP(D43,'Base de Datos'!$C$7:$AU$400,3,0))=TRUE," ",(VLOOKUP(D43,'Base de Datos'!$C$7:$AU$400,3,0)))</f>
        <v>150232-0-2015</v>
      </c>
      <c r="AM43" s="426" t="str">
        <f>IF(ISERROR(VLOOKUP(D43,'Base de Datos'!$C$7:$AU$3761,6,0))=TRUE," ",(VLOOKUP(D43,'Base de Datos'!$C$7:$AU$400,6,0)))</f>
        <v>Suministrar cajas y carpetas para el embalaje de los documentos de archivo para el Concejo de Bogotá, D.C, de conformidad con lo establecido en la presente invitación pública.</v>
      </c>
      <c r="AN43" s="426" t="str">
        <f>IF(ISERROR(VLOOKUP(D43,'Base de Datos'!$C$7:$AU$400,20,0))=TRUE," ",(VLOOKUP(D43,'Base de Datos'!$C$7:$AU$400,19,0)))</f>
        <v/>
      </c>
      <c r="AO43" s="429">
        <f>IF(ISERROR(VLOOKUP(D43,'Base de Datos'!$C$7:$AU$400,9,0))=TRUE," ",(VLOOKUP(D43,'Base de Datos'!$C$7:$AU$400,9,0)))</f>
        <v>2015</v>
      </c>
      <c r="AP43" s="429">
        <f>IF(ISERROR(VLOOKUP(D43,'Base de Datos'!$C$7:$AU$400,10,0))=TRUE," ",(VLOOKUP(D43,'Base de Datos'!$C$7:$AU$400,10,0)))</f>
        <v>42149</v>
      </c>
      <c r="AQ43" s="431">
        <f>IF(ISERROR(VLOOKUP(D43,'Base de Datos'!$C$7:$AU$400,11,0))=TRUE," ",(VLOOKUP(D43,'Base de Datos'!$C$7:$AU$400,11,0)))</f>
        <v>42160</v>
      </c>
      <c r="AR43" s="432">
        <f>IF(ISERROR(VLOOKUP(D43,'Base de Datos'!$C$7:$AU$400,12,0))=TRUE," ",(VLOOKUP(D43,'Base de Datos'!$C$7:$AU$400,12,0)))</f>
        <v>42252</v>
      </c>
      <c r="AS43" s="431" t="str">
        <f>IF(ISERROR(VLOOKUP(D43,'Base de Datos'!$C$7:$AU$400,13,0))=TRUE," ",(VLOOKUP(D43,'Base de Datos'!$C$7:$AU$400,13,0)))</f>
        <v/>
      </c>
      <c r="AT43" s="431">
        <f>IF(ISERROR(VLOOKUP(D43,'Base de Datos'!$C$7:$AU$400,14,0))=TRUE," ",(VLOOKUP(D43,'Base de Datos'!$C$7:$AU$400,14,0)))</f>
        <v>0</v>
      </c>
      <c r="AU43" s="429">
        <f>IF(ISERROR(VLOOKUP(D43,'Base de Datos'!$C$7:$AU$400,16,0))=TRUE," ",(VLOOKUP(D43,'Base de Datos'!$C$7:$AU$400,16,0)))</f>
        <v>0</v>
      </c>
      <c r="AV43" s="433" t="str">
        <f>IF(ISERROR(VLOOKUP(D43,'Base de Datos'!$C$7:$AU$400,17,0))=TRUE," ",(VLOOKUP(D43,'Base de Datos'!$C$7:$AU$400,17,0)))</f>
        <v/>
      </c>
      <c r="AW43" s="433" t="str">
        <f>IF(ISERROR(VLOOKUP(D43,'Base de Datos'!$C$7:$AU$400,18,0))=TRUE," ",(VLOOKUP(D43,'Base de Datos'!$C$7:$AU$400,18,0)))</f>
        <v/>
      </c>
      <c r="AX43" s="433" t="str">
        <f>IF(ISERROR(VLOOKUP(D43,'Base de Datos'!$C$7:$AU$400,19,0))=TRUE," ",(VLOOKUP(D43,'Base de Datos'!$C$7:$AU$400,19,0)))</f>
        <v/>
      </c>
      <c r="AY43" s="436">
        <f>IF(ISERROR(VLOOKUP(D43,'Base de Datos'!$C$7:$AU$400,21,0))=TRUE," ",(VLOOKUP(D43,'Base de Datos'!$C$7:$AU$400,21,0)))</f>
        <v>42252</v>
      </c>
      <c r="AZ43" s="436">
        <f>IF(ISERROR(VLOOKUP(D43,'Base de Datos'!$C$7:$AU$400,22,0))=TRUE," ",(VLOOKUP(D43,'Base de Datos'!$C$7:$AU$400,22,0)))</f>
        <v>5000000</v>
      </c>
      <c r="BA43" s="443"/>
      <c r="BB43" s="453"/>
    </row>
    <row r="44" spans="2:54" ht="55.5" hidden="1" customHeight="1" x14ac:dyDescent="0.3">
      <c r="B44" s="406">
        <v>37</v>
      </c>
      <c r="C44" s="414" t="s">
        <v>1641</v>
      </c>
      <c r="D44" s="406">
        <v>167</v>
      </c>
      <c r="E44" s="414" t="s">
        <v>1649</v>
      </c>
      <c r="F44" s="415">
        <f>VLOOKUP(D44,'Presupuesto - PAA 2015'!$B$10:$E$265,4,0)</f>
        <v>69400000</v>
      </c>
      <c r="G44" s="407" t="str">
        <f>VLOOKUP(D44,'[4]Seguimiento Plan'!$C$2:$R$101,16,0)</f>
        <v>Suministro de papelería, útiles de escritorio para la Secretaría Distrital de Hacienda y el Concejo de Bogotá--</v>
      </c>
      <c r="H44" s="407" t="s">
        <v>1775</v>
      </c>
      <c r="I44" s="407" t="s">
        <v>1712</v>
      </c>
      <c r="J44" s="416" t="s">
        <v>1733</v>
      </c>
      <c r="K44" s="417" t="s">
        <v>390</v>
      </c>
      <c r="L44" s="417" t="str">
        <f>VLOOKUP(D44,'[4]Seguimiento Plan'!$C$2:$AJ$101,30,0)</f>
        <v>SI</v>
      </c>
      <c r="M44" s="418">
        <f>VLOOKUP(D44,'[4]Seguimiento Plan'!$C$2:$AJ$101,31,0)</f>
        <v>0</v>
      </c>
      <c r="N44" s="417"/>
      <c r="O44" s="419"/>
      <c r="P44" s="419"/>
      <c r="Q44" s="419"/>
      <c r="R44" s="420"/>
      <c r="S44" s="438" t="s">
        <v>1751</v>
      </c>
      <c r="T44" s="421" t="s">
        <v>1493</v>
      </c>
      <c r="U44" s="423" t="str">
        <f>IF(ISERROR(VLOOKUP(T44,'Base de Datos'!$E$7:$AU$302,3,0))=TRUE," ",(VLOOKUP(T44,'Base de Datos'!$E$7:$AU$302,2,0)))</f>
        <v>S.O.S. SOLUCIONES DE OFICINA &amp; SUMINISTROS S.A.S.</v>
      </c>
      <c r="V44" s="426">
        <f>IF(ISERROR(VLOOKUP(T44,'Base de Datos'!$E$7:$AU$302,5,0))=TRUE," ",(VLOOKUP(T44,'Base de Datos'!$E$7:$AU$302,5,0)))</f>
        <v>29997466</v>
      </c>
      <c r="W44" s="423">
        <f>IF(ISERROR(VLOOKUP(T44,'Base de Datos'!$E$7:$AU$302,19,0))=TRUE," ",(VLOOKUP(T44,'Base de Datos'!$E$7:$AU$302,19,0)))</f>
        <v>42109</v>
      </c>
      <c r="X44" s="428" t="str">
        <f>IF(ISERROR(VLOOKUP(T44,'Base de Datos'!$E$7:$AU$302,8,0))=TRUE," ",(VLOOKUP(T44,'Base de Datos'!$E$7:$AU$302,8,0)))</f>
        <v xml:space="preserve"> </v>
      </c>
      <c r="Y44" s="428">
        <f>IF(ISERROR(VLOOKUP(T44,'Base de Datos'!$E$7:$AU$302,9,0))=TRUE," ",(VLOOKUP(T44,'Base de Datos'!$E$7:$AU$302,9,0)))</f>
        <v>41988</v>
      </c>
      <c r="Z44" s="422">
        <f>IF(ISERROR(VLOOKUP(T44,'Base de Datos'!$E$7:$AU$302,10,0))=TRUE," ",(VLOOKUP(T44,'Base de Datos'!$E$7:$AU$302,10,0)))</f>
        <v>42109</v>
      </c>
      <c r="AA44" s="425" t="str">
        <f>IF(ISERROR(VLOOKUP(T44,'Base de Datos'!$E$7:$AU$302,11,0))=TRUE," ",(VLOOKUP(T44,'Base de Datos'!$E$7:$AU$302,11,0)))</f>
        <v/>
      </c>
      <c r="AB44" s="422">
        <f>IF(ISERROR(VLOOKUP(T44,'Base de Datos'!$E$7:$AU$302,12,0))=TRUE," ",(VLOOKUP(T44,'Base de Datos'!$E$7:$AU$302,12,0)))</f>
        <v>0</v>
      </c>
      <c r="AC44" s="422">
        <f>IF(ISERROR(VLOOKUP(T44,'Base de Datos'!$E$7:$AU$302,12,0))=TRUE," ",(VLOOKUP(T44,'Base de Datos'!$E$7:$AU$302,12,0)))</f>
        <v>0</v>
      </c>
      <c r="AD44" s="428" t="str">
        <f>IF(ISERROR(VLOOKUP(T44,'Base de Datos'!$E$7:$AU$302,15,0))=TRUE," ",(VLOOKUP(T44,'Base de Datos'!$E$7:$AU$302,15,0)))</f>
        <v/>
      </c>
      <c r="AE44" s="433" t="str">
        <f>IF(ISERROR(VLOOKUP(T44,'Base de Datos'!$E$7:$AU$302,16,0))=TRUE," ",(VLOOKUP(T44,'Base de Datos'!$E$7:$AU$302,16,0)))</f>
        <v/>
      </c>
      <c r="AF44" s="433" t="str">
        <f>IF(ISERROR(VLOOKUP(T44,'Base de Datos'!$E$7:$AU$302,17,0))=TRUE," ",(VLOOKUP(T44,'Base de Datos'!$E$7:$AU$302,17,0)))</f>
        <v/>
      </c>
      <c r="AG44" s="433" t="str">
        <f>IF(ISERROR(VLOOKUP(T44,'Base de Datos'!$E$7:$AU$302,18,0))=TRUE," ",(VLOOKUP(T44,'Base de Datos'!$E$7:$AU$302,18,0)))</f>
        <v/>
      </c>
      <c r="AH44" s="434">
        <f>IF(ISERROR(VLOOKUP(T44,'Base de Datos'!$E$7:$AU$302,20,0))=TRUE," ",(VLOOKUP(T44,'Base de Datos'!$E$7:$AU$302,20,0)))</f>
        <v>29997466</v>
      </c>
      <c r="AI44" s="434">
        <f>IF(ISERROR(VLOOKUP(T44,'Base de Datos'!$E$7:$AU$302,21,0))=TRUE," ",(VLOOKUP(T44,'Base de Datos'!$E$7:$AU$302,21,0)))</f>
        <v>29997466</v>
      </c>
      <c r="AJ44" s="437">
        <v>42167</v>
      </c>
      <c r="AK44" s="423" t="str">
        <f>IF(ISERROR(VLOOKUP(D44,'Base de Datos'!$C$7:$AU$400,2,0))=TRUE," ",(VLOOKUP(D44,'Base de Datos'!$C$7:$AU$400,2,0)))</f>
        <v>2015167</v>
      </c>
      <c r="AL44" s="423" t="str">
        <f>IF(ISERROR(VLOOKUP(D44,'Base de Datos'!$C$7:$AU$400,3,0))=TRUE," ",(VLOOKUP(D44,'Base de Datos'!$C$7:$AU$400,3,0)))</f>
        <v>150252-0-2015</v>
      </c>
      <c r="AM44" s="426" t="str">
        <f>IF(ISERROR(VLOOKUP(D44,'Base de Datos'!$C$7:$AU$3761,6,0))=TRUE," ",(VLOOKUP(D44,'Base de Datos'!$C$7:$AU$400,6,0)))</f>
        <v>Suministrar papelería y útiles de escritorio en la modalidad de proveeduría integral para el Concejo de Bogotá.</v>
      </c>
      <c r="AN44" s="426" t="str">
        <f>IF(ISERROR(VLOOKUP(D44,'Base de Datos'!$C$7:$AU$400,20,0))=TRUE," ",(VLOOKUP(D44,'Base de Datos'!$C$7:$AU$400,19,0)))</f>
        <v/>
      </c>
      <c r="AO44" s="429">
        <f>IF(ISERROR(VLOOKUP(D44,'Base de Datos'!$C$7:$AU$400,9,0))=TRUE," ",(VLOOKUP(D44,'Base de Datos'!$C$7:$AU$400,9,0)))</f>
        <v>2015</v>
      </c>
      <c r="AP44" s="429">
        <f>IF(ISERROR(VLOOKUP(D44,'Base de Datos'!$C$7:$AU$400,10,0))=TRUE," ",(VLOOKUP(D44,'Base de Datos'!$C$7:$AU$400,10,0)))</f>
        <v>42167</v>
      </c>
      <c r="AQ44" s="431">
        <f>IF(ISERROR(VLOOKUP(D44,'Base de Datos'!$C$7:$AU$400,11,0))=TRUE," ",(VLOOKUP(D44,'Base de Datos'!$C$7:$AU$400,11,0)))</f>
        <v>42186</v>
      </c>
      <c r="AR44" s="432">
        <f>IF(ISERROR(VLOOKUP(D44,'Base de Datos'!$C$7:$AU$400,12,0))=TRUE," ",(VLOOKUP(D44,'Base de Datos'!$C$7:$AU$400,12,0)))</f>
        <v>42491</v>
      </c>
      <c r="AS44" s="431" t="str">
        <f>IF(ISERROR(VLOOKUP(D44,'Base de Datos'!$C$7:$AU$400,13,0))=TRUE," ",(VLOOKUP(D44,'Base de Datos'!$C$7:$AU$400,13,0)))</f>
        <v/>
      </c>
      <c r="AT44" s="431">
        <f>IF(ISERROR(VLOOKUP(D44,'Base de Datos'!$C$7:$AU$400,14,0))=TRUE," ",(VLOOKUP(D44,'Base de Datos'!$C$7:$AU$400,14,0)))</f>
        <v>0</v>
      </c>
      <c r="AU44" s="429">
        <f>IF(ISERROR(VLOOKUP(D44,'Base de Datos'!$C$7:$AU$400,16,0))=TRUE," ",(VLOOKUP(D44,'Base de Datos'!$C$7:$AU$400,16,0)))</f>
        <v>2</v>
      </c>
      <c r="AV44" s="433" t="str">
        <f>IF(ISERROR(VLOOKUP(D44,'Base de Datos'!$C$7:$AU$400,17,0))=TRUE," ",(VLOOKUP(D44,'Base de Datos'!$C$7:$AU$400,17,0)))</f>
        <v>4 meses y 15 días</v>
      </c>
      <c r="AW44" s="433">
        <f>IF(ISERROR(VLOOKUP(D44,'Base de Datos'!$C$7:$AU$400,18,0))=TRUE," ",(VLOOKUP(D44,'Base de Datos'!$C$7:$AU$400,18,0)))</f>
        <v>42629</v>
      </c>
      <c r="AX44" s="433" t="str">
        <f>IF(ISERROR(VLOOKUP(D44,'Base de Datos'!$C$7:$AU$400,19,0))=TRUE," ",(VLOOKUP(D44,'Base de Datos'!$C$7:$AU$400,19,0)))</f>
        <v/>
      </c>
      <c r="AY44" s="436">
        <f>IF(ISERROR(VLOOKUP(D44,'Base de Datos'!$C$7:$AU$400,21,0))=TRUE," ",(VLOOKUP(D44,'Base de Datos'!$C$7:$AU$400,21,0)))</f>
        <v>42629</v>
      </c>
      <c r="AZ44" s="436">
        <f>IF(ISERROR(VLOOKUP(D44,'Base de Datos'!$C$7:$AU$400,22,0))=TRUE," ",(VLOOKUP(D44,'Base de Datos'!$C$7:$AU$400,22,0)))</f>
        <v>69400000</v>
      </c>
      <c r="BA44" s="443"/>
      <c r="BB44" s="453"/>
    </row>
    <row r="45" spans="2:54" ht="55.5" hidden="1" customHeight="1" x14ac:dyDescent="0.3">
      <c r="B45" s="406">
        <v>38</v>
      </c>
      <c r="C45" s="414" t="s">
        <v>1641</v>
      </c>
      <c r="D45" s="406">
        <v>266</v>
      </c>
      <c r="E45" s="414" t="s">
        <v>1649</v>
      </c>
      <c r="F45" s="415">
        <f>VLOOKUP(D45,'Presupuesto - PAA 2015'!$B$10:$E$265,4,0)</f>
        <v>812000</v>
      </c>
      <c r="G45" s="407" t="str">
        <f>VLOOKUP(D45,'[4]Seguimiento Plan'!$C$2:$R$101,16,0)</f>
        <v>Adquisicion de diademas biauriculares para el  Concejo de Bogotá D.C.</v>
      </c>
      <c r="H45" s="407" t="s">
        <v>1775</v>
      </c>
      <c r="I45" s="407" t="s">
        <v>1711</v>
      </c>
      <c r="J45" s="416" t="s">
        <v>909</v>
      </c>
      <c r="K45" s="417" t="s">
        <v>390</v>
      </c>
      <c r="L45" s="417" t="str">
        <f>VLOOKUP(D45,'[4]Seguimiento Plan'!$C$2:$AJ$101,30,0)</f>
        <v>SI</v>
      </c>
      <c r="M45" s="418" t="s">
        <v>1241</v>
      </c>
      <c r="N45" s="417"/>
      <c r="O45" s="419"/>
      <c r="P45" s="419"/>
      <c r="Q45" s="419"/>
      <c r="R45" s="420"/>
      <c r="S45" s="677" t="s">
        <v>2084</v>
      </c>
      <c r="T45" s="421"/>
      <c r="U45" s="423" t="str">
        <f>IF(ISERROR(VLOOKUP(T45,'Base de Datos'!$E$7:$AU$302,3,0))=TRUE," ",(VLOOKUP(T45,'Base de Datos'!$E$7:$AU$302,2,0)))</f>
        <v xml:space="preserve"> </v>
      </c>
      <c r="V45" s="426" t="str">
        <f>IF(ISERROR(VLOOKUP(T45,'Base de Datos'!$E$7:$AU$302,5,0))=TRUE," ",(VLOOKUP(T45,'Base de Datos'!$E$7:$AU$302,5,0)))</f>
        <v xml:space="preserve"> </v>
      </c>
      <c r="W45" s="423" t="str">
        <f>IF(ISERROR(VLOOKUP(T45,'Base de Datos'!$E$7:$AU$302,19,0))=TRUE," ",(VLOOKUP(T45,'Base de Datos'!$E$7:$AU$302,19,0)))</f>
        <v xml:space="preserve"> </v>
      </c>
      <c r="X45" s="428" t="str">
        <f>IF(ISERROR(VLOOKUP(T45,'Base de Datos'!$E$7:$AU$302,8,0))=TRUE," ",(VLOOKUP(T45,'Base de Datos'!$E$7:$AU$302,8,0)))</f>
        <v xml:space="preserve"> </v>
      </c>
      <c r="Y45" s="428" t="str">
        <f>IF(ISERROR(VLOOKUP(T45,'Base de Datos'!$E$7:$AU$302,9,0))=TRUE," ",(VLOOKUP(T45,'Base de Datos'!$E$7:$AU$302,9,0)))</f>
        <v xml:space="preserve"> </v>
      </c>
      <c r="Z45" s="422" t="str">
        <f>IF(ISERROR(VLOOKUP(T45,'Base de Datos'!$E$7:$AU$302,10,0))=TRUE," ",(VLOOKUP(T45,'Base de Datos'!$E$7:$AU$302,10,0)))</f>
        <v xml:space="preserve"> </v>
      </c>
      <c r="AA45" s="425" t="str">
        <f>IF(ISERROR(VLOOKUP(T45,'Base de Datos'!$E$7:$AU$302,11,0))=TRUE," ",(VLOOKUP(T45,'Base de Datos'!$E$7:$AU$302,11,0)))</f>
        <v xml:space="preserve"> </v>
      </c>
      <c r="AB45" s="422" t="str">
        <f>IF(ISERROR(VLOOKUP(T45,'Base de Datos'!$E$7:$AU$302,12,0))=TRUE," ",(VLOOKUP(T45,'Base de Datos'!$E$7:$AU$302,12,0)))</f>
        <v xml:space="preserve"> </v>
      </c>
      <c r="AC45" s="422" t="str">
        <f>IF(ISERROR(VLOOKUP(T45,'Base de Datos'!$E$7:$AU$302,12,0))=TRUE," ",(VLOOKUP(T45,'Base de Datos'!$E$7:$AU$302,12,0)))</f>
        <v xml:space="preserve"> </v>
      </c>
      <c r="AD45" s="428" t="str">
        <f>IF(ISERROR(VLOOKUP(T45,'Base de Datos'!$E$7:$AU$302,15,0))=TRUE," ",(VLOOKUP(T45,'Base de Datos'!$E$7:$AU$302,15,0)))</f>
        <v xml:space="preserve"> </v>
      </c>
      <c r="AE45" s="433" t="str">
        <f>IF(ISERROR(VLOOKUP(T45,'Base de Datos'!$E$7:$AU$302,16,0))=TRUE," ",(VLOOKUP(T45,'Base de Datos'!$E$7:$AU$302,16,0)))</f>
        <v xml:space="preserve"> </v>
      </c>
      <c r="AF45" s="433" t="str">
        <f>IF(ISERROR(VLOOKUP(T45,'Base de Datos'!$E$7:$AU$302,17,0))=TRUE," ",(VLOOKUP(T45,'Base de Datos'!$E$7:$AU$302,17,0)))</f>
        <v xml:space="preserve"> </v>
      </c>
      <c r="AG45" s="433" t="str">
        <f>IF(ISERROR(VLOOKUP(T45,'Base de Datos'!$E$7:$AU$302,18,0))=TRUE," ",(VLOOKUP(T45,'Base de Datos'!$E$7:$AU$302,18,0)))</f>
        <v xml:space="preserve"> </v>
      </c>
      <c r="AH45" s="434" t="str">
        <f>IF(ISERROR(VLOOKUP(T45,'Base de Datos'!$E$7:$AU$302,20,0))=TRUE," ",(VLOOKUP(T45,'Base de Datos'!$E$7:$AU$302,20,0)))</f>
        <v xml:space="preserve"> </v>
      </c>
      <c r="AI45" s="434" t="str">
        <f>IF(ISERROR(VLOOKUP(T45,'Base de Datos'!$E$7:$AU$302,21,0))=TRUE," ",(VLOOKUP(T45,'Base de Datos'!$E$7:$AU$302,21,0)))</f>
        <v xml:space="preserve"> </v>
      </c>
      <c r="AJ45" s="423"/>
      <c r="AK45" s="423" t="str">
        <f>IF(ISERROR(VLOOKUP(D45,'Base de Datos'!$C$7:$AU$400,2,0))=TRUE," ",(VLOOKUP(D45,'Base de Datos'!$C$7:$AU$400,2,0)))</f>
        <v>2015266</v>
      </c>
      <c r="AL45" s="423" t="str">
        <f>IF(ISERROR(VLOOKUP(D45,'Base de Datos'!$C$7:$AU$400,3,0))=TRUE," ",(VLOOKUP(D45,'Base de Datos'!$C$7:$AU$400,3,0)))</f>
        <v>150331-0-2015</v>
      </c>
      <c r="AM45" s="426" t="str">
        <f>IF(ISERROR(VLOOKUP(D45,'Base de Datos'!$C$7:$AU$3761,6,0))=TRUE," ",(VLOOKUP(D45,'Base de Datos'!$C$7:$AU$400,6,0)))</f>
        <v xml:space="preserve">Adquisición de audífonos biauriculares para el Concejo de Bogotá D.C </v>
      </c>
      <c r="AN45" s="426" t="str">
        <f>IF(ISERROR(VLOOKUP(D45,'Base de Datos'!$C$7:$AU$400,20,0))=TRUE," ",(VLOOKUP(D45,'Base de Datos'!$C$7:$AU$400,19,0)))</f>
        <v/>
      </c>
      <c r="AO45" s="429">
        <f>IF(ISERROR(VLOOKUP(D45,'Base de Datos'!$C$7:$AU$400,9,0))=TRUE," ",(VLOOKUP(D45,'Base de Datos'!$C$7:$AU$400,9,0)))</f>
        <v>2015</v>
      </c>
      <c r="AP45" s="429">
        <f>IF(ISERROR(VLOOKUP(D45,'Base de Datos'!$C$7:$AU$400,10,0))=TRUE," ",(VLOOKUP(D45,'Base de Datos'!$C$7:$AU$400,10,0)))</f>
        <v>42220</v>
      </c>
      <c r="AQ45" s="431">
        <f>IF(ISERROR(VLOOKUP(D45,'Base de Datos'!$C$7:$AU$400,11,0))=TRUE," ",(VLOOKUP(D45,'Base de Datos'!$C$7:$AU$400,11,0)))</f>
        <v>42235</v>
      </c>
      <c r="AR45" s="432">
        <f>IF(ISERROR(VLOOKUP(D45,'Base de Datos'!$C$7:$AU$400,12,0))=TRUE," ",(VLOOKUP(D45,'Base de Datos'!$C$7:$AU$400,12,0)))</f>
        <v>42265</v>
      </c>
      <c r="AS45" s="431" t="str">
        <f>IF(ISERROR(VLOOKUP(D45,'Base de Datos'!$C$7:$AU$400,13,0))=TRUE," ",(VLOOKUP(D45,'Base de Datos'!$C$7:$AU$400,13,0)))</f>
        <v/>
      </c>
      <c r="AT45" s="431">
        <f>IF(ISERROR(VLOOKUP(D45,'Base de Datos'!$C$7:$AU$400,14,0))=TRUE," ",(VLOOKUP(D45,'Base de Datos'!$C$7:$AU$400,14,0)))</f>
        <v>0</v>
      </c>
      <c r="AU45" s="429">
        <f>IF(ISERROR(VLOOKUP(D45,'Base de Datos'!$C$7:$AU$400,16,0))=TRUE," ",(VLOOKUP(D45,'Base de Datos'!$C$7:$AU$400,16,0)))</f>
        <v>0</v>
      </c>
      <c r="AV45" s="433" t="str">
        <f>IF(ISERROR(VLOOKUP(D45,'Base de Datos'!$C$7:$AU$400,17,0))=TRUE," ",(VLOOKUP(D45,'Base de Datos'!$C$7:$AU$400,17,0)))</f>
        <v/>
      </c>
      <c r="AW45" s="433" t="str">
        <f>IF(ISERROR(VLOOKUP(D45,'Base de Datos'!$C$7:$AU$400,18,0))=TRUE," ",(VLOOKUP(D45,'Base de Datos'!$C$7:$AU$400,18,0)))</f>
        <v/>
      </c>
      <c r="AX45" s="433" t="str">
        <f>IF(ISERROR(VLOOKUP(D45,'Base de Datos'!$C$7:$AU$400,19,0))=TRUE," ",(VLOOKUP(D45,'Base de Datos'!$C$7:$AU$400,19,0)))</f>
        <v/>
      </c>
      <c r="AY45" s="436">
        <f>IF(ISERROR(VLOOKUP(D45,'Base de Datos'!$C$7:$AU$400,21,0))=TRUE," ",(VLOOKUP(D45,'Base de Datos'!$C$7:$AU$400,21,0)))</f>
        <v>42265</v>
      </c>
      <c r="AZ45" s="436">
        <f>IF(ISERROR(VLOOKUP(D45,'Base de Datos'!$C$7:$AU$400,22,0))=TRUE," ",(VLOOKUP(D45,'Base de Datos'!$C$7:$AU$400,22,0)))</f>
        <v>812000</v>
      </c>
      <c r="BA45" s="443"/>
      <c r="BB45" s="453"/>
    </row>
    <row r="46" spans="2:54" ht="55.5" hidden="1" customHeight="1" x14ac:dyDescent="0.3">
      <c r="B46" s="406">
        <v>39</v>
      </c>
      <c r="C46" s="414" t="s">
        <v>1641</v>
      </c>
      <c r="D46" s="406">
        <v>68</v>
      </c>
      <c r="E46" s="414" t="s">
        <v>1651</v>
      </c>
      <c r="F46" s="415">
        <f>VLOOKUP(D46,'Presupuesto - PAA 2015'!$B$10:$E$265,4,0)</f>
        <v>150000000</v>
      </c>
      <c r="G46" s="407" t="str">
        <f>VLOOKUP(D46,'[4]Seguimiento Plan'!$C$2:$R$101,16,0)</f>
        <v>Prestar los servicios de conectividad de canales de comunicación dedicados e Internet y servicios complementarios para la Secretaría Distrital de Hacienda y el Concejo de Bogotá.</v>
      </c>
      <c r="H46" s="407" t="s">
        <v>1776</v>
      </c>
      <c r="I46" s="407" t="s">
        <v>1709</v>
      </c>
      <c r="J46" s="416" t="s">
        <v>908</v>
      </c>
      <c r="K46" s="417" t="s">
        <v>390</v>
      </c>
      <c r="L46" s="417" t="str">
        <f>VLOOKUP(D46,'[4]Seguimiento Plan'!$C$2:$AJ$101,30,0)</f>
        <v>SI</v>
      </c>
      <c r="M46" s="418">
        <f>VLOOKUP(D46,'[4]Seguimiento Plan'!$C$2:$AJ$101,31,0)</f>
        <v>42081</v>
      </c>
      <c r="N46" s="417"/>
      <c r="O46" s="419"/>
      <c r="P46" s="419"/>
      <c r="Q46" s="419"/>
      <c r="R46" s="523" t="s">
        <v>1804</v>
      </c>
      <c r="S46" s="420"/>
      <c r="T46" s="421"/>
      <c r="U46" s="423" t="str">
        <f>IF(ISERROR(VLOOKUP(T46,'Base de Datos'!$E$7:$AU$302,3,0))=TRUE," ",(VLOOKUP(T46,'Base de Datos'!$E$7:$AU$302,2,0)))</f>
        <v xml:space="preserve"> </v>
      </c>
      <c r="V46" s="426" t="str">
        <f>IF(ISERROR(VLOOKUP(T46,'Base de Datos'!$E$7:$AU$302,5,0))=TRUE," ",(VLOOKUP(T46,'Base de Datos'!$E$7:$AU$302,5,0)))</f>
        <v xml:space="preserve"> </v>
      </c>
      <c r="W46" s="423" t="str">
        <f>IF(ISERROR(VLOOKUP(T46,'Base de Datos'!$E$7:$AU$302,19,0))=TRUE," ",(VLOOKUP(T46,'Base de Datos'!$E$7:$AU$302,19,0)))</f>
        <v xml:space="preserve"> </v>
      </c>
      <c r="X46" s="428" t="str">
        <f>IF(ISERROR(VLOOKUP(T46,'Base de Datos'!$E$7:$AU$302,8,0))=TRUE," ",(VLOOKUP(T46,'Base de Datos'!$E$7:$AU$302,8,0)))</f>
        <v xml:space="preserve"> </v>
      </c>
      <c r="Y46" s="428" t="str">
        <f>IF(ISERROR(VLOOKUP(T46,'Base de Datos'!$E$7:$AU$302,9,0))=TRUE," ",(VLOOKUP(T46,'Base de Datos'!$E$7:$AU$302,9,0)))</f>
        <v xml:space="preserve"> </v>
      </c>
      <c r="Z46" s="422" t="str">
        <f>IF(ISERROR(VLOOKUP(T46,'Base de Datos'!$E$7:$AU$302,10,0))=TRUE," ",(VLOOKUP(T46,'Base de Datos'!$E$7:$AU$302,10,0)))</f>
        <v xml:space="preserve"> </v>
      </c>
      <c r="AA46" s="425" t="str">
        <f>IF(ISERROR(VLOOKUP(T46,'Base de Datos'!$E$7:$AU$302,11,0))=TRUE," ",(VLOOKUP(T46,'Base de Datos'!$E$7:$AU$302,11,0)))</f>
        <v xml:space="preserve"> </v>
      </c>
      <c r="AB46" s="422" t="str">
        <f>IF(ISERROR(VLOOKUP(T46,'Base de Datos'!$E$7:$AU$302,12,0))=TRUE," ",(VLOOKUP(T46,'Base de Datos'!$E$7:$AU$302,12,0)))</f>
        <v xml:space="preserve"> </v>
      </c>
      <c r="AC46" s="422" t="str">
        <f>IF(ISERROR(VLOOKUP(T46,'Base de Datos'!$E$7:$AU$302,12,0))=TRUE," ",(VLOOKUP(T46,'Base de Datos'!$E$7:$AU$302,12,0)))</f>
        <v xml:space="preserve"> </v>
      </c>
      <c r="AD46" s="428" t="str">
        <f>IF(ISERROR(VLOOKUP(T46,'Base de Datos'!$E$7:$AU$302,15,0))=TRUE," ",(VLOOKUP(T46,'Base de Datos'!$E$7:$AU$302,15,0)))</f>
        <v xml:space="preserve"> </v>
      </c>
      <c r="AE46" s="433" t="str">
        <f>IF(ISERROR(VLOOKUP(T46,'Base de Datos'!$E$7:$AU$302,16,0))=TRUE," ",(VLOOKUP(T46,'Base de Datos'!$E$7:$AU$302,16,0)))</f>
        <v xml:space="preserve"> </v>
      </c>
      <c r="AF46" s="433" t="str">
        <f>IF(ISERROR(VLOOKUP(T46,'Base de Datos'!$E$7:$AU$302,17,0))=TRUE," ",(VLOOKUP(T46,'Base de Datos'!$E$7:$AU$302,17,0)))</f>
        <v xml:space="preserve"> </v>
      </c>
      <c r="AG46" s="433" t="str">
        <f>IF(ISERROR(VLOOKUP(T46,'Base de Datos'!$E$7:$AU$302,18,0))=TRUE," ",(VLOOKUP(T46,'Base de Datos'!$E$7:$AU$302,18,0)))</f>
        <v xml:space="preserve"> </v>
      </c>
      <c r="AH46" s="434" t="str">
        <f>IF(ISERROR(VLOOKUP(T46,'Base de Datos'!$E$7:$AU$302,20,0))=TRUE," ",(VLOOKUP(T46,'Base de Datos'!$E$7:$AU$302,20,0)))</f>
        <v xml:space="preserve"> </v>
      </c>
      <c r="AI46" s="434" t="str">
        <f>IF(ISERROR(VLOOKUP(T46,'Base de Datos'!$E$7:$AU$302,21,0))=TRUE," ",(VLOOKUP(T46,'Base de Datos'!$E$7:$AU$302,21,0)))</f>
        <v xml:space="preserve"> </v>
      </c>
      <c r="AJ46" s="437">
        <v>42066</v>
      </c>
      <c r="AK46" s="423" t="str">
        <f>IF(ISERROR(VLOOKUP(D46,'Base de Datos'!$C$7:$AU$400,2,0))=TRUE," ",(VLOOKUP(D46,'Base de Datos'!$C$7:$AU$400,2,0)))</f>
        <v>201568</v>
      </c>
      <c r="AL46" s="423" t="str">
        <f>IF(ISERROR(VLOOKUP(D46,'Base de Datos'!$C$7:$AU$400,3,0))=TRUE," ",(VLOOKUP(D46,'Base de Datos'!$C$7:$AU$400,3,0)))</f>
        <v>150104-0-2015</v>
      </c>
      <c r="AM46" s="426" t="str">
        <f>IF(ISERROR(VLOOKUP(D46,'Base de Datos'!$C$7:$AU$3761,6,0))=TRUE," ",(VLOOKUP(D46,'Base de Datos'!$C$7:$AU$400,6,0)))</f>
        <v>Prestar los servicios de conectividad de canales de comunicación dedicados e Internet y servicios complementarios para el Concejo de Bogotá de confirmidad con lo establecido en los Estudios Previos y Anexo 1 Ficha Técnica.</v>
      </c>
      <c r="AN46" s="426" t="str">
        <f>IF(ISERROR(VLOOKUP(D46,'Base de Datos'!$C$7:$AU$400,20,0))=TRUE," ",(VLOOKUP(D46,'Base de Datos'!$C$7:$AU$400,19,0)))</f>
        <v/>
      </c>
      <c r="AO46" s="429">
        <f>IF(ISERROR(VLOOKUP(D46,'Base de Datos'!$C$7:$AU$400,9,0))=TRUE," ",(VLOOKUP(D46,'Base de Datos'!$C$7:$AU$400,9,0)))</f>
        <v>2015</v>
      </c>
      <c r="AP46" s="429">
        <f>IF(ISERROR(VLOOKUP(D46,'Base de Datos'!$C$7:$AU$400,10,0))=TRUE," ",(VLOOKUP(D46,'Base de Datos'!$C$7:$AU$400,10,0)))</f>
        <v>42066</v>
      </c>
      <c r="AQ46" s="431">
        <f>IF(ISERROR(VLOOKUP(D46,'Base de Datos'!$C$7:$AU$400,11,0))=TRUE," ",(VLOOKUP(D46,'Base de Datos'!$C$7:$AU$400,11,0)))</f>
        <v>42090</v>
      </c>
      <c r="AR46" s="432">
        <f>IF(ISERROR(VLOOKUP(D46,'Base de Datos'!$C$7:$AU$400,12,0))=TRUE," ",(VLOOKUP(D46,'Base de Datos'!$C$7:$AU$400,12,0)))</f>
        <v>42456</v>
      </c>
      <c r="AS46" s="431" t="str">
        <f>IF(ISERROR(VLOOKUP(D46,'Base de Datos'!$C$7:$AU$400,13,0))=TRUE," ",(VLOOKUP(D46,'Base de Datos'!$C$7:$AU$400,13,0)))</f>
        <v/>
      </c>
      <c r="AT46" s="431">
        <f>IF(ISERROR(VLOOKUP(D46,'Base de Datos'!$C$7:$AU$400,14,0))=TRUE," ",(VLOOKUP(D46,'Base de Datos'!$C$7:$AU$400,14,0)))</f>
        <v>0</v>
      </c>
      <c r="AU46" s="429">
        <f>IF(ISERROR(VLOOKUP(D46,'Base de Datos'!$C$7:$AU$400,16,0))=TRUE," ",(VLOOKUP(D46,'Base de Datos'!$C$7:$AU$400,16,0)))</f>
        <v>0</v>
      </c>
      <c r="AV46" s="433" t="str">
        <f>IF(ISERROR(VLOOKUP(D46,'Base de Datos'!$C$7:$AU$400,17,0))=TRUE," ",(VLOOKUP(D46,'Base de Datos'!$C$7:$AU$400,17,0)))</f>
        <v/>
      </c>
      <c r="AW46" s="433" t="str">
        <f>IF(ISERROR(VLOOKUP(D46,'Base de Datos'!$C$7:$AU$400,18,0))=TRUE," ",(VLOOKUP(D46,'Base de Datos'!$C$7:$AU$400,18,0)))</f>
        <v/>
      </c>
      <c r="AX46" s="433" t="str">
        <f>IF(ISERROR(VLOOKUP(D46,'Base de Datos'!$C$7:$AU$400,19,0))=TRUE," ",(VLOOKUP(D46,'Base de Datos'!$C$7:$AU$400,19,0)))</f>
        <v/>
      </c>
      <c r="AY46" s="436">
        <f>IF(ISERROR(VLOOKUP(D46,'Base de Datos'!$C$7:$AU$400,21,0))=TRUE," ",(VLOOKUP(D46,'Base de Datos'!$C$7:$AU$400,21,0)))</f>
        <v>42456</v>
      </c>
      <c r="AZ46" s="436">
        <f>IF(ISERROR(VLOOKUP(D46,'Base de Datos'!$C$7:$AU$400,22,0))=TRUE," ",(VLOOKUP(D46,'Base de Datos'!$C$7:$AU$400,22,0)))</f>
        <v>150000000</v>
      </c>
      <c r="BA46" s="443"/>
      <c r="BB46" s="453"/>
    </row>
    <row r="47" spans="2:54" ht="55.5" hidden="1" customHeight="1" x14ac:dyDescent="0.3">
      <c r="B47" s="406">
        <v>40</v>
      </c>
      <c r="C47" s="414" t="s">
        <v>1641</v>
      </c>
      <c r="D47" s="406">
        <v>138</v>
      </c>
      <c r="E47" s="414" t="s">
        <v>1651</v>
      </c>
      <c r="F47" s="415">
        <f>VLOOKUP(D47,'Presupuesto - PAA 2015'!$B$10:$E$265,4,0)</f>
        <v>5100746</v>
      </c>
      <c r="G47" s="407" t="str">
        <f>VLOOKUP(D47,'[4]Seguimiento Plan'!$C$2:$R$101,16,0)</f>
        <v>Adición y prórroga al contrato 140197 suscrito con A&amp;V EXPRESS S A cuyo objeto es  la prestación del servicio de  correspondencia  para el Concejo  de Bogotá</v>
      </c>
      <c r="H47" s="407" t="s">
        <v>1775</v>
      </c>
      <c r="I47" s="407" t="s">
        <v>1709</v>
      </c>
      <c r="J47" s="416" t="s">
        <v>590</v>
      </c>
      <c r="K47" s="417" t="s">
        <v>390</v>
      </c>
      <c r="L47" s="417" t="str">
        <f>VLOOKUP(D47,'[4]Seguimiento Plan'!$C$2:$AJ$101,30,0)</f>
        <v>SI</v>
      </c>
      <c r="M47" s="418">
        <f>VLOOKUP(D47,'[4]Seguimiento Plan'!$C$2:$AJ$101,31,0)</f>
        <v>0</v>
      </c>
      <c r="N47" s="417"/>
      <c r="O47" s="419"/>
      <c r="P47" s="419"/>
      <c r="Q47" s="419"/>
      <c r="R47" s="420"/>
      <c r="S47" s="420"/>
      <c r="T47" s="421" t="s">
        <v>283</v>
      </c>
      <c r="U47" s="423" t="str">
        <f>IF(ISERROR(VLOOKUP(T47,'Base de Datos'!$E$7:$AU$302,3,0))=TRUE," ",(VLOOKUP(T47,'Base de Datos'!$E$7:$AU$302,2,0)))</f>
        <v>A&amp;V EXPRESS S.A.</v>
      </c>
      <c r="V47" s="426">
        <f>IF(ISERROR(VLOOKUP(T47,'Base de Datos'!$E$7:$AU$302,5,0))=TRUE," ",(VLOOKUP(T47,'Base de Datos'!$E$7:$AU$302,5,0)))</f>
        <v>40000000</v>
      </c>
      <c r="W47" s="423">
        <f>IF(ISERROR(VLOOKUP(T47,'Base de Datos'!$E$7:$AU$302,19,0))=TRUE," ",(VLOOKUP(T47,'Base de Datos'!$E$7:$AU$302,19,0)))</f>
        <v>42128</v>
      </c>
      <c r="X47" s="428" t="str">
        <f>IF(ISERROR(VLOOKUP(T47,'Base de Datos'!$E$7:$AU$302,8,0))=TRUE," ",(VLOOKUP(T47,'Base de Datos'!$E$7:$AU$302,8,0)))</f>
        <v xml:space="preserve"> </v>
      </c>
      <c r="Y47" s="428">
        <f>IF(ISERROR(VLOOKUP(T47,'Base de Datos'!$E$7:$AU$302,9,0))=TRUE," ",(VLOOKUP(T47,'Base de Datos'!$E$7:$AU$302,9,0)))</f>
        <v>41807</v>
      </c>
      <c r="Z47" s="422">
        <f>IF(ISERROR(VLOOKUP(T47,'Base de Datos'!$E$7:$AU$302,10,0))=TRUE," ",(VLOOKUP(T47,'Base de Datos'!$E$7:$AU$302,10,0)))</f>
        <v>42051</v>
      </c>
      <c r="AA47" s="425" t="str">
        <f>IF(ISERROR(VLOOKUP(T47,'Base de Datos'!$E$7:$AU$302,11,0))=TRUE," ",(VLOOKUP(T47,'Base de Datos'!$E$7:$AU$302,11,0)))</f>
        <v/>
      </c>
      <c r="AB47" s="422">
        <f>IF(ISERROR(VLOOKUP(T47,'Base de Datos'!$E$7:$AU$302,12,0))=TRUE," ",(VLOOKUP(T47,'Base de Datos'!$E$7:$AU$302,12,0)))</f>
        <v>1</v>
      </c>
      <c r="AC47" s="422">
        <f>IF(ISERROR(VLOOKUP(T47,'Base de Datos'!$E$7:$AU$302,12,0))=TRUE," ",(VLOOKUP(T47,'Base de Datos'!$E$7:$AU$302,12,0)))</f>
        <v>1</v>
      </c>
      <c r="AD47" s="428" t="str">
        <f>IF(ISERROR(VLOOKUP(T47,'Base de Datos'!$E$7:$AU$302,15,0))=TRUE," ",(VLOOKUP(T47,'Base de Datos'!$E$7:$AU$302,15,0)))</f>
        <v>2 meses y 18 días</v>
      </c>
      <c r="AE47" s="433">
        <f>IF(ISERROR(VLOOKUP(T47,'Base de Datos'!$E$7:$AU$302,16,0))=TRUE," ",(VLOOKUP(T47,'Base de Datos'!$E$7:$AU$302,16,0)))</f>
        <v>42128</v>
      </c>
      <c r="AF47" s="433" t="str">
        <f>IF(ISERROR(VLOOKUP(T47,'Base de Datos'!$E$7:$AU$302,17,0))=TRUE," ",(VLOOKUP(T47,'Base de Datos'!$E$7:$AU$302,17,0)))</f>
        <v/>
      </c>
      <c r="AG47" s="433" t="str">
        <f>IF(ISERROR(VLOOKUP(T47,'Base de Datos'!$E$7:$AU$302,18,0))=TRUE," ",(VLOOKUP(T47,'Base de Datos'!$E$7:$AU$302,18,0)))</f>
        <v/>
      </c>
      <c r="AH47" s="434">
        <f>IF(ISERROR(VLOOKUP(T47,'Base de Datos'!$E$7:$AU$302,20,0))=TRUE," ",(VLOOKUP(T47,'Base de Datos'!$E$7:$AU$302,20,0)))</f>
        <v>45100746</v>
      </c>
      <c r="AI47" s="434">
        <f>IF(ISERROR(VLOOKUP(T47,'Base de Datos'!$E$7:$AU$302,21,0))=TRUE," ",(VLOOKUP(T47,'Base de Datos'!$E$7:$AU$302,21,0)))</f>
        <v>45045000</v>
      </c>
      <c r="AJ47" s="423"/>
      <c r="AK47" s="423" t="str">
        <f>IF(ISERROR(VLOOKUP(D47,'Base de Datos'!$C$7:$AU$400,2,0))=TRUE," ",(VLOOKUP(D47,'Base de Datos'!$C$7:$AU$400,2,0)))</f>
        <v xml:space="preserve"> </v>
      </c>
      <c r="AL47" s="423" t="str">
        <f>IF(ISERROR(VLOOKUP(D47,'Base de Datos'!$C$7:$AU$400,3,0))=TRUE," ",(VLOOKUP(D47,'Base de Datos'!$C$7:$AU$400,3,0)))</f>
        <v xml:space="preserve"> </v>
      </c>
      <c r="AM47" s="426" t="e">
        <f>IF(ISERROR(VLOOKUP(D47,'Base de Datos'!$C$7:$AU$3761,6,0))=TRUE," ",(VLOOKUP(D47,'Base de Datos'!$C$7:$AU$400,6,0)))</f>
        <v>#N/A</v>
      </c>
      <c r="AN47" s="426" t="str">
        <f>IF(ISERROR(VLOOKUP(D47,'Base de Datos'!$C$7:$AU$400,20,0))=TRUE," ",(VLOOKUP(D47,'Base de Datos'!$C$7:$AU$400,19,0)))</f>
        <v xml:space="preserve"> </v>
      </c>
      <c r="AO47" s="429" t="str">
        <f>IF(ISERROR(VLOOKUP(D47,'Base de Datos'!$C$7:$AU$400,9,0))=TRUE," ",(VLOOKUP(D47,'Base de Datos'!$C$7:$AU$400,9,0)))</f>
        <v xml:space="preserve"> </v>
      </c>
      <c r="AP47" s="429" t="str">
        <f>IF(ISERROR(VLOOKUP(D47,'Base de Datos'!$C$7:$AU$400,10,0))=TRUE," ",(VLOOKUP(D47,'Base de Datos'!$C$7:$AU$400,10,0)))</f>
        <v xml:space="preserve"> </v>
      </c>
      <c r="AQ47" s="431" t="str">
        <f>IF(ISERROR(VLOOKUP(D47,'Base de Datos'!$C$7:$AU$400,11,0))=TRUE," ",(VLOOKUP(D47,'Base de Datos'!$C$7:$AU$400,11,0)))</f>
        <v xml:space="preserve"> </v>
      </c>
      <c r="AR47" s="432" t="str">
        <f>IF(ISERROR(VLOOKUP(D47,'Base de Datos'!$C$7:$AU$400,12,0))=TRUE," ",(VLOOKUP(D47,'Base de Datos'!$C$7:$AU$400,12,0)))</f>
        <v xml:space="preserve"> </v>
      </c>
      <c r="AS47" s="431" t="str">
        <f>IF(ISERROR(VLOOKUP(D47,'Base de Datos'!$C$7:$AU$400,13,0))=TRUE," ",(VLOOKUP(D47,'Base de Datos'!$C$7:$AU$400,13,0)))</f>
        <v xml:space="preserve"> </v>
      </c>
      <c r="AT47" s="431" t="str">
        <f>IF(ISERROR(VLOOKUP(D47,'Base de Datos'!$C$7:$AU$400,14,0))=TRUE," ",(VLOOKUP(D47,'Base de Datos'!$C$7:$AU$400,14,0)))</f>
        <v xml:space="preserve"> </v>
      </c>
      <c r="AU47" s="429" t="str">
        <f>IF(ISERROR(VLOOKUP(D47,'Base de Datos'!$C$7:$AU$400,16,0))=TRUE," ",(VLOOKUP(D47,'Base de Datos'!$C$7:$AU$400,16,0)))</f>
        <v xml:space="preserve"> </v>
      </c>
      <c r="AV47" s="433" t="str">
        <f>IF(ISERROR(VLOOKUP(D47,'Base de Datos'!$C$7:$AU$400,17,0))=TRUE," ",(VLOOKUP(D47,'Base de Datos'!$C$7:$AU$400,17,0)))</f>
        <v xml:space="preserve"> </v>
      </c>
      <c r="AW47" s="433" t="str">
        <f>IF(ISERROR(VLOOKUP(D47,'Base de Datos'!$C$7:$AU$400,18,0))=TRUE," ",(VLOOKUP(D47,'Base de Datos'!$C$7:$AU$400,18,0)))</f>
        <v xml:space="preserve"> </v>
      </c>
      <c r="AX47" s="433" t="str">
        <f>IF(ISERROR(VLOOKUP(D47,'Base de Datos'!$C$7:$AU$400,19,0))=TRUE," ",(VLOOKUP(D47,'Base de Datos'!$C$7:$AU$400,19,0)))</f>
        <v xml:space="preserve"> </v>
      </c>
      <c r="AY47" s="436" t="str">
        <f>IF(ISERROR(VLOOKUP(D47,'Base de Datos'!$C$7:$AU$400,21,0))=TRUE," ",(VLOOKUP(D47,'Base de Datos'!$C$7:$AU$400,21,0)))</f>
        <v xml:space="preserve"> </v>
      </c>
      <c r="AZ47" s="436" t="str">
        <f>IF(ISERROR(VLOOKUP(D47,'Base de Datos'!$C$7:$AU$400,22,0))=TRUE," ",(VLOOKUP(D47,'Base de Datos'!$C$7:$AU$400,22,0)))</f>
        <v xml:space="preserve"> </v>
      </c>
      <c r="BA47" s="443"/>
      <c r="BB47" s="453"/>
    </row>
    <row r="48" spans="2:54" ht="55.5" hidden="1" customHeight="1" x14ac:dyDescent="0.3">
      <c r="B48" s="406">
        <v>41</v>
      </c>
      <c r="C48" s="414" t="s">
        <v>1641</v>
      </c>
      <c r="D48" s="406">
        <v>139</v>
      </c>
      <c r="E48" s="414" t="s">
        <v>1651</v>
      </c>
      <c r="F48" s="415">
        <f>VLOOKUP(D48,'Presupuesto - PAA 2015'!$B$10:$E$265,4,0)</f>
        <v>1607400</v>
      </c>
      <c r="G48" s="407" t="str">
        <f>VLOOKUP(D48,'[4]Seguimiento Plan'!$C$2:$R$101,16,0)</f>
        <v>Suscripción al sistema de televisión satelital para ser instalados en la sede del Concejo de Bogotá</v>
      </c>
      <c r="H48" s="407" t="s">
        <v>1775</v>
      </c>
      <c r="I48" s="407" t="s">
        <v>1713</v>
      </c>
      <c r="J48" s="416" t="s">
        <v>909</v>
      </c>
      <c r="K48" s="417" t="s">
        <v>390</v>
      </c>
      <c r="L48" s="417" t="str">
        <f>VLOOKUP(D48,'[4]Seguimiento Plan'!$C$2:$AJ$101,30,0)</f>
        <v>SI</v>
      </c>
      <c r="M48" s="418">
        <f>VLOOKUP(D48,'[4]Seguimiento Plan'!$C$2:$AJ$101,31,0)</f>
        <v>42054</v>
      </c>
      <c r="N48" s="417" t="s">
        <v>1805</v>
      </c>
      <c r="O48" s="419"/>
      <c r="P48" s="419"/>
      <c r="Q48" s="419"/>
      <c r="R48" s="420"/>
      <c r="S48" s="438" t="s">
        <v>1952</v>
      </c>
      <c r="T48" s="421" t="s">
        <v>288</v>
      </c>
      <c r="U48" s="423" t="str">
        <f>IF(ISERROR(VLOOKUP(T48,'Base de Datos'!$E$7:$AU$302,3,0))=TRUE," ",(VLOOKUP(T48,'Base de Datos'!$E$7:$AU$302,2,0)))</f>
        <v>DIRECTV COLOMBIA LTDA</v>
      </c>
      <c r="V48" s="426">
        <f>IF(ISERROR(VLOOKUP(T48,'Base de Datos'!$E$7:$AU$302,5,0))=TRUE," ",(VLOOKUP(T48,'Base de Datos'!$E$7:$AU$302,5,0)))</f>
        <v>1325400</v>
      </c>
      <c r="W48" s="423">
        <f>IF(ISERROR(VLOOKUP(T48,'Base de Datos'!$E$7:$AU$302,19,0))=TRUE," ",(VLOOKUP(T48,'Base de Datos'!$E$7:$AU$302,19,0)))</f>
        <v>42102</v>
      </c>
      <c r="X48" s="428" t="str">
        <f>IF(ISERROR(VLOOKUP(T48,'Base de Datos'!$E$7:$AU$302,8,0))=TRUE," ",(VLOOKUP(T48,'Base de Datos'!$E$7:$AU$302,8,0)))</f>
        <v xml:space="preserve"> </v>
      </c>
      <c r="Y48" s="428">
        <f>IF(ISERROR(VLOOKUP(T48,'Base de Datos'!$E$7:$AU$302,9,0))=TRUE," ",(VLOOKUP(T48,'Base de Datos'!$E$7:$AU$302,9,0)))</f>
        <v>41738</v>
      </c>
      <c r="Z48" s="422">
        <f>IF(ISERROR(VLOOKUP(T48,'Base de Datos'!$E$7:$AU$302,10,0))=TRUE," ",(VLOOKUP(T48,'Base de Datos'!$E$7:$AU$302,10,0)))</f>
        <v>42102</v>
      </c>
      <c r="AA48" s="425" t="str">
        <f>IF(ISERROR(VLOOKUP(T48,'Base de Datos'!$E$7:$AU$302,11,0))=TRUE," ",(VLOOKUP(T48,'Base de Datos'!$E$7:$AU$302,11,0)))</f>
        <v/>
      </c>
      <c r="AB48" s="422">
        <f>IF(ISERROR(VLOOKUP(T48,'Base de Datos'!$E$7:$AU$302,12,0))=TRUE," ",(VLOOKUP(T48,'Base de Datos'!$E$7:$AU$302,12,0)))</f>
        <v>1</v>
      </c>
      <c r="AC48" s="422">
        <f>IF(ISERROR(VLOOKUP(T48,'Base de Datos'!$E$7:$AU$302,12,0))=TRUE," ",(VLOOKUP(T48,'Base de Datos'!$E$7:$AU$302,12,0)))</f>
        <v>1</v>
      </c>
      <c r="AD48" s="428" t="str">
        <f>IF(ISERROR(VLOOKUP(T48,'Base de Datos'!$E$7:$AU$302,15,0))=TRUE," ",(VLOOKUP(T48,'Base de Datos'!$E$7:$AU$302,15,0)))</f>
        <v/>
      </c>
      <c r="AE48" s="433" t="str">
        <f>IF(ISERROR(VLOOKUP(T48,'Base de Datos'!$E$7:$AU$302,16,0))=TRUE," ",(VLOOKUP(T48,'Base de Datos'!$E$7:$AU$302,16,0)))</f>
        <v/>
      </c>
      <c r="AF48" s="433" t="str">
        <f>IF(ISERROR(VLOOKUP(T48,'Base de Datos'!$E$7:$AU$302,17,0))=TRUE," ",(VLOOKUP(T48,'Base de Datos'!$E$7:$AU$302,17,0)))</f>
        <v/>
      </c>
      <c r="AG48" s="433" t="str">
        <f>IF(ISERROR(VLOOKUP(T48,'Base de Datos'!$E$7:$AU$302,18,0))=TRUE," ",(VLOOKUP(T48,'Base de Datos'!$E$7:$AU$302,18,0)))</f>
        <v/>
      </c>
      <c r="AH48" s="434">
        <f>IF(ISERROR(VLOOKUP(T48,'Base de Datos'!$E$7:$AU$302,20,0))=TRUE," ",(VLOOKUP(T48,'Base de Datos'!$E$7:$AU$302,20,0)))</f>
        <v>1607400</v>
      </c>
      <c r="AI48" s="434">
        <f>IF(ISERROR(VLOOKUP(T48,'Base de Datos'!$E$7:$AU$302,21,0))=TRUE," ",(VLOOKUP(T48,'Base de Datos'!$E$7:$AU$302,21,0)))</f>
        <v>0</v>
      </c>
      <c r="AJ48" s="437">
        <v>42172</v>
      </c>
      <c r="AK48" s="423" t="str">
        <f>IF(ISERROR(VLOOKUP(D48,'Base de Datos'!$C$7:$AU$400,2,0))=TRUE," ",(VLOOKUP(D48,'Base de Datos'!$C$7:$AU$400,2,0)))</f>
        <v>2015139</v>
      </c>
      <c r="AL48" s="423" t="str">
        <f>IF(ISERROR(VLOOKUP(D48,'Base de Datos'!$C$7:$AU$400,3,0))=TRUE," ",(VLOOKUP(D48,'Base de Datos'!$C$7:$AU$400,3,0)))</f>
        <v>150262-0-2015</v>
      </c>
      <c r="AM48" s="426" t="str">
        <f>IF(ISERROR(VLOOKUP(D48,'Base de Datos'!$C$7:$AU$3761,6,0))=TRUE," ",(VLOOKUP(D48,'Base de Datos'!$C$7:$AU$400,6,0)))</f>
        <v>Suscripción al sistema de Televisión Satelital para ser instalado en la sede del Concejo de Bogotá D.C.</v>
      </c>
      <c r="AN48" s="426" t="str">
        <f>IF(ISERROR(VLOOKUP(D48,'Base de Datos'!$C$7:$AU$400,20,0))=TRUE," ",(VLOOKUP(D48,'Base de Datos'!$C$7:$AU$400,19,0)))</f>
        <v/>
      </c>
      <c r="AO48" s="429">
        <f>IF(ISERROR(VLOOKUP(D48,'Base de Datos'!$C$7:$AU$400,9,0))=TRUE," ",(VLOOKUP(D48,'Base de Datos'!$C$7:$AU$400,9,0)))</f>
        <v>2015</v>
      </c>
      <c r="AP48" s="429">
        <f>IF(ISERROR(VLOOKUP(D48,'Base de Datos'!$C$7:$AU$400,10,0))=TRUE," ",(VLOOKUP(D48,'Base de Datos'!$C$7:$AU$400,10,0)))</f>
        <v>42172</v>
      </c>
      <c r="AQ48" s="431">
        <f>IF(ISERROR(VLOOKUP(D48,'Base de Datos'!$C$7:$AU$400,11,0))=TRUE," ",(VLOOKUP(D48,'Base de Datos'!$C$7:$AU$400,11,0)))</f>
        <v>42202</v>
      </c>
      <c r="AR48" s="432">
        <f>IF(ISERROR(VLOOKUP(D48,'Base de Datos'!$C$7:$AU$400,12,0))=TRUE," ",(VLOOKUP(D48,'Base de Datos'!$C$7:$AU$400,12,0)))</f>
        <v>42567</v>
      </c>
      <c r="AS48" s="431" t="str">
        <f>IF(ISERROR(VLOOKUP(D48,'Base de Datos'!$C$7:$AU$400,13,0))=TRUE," ",(VLOOKUP(D48,'Base de Datos'!$C$7:$AU$400,13,0)))</f>
        <v/>
      </c>
      <c r="AT48" s="431">
        <f>IF(ISERROR(VLOOKUP(D48,'Base de Datos'!$C$7:$AU$400,14,0))=TRUE," ",(VLOOKUP(D48,'Base de Datos'!$C$7:$AU$400,14,0)))</f>
        <v>0</v>
      </c>
      <c r="AU48" s="429">
        <f>IF(ISERROR(VLOOKUP(D48,'Base de Datos'!$C$7:$AU$400,16,0))=TRUE," ",(VLOOKUP(D48,'Base de Datos'!$C$7:$AU$400,16,0)))</f>
        <v>0</v>
      </c>
      <c r="AV48" s="433" t="str">
        <f>IF(ISERROR(VLOOKUP(D48,'Base de Datos'!$C$7:$AU$400,17,0))=TRUE," ",(VLOOKUP(D48,'Base de Datos'!$C$7:$AU$400,17,0)))</f>
        <v/>
      </c>
      <c r="AW48" s="433" t="str">
        <f>IF(ISERROR(VLOOKUP(D48,'Base de Datos'!$C$7:$AU$400,18,0))=TRUE," ",(VLOOKUP(D48,'Base de Datos'!$C$7:$AU$400,18,0)))</f>
        <v/>
      </c>
      <c r="AX48" s="433" t="str">
        <f>IF(ISERROR(VLOOKUP(D48,'Base de Datos'!$C$7:$AU$400,19,0))=TRUE," ",(VLOOKUP(D48,'Base de Datos'!$C$7:$AU$400,19,0)))</f>
        <v/>
      </c>
      <c r="AY48" s="436">
        <f>IF(ISERROR(VLOOKUP(D48,'Base de Datos'!$C$7:$AU$400,21,0))=TRUE," ",(VLOOKUP(D48,'Base de Datos'!$C$7:$AU$400,21,0)))</f>
        <v>42567</v>
      </c>
      <c r="AZ48" s="436">
        <f>IF(ISERROR(VLOOKUP(D48,'Base de Datos'!$C$7:$AU$400,22,0))=TRUE," ",(VLOOKUP(D48,'Base de Datos'!$C$7:$AU$400,22,0)))</f>
        <v>1607400</v>
      </c>
      <c r="BA48" s="443"/>
      <c r="BB48" s="453"/>
    </row>
    <row r="49" spans="2:54" ht="55.5" hidden="1" customHeight="1" x14ac:dyDescent="0.3">
      <c r="B49" s="406">
        <v>42</v>
      </c>
      <c r="C49" s="414" t="s">
        <v>1641</v>
      </c>
      <c r="D49" s="406">
        <v>168</v>
      </c>
      <c r="E49" s="414" t="s">
        <v>1651</v>
      </c>
      <c r="F49" s="415">
        <f>VLOOKUP(D49,'Presupuesto - PAA 2015'!$B$10:$E$265,4,0)</f>
        <v>33500000</v>
      </c>
      <c r="G49" s="407" t="str">
        <f>VLOOKUP(D49,'[4]Seguimiento Plan'!$C$2:$R$101,16,0)</f>
        <v>Prestar el servicio de correspondencia para la Secretaría de Hacienda  y de mensajería expresa masiva para la Secretaria Distrital de Hacienda y el Concejo de Bogotá</v>
      </c>
      <c r="H49" s="407" t="s">
        <v>1775</v>
      </c>
      <c r="I49" s="407" t="s">
        <v>1709</v>
      </c>
      <c r="J49" s="416" t="s">
        <v>1733</v>
      </c>
      <c r="K49" s="417" t="s">
        <v>390</v>
      </c>
      <c r="L49" s="417" t="str">
        <f>VLOOKUP(D49,'[4]Seguimiento Plan'!$C$2:$AJ$101,30,0)</f>
        <v>SI</v>
      </c>
      <c r="M49" s="418">
        <f>VLOOKUP(D49,'[4]Seguimiento Plan'!$C$2:$AJ$101,31,0)</f>
        <v>42349</v>
      </c>
      <c r="N49" s="417"/>
      <c r="O49" s="419"/>
      <c r="P49" s="417" t="s">
        <v>390</v>
      </c>
      <c r="Q49" s="417" t="s">
        <v>390</v>
      </c>
      <c r="R49" s="499"/>
      <c r="S49" s="438" t="s">
        <v>1743</v>
      </c>
      <c r="T49" s="421" t="s">
        <v>283</v>
      </c>
      <c r="U49" s="423" t="str">
        <f>IF(ISERROR(VLOOKUP(T49,'Base de Datos'!$E$7:$AU$302,3,0))=TRUE," ",(VLOOKUP(T49,'Base de Datos'!$E$7:$AU$302,2,0)))</f>
        <v>A&amp;V EXPRESS S.A.</v>
      </c>
      <c r="V49" s="426">
        <f>IF(ISERROR(VLOOKUP(T49,'Base de Datos'!$E$7:$AU$302,5,0))=TRUE," ",(VLOOKUP(T49,'Base de Datos'!$E$7:$AU$302,5,0)))</f>
        <v>40000000</v>
      </c>
      <c r="W49" s="423">
        <f>IF(ISERROR(VLOOKUP(T49,'Base de Datos'!$E$7:$AU$302,19,0))=TRUE," ",(VLOOKUP(T49,'Base de Datos'!$E$7:$AU$302,19,0)))</f>
        <v>42128</v>
      </c>
      <c r="X49" s="428" t="str">
        <f>IF(ISERROR(VLOOKUP(T49,'Base de Datos'!$E$7:$AU$302,8,0))=TRUE," ",(VLOOKUP(T49,'Base de Datos'!$E$7:$AU$302,8,0)))</f>
        <v xml:space="preserve"> </v>
      </c>
      <c r="Y49" s="428">
        <f>IF(ISERROR(VLOOKUP(T49,'Base de Datos'!$E$7:$AU$302,9,0))=TRUE," ",(VLOOKUP(T49,'Base de Datos'!$E$7:$AU$302,9,0)))</f>
        <v>41807</v>
      </c>
      <c r="Z49" s="422">
        <f>IF(ISERROR(VLOOKUP(T49,'Base de Datos'!$E$7:$AU$302,10,0))=TRUE," ",(VLOOKUP(T49,'Base de Datos'!$E$7:$AU$302,10,0)))</f>
        <v>42051</v>
      </c>
      <c r="AA49" s="425" t="str">
        <f>IF(ISERROR(VLOOKUP(T49,'Base de Datos'!$E$7:$AU$302,11,0))=TRUE," ",(VLOOKUP(T49,'Base de Datos'!$E$7:$AU$302,11,0)))</f>
        <v/>
      </c>
      <c r="AB49" s="422">
        <f>IF(ISERROR(VLOOKUP(T49,'Base de Datos'!$E$7:$AU$302,12,0))=TRUE," ",(VLOOKUP(T49,'Base de Datos'!$E$7:$AU$302,12,0)))</f>
        <v>1</v>
      </c>
      <c r="AC49" s="422">
        <f>IF(ISERROR(VLOOKUP(T49,'Base de Datos'!$E$7:$AU$302,12,0))=TRUE," ",(VLOOKUP(T49,'Base de Datos'!$E$7:$AU$302,12,0)))</f>
        <v>1</v>
      </c>
      <c r="AD49" s="428" t="str">
        <f>IF(ISERROR(VLOOKUP(T49,'Base de Datos'!$E$7:$AU$302,15,0))=TRUE," ",(VLOOKUP(T49,'Base de Datos'!$E$7:$AU$302,15,0)))</f>
        <v>2 meses y 18 días</v>
      </c>
      <c r="AE49" s="433">
        <f>IF(ISERROR(VLOOKUP(T49,'Base de Datos'!$E$7:$AU$302,16,0))=TRUE," ",(VLOOKUP(T49,'Base de Datos'!$E$7:$AU$302,16,0)))</f>
        <v>42128</v>
      </c>
      <c r="AF49" s="433" t="str">
        <f>IF(ISERROR(VLOOKUP(T49,'Base de Datos'!$E$7:$AU$302,17,0))=TRUE," ",(VLOOKUP(T49,'Base de Datos'!$E$7:$AU$302,17,0)))</f>
        <v/>
      </c>
      <c r="AG49" s="433" t="str">
        <f>IF(ISERROR(VLOOKUP(T49,'Base de Datos'!$E$7:$AU$302,18,0))=TRUE," ",(VLOOKUP(T49,'Base de Datos'!$E$7:$AU$302,18,0)))</f>
        <v/>
      </c>
      <c r="AH49" s="434">
        <f>IF(ISERROR(VLOOKUP(T49,'Base de Datos'!$E$7:$AU$302,20,0))=TRUE," ",(VLOOKUP(T49,'Base de Datos'!$E$7:$AU$302,20,0)))</f>
        <v>45100746</v>
      </c>
      <c r="AI49" s="434">
        <f>IF(ISERROR(VLOOKUP(T49,'Base de Datos'!$E$7:$AU$302,21,0))=TRUE," ",(VLOOKUP(T49,'Base de Datos'!$E$7:$AU$302,21,0)))</f>
        <v>45045000</v>
      </c>
      <c r="AJ49" s="437">
        <v>42124</v>
      </c>
      <c r="AK49" s="423" t="str">
        <f>IF(ISERROR(VLOOKUP(D49,'Base de Datos'!$C$7:$AU$400,2,0))=TRUE," ",(VLOOKUP(D49,'Base de Datos'!$C$7:$AU$400,2,0)))</f>
        <v>2015168</v>
      </c>
      <c r="AL49" s="423" t="str">
        <f>IF(ISERROR(VLOOKUP(D49,'Base de Datos'!$C$7:$AU$400,3,0))=TRUE," ",(VLOOKUP(D49,'Base de Datos'!$C$7:$AU$400,3,0)))</f>
        <v>150209-0-2015</v>
      </c>
      <c r="AM49" s="426" t="str">
        <f>IF(ISERROR(VLOOKUP(D49,'Base de Datos'!$C$7:$AU$3761,6,0))=TRUE," ",(VLOOKUP(D49,'Base de Datos'!$C$7:$AU$400,6,0)))</f>
        <v>Contratar la prestación del servicio de mensajería expresa masiva para el Concejo de Bogotá D.C., de conformidad con el alcance del objeto y lo señalado en el pliego de condiciones del proceso SDH-SIE-02-2015, en la Ficha Técnica y en la propuesta</v>
      </c>
      <c r="AN49" s="426" t="str">
        <f>IF(ISERROR(VLOOKUP(D49,'Base de Datos'!$C$7:$AU$400,20,0))=TRUE," ",(VLOOKUP(D49,'Base de Datos'!$C$7:$AU$400,19,0)))</f>
        <v/>
      </c>
      <c r="AO49" s="429">
        <f>IF(ISERROR(VLOOKUP(D49,'Base de Datos'!$C$7:$AU$400,9,0))=TRUE," ",(VLOOKUP(D49,'Base de Datos'!$C$7:$AU$400,9,0)))</f>
        <v>2015</v>
      </c>
      <c r="AP49" s="429">
        <f>IF(ISERROR(VLOOKUP(D49,'Base de Datos'!$C$7:$AU$400,10,0))=TRUE," ",(VLOOKUP(D49,'Base de Datos'!$C$7:$AU$400,10,0)))</f>
        <v>42124</v>
      </c>
      <c r="AQ49" s="431">
        <f>IF(ISERROR(VLOOKUP(D49,'Base de Datos'!$C$7:$AU$400,11,0))=TRUE," ",(VLOOKUP(D49,'Base de Datos'!$C$7:$AU$400,11,0)))</f>
        <v>42130</v>
      </c>
      <c r="AR49" s="432">
        <f>IF(ISERROR(VLOOKUP(D49,'Base de Datos'!$C$7:$AU$400,12,0))=TRUE," ",(VLOOKUP(D49,'Base de Datos'!$C$7:$AU$400,12,0)))</f>
        <v>42496</v>
      </c>
      <c r="AS49" s="431" t="str">
        <f>IF(ISERROR(VLOOKUP(D49,'Base de Datos'!$C$7:$AU$400,13,0))=TRUE," ",(VLOOKUP(D49,'Base de Datos'!$C$7:$AU$400,13,0)))</f>
        <v/>
      </c>
      <c r="AT49" s="431">
        <f>IF(ISERROR(VLOOKUP(D49,'Base de Datos'!$C$7:$AU$400,14,0))=TRUE," ",(VLOOKUP(D49,'Base de Datos'!$C$7:$AU$400,14,0)))</f>
        <v>0</v>
      </c>
      <c r="AU49" s="429">
        <f>IF(ISERROR(VLOOKUP(D49,'Base de Datos'!$C$7:$AU$400,16,0))=TRUE," ",(VLOOKUP(D49,'Base de Datos'!$C$7:$AU$400,16,0)))</f>
        <v>1</v>
      </c>
      <c r="AV49" s="433" t="str">
        <f>IF(ISERROR(VLOOKUP(D49,'Base de Datos'!$C$7:$AU$400,17,0))=TRUE," ",(VLOOKUP(D49,'Base de Datos'!$C$7:$AU$400,17,0)))</f>
        <v>14 DIAS</v>
      </c>
      <c r="AW49" s="433">
        <f>IF(ISERROR(VLOOKUP(D49,'Base de Datos'!$C$7:$AU$400,18,0))=TRUE," ",(VLOOKUP(D49,'Base de Datos'!$C$7:$AU$400,18,0)))</f>
        <v>42510</v>
      </c>
      <c r="AX49" s="433" t="str">
        <f>IF(ISERROR(VLOOKUP(D49,'Base de Datos'!$C$7:$AU$400,19,0))=TRUE," ",(VLOOKUP(D49,'Base de Datos'!$C$7:$AU$400,19,0)))</f>
        <v/>
      </c>
      <c r="AY49" s="436">
        <f>IF(ISERROR(VLOOKUP(D49,'Base de Datos'!$C$7:$AU$400,21,0))=TRUE," ",(VLOOKUP(D49,'Base de Datos'!$C$7:$AU$400,21,0)))</f>
        <v>42510</v>
      </c>
      <c r="AZ49" s="436">
        <f>IF(ISERROR(VLOOKUP(D49,'Base de Datos'!$C$7:$AU$400,22,0))=TRUE," ",(VLOOKUP(D49,'Base de Datos'!$C$7:$AU$400,22,0)))</f>
        <v>33500000</v>
      </c>
      <c r="BA49" s="443"/>
      <c r="BB49" s="453"/>
    </row>
    <row r="50" spans="2:54" ht="55.5" hidden="1" customHeight="1" x14ac:dyDescent="0.3">
      <c r="B50" s="406">
        <v>43</v>
      </c>
      <c r="C50" s="414" t="s">
        <v>1641</v>
      </c>
      <c r="D50" s="406">
        <v>169</v>
      </c>
      <c r="E50" s="414" t="s">
        <v>1651</v>
      </c>
      <c r="F50" s="415">
        <f>VLOOKUP(D50,'Presupuesto - PAA 2015'!$B$10:$E$265,4,0)</f>
        <v>11000000</v>
      </c>
      <c r="G50" s="407" t="str">
        <f>VLOOKUP(D50,'[4]Seguimiento Plan'!$C$2:$R$101,16,0)</f>
        <v>Prestar el servicio de transporte  de bienes muebles, equipos de oficina y cajas de archivo documental para la Secretaria Distrital de Hacienda y el Concejo de Bogotá.</v>
      </c>
      <c r="H50" s="407" t="s">
        <v>1775</v>
      </c>
      <c r="I50" s="407" t="s">
        <v>1714</v>
      </c>
      <c r="J50" s="416" t="s">
        <v>909</v>
      </c>
      <c r="K50" s="417" t="s">
        <v>390</v>
      </c>
      <c r="L50" s="417" t="str">
        <f>VLOOKUP(D50,'[4]Seguimiento Plan'!$C$2:$AJ$101,30,0)</f>
        <v>SI</v>
      </c>
      <c r="M50" s="418">
        <f>VLOOKUP(D50,'[4]Seguimiento Plan'!$C$2:$AJ$101,31,0)</f>
        <v>42053</v>
      </c>
      <c r="N50" s="417"/>
      <c r="O50" s="419"/>
      <c r="P50" s="419"/>
      <c r="Q50" s="419"/>
      <c r="R50" s="420"/>
      <c r="S50" s="438" t="s">
        <v>2207</v>
      </c>
      <c r="T50" s="421" t="s">
        <v>300</v>
      </c>
      <c r="U50" s="423" t="str">
        <f>IF(ISERROR(VLOOKUP(T50,'Base de Datos'!$E$7:$AU$302,3,0))=TRUE," ",(VLOOKUP(T50,'Base de Datos'!$E$7:$AU$302,2,0)))</f>
        <v>MUDANZAS EL NOGAL SAS</v>
      </c>
      <c r="V50" s="426">
        <f>IF(ISERROR(VLOOKUP(T50,'Base de Datos'!$E$7:$AU$302,5,0))=TRUE," ",(VLOOKUP(T50,'Base de Datos'!$E$7:$AU$302,5,0)))</f>
        <v>12000000</v>
      </c>
      <c r="W50" s="423">
        <f>IF(ISERROR(VLOOKUP(T50,'Base de Datos'!$E$7:$AU$302,19,0))=TRUE," ",(VLOOKUP(T50,'Base de Datos'!$E$7:$AU$302,19,0)))</f>
        <v>42312</v>
      </c>
      <c r="X50" s="428" t="str">
        <f>IF(ISERROR(VLOOKUP(T50,'Base de Datos'!$E$7:$AU$302,8,0))=TRUE," ",(VLOOKUP(T50,'Base de Datos'!$E$7:$AU$302,8,0)))</f>
        <v xml:space="preserve"> </v>
      </c>
      <c r="Y50" s="428">
        <f>IF(ISERROR(VLOOKUP(T50,'Base de Datos'!$E$7:$AU$302,9,0))=TRUE," ",(VLOOKUP(T50,'Base de Datos'!$E$7:$AU$302,9,0)))</f>
        <v>41824</v>
      </c>
      <c r="Z50" s="422">
        <f>IF(ISERROR(VLOOKUP(T50,'Base de Datos'!$E$7:$AU$302,10,0))=TRUE," ",(VLOOKUP(T50,'Base de Datos'!$E$7:$AU$302,10,0)))</f>
        <v>42066</v>
      </c>
      <c r="AA50" s="425" t="str">
        <f>IF(ISERROR(VLOOKUP(T50,'Base de Datos'!$E$7:$AU$302,11,0))=TRUE," ",(VLOOKUP(T50,'Base de Datos'!$E$7:$AU$302,11,0)))</f>
        <v/>
      </c>
      <c r="AB50" s="422">
        <f>IF(ISERROR(VLOOKUP(T50,'Base de Datos'!$E$7:$AU$302,12,0))=TRUE," ",(VLOOKUP(T50,'Base de Datos'!$E$7:$AU$302,12,0)))</f>
        <v>0</v>
      </c>
      <c r="AC50" s="422">
        <f>IF(ISERROR(VLOOKUP(T50,'Base de Datos'!$E$7:$AU$302,12,0))=TRUE," ",(VLOOKUP(T50,'Base de Datos'!$E$7:$AU$302,12,0)))</f>
        <v>0</v>
      </c>
      <c r="AD50" s="428" t="str">
        <f>IF(ISERROR(VLOOKUP(T50,'Base de Datos'!$E$7:$AU$302,15,0))=TRUE," ",(VLOOKUP(T50,'Base de Datos'!$E$7:$AU$302,15,0)))</f>
        <v>8 meses</v>
      </c>
      <c r="AE50" s="433">
        <f>IF(ISERROR(VLOOKUP(T50,'Base de Datos'!$E$7:$AU$302,16,0))=TRUE," ",(VLOOKUP(T50,'Base de Datos'!$E$7:$AU$302,16,0)))</f>
        <v>42312</v>
      </c>
      <c r="AF50" s="433" t="str">
        <f>IF(ISERROR(VLOOKUP(T50,'Base de Datos'!$E$7:$AU$302,17,0))=TRUE," ",(VLOOKUP(T50,'Base de Datos'!$E$7:$AU$302,17,0)))</f>
        <v/>
      </c>
      <c r="AG50" s="433" t="str">
        <f>IF(ISERROR(VLOOKUP(T50,'Base de Datos'!$E$7:$AU$302,18,0))=TRUE," ",(VLOOKUP(T50,'Base de Datos'!$E$7:$AU$302,18,0)))</f>
        <v/>
      </c>
      <c r="AH50" s="434">
        <f>IF(ISERROR(VLOOKUP(T50,'Base de Datos'!$E$7:$AU$302,20,0))=TRUE," ",(VLOOKUP(T50,'Base de Datos'!$E$7:$AU$302,20,0)))</f>
        <v>12000000</v>
      </c>
      <c r="AI50" s="434">
        <f>IF(ISERROR(VLOOKUP(T50,'Base de Datos'!$E$7:$AU$302,21,0))=TRUE," ",(VLOOKUP(T50,'Base de Datos'!$E$7:$AU$302,21,0)))</f>
        <v>10800000</v>
      </c>
      <c r="AJ50" s="423"/>
      <c r="AK50" s="423" t="str">
        <f>IF(ISERROR(VLOOKUP(D50,'Base de Datos'!$C$7:$AU$400,2,0))=TRUE," ",(VLOOKUP(D50,'Base de Datos'!$C$7:$AU$400,2,0)))</f>
        <v xml:space="preserve"> </v>
      </c>
      <c r="AL50" s="423" t="str">
        <f>IF(ISERROR(VLOOKUP(D50,'Base de Datos'!$C$7:$AU$400,3,0))=TRUE," ",(VLOOKUP(D50,'Base de Datos'!$C$7:$AU$400,3,0)))</f>
        <v xml:space="preserve"> </v>
      </c>
      <c r="AM50" s="426" t="e">
        <f>IF(ISERROR(VLOOKUP(D50,'Base de Datos'!$C$7:$AU$3761,6,0))=TRUE," ",(VLOOKUP(D50,'Base de Datos'!$C$7:$AU$400,6,0)))</f>
        <v>#N/A</v>
      </c>
      <c r="AN50" s="426" t="str">
        <f>IF(ISERROR(VLOOKUP(D50,'Base de Datos'!$C$7:$AU$400,20,0))=TRUE," ",(VLOOKUP(D50,'Base de Datos'!$C$7:$AU$400,19,0)))</f>
        <v xml:space="preserve"> </v>
      </c>
      <c r="AO50" s="429" t="str">
        <f>IF(ISERROR(VLOOKUP(D50,'Base de Datos'!$C$7:$AU$400,9,0))=TRUE," ",(VLOOKUP(D50,'Base de Datos'!$C$7:$AU$400,9,0)))</f>
        <v xml:space="preserve"> </v>
      </c>
      <c r="AP50" s="429" t="str">
        <f>IF(ISERROR(VLOOKUP(D50,'Base de Datos'!$C$7:$AU$400,10,0))=TRUE," ",(VLOOKUP(D50,'Base de Datos'!$C$7:$AU$400,10,0)))</f>
        <v xml:space="preserve"> </v>
      </c>
      <c r="AQ50" s="431" t="str">
        <f>IF(ISERROR(VLOOKUP(D50,'Base de Datos'!$C$7:$AU$400,11,0))=TRUE," ",(VLOOKUP(D50,'Base de Datos'!$C$7:$AU$400,11,0)))</f>
        <v xml:space="preserve"> </v>
      </c>
      <c r="AR50" s="432" t="str">
        <f>IF(ISERROR(VLOOKUP(D50,'Base de Datos'!$C$7:$AU$400,12,0))=TRUE," ",(VLOOKUP(D50,'Base de Datos'!$C$7:$AU$400,12,0)))</f>
        <v xml:space="preserve"> </v>
      </c>
      <c r="AS50" s="431" t="str">
        <f>IF(ISERROR(VLOOKUP(D50,'Base de Datos'!$C$7:$AU$400,13,0))=TRUE," ",(VLOOKUP(D50,'Base de Datos'!$C$7:$AU$400,13,0)))</f>
        <v xml:space="preserve"> </v>
      </c>
      <c r="AT50" s="431" t="str">
        <f>IF(ISERROR(VLOOKUP(D50,'Base de Datos'!$C$7:$AU$400,14,0))=TRUE," ",(VLOOKUP(D50,'Base de Datos'!$C$7:$AU$400,14,0)))</f>
        <v xml:space="preserve"> </v>
      </c>
      <c r="AU50" s="429" t="str">
        <f>IF(ISERROR(VLOOKUP(D50,'Base de Datos'!$C$7:$AU$400,16,0))=TRUE," ",(VLOOKUP(D50,'Base de Datos'!$C$7:$AU$400,16,0)))</f>
        <v xml:space="preserve"> </v>
      </c>
      <c r="AV50" s="433" t="str">
        <f>IF(ISERROR(VLOOKUP(D50,'Base de Datos'!$C$7:$AU$400,17,0))=TRUE," ",(VLOOKUP(D50,'Base de Datos'!$C$7:$AU$400,17,0)))</f>
        <v xml:space="preserve"> </v>
      </c>
      <c r="AW50" s="433" t="str">
        <f>IF(ISERROR(VLOOKUP(D50,'Base de Datos'!$C$7:$AU$400,18,0))=TRUE," ",(VLOOKUP(D50,'Base de Datos'!$C$7:$AU$400,18,0)))</f>
        <v xml:space="preserve"> </v>
      </c>
      <c r="AX50" s="433" t="str">
        <f>IF(ISERROR(VLOOKUP(D50,'Base de Datos'!$C$7:$AU$400,19,0))=TRUE," ",(VLOOKUP(D50,'Base de Datos'!$C$7:$AU$400,19,0)))</f>
        <v xml:space="preserve"> </v>
      </c>
      <c r="AY50" s="436" t="str">
        <f>IF(ISERROR(VLOOKUP(D50,'Base de Datos'!$C$7:$AU$400,21,0))=TRUE," ",(VLOOKUP(D50,'Base de Datos'!$C$7:$AU$400,21,0)))</f>
        <v xml:space="preserve"> </v>
      </c>
      <c r="AZ50" s="436" t="str">
        <f>IF(ISERROR(VLOOKUP(D50,'Base de Datos'!$C$7:$AU$400,22,0))=TRUE," ",(VLOOKUP(D50,'Base de Datos'!$C$7:$AU$400,22,0)))</f>
        <v xml:space="preserve"> </v>
      </c>
      <c r="BA50" s="443"/>
      <c r="BB50" s="453"/>
    </row>
    <row r="51" spans="2:54" ht="55.5" hidden="1" customHeight="1" x14ac:dyDescent="0.3">
      <c r="B51" s="406">
        <v>44</v>
      </c>
      <c r="C51" s="414" t="s">
        <v>1641</v>
      </c>
      <c r="D51" s="406">
        <v>140</v>
      </c>
      <c r="E51" s="414" t="s">
        <v>1652</v>
      </c>
      <c r="F51" s="415">
        <f>VLOOKUP(D51,'Presupuesto - PAA 2015'!$B$10:$E$265,4,0)</f>
        <v>715000</v>
      </c>
      <c r="G51" s="407" t="str">
        <f>VLOOKUP(D51,'[4]Seguimiento Plan'!$C$2:$R$101,16,0)</f>
        <v>Suscripción al servicio de información jurídica a través de un boletín informativo por correo electrónico, consulta web y bibilioteca digital de legislación colombiana actualizada.</v>
      </c>
      <c r="H51" s="407" t="s">
        <v>1775</v>
      </c>
      <c r="I51" s="407" t="s">
        <v>1713</v>
      </c>
      <c r="J51" s="416" t="s">
        <v>909</v>
      </c>
      <c r="K51" s="417" t="s">
        <v>390</v>
      </c>
      <c r="L51" s="417" t="s">
        <v>390</v>
      </c>
      <c r="M51" s="418">
        <v>42123</v>
      </c>
      <c r="N51" s="417"/>
      <c r="O51" s="419"/>
      <c r="P51" s="419"/>
      <c r="Q51" s="419"/>
      <c r="R51" s="420"/>
      <c r="S51" s="677" t="s">
        <v>2052</v>
      </c>
      <c r="T51" s="421"/>
      <c r="U51" s="423" t="str">
        <f>IF(ISERROR(VLOOKUP(T51,'Base de Datos'!$E$7:$AU$302,3,0))=TRUE," ",(VLOOKUP(T51,'Base de Datos'!$E$7:$AU$302,2,0)))</f>
        <v xml:space="preserve"> </v>
      </c>
      <c r="V51" s="426" t="str">
        <f>IF(ISERROR(VLOOKUP(T51,'Base de Datos'!$E$7:$AU$302,5,0))=TRUE," ",(VLOOKUP(T51,'Base de Datos'!$E$7:$AU$302,5,0)))</f>
        <v xml:space="preserve"> </v>
      </c>
      <c r="W51" s="423" t="str">
        <f>IF(ISERROR(VLOOKUP(T51,'Base de Datos'!$E$7:$AU$302,19,0))=TRUE," ",(VLOOKUP(T51,'Base de Datos'!$E$7:$AU$302,19,0)))</f>
        <v xml:space="preserve"> </v>
      </c>
      <c r="X51" s="428" t="str">
        <f>IF(ISERROR(VLOOKUP(T51,'Base de Datos'!$E$7:$AU$302,8,0))=TRUE," ",(VLOOKUP(T51,'Base de Datos'!$E$7:$AU$302,8,0)))</f>
        <v xml:space="preserve"> </v>
      </c>
      <c r="Y51" s="428" t="str">
        <f>IF(ISERROR(VLOOKUP(T51,'Base de Datos'!$E$7:$AU$302,9,0))=TRUE," ",(VLOOKUP(T51,'Base de Datos'!$E$7:$AU$302,9,0)))</f>
        <v xml:space="preserve"> </v>
      </c>
      <c r="Z51" s="422" t="str">
        <f>IF(ISERROR(VLOOKUP(T51,'Base de Datos'!$E$7:$AU$302,10,0))=TRUE," ",(VLOOKUP(T51,'Base de Datos'!$E$7:$AU$302,10,0)))</f>
        <v xml:space="preserve"> </v>
      </c>
      <c r="AA51" s="425" t="str">
        <f>IF(ISERROR(VLOOKUP(T51,'Base de Datos'!$E$7:$AU$302,11,0))=TRUE," ",(VLOOKUP(T51,'Base de Datos'!$E$7:$AU$302,11,0)))</f>
        <v xml:space="preserve"> </v>
      </c>
      <c r="AB51" s="422" t="str">
        <f>IF(ISERROR(VLOOKUP(T51,'Base de Datos'!$E$7:$AU$302,12,0))=TRUE," ",(VLOOKUP(T51,'Base de Datos'!$E$7:$AU$302,12,0)))</f>
        <v xml:space="preserve"> </v>
      </c>
      <c r="AC51" s="422" t="str">
        <f>IF(ISERROR(VLOOKUP(T51,'Base de Datos'!$E$7:$AU$302,12,0))=TRUE," ",(VLOOKUP(T51,'Base de Datos'!$E$7:$AU$302,12,0)))</f>
        <v xml:space="preserve"> </v>
      </c>
      <c r="AD51" s="428" t="str">
        <f>IF(ISERROR(VLOOKUP(T51,'Base de Datos'!$E$7:$AU$302,15,0))=TRUE," ",(VLOOKUP(T51,'Base de Datos'!$E$7:$AU$302,15,0)))</f>
        <v xml:space="preserve"> </v>
      </c>
      <c r="AE51" s="433" t="str">
        <f>IF(ISERROR(VLOOKUP(T51,'Base de Datos'!$E$7:$AU$302,16,0))=TRUE," ",(VLOOKUP(T51,'Base de Datos'!$E$7:$AU$302,16,0)))</f>
        <v xml:space="preserve"> </v>
      </c>
      <c r="AF51" s="433" t="str">
        <f>IF(ISERROR(VLOOKUP(T51,'Base de Datos'!$E$7:$AU$302,17,0))=TRUE," ",(VLOOKUP(T51,'Base de Datos'!$E$7:$AU$302,17,0)))</f>
        <v xml:space="preserve"> </v>
      </c>
      <c r="AG51" s="433" t="str">
        <f>IF(ISERROR(VLOOKUP(T51,'Base de Datos'!$E$7:$AU$302,18,0))=TRUE," ",(VLOOKUP(T51,'Base de Datos'!$E$7:$AU$302,18,0)))</f>
        <v xml:space="preserve"> </v>
      </c>
      <c r="AH51" s="434" t="str">
        <f>IF(ISERROR(VLOOKUP(T51,'Base de Datos'!$E$7:$AU$302,20,0))=TRUE," ",(VLOOKUP(T51,'Base de Datos'!$E$7:$AU$302,20,0)))</f>
        <v xml:space="preserve"> </v>
      </c>
      <c r="AI51" s="434" t="str">
        <f>IF(ISERROR(VLOOKUP(T51,'Base de Datos'!$E$7:$AU$302,21,0))=TRUE," ",(VLOOKUP(T51,'Base de Datos'!$E$7:$AU$302,21,0)))</f>
        <v xml:space="preserve"> </v>
      </c>
      <c r="AJ51" s="437">
        <v>42207</v>
      </c>
      <c r="AK51" s="423" t="str">
        <f>IF(ISERROR(VLOOKUP(D51,'Base de Datos'!$C$7:$AU$400,2,0))=TRUE," ",(VLOOKUP(D51,'Base de Datos'!$C$7:$AU$400,2,0)))</f>
        <v>2015140</v>
      </c>
      <c r="AL51" s="423" t="str">
        <f>IF(ISERROR(VLOOKUP(D51,'Base de Datos'!$C$7:$AU$400,3,0))=TRUE," ",(VLOOKUP(D51,'Base de Datos'!$C$7:$AU$400,3,0)))</f>
        <v>150320-0-2015</v>
      </c>
      <c r="AM51" s="426" t="str">
        <f>IF(ISERROR(VLOOKUP(D51,'Base de Datos'!$C$7:$AU$3761,6,0))=TRUE," ",(VLOOKUP(D51,'Base de Datos'!$C$7:$AU$400,6,0)))</f>
        <v>Suscripción al servicio de información jurídica de boletines informáticos por correo electrónico, consultas en página WEB y biblioteca de la legislación y jurisprudencia colombiana actualizada para el Concejo de Bogotá D.C.</v>
      </c>
      <c r="AN51" s="426" t="str">
        <f>IF(ISERROR(VLOOKUP(D51,'Base de Datos'!$C$7:$AU$400,20,0))=TRUE," ",(VLOOKUP(D51,'Base de Datos'!$C$7:$AU$400,19,0)))</f>
        <v/>
      </c>
      <c r="AO51" s="429">
        <f>IF(ISERROR(VLOOKUP(D51,'Base de Datos'!$C$7:$AU$400,9,0))=TRUE," ",(VLOOKUP(D51,'Base de Datos'!$C$7:$AU$400,9,0)))</f>
        <v>2015</v>
      </c>
      <c r="AP51" s="429">
        <f>IF(ISERROR(VLOOKUP(D51,'Base de Datos'!$C$7:$AU$400,10,0))=TRUE," ",(VLOOKUP(D51,'Base de Datos'!$C$7:$AU$400,10,0)))</f>
        <v>42207</v>
      </c>
      <c r="AQ51" s="431">
        <f>IF(ISERROR(VLOOKUP(D51,'Base de Datos'!$C$7:$AU$400,11,0))=TRUE," ",(VLOOKUP(D51,'Base de Datos'!$C$7:$AU$400,11,0)))</f>
        <v>42221</v>
      </c>
      <c r="AR51" s="432">
        <f>IF(ISERROR(VLOOKUP(D51,'Base de Datos'!$C$7:$AU$400,12,0))=TRUE," ",(VLOOKUP(D51,'Base de Datos'!$C$7:$AU$400,12,0)))</f>
        <v>42587</v>
      </c>
      <c r="AS51" s="431" t="str">
        <f>IF(ISERROR(VLOOKUP(D51,'Base de Datos'!$C$7:$AU$400,13,0))=TRUE," ",(VLOOKUP(D51,'Base de Datos'!$C$7:$AU$400,13,0)))</f>
        <v/>
      </c>
      <c r="AT51" s="431">
        <f>IF(ISERROR(VLOOKUP(D51,'Base de Datos'!$C$7:$AU$400,14,0))=TRUE," ",(VLOOKUP(D51,'Base de Datos'!$C$7:$AU$400,14,0)))</f>
        <v>0</v>
      </c>
      <c r="AU51" s="429">
        <f>IF(ISERROR(VLOOKUP(D51,'Base de Datos'!$C$7:$AU$400,16,0))=TRUE," ",(VLOOKUP(D51,'Base de Datos'!$C$7:$AU$400,16,0)))</f>
        <v>0</v>
      </c>
      <c r="AV51" s="433" t="str">
        <f>IF(ISERROR(VLOOKUP(D51,'Base de Datos'!$C$7:$AU$400,17,0))=TRUE," ",(VLOOKUP(D51,'Base de Datos'!$C$7:$AU$400,17,0)))</f>
        <v/>
      </c>
      <c r="AW51" s="433" t="str">
        <f>IF(ISERROR(VLOOKUP(D51,'Base de Datos'!$C$7:$AU$400,18,0))=TRUE," ",(VLOOKUP(D51,'Base de Datos'!$C$7:$AU$400,18,0)))</f>
        <v/>
      </c>
      <c r="AX51" s="433" t="str">
        <f>IF(ISERROR(VLOOKUP(D51,'Base de Datos'!$C$7:$AU$400,19,0))=TRUE," ",(VLOOKUP(D51,'Base de Datos'!$C$7:$AU$400,19,0)))</f>
        <v/>
      </c>
      <c r="AY51" s="436">
        <f>IF(ISERROR(VLOOKUP(D51,'Base de Datos'!$C$7:$AU$400,21,0))=TRUE," ",(VLOOKUP(D51,'Base de Datos'!$C$7:$AU$400,21,0)))</f>
        <v>42587</v>
      </c>
      <c r="AZ51" s="436">
        <f>IF(ISERROR(VLOOKUP(D51,'Base de Datos'!$C$7:$AU$400,22,0))=TRUE," ",(VLOOKUP(D51,'Base de Datos'!$C$7:$AU$400,22,0)))</f>
        <v>715000</v>
      </c>
      <c r="BA51" s="443"/>
      <c r="BB51" s="453"/>
    </row>
    <row r="52" spans="2:54" ht="55.5" hidden="1" customHeight="1" x14ac:dyDescent="0.3">
      <c r="B52" s="406">
        <v>45</v>
      </c>
      <c r="C52" s="414" t="s">
        <v>1641</v>
      </c>
      <c r="D52" s="406">
        <v>141</v>
      </c>
      <c r="E52" s="414" t="s">
        <v>1652</v>
      </c>
      <c r="F52" s="415">
        <f>VLOOKUP(D52,'Presupuesto - PAA 2015'!$B$10:$E$265,4,0)</f>
        <v>1226994</v>
      </c>
      <c r="G52" s="407" t="str">
        <f>VLOOKUP(D52,'[4]Seguimiento Plan'!$C$2:$R$101,16,0)</f>
        <v>Suscripción al períodico El Tiempo y Portafolio para el Concejo de Bogotá.</v>
      </c>
      <c r="H52" s="407" t="s">
        <v>1775</v>
      </c>
      <c r="I52" s="407" t="s">
        <v>1713</v>
      </c>
      <c r="J52" s="416" t="s">
        <v>908</v>
      </c>
      <c r="K52" s="417" t="s">
        <v>390</v>
      </c>
      <c r="L52" s="417" t="str">
        <f>VLOOKUP(D52,'[4]Seguimiento Plan'!$C$2:$AJ$101,30,0)</f>
        <v>SI</v>
      </c>
      <c r="M52" s="418">
        <f>VLOOKUP(D52,'[4]Seguimiento Plan'!$C$2:$AJ$101,31,0)</f>
        <v>42020</v>
      </c>
      <c r="N52" s="417"/>
      <c r="O52" s="419"/>
      <c r="P52" s="419"/>
      <c r="Q52" s="419"/>
      <c r="R52" s="497"/>
      <c r="S52" s="324" t="s">
        <v>1593</v>
      </c>
      <c r="T52" s="421" t="s">
        <v>252</v>
      </c>
      <c r="U52" s="423" t="str">
        <f>IF(ISERROR(VLOOKUP(T52,'Base de Datos'!$E$7:$AU$302,3,0))=TRUE," ",(VLOOKUP(T52,'Base de Datos'!$E$7:$AU$302,2,0)))</f>
        <v>CASA EDITORIAL EL TIEMPO SA</v>
      </c>
      <c r="V52" s="426">
        <f>IF(ISERROR(VLOOKUP(T52,'Base de Datos'!$E$7:$AU$302,5,0))=TRUE," ",(VLOOKUP(T52,'Base de Datos'!$E$7:$AU$302,5,0)))</f>
        <v>1197000</v>
      </c>
      <c r="W52" s="423">
        <f>IF(ISERROR(VLOOKUP(T52,'Base de Datos'!$E$7:$AU$302,19,0))=TRUE," ",(VLOOKUP(T52,'Base de Datos'!$E$7:$AU$302,19,0)))</f>
        <v>42081</v>
      </c>
      <c r="X52" s="428" t="str">
        <f>IF(ISERROR(VLOOKUP(T52,'Base de Datos'!$E$7:$AU$302,8,0))=TRUE," ",(VLOOKUP(T52,'Base de Datos'!$E$7:$AU$302,8,0)))</f>
        <v xml:space="preserve"> </v>
      </c>
      <c r="Y52" s="428">
        <f>IF(ISERROR(VLOOKUP(T52,'Base de Datos'!$E$7:$AU$302,9,0))=TRUE," ",(VLOOKUP(T52,'Base de Datos'!$E$7:$AU$302,9,0)))</f>
        <v>41717</v>
      </c>
      <c r="Z52" s="422">
        <f>IF(ISERROR(VLOOKUP(T52,'Base de Datos'!$E$7:$AU$302,10,0))=TRUE," ",(VLOOKUP(T52,'Base de Datos'!$E$7:$AU$302,10,0)))</f>
        <v>42081</v>
      </c>
      <c r="AA52" s="425" t="str">
        <f>IF(ISERROR(VLOOKUP(T52,'Base de Datos'!$E$7:$AU$302,11,0))=TRUE," ",(VLOOKUP(T52,'Base de Datos'!$E$7:$AU$302,11,0)))</f>
        <v/>
      </c>
      <c r="AB52" s="422">
        <f>IF(ISERROR(VLOOKUP(T52,'Base de Datos'!$E$7:$AU$302,12,0))=TRUE," ",(VLOOKUP(T52,'Base de Datos'!$E$7:$AU$302,12,0)))</f>
        <v>0</v>
      </c>
      <c r="AC52" s="422">
        <f>IF(ISERROR(VLOOKUP(T52,'Base de Datos'!$E$7:$AU$302,12,0))=TRUE," ",(VLOOKUP(T52,'Base de Datos'!$E$7:$AU$302,12,0)))</f>
        <v>0</v>
      </c>
      <c r="AD52" s="428" t="str">
        <f>IF(ISERROR(VLOOKUP(T52,'Base de Datos'!$E$7:$AU$302,15,0))=TRUE," ",(VLOOKUP(T52,'Base de Datos'!$E$7:$AU$302,15,0)))</f>
        <v/>
      </c>
      <c r="AE52" s="433" t="str">
        <f>IF(ISERROR(VLOOKUP(T52,'Base de Datos'!$E$7:$AU$302,16,0))=TRUE," ",(VLOOKUP(T52,'Base de Datos'!$E$7:$AU$302,16,0)))</f>
        <v/>
      </c>
      <c r="AF52" s="433" t="str">
        <f>IF(ISERROR(VLOOKUP(T52,'Base de Datos'!$E$7:$AU$302,17,0))=TRUE," ",(VLOOKUP(T52,'Base de Datos'!$E$7:$AU$302,17,0)))</f>
        <v/>
      </c>
      <c r="AG52" s="433" t="str">
        <f>IF(ISERROR(VLOOKUP(T52,'Base de Datos'!$E$7:$AU$302,18,0))=TRUE," ",(VLOOKUP(T52,'Base de Datos'!$E$7:$AU$302,18,0)))</f>
        <v/>
      </c>
      <c r="AH52" s="434">
        <f>IF(ISERROR(VLOOKUP(T52,'Base de Datos'!$E$7:$AU$302,20,0))=TRUE," ",(VLOOKUP(T52,'Base de Datos'!$E$7:$AU$302,20,0)))</f>
        <v>1197000</v>
      </c>
      <c r="AI52" s="434">
        <f>IF(ISERROR(VLOOKUP(T52,'Base de Datos'!$E$7:$AU$302,21,0))=TRUE," ",(VLOOKUP(T52,'Base de Datos'!$E$7:$AU$302,21,0)))</f>
        <v>1197000</v>
      </c>
      <c r="AJ52" s="428">
        <v>42080</v>
      </c>
      <c r="AK52" s="423" t="str">
        <f>IF(ISERROR(VLOOKUP(D52,'Base de Datos'!$C$7:$AU$400,2,0))=TRUE," ",(VLOOKUP(D52,'Base de Datos'!$C$7:$AU$400,2,0)))</f>
        <v>2015141</v>
      </c>
      <c r="AL52" s="423" t="str">
        <f>IF(ISERROR(VLOOKUP(D52,'Base de Datos'!$C$7:$AU$400,3,0))=TRUE," ",(VLOOKUP(D52,'Base de Datos'!$C$7:$AU$400,3,0)))</f>
        <v>150123-0-2015</v>
      </c>
      <c r="AM52" s="426" t="str">
        <f>IF(ISERROR(VLOOKUP(D52,'Base de Datos'!$C$7:$AU$3761,6,0))=TRUE," ",(VLOOKUP(D52,'Base de Datos'!$C$7:$AU$400,6,0)))</f>
        <v>Suscripción a los diarios el TIEMPO Y PORTAFOLIO con destino al concejo de Bogotá D.C.</v>
      </c>
      <c r="AN52" s="426" t="str">
        <f>IF(ISERROR(VLOOKUP(D52,'Base de Datos'!$C$7:$AU$400,20,0))=TRUE," ",(VLOOKUP(D52,'Base de Datos'!$C$7:$AU$400,19,0)))</f>
        <v/>
      </c>
      <c r="AO52" s="429">
        <f>IF(ISERROR(VLOOKUP(D52,'Base de Datos'!$C$7:$AU$400,9,0))=TRUE," ",(VLOOKUP(D52,'Base de Datos'!$C$7:$AU$400,9,0)))</f>
        <v>2015</v>
      </c>
      <c r="AP52" s="429">
        <f>IF(ISERROR(VLOOKUP(D52,'Base de Datos'!$C$7:$AU$400,10,0))=TRUE," ",(VLOOKUP(D52,'Base de Datos'!$C$7:$AU$400,10,0)))</f>
        <v>42080</v>
      </c>
      <c r="AQ52" s="431">
        <f>IF(ISERROR(VLOOKUP(D52,'Base de Datos'!$C$7:$AU$400,11,0))=TRUE," ",(VLOOKUP(D52,'Base de Datos'!$C$7:$AU$400,11,0)))</f>
        <v>42082</v>
      </c>
      <c r="AR52" s="432">
        <f>IF(ISERROR(VLOOKUP(D52,'Base de Datos'!$C$7:$AU$400,12,0))=TRUE," ",(VLOOKUP(D52,'Base de Datos'!$C$7:$AU$400,12,0)))</f>
        <v>42447</v>
      </c>
      <c r="AS52" s="431" t="str">
        <f>IF(ISERROR(VLOOKUP(D52,'Base de Datos'!$C$7:$AU$400,13,0))=TRUE," ",(VLOOKUP(D52,'Base de Datos'!$C$7:$AU$400,13,0)))</f>
        <v/>
      </c>
      <c r="AT52" s="431">
        <f>IF(ISERROR(VLOOKUP(D52,'Base de Datos'!$C$7:$AU$400,14,0))=TRUE," ",(VLOOKUP(D52,'Base de Datos'!$C$7:$AU$400,14,0)))</f>
        <v>0</v>
      </c>
      <c r="AU52" s="429">
        <f>IF(ISERROR(VLOOKUP(D52,'Base de Datos'!$C$7:$AU$400,16,0))=TRUE," ",(VLOOKUP(D52,'Base de Datos'!$C$7:$AU$400,16,0)))</f>
        <v>0</v>
      </c>
      <c r="AV52" s="433" t="str">
        <f>IF(ISERROR(VLOOKUP(D52,'Base de Datos'!$C$7:$AU$400,17,0))=TRUE," ",(VLOOKUP(D52,'Base de Datos'!$C$7:$AU$400,17,0)))</f>
        <v/>
      </c>
      <c r="AW52" s="433" t="str">
        <f>IF(ISERROR(VLOOKUP(D52,'Base de Datos'!$C$7:$AU$400,18,0))=TRUE," ",(VLOOKUP(D52,'Base de Datos'!$C$7:$AU$400,18,0)))</f>
        <v/>
      </c>
      <c r="AX52" s="433" t="str">
        <f>IF(ISERROR(VLOOKUP(D52,'Base de Datos'!$C$7:$AU$400,19,0))=TRUE," ",(VLOOKUP(D52,'Base de Datos'!$C$7:$AU$400,19,0)))</f>
        <v/>
      </c>
      <c r="AY52" s="436">
        <f>IF(ISERROR(VLOOKUP(D52,'Base de Datos'!$C$7:$AU$400,21,0))=TRUE," ",(VLOOKUP(D52,'Base de Datos'!$C$7:$AU$400,21,0)))</f>
        <v>42447</v>
      </c>
      <c r="AZ52" s="436">
        <f>IF(ISERROR(VLOOKUP(D52,'Base de Datos'!$C$7:$AU$400,22,0))=TRUE," ",(VLOOKUP(D52,'Base de Datos'!$C$7:$AU$400,22,0)))</f>
        <v>1226994</v>
      </c>
      <c r="BA52" s="443"/>
      <c r="BB52" s="453"/>
    </row>
    <row r="53" spans="2:54" ht="55.5" hidden="1" customHeight="1" x14ac:dyDescent="0.3">
      <c r="B53" s="406">
        <v>46</v>
      </c>
      <c r="C53" s="414" t="s">
        <v>1641</v>
      </c>
      <c r="D53" s="406">
        <v>142</v>
      </c>
      <c r="E53" s="414" t="s">
        <v>1652</v>
      </c>
      <c r="F53" s="415">
        <f>VLOOKUP(D53,'Presupuesto - PAA 2015'!$B$10:$E$265,4,0)</f>
        <v>7800000</v>
      </c>
      <c r="G53" s="407" t="str">
        <f>VLOOKUP(D53,'[4]Seguimiento Plan'!$C$2:$R$101,16,0)</f>
        <v>Suscripción a la Revista del Congreso para el Concejo de Bogotá.-</v>
      </c>
      <c r="H53" s="407" t="s">
        <v>1775</v>
      </c>
      <c r="I53" s="407" t="s">
        <v>1713</v>
      </c>
      <c r="J53" s="416" t="s">
        <v>908</v>
      </c>
      <c r="K53" s="417" t="s">
        <v>390</v>
      </c>
      <c r="L53" s="417" t="str">
        <f>VLOOKUP(D53,'[4]Seguimiento Plan'!$C$2:$AJ$101,30,0)</f>
        <v>SI</v>
      </c>
      <c r="M53" s="418">
        <f>VLOOKUP(D53,'[4]Seguimiento Plan'!$C$2:$AJ$101,31,0)</f>
        <v>42058</v>
      </c>
      <c r="N53" s="417"/>
      <c r="O53" s="419"/>
      <c r="P53" s="419"/>
      <c r="Q53" s="419"/>
      <c r="R53" s="420"/>
      <c r="S53" s="420"/>
      <c r="T53" s="421" t="s">
        <v>278</v>
      </c>
      <c r="U53" s="423" t="str">
        <f>IF(ISERROR(VLOOKUP(T53,'Base de Datos'!$E$7:$AU$302,3,0))=TRUE," ",(VLOOKUP(T53,'Base de Datos'!$E$7:$AU$302,2,0)))</f>
        <v>REVISTA EL CONGRESO SIGLO XXI LTDA</v>
      </c>
      <c r="V53" s="426">
        <f>IF(ISERROR(VLOOKUP(T53,'Base de Datos'!$E$7:$AU$302,5,0))=TRUE," ",(VLOOKUP(T53,'Base de Datos'!$E$7:$AU$302,5,0)))</f>
        <v>7740000</v>
      </c>
      <c r="W53" s="423">
        <f>IF(ISERROR(VLOOKUP(T53,'Base de Datos'!$E$7:$AU$302,19,0))=TRUE," ",(VLOOKUP(T53,'Base de Datos'!$E$7:$AU$302,19,0)))</f>
        <v>42139</v>
      </c>
      <c r="X53" s="428" t="str">
        <f>IF(ISERROR(VLOOKUP(T53,'Base de Datos'!$E$7:$AU$302,8,0))=TRUE," ",(VLOOKUP(T53,'Base de Datos'!$E$7:$AU$302,8,0)))</f>
        <v xml:space="preserve"> </v>
      </c>
      <c r="Y53" s="428">
        <f>IF(ISERROR(VLOOKUP(T53,'Base de Datos'!$E$7:$AU$302,9,0))=TRUE," ",(VLOOKUP(T53,'Base de Datos'!$E$7:$AU$302,9,0)))</f>
        <v>41775</v>
      </c>
      <c r="Z53" s="422">
        <f>IF(ISERROR(VLOOKUP(T53,'Base de Datos'!$E$7:$AU$302,10,0))=TRUE," ",(VLOOKUP(T53,'Base de Datos'!$E$7:$AU$302,10,0)))</f>
        <v>42139</v>
      </c>
      <c r="AA53" s="425" t="str">
        <f>IF(ISERROR(VLOOKUP(T53,'Base de Datos'!$E$7:$AU$302,11,0))=TRUE," ",(VLOOKUP(T53,'Base de Datos'!$E$7:$AU$302,11,0)))</f>
        <v/>
      </c>
      <c r="AB53" s="422">
        <f>IF(ISERROR(VLOOKUP(T53,'Base de Datos'!$E$7:$AU$302,12,0))=TRUE," ",(VLOOKUP(T53,'Base de Datos'!$E$7:$AU$302,12,0)))</f>
        <v>0</v>
      </c>
      <c r="AC53" s="422">
        <f>IF(ISERROR(VLOOKUP(T53,'Base de Datos'!$E$7:$AU$302,12,0))=TRUE," ",(VLOOKUP(T53,'Base de Datos'!$E$7:$AU$302,12,0)))</f>
        <v>0</v>
      </c>
      <c r="AD53" s="428" t="str">
        <f>IF(ISERROR(VLOOKUP(T53,'Base de Datos'!$E$7:$AU$302,15,0))=TRUE," ",(VLOOKUP(T53,'Base de Datos'!$E$7:$AU$302,15,0)))</f>
        <v/>
      </c>
      <c r="AE53" s="433" t="str">
        <f>IF(ISERROR(VLOOKUP(T53,'Base de Datos'!$E$7:$AU$302,16,0))=TRUE," ",(VLOOKUP(T53,'Base de Datos'!$E$7:$AU$302,16,0)))</f>
        <v/>
      </c>
      <c r="AF53" s="433" t="str">
        <f>IF(ISERROR(VLOOKUP(T53,'Base de Datos'!$E$7:$AU$302,17,0))=TRUE," ",(VLOOKUP(T53,'Base de Datos'!$E$7:$AU$302,17,0)))</f>
        <v/>
      </c>
      <c r="AG53" s="433" t="str">
        <f>IF(ISERROR(VLOOKUP(T53,'Base de Datos'!$E$7:$AU$302,18,0))=TRUE," ",(VLOOKUP(T53,'Base de Datos'!$E$7:$AU$302,18,0)))</f>
        <v/>
      </c>
      <c r="AH53" s="434">
        <f>IF(ISERROR(VLOOKUP(T53,'Base de Datos'!$E$7:$AU$302,20,0))=TRUE," ",(VLOOKUP(T53,'Base de Datos'!$E$7:$AU$302,20,0)))</f>
        <v>7740000</v>
      </c>
      <c r="AI53" s="434">
        <f>IF(ISERROR(VLOOKUP(T53,'Base de Datos'!$E$7:$AU$302,21,0))=TRUE," ",(VLOOKUP(T53,'Base de Datos'!$E$7:$AU$302,21,0)))</f>
        <v>7740000</v>
      </c>
      <c r="AJ53" s="437">
        <v>42139</v>
      </c>
      <c r="AK53" s="423" t="str">
        <f>IF(ISERROR(VLOOKUP(D53,'Base de Datos'!$C$7:$AU$400,2,0))=TRUE," ",(VLOOKUP(D53,'Base de Datos'!$C$7:$AU$400,2,0)))</f>
        <v>2015142</v>
      </c>
      <c r="AL53" s="423" t="str">
        <f>IF(ISERROR(VLOOKUP(D53,'Base de Datos'!$C$7:$AU$400,3,0))=TRUE," ",(VLOOKUP(D53,'Base de Datos'!$C$7:$AU$400,3,0)))</f>
        <v>150228-0-2015</v>
      </c>
      <c r="AM53" s="426" t="str">
        <f>IF(ISERROR(VLOOKUP(D53,'Base de Datos'!$C$7:$AU$3761,6,0))=TRUE," ",(VLOOKUP(D53,'Base de Datos'!$C$7:$AU$400,6,0)))</f>
        <v xml:space="preserve">Suscripción a la Revista El Congreso Siglo XXI con destino al Concejo de Bogotá D.C. </v>
      </c>
      <c r="AN53" s="426" t="str">
        <f>IF(ISERROR(VLOOKUP(D53,'Base de Datos'!$C$7:$AU$400,20,0))=TRUE," ",(VLOOKUP(D53,'Base de Datos'!$C$7:$AU$400,19,0)))</f>
        <v/>
      </c>
      <c r="AO53" s="429">
        <f>IF(ISERROR(VLOOKUP(D53,'Base de Datos'!$C$7:$AU$400,9,0))=TRUE," ",(VLOOKUP(D53,'Base de Datos'!$C$7:$AU$400,9,0)))</f>
        <v>2015</v>
      </c>
      <c r="AP53" s="429">
        <f>IF(ISERROR(VLOOKUP(D53,'Base de Datos'!$C$7:$AU$400,10,0))=TRUE," ",(VLOOKUP(D53,'Base de Datos'!$C$7:$AU$400,10,0)))</f>
        <v>42139</v>
      </c>
      <c r="AQ53" s="431">
        <f>IF(ISERROR(VLOOKUP(D53,'Base de Datos'!$C$7:$AU$400,11,0))=TRUE," ",(VLOOKUP(D53,'Base de Datos'!$C$7:$AU$400,11,0)))</f>
        <v>42145</v>
      </c>
      <c r="AR53" s="432">
        <f>IF(ISERROR(VLOOKUP(D53,'Base de Datos'!$C$7:$AU$400,12,0))=TRUE," ",(VLOOKUP(D53,'Base de Datos'!$C$7:$AU$400,12,0)))</f>
        <v>42511</v>
      </c>
      <c r="AS53" s="431" t="str">
        <f>IF(ISERROR(VLOOKUP(D53,'Base de Datos'!$C$7:$AU$400,13,0))=TRUE," ",(VLOOKUP(D53,'Base de Datos'!$C$7:$AU$400,13,0)))</f>
        <v/>
      </c>
      <c r="AT53" s="431">
        <f>IF(ISERROR(VLOOKUP(D53,'Base de Datos'!$C$7:$AU$400,14,0))=TRUE," ",(VLOOKUP(D53,'Base de Datos'!$C$7:$AU$400,14,0)))</f>
        <v>0</v>
      </c>
      <c r="AU53" s="429">
        <f>IF(ISERROR(VLOOKUP(D53,'Base de Datos'!$C$7:$AU$400,16,0))=TRUE," ",(VLOOKUP(D53,'Base de Datos'!$C$7:$AU$400,16,0)))</f>
        <v>0</v>
      </c>
      <c r="AV53" s="433" t="str">
        <f>IF(ISERROR(VLOOKUP(D53,'Base de Datos'!$C$7:$AU$400,17,0))=TRUE," ",(VLOOKUP(D53,'Base de Datos'!$C$7:$AU$400,17,0)))</f>
        <v/>
      </c>
      <c r="AW53" s="433" t="str">
        <f>IF(ISERROR(VLOOKUP(D53,'Base de Datos'!$C$7:$AU$400,18,0))=TRUE," ",(VLOOKUP(D53,'Base de Datos'!$C$7:$AU$400,18,0)))</f>
        <v/>
      </c>
      <c r="AX53" s="433" t="str">
        <f>IF(ISERROR(VLOOKUP(D53,'Base de Datos'!$C$7:$AU$400,19,0))=TRUE," ",(VLOOKUP(D53,'Base de Datos'!$C$7:$AU$400,19,0)))</f>
        <v/>
      </c>
      <c r="AY53" s="436">
        <f>IF(ISERROR(VLOOKUP(D53,'Base de Datos'!$C$7:$AU$400,21,0))=TRUE," ",(VLOOKUP(D53,'Base de Datos'!$C$7:$AU$400,21,0)))</f>
        <v>42511</v>
      </c>
      <c r="AZ53" s="436">
        <f>IF(ISERROR(VLOOKUP(D53,'Base de Datos'!$C$7:$AU$400,22,0))=TRUE," ",(VLOOKUP(D53,'Base de Datos'!$C$7:$AU$400,22,0)))</f>
        <v>7800000</v>
      </c>
      <c r="BA53" s="443"/>
      <c r="BB53" s="453"/>
    </row>
    <row r="54" spans="2:54" ht="55.5" hidden="1" customHeight="1" x14ac:dyDescent="0.3">
      <c r="B54" s="406">
        <v>47</v>
      </c>
      <c r="C54" s="414" t="s">
        <v>1641</v>
      </c>
      <c r="D54" s="406">
        <v>143</v>
      </c>
      <c r="E54" s="414" t="s">
        <v>1652</v>
      </c>
      <c r="F54" s="415">
        <f>VLOOKUP(D54,'Presupuesto - PAA 2015'!$B$10:$E$265,4,0)</f>
        <v>4100000</v>
      </c>
      <c r="G54" s="407" t="str">
        <f>VLOOKUP(D54,'[4]Seguimiento Plan'!$C$2:$R$101,16,0)</f>
        <v>Suscripción al Directorio de Despachos Públicos para el Concejo de Bogotá.-</v>
      </c>
      <c r="H54" s="407" t="s">
        <v>1775</v>
      </c>
      <c r="I54" s="407" t="s">
        <v>1713</v>
      </c>
      <c r="J54" s="416" t="s">
        <v>908</v>
      </c>
      <c r="K54" s="417"/>
      <c r="L54" s="417" t="s">
        <v>390</v>
      </c>
      <c r="M54" s="418"/>
      <c r="N54" s="417"/>
      <c r="O54" s="419"/>
      <c r="P54" s="419"/>
      <c r="Q54" s="419"/>
      <c r="R54" s="420"/>
      <c r="S54" s="438" t="s">
        <v>1591</v>
      </c>
      <c r="T54" s="421" t="s">
        <v>270</v>
      </c>
      <c r="U54" s="423" t="str">
        <f>IF(ISERROR(VLOOKUP(T54,'Base de Datos'!$E$7:$AU$302,3,0))=TRUE," ",(VLOOKUP(T54,'Base de Datos'!$E$7:$AU$302,2,0)))</f>
        <v>DPC LTDA PUBLICACIONES DESPACHOS PÚBLICOS DE COLOMBIA LTDA</v>
      </c>
      <c r="V54" s="426">
        <f>IF(ISERROR(VLOOKUP(T54,'Base de Datos'!$E$7:$AU$302,5,0))=TRUE," ",(VLOOKUP(T54,'Base de Datos'!$E$7:$AU$302,5,0)))</f>
        <v>4000000</v>
      </c>
      <c r="W54" s="423">
        <f>IF(ISERROR(VLOOKUP(T54,'Base de Datos'!$E$7:$AU$302,19,0))=TRUE," ",(VLOOKUP(T54,'Base de Datos'!$E$7:$AU$302,19,0)))</f>
        <v>41891</v>
      </c>
      <c r="X54" s="428" t="str">
        <f>IF(ISERROR(VLOOKUP(T54,'Base de Datos'!$E$7:$AU$302,8,0))=TRUE," ",(VLOOKUP(T54,'Base de Datos'!$E$7:$AU$302,8,0)))</f>
        <v xml:space="preserve"> </v>
      </c>
      <c r="Y54" s="428">
        <f>IF(ISERROR(VLOOKUP(T54,'Base de Datos'!$E$7:$AU$302,9,0))=TRUE," ",(VLOOKUP(T54,'Base de Datos'!$E$7:$AU$302,9,0)))</f>
        <v>41739</v>
      </c>
      <c r="Z54" s="422">
        <f>IF(ISERROR(VLOOKUP(T54,'Base de Datos'!$E$7:$AU$302,10,0))=TRUE," ",(VLOOKUP(T54,'Base de Datos'!$E$7:$AU$302,10,0)))</f>
        <v>41891</v>
      </c>
      <c r="AA54" s="425" t="str">
        <f>IF(ISERROR(VLOOKUP(T54,'Base de Datos'!$E$7:$AU$302,11,0))=TRUE," ",(VLOOKUP(T54,'Base de Datos'!$E$7:$AU$302,11,0)))</f>
        <v/>
      </c>
      <c r="AB54" s="422">
        <f>IF(ISERROR(VLOOKUP(T54,'Base de Datos'!$E$7:$AU$302,12,0))=TRUE," ",(VLOOKUP(T54,'Base de Datos'!$E$7:$AU$302,12,0)))</f>
        <v>0</v>
      </c>
      <c r="AC54" s="422">
        <f>IF(ISERROR(VLOOKUP(T54,'Base de Datos'!$E$7:$AU$302,12,0))=TRUE," ",(VLOOKUP(T54,'Base de Datos'!$E$7:$AU$302,12,0)))</f>
        <v>0</v>
      </c>
      <c r="AD54" s="428" t="str">
        <f>IF(ISERROR(VLOOKUP(T54,'Base de Datos'!$E$7:$AU$302,15,0))=TRUE," ",(VLOOKUP(T54,'Base de Datos'!$E$7:$AU$302,15,0)))</f>
        <v/>
      </c>
      <c r="AE54" s="433" t="str">
        <f>IF(ISERROR(VLOOKUP(T54,'Base de Datos'!$E$7:$AU$302,16,0))=TRUE," ",(VLOOKUP(T54,'Base de Datos'!$E$7:$AU$302,16,0)))</f>
        <v/>
      </c>
      <c r="AF54" s="433" t="str">
        <f>IF(ISERROR(VLOOKUP(T54,'Base de Datos'!$E$7:$AU$302,17,0))=TRUE," ",(VLOOKUP(T54,'Base de Datos'!$E$7:$AU$302,17,0)))</f>
        <v/>
      </c>
      <c r="AG54" s="433" t="str">
        <f>IF(ISERROR(VLOOKUP(T54,'Base de Datos'!$E$7:$AU$302,18,0))=TRUE," ",(VLOOKUP(T54,'Base de Datos'!$E$7:$AU$302,18,0)))</f>
        <v/>
      </c>
      <c r="AH54" s="434">
        <f>IF(ISERROR(VLOOKUP(T54,'Base de Datos'!$E$7:$AU$302,20,0))=TRUE," ",(VLOOKUP(T54,'Base de Datos'!$E$7:$AU$302,20,0)))</f>
        <v>4000000</v>
      </c>
      <c r="AI54" s="434">
        <f>IF(ISERROR(VLOOKUP(T54,'Base de Datos'!$E$7:$AU$302,21,0))=TRUE," ",(VLOOKUP(T54,'Base de Datos'!$E$7:$AU$302,21,0)))</f>
        <v>4000000</v>
      </c>
      <c r="AJ54" s="428">
        <v>42080</v>
      </c>
      <c r="AK54" s="423" t="str">
        <f>IF(ISERROR(VLOOKUP(D54,'Base de Datos'!$C$7:$AU$400,2,0))=TRUE," ",(VLOOKUP(D54,'Base de Datos'!$C$7:$AU$400,2,0)))</f>
        <v>2015143</v>
      </c>
      <c r="AL54" s="423" t="str">
        <f>IF(ISERROR(VLOOKUP(D54,'Base de Datos'!$C$7:$AU$400,3,0))=TRUE," ",(VLOOKUP(D54,'Base de Datos'!$C$7:$AU$400,3,0)))</f>
        <v>150124-0-2015</v>
      </c>
      <c r="AM54" s="426" t="str">
        <f>IF(ISERROR(VLOOKUP(D54,'Base de Datos'!$C$7:$AU$3761,6,0))=TRUE," ",(VLOOKUP(D54,'Base de Datos'!$C$7:$AU$400,6,0)))</f>
        <v>Adquirir a título de compra ejemplares del Directorio de Despachos Públicos de Colombia 2015, para el Concejo de Bogotá D.C.</v>
      </c>
      <c r="AN54" s="426" t="str">
        <f>IF(ISERROR(VLOOKUP(D54,'Base de Datos'!$C$7:$AU$400,20,0))=TRUE," ",(VLOOKUP(D54,'Base de Datos'!$C$7:$AU$400,19,0)))</f>
        <v/>
      </c>
      <c r="AO54" s="429">
        <f>IF(ISERROR(VLOOKUP(D54,'Base de Datos'!$C$7:$AU$400,9,0))=TRUE," ",(VLOOKUP(D54,'Base de Datos'!$C$7:$AU$400,9,0)))</f>
        <v>2015</v>
      </c>
      <c r="AP54" s="429">
        <f>IF(ISERROR(VLOOKUP(D54,'Base de Datos'!$C$7:$AU$400,10,0))=TRUE," ",(VLOOKUP(D54,'Base de Datos'!$C$7:$AU$400,10,0)))</f>
        <v>42080</v>
      </c>
      <c r="AQ54" s="431">
        <f>IF(ISERROR(VLOOKUP(D54,'Base de Datos'!$C$7:$AU$400,11,0))=TRUE," ",(VLOOKUP(D54,'Base de Datos'!$C$7:$AU$400,11,0)))</f>
        <v>42088</v>
      </c>
      <c r="AR54" s="432">
        <f>IF(ISERROR(VLOOKUP(D54,'Base de Datos'!$C$7:$AU$400,12,0))=TRUE," ",(VLOOKUP(D54,'Base de Datos'!$C$7:$AU$400,12,0)))</f>
        <v>42241</v>
      </c>
      <c r="AS54" s="431" t="str">
        <f>IF(ISERROR(VLOOKUP(D54,'Base de Datos'!$C$7:$AU$400,13,0))=TRUE," ",(VLOOKUP(D54,'Base de Datos'!$C$7:$AU$400,13,0)))</f>
        <v/>
      </c>
      <c r="AT54" s="431">
        <f>IF(ISERROR(VLOOKUP(D54,'Base de Datos'!$C$7:$AU$400,14,0))=TRUE," ",(VLOOKUP(D54,'Base de Datos'!$C$7:$AU$400,14,0)))</f>
        <v>0</v>
      </c>
      <c r="AU54" s="429">
        <f>IF(ISERROR(VLOOKUP(D54,'Base de Datos'!$C$7:$AU$400,16,0))=TRUE," ",(VLOOKUP(D54,'Base de Datos'!$C$7:$AU$400,16,0)))</f>
        <v>0</v>
      </c>
      <c r="AV54" s="433" t="str">
        <f>IF(ISERROR(VLOOKUP(D54,'Base de Datos'!$C$7:$AU$400,17,0))=TRUE," ",(VLOOKUP(D54,'Base de Datos'!$C$7:$AU$400,17,0)))</f>
        <v/>
      </c>
      <c r="AW54" s="433" t="str">
        <f>IF(ISERROR(VLOOKUP(D54,'Base de Datos'!$C$7:$AU$400,18,0))=TRUE," ",(VLOOKUP(D54,'Base de Datos'!$C$7:$AU$400,18,0)))</f>
        <v/>
      </c>
      <c r="AX54" s="433" t="str">
        <f>IF(ISERROR(VLOOKUP(D54,'Base de Datos'!$C$7:$AU$400,19,0))=TRUE," ",(VLOOKUP(D54,'Base de Datos'!$C$7:$AU$400,19,0)))</f>
        <v/>
      </c>
      <c r="AY54" s="436">
        <f>IF(ISERROR(VLOOKUP(D54,'Base de Datos'!$C$7:$AU$400,21,0))=TRUE," ",(VLOOKUP(D54,'Base de Datos'!$C$7:$AU$400,21,0)))</f>
        <v>42241</v>
      </c>
      <c r="AZ54" s="436">
        <f>IF(ISERROR(VLOOKUP(D54,'Base de Datos'!$C$7:$AU$400,22,0))=TRUE," ",(VLOOKUP(D54,'Base de Datos'!$C$7:$AU$400,22,0)))</f>
        <v>4100000</v>
      </c>
      <c r="BA54" s="443"/>
      <c r="BB54" s="453"/>
    </row>
    <row r="55" spans="2:54" ht="55.5" hidden="1" customHeight="1" x14ac:dyDescent="0.3">
      <c r="B55" s="406">
        <v>48</v>
      </c>
      <c r="C55" s="414" t="s">
        <v>1641</v>
      </c>
      <c r="D55" s="406">
        <v>144</v>
      </c>
      <c r="E55" s="414" t="s">
        <v>1652</v>
      </c>
      <c r="F55" s="415">
        <f>VLOOKUP(D55,'Presupuesto - PAA 2015'!$B$10:$E$265,4,0)</f>
        <v>936000</v>
      </c>
      <c r="G55" s="407" t="str">
        <f>VLOOKUP(D55,'[4]Seguimiento Plan'!$C$2:$R$101,16,0)</f>
        <v>Suscripción al diario el Espectador para el Concejo de Bogotá</v>
      </c>
      <c r="H55" s="407" t="s">
        <v>1775</v>
      </c>
      <c r="I55" s="407" t="s">
        <v>1713</v>
      </c>
      <c r="J55" s="416" t="s">
        <v>908</v>
      </c>
      <c r="K55" s="417" t="s">
        <v>390</v>
      </c>
      <c r="L55" s="417" t="s">
        <v>390</v>
      </c>
      <c r="M55" s="418">
        <v>42123</v>
      </c>
      <c r="N55" s="417"/>
      <c r="O55" s="419"/>
      <c r="P55" s="419"/>
      <c r="Q55" s="419"/>
      <c r="R55" s="420"/>
      <c r="S55" s="420"/>
      <c r="T55" s="319" t="s">
        <v>548</v>
      </c>
      <c r="U55" s="423" t="str">
        <f>IF(ISERROR(VLOOKUP(T55,'Base de Datos'!$E$7:$AU$302,3,0))=TRUE," ",(VLOOKUP(T55,'Base de Datos'!$E$7:$AU$302,2,0)))</f>
        <v>COMUNICAN S.A</v>
      </c>
      <c r="V55" s="426">
        <f>IF(ISERROR(VLOOKUP(T55,'Base de Datos'!$E$7:$AU$302,5,0))=TRUE," ",(VLOOKUP(T55,'Base de Datos'!$E$7:$AU$302,5,0)))</f>
        <v>936000</v>
      </c>
      <c r="W55" s="423">
        <f>IF(ISERROR(VLOOKUP(T55,'Base de Datos'!$E$7:$AU$302,19,0))=TRUE," ",(VLOOKUP(T55,'Base de Datos'!$E$7:$AU$302,19,0)))</f>
        <v>42258</v>
      </c>
      <c r="X55" s="428" t="str">
        <f>IF(ISERROR(VLOOKUP(T55,'Base de Datos'!$E$7:$AU$302,8,0))=TRUE," ",(VLOOKUP(T55,'Base de Datos'!$E$7:$AU$302,8,0)))</f>
        <v xml:space="preserve"> </v>
      </c>
      <c r="Y55" s="428">
        <f>IF(ISERROR(VLOOKUP(T55,'Base de Datos'!$E$7:$AU$302,9,0))=TRUE," ",(VLOOKUP(T55,'Base de Datos'!$E$7:$AU$302,9,0)))</f>
        <v>41893</v>
      </c>
      <c r="Z55" s="422">
        <f>IF(ISERROR(VLOOKUP(T55,'Base de Datos'!$E$7:$AU$302,10,0))=TRUE," ",(VLOOKUP(T55,'Base de Datos'!$E$7:$AU$302,10,0)))</f>
        <v>42258</v>
      </c>
      <c r="AA55" s="425" t="str">
        <f>IF(ISERROR(VLOOKUP(T55,'Base de Datos'!$E$7:$AU$302,11,0))=TRUE," ",(VLOOKUP(T55,'Base de Datos'!$E$7:$AU$302,11,0)))</f>
        <v/>
      </c>
      <c r="AB55" s="422">
        <f>IF(ISERROR(VLOOKUP(T55,'Base de Datos'!$E$7:$AU$302,12,0))=TRUE," ",(VLOOKUP(T55,'Base de Datos'!$E$7:$AU$302,12,0)))</f>
        <v>0</v>
      </c>
      <c r="AC55" s="422">
        <f>IF(ISERROR(VLOOKUP(T55,'Base de Datos'!$E$7:$AU$302,12,0))=TRUE," ",(VLOOKUP(T55,'Base de Datos'!$E$7:$AU$302,12,0)))</f>
        <v>0</v>
      </c>
      <c r="AD55" s="428" t="str">
        <f>IF(ISERROR(VLOOKUP(T55,'Base de Datos'!$E$7:$AU$302,15,0))=TRUE," ",(VLOOKUP(T55,'Base de Datos'!$E$7:$AU$302,15,0)))</f>
        <v/>
      </c>
      <c r="AE55" s="433" t="str">
        <f>IF(ISERROR(VLOOKUP(T55,'Base de Datos'!$E$7:$AU$302,16,0))=TRUE," ",(VLOOKUP(T55,'Base de Datos'!$E$7:$AU$302,16,0)))</f>
        <v/>
      </c>
      <c r="AF55" s="433" t="str">
        <f>IF(ISERROR(VLOOKUP(T55,'Base de Datos'!$E$7:$AU$302,17,0))=TRUE," ",(VLOOKUP(T55,'Base de Datos'!$E$7:$AU$302,17,0)))</f>
        <v/>
      </c>
      <c r="AG55" s="433" t="str">
        <f>IF(ISERROR(VLOOKUP(T55,'Base de Datos'!$E$7:$AU$302,18,0))=TRUE," ",(VLOOKUP(T55,'Base de Datos'!$E$7:$AU$302,18,0)))</f>
        <v/>
      </c>
      <c r="AH55" s="434">
        <f>IF(ISERROR(VLOOKUP(T55,'Base de Datos'!$E$7:$AU$302,20,0))=TRUE," ",(VLOOKUP(T55,'Base de Datos'!$E$7:$AU$302,20,0)))</f>
        <v>936000</v>
      </c>
      <c r="AI55" s="434">
        <f>IF(ISERROR(VLOOKUP(T55,'Base de Datos'!$E$7:$AU$302,21,0))=TRUE," ",(VLOOKUP(T55,'Base de Datos'!$E$7:$AU$302,21,0)))</f>
        <v>936000</v>
      </c>
      <c r="AJ55" s="423"/>
      <c r="AK55" s="423" t="str">
        <f>IF(ISERROR(VLOOKUP(D55,'Base de Datos'!$C$7:$AU$400,2,0))=TRUE," ",(VLOOKUP(D55,'Base de Datos'!$C$7:$AU$400,2,0)))</f>
        <v>2015144</v>
      </c>
      <c r="AL55" s="423" t="str">
        <f>IF(ISERROR(VLOOKUP(D55,'Base de Datos'!$C$7:$AU$400,3,0))=TRUE," ",(VLOOKUP(D55,'Base de Datos'!$C$7:$AU$400,3,0)))</f>
        <v>150330-0-2015</v>
      </c>
      <c r="AM55" s="426" t="str">
        <f>IF(ISERROR(VLOOKUP(D55,'Base de Datos'!$C$7:$AU$3761,6,0))=TRUE," ",(VLOOKUP(D55,'Base de Datos'!$C$7:$AU$400,6,0)))</f>
        <v xml:space="preserve">Suscripción al DIARIO EL ESPECTADOR, para el Concejo de Bogotá D.C. </v>
      </c>
      <c r="AN55" s="426" t="str">
        <f>IF(ISERROR(VLOOKUP(D55,'Base de Datos'!$C$7:$AU$400,20,0))=TRUE," ",(VLOOKUP(D55,'Base de Datos'!$C$7:$AU$400,19,0)))</f>
        <v/>
      </c>
      <c r="AO55" s="429">
        <f>IF(ISERROR(VLOOKUP(D55,'Base de Datos'!$C$7:$AU$400,9,0))=TRUE," ",(VLOOKUP(D55,'Base de Datos'!$C$7:$AU$400,9,0)))</f>
        <v>2015</v>
      </c>
      <c r="AP55" s="429">
        <f>IF(ISERROR(VLOOKUP(D55,'Base de Datos'!$C$7:$AU$400,10,0))=TRUE," ",(VLOOKUP(D55,'Base de Datos'!$C$7:$AU$400,10,0)))</f>
        <v>42220</v>
      </c>
      <c r="AQ55" s="431">
        <f>IF(ISERROR(VLOOKUP(D55,'Base de Datos'!$C$7:$AU$400,11,0))=TRUE," ",(VLOOKUP(D55,'Base de Datos'!$C$7:$AU$400,11,0)))</f>
        <v>42261</v>
      </c>
      <c r="AR55" s="432">
        <f>IF(ISERROR(VLOOKUP(D55,'Base de Datos'!$C$7:$AU$400,12,0))=TRUE," ",(VLOOKUP(D55,'Base de Datos'!$C$7:$AU$400,12,0)))</f>
        <v>42627</v>
      </c>
      <c r="AS55" s="431" t="str">
        <f>IF(ISERROR(VLOOKUP(D55,'Base de Datos'!$C$7:$AU$400,13,0))=TRUE," ",(VLOOKUP(D55,'Base de Datos'!$C$7:$AU$400,13,0)))</f>
        <v/>
      </c>
      <c r="AT55" s="431">
        <f>IF(ISERROR(VLOOKUP(D55,'Base de Datos'!$C$7:$AU$400,14,0))=TRUE," ",(VLOOKUP(D55,'Base de Datos'!$C$7:$AU$400,14,0)))</f>
        <v>0</v>
      </c>
      <c r="AU55" s="429">
        <f>IF(ISERROR(VLOOKUP(D55,'Base de Datos'!$C$7:$AU$400,16,0))=TRUE," ",(VLOOKUP(D55,'Base de Datos'!$C$7:$AU$400,16,0)))</f>
        <v>0</v>
      </c>
      <c r="AV55" s="433" t="str">
        <f>IF(ISERROR(VLOOKUP(D55,'Base de Datos'!$C$7:$AU$400,17,0))=TRUE," ",(VLOOKUP(D55,'Base de Datos'!$C$7:$AU$400,17,0)))</f>
        <v/>
      </c>
      <c r="AW55" s="433" t="str">
        <f>IF(ISERROR(VLOOKUP(D55,'Base de Datos'!$C$7:$AU$400,18,0))=TRUE," ",(VLOOKUP(D55,'Base de Datos'!$C$7:$AU$400,18,0)))</f>
        <v/>
      </c>
      <c r="AX55" s="433" t="str">
        <f>IF(ISERROR(VLOOKUP(D55,'Base de Datos'!$C$7:$AU$400,19,0))=TRUE," ",(VLOOKUP(D55,'Base de Datos'!$C$7:$AU$400,19,0)))</f>
        <v/>
      </c>
      <c r="AY55" s="436">
        <f>IF(ISERROR(VLOOKUP(D55,'Base de Datos'!$C$7:$AU$400,21,0))=TRUE," ",(VLOOKUP(D55,'Base de Datos'!$C$7:$AU$400,21,0)))</f>
        <v>42627</v>
      </c>
      <c r="AZ55" s="436">
        <f>IF(ISERROR(VLOOKUP(D55,'Base de Datos'!$C$7:$AU$400,22,0))=TRUE," ",(VLOOKUP(D55,'Base de Datos'!$C$7:$AU$400,22,0)))</f>
        <v>936000</v>
      </c>
      <c r="BA55" s="443"/>
      <c r="BB55" s="453"/>
    </row>
    <row r="56" spans="2:54" ht="55.5" hidden="1" customHeight="1" x14ac:dyDescent="0.3">
      <c r="B56" s="406">
        <v>49</v>
      </c>
      <c r="C56" s="414" t="s">
        <v>1641</v>
      </c>
      <c r="D56" s="406">
        <v>145</v>
      </c>
      <c r="E56" s="414" t="s">
        <v>1652</v>
      </c>
      <c r="F56" s="415">
        <f>VLOOKUP(D56,'Presupuesto - PAA 2015'!$B$10:$E$265,4,0)</f>
        <v>764100</v>
      </c>
      <c r="G56" s="407" t="str">
        <f>VLOOKUP(D56,'[4]Seguimiento Plan'!$C$2:$R$101,16,0)</f>
        <v>Suscripción al diario La República para el Concejo de Bogotá.-</v>
      </c>
      <c r="H56" s="407" t="s">
        <v>1775</v>
      </c>
      <c r="I56" s="407" t="s">
        <v>1713</v>
      </c>
      <c r="J56" s="416" t="s">
        <v>908</v>
      </c>
      <c r="K56" s="417" t="s">
        <v>390</v>
      </c>
      <c r="L56" s="417" t="s">
        <v>390</v>
      </c>
      <c r="M56" s="418">
        <v>42123</v>
      </c>
      <c r="N56" s="417"/>
      <c r="O56" s="419"/>
      <c r="P56" s="419"/>
      <c r="Q56" s="419"/>
      <c r="R56" s="420"/>
      <c r="S56" s="420"/>
      <c r="T56" s="324" t="s">
        <v>1353</v>
      </c>
      <c r="U56" s="423" t="str">
        <f>IF(ISERROR(VLOOKUP(T56,'Base de Datos'!$E$7:$AU$302,3,0))=TRUE," ",(VLOOKUP(T56,'Base de Datos'!$E$7:$AU$302,2,0)))</f>
        <v>EDITORIAL EL GLOBO S.A</v>
      </c>
      <c r="V56" s="426">
        <f>IF(ISERROR(VLOOKUP(T56,'Base de Datos'!$E$7:$AU$302,5,0))=TRUE," ",(VLOOKUP(T56,'Base de Datos'!$E$7:$AU$302,5,0)))</f>
        <v>764100</v>
      </c>
      <c r="W56" s="423">
        <f>IF(ISERROR(VLOOKUP(T56,'Base de Datos'!$E$7:$AU$302,19,0))=TRUE," ",(VLOOKUP(T56,'Base de Datos'!$E$7:$AU$302,19,0)))</f>
        <v>42335</v>
      </c>
      <c r="X56" s="428" t="str">
        <f>IF(ISERROR(VLOOKUP(T56,'Base de Datos'!$E$7:$AU$302,8,0))=TRUE," ",(VLOOKUP(T56,'Base de Datos'!$E$7:$AU$302,8,0)))</f>
        <v xml:space="preserve"> </v>
      </c>
      <c r="Y56" s="428">
        <f>IF(ISERROR(VLOOKUP(T56,'Base de Datos'!$E$7:$AU$302,9,0))=TRUE," ",(VLOOKUP(T56,'Base de Datos'!$E$7:$AU$302,9,0)))</f>
        <v>41970</v>
      </c>
      <c r="Z56" s="422">
        <f>IF(ISERROR(VLOOKUP(T56,'Base de Datos'!$E$7:$AU$302,10,0))=TRUE," ",(VLOOKUP(T56,'Base de Datos'!$E$7:$AU$302,10,0)))</f>
        <v>42335</v>
      </c>
      <c r="AA56" s="425" t="str">
        <f>IF(ISERROR(VLOOKUP(T56,'Base de Datos'!$E$7:$AU$302,11,0))=TRUE," ",(VLOOKUP(T56,'Base de Datos'!$E$7:$AU$302,11,0)))</f>
        <v/>
      </c>
      <c r="AB56" s="422">
        <f>IF(ISERROR(VLOOKUP(T56,'Base de Datos'!$E$7:$AU$302,12,0))=TRUE," ",(VLOOKUP(T56,'Base de Datos'!$E$7:$AU$302,12,0)))</f>
        <v>0</v>
      </c>
      <c r="AC56" s="422">
        <f>IF(ISERROR(VLOOKUP(T56,'Base de Datos'!$E$7:$AU$302,12,0))=TRUE," ",(VLOOKUP(T56,'Base de Datos'!$E$7:$AU$302,12,0)))</f>
        <v>0</v>
      </c>
      <c r="AD56" s="428" t="str">
        <f>IF(ISERROR(VLOOKUP(T56,'Base de Datos'!$E$7:$AU$302,15,0))=TRUE," ",(VLOOKUP(T56,'Base de Datos'!$E$7:$AU$302,15,0)))</f>
        <v/>
      </c>
      <c r="AE56" s="433" t="str">
        <f>IF(ISERROR(VLOOKUP(T56,'Base de Datos'!$E$7:$AU$302,16,0))=TRUE," ",(VLOOKUP(T56,'Base de Datos'!$E$7:$AU$302,16,0)))</f>
        <v/>
      </c>
      <c r="AF56" s="433" t="str">
        <f>IF(ISERROR(VLOOKUP(T56,'Base de Datos'!$E$7:$AU$302,17,0))=TRUE," ",(VLOOKUP(T56,'Base de Datos'!$E$7:$AU$302,17,0)))</f>
        <v/>
      </c>
      <c r="AG56" s="433" t="str">
        <f>IF(ISERROR(VLOOKUP(T56,'Base de Datos'!$E$7:$AU$302,18,0))=TRUE," ",(VLOOKUP(T56,'Base de Datos'!$E$7:$AU$302,18,0)))</f>
        <v/>
      </c>
      <c r="AH56" s="434">
        <f>IF(ISERROR(VLOOKUP(T56,'Base de Datos'!$E$7:$AU$302,20,0))=TRUE," ",(VLOOKUP(T56,'Base de Datos'!$E$7:$AU$302,20,0)))</f>
        <v>764100</v>
      </c>
      <c r="AI56" s="434">
        <f>IF(ISERROR(VLOOKUP(T56,'Base de Datos'!$E$7:$AU$302,21,0))=TRUE," ",(VLOOKUP(T56,'Base de Datos'!$E$7:$AU$302,21,0)))</f>
        <v>764100</v>
      </c>
      <c r="AJ56" s="423"/>
      <c r="AK56" s="423" t="str">
        <f>IF(ISERROR(VLOOKUP(D56,'Base de Datos'!$C$7:$AU$400,2,0))=TRUE," ",(VLOOKUP(D56,'Base de Datos'!$C$7:$AU$400,2,0)))</f>
        <v>2015145</v>
      </c>
      <c r="AL56" s="423" t="str">
        <f>IF(ISERROR(VLOOKUP(D56,'Base de Datos'!$C$7:$AU$400,3,0))=TRUE," ",(VLOOKUP(D56,'Base de Datos'!$C$7:$AU$400,3,0)))</f>
        <v>150363-0-2015</v>
      </c>
      <c r="AM56" s="426" t="str">
        <f>IF(ISERROR(VLOOKUP(D56,'Base de Datos'!$C$7:$AU$3761,6,0))=TRUE," ",(VLOOKUP(D56,'Base de Datos'!$C$7:$AU$400,6,0)))</f>
        <v>Suscripción al diario La República para el Concejo de Bogotá D.C.</v>
      </c>
      <c r="AN56" s="426" t="str">
        <f>IF(ISERROR(VLOOKUP(D56,'Base de Datos'!$C$7:$AU$400,20,0))=TRUE," ",(VLOOKUP(D56,'Base de Datos'!$C$7:$AU$400,19,0)))</f>
        <v/>
      </c>
      <c r="AO56" s="429">
        <f>IF(ISERROR(VLOOKUP(D56,'Base de Datos'!$C$7:$AU$400,9,0))=TRUE," ",(VLOOKUP(D56,'Base de Datos'!$C$7:$AU$400,9,0)))</f>
        <v>2015</v>
      </c>
      <c r="AP56" s="429">
        <f>IF(ISERROR(VLOOKUP(D56,'Base de Datos'!$C$7:$AU$400,10,0))=TRUE," ",(VLOOKUP(D56,'Base de Datos'!$C$7:$AU$400,10,0)))</f>
        <v>42272</v>
      </c>
      <c r="AQ56" s="431">
        <f>IF(ISERROR(VLOOKUP(D56,'Base de Datos'!$C$7:$AU$400,11,0))=TRUE," ",(VLOOKUP(D56,'Base de Datos'!$C$7:$AU$400,11,0)))</f>
        <v>42336</v>
      </c>
      <c r="AR56" s="432">
        <f>IF(ISERROR(VLOOKUP(D56,'Base de Datos'!$C$7:$AU$400,12,0))=TRUE," ",(VLOOKUP(D56,'Base de Datos'!$C$7:$AU$400,12,0)))</f>
        <v>42702</v>
      </c>
      <c r="AS56" s="431" t="str">
        <f>IF(ISERROR(VLOOKUP(D56,'Base de Datos'!$C$7:$AU$400,13,0))=TRUE," ",(VLOOKUP(D56,'Base de Datos'!$C$7:$AU$400,13,0)))</f>
        <v/>
      </c>
      <c r="AT56" s="431">
        <f>IF(ISERROR(VLOOKUP(D56,'Base de Datos'!$C$7:$AU$400,14,0))=TRUE," ",(VLOOKUP(D56,'Base de Datos'!$C$7:$AU$400,14,0)))</f>
        <v>0</v>
      </c>
      <c r="AU56" s="429">
        <f>IF(ISERROR(VLOOKUP(D56,'Base de Datos'!$C$7:$AU$400,16,0))=TRUE," ",(VLOOKUP(D56,'Base de Datos'!$C$7:$AU$400,16,0)))</f>
        <v>0</v>
      </c>
      <c r="AV56" s="433" t="str">
        <f>IF(ISERROR(VLOOKUP(D56,'Base de Datos'!$C$7:$AU$400,17,0))=TRUE," ",(VLOOKUP(D56,'Base de Datos'!$C$7:$AU$400,17,0)))</f>
        <v/>
      </c>
      <c r="AW56" s="433" t="str">
        <f>IF(ISERROR(VLOOKUP(D56,'Base de Datos'!$C$7:$AU$400,18,0))=TRUE," ",(VLOOKUP(D56,'Base de Datos'!$C$7:$AU$400,18,0)))</f>
        <v/>
      </c>
      <c r="AX56" s="433" t="str">
        <f>IF(ISERROR(VLOOKUP(D56,'Base de Datos'!$C$7:$AU$400,19,0))=TRUE," ",(VLOOKUP(D56,'Base de Datos'!$C$7:$AU$400,19,0)))</f>
        <v/>
      </c>
      <c r="AY56" s="436">
        <f>IF(ISERROR(VLOOKUP(D56,'Base de Datos'!$C$7:$AU$400,21,0))=TRUE," ",(VLOOKUP(D56,'Base de Datos'!$C$7:$AU$400,21,0)))</f>
        <v>42702</v>
      </c>
      <c r="AZ56" s="436">
        <f>IF(ISERROR(VLOOKUP(D56,'Base de Datos'!$C$7:$AU$400,22,0))=TRUE," ",(VLOOKUP(D56,'Base de Datos'!$C$7:$AU$400,22,0)))</f>
        <v>764100</v>
      </c>
      <c r="BA56" s="443"/>
      <c r="BB56" s="453"/>
    </row>
    <row r="57" spans="2:54" ht="55.5" hidden="1" customHeight="1" x14ac:dyDescent="0.3">
      <c r="B57" s="406">
        <v>50</v>
      </c>
      <c r="C57" s="414" t="s">
        <v>1641</v>
      </c>
      <c r="D57" s="406">
        <v>146</v>
      </c>
      <c r="E57" s="414" t="s">
        <v>1652</v>
      </c>
      <c r="F57" s="415">
        <f>VLOOKUP(D57,'Presupuesto - PAA 2015'!$B$10:$E$265,4,0)</f>
        <v>825000</v>
      </c>
      <c r="G57" s="407" t="str">
        <f>VLOOKUP(D57,'[4]Seguimiento Plan'!$C$2:$R$101,16,0)</f>
        <v>Suscripción a la Revista Semana para el Concejo de Bogotá</v>
      </c>
      <c r="H57" s="407" t="s">
        <v>1775</v>
      </c>
      <c r="I57" s="407" t="s">
        <v>1713</v>
      </c>
      <c r="J57" s="416" t="s">
        <v>908</v>
      </c>
      <c r="K57" s="417"/>
      <c r="L57" s="417" t="s">
        <v>390</v>
      </c>
      <c r="M57" s="418"/>
      <c r="N57" s="417"/>
      <c r="O57" s="419"/>
      <c r="P57" s="419"/>
      <c r="Q57" s="419"/>
      <c r="R57" s="420"/>
      <c r="S57" s="420"/>
      <c r="T57" s="319" t="s">
        <v>1154</v>
      </c>
      <c r="U57" s="423" t="str">
        <f>IF(ISERROR(VLOOKUP(T57,'Base de Datos'!$E$7:$AU$302,3,0))=TRUE," ",(VLOOKUP(T57,'Base de Datos'!$E$7:$AU$302,2,0)))</f>
        <v>PUBLICACIONES SEMANA S.A.</v>
      </c>
      <c r="V57" s="426">
        <f>IF(ISERROR(VLOOKUP(T57,'Base de Datos'!$E$7:$AU$302,5,0))=TRUE," ",(VLOOKUP(T57,'Base de Datos'!$E$7:$AU$302,5,0)))</f>
        <v>807000</v>
      </c>
      <c r="W57" s="423">
        <f>IF(ISERROR(VLOOKUP(T57,'Base de Datos'!$E$7:$AU$302,19,0))=TRUE," ",(VLOOKUP(T57,'Base de Datos'!$E$7:$AU$302,19,0)))</f>
        <v>42277</v>
      </c>
      <c r="X57" s="428" t="str">
        <f>IF(ISERROR(VLOOKUP(T57,'Base de Datos'!$E$7:$AU$302,8,0))=TRUE," ",(VLOOKUP(T57,'Base de Datos'!$E$7:$AU$302,8,0)))</f>
        <v xml:space="preserve"> </v>
      </c>
      <c r="Y57" s="428">
        <f>IF(ISERROR(VLOOKUP(T57,'Base de Datos'!$E$7:$AU$302,9,0))=TRUE," ",(VLOOKUP(T57,'Base de Datos'!$E$7:$AU$302,9,0)))</f>
        <v>41912</v>
      </c>
      <c r="Z57" s="422">
        <f>IF(ISERROR(VLOOKUP(T57,'Base de Datos'!$E$7:$AU$302,10,0))=TRUE," ",(VLOOKUP(T57,'Base de Datos'!$E$7:$AU$302,10,0)))</f>
        <v>42277</v>
      </c>
      <c r="AA57" s="425" t="str">
        <f>IF(ISERROR(VLOOKUP(T57,'Base de Datos'!$E$7:$AU$302,11,0))=TRUE," ",(VLOOKUP(T57,'Base de Datos'!$E$7:$AU$302,11,0)))</f>
        <v/>
      </c>
      <c r="AB57" s="422">
        <f>IF(ISERROR(VLOOKUP(T57,'Base de Datos'!$E$7:$AU$302,12,0))=TRUE," ",(VLOOKUP(T57,'Base de Datos'!$E$7:$AU$302,12,0)))</f>
        <v>0</v>
      </c>
      <c r="AC57" s="422">
        <f>IF(ISERROR(VLOOKUP(T57,'Base de Datos'!$E$7:$AU$302,12,0))=TRUE," ",(VLOOKUP(T57,'Base de Datos'!$E$7:$AU$302,12,0)))</f>
        <v>0</v>
      </c>
      <c r="AD57" s="428" t="str">
        <f>IF(ISERROR(VLOOKUP(T57,'Base de Datos'!$E$7:$AU$302,15,0))=TRUE," ",(VLOOKUP(T57,'Base de Datos'!$E$7:$AU$302,15,0)))</f>
        <v/>
      </c>
      <c r="AE57" s="433" t="str">
        <f>IF(ISERROR(VLOOKUP(T57,'Base de Datos'!$E$7:$AU$302,16,0))=TRUE," ",(VLOOKUP(T57,'Base de Datos'!$E$7:$AU$302,16,0)))</f>
        <v/>
      </c>
      <c r="AF57" s="433" t="str">
        <f>IF(ISERROR(VLOOKUP(T57,'Base de Datos'!$E$7:$AU$302,17,0))=TRUE," ",(VLOOKUP(T57,'Base de Datos'!$E$7:$AU$302,17,0)))</f>
        <v/>
      </c>
      <c r="AG57" s="433" t="str">
        <f>IF(ISERROR(VLOOKUP(T57,'Base de Datos'!$E$7:$AU$302,18,0))=TRUE," ",(VLOOKUP(T57,'Base de Datos'!$E$7:$AU$302,18,0)))</f>
        <v/>
      </c>
      <c r="AH57" s="434">
        <f>IF(ISERROR(VLOOKUP(T57,'Base de Datos'!$E$7:$AU$302,20,0))=TRUE," ",(VLOOKUP(T57,'Base de Datos'!$E$7:$AU$302,20,0)))</f>
        <v>807000</v>
      </c>
      <c r="AI57" s="434">
        <f>IF(ISERROR(VLOOKUP(T57,'Base de Datos'!$E$7:$AU$302,21,0))=TRUE," ",(VLOOKUP(T57,'Base de Datos'!$E$7:$AU$302,21,0)))</f>
        <v>807000</v>
      </c>
      <c r="AJ57" s="423"/>
      <c r="AK57" s="423" t="str">
        <f>IF(ISERROR(VLOOKUP(D57,'Base de Datos'!$C$7:$AU$400,2,0))=TRUE," ",(VLOOKUP(D57,'Base de Datos'!$C$7:$AU$400,2,0)))</f>
        <v>2015146</v>
      </c>
      <c r="AL57" s="423" t="str">
        <f>IF(ISERROR(VLOOKUP(D57,'Base de Datos'!$C$7:$AU$400,3,0))=TRUE," ",(VLOOKUP(D57,'Base de Datos'!$C$7:$AU$400,3,0)))</f>
        <v>150342-0-2015</v>
      </c>
      <c r="AM57" s="426" t="str">
        <f>IF(ISERROR(VLOOKUP(D57,'Base de Datos'!$C$7:$AU$3761,6,0))=TRUE," ",(VLOOKUP(D57,'Base de Datos'!$C$7:$AU$400,6,0)))</f>
        <v>Suscripción  a LA REVISTA SEMANA, para el Concejo de Bogotá D.C.</v>
      </c>
      <c r="AN57" s="426" t="str">
        <f>IF(ISERROR(VLOOKUP(D57,'Base de Datos'!$C$7:$AU$400,20,0))=TRUE," ",(VLOOKUP(D57,'Base de Datos'!$C$7:$AU$400,19,0)))</f>
        <v/>
      </c>
      <c r="AO57" s="429">
        <f>IF(ISERROR(VLOOKUP(D57,'Base de Datos'!$C$7:$AU$400,9,0))=TRUE," ",(VLOOKUP(D57,'Base de Datos'!$C$7:$AU$400,9,0)))</f>
        <v>2015</v>
      </c>
      <c r="AP57" s="429">
        <f>IF(ISERROR(VLOOKUP(D57,'Base de Datos'!$C$7:$AU$400,10,0))=TRUE," ",(VLOOKUP(D57,'Base de Datos'!$C$7:$AU$400,10,0)))</f>
        <v>42237</v>
      </c>
      <c r="AQ57" s="431">
        <f>IF(ISERROR(VLOOKUP(D57,'Base de Datos'!$C$7:$AU$400,11,0))=TRUE," ",(VLOOKUP(D57,'Base de Datos'!$C$7:$AU$400,11,0)))</f>
        <v>42278</v>
      </c>
      <c r="AR57" s="432">
        <f>IF(ISERROR(VLOOKUP(D57,'Base de Datos'!$C$7:$AU$400,12,0))=TRUE," ",(VLOOKUP(D57,'Base de Datos'!$C$7:$AU$400,12,0)))</f>
        <v>42644</v>
      </c>
      <c r="AS57" s="431" t="str">
        <f>IF(ISERROR(VLOOKUP(D57,'Base de Datos'!$C$7:$AU$400,13,0))=TRUE," ",(VLOOKUP(D57,'Base de Datos'!$C$7:$AU$400,13,0)))</f>
        <v/>
      </c>
      <c r="AT57" s="431">
        <f>IF(ISERROR(VLOOKUP(D57,'Base de Datos'!$C$7:$AU$400,14,0))=TRUE," ",(VLOOKUP(D57,'Base de Datos'!$C$7:$AU$400,14,0)))</f>
        <v>0</v>
      </c>
      <c r="AU57" s="429">
        <f>IF(ISERROR(VLOOKUP(D57,'Base de Datos'!$C$7:$AU$400,16,0))=TRUE," ",(VLOOKUP(D57,'Base de Datos'!$C$7:$AU$400,16,0)))</f>
        <v>0</v>
      </c>
      <c r="AV57" s="433" t="str">
        <f>IF(ISERROR(VLOOKUP(D57,'Base de Datos'!$C$7:$AU$400,17,0))=TRUE," ",(VLOOKUP(D57,'Base de Datos'!$C$7:$AU$400,17,0)))</f>
        <v/>
      </c>
      <c r="AW57" s="433" t="str">
        <f>IF(ISERROR(VLOOKUP(D57,'Base de Datos'!$C$7:$AU$400,18,0))=TRUE," ",(VLOOKUP(D57,'Base de Datos'!$C$7:$AU$400,18,0)))</f>
        <v/>
      </c>
      <c r="AX57" s="433" t="str">
        <f>IF(ISERROR(VLOOKUP(D57,'Base de Datos'!$C$7:$AU$400,19,0))=TRUE," ",(VLOOKUP(D57,'Base de Datos'!$C$7:$AU$400,19,0)))</f>
        <v/>
      </c>
      <c r="AY57" s="436">
        <f>IF(ISERROR(VLOOKUP(D57,'Base de Datos'!$C$7:$AU$400,21,0))=TRUE," ",(VLOOKUP(D57,'Base de Datos'!$C$7:$AU$400,21,0)))</f>
        <v>42644</v>
      </c>
      <c r="AZ57" s="436">
        <f>IF(ISERROR(VLOOKUP(D57,'Base de Datos'!$C$7:$AU$400,22,0))=TRUE," ",(VLOOKUP(D57,'Base de Datos'!$C$7:$AU$400,22,0)))</f>
        <v>825000</v>
      </c>
      <c r="BA57" s="443"/>
      <c r="BB57" s="453"/>
    </row>
    <row r="58" spans="2:54" ht="55.5" hidden="1" customHeight="1" x14ac:dyDescent="0.3">
      <c r="B58" s="406">
        <v>51</v>
      </c>
      <c r="C58" s="414" t="s">
        <v>1641</v>
      </c>
      <c r="D58" s="406">
        <v>147</v>
      </c>
      <c r="E58" s="414" t="s">
        <v>1652</v>
      </c>
      <c r="F58" s="415">
        <f>VLOOKUP(D58,'Presupuesto - PAA 2015'!$B$10:$E$265,4,0)</f>
        <v>0</v>
      </c>
      <c r="G58" s="407" t="str">
        <f>VLOOKUP(D58,'[4]Seguimiento Plan'!$C$2:$R$101,16,0)</f>
        <v>Suscripción al diario Periódico de Bogotá para el Concejo de Bogotá</v>
      </c>
      <c r="H58" s="407" t="s">
        <v>1775</v>
      </c>
      <c r="I58" s="407" t="s">
        <v>1713</v>
      </c>
      <c r="J58" s="416" t="s">
        <v>908</v>
      </c>
      <c r="K58" s="417"/>
      <c r="L58" s="417" t="s">
        <v>590</v>
      </c>
      <c r="M58" s="418"/>
      <c r="N58" s="417"/>
      <c r="O58" s="419"/>
      <c r="P58" s="419"/>
      <c r="Q58" s="419"/>
      <c r="R58" s="420"/>
      <c r="S58" s="420"/>
      <c r="T58" s="318" t="s">
        <v>1328</v>
      </c>
      <c r="U58" s="423" t="str">
        <f>IF(ISERROR(VLOOKUP(T58,'Base de Datos'!$E$7:$AU$302,3,0))=TRUE," ",(VLOOKUP(T58,'Base de Datos'!$E$7:$AU$302,2,0)))</f>
        <v>GRUPO EDITORIAL EL PERIÓDICO S.A.S</v>
      </c>
      <c r="V58" s="426">
        <f>IF(ISERROR(VLOOKUP(T58,'Base de Datos'!$E$7:$AU$302,5,0))=TRUE," ",(VLOOKUP(T58,'Base de Datos'!$E$7:$AU$302,5,0)))</f>
        <v>810000</v>
      </c>
      <c r="W58" s="423">
        <f>IF(ISERROR(VLOOKUP(T58,'Base de Datos'!$E$7:$AU$302,19,0))=TRUE," ",(VLOOKUP(T58,'Base de Datos'!$E$7:$AU$302,19,0)))</f>
        <v>42305</v>
      </c>
      <c r="X58" s="428" t="str">
        <f>IF(ISERROR(VLOOKUP(T58,'Base de Datos'!$E$7:$AU$302,8,0))=TRUE," ",(VLOOKUP(T58,'Base de Datos'!$E$7:$AU$302,8,0)))</f>
        <v xml:space="preserve"> </v>
      </c>
      <c r="Y58" s="428">
        <f>IF(ISERROR(VLOOKUP(T58,'Base de Datos'!$E$7:$AU$302,9,0))=TRUE," ",(VLOOKUP(T58,'Base de Datos'!$E$7:$AU$302,9,0)))</f>
        <v>41940</v>
      </c>
      <c r="Z58" s="422">
        <f>IF(ISERROR(VLOOKUP(T58,'Base de Datos'!$E$7:$AU$302,10,0))=TRUE," ",(VLOOKUP(T58,'Base de Datos'!$E$7:$AU$302,10,0)))</f>
        <v>42305</v>
      </c>
      <c r="AA58" s="425" t="str">
        <f>IF(ISERROR(VLOOKUP(T58,'Base de Datos'!$E$7:$AU$302,11,0))=TRUE," ",(VLOOKUP(T58,'Base de Datos'!$E$7:$AU$302,11,0)))</f>
        <v/>
      </c>
      <c r="AB58" s="422">
        <f>IF(ISERROR(VLOOKUP(T58,'Base de Datos'!$E$7:$AU$302,12,0))=TRUE," ",(VLOOKUP(T58,'Base de Datos'!$E$7:$AU$302,12,0)))</f>
        <v>0</v>
      </c>
      <c r="AC58" s="422">
        <f>IF(ISERROR(VLOOKUP(T58,'Base de Datos'!$E$7:$AU$302,12,0))=TRUE," ",(VLOOKUP(T58,'Base de Datos'!$E$7:$AU$302,12,0)))</f>
        <v>0</v>
      </c>
      <c r="AD58" s="428" t="str">
        <f>IF(ISERROR(VLOOKUP(T58,'Base de Datos'!$E$7:$AU$302,15,0))=TRUE," ",(VLOOKUP(T58,'Base de Datos'!$E$7:$AU$302,15,0)))</f>
        <v/>
      </c>
      <c r="AE58" s="433" t="str">
        <f>IF(ISERROR(VLOOKUP(T58,'Base de Datos'!$E$7:$AU$302,16,0))=TRUE," ",(VLOOKUP(T58,'Base de Datos'!$E$7:$AU$302,16,0)))</f>
        <v/>
      </c>
      <c r="AF58" s="433" t="str">
        <f>IF(ISERROR(VLOOKUP(T58,'Base de Datos'!$E$7:$AU$302,17,0))=TRUE," ",(VLOOKUP(T58,'Base de Datos'!$E$7:$AU$302,17,0)))</f>
        <v/>
      </c>
      <c r="AG58" s="433" t="str">
        <f>IF(ISERROR(VLOOKUP(T58,'Base de Datos'!$E$7:$AU$302,18,0))=TRUE," ",(VLOOKUP(T58,'Base de Datos'!$E$7:$AU$302,18,0)))</f>
        <v/>
      </c>
      <c r="AH58" s="434">
        <f>IF(ISERROR(VLOOKUP(T58,'Base de Datos'!$E$7:$AU$302,20,0))=TRUE," ",(VLOOKUP(T58,'Base de Datos'!$E$7:$AU$302,20,0)))</f>
        <v>810000</v>
      </c>
      <c r="AI58" s="434">
        <f>IF(ISERROR(VLOOKUP(T58,'Base de Datos'!$E$7:$AU$302,21,0))=TRUE," ",(VLOOKUP(T58,'Base de Datos'!$E$7:$AU$302,21,0)))</f>
        <v>810000</v>
      </c>
      <c r="AJ58" s="423"/>
      <c r="AK58" s="423" t="str">
        <f>IF(ISERROR(VLOOKUP(D58,'Base de Datos'!$C$7:$AU$400,2,0))=TRUE," ",(VLOOKUP(D58,'Base de Datos'!$C$7:$AU$400,2,0)))</f>
        <v xml:space="preserve"> </v>
      </c>
      <c r="AL58" s="423" t="str">
        <f>IF(ISERROR(VLOOKUP(D58,'Base de Datos'!$C$7:$AU$400,3,0))=TRUE," ",(VLOOKUP(D58,'Base de Datos'!$C$7:$AU$400,3,0)))</f>
        <v xml:space="preserve"> </v>
      </c>
      <c r="AM58" s="426" t="e">
        <f>IF(ISERROR(VLOOKUP(D58,'Base de Datos'!$C$7:$AU$3761,6,0))=TRUE," ",(VLOOKUP(D58,'Base de Datos'!$C$7:$AU$400,6,0)))</f>
        <v>#N/A</v>
      </c>
      <c r="AN58" s="426" t="str">
        <f>IF(ISERROR(VLOOKUP(D58,'Base de Datos'!$C$7:$AU$400,20,0))=TRUE," ",(VLOOKUP(D58,'Base de Datos'!$C$7:$AU$400,19,0)))</f>
        <v xml:space="preserve"> </v>
      </c>
      <c r="AO58" s="429" t="str">
        <f>IF(ISERROR(VLOOKUP(D58,'Base de Datos'!$C$7:$AU$400,9,0))=TRUE," ",(VLOOKUP(D58,'Base de Datos'!$C$7:$AU$400,9,0)))</f>
        <v xml:space="preserve"> </v>
      </c>
      <c r="AP58" s="429" t="str">
        <f>IF(ISERROR(VLOOKUP(D58,'Base de Datos'!$C$7:$AU$400,10,0))=TRUE," ",(VLOOKUP(D58,'Base de Datos'!$C$7:$AU$400,10,0)))</f>
        <v xml:space="preserve"> </v>
      </c>
      <c r="AQ58" s="431" t="str">
        <f>IF(ISERROR(VLOOKUP(D58,'Base de Datos'!$C$7:$AU$400,11,0))=TRUE," ",(VLOOKUP(D58,'Base de Datos'!$C$7:$AU$400,11,0)))</f>
        <v xml:space="preserve"> </v>
      </c>
      <c r="AR58" s="432" t="str">
        <f>IF(ISERROR(VLOOKUP(D58,'Base de Datos'!$C$7:$AU$400,12,0))=TRUE," ",(VLOOKUP(D58,'Base de Datos'!$C$7:$AU$400,12,0)))</f>
        <v xml:space="preserve"> </v>
      </c>
      <c r="AS58" s="431" t="str">
        <f>IF(ISERROR(VLOOKUP(D58,'Base de Datos'!$C$7:$AU$400,13,0))=TRUE," ",(VLOOKUP(D58,'Base de Datos'!$C$7:$AU$400,13,0)))</f>
        <v xml:space="preserve"> </v>
      </c>
      <c r="AT58" s="431" t="str">
        <f>IF(ISERROR(VLOOKUP(D58,'Base de Datos'!$C$7:$AU$400,14,0))=TRUE," ",(VLOOKUP(D58,'Base de Datos'!$C$7:$AU$400,14,0)))</f>
        <v xml:space="preserve"> </v>
      </c>
      <c r="AU58" s="429" t="str">
        <f>IF(ISERROR(VLOOKUP(D58,'Base de Datos'!$C$7:$AU$400,16,0))=TRUE," ",(VLOOKUP(D58,'Base de Datos'!$C$7:$AU$400,16,0)))</f>
        <v xml:space="preserve"> </v>
      </c>
      <c r="AV58" s="433" t="str">
        <f>IF(ISERROR(VLOOKUP(D58,'Base de Datos'!$C$7:$AU$400,17,0))=TRUE," ",(VLOOKUP(D58,'Base de Datos'!$C$7:$AU$400,17,0)))</f>
        <v xml:space="preserve"> </v>
      </c>
      <c r="AW58" s="433" t="str">
        <f>IF(ISERROR(VLOOKUP(D58,'Base de Datos'!$C$7:$AU$400,18,0))=TRUE," ",(VLOOKUP(D58,'Base de Datos'!$C$7:$AU$400,18,0)))</f>
        <v xml:space="preserve"> </v>
      </c>
      <c r="AX58" s="433" t="str">
        <f>IF(ISERROR(VLOOKUP(D58,'Base de Datos'!$C$7:$AU$400,19,0))=TRUE," ",(VLOOKUP(D58,'Base de Datos'!$C$7:$AU$400,19,0)))</f>
        <v xml:space="preserve"> </v>
      </c>
      <c r="AY58" s="436" t="str">
        <f>IF(ISERROR(VLOOKUP(D58,'Base de Datos'!$C$7:$AU$400,21,0))=TRUE," ",(VLOOKUP(D58,'Base de Datos'!$C$7:$AU$400,21,0)))</f>
        <v xml:space="preserve"> </v>
      </c>
      <c r="AZ58" s="436" t="str">
        <f>IF(ISERROR(VLOOKUP(D58,'Base de Datos'!$C$7:$AU$400,22,0))=TRUE," ",(VLOOKUP(D58,'Base de Datos'!$C$7:$AU$400,22,0)))</f>
        <v xml:space="preserve"> </v>
      </c>
      <c r="BA58" s="443"/>
      <c r="BB58" s="453"/>
    </row>
    <row r="59" spans="2:54" ht="55.5" hidden="1" customHeight="1" x14ac:dyDescent="0.3">
      <c r="B59" s="406">
        <v>52</v>
      </c>
      <c r="C59" s="414" t="s">
        <v>1641</v>
      </c>
      <c r="D59" s="406">
        <v>148</v>
      </c>
      <c r="E59" s="414" t="s">
        <v>1652</v>
      </c>
      <c r="F59" s="415">
        <f>VLOOKUP(D59,'Presupuesto - PAA 2015'!$B$10:$E$265,4,0)</f>
        <v>880500</v>
      </c>
      <c r="G59" s="407" t="str">
        <f>VLOOKUP(D59,'[4]Seguimiento Plan'!$C$2:$R$101,16,0)</f>
        <v>Suscripción al diario El Nuevo Siglo para el Concejo de Bogotá</v>
      </c>
      <c r="H59" s="407" t="s">
        <v>1775</v>
      </c>
      <c r="I59" s="407" t="s">
        <v>1713</v>
      </c>
      <c r="J59" s="416" t="s">
        <v>908</v>
      </c>
      <c r="K59" s="417" t="s">
        <v>390</v>
      </c>
      <c r="L59" s="417" t="s">
        <v>390</v>
      </c>
      <c r="M59" s="418">
        <v>42123</v>
      </c>
      <c r="N59" s="417"/>
      <c r="O59" s="419"/>
      <c r="P59" s="419"/>
      <c r="Q59" s="419"/>
      <c r="R59" s="420"/>
      <c r="S59" s="420"/>
      <c r="T59" s="318" t="s">
        <v>551</v>
      </c>
      <c r="U59" s="423" t="str">
        <f>IF(ISERROR(VLOOKUP(T59,'Base de Datos'!$E$7:$AU$302,3,0))=TRUE," ",(VLOOKUP(T59,'Base de Datos'!$E$7:$AU$302,2,0)))</f>
        <v>EDITORIAL LA UNIDAD</v>
      </c>
      <c r="V59" s="426">
        <f>IF(ISERROR(VLOOKUP(T59,'Base de Datos'!$E$7:$AU$302,5,0))=TRUE," ",(VLOOKUP(T59,'Base de Datos'!$E$7:$AU$302,5,0)))</f>
        <v>855000</v>
      </c>
      <c r="W59" s="423">
        <f>IF(ISERROR(VLOOKUP(T59,'Base de Datos'!$E$7:$AU$302,19,0))=TRUE," ",(VLOOKUP(T59,'Base de Datos'!$E$7:$AU$302,19,0)))</f>
        <v>42261</v>
      </c>
      <c r="X59" s="428" t="str">
        <f>IF(ISERROR(VLOOKUP(T59,'Base de Datos'!$E$7:$AU$302,8,0))=TRUE," ",(VLOOKUP(T59,'Base de Datos'!$E$7:$AU$302,8,0)))</f>
        <v xml:space="preserve"> </v>
      </c>
      <c r="Y59" s="428">
        <f>IF(ISERROR(VLOOKUP(T59,'Base de Datos'!$E$7:$AU$302,9,0))=TRUE," ",(VLOOKUP(T59,'Base de Datos'!$E$7:$AU$302,9,0)))</f>
        <v>41896</v>
      </c>
      <c r="Z59" s="422">
        <f>IF(ISERROR(VLOOKUP(T59,'Base de Datos'!$E$7:$AU$302,10,0))=TRUE," ",(VLOOKUP(T59,'Base de Datos'!$E$7:$AU$302,10,0)))</f>
        <v>42261</v>
      </c>
      <c r="AA59" s="425" t="str">
        <f>IF(ISERROR(VLOOKUP(T59,'Base de Datos'!$E$7:$AU$302,11,0))=TRUE," ",(VLOOKUP(T59,'Base de Datos'!$E$7:$AU$302,11,0)))</f>
        <v/>
      </c>
      <c r="AB59" s="422">
        <f>IF(ISERROR(VLOOKUP(T59,'Base de Datos'!$E$7:$AU$302,12,0))=TRUE," ",(VLOOKUP(T59,'Base de Datos'!$E$7:$AU$302,12,0)))</f>
        <v>0</v>
      </c>
      <c r="AC59" s="422">
        <f>IF(ISERROR(VLOOKUP(T59,'Base de Datos'!$E$7:$AU$302,12,0))=TRUE," ",(VLOOKUP(T59,'Base de Datos'!$E$7:$AU$302,12,0)))</f>
        <v>0</v>
      </c>
      <c r="AD59" s="428" t="str">
        <f>IF(ISERROR(VLOOKUP(T59,'Base de Datos'!$E$7:$AU$302,15,0))=TRUE," ",(VLOOKUP(T59,'Base de Datos'!$E$7:$AU$302,15,0)))</f>
        <v/>
      </c>
      <c r="AE59" s="433" t="str">
        <f>IF(ISERROR(VLOOKUP(T59,'Base de Datos'!$E$7:$AU$302,16,0))=TRUE," ",(VLOOKUP(T59,'Base de Datos'!$E$7:$AU$302,16,0)))</f>
        <v/>
      </c>
      <c r="AF59" s="433" t="str">
        <f>IF(ISERROR(VLOOKUP(T59,'Base de Datos'!$E$7:$AU$302,17,0))=TRUE," ",(VLOOKUP(T59,'Base de Datos'!$E$7:$AU$302,17,0)))</f>
        <v/>
      </c>
      <c r="AG59" s="433" t="str">
        <f>IF(ISERROR(VLOOKUP(T59,'Base de Datos'!$E$7:$AU$302,18,0))=TRUE," ",(VLOOKUP(T59,'Base de Datos'!$E$7:$AU$302,18,0)))</f>
        <v/>
      </c>
      <c r="AH59" s="434">
        <f>IF(ISERROR(VLOOKUP(T59,'Base de Datos'!$E$7:$AU$302,20,0))=TRUE," ",(VLOOKUP(T59,'Base de Datos'!$E$7:$AU$302,20,0)))</f>
        <v>855000</v>
      </c>
      <c r="AI59" s="434">
        <f>IF(ISERROR(VLOOKUP(T59,'Base de Datos'!$E$7:$AU$302,21,0))=TRUE," ",(VLOOKUP(T59,'Base de Datos'!$E$7:$AU$302,21,0)))</f>
        <v>855000</v>
      </c>
      <c r="AJ59" s="423"/>
      <c r="AK59" s="423" t="str">
        <f>IF(ISERROR(VLOOKUP(D59,'Base de Datos'!$C$7:$AU$400,2,0))=TRUE," ",(VLOOKUP(D59,'Base de Datos'!$C$7:$AU$400,2,0)))</f>
        <v>2015148</v>
      </c>
      <c r="AL59" s="423" t="str">
        <f>IF(ISERROR(VLOOKUP(D59,'Base de Datos'!$C$7:$AU$400,3,0))=TRUE," ",(VLOOKUP(D59,'Base de Datos'!$C$7:$AU$400,3,0)))</f>
        <v>150338-0-2015</v>
      </c>
      <c r="AM59" s="426" t="str">
        <f>IF(ISERROR(VLOOKUP(D59,'Base de Datos'!$C$7:$AU$3761,6,0))=TRUE," ",(VLOOKUP(D59,'Base de Datos'!$C$7:$AU$400,6,0)))</f>
        <v>Suscripción al diario El Nuevo Siglo, para el Concejo de Bogotá D.C.</v>
      </c>
      <c r="AN59" s="426" t="str">
        <f>IF(ISERROR(VLOOKUP(D59,'Base de Datos'!$C$7:$AU$400,20,0))=TRUE," ",(VLOOKUP(D59,'Base de Datos'!$C$7:$AU$400,19,0)))</f>
        <v/>
      </c>
      <c r="AO59" s="429">
        <f>IF(ISERROR(VLOOKUP(D59,'Base de Datos'!$C$7:$AU$400,9,0))=TRUE," ",(VLOOKUP(D59,'Base de Datos'!$C$7:$AU$400,9,0)))</f>
        <v>2015</v>
      </c>
      <c r="AP59" s="429">
        <f>IF(ISERROR(VLOOKUP(D59,'Base de Datos'!$C$7:$AU$400,10,0))=TRUE," ",(VLOOKUP(D59,'Base de Datos'!$C$7:$AU$400,10,0)))</f>
        <v>42230</v>
      </c>
      <c r="AQ59" s="431">
        <f>IF(ISERROR(VLOOKUP(D59,'Base de Datos'!$C$7:$AU$400,11,0))=TRUE," ",(VLOOKUP(D59,'Base de Datos'!$C$7:$AU$400,11,0)))</f>
        <v>42262</v>
      </c>
      <c r="AR59" s="432">
        <f>IF(ISERROR(VLOOKUP(D59,'Base de Datos'!$C$7:$AU$400,12,0))=TRUE," ",(VLOOKUP(D59,'Base de Datos'!$C$7:$AU$400,12,0)))</f>
        <v>42628</v>
      </c>
      <c r="AS59" s="431" t="str">
        <f>IF(ISERROR(VLOOKUP(D59,'Base de Datos'!$C$7:$AU$400,13,0))=TRUE," ",(VLOOKUP(D59,'Base de Datos'!$C$7:$AU$400,13,0)))</f>
        <v/>
      </c>
      <c r="AT59" s="431">
        <f>IF(ISERROR(VLOOKUP(D59,'Base de Datos'!$C$7:$AU$400,14,0))=TRUE," ",(VLOOKUP(D59,'Base de Datos'!$C$7:$AU$400,14,0)))</f>
        <v>0</v>
      </c>
      <c r="AU59" s="429">
        <f>IF(ISERROR(VLOOKUP(D59,'Base de Datos'!$C$7:$AU$400,16,0))=TRUE," ",(VLOOKUP(D59,'Base de Datos'!$C$7:$AU$400,16,0)))</f>
        <v>0</v>
      </c>
      <c r="AV59" s="433" t="str">
        <f>IF(ISERROR(VLOOKUP(D59,'Base de Datos'!$C$7:$AU$400,17,0))=TRUE," ",(VLOOKUP(D59,'Base de Datos'!$C$7:$AU$400,17,0)))</f>
        <v/>
      </c>
      <c r="AW59" s="433" t="str">
        <f>IF(ISERROR(VLOOKUP(D59,'Base de Datos'!$C$7:$AU$400,18,0))=TRUE," ",(VLOOKUP(D59,'Base de Datos'!$C$7:$AU$400,18,0)))</f>
        <v/>
      </c>
      <c r="AX59" s="433" t="str">
        <f>IF(ISERROR(VLOOKUP(D59,'Base de Datos'!$C$7:$AU$400,19,0))=TRUE," ",(VLOOKUP(D59,'Base de Datos'!$C$7:$AU$400,19,0)))</f>
        <v/>
      </c>
      <c r="AY59" s="436">
        <f>IF(ISERROR(VLOOKUP(D59,'Base de Datos'!$C$7:$AU$400,21,0))=TRUE," ",(VLOOKUP(D59,'Base de Datos'!$C$7:$AU$400,21,0)))</f>
        <v>42628</v>
      </c>
      <c r="AZ59" s="436">
        <f>IF(ISERROR(VLOOKUP(D59,'Base de Datos'!$C$7:$AU$400,22,0))=TRUE," ",(VLOOKUP(D59,'Base de Datos'!$C$7:$AU$400,22,0)))</f>
        <v>880500</v>
      </c>
      <c r="BA59" s="443"/>
      <c r="BB59" s="453"/>
    </row>
    <row r="60" spans="2:54" ht="55.5" hidden="1" customHeight="1" x14ac:dyDescent="0.3">
      <c r="B60" s="406">
        <v>53</v>
      </c>
      <c r="C60" s="414" t="s">
        <v>1641</v>
      </c>
      <c r="D60" s="406">
        <v>170</v>
      </c>
      <c r="E60" s="414" t="s">
        <v>1652</v>
      </c>
      <c r="F60" s="415">
        <f>VLOOKUP(D60,'Presupuesto - PAA 2015'!$B$10:$E$265,4,0)</f>
        <v>30552000</v>
      </c>
      <c r="G60" s="407" t="str">
        <f>VLOOKUP(D60,'[4]Seguimiento Plan'!$C$2:$R$101,16,0)</f>
        <v>Prestar el servicio Integral de fotocopiado y servicios afines para la Secretaría Distrital de Hacienda y del Concejo de Bogotá</v>
      </c>
      <c r="H60" s="407" t="s">
        <v>1775</v>
      </c>
      <c r="I60" s="407" t="s">
        <v>1709</v>
      </c>
      <c r="J60" s="416" t="s">
        <v>1733</v>
      </c>
      <c r="K60" s="417" t="s">
        <v>390</v>
      </c>
      <c r="L60" s="417" t="str">
        <f>VLOOKUP(D60,'[4]Seguimiento Plan'!$C$2:$AJ$101,30,0)</f>
        <v>SI</v>
      </c>
      <c r="M60" s="418">
        <f>VLOOKUP(D60,'[4]Seguimiento Plan'!$C$2:$AJ$101,31,0)</f>
        <v>42025</v>
      </c>
      <c r="N60" s="417"/>
      <c r="O60" s="419"/>
      <c r="P60" s="419"/>
      <c r="Q60" s="419"/>
      <c r="R60" s="420"/>
      <c r="S60" s="438" t="s">
        <v>1745</v>
      </c>
      <c r="T60" s="317" t="s">
        <v>294</v>
      </c>
      <c r="U60" s="423" t="str">
        <f>IF(ISERROR(VLOOKUP(T60,'Base de Datos'!$E$7:$AU$302,3,0))=TRUE," ",(VLOOKUP(T60,'Base de Datos'!$E$7:$AU$302,2,0)))</f>
        <v>T Y G MINOLTA</v>
      </c>
      <c r="V60" s="426">
        <f>IF(ISERROR(VLOOKUP(T60,'Base de Datos'!$E$7:$AU$302,5,0))=TRUE," ",(VLOOKUP(T60,'Base de Datos'!$E$7:$AU$302,5,0)))</f>
        <v>36581760</v>
      </c>
      <c r="W60" s="423">
        <f>IF(ISERROR(VLOOKUP(T60,'Base de Datos'!$E$7:$AU$302,19,0))=TRUE," ",(VLOOKUP(T60,'Base de Datos'!$E$7:$AU$302,19,0)))</f>
        <v>42186</v>
      </c>
      <c r="X60" s="428" t="str">
        <f>IF(ISERROR(VLOOKUP(T60,'Base de Datos'!$E$7:$AU$302,8,0))=TRUE," ",(VLOOKUP(T60,'Base de Datos'!$E$7:$AU$302,8,0)))</f>
        <v xml:space="preserve"> </v>
      </c>
      <c r="Y60" s="428">
        <f>IF(ISERROR(VLOOKUP(T60,'Base de Datos'!$E$7:$AU$302,9,0))=TRUE," ",(VLOOKUP(T60,'Base de Datos'!$E$7:$AU$302,9,0)))</f>
        <v>41821</v>
      </c>
      <c r="Z60" s="422">
        <f>IF(ISERROR(VLOOKUP(T60,'Base de Datos'!$E$7:$AU$302,10,0))=TRUE," ",(VLOOKUP(T60,'Base de Datos'!$E$7:$AU$302,10,0)))</f>
        <v>42093</v>
      </c>
      <c r="AA60" s="425" t="str">
        <f>IF(ISERROR(VLOOKUP(T60,'Base de Datos'!$E$7:$AU$302,11,0))=TRUE," ",(VLOOKUP(T60,'Base de Datos'!$E$7:$AU$302,11,0)))</f>
        <v/>
      </c>
      <c r="AB60" s="422">
        <f>IF(ISERROR(VLOOKUP(T60,'Base de Datos'!$E$7:$AU$302,12,0))=TRUE," ",(VLOOKUP(T60,'Base de Datos'!$E$7:$AU$302,12,0)))</f>
        <v>0</v>
      </c>
      <c r="AC60" s="422">
        <f>IF(ISERROR(VLOOKUP(T60,'Base de Datos'!$E$7:$AU$302,12,0))=TRUE," ",(VLOOKUP(T60,'Base de Datos'!$E$7:$AU$302,12,0)))</f>
        <v>0</v>
      </c>
      <c r="AD60" s="428" t="str">
        <f>IF(ISERROR(VLOOKUP(T60,'Base de Datos'!$E$7:$AU$302,15,0))=TRUE," ",(VLOOKUP(T60,'Base de Datos'!$E$7:$AU$302,15,0)))</f>
        <v>3 meses</v>
      </c>
      <c r="AE60" s="433">
        <f>IF(ISERROR(VLOOKUP(T60,'Base de Datos'!$E$7:$AU$302,16,0))=TRUE," ",(VLOOKUP(T60,'Base de Datos'!$E$7:$AU$302,16,0)))</f>
        <v>42186</v>
      </c>
      <c r="AF60" s="433" t="str">
        <f>IF(ISERROR(VLOOKUP(T60,'Base de Datos'!$E$7:$AU$302,17,0))=TRUE," ",(VLOOKUP(T60,'Base de Datos'!$E$7:$AU$302,17,0)))</f>
        <v/>
      </c>
      <c r="AG60" s="433" t="str">
        <f>IF(ISERROR(VLOOKUP(T60,'Base de Datos'!$E$7:$AU$302,18,0))=TRUE," ",(VLOOKUP(T60,'Base de Datos'!$E$7:$AU$302,18,0)))</f>
        <v/>
      </c>
      <c r="AH60" s="434">
        <f>IF(ISERROR(VLOOKUP(T60,'Base de Datos'!$E$7:$AU$302,20,0))=TRUE," ",(VLOOKUP(T60,'Base de Datos'!$E$7:$AU$302,20,0)))</f>
        <v>36581760</v>
      </c>
      <c r="AI60" s="434">
        <f>IF(ISERROR(VLOOKUP(T60,'Base de Datos'!$E$7:$AU$302,21,0))=TRUE," ",(VLOOKUP(T60,'Base de Datos'!$E$7:$AU$302,21,0)))</f>
        <v>34363318</v>
      </c>
      <c r="AJ60" s="437">
        <v>42157</v>
      </c>
      <c r="AK60" s="423" t="str">
        <f>IF(ISERROR(VLOOKUP(D60,'Base de Datos'!$C$7:$AU$400,2,0))=TRUE," ",(VLOOKUP(D60,'Base de Datos'!$C$7:$AU$400,2,0)))</f>
        <v>2015170</v>
      </c>
      <c r="AL60" s="423" t="str">
        <f>IF(ISERROR(VLOOKUP(D60,'Base de Datos'!$C$7:$AU$400,3,0))=TRUE," ",(VLOOKUP(D60,'Base de Datos'!$C$7:$AU$400,3,0)))</f>
        <v>150241-0-2015</v>
      </c>
      <c r="AM60" s="426" t="str">
        <f>IF(ISERROR(VLOOKUP(D60,'Base de Datos'!$C$7:$AU$3761,6,0))=TRUE," ",(VLOOKUP(D60,'Base de Datos'!$C$7:$AU$400,6,0)))</f>
        <v>Prestar el servicio Integral de fotocopiado y servicios afines para el Concejo de Bogotá,D.C. .bajo la modalidad de outsourcing. Según invitación publica del proceso N° SDH-SIE-07-2015</v>
      </c>
      <c r="AN60" s="426" t="str">
        <f>IF(ISERROR(VLOOKUP(D60,'Base de Datos'!$C$7:$AU$400,20,0))=TRUE," ",(VLOOKUP(D60,'Base de Datos'!$C$7:$AU$400,19,0)))</f>
        <v/>
      </c>
      <c r="AO60" s="429">
        <f>IF(ISERROR(VLOOKUP(D60,'Base de Datos'!$C$7:$AU$400,9,0))=TRUE," ",(VLOOKUP(D60,'Base de Datos'!$C$7:$AU$400,9,0)))</f>
        <v>2015</v>
      </c>
      <c r="AP60" s="429">
        <f>IF(ISERROR(VLOOKUP(D60,'Base de Datos'!$C$7:$AU$400,10,0))=TRUE," ",(VLOOKUP(D60,'Base de Datos'!$C$7:$AU$400,10,0)))</f>
        <v>42157</v>
      </c>
      <c r="AQ60" s="431">
        <f>IF(ISERROR(VLOOKUP(D60,'Base de Datos'!$C$7:$AU$400,11,0))=TRUE," ",(VLOOKUP(D60,'Base de Datos'!$C$7:$AU$400,11,0)))</f>
        <v>42187</v>
      </c>
      <c r="AR60" s="432">
        <f>IF(ISERROR(VLOOKUP(D60,'Base de Datos'!$C$7:$AU$400,12,0))=TRUE," ",(VLOOKUP(D60,'Base de Datos'!$C$7:$AU$400,12,0)))</f>
        <v>42431</v>
      </c>
      <c r="AS60" s="431" t="str">
        <f>IF(ISERROR(VLOOKUP(D60,'Base de Datos'!$C$7:$AU$400,13,0))=TRUE," ",(VLOOKUP(D60,'Base de Datos'!$C$7:$AU$400,13,0)))</f>
        <v/>
      </c>
      <c r="AT60" s="431">
        <f>IF(ISERROR(VLOOKUP(D60,'Base de Datos'!$C$7:$AU$400,14,0))=TRUE," ",(VLOOKUP(D60,'Base de Datos'!$C$7:$AU$400,14,0)))</f>
        <v>1</v>
      </c>
      <c r="AU60" s="429">
        <f>IF(ISERROR(VLOOKUP(D60,'Base de Datos'!$C$7:$AU$400,16,0))=TRUE," ",(VLOOKUP(D60,'Base de Datos'!$C$7:$AU$400,16,0)))</f>
        <v>3</v>
      </c>
      <c r="AV60" s="433" t="str">
        <f>IF(ISERROR(VLOOKUP(D60,'Base de Datos'!$C$7:$AU$400,17,0))=TRUE," ",(VLOOKUP(D60,'Base de Datos'!$C$7:$AU$400,17,0)))</f>
        <v>4 meses y 29 dias</v>
      </c>
      <c r="AW60" s="433">
        <f>IF(ISERROR(VLOOKUP(D60,'Base de Datos'!$C$7:$AU$400,18,0))=TRUE," ",(VLOOKUP(D60,'Base de Datos'!$C$7:$AU$400,18,0)))</f>
        <v>42582</v>
      </c>
      <c r="AX60" s="433" t="str">
        <f>IF(ISERROR(VLOOKUP(D60,'Base de Datos'!$C$7:$AU$400,19,0))=TRUE," ",(VLOOKUP(D60,'Base de Datos'!$C$7:$AU$400,19,0)))</f>
        <v/>
      </c>
      <c r="AY60" s="436">
        <f>IF(ISERROR(VLOOKUP(D60,'Base de Datos'!$C$7:$AU$400,21,0))=TRUE," ",(VLOOKUP(D60,'Base de Datos'!$C$7:$AU$400,21,0)))</f>
        <v>42582</v>
      </c>
      <c r="AZ60" s="436">
        <f>IF(ISERROR(VLOOKUP(D60,'Base de Datos'!$C$7:$AU$400,22,0))=TRUE," ",(VLOOKUP(D60,'Base de Datos'!$C$7:$AU$400,22,0)))</f>
        <v>41552000</v>
      </c>
      <c r="BA60" s="443"/>
      <c r="BB60" s="453"/>
    </row>
    <row r="61" spans="2:54" ht="55.5" hidden="1" customHeight="1" x14ac:dyDescent="0.3">
      <c r="B61" s="406">
        <v>54</v>
      </c>
      <c r="C61" s="414" t="s">
        <v>1641</v>
      </c>
      <c r="D61" s="406">
        <v>267</v>
      </c>
      <c r="E61" s="414" t="s">
        <v>1652</v>
      </c>
      <c r="F61" s="415">
        <f>VLOOKUP(D61,'Presupuesto - PAA 2015'!$B$10:$E$265,4,0)</f>
        <v>800000</v>
      </c>
      <c r="G61" s="407" t="str">
        <f>VLOOKUP(D61,'[4]Seguimiento Plan'!$C$2:$R$101,16,0)</f>
        <v>Adicion al contrato 140342-2014 que tiene por objeto: Prestar el  servicio de empaste y/o encuadernación de documentos del concejo de Bogotá D.C.</v>
      </c>
      <c r="H61" s="407" t="s">
        <v>1775</v>
      </c>
      <c r="I61" s="407" t="s">
        <v>590</v>
      </c>
      <c r="J61" s="416" t="s">
        <v>590</v>
      </c>
      <c r="K61" s="417" t="s">
        <v>390</v>
      </c>
      <c r="L61" s="417" t="s">
        <v>390</v>
      </c>
      <c r="M61" s="418"/>
      <c r="N61" s="417"/>
      <c r="O61" s="419"/>
      <c r="P61" s="419"/>
      <c r="Q61" s="419"/>
      <c r="R61" s="420"/>
      <c r="S61" s="420"/>
      <c r="T61" s="322" t="s">
        <v>1343</v>
      </c>
      <c r="U61" s="423" t="str">
        <f>IF(ISERROR(VLOOKUP(T61,'Base de Datos'!$E$7:$AU$302,3,0))=TRUE," ",(VLOOKUP(T61,'Base de Datos'!$E$7:$AU$302,2,0)))</f>
        <v>EDITORES CONARTE SAS</v>
      </c>
      <c r="V61" s="426">
        <f>IF(ISERROR(VLOOKUP(T61,'Base de Datos'!$E$7:$AU$302,5,0))=TRUE," ",(VLOOKUP(T61,'Base de Datos'!$E$7:$AU$302,5,0)))</f>
        <v>1659960</v>
      </c>
      <c r="W61" s="423">
        <f>IF(ISERROR(VLOOKUP(T61,'Base de Datos'!$E$7:$AU$302,19,0))=TRUE," ",(VLOOKUP(T61,'Base de Datos'!$E$7:$AU$302,19,0)))</f>
        <v>42241</v>
      </c>
      <c r="X61" s="428" t="str">
        <f>IF(ISERROR(VLOOKUP(T61,'Base de Datos'!$E$7:$AU$302,8,0))=TRUE," ",(VLOOKUP(T61,'Base de Datos'!$E$7:$AU$302,8,0)))</f>
        <v xml:space="preserve"> </v>
      </c>
      <c r="Y61" s="428">
        <f>IF(ISERROR(VLOOKUP(T61,'Base de Datos'!$E$7:$AU$302,9,0))=TRUE," ",(VLOOKUP(T61,'Base de Datos'!$E$7:$AU$302,9,0)))</f>
        <v>41968</v>
      </c>
      <c r="Z61" s="422">
        <f>IF(ISERROR(VLOOKUP(T61,'Base de Datos'!$E$7:$AU$302,10,0))=TRUE," ",(VLOOKUP(T61,'Base de Datos'!$E$7:$AU$302,10,0)))</f>
        <v>42241</v>
      </c>
      <c r="AA61" s="425" t="str">
        <f>IF(ISERROR(VLOOKUP(T61,'Base de Datos'!$E$7:$AU$302,11,0))=TRUE," ",(VLOOKUP(T61,'Base de Datos'!$E$7:$AU$302,11,0)))</f>
        <v/>
      </c>
      <c r="AB61" s="422">
        <f>IF(ISERROR(VLOOKUP(T61,'Base de Datos'!$E$7:$AU$302,12,0))=TRUE," ",(VLOOKUP(T61,'Base de Datos'!$E$7:$AU$302,12,0)))</f>
        <v>1</v>
      </c>
      <c r="AC61" s="422">
        <f>IF(ISERROR(VLOOKUP(T61,'Base de Datos'!$E$7:$AU$302,12,0))=TRUE," ",(VLOOKUP(T61,'Base de Datos'!$E$7:$AU$302,12,0)))</f>
        <v>1</v>
      </c>
      <c r="AD61" s="428" t="str">
        <f>IF(ISERROR(VLOOKUP(T61,'Base de Datos'!$E$7:$AU$302,15,0))=TRUE," ",(VLOOKUP(T61,'Base de Datos'!$E$7:$AU$302,15,0)))</f>
        <v/>
      </c>
      <c r="AE61" s="433" t="str">
        <f>IF(ISERROR(VLOOKUP(T61,'Base de Datos'!$E$7:$AU$302,16,0))=TRUE," ",(VLOOKUP(T61,'Base de Datos'!$E$7:$AU$302,16,0)))</f>
        <v/>
      </c>
      <c r="AF61" s="433" t="str">
        <f>IF(ISERROR(VLOOKUP(T61,'Base de Datos'!$E$7:$AU$302,17,0))=TRUE," ",(VLOOKUP(T61,'Base de Datos'!$E$7:$AU$302,17,0)))</f>
        <v/>
      </c>
      <c r="AG61" s="433" t="str">
        <f>IF(ISERROR(VLOOKUP(T61,'Base de Datos'!$E$7:$AU$302,18,0))=TRUE," ",(VLOOKUP(T61,'Base de Datos'!$E$7:$AU$302,18,0)))</f>
        <v/>
      </c>
      <c r="AH61" s="434">
        <f>IF(ISERROR(VLOOKUP(T61,'Base de Datos'!$E$7:$AU$302,20,0))=TRUE," ",(VLOOKUP(T61,'Base de Datos'!$E$7:$AU$302,20,0)))</f>
        <v>2459960</v>
      </c>
      <c r="AI61" s="434">
        <f>IF(ISERROR(VLOOKUP(T61,'Base de Datos'!$E$7:$AU$302,21,0))=TRUE," ",(VLOOKUP(T61,'Base de Datos'!$E$7:$AU$302,21,0)))</f>
        <v>2457884</v>
      </c>
      <c r="AJ61" s="423"/>
      <c r="AK61" s="423" t="str">
        <f>IF(ISERROR(VLOOKUP(D61,'Base de Datos'!$C$7:$AU$400,2,0))=TRUE," ",(VLOOKUP(D61,'Base de Datos'!$C$7:$AU$400,2,0)))</f>
        <v xml:space="preserve"> </v>
      </c>
      <c r="AL61" s="423" t="str">
        <f>IF(ISERROR(VLOOKUP(D61,'Base de Datos'!$C$7:$AU$400,3,0))=TRUE," ",(VLOOKUP(D61,'Base de Datos'!$C$7:$AU$400,3,0)))</f>
        <v xml:space="preserve"> </v>
      </c>
      <c r="AM61" s="426" t="str">
        <f>IF(ISERROR(VLOOKUP(D61,'Base de Datos'!$C$7:$AU$3761,6,0))=TRUE," ",(VLOOKUP(D61,'Base de Datos'!$C$7:$AU$400,6,0)))</f>
        <v xml:space="preserve"> </v>
      </c>
      <c r="AN61" s="426" t="str">
        <f>IF(ISERROR(VLOOKUP(D61,'Base de Datos'!$C$7:$AU$400,20,0))=TRUE," ",(VLOOKUP(D61,'Base de Datos'!$C$7:$AU$400,19,0)))</f>
        <v xml:space="preserve"> </v>
      </c>
      <c r="AO61" s="429" t="str">
        <f>IF(ISERROR(VLOOKUP(D61,'Base de Datos'!$C$7:$AU$400,9,0))=TRUE," ",(VLOOKUP(D61,'Base de Datos'!$C$7:$AU$400,9,0)))</f>
        <v xml:space="preserve"> </v>
      </c>
      <c r="AP61" s="429" t="str">
        <f>IF(ISERROR(VLOOKUP(D61,'Base de Datos'!$C$7:$AU$400,10,0))=TRUE," ",(VLOOKUP(D61,'Base de Datos'!$C$7:$AU$400,10,0)))</f>
        <v xml:space="preserve"> </v>
      </c>
      <c r="AQ61" s="431" t="str">
        <f>IF(ISERROR(VLOOKUP(D61,'Base de Datos'!$C$7:$AU$400,11,0))=TRUE," ",(VLOOKUP(D61,'Base de Datos'!$C$7:$AU$400,11,0)))</f>
        <v xml:space="preserve"> </v>
      </c>
      <c r="AR61" s="432" t="str">
        <f>IF(ISERROR(VLOOKUP(D61,'Base de Datos'!$C$7:$AU$400,12,0))=TRUE," ",(VLOOKUP(D61,'Base de Datos'!$C$7:$AU$400,12,0)))</f>
        <v xml:space="preserve"> </v>
      </c>
      <c r="AS61" s="431" t="str">
        <f>IF(ISERROR(VLOOKUP(D61,'Base de Datos'!$C$7:$AU$400,13,0))=TRUE," ",(VLOOKUP(D61,'Base de Datos'!$C$7:$AU$400,13,0)))</f>
        <v xml:space="preserve"> </v>
      </c>
      <c r="AT61" s="431" t="str">
        <f>IF(ISERROR(VLOOKUP(D61,'Base de Datos'!$C$7:$AU$400,14,0))=TRUE," ",(VLOOKUP(D61,'Base de Datos'!$C$7:$AU$400,14,0)))</f>
        <v xml:space="preserve"> </v>
      </c>
      <c r="AU61" s="429" t="str">
        <f>IF(ISERROR(VLOOKUP(D61,'Base de Datos'!$C$7:$AU$400,16,0))=TRUE," ",(VLOOKUP(D61,'Base de Datos'!$C$7:$AU$400,16,0)))</f>
        <v xml:space="preserve"> </v>
      </c>
      <c r="AV61" s="433" t="str">
        <f>IF(ISERROR(VLOOKUP(D61,'Base de Datos'!$C$7:$AU$400,17,0))=TRUE," ",(VLOOKUP(D61,'Base de Datos'!$C$7:$AU$400,17,0)))</f>
        <v xml:space="preserve"> </v>
      </c>
      <c r="AW61" s="433" t="str">
        <f>IF(ISERROR(VLOOKUP(D61,'Base de Datos'!$C$7:$AU$400,18,0))=TRUE," ",(VLOOKUP(D61,'Base de Datos'!$C$7:$AU$400,18,0)))</f>
        <v xml:space="preserve"> </v>
      </c>
      <c r="AX61" s="433" t="str">
        <f>IF(ISERROR(VLOOKUP(D61,'Base de Datos'!$C$7:$AU$400,19,0))=TRUE," ",(VLOOKUP(D61,'Base de Datos'!$C$7:$AU$400,19,0)))</f>
        <v xml:space="preserve"> </v>
      </c>
      <c r="AY61" s="436" t="str">
        <f>IF(ISERROR(VLOOKUP(D61,'Base de Datos'!$C$7:$AU$400,21,0))=TRUE," ",(VLOOKUP(D61,'Base de Datos'!$C$7:$AU$400,21,0)))</f>
        <v xml:space="preserve"> </v>
      </c>
      <c r="AZ61" s="436" t="str">
        <f>IF(ISERROR(VLOOKUP(D61,'Base de Datos'!$C$7:$AU$400,22,0))=TRUE," ",(VLOOKUP(D61,'Base de Datos'!$C$7:$AU$400,22,0)))</f>
        <v xml:space="preserve"> </v>
      </c>
      <c r="BA61" s="443"/>
      <c r="BB61" s="453"/>
    </row>
    <row r="62" spans="2:54" ht="55.5" hidden="1" customHeight="1" x14ac:dyDescent="0.3">
      <c r="B62" s="406">
        <v>55</v>
      </c>
      <c r="C62" s="414" t="s">
        <v>1641</v>
      </c>
      <c r="D62" s="406">
        <v>149</v>
      </c>
      <c r="E62" s="414" t="s">
        <v>1654</v>
      </c>
      <c r="F62" s="415">
        <f>VLOOKUP(D62,'Presupuesto - PAA 2015'!$B$10:$E$265,4,0)</f>
        <v>2000000</v>
      </c>
      <c r="G62" s="407" t="str">
        <f>VLOOKUP(D62,'[4]Seguimiento Plan'!$C$2:$R$101,16,0)</f>
        <v>Prestar los servicios de mantenimiento preventivo y correctivo de las alarmas de emergencia ubicadas en la sede principal del Concejo de Bogotá-</v>
      </c>
      <c r="H62" s="407" t="s">
        <v>1775</v>
      </c>
      <c r="I62" s="407" t="s">
        <v>1709</v>
      </c>
      <c r="J62" s="416" t="s">
        <v>909</v>
      </c>
      <c r="K62" s="417" t="s">
        <v>390</v>
      </c>
      <c r="L62" s="417" t="str">
        <f>VLOOKUP(D62,'[4]Seguimiento Plan'!$C$2:$AJ$101,30,0)</f>
        <v>SI</v>
      </c>
      <c r="M62" s="418">
        <f>VLOOKUP(D62,'[4]Seguimiento Plan'!$C$2:$AJ$101,31,0)</f>
        <v>42080</v>
      </c>
      <c r="N62" s="417"/>
      <c r="O62" s="419"/>
      <c r="P62" s="419"/>
      <c r="Q62" s="419"/>
      <c r="R62" s="420"/>
      <c r="S62" s="438" t="s">
        <v>1749</v>
      </c>
      <c r="T62" s="317" t="s">
        <v>274</v>
      </c>
      <c r="U62" s="423" t="str">
        <f>IF(ISERROR(VLOOKUP(T62,'Base de Datos'!$E$7:$AU$302,3,0))=TRUE," ",(VLOOKUP(T62,'Base de Datos'!$E$7:$AU$302,2,0)))</f>
        <v>SECURITYCOM S.A.S</v>
      </c>
      <c r="V62" s="426">
        <f>IF(ISERROR(VLOOKUP(T62,'Base de Datos'!$E$7:$AU$302,5,0))=TRUE," ",(VLOOKUP(T62,'Base de Datos'!$E$7:$AU$302,5,0)))</f>
        <v>2122000</v>
      </c>
      <c r="W62" s="423">
        <f>IF(ISERROR(VLOOKUP(T62,'Base de Datos'!$E$7:$AU$302,19,0))=TRUE," ",(VLOOKUP(T62,'Base de Datos'!$E$7:$AU$302,19,0)))</f>
        <v>42116</v>
      </c>
      <c r="X62" s="428" t="str">
        <f>IF(ISERROR(VLOOKUP(T62,'Base de Datos'!$E$7:$AU$302,8,0))=TRUE," ",(VLOOKUP(T62,'Base de Datos'!$E$7:$AU$302,8,0)))</f>
        <v xml:space="preserve"> </v>
      </c>
      <c r="Y62" s="428">
        <f>IF(ISERROR(VLOOKUP(T62,'Base de Datos'!$E$7:$AU$302,9,0))=TRUE," ",(VLOOKUP(T62,'Base de Datos'!$E$7:$AU$302,9,0)))</f>
        <v>41752</v>
      </c>
      <c r="Z62" s="422">
        <f>IF(ISERROR(VLOOKUP(T62,'Base de Datos'!$E$7:$AU$302,10,0))=TRUE," ",(VLOOKUP(T62,'Base de Datos'!$E$7:$AU$302,10,0)))</f>
        <v>42116</v>
      </c>
      <c r="AA62" s="425" t="str">
        <f>IF(ISERROR(VLOOKUP(T62,'Base de Datos'!$E$7:$AU$302,11,0))=TRUE," ",(VLOOKUP(T62,'Base de Datos'!$E$7:$AU$302,11,0)))</f>
        <v/>
      </c>
      <c r="AB62" s="422">
        <f>IF(ISERROR(VLOOKUP(T62,'Base de Datos'!$E$7:$AU$302,12,0))=TRUE," ",(VLOOKUP(T62,'Base de Datos'!$E$7:$AU$302,12,0)))</f>
        <v>0</v>
      </c>
      <c r="AC62" s="422">
        <f>IF(ISERROR(VLOOKUP(T62,'Base de Datos'!$E$7:$AU$302,12,0))=TRUE," ",(VLOOKUP(T62,'Base de Datos'!$E$7:$AU$302,12,0)))</f>
        <v>0</v>
      </c>
      <c r="AD62" s="428" t="str">
        <f>IF(ISERROR(VLOOKUP(T62,'Base de Datos'!$E$7:$AU$302,15,0))=TRUE," ",(VLOOKUP(T62,'Base de Datos'!$E$7:$AU$302,15,0)))</f>
        <v/>
      </c>
      <c r="AE62" s="433" t="str">
        <f>IF(ISERROR(VLOOKUP(T62,'Base de Datos'!$E$7:$AU$302,16,0))=TRUE," ",(VLOOKUP(T62,'Base de Datos'!$E$7:$AU$302,16,0)))</f>
        <v/>
      </c>
      <c r="AF62" s="433" t="str">
        <f>IF(ISERROR(VLOOKUP(T62,'Base de Datos'!$E$7:$AU$302,17,0))=TRUE," ",(VLOOKUP(T62,'Base de Datos'!$E$7:$AU$302,17,0)))</f>
        <v/>
      </c>
      <c r="AG62" s="433" t="str">
        <f>IF(ISERROR(VLOOKUP(T62,'Base de Datos'!$E$7:$AU$302,18,0))=TRUE," ",(VLOOKUP(T62,'Base de Datos'!$E$7:$AU$302,18,0)))</f>
        <v/>
      </c>
      <c r="AH62" s="434">
        <f>IF(ISERROR(VLOOKUP(T62,'Base de Datos'!$E$7:$AU$302,20,0))=TRUE," ",(VLOOKUP(T62,'Base de Datos'!$E$7:$AU$302,20,0)))</f>
        <v>2122000</v>
      </c>
      <c r="AI62" s="434">
        <f>IF(ISERROR(VLOOKUP(T62,'Base de Datos'!$E$7:$AU$302,21,0))=TRUE," ",(VLOOKUP(T62,'Base de Datos'!$E$7:$AU$302,21,0)))</f>
        <v>2122000</v>
      </c>
      <c r="AJ62" s="437">
        <v>42135</v>
      </c>
      <c r="AK62" s="423" t="str">
        <f>IF(ISERROR(VLOOKUP(D62,'Base de Datos'!$C$7:$AU$400,2,0))=TRUE," ",(VLOOKUP(D62,'Base de Datos'!$C$7:$AU$400,2,0)))</f>
        <v>2015149</v>
      </c>
      <c r="AL62" s="423" t="str">
        <f>IF(ISERROR(VLOOKUP(D62,'Base de Datos'!$C$7:$AU$400,3,0))=TRUE," ",(VLOOKUP(D62,'Base de Datos'!$C$7:$AU$400,3,0)))</f>
        <v>150223-0-2015</v>
      </c>
      <c r="AM62" s="426" t="str">
        <f>IF(ISERROR(VLOOKUP(D62,'Base de Datos'!$C$7:$AU$3761,6,0))=TRUE," ",(VLOOKUP(D62,'Base de Datos'!$C$7:$AU$400,6,0)))</f>
        <v>Prestar el servicio de mantenimiento preventivo y correctivo con suministro de repuestos del sistema de alarmas de emergencia y botones de pánico ubicados en la sede principal del Concejo de Bogotá D.C.</v>
      </c>
      <c r="AN62" s="426" t="str">
        <f>IF(ISERROR(VLOOKUP(D62,'Base de Datos'!$C$7:$AU$400,20,0))=TRUE," ",(VLOOKUP(D62,'Base de Datos'!$C$7:$AU$400,19,0)))</f>
        <v/>
      </c>
      <c r="AO62" s="429">
        <f>IF(ISERROR(VLOOKUP(D62,'Base de Datos'!$C$7:$AU$400,9,0))=TRUE," ",(VLOOKUP(D62,'Base de Datos'!$C$7:$AU$400,9,0)))</f>
        <v>2015</v>
      </c>
      <c r="AP62" s="429">
        <f>IF(ISERROR(VLOOKUP(D62,'Base de Datos'!$C$7:$AU$400,10,0))=TRUE," ",(VLOOKUP(D62,'Base de Datos'!$C$7:$AU$400,10,0)))</f>
        <v>42135</v>
      </c>
      <c r="AQ62" s="431">
        <f>IF(ISERROR(VLOOKUP(D62,'Base de Datos'!$C$7:$AU$400,11,0))=TRUE," ",(VLOOKUP(D62,'Base de Datos'!$C$7:$AU$400,11,0)))</f>
        <v>42150</v>
      </c>
      <c r="AR62" s="432">
        <f>IF(ISERROR(VLOOKUP(D62,'Base de Datos'!$C$7:$AU$400,12,0))=TRUE," ",(VLOOKUP(D62,'Base de Datos'!$C$7:$AU$400,12,0)))</f>
        <v>42455</v>
      </c>
      <c r="AS62" s="431" t="str">
        <f>IF(ISERROR(VLOOKUP(D62,'Base de Datos'!$C$7:$AU$400,13,0))=TRUE," ",(VLOOKUP(D62,'Base de Datos'!$C$7:$AU$400,13,0)))</f>
        <v/>
      </c>
      <c r="AT62" s="431">
        <f>IF(ISERROR(VLOOKUP(D62,'Base de Datos'!$C$7:$AU$400,14,0))=TRUE," ",(VLOOKUP(D62,'Base de Datos'!$C$7:$AU$400,14,0)))</f>
        <v>0</v>
      </c>
      <c r="AU62" s="429">
        <f>IF(ISERROR(VLOOKUP(D62,'Base de Datos'!$C$7:$AU$400,16,0))=TRUE," ",(VLOOKUP(D62,'Base de Datos'!$C$7:$AU$400,16,0)))</f>
        <v>0</v>
      </c>
      <c r="AV62" s="433" t="str">
        <f>IF(ISERROR(VLOOKUP(D62,'Base de Datos'!$C$7:$AU$400,17,0))=TRUE," ",(VLOOKUP(D62,'Base de Datos'!$C$7:$AU$400,17,0)))</f>
        <v/>
      </c>
      <c r="AW62" s="433" t="str">
        <f>IF(ISERROR(VLOOKUP(D62,'Base de Datos'!$C$7:$AU$400,18,0))=TRUE," ",(VLOOKUP(D62,'Base de Datos'!$C$7:$AU$400,18,0)))</f>
        <v/>
      </c>
      <c r="AX62" s="433" t="str">
        <f>IF(ISERROR(VLOOKUP(D62,'Base de Datos'!$C$7:$AU$400,19,0))=TRUE," ",(VLOOKUP(D62,'Base de Datos'!$C$7:$AU$400,19,0)))</f>
        <v/>
      </c>
      <c r="AY62" s="436">
        <f>IF(ISERROR(VLOOKUP(D62,'Base de Datos'!$C$7:$AU$400,21,0))=TRUE," ",(VLOOKUP(D62,'Base de Datos'!$C$7:$AU$400,21,0)))</f>
        <v>42455</v>
      </c>
      <c r="AZ62" s="436">
        <f>IF(ISERROR(VLOOKUP(D62,'Base de Datos'!$C$7:$AU$400,22,0))=TRUE," ",(VLOOKUP(D62,'Base de Datos'!$C$7:$AU$400,22,0)))</f>
        <v>2000000</v>
      </c>
      <c r="BA62" s="443"/>
      <c r="BB62" s="453"/>
    </row>
    <row r="63" spans="2:54" ht="55.5" hidden="1" customHeight="1" x14ac:dyDescent="0.3">
      <c r="B63" s="406">
        <v>56</v>
      </c>
      <c r="C63" s="414" t="s">
        <v>1641</v>
      </c>
      <c r="D63" s="406">
        <v>150</v>
      </c>
      <c r="E63" s="414" t="s">
        <v>1654</v>
      </c>
      <c r="F63" s="415">
        <f>VLOOKUP(D63,'Presupuesto - PAA 2015'!$B$10:$E$265,4,0)</f>
        <v>4721200</v>
      </c>
      <c r="G63" s="407" t="str">
        <f>VLOOKUP(D63,'[4]Seguimiento Plan'!$C$2:$R$101,16,0)</f>
        <v>Prestar los servicios de mantenimiento correctivo y preventivo para las máquinas: Impresoras litográfica Multilith, compaginadora, guillotina y cizalla manual, ubicadas en la oficina de anales y publicaciones del Concejo de Bogotá</v>
      </c>
      <c r="H63" s="407" t="s">
        <v>1775</v>
      </c>
      <c r="I63" s="407" t="s">
        <v>1709</v>
      </c>
      <c r="J63" s="416" t="s">
        <v>909</v>
      </c>
      <c r="K63" s="417" t="s">
        <v>390</v>
      </c>
      <c r="L63" s="417" t="str">
        <f>VLOOKUP(D63,'[4]Seguimiento Plan'!$C$2:$AJ$101,30,0)</f>
        <v>SI</v>
      </c>
      <c r="M63" s="418">
        <f>VLOOKUP(D63,'[4]Seguimiento Plan'!$C$2:$AJ$101,31,0)</f>
        <v>42030</v>
      </c>
      <c r="N63" s="417"/>
      <c r="O63" s="419"/>
      <c r="P63" s="419"/>
      <c r="Q63" s="419"/>
      <c r="R63" s="497"/>
      <c r="S63" s="324" t="s">
        <v>1739</v>
      </c>
      <c r="T63" s="421" t="s">
        <v>266</v>
      </c>
      <c r="U63" s="423" t="str">
        <f>IF(ISERROR(VLOOKUP(T63,'Base de Datos'!$E$7:$AU$302,3,0))=TRUE," ",(VLOOKUP(T63,'Base de Datos'!$E$7:$AU$302,2,0)))</f>
        <v>SYSTEM NET INGENIERÍA LTDA</v>
      </c>
      <c r="V63" s="426">
        <f>IF(ISERROR(VLOOKUP(T63,'Base de Datos'!$E$7:$AU$302,5,0))=TRUE," ",(VLOOKUP(T63,'Base de Datos'!$E$7:$AU$302,5,0)))</f>
        <v>4982000</v>
      </c>
      <c r="W63" s="423">
        <f>IF(ISERROR(VLOOKUP(T63,'Base de Datos'!$E$7:$AU$302,19,0))=TRUE," ",(VLOOKUP(T63,'Base de Datos'!$E$7:$AU$302,19,0)))</f>
        <v>41969</v>
      </c>
      <c r="X63" s="428" t="str">
        <f>IF(ISERROR(VLOOKUP(T63,'Base de Datos'!$E$7:$AU$302,8,0))=TRUE," ",(VLOOKUP(T63,'Base de Datos'!$E$7:$AU$302,8,0)))</f>
        <v xml:space="preserve"> </v>
      </c>
      <c r="Y63" s="428">
        <f>IF(ISERROR(VLOOKUP(T63,'Base de Datos'!$E$7:$AU$302,9,0))=TRUE," ",(VLOOKUP(T63,'Base de Datos'!$E$7:$AU$302,9,0)))</f>
        <v>41725</v>
      </c>
      <c r="Z63" s="422">
        <f>IF(ISERROR(VLOOKUP(T63,'Base de Datos'!$E$7:$AU$302,10,0))=TRUE," ",(VLOOKUP(T63,'Base de Datos'!$E$7:$AU$302,10,0)))</f>
        <v>41969</v>
      </c>
      <c r="AA63" s="425" t="str">
        <f>IF(ISERROR(VLOOKUP(T63,'Base de Datos'!$E$7:$AU$302,11,0))=TRUE," ",(VLOOKUP(T63,'Base de Datos'!$E$7:$AU$302,11,0)))</f>
        <v/>
      </c>
      <c r="AB63" s="422">
        <f>IF(ISERROR(VLOOKUP(T63,'Base de Datos'!$E$7:$AU$302,12,0))=TRUE," ",(VLOOKUP(T63,'Base de Datos'!$E$7:$AU$302,12,0)))</f>
        <v>0</v>
      </c>
      <c r="AC63" s="422">
        <f>IF(ISERROR(VLOOKUP(T63,'Base de Datos'!$E$7:$AU$302,12,0))=TRUE," ",(VLOOKUP(T63,'Base de Datos'!$E$7:$AU$302,12,0)))</f>
        <v>0</v>
      </c>
      <c r="AD63" s="428" t="str">
        <f>IF(ISERROR(VLOOKUP(T63,'Base de Datos'!$E$7:$AU$302,15,0))=TRUE," ",(VLOOKUP(T63,'Base de Datos'!$E$7:$AU$302,15,0)))</f>
        <v/>
      </c>
      <c r="AE63" s="433" t="str">
        <f>IF(ISERROR(VLOOKUP(T63,'Base de Datos'!$E$7:$AU$302,16,0))=TRUE," ",(VLOOKUP(T63,'Base de Datos'!$E$7:$AU$302,16,0)))</f>
        <v/>
      </c>
      <c r="AF63" s="433" t="str">
        <f>IF(ISERROR(VLOOKUP(T63,'Base de Datos'!$E$7:$AU$302,17,0))=TRUE," ",(VLOOKUP(T63,'Base de Datos'!$E$7:$AU$302,17,0)))</f>
        <v/>
      </c>
      <c r="AG63" s="433" t="str">
        <f>IF(ISERROR(VLOOKUP(T63,'Base de Datos'!$E$7:$AU$302,18,0))=TRUE," ",(VLOOKUP(T63,'Base de Datos'!$E$7:$AU$302,18,0)))</f>
        <v/>
      </c>
      <c r="AH63" s="434">
        <f>IF(ISERROR(VLOOKUP(T63,'Base de Datos'!$E$7:$AU$302,20,0))=TRUE," ",(VLOOKUP(T63,'Base de Datos'!$E$7:$AU$302,20,0)))</f>
        <v>4982000</v>
      </c>
      <c r="AI63" s="434">
        <f>IF(ISERROR(VLOOKUP(T63,'Base de Datos'!$E$7:$AU$302,21,0))=TRUE," ",(VLOOKUP(T63,'Base de Datos'!$E$7:$AU$302,21,0)))</f>
        <v>2832000</v>
      </c>
      <c r="AJ63" s="428">
        <v>42104</v>
      </c>
      <c r="AK63" s="423" t="str">
        <f>IF(ISERROR(VLOOKUP(D63,'Base de Datos'!$C$7:$AU$400,2,0))=TRUE," ",(VLOOKUP(D63,'Base de Datos'!$C$7:$AU$400,2,0)))</f>
        <v>2015150</v>
      </c>
      <c r="AL63" s="423" t="str">
        <f>IF(ISERROR(VLOOKUP(D63,'Base de Datos'!$C$7:$AU$400,3,0))=TRUE," ",(VLOOKUP(D63,'Base de Datos'!$C$7:$AU$400,3,0)))</f>
        <v>150168-0-2015</v>
      </c>
      <c r="AM63" s="426" t="str">
        <f>IF(ISERROR(VLOOKUP(D63,'Base de Datos'!$C$7:$AU$3761,6,0))=TRUE," ",(VLOOKUP(D63,'Base de Datos'!$C$7:$AU$400,6,0)))</f>
        <v>Prestar el servicio de mantenimiento preventivo y correctivo para las máquinas: Impresora Litográfica MULTILITH modelo 1250, Compaginadora DUPLO DC 10, Guillotina y Cizalla manual, ubicadas en la oficina de Anales y Publicaciones del Concejo de Bogotá D.C</v>
      </c>
      <c r="AN63" s="426" t="str">
        <f>IF(ISERROR(VLOOKUP(D63,'Base de Datos'!$C$7:$AU$400,20,0))=TRUE," ",(VLOOKUP(D63,'Base de Datos'!$C$7:$AU$400,19,0)))</f>
        <v/>
      </c>
      <c r="AO63" s="429">
        <f>IF(ISERROR(VLOOKUP(D63,'Base de Datos'!$C$7:$AU$400,9,0))=TRUE," ",(VLOOKUP(D63,'Base de Datos'!$C$7:$AU$400,9,0)))</f>
        <v>2015</v>
      </c>
      <c r="AP63" s="429">
        <f>IF(ISERROR(VLOOKUP(D63,'Base de Datos'!$C$7:$AU$400,10,0))=TRUE," ",(VLOOKUP(D63,'Base de Datos'!$C$7:$AU$400,10,0)))</f>
        <v>42104</v>
      </c>
      <c r="AQ63" s="431">
        <f>IF(ISERROR(VLOOKUP(D63,'Base de Datos'!$C$7:$AU$400,11,0))=TRUE," ",(VLOOKUP(D63,'Base de Datos'!$C$7:$AU$400,11,0)))</f>
        <v>42116</v>
      </c>
      <c r="AR63" s="432">
        <f>IF(ISERROR(VLOOKUP(D63,'Base de Datos'!$C$7:$AU$400,12,0))=TRUE," ",(VLOOKUP(D63,'Base de Datos'!$C$7:$AU$400,12,0)))</f>
        <v>42451</v>
      </c>
      <c r="AS63" s="431" t="str">
        <f>IF(ISERROR(VLOOKUP(D63,'Base de Datos'!$C$7:$AU$400,13,0))=TRUE," ",(VLOOKUP(D63,'Base de Datos'!$C$7:$AU$400,13,0)))</f>
        <v/>
      </c>
      <c r="AT63" s="431">
        <f>IF(ISERROR(VLOOKUP(D63,'Base de Datos'!$C$7:$AU$400,14,0))=TRUE," ",(VLOOKUP(D63,'Base de Datos'!$C$7:$AU$400,14,0)))</f>
        <v>0</v>
      </c>
      <c r="AU63" s="429">
        <f>IF(ISERROR(VLOOKUP(D63,'Base de Datos'!$C$7:$AU$400,16,0))=TRUE," ",(VLOOKUP(D63,'Base de Datos'!$C$7:$AU$400,16,0)))</f>
        <v>0</v>
      </c>
      <c r="AV63" s="433" t="str">
        <f>IF(ISERROR(VLOOKUP(D63,'Base de Datos'!$C$7:$AU$400,17,0))=TRUE," ",(VLOOKUP(D63,'Base de Datos'!$C$7:$AU$400,17,0)))</f>
        <v/>
      </c>
      <c r="AW63" s="433" t="str">
        <f>IF(ISERROR(VLOOKUP(D63,'Base de Datos'!$C$7:$AU$400,18,0))=TRUE," ",(VLOOKUP(D63,'Base de Datos'!$C$7:$AU$400,18,0)))</f>
        <v/>
      </c>
      <c r="AX63" s="433" t="str">
        <f>IF(ISERROR(VLOOKUP(D63,'Base de Datos'!$C$7:$AU$400,19,0))=TRUE," ",(VLOOKUP(D63,'Base de Datos'!$C$7:$AU$400,19,0)))</f>
        <v/>
      </c>
      <c r="AY63" s="436">
        <f>IF(ISERROR(VLOOKUP(D63,'Base de Datos'!$C$7:$AU$400,21,0))=TRUE," ",(VLOOKUP(D63,'Base de Datos'!$C$7:$AU$400,21,0)))</f>
        <v>42451</v>
      </c>
      <c r="AZ63" s="436">
        <f>IF(ISERROR(VLOOKUP(D63,'Base de Datos'!$C$7:$AU$400,22,0))=TRUE," ",(VLOOKUP(D63,'Base de Datos'!$C$7:$AU$400,22,0)))</f>
        <v>4721200</v>
      </c>
      <c r="BA63" s="443"/>
      <c r="BB63" s="453"/>
    </row>
    <row r="64" spans="2:54" ht="55.5" hidden="1" customHeight="1" x14ac:dyDescent="0.3">
      <c r="B64" s="406">
        <v>57</v>
      </c>
      <c r="C64" s="414" t="s">
        <v>1641</v>
      </c>
      <c r="D64" s="406">
        <v>151</v>
      </c>
      <c r="E64" s="414" t="s">
        <v>1654</v>
      </c>
      <c r="F64" s="415">
        <f>VLOOKUP(D64,'Presupuesto - PAA 2015'!$B$10:$E$265,4,0)</f>
        <v>14917500</v>
      </c>
      <c r="G64" s="407" t="str">
        <f>VLOOKUP(D64,'[4]Seguimiento Plan'!$C$2:$R$101,16,0)</f>
        <v>Realizar la interventoría al contrato de mantenimiento integral locativo del Concejo de Bogotá.</v>
      </c>
      <c r="H64" s="407" t="s">
        <v>1775</v>
      </c>
      <c r="I64" s="407" t="s">
        <v>1715</v>
      </c>
      <c r="J64" s="416" t="s">
        <v>909</v>
      </c>
      <c r="K64" s="417" t="s">
        <v>390</v>
      </c>
      <c r="L64" s="417" t="s">
        <v>390</v>
      </c>
      <c r="M64" s="418">
        <v>42117</v>
      </c>
      <c r="N64" s="417" t="s">
        <v>1820</v>
      </c>
      <c r="O64" s="419"/>
      <c r="P64" s="419"/>
      <c r="Q64" s="419"/>
      <c r="R64" s="420"/>
      <c r="S64" s="677" t="s">
        <v>2061</v>
      </c>
      <c r="T64" s="317" t="s">
        <v>292</v>
      </c>
      <c r="U64" s="423" t="str">
        <f>IF(ISERROR(VLOOKUP(T64,'Base de Datos'!$E$7:$AU$302,3,0))=TRUE," ",(VLOOKUP(T64,'Base de Datos'!$E$7:$AU$302,2,0)))</f>
        <v>ELKIN MAURICIO DIMAS MONTAYA</v>
      </c>
      <c r="V64" s="426">
        <f>IF(ISERROR(VLOOKUP(T64,'Base de Datos'!$E$7:$AU$302,5,0))=TRUE," ",(VLOOKUP(T64,'Base de Datos'!$E$7:$AU$302,5,0)))</f>
        <v>16390000</v>
      </c>
      <c r="W64" s="423">
        <f>IF(ISERROR(VLOOKUP(T64,'Base de Datos'!$E$7:$AU$302,19,0))=TRUE," ",(VLOOKUP(T64,'Base de Datos'!$E$7:$AU$302,19,0)))</f>
        <v>42247</v>
      </c>
      <c r="X64" s="428" t="str">
        <f>IF(ISERROR(VLOOKUP(T64,'Base de Datos'!$E$7:$AU$302,8,0))=TRUE," ",(VLOOKUP(T64,'Base de Datos'!$E$7:$AU$302,8,0)))</f>
        <v xml:space="preserve"> </v>
      </c>
      <c r="Y64" s="428">
        <f>IF(ISERROR(VLOOKUP(T64,'Base de Datos'!$E$7:$AU$302,9,0))=TRUE," ",(VLOOKUP(T64,'Base de Datos'!$E$7:$AU$302,9,0)))</f>
        <v>41799</v>
      </c>
      <c r="Z64" s="422">
        <f>IF(ISERROR(VLOOKUP(T64,'Base de Datos'!$E$7:$AU$302,10,0))=TRUE," ",(VLOOKUP(T64,'Base de Datos'!$E$7:$AU$302,10,0)))</f>
        <v>42193</v>
      </c>
      <c r="AA64" s="425" t="str">
        <f>IF(ISERROR(VLOOKUP(T64,'Base de Datos'!$E$7:$AU$302,11,0))=TRUE," ",(VLOOKUP(T64,'Base de Datos'!$E$7:$AU$302,11,0)))</f>
        <v/>
      </c>
      <c r="AB64" s="422">
        <f>IF(ISERROR(VLOOKUP(T64,'Base de Datos'!$E$7:$AU$302,12,0))=TRUE," ",(VLOOKUP(T64,'Base de Datos'!$E$7:$AU$302,12,0)))</f>
        <v>1</v>
      </c>
      <c r="AC64" s="422">
        <f>IF(ISERROR(VLOOKUP(T64,'Base de Datos'!$E$7:$AU$302,12,0))=TRUE," ",(VLOOKUP(T64,'Base de Datos'!$E$7:$AU$302,12,0)))</f>
        <v>1</v>
      </c>
      <c r="AD64" s="428" t="str">
        <f>IF(ISERROR(VLOOKUP(T64,'Base de Datos'!$E$7:$AU$302,15,0))=TRUE," ",(VLOOKUP(T64,'Base de Datos'!$E$7:$AU$302,15,0)))</f>
        <v>1 mes y 22 días</v>
      </c>
      <c r="AE64" s="433">
        <f>IF(ISERROR(VLOOKUP(T64,'Base de Datos'!$E$7:$AU$302,16,0))=TRUE," ",(VLOOKUP(T64,'Base de Datos'!$E$7:$AU$302,16,0)))</f>
        <v>42247</v>
      </c>
      <c r="AF64" s="433" t="str">
        <f>IF(ISERROR(VLOOKUP(T64,'Base de Datos'!$E$7:$AU$302,17,0))=TRUE," ",(VLOOKUP(T64,'Base de Datos'!$E$7:$AU$302,17,0)))</f>
        <v/>
      </c>
      <c r="AG64" s="433" t="str">
        <f>IF(ISERROR(VLOOKUP(T64,'Base de Datos'!$E$7:$AU$302,18,0))=TRUE," ",(VLOOKUP(T64,'Base de Datos'!$E$7:$AU$302,18,0)))</f>
        <v/>
      </c>
      <c r="AH64" s="434">
        <f>IF(ISERROR(VLOOKUP(T64,'Base de Datos'!$E$7:$AU$302,20,0))=TRUE," ",(VLOOKUP(T64,'Base de Datos'!$E$7:$AU$302,20,0)))</f>
        <v>18714400</v>
      </c>
      <c r="AI64" s="434">
        <f>IF(ISERROR(VLOOKUP(T64,'Base de Datos'!$E$7:$AU$302,21,0))=TRUE," ",(VLOOKUP(T64,'Base de Datos'!$E$7:$AU$302,21,0)))</f>
        <v>18714400</v>
      </c>
      <c r="AJ64" s="423"/>
      <c r="AK64" s="423" t="str">
        <f>IF(ISERROR(VLOOKUP(D64,'Base de Datos'!$C$7:$AU$400,2,0))=TRUE," ",(VLOOKUP(D64,'Base de Datos'!$C$7:$AU$400,2,0)))</f>
        <v>2015151</v>
      </c>
      <c r="AL64" s="423" t="str">
        <f>IF(ISERROR(VLOOKUP(D64,'Base de Datos'!$C$7:$AU$400,3,0))=TRUE," ",(VLOOKUP(D64,'Base de Datos'!$C$7:$AU$400,3,0)))</f>
        <v>150333-0-2015</v>
      </c>
      <c r="AM64" s="426" t="str">
        <f>IF(ISERROR(VLOOKUP(D64,'Base de Datos'!$C$7:$AU$3761,6,0))=TRUE," ",(VLOOKUP(D64,'Base de Datos'!$C$7:$AU$400,6,0)))</f>
        <v>Realizar la Interventoría técnica administrativa, ambiental, financiera, legal y contable, para el contrato de Mantenimiento Integral Locativo con el suministro de personal, equipos y repuestos, en las instalaciones físicas del Concejo de Bogotá D.C.</v>
      </c>
      <c r="AN64" s="426" t="str">
        <f>IF(ISERROR(VLOOKUP(D64,'Base de Datos'!$C$7:$AU$400,20,0))=TRUE," ",(VLOOKUP(D64,'Base de Datos'!$C$7:$AU$400,19,0)))</f>
        <v/>
      </c>
      <c r="AO64" s="429">
        <f>IF(ISERROR(VLOOKUP(D64,'Base de Datos'!$C$7:$AU$400,9,0))=TRUE," ",(VLOOKUP(D64,'Base de Datos'!$C$7:$AU$400,9,0)))</f>
        <v>2015</v>
      </c>
      <c r="AP64" s="429">
        <f>IF(ISERROR(VLOOKUP(D64,'Base de Datos'!$C$7:$AU$400,10,0))=TRUE," ",(VLOOKUP(D64,'Base de Datos'!$C$7:$AU$400,10,0)))</f>
        <v>42228</v>
      </c>
      <c r="AQ64" s="431">
        <f>IF(ISERROR(VLOOKUP(D64,'Base de Datos'!$C$7:$AU$400,11,0))=TRUE," ",(VLOOKUP(D64,'Base de Datos'!$C$7:$AU$400,11,0)))</f>
        <v>42247</v>
      </c>
      <c r="AR64" s="432">
        <f>IF(ISERROR(VLOOKUP(D64,'Base de Datos'!$C$7:$AU$400,12,0))=TRUE," ",(VLOOKUP(D64,'Base de Datos'!$C$7:$AU$400,12,0)))</f>
        <v>42551</v>
      </c>
      <c r="AS64" s="431" t="str">
        <f>IF(ISERROR(VLOOKUP(D64,'Base de Datos'!$C$7:$AU$400,13,0))=TRUE," ",(VLOOKUP(D64,'Base de Datos'!$C$7:$AU$400,13,0)))</f>
        <v/>
      </c>
      <c r="AT64" s="431">
        <f>IF(ISERROR(VLOOKUP(D64,'Base de Datos'!$C$7:$AU$400,14,0))=TRUE," ",(VLOOKUP(D64,'Base de Datos'!$C$7:$AU$400,14,0)))</f>
        <v>0</v>
      </c>
      <c r="AU64" s="429">
        <f>IF(ISERROR(VLOOKUP(D64,'Base de Datos'!$C$7:$AU$400,16,0))=TRUE," ",(VLOOKUP(D64,'Base de Datos'!$C$7:$AU$400,16,0)))</f>
        <v>4</v>
      </c>
      <c r="AV64" s="433" t="str">
        <f>IF(ISERROR(VLOOKUP(D64,'Base de Datos'!$C$7:$AU$400,17,0))=TRUE," ",(VLOOKUP(D64,'Base de Datos'!$C$7:$AU$400,17,0)))</f>
        <v xml:space="preserve">5 meses y 15 días </v>
      </c>
      <c r="AW64" s="433">
        <f>IF(ISERROR(VLOOKUP(D64,'Base de Datos'!$C$7:$AU$400,18,0))=TRUE," ",(VLOOKUP(D64,'Base de Datos'!$C$7:$AU$400,18,0)))</f>
        <v>42689</v>
      </c>
      <c r="AX64" s="433" t="str">
        <f>IF(ISERROR(VLOOKUP(D64,'Base de Datos'!$C$7:$AU$400,19,0))=TRUE," ",(VLOOKUP(D64,'Base de Datos'!$C$7:$AU$400,19,0)))</f>
        <v/>
      </c>
      <c r="AY64" s="436">
        <f>IF(ISERROR(VLOOKUP(D64,'Base de Datos'!$C$7:$AU$400,21,0))=TRUE," ",(VLOOKUP(D64,'Base de Datos'!$C$7:$AU$400,21,0)))</f>
        <v>42689</v>
      </c>
      <c r="AZ64" s="436">
        <f>IF(ISERROR(VLOOKUP(D64,'Base de Datos'!$C$7:$AU$400,22,0))=TRUE," ",(VLOOKUP(D64,'Base de Datos'!$C$7:$AU$400,22,0)))</f>
        <v>14917500</v>
      </c>
      <c r="BA64" s="443"/>
      <c r="BB64" s="453"/>
    </row>
    <row r="65" spans="2:54" ht="55.5" hidden="1" customHeight="1" x14ac:dyDescent="0.3">
      <c r="B65" s="406">
        <v>58</v>
      </c>
      <c r="C65" s="414" t="s">
        <v>1641</v>
      </c>
      <c r="D65" s="406">
        <v>152</v>
      </c>
      <c r="E65" s="414" t="s">
        <v>1654</v>
      </c>
      <c r="F65" s="415">
        <f>VLOOKUP(D65,'Presupuesto - PAA 2015'!$B$10:$E$265,4,0)</f>
        <v>7442000</v>
      </c>
      <c r="G65" s="407" t="str">
        <f>VLOOKUP(D65,'[4]Seguimiento Plan'!$C$2:$R$101,16,0)</f>
        <v>Prestar los servicios de mantenimiento correctivo y preventivo de la puerta eléctrica y talanqueras de acceso vehicular del Concejo de Bogota</v>
      </c>
      <c r="H65" s="407" t="s">
        <v>1775</v>
      </c>
      <c r="I65" s="407" t="s">
        <v>1709</v>
      </c>
      <c r="J65" s="416" t="s">
        <v>909</v>
      </c>
      <c r="K65" s="417" t="s">
        <v>390</v>
      </c>
      <c r="L65" s="417" t="str">
        <f>VLOOKUP(D65,'[4]Seguimiento Plan'!$C$2:$AJ$101,30,0)</f>
        <v>SI</v>
      </c>
      <c r="M65" s="418">
        <f>VLOOKUP(D65,'[4]Seguimiento Plan'!$C$2:$AJ$101,31,0)</f>
        <v>41991</v>
      </c>
      <c r="N65" s="417"/>
      <c r="O65" s="419"/>
      <c r="P65" s="419"/>
      <c r="Q65" s="419"/>
      <c r="R65" s="497"/>
      <c r="S65" s="324" t="s">
        <v>1740</v>
      </c>
      <c r="T65" s="125" t="s">
        <v>273</v>
      </c>
      <c r="U65" s="423" t="str">
        <f>IF(ISERROR(VLOOKUP(T65,'Base de Datos'!$E$7:$AU$302,3,0))=TRUE," ",(VLOOKUP(T65,'Base de Datos'!$E$7:$AU$302,2,0)))</f>
        <v>AGR SOLUCIONES S.A.S.</v>
      </c>
      <c r="V65" s="426">
        <f>IF(ISERROR(VLOOKUP(T65,'Base de Datos'!$E$7:$AU$302,5,0))=TRUE," ",(VLOOKUP(T65,'Base de Datos'!$E$7:$AU$302,5,0)))</f>
        <v>11000000</v>
      </c>
      <c r="W65" s="423">
        <f>IF(ISERROR(VLOOKUP(T65,'Base de Datos'!$E$7:$AU$302,19,0))=TRUE," ",(VLOOKUP(T65,'Base de Datos'!$E$7:$AU$302,19,0)))</f>
        <v>42012</v>
      </c>
      <c r="X65" s="428" t="str">
        <f>IF(ISERROR(VLOOKUP(T65,'Base de Datos'!$E$7:$AU$302,8,0))=TRUE," ",(VLOOKUP(T65,'Base de Datos'!$E$7:$AU$302,8,0)))</f>
        <v xml:space="preserve"> </v>
      </c>
      <c r="Y65" s="428">
        <f>IF(ISERROR(VLOOKUP(T65,'Base de Datos'!$E$7:$AU$302,9,0))=TRUE," ",(VLOOKUP(T65,'Base de Datos'!$E$7:$AU$302,9,0)))</f>
        <v>41738</v>
      </c>
      <c r="Z65" s="422">
        <f>IF(ISERROR(VLOOKUP(T65,'Base de Datos'!$E$7:$AU$302,10,0))=TRUE," ",(VLOOKUP(T65,'Base de Datos'!$E$7:$AU$302,10,0)))</f>
        <v>42012</v>
      </c>
      <c r="AA65" s="425" t="str">
        <f>IF(ISERROR(VLOOKUP(T65,'Base de Datos'!$E$7:$AU$302,11,0))=TRUE," ",(VLOOKUP(T65,'Base de Datos'!$E$7:$AU$302,11,0)))</f>
        <v/>
      </c>
      <c r="AB65" s="422">
        <f>IF(ISERROR(VLOOKUP(T65,'Base de Datos'!$E$7:$AU$302,12,0))=TRUE," ",(VLOOKUP(T65,'Base de Datos'!$E$7:$AU$302,12,0)))</f>
        <v>0</v>
      </c>
      <c r="AC65" s="422">
        <f>IF(ISERROR(VLOOKUP(T65,'Base de Datos'!$E$7:$AU$302,12,0))=TRUE," ",(VLOOKUP(T65,'Base de Datos'!$E$7:$AU$302,12,0)))</f>
        <v>0</v>
      </c>
      <c r="AD65" s="428" t="str">
        <f>IF(ISERROR(VLOOKUP(T65,'Base de Datos'!$E$7:$AU$302,15,0))=TRUE," ",(VLOOKUP(T65,'Base de Datos'!$E$7:$AU$302,15,0)))</f>
        <v/>
      </c>
      <c r="AE65" s="433" t="str">
        <f>IF(ISERROR(VLOOKUP(T65,'Base de Datos'!$E$7:$AU$302,16,0))=TRUE," ",(VLOOKUP(T65,'Base de Datos'!$E$7:$AU$302,16,0)))</f>
        <v/>
      </c>
      <c r="AF65" s="433" t="str">
        <f>IF(ISERROR(VLOOKUP(T65,'Base de Datos'!$E$7:$AU$302,17,0))=TRUE," ",(VLOOKUP(T65,'Base de Datos'!$E$7:$AU$302,17,0)))</f>
        <v/>
      </c>
      <c r="AG65" s="433" t="str">
        <f>IF(ISERROR(VLOOKUP(T65,'Base de Datos'!$E$7:$AU$302,18,0))=TRUE," ",(VLOOKUP(T65,'Base de Datos'!$E$7:$AU$302,18,0)))</f>
        <v/>
      </c>
      <c r="AH65" s="434">
        <f>IF(ISERROR(VLOOKUP(T65,'Base de Datos'!$E$7:$AU$302,20,0))=TRUE," ",(VLOOKUP(T65,'Base de Datos'!$E$7:$AU$302,20,0)))</f>
        <v>11000000</v>
      </c>
      <c r="AI65" s="434">
        <f>IF(ISERROR(VLOOKUP(T65,'Base de Datos'!$E$7:$AU$302,21,0))=TRUE," ",(VLOOKUP(T65,'Base de Datos'!$E$7:$AU$302,21,0)))</f>
        <v>2672466</v>
      </c>
      <c r="AJ65" s="428">
        <v>42082</v>
      </c>
      <c r="AK65" s="423" t="str">
        <f>IF(ISERROR(VLOOKUP(D65,'Base de Datos'!$C$7:$AU$400,2,0))=TRUE," ",(VLOOKUP(D65,'Base de Datos'!$C$7:$AU$400,2,0)))</f>
        <v>2015152</v>
      </c>
      <c r="AL65" s="423" t="str">
        <f>IF(ISERROR(VLOOKUP(D65,'Base de Datos'!$C$7:$AU$400,3,0))=TRUE," ",(VLOOKUP(D65,'Base de Datos'!$C$7:$AU$400,3,0)))</f>
        <v>150129-0-2015</v>
      </c>
      <c r="AM65" s="426" t="str">
        <f>IF(ISERROR(VLOOKUP(D65,'Base de Datos'!$C$7:$AU$3761,6,0))=TRUE," ",(VLOOKUP(D65,'Base de Datos'!$C$7:$AU$400,6,0)))</f>
        <v>Prestar el servicio de mantenimiento preventivo y correctivo con suministro de repuestos de la puerta eléctrica y talanqueras de acceso vehicular al Concejo de Bogotá D.C.</v>
      </c>
      <c r="AN65" s="426" t="str">
        <f>IF(ISERROR(VLOOKUP(D65,'Base de Datos'!$C$7:$AU$400,20,0))=TRUE," ",(VLOOKUP(D65,'Base de Datos'!$C$7:$AU$400,19,0)))</f>
        <v/>
      </c>
      <c r="AO65" s="429">
        <f>IF(ISERROR(VLOOKUP(D65,'Base de Datos'!$C$7:$AU$400,9,0))=TRUE," ",(VLOOKUP(D65,'Base de Datos'!$C$7:$AU$400,9,0)))</f>
        <v>2015</v>
      </c>
      <c r="AP65" s="429">
        <f>IF(ISERROR(VLOOKUP(D65,'Base de Datos'!$C$7:$AU$400,10,0))=TRUE," ",(VLOOKUP(D65,'Base de Datos'!$C$7:$AU$400,10,0)))</f>
        <v>42082</v>
      </c>
      <c r="AQ65" s="431">
        <f>IF(ISERROR(VLOOKUP(D65,'Base de Datos'!$C$7:$AU$400,11,0))=TRUE," ",(VLOOKUP(D65,'Base de Datos'!$C$7:$AU$400,11,0)))</f>
        <v>42111</v>
      </c>
      <c r="AR65" s="432">
        <f>IF(ISERROR(VLOOKUP(D65,'Base de Datos'!$C$7:$AU$400,12,0))=TRUE," ",(VLOOKUP(D65,'Base de Datos'!$C$7:$AU$400,12,0)))</f>
        <v>42477</v>
      </c>
      <c r="AS65" s="431" t="str">
        <f>IF(ISERROR(VLOOKUP(D65,'Base de Datos'!$C$7:$AU$400,13,0))=TRUE," ",(VLOOKUP(D65,'Base de Datos'!$C$7:$AU$400,13,0)))</f>
        <v/>
      </c>
      <c r="AT65" s="431">
        <f>IF(ISERROR(VLOOKUP(D65,'Base de Datos'!$C$7:$AU$400,14,0))=TRUE," ",(VLOOKUP(D65,'Base de Datos'!$C$7:$AU$400,14,0)))</f>
        <v>0</v>
      </c>
      <c r="AU65" s="429">
        <f>IF(ISERROR(VLOOKUP(D65,'Base de Datos'!$C$7:$AU$400,16,0))=TRUE," ",(VLOOKUP(D65,'Base de Datos'!$C$7:$AU$400,16,0)))</f>
        <v>0</v>
      </c>
      <c r="AV65" s="433" t="str">
        <f>IF(ISERROR(VLOOKUP(D65,'Base de Datos'!$C$7:$AU$400,17,0))=TRUE," ",(VLOOKUP(D65,'Base de Datos'!$C$7:$AU$400,17,0)))</f>
        <v/>
      </c>
      <c r="AW65" s="433" t="str">
        <f>IF(ISERROR(VLOOKUP(D65,'Base de Datos'!$C$7:$AU$400,18,0))=TRUE," ",(VLOOKUP(D65,'Base de Datos'!$C$7:$AU$400,18,0)))</f>
        <v/>
      </c>
      <c r="AX65" s="433" t="str">
        <f>IF(ISERROR(VLOOKUP(D65,'Base de Datos'!$C$7:$AU$400,19,0))=TRUE," ",(VLOOKUP(D65,'Base de Datos'!$C$7:$AU$400,19,0)))</f>
        <v/>
      </c>
      <c r="AY65" s="436">
        <f>IF(ISERROR(VLOOKUP(D65,'Base de Datos'!$C$7:$AU$400,21,0))=TRUE," ",(VLOOKUP(D65,'Base de Datos'!$C$7:$AU$400,21,0)))</f>
        <v>42477</v>
      </c>
      <c r="AZ65" s="436">
        <f>IF(ISERROR(VLOOKUP(D65,'Base de Datos'!$C$7:$AU$400,22,0))=TRUE," ",(VLOOKUP(D65,'Base de Datos'!$C$7:$AU$400,22,0)))</f>
        <v>7442000</v>
      </c>
      <c r="BA65" s="443"/>
      <c r="BB65" s="453"/>
    </row>
    <row r="66" spans="2:54" ht="55.5" hidden="1" customHeight="1" x14ac:dyDescent="0.3">
      <c r="B66" s="406">
        <v>59</v>
      </c>
      <c r="C66" s="414" t="s">
        <v>1641</v>
      </c>
      <c r="D66" s="406">
        <v>153</v>
      </c>
      <c r="E66" s="414" t="s">
        <v>1654</v>
      </c>
      <c r="F66" s="415" t="e">
        <f>VLOOKUP(D66,'Presupuesto - PAA 2015'!$B$10:$E$265,4,0)</f>
        <v>#N/A</v>
      </c>
      <c r="G66" s="407" t="str">
        <f>VLOOKUP(D66,'[4]Seguimiento Plan'!$C$2:$R$101,16,0)</f>
        <v>Prestar el servicio de manejo integral de los residuos peligrosos existentes en la sede del Concejo de Bogotá.</v>
      </c>
      <c r="H66" s="407" t="s">
        <v>1775</v>
      </c>
      <c r="I66" s="407" t="s">
        <v>1709</v>
      </c>
      <c r="J66" s="416" t="s">
        <v>909</v>
      </c>
      <c r="K66" s="417"/>
      <c r="L66" s="417"/>
      <c r="M66" s="418"/>
      <c r="N66" s="417"/>
      <c r="O66" s="419"/>
      <c r="P66" s="419"/>
      <c r="Q66" s="419"/>
      <c r="R66" s="420"/>
      <c r="S66" s="420"/>
      <c r="T66" s="318" t="s">
        <v>308</v>
      </c>
      <c r="U66" s="423" t="str">
        <f>IF(ISERROR(VLOOKUP(T66,'Base de Datos'!$E$7:$AU$302,3,0))=TRUE," ",(VLOOKUP(T66,'Base de Datos'!$E$7:$AU$302,2,0)))</f>
        <v>INDUSTRIAS QUÍMICAS FIQ LTDA</v>
      </c>
      <c r="V66" s="426">
        <f>IF(ISERROR(VLOOKUP(T66,'Base de Datos'!$E$7:$AU$302,5,0))=TRUE," ",(VLOOKUP(T66,'Base de Datos'!$E$7:$AU$302,5,0)))</f>
        <v>2260000</v>
      </c>
      <c r="W66" s="423">
        <f>IF(ISERROR(VLOOKUP(T66,'Base de Datos'!$E$7:$AU$302,19,0))=TRUE," ",(VLOOKUP(T66,'Base de Datos'!$E$7:$AU$302,19,0)))</f>
        <v>41923</v>
      </c>
      <c r="X66" s="428" t="str">
        <f>IF(ISERROR(VLOOKUP(T66,'Base de Datos'!$E$7:$AU$302,8,0))=TRUE," ",(VLOOKUP(T66,'Base de Datos'!$E$7:$AU$302,8,0)))</f>
        <v xml:space="preserve"> </v>
      </c>
      <c r="Y66" s="428">
        <f>IF(ISERROR(VLOOKUP(T66,'Base de Datos'!$E$7:$AU$302,9,0))=TRUE," ",(VLOOKUP(T66,'Base de Datos'!$E$7:$AU$302,9,0)))</f>
        <v>41862</v>
      </c>
      <c r="Z66" s="422">
        <f>IF(ISERROR(VLOOKUP(T66,'Base de Datos'!$E$7:$AU$302,10,0))=TRUE," ",(VLOOKUP(T66,'Base de Datos'!$E$7:$AU$302,10,0)))</f>
        <v>41923</v>
      </c>
      <c r="AA66" s="425" t="str">
        <f>IF(ISERROR(VLOOKUP(T66,'Base de Datos'!$E$7:$AU$302,11,0))=TRUE," ",(VLOOKUP(T66,'Base de Datos'!$E$7:$AU$302,11,0)))</f>
        <v/>
      </c>
      <c r="AB66" s="422">
        <f>IF(ISERROR(VLOOKUP(T66,'Base de Datos'!$E$7:$AU$302,12,0))=TRUE," ",(VLOOKUP(T66,'Base de Datos'!$E$7:$AU$302,12,0)))</f>
        <v>0</v>
      </c>
      <c r="AC66" s="422">
        <f>IF(ISERROR(VLOOKUP(T66,'Base de Datos'!$E$7:$AU$302,12,0))=TRUE," ",(VLOOKUP(T66,'Base de Datos'!$E$7:$AU$302,12,0)))</f>
        <v>0</v>
      </c>
      <c r="AD66" s="428" t="str">
        <f>IF(ISERROR(VLOOKUP(T66,'Base de Datos'!$E$7:$AU$302,15,0))=TRUE," ",(VLOOKUP(T66,'Base de Datos'!$E$7:$AU$302,15,0)))</f>
        <v/>
      </c>
      <c r="AE66" s="433" t="str">
        <f>IF(ISERROR(VLOOKUP(T66,'Base de Datos'!$E$7:$AU$302,16,0))=TRUE," ",(VLOOKUP(T66,'Base de Datos'!$E$7:$AU$302,16,0)))</f>
        <v/>
      </c>
      <c r="AF66" s="433" t="str">
        <f>IF(ISERROR(VLOOKUP(T66,'Base de Datos'!$E$7:$AU$302,17,0))=TRUE," ",(VLOOKUP(T66,'Base de Datos'!$E$7:$AU$302,17,0)))</f>
        <v/>
      </c>
      <c r="AG66" s="433" t="str">
        <f>IF(ISERROR(VLOOKUP(T66,'Base de Datos'!$E$7:$AU$302,18,0))=TRUE," ",(VLOOKUP(T66,'Base de Datos'!$E$7:$AU$302,18,0)))</f>
        <v/>
      </c>
      <c r="AH66" s="434">
        <f>IF(ISERROR(VLOOKUP(T66,'Base de Datos'!$E$7:$AU$302,20,0))=TRUE," ",(VLOOKUP(T66,'Base de Datos'!$E$7:$AU$302,20,0)))</f>
        <v>2260000</v>
      </c>
      <c r="AI66" s="434">
        <f>IF(ISERROR(VLOOKUP(T66,'Base de Datos'!$E$7:$AU$302,21,0))=TRUE," ",(VLOOKUP(T66,'Base de Datos'!$E$7:$AU$302,21,0)))</f>
        <v>1595000</v>
      </c>
      <c r="AJ66" s="423"/>
      <c r="AK66" s="423" t="str">
        <f>IF(ISERROR(VLOOKUP(D66,'Base de Datos'!$C$7:$AU$400,2,0))=TRUE," ",(VLOOKUP(D66,'Base de Datos'!$C$7:$AU$400,2,0)))</f>
        <v>2016153</v>
      </c>
      <c r="AL66" s="423" t="str">
        <f>IF(ISERROR(VLOOKUP(D66,'Base de Datos'!$C$7:$AU$400,3,0))=TRUE," ",(VLOOKUP(D66,'Base de Datos'!$C$7:$AU$400,3,0)))</f>
        <v>160047-0-2016</v>
      </c>
      <c r="AM66" s="426" t="str">
        <f>IF(ISERROR(VLOOKUP(D66,'Base de Datos'!$C$7:$AU$3761,6,0))=TRUE," ",(VLOOKUP(D66,'Base de Datos'!$C$7:$AU$400,6,0)))</f>
        <v>Prestar los servicios profesionales para apoyar la definición, contratación y seguimiento de los temas de infraestructura física que  requiera el Concejo de Bogotá D.C.</v>
      </c>
      <c r="AN66" s="426" t="str">
        <f>IF(ISERROR(VLOOKUP(D66,'Base de Datos'!$C$7:$AU$400,20,0))=TRUE," ",(VLOOKUP(D66,'Base de Datos'!$C$7:$AU$400,19,0)))</f>
        <v/>
      </c>
      <c r="AO66" s="429">
        <f>IF(ISERROR(VLOOKUP(D66,'Base de Datos'!$C$7:$AU$400,9,0))=TRUE," ",(VLOOKUP(D66,'Base de Datos'!$C$7:$AU$400,9,0)))</f>
        <v>2016</v>
      </c>
      <c r="AP66" s="429">
        <f>IF(ISERROR(VLOOKUP(D66,'Base de Datos'!$C$7:$AU$400,10,0))=TRUE," ",(VLOOKUP(D66,'Base de Datos'!$C$7:$AU$400,10,0)))</f>
        <v>42446</v>
      </c>
      <c r="AQ66" s="431">
        <f>IF(ISERROR(VLOOKUP(D66,'Base de Datos'!$C$7:$AU$400,11,0))=TRUE," ",(VLOOKUP(D66,'Base de Datos'!$C$7:$AU$400,11,0)))</f>
        <v>42451</v>
      </c>
      <c r="AR66" s="432">
        <f>IF(ISERROR(VLOOKUP(D66,'Base de Datos'!$C$7:$AU$400,12,0))=TRUE," ",(VLOOKUP(D66,'Base de Datos'!$C$7:$AU$400,12,0)))</f>
        <v>42816</v>
      </c>
      <c r="AS66" s="431" t="str">
        <f>IF(ISERROR(VLOOKUP(D66,'Base de Datos'!$C$7:$AU$400,13,0))=TRUE," ",(VLOOKUP(D66,'Base de Datos'!$C$7:$AU$400,13,0)))</f>
        <v/>
      </c>
      <c r="AT66" s="431">
        <f>IF(ISERROR(VLOOKUP(D66,'Base de Datos'!$C$7:$AU$400,14,0))=TRUE," ",(VLOOKUP(D66,'Base de Datos'!$C$7:$AU$400,14,0)))</f>
        <v>0</v>
      </c>
      <c r="AU66" s="429">
        <f>IF(ISERROR(VLOOKUP(D66,'Base de Datos'!$C$7:$AU$400,16,0))=TRUE," ",(VLOOKUP(D66,'Base de Datos'!$C$7:$AU$400,16,0)))</f>
        <v>0</v>
      </c>
      <c r="AV66" s="433" t="str">
        <f>IF(ISERROR(VLOOKUP(D66,'Base de Datos'!$C$7:$AU$400,17,0))=TRUE," ",(VLOOKUP(D66,'Base de Datos'!$C$7:$AU$400,17,0)))</f>
        <v/>
      </c>
      <c r="AW66" s="433" t="str">
        <f>IF(ISERROR(VLOOKUP(D66,'Base de Datos'!$C$7:$AU$400,18,0))=TRUE," ",(VLOOKUP(D66,'Base de Datos'!$C$7:$AU$400,18,0)))</f>
        <v/>
      </c>
      <c r="AX66" s="433" t="str">
        <f>IF(ISERROR(VLOOKUP(D66,'Base de Datos'!$C$7:$AU$400,19,0))=TRUE," ",(VLOOKUP(D66,'Base de Datos'!$C$7:$AU$400,19,0)))</f>
        <v/>
      </c>
      <c r="AY66" s="436">
        <f>IF(ISERROR(VLOOKUP(D66,'Base de Datos'!$C$7:$AU$400,21,0))=TRUE," ",(VLOOKUP(D66,'Base de Datos'!$C$7:$AU$400,21,0)))</f>
        <v>42816</v>
      </c>
      <c r="AZ66" s="436">
        <f>IF(ISERROR(VLOOKUP(D66,'Base de Datos'!$C$7:$AU$400,22,0))=TRUE," ",(VLOOKUP(D66,'Base de Datos'!$C$7:$AU$400,22,0)))</f>
        <v>61800000</v>
      </c>
      <c r="BA66" s="443"/>
      <c r="BB66" s="453"/>
    </row>
    <row r="67" spans="2:54" ht="55.5" hidden="1" customHeight="1" x14ac:dyDescent="0.3">
      <c r="B67" s="406">
        <v>60</v>
      </c>
      <c r="C67" s="414" t="s">
        <v>1641</v>
      </c>
      <c r="D67" s="406">
        <v>154</v>
      </c>
      <c r="E67" s="414" t="s">
        <v>1654</v>
      </c>
      <c r="F67" s="415">
        <f>VLOOKUP(D67,'Presupuesto - PAA 2015'!$B$10:$E$265,4,0)</f>
        <v>28000000</v>
      </c>
      <c r="G67" s="407" t="str">
        <f>VLOOKUP(D67,'[4]Seguimiento Plan'!$C$2:$R$101,16,0)</f>
        <v>Prestar los servicios de mantenimiento correctivo con suministro de repuestos para los vehículos marca Mitsubishi al servicio del Concejo de Bogotá.</v>
      </c>
      <c r="H67" s="407" t="s">
        <v>1775</v>
      </c>
      <c r="I67" s="407" t="s">
        <v>1709</v>
      </c>
      <c r="J67" s="416" t="s">
        <v>909</v>
      </c>
      <c r="K67" s="417" t="s">
        <v>390</v>
      </c>
      <c r="L67" s="417" t="str">
        <f>VLOOKUP(D67,'[4]Seguimiento Plan'!$C$2:$AJ$101,30,0)</f>
        <v>SI</v>
      </c>
      <c r="M67" s="418">
        <f>VLOOKUP(D67,'[4]Seguimiento Plan'!$C$2:$AJ$101,31,0)</f>
        <v>42065</v>
      </c>
      <c r="N67" s="417" t="s">
        <v>1806</v>
      </c>
      <c r="O67" s="419"/>
      <c r="P67" s="419"/>
      <c r="Q67" s="419"/>
      <c r="R67" s="420"/>
      <c r="S67" s="420" t="s">
        <v>1904</v>
      </c>
      <c r="T67" s="125" t="s">
        <v>1105</v>
      </c>
      <c r="U67" s="423" t="str">
        <f>IF(ISERROR(VLOOKUP(T67,'Base de Datos'!$E$7:$AU$302,3,0))=TRUE," ",(VLOOKUP(T67,'Base de Datos'!$E$7:$AU$302,2,0)))</f>
        <v>MOTORES Y MAQUINAS MOTORYSA</v>
      </c>
      <c r="V67" s="426">
        <f>IF(ISERROR(VLOOKUP(T67,'Base de Datos'!$E$7:$AU$302,5,0))=TRUE," ",(VLOOKUP(T67,'Base de Datos'!$E$7:$AU$302,5,0)))</f>
        <v>30000000</v>
      </c>
      <c r="W67" s="423">
        <f>IF(ISERROR(VLOOKUP(T67,'Base de Datos'!$E$7:$AU$302,19,0))=TRUE," ",(VLOOKUP(T67,'Base de Datos'!$E$7:$AU$302,19,0)))</f>
        <v>42129</v>
      </c>
      <c r="X67" s="428" t="str">
        <f>IF(ISERROR(VLOOKUP(T67,'Base de Datos'!$E$7:$AU$302,8,0))=TRUE," ",(VLOOKUP(T67,'Base de Datos'!$E$7:$AU$302,8,0)))</f>
        <v xml:space="preserve"> </v>
      </c>
      <c r="Y67" s="428">
        <f>IF(ISERROR(VLOOKUP(T67,'Base de Datos'!$E$7:$AU$302,9,0))=TRUE," ",(VLOOKUP(T67,'Base de Datos'!$E$7:$AU$302,9,0)))</f>
        <v>41703</v>
      </c>
      <c r="Z67" s="422">
        <f>IF(ISERROR(VLOOKUP(T67,'Base de Datos'!$E$7:$AU$302,10,0))=TRUE," ",(VLOOKUP(T67,'Base de Datos'!$E$7:$AU$302,10,0)))</f>
        <v>42067</v>
      </c>
      <c r="AA67" s="425" t="str">
        <f>IF(ISERROR(VLOOKUP(T67,'Base de Datos'!$E$7:$AU$302,11,0))=TRUE," ",(VLOOKUP(T67,'Base de Datos'!$E$7:$AU$302,11,0)))</f>
        <v/>
      </c>
      <c r="AB67" s="422">
        <f>IF(ISERROR(VLOOKUP(T67,'Base de Datos'!$E$7:$AU$302,12,0))=TRUE," ",(VLOOKUP(T67,'Base de Datos'!$E$7:$AU$302,12,0)))</f>
        <v>0</v>
      </c>
      <c r="AC67" s="422">
        <f>IF(ISERROR(VLOOKUP(T67,'Base de Datos'!$E$7:$AU$302,12,0))=TRUE," ",(VLOOKUP(T67,'Base de Datos'!$E$7:$AU$302,12,0)))</f>
        <v>0</v>
      </c>
      <c r="AD67" s="428" t="str">
        <f>IF(ISERROR(VLOOKUP(T67,'Base de Datos'!$E$7:$AU$302,15,0))=TRUE," ",(VLOOKUP(T67,'Base de Datos'!$E$7:$AU$302,15,0)))</f>
        <v>2 meses</v>
      </c>
      <c r="AE67" s="433">
        <f>IF(ISERROR(VLOOKUP(T67,'Base de Datos'!$E$7:$AU$302,16,0))=TRUE," ",(VLOOKUP(T67,'Base de Datos'!$E$7:$AU$302,16,0)))</f>
        <v>42129</v>
      </c>
      <c r="AF67" s="433" t="str">
        <f>IF(ISERROR(VLOOKUP(T67,'Base de Datos'!$E$7:$AU$302,17,0))=TRUE," ",(VLOOKUP(T67,'Base de Datos'!$E$7:$AU$302,17,0)))</f>
        <v/>
      </c>
      <c r="AG67" s="433" t="str">
        <f>IF(ISERROR(VLOOKUP(T67,'Base de Datos'!$E$7:$AU$302,18,0))=TRUE," ",(VLOOKUP(T67,'Base de Datos'!$E$7:$AU$302,18,0)))</f>
        <v/>
      </c>
      <c r="AH67" s="434">
        <f>IF(ISERROR(VLOOKUP(T67,'Base de Datos'!$E$7:$AU$302,20,0))=TRUE," ",(VLOOKUP(T67,'Base de Datos'!$E$7:$AU$302,20,0)))</f>
        <v>30000000</v>
      </c>
      <c r="AI67" s="434">
        <f>IF(ISERROR(VLOOKUP(T67,'Base de Datos'!$E$7:$AU$302,21,0))=TRUE," ",(VLOOKUP(T67,'Base de Datos'!$E$7:$AU$302,21,0)))</f>
        <v>28330110</v>
      </c>
      <c r="AJ67" s="437">
        <v>42144</v>
      </c>
      <c r="AK67" s="423" t="str">
        <f>IF(ISERROR(VLOOKUP(D67,'Base de Datos'!$C$7:$AU$400,2,0))=TRUE," ",(VLOOKUP(D67,'Base de Datos'!$C$7:$AU$400,2,0)))</f>
        <v>2015154</v>
      </c>
      <c r="AL67" s="423" t="str">
        <f>IF(ISERROR(VLOOKUP(D67,'Base de Datos'!$C$7:$AU$400,3,0))=TRUE," ",(VLOOKUP(D67,'Base de Datos'!$C$7:$AU$400,3,0)))</f>
        <v>150229-0-2015</v>
      </c>
      <c r="AM67" s="426" t="str">
        <f>IF(ISERROR(VLOOKUP(D67,'Base de Datos'!$C$7:$AU$3761,6,0))=TRUE," ",(VLOOKUP(D67,'Base de Datos'!$C$7:$AU$400,6,0)))</f>
        <v>PRESTAR EL SERVICIO DE MANTENIMIENTO CORRECTIVO CON SUMINISTRO DE REPUESTOS DE LOS AUTOMOTORES MARCA MITSUBISHI AL SERVICIO DEL CONCEJO DE BOGOTA</v>
      </c>
      <c r="AN67" s="426" t="str">
        <f>IF(ISERROR(VLOOKUP(D67,'Base de Datos'!$C$7:$AU$400,20,0))=TRUE," ",(VLOOKUP(D67,'Base de Datos'!$C$7:$AU$400,19,0)))</f>
        <v/>
      </c>
      <c r="AO67" s="429">
        <f>IF(ISERROR(VLOOKUP(D67,'Base de Datos'!$C$7:$AU$400,9,0))=TRUE," ",(VLOOKUP(D67,'Base de Datos'!$C$7:$AU$400,9,0)))</f>
        <v>2015</v>
      </c>
      <c r="AP67" s="429">
        <f>IF(ISERROR(VLOOKUP(D67,'Base de Datos'!$C$7:$AU$400,10,0))=TRUE," ",(VLOOKUP(D67,'Base de Datos'!$C$7:$AU$400,10,0)))</f>
        <v>42144</v>
      </c>
      <c r="AQ67" s="431">
        <f>IF(ISERROR(VLOOKUP(D67,'Base de Datos'!$C$7:$AU$400,11,0))=TRUE," ",(VLOOKUP(D67,'Base de Datos'!$C$7:$AU$400,11,0)))</f>
        <v>42180</v>
      </c>
      <c r="AR67" s="432">
        <f>IF(ISERROR(VLOOKUP(D67,'Base de Datos'!$C$7:$AU$400,12,0))=TRUE," ",(VLOOKUP(D67,'Base de Datos'!$C$7:$AU$400,12,0)))</f>
        <v>42546</v>
      </c>
      <c r="AS67" s="431" t="str">
        <f>IF(ISERROR(VLOOKUP(D67,'Base de Datos'!$C$7:$AU$400,13,0))=TRUE," ",(VLOOKUP(D67,'Base de Datos'!$C$7:$AU$400,13,0)))</f>
        <v/>
      </c>
      <c r="AT67" s="431">
        <f>IF(ISERROR(VLOOKUP(D67,'Base de Datos'!$C$7:$AU$400,14,0))=TRUE," ",(VLOOKUP(D67,'Base de Datos'!$C$7:$AU$400,14,0)))</f>
        <v>0</v>
      </c>
      <c r="AU67" s="429">
        <f>IF(ISERROR(VLOOKUP(D67,'Base de Datos'!$C$7:$AU$400,16,0))=TRUE," ",(VLOOKUP(D67,'Base de Datos'!$C$7:$AU$400,16,0)))</f>
        <v>0</v>
      </c>
      <c r="AV67" s="433" t="str">
        <f>IF(ISERROR(VLOOKUP(D67,'Base de Datos'!$C$7:$AU$400,17,0))=TRUE," ",(VLOOKUP(D67,'Base de Datos'!$C$7:$AU$400,17,0)))</f>
        <v/>
      </c>
      <c r="AW67" s="433" t="str">
        <f>IF(ISERROR(VLOOKUP(D67,'Base de Datos'!$C$7:$AU$400,18,0))=TRUE," ",(VLOOKUP(D67,'Base de Datos'!$C$7:$AU$400,18,0)))</f>
        <v/>
      </c>
      <c r="AX67" s="433" t="str">
        <f>IF(ISERROR(VLOOKUP(D67,'Base de Datos'!$C$7:$AU$400,19,0))=TRUE," ",(VLOOKUP(D67,'Base de Datos'!$C$7:$AU$400,19,0)))</f>
        <v/>
      </c>
      <c r="AY67" s="436">
        <f>IF(ISERROR(VLOOKUP(D67,'Base de Datos'!$C$7:$AU$400,21,0))=TRUE," ",(VLOOKUP(D67,'Base de Datos'!$C$7:$AU$400,21,0)))</f>
        <v>42546</v>
      </c>
      <c r="AZ67" s="436">
        <f>IF(ISERROR(VLOOKUP(D67,'Base de Datos'!$C$7:$AU$400,22,0))=TRUE," ",(VLOOKUP(D67,'Base de Datos'!$C$7:$AU$400,22,0)))</f>
        <v>28000000</v>
      </c>
      <c r="BA67" s="443"/>
      <c r="BB67" s="453"/>
    </row>
    <row r="68" spans="2:54" ht="55.5" hidden="1" customHeight="1" x14ac:dyDescent="0.3">
      <c r="B68" s="406">
        <v>61</v>
      </c>
      <c r="C68" s="414" t="s">
        <v>1641</v>
      </c>
      <c r="D68" s="406">
        <v>155</v>
      </c>
      <c r="E68" s="414" t="s">
        <v>1654</v>
      </c>
      <c r="F68" s="415">
        <f>VLOOKUP(D68,'Presupuesto - PAA 2015'!$B$10:$E$265,4,0)</f>
        <v>5000000</v>
      </c>
      <c r="G68" s="407" t="str">
        <f>VLOOKUP(D68,'[4]Seguimiento Plan'!$C$2:$R$101,16,0)</f>
        <v>Prestar el servicio de mantenimiento preventivo y correctivo para los tanques de almacenamiento y equipos de bombeo hidráulicos de agua potable, residual y aguas negras del Concejo de Bogotá.</v>
      </c>
      <c r="H68" s="407" t="s">
        <v>1775</v>
      </c>
      <c r="I68" s="407" t="s">
        <v>1709</v>
      </c>
      <c r="J68" s="416" t="s">
        <v>909</v>
      </c>
      <c r="K68" s="417"/>
      <c r="L68" s="417" t="s">
        <v>390</v>
      </c>
      <c r="M68" s="418"/>
      <c r="N68" s="417"/>
      <c r="O68" s="419"/>
      <c r="P68" s="419"/>
      <c r="Q68" s="419"/>
      <c r="R68" s="420"/>
      <c r="S68" s="677" t="s">
        <v>2104</v>
      </c>
      <c r="T68" s="125" t="s">
        <v>1100</v>
      </c>
      <c r="U68" s="423" t="str">
        <f>IF(ISERROR(VLOOKUP(T68,'Base de Datos'!$E$7:$AU$302,3,0))=TRUE," ",(VLOOKUP(T68,'Base de Datos'!$E$7:$AU$302,2,0)))</f>
        <v>INGENIERÍA DE BOMBAS Y PLANTAS LIMITADA</v>
      </c>
      <c r="V68" s="426">
        <f>IF(ISERROR(VLOOKUP(T68,'Base de Datos'!$E$7:$AU$302,5,0))=TRUE," ",(VLOOKUP(T68,'Base de Datos'!$E$7:$AU$302,5,0)))</f>
        <v>6252000</v>
      </c>
      <c r="W68" s="423">
        <f>IF(ISERROR(VLOOKUP(T68,'Base de Datos'!$E$7:$AU$302,19,0))=TRUE," ",(VLOOKUP(T68,'Base de Datos'!$E$7:$AU$302,19,0)))</f>
        <v>42207</v>
      </c>
      <c r="X68" s="428" t="str">
        <f>IF(ISERROR(VLOOKUP(T68,'Base de Datos'!$E$7:$AU$302,8,0))=TRUE," ",(VLOOKUP(T68,'Base de Datos'!$E$7:$AU$302,8,0)))</f>
        <v xml:space="preserve"> </v>
      </c>
      <c r="Y68" s="428">
        <f>IF(ISERROR(VLOOKUP(T68,'Base de Datos'!$E$7:$AU$302,9,0))=TRUE," ",(VLOOKUP(T68,'Base de Datos'!$E$7:$AU$302,9,0)))</f>
        <v>41842</v>
      </c>
      <c r="Z68" s="422">
        <f>IF(ISERROR(VLOOKUP(T68,'Base de Datos'!$E$7:$AU$302,10,0))=TRUE," ",(VLOOKUP(T68,'Base de Datos'!$E$7:$AU$302,10,0)))</f>
        <v>42207</v>
      </c>
      <c r="AA68" s="425" t="str">
        <f>IF(ISERROR(VLOOKUP(T68,'Base de Datos'!$E$7:$AU$302,11,0))=TRUE," ",(VLOOKUP(T68,'Base de Datos'!$E$7:$AU$302,11,0)))</f>
        <v/>
      </c>
      <c r="AB68" s="422">
        <f>IF(ISERROR(VLOOKUP(T68,'Base de Datos'!$E$7:$AU$302,12,0))=TRUE," ",(VLOOKUP(T68,'Base de Datos'!$E$7:$AU$302,12,0)))</f>
        <v>0</v>
      </c>
      <c r="AC68" s="422">
        <f>IF(ISERROR(VLOOKUP(T68,'Base de Datos'!$E$7:$AU$302,12,0))=TRUE," ",(VLOOKUP(T68,'Base de Datos'!$E$7:$AU$302,12,0)))</f>
        <v>0</v>
      </c>
      <c r="AD68" s="428" t="str">
        <f>IF(ISERROR(VLOOKUP(T68,'Base de Datos'!$E$7:$AU$302,15,0))=TRUE," ",(VLOOKUP(T68,'Base de Datos'!$E$7:$AU$302,15,0)))</f>
        <v/>
      </c>
      <c r="AE68" s="433" t="str">
        <f>IF(ISERROR(VLOOKUP(T68,'Base de Datos'!$E$7:$AU$302,16,0))=TRUE," ",(VLOOKUP(T68,'Base de Datos'!$E$7:$AU$302,16,0)))</f>
        <v/>
      </c>
      <c r="AF68" s="433" t="str">
        <f>IF(ISERROR(VLOOKUP(T68,'Base de Datos'!$E$7:$AU$302,17,0))=TRUE," ",(VLOOKUP(T68,'Base de Datos'!$E$7:$AU$302,17,0)))</f>
        <v/>
      </c>
      <c r="AG68" s="433" t="str">
        <f>IF(ISERROR(VLOOKUP(T68,'Base de Datos'!$E$7:$AU$302,18,0))=TRUE," ",(VLOOKUP(T68,'Base de Datos'!$E$7:$AU$302,18,0)))</f>
        <v/>
      </c>
      <c r="AH68" s="434">
        <f>IF(ISERROR(VLOOKUP(T68,'Base de Datos'!$E$7:$AU$302,20,0))=TRUE," ",(VLOOKUP(T68,'Base de Datos'!$E$7:$AU$302,20,0)))</f>
        <v>6252000</v>
      </c>
      <c r="AI68" s="434">
        <f>IF(ISERROR(VLOOKUP(T68,'Base de Datos'!$E$7:$AU$302,21,0))=TRUE," ",(VLOOKUP(T68,'Base de Datos'!$E$7:$AU$302,21,0)))</f>
        <v>5665189</v>
      </c>
      <c r="AJ68" s="423"/>
      <c r="AK68" s="423" t="str">
        <f>IF(ISERROR(VLOOKUP(D68,'Base de Datos'!$C$7:$AU$400,2,0))=TRUE," ",(VLOOKUP(D68,'Base de Datos'!$C$7:$AU$400,2,0)))</f>
        <v>2015155</v>
      </c>
      <c r="AL68" s="423" t="str">
        <f>IF(ISERROR(VLOOKUP(D68,'Base de Datos'!$C$7:$AU$400,3,0))=TRUE," ",(VLOOKUP(D68,'Base de Datos'!$C$7:$AU$400,3,0)))</f>
        <v>150341-0-2015</v>
      </c>
      <c r="AM68" s="426" t="str">
        <f>IF(ISERROR(VLOOKUP(D68,'Base de Datos'!$C$7:$AU$3761,6,0))=TRUE," ",(VLOOKUP(D68,'Base de Datos'!$C$7:$AU$400,6,0)))</f>
        <v>Prestar el servicio de mantenimiento preventivo y correctivo para los tanques de almacenamiento y equipos de bombeo hidráulicos de agua potable, residual y aguas negras del Concejo de Bogotá, D.C.</v>
      </c>
      <c r="AN68" s="426" t="str">
        <f>IF(ISERROR(VLOOKUP(D68,'Base de Datos'!$C$7:$AU$400,20,0))=TRUE," ",(VLOOKUP(D68,'Base de Datos'!$C$7:$AU$400,19,0)))</f>
        <v/>
      </c>
      <c r="AO68" s="429">
        <f>IF(ISERROR(VLOOKUP(D68,'Base de Datos'!$C$7:$AU$400,9,0))=TRUE," ",(VLOOKUP(D68,'Base de Datos'!$C$7:$AU$400,9,0)))</f>
        <v>2015</v>
      </c>
      <c r="AP68" s="429">
        <f>IF(ISERROR(VLOOKUP(D68,'Base de Datos'!$C$7:$AU$400,10,0))=TRUE," ",(VLOOKUP(D68,'Base de Datos'!$C$7:$AU$400,10,0)))</f>
        <v>42236</v>
      </c>
      <c r="AQ68" s="431">
        <f>IF(ISERROR(VLOOKUP(D68,'Base de Datos'!$C$7:$AU$400,11,0))=TRUE," ",(VLOOKUP(D68,'Base de Datos'!$C$7:$AU$400,11,0)))</f>
        <v>42244</v>
      </c>
      <c r="AR68" s="432">
        <f>IF(ISERROR(VLOOKUP(D68,'Base de Datos'!$C$7:$AU$400,12,0))=TRUE," ",(VLOOKUP(D68,'Base de Datos'!$C$7:$AU$400,12,0)))</f>
        <v>42549</v>
      </c>
      <c r="AS68" s="431" t="str">
        <f>IF(ISERROR(VLOOKUP(D68,'Base de Datos'!$C$7:$AU$400,13,0))=TRUE," ",(VLOOKUP(D68,'Base de Datos'!$C$7:$AU$400,13,0)))</f>
        <v/>
      </c>
      <c r="AT68" s="431">
        <f>IF(ISERROR(VLOOKUP(D68,'Base de Datos'!$C$7:$AU$400,14,0))=TRUE," ",(VLOOKUP(D68,'Base de Datos'!$C$7:$AU$400,14,0)))</f>
        <v>0</v>
      </c>
      <c r="AU68" s="429">
        <f>IF(ISERROR(VLOOKUP(D68,'Base de Datos'!$C$7:$AU$400,16,0))=TRUE," ",(VLOOKUP(D68,'Base de Datos'!$C$7:$AU$400,16,0)))</f>
        <v>1</v>
      </c>
      <c r="AV68" s="433" t="str">
        <f>IF(ISERROR(VLOOKUP(D68,'Base de Datos'!$C$7:$AU$400,17,0))=TRUE," ",(VLOOKUP(D68,'Base de Datos'!$C$7:$AU$400,17,0)))</f>
        <v>2 meses</v>
      </c>
      <c r="AW68" s="433">
        <f>IF(ISERROR(VLOOKUP(D68,'Base de Datos'!$C$7:$AU$400,18,0))=TRUE," ",(VLOOKUP(D68,'Base de Datos'!$C$7:$AU$400,18,0)))</f>
        <v>42610</v>
      </c>
      <c r="AX68" s="433" t="str">
        <f>IF(ISERROR(VLOOKUP(D68,'Base de Datos'!$C$7:$AU$400,19,0))=TRUE," ",(VLOOKUP(D68,'Base de Datos'!$C$7:$AU$400,19,0)))</f>
        <v/>
      </c>
      <c r="AY68" s="436">
        <f>IF(ISERROR(VLOOKUP(D68,'Base de Datos'!$C$7:$AU$400,21,0))=TRUE," ",(VLOOKUP(D68,'Base de Datos'!$C$7:$AU$400,21,0)))</f>
        <v>42610</v>
      </c>
      <c r="AZ68" s="436">
        <f>IF(ISERROR(VLOOKUP(D68,'Base de Datos'!$C$7:$AU$400,22,0))=TRUE," ",(VLOOKUP(D68,'Base de Datos'!$C$7:$AU$400,22,0)))</f>
        <v>5000000</v>
      </c>
      <c r="BA68" s="443"/>
      <c r="BB68" s="453"/>
    </row>
    <row r="69" spans="2:54" ht="55.5" hidden="1" customHeight="1" x14ac:dyDescent="0.3">
      <c r="B69" s="406">
        <v>62</v>
      </c>
      <c r="C69" s="414" t="s">
        <v>1641</v>
      </c>
      <c r="D69" s="406">
        <v>164</v>
      </c>
      <c r="E69" s="414" t="s">
        <v>1654</v>
      </c>
      <c r="F69" s="415">
        <f>VLOOKUP(D69,'Presupuesto - PAA 2015'!$B$10:$E$265,4,0)</f>
        <v>3415000</v>
      </c>
      <c r="G69" s="407" t="str">
        <f>VLOOKUP(D69,'[4]Seguimiento Plan'!$C$2:$R$101,16,0)</f>
        <v>Prestar los servicios de mantenimiento preventivo para los vehículos de la Secretaría de Hacienda y del Concejo de Bogotá.-</v>
      </c>
      <c r="H69" s="407" t="s">
        <v>1775</v>
      </c>
      <c r="I69" s="407" t="s">
        <v>1709</v>
      </c>
      <c r="J69" s="416" t="s">
        <v>909</v>
      </c>
      <c r="K69" s="417" t="s">
        <v>390</v>
      </c>
      <c r="L69" s="417" t="str">
        <f>VLOOKUP(D69,'[4]Seguimiento Plan'!$C$2:$AJ$101,30,0)</f>
        <v>SI</v>
      </c>
      <c r="M69" s="418">
        <f>VLOOKUP(D69,'[4]Seguimiento Plan'!$C$2:$AJ$101,31,0)</f>
        <v>42025</v>
      </c>
      <c r="N69" s="417"/>
      <c r="O69" s="419"/>
      <c r="P69" s="419"/>
      <c r="Q69" s="419"/>
      <c r="R69" s="420" t="s">
        <v>1944</v>
      </c>
      <c r="S69" s="438" t="s">
        <v>1943</v>
      </c>
      <c r="T69" s="421"/>
      <c r="U69" s="423" t="str">
        <f>IF(ISERROR(VLOOKUP(T69,'Base de Datos'!$E$7:$AU$302,3,0))=TRUE," ",(VLOOKUP(T69,'Base de Datos'!$E$7:$AU$302,2,0)))</f>
        <v xml:space="preserve"> </v>
      </c>
      <c r="V69" s="426" t="str">
        <f>IF(ISERROR(VLOOKUP(T69,'Base de Datos'!$E$7:$AU$302,5,0))=TRUE," ",(VLOOKUP(T69,'Base de Datos'!$E$7:$AU$302,5,0)))</f>
        <v xml:space="preserve"> </v>
      </c>
      <c r="W69" s="423" t="str">
        <f>IF(ISERROR(VLOOKUP(T69,'Base de Datos'!$E$7:$AU$302,19,0))=TRUE," ",(VLOOKUP(T69,'Base de Datos'!$E$7:$AU$302,19,0)))</f>
        <v xml:space="preserve"> </v>
      </c>
      <c r="X69" s="428" t="str">
        <f>IF(ISERROR(VLOOKUP(T69,'Base de Datos'!$E$7:$AU$302,8,0))=TRUE," ",(VLOOKUP(T69,'Base de Datos'!$E$7:$AU$302,8,0)))</f>
        <v xml:space="preserve"> </v>
      </c>
      <c r="Y69" s="428" t="str">
        <f>IF(ISERROR(VLOOKUP(T69,'Base de Datos'!$E$7:$AU$302,9,0))=TRUE," ",(VLOOKUP(T69,'Base de Datos'!$E$7:$AU$302,9,0)))</f>
        <v xml:space="preserve"> </v>
      </c>
      <c r="Z69" s="422" t="str">
        <f>IF(ISERROR(VLOOKUP(T69,'Base de Datos'!$E$7:$AU$302,10,0))=TRUE," ",(VLOOKUP(T69,'Base de Datos'!$E$7:$AU$302,10,0)))</f>
        <v xml:space="preserve"> </v>
      </c>
      <c r="AA69" s="425" t="str">
        <f>IF(ISERROR(VLOOKUP(T69,'Base de Datos'!$E$7:$AU$302,11,0))=TRUE," ",(VLOOKUP(T69,'Base de Datos'!$E$7:$AU$302,11,0)))</f>
        <v xml:space="preserve"> </v>
      </c>
      <c r="AB69" s="422" t="str">
        <f>IF(ISERROR(VLOOKUP(T69,'Base de Datos'!$E$7:$AU$302,12,0))=TRUE," ",(VLOOKUP(T69,'Base de Datos'!$E$7:$AU$302,12,0)))</f>
        <v xml:space="preserve"> </v>
      </c>
      <c r="AC69" s="422" t="str">
        <f>IF(ISERROR(VLOOKUP(T69,'Base de Datos'!$E$7:$AU$302,12,0))=TRUE," ",(VLOOKUP(T69,'Base de Datos'!$E$7:$AU$302,12,0)))</f>
        <v xml:space="preserve"> </v>
      </c>
      <c r="AD69" s="428" t="str">
        <f>IF(ISERROR(VLOOKUP(T69,'Base de Datos'!$E$7:$AU$302,15,0))=TRUE," ",(VLOOKUP(T69,'Base de Datos'!$E$7:$AU$302,15,0)))</f>
        <v xml:space="preserve"> </v>
      </c>
      <c r="AE69" s="433" t="str">
        <f>IF(ISERROR(VLOOKUP(T69,'Base de Datos'!$E$7:$AU$302,16,0))=TRUE," ",(VLOOKUP(T69,'Base de Datos'!$E$7:$AU$302,16,0)))</f>
        <v xml:space="preserve"> </v>
      </c>
      <c r="AF69" s="433" t="str">
        <f>IF(ISERROR(VLOOKUP(T69,'Base de Datos'!$E$7:$AU$302,17,0))=TRUE," ",(VLOOKUP(T69,'Base de Datos'!$E$7:$AU$302,17,0)))</f>
        <v xml:space="preserve"> </v>
      </c>
      <c r="AG69" s="433" t="str">
        <f>IF(ISERROR(VLOOKUP(T69,'Base de Datos'!$E$7:$AU$302,18,0))=TRUE," ",(VLOOKUP(T69,'Base de Datos'!$E$7:$AU$302,18,0)))</f>
        <v xml:space="preserve"> </v>
      </c>
      <c r="AH69" s="434" t="str">
        <f>IF(ISERROR(VLOOKUP(T69,'Base de Datos'!$E$7:$AU$302,20,0))=TRUE," ",(VLOOKUP(T69,'Base de Datos'!$E$7:$AU$302,20,0)))</f>
        <v xml:space="preserve"> </v>
      </c>
      <c r="AI69" s="434" t="str">
        <f>IF(ISERROR(VLOOKUP(T69,'Base de Datos'!$E$7:$AU$302,21,0))=TRUE," ",(VLOOKUP(T69,'Base de Datos'!$E$7:$AU$302,21,0)))</f>
        <v xml:space="preserve"> </v>
      </c>
      <c r="AJ69" s="423"/>
      <c r="AK69" s="423" t="str">
        <f>IF(ISERROR(VLOOKUP(D69,'Base de Datos'!$C$7:$AU$400,2,0))=TRUE," ",(VLOOKUP(D69,'Base de Datos'!$C$7:$AU$400,2,0)))</f>
        <v>2015164</v>
      </c>
      <c r="AL69" s="423" t="str">
        <f>IF(ISERROR(VLOOKUP(D69,'Base de Datos'!$C$7:$AU$400,3,0))=TRUE," ",(VLOOKUP(D69,'Base de Datos'!$C$7:$AU$400,3,0)))</f>
        <v>150358-0-2015</v>
      </c>
      <c r="AM69" s="426" t="str">
        <f>IF(ISERROR(VLOOKUP(D69,'Base de Datos'!$C$7:$AU$3761,6,0))=TRUE," ",(VLOOKUP(D69,'Base de Datos'!$C$7:$AU$400,6,0)))</f>
        <v>Prestar el servicio de mantenimiento periódico preventivo del parque automotor al servicio del Concejo de Bogotá D.C., de conformidad con lo establecido en la presente invitación pública.</v>
      </c>
      <c r="AN69" s="426" t="str">
        <f>IF(ISERROR(VLOOKUP(D69,'Base de Datos'!$C$7:$AU$400,20,0))=TRUE," ",(VLOOKUP(D69,'Base de Datos'!$C$7:$AU$400,19,0)))</f>
        <v/>
      </c>
      <c r="AO69" s="429">
        <f>IF(ISERROR(VLOOKUP(D69,'Base de Datos'!$C$7:$AU$400,9,0))=TRUE," ",(VLOOKUP(D69,'Base de Datos'!$C$7:$AU$400,9,0)))</f>
        <v>2015</v>
      </c>
      <c r="AP69" s="429">
        <f>IF(ISERROR(VLOOKUP(D69,'Base de Datos'!$C$7:$AU$400,10,0))=TRUE," ",(VLOOKUP(D69,'Base de Datos'!$C$7:$AU$400,10,0)))</f>
        <v>42268</v>
      </c>
      <c r="AQ69" s="431">
        <f>IF(ISERROR(VLOOKUP(D69,'Base de Datos'!$C$7:$AU$400,11,0))=TRUE," ",(VLOOKUP(D69,'Base de Datos'!$C$7:$AU$400,11,0)))</f>
        <v>42296</v>
      </c>
      <c r="AR69" s="432">
        <f>IF(ISERROR(VLOOKUP(D69,'Base de Datos'!$C$7:$AU$400,12,0))=TRUE," ",(VLOOKUP(D69,'Base de Datos'!$C$7:$AU$400,12,0)))</f>
        <v>42662</v>
      </c>
      <c r="AS69" s="431" t="str">
        <f>IF(ISERROR(VLOOKUP(D69,'Base de Datos'!$C$7:$AU$400,13,0))=TRUE," ",(VLOOKUP(D69,'Base de Datos'!$C$7:$AU$400,13,0)))</f>
        <v/>
      </c>
      <c r="AT69" s="431">
        <f>IF(ISERROR(VLOOKUP(D69,'Base de Datos'!$C$7:$AU$400,14,0))=TRUE," ",(VLOOKUP(D69,'Base de Datos'!$C$7:$AU$400,14,0)))</f>
        <v>0</v>
      </c>
      <c r="AU69" s="429">
        <f>IF(ISERROR(VLOOKUP(D69,'Base de Datos'!$C$7:$AU$400,16,0))=TRUE," ",(VLOOKUP(D69,'Base de Datos'!$C$7:$AU$400,16,0)))</f>
        <v>1</v>
      </c>
      <c r="AV69" s="433" t="str">
        <f>IF(ISERROR(VLOOKUP(D69,'Base de Datos'!$C$7:$AU$400,17,0))=TRUE," ",(VLOOKUP(D69,'Base de Datos'!$C$7:$AU$400,17,0)))</f>
        <v>2 meses     12 días calendario</v>
      </c>
      <c r="AW69" s="433">
        <f>IF(ISERROR(VLOOKUP(D69,'Base de Datos'!$C$7:$AU$400,18,0))=TRUE," ",(VLOOKUP(D69,'Base de Datos'!$C$7:$AU$400,18,0)))</f>
        <v>42735</v>
      </c>
      <c r="AX69" s="433" t="str">
        <f>IF(ISERROR(VLOOKUP(D69,'Base de Datos'!$C$7:$AU$400,19,0))=TRUE," ",(VLOOKUP(D69,'Base de Datos'!$C$7:$AU$400,19,0)))</f>
        <v/>
      </c>
      <c r="AY69" s="436">
        <f>IF(ISERROR(VLOOKUP(D69,'Base de Datos'!$C$7:$AU$400,21,0))=TRUE," ",(VLOOKUP(D69,'Base de Datos'!$C$7:$AU$400,21,0)))</f>
        <v>42735</v>
      </c>
      <c r="AZ69" s="436">
        <f>IF(ISERROR(VLOOKUP(D69,'Base de Datos'!$C$7:$AU$400,22,0))=TRUE," ",(VLOOKUP(D69,'Base de Datos'!$C$7:$AU$400,22,0)))</f>
        <v>28805000</v>
      </c>
      <c r="BA69" s="443"/>
      <c r="BB69" s="453"/>
    </row>
    <row r="70" spans="2:54" ht="55.5" hidden="1" customHeight="1" x14ac:dyDescent="0.3">
      <c r="B70" s="406">
        <v>63</v>
      </c>
      <c r="C70" s="414" t="s">
        <v>1641</v>
      </c>
      <c r="D70" s="406">
        <v>165</v>
      </c>
      <c r="E70" s="414" t="s">
        <v>1654</v>
      </c>
      <c r="F70" s="415">
        <f>VLOOKUP(D70,'Presupuesto - PAA 2015'!$B$10:$E$265,4,0)</f>
        <v>133000000</v>
      </c>
      <c r="G70" s="407" t="str">
        <f>VLOOKUP(D70,'[4]Seguimiento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07" t="s">
        <v>1775</v>
      </c>
      <c r="I70" s="407" t="s">
        <v>1709</v>
      </c>
      <c r="J70" s="416" t="s">
        <v>1733</v>
      </c>
      <c r="K70" s="417" t="s">
        <v>390</v>
      </c>
      <c r="L70" s="417" t="str">
        <f>VLOOKUP(D70,'[4]Seguimiento Plan'!$C$2:$AJ$101,30,0)</f>
        <v>SI</v>
      </c>
      <c r="M70" s="418">
        <f>VLOOKUP(D70,'[4]Seguimiento Plan'!$C$2:$AJ$101,31,0)</f>
        <v>42009</v>
      </c>
      <c r="N70" s="417"/>
      <c r="O70" s="419"/>
      <c r="P70" s="419"/>
      <c r="Q70" s="439">
        <v>42079</v>
      </c>
      <c r="R70" s="498"/>
      <c r="S70" s="438" t="s">
        <v>1758</v>
      </c>
      <c r="T70" s="317" t="s">
        <v>287</v>
      </c>
      <c r="U70" s="423" t="str">
        <f>IF(ISERROR(VLOOKUP(T70,'Base de Datos'!$E$7:$AU$302,3,0))=TRUE," ",(VLOOKUP(T70,'Base de Datos'!$E$7:$AU$302,2,0)))</f>
        <v xml:space="preserve">UNIÓN TEMPORAL EMINSER-SOLOASEO </v>
      </c>
      <c r="V70" s="426">
        <f>IF(ISERROR(VLOOKUP(T70,'Base de Datos'!$E$7:$AU$302,5,0))=TRUE," ",(VLOOKUP(T70,'Base de Datos'!$E$7:$AU$302,5,0)))</f>
        <v>337487000</v>
      </c>
      <c r="W70" s="423">
        <f>IF(ISERROR(VLOOKUP(T70,'Base de Datos'!$E$7:$AU$302,19,0))=TRUE," ",(VLOOKUP(T70,'Base de Datos'!$E$7:$AU$302,19,0)))</f>
        <v>42186</v>
      </c>
      <c r="X70" s="428" t="str">
        <f>IF(ISERROR(VLOOKUP(T70,'Base de Datos'!$E$7:$AU$302,8,0))=TRUE," ",(VLOOKUP(T70,'Base de Datos'!$E$7:$AU$302,8,0)))</f>
        <v xml:space="preserve"> </v>
      </c>
      <c r="Y70" s="428">
        <f>IF(ISERROR(VLOOKUP(T70,'Base de Datos'!$E$7:$AU$302,9,0))=TRUE," ",(VLOOKUP(T70,'Base de Datos'!$E$7:$AU$302,9,0)))</f>
        <v>41811</v>
      </c>
      <c r="Z70" s="422">
        <f>IF(ISERROR(VLOOKUP(T70,'Base de Datos'!$E$7:$AU$302,10,0))=TRUE," ",(VLOOKUP(T70,'Base de Datos'!$E$7:$AU$302,10,0)))</f>
        <v>42130</v>
      </c>
      <c r="AA70" s="425" t="str">
        <f>IF(ISERROR(VLOOKUP(T70,'Base de Datos'!$E$7:$AU$302,11,0))=TRUE," ",(VLOOKUP(T70,'Base de Datos'!$E$7:$AU$302,11,0)))</f>
        <v/>
      </c>
      <c r="AB70" s="422">
        <f>IF(ISERROR(VLOOKUP(T70,'Base de Datos'!$E$7:$AU$302,12,0))=TRUE," ",(VLOOKUP(T70,'Base de Datos'!$E$7:$AU$302,12,0)))</f>
        <v>0</v>
      </c>
      <c r="AC70" s="422">
        <f>IF(ISERROR(VLOOKUP(T70,'Base de Datos'!$E$7:$AU$302,12,0))=TRUE," ",(VLOOKUP(T70,'Base de Datos'!$E$7:$AU$302,12,0)))</f>
        <v>0</v>
      </c>
      <c r="AD70" s="428" t="str">
        <f>IF(ISERROR(VLOOKUP(T70,'Base de Datos'!$E$7:$AU$302,15,0))=TRUE," ",(VLOOKUP(T70,'Base de Datos'!$E$7:$AU$302,15,0)))</f>
        <v>1 mes y 25 días</v>
      </c>
      <c r="AE70" s="433">
        <f>IF(ISERROR(VLOOKUP(T70,'Base de Datos'!$E$7:$AU$302,16,0))=TRUE," ",(VLOOKUP(T70,'Base de Datos'!$E$7:$AU$302,16,0)))</f>
        <v>42186</v>
      </c>
      <c r="AF70" s="433" t="str">
        <f>IF(ISERROR(VLOOKUP(T70,'Base de Datos'!$E$7:$AU$302,17,0))=TRUE," ",(VLOOKUP(T70,'Base de Datos'!$E$7:$AU$302,17,0)))</f>
        <v/>
      </c>
      <c r="AG70" s="433" t="str">
        <f>IF(ISERROR(VLOOKUP(T70,'Base de Datos'!$E$7:$AU$302,18,0))=TRUE," ",(VLOOKUP(T70,'Base de Datos'!$E$7:$AU$302,18,0)))</f>
        <v/>
      </c>
      <c r="AH70" s="434">
        <f>IF(ISERROR(VLOOKUP(T70,'Base de Datos'!$E$7:$AU$302,20,0))=TRUE," ",(VLOOKUP(T70,'Base de Datos'!$E$7:$AU$302,20,0)))</f>
        <v>337487000</v>
      </c>
      <c r="AI70" s="434">
        <f>IF(ISERROR(VLOOKUP(T70,'Base de Datos'!$E$7:$AU$302,21,0))=TRUE," ",(VLOOKUP(T70,'Base de Datos'!$E$7:$AU$302,21,0)))</f>
        <v>337486998</v>
      </c>
      <c r="AJ70" s="437">
        <v>42174</v>
      </c>
      <c r="AK70" s="423" t="str">
        <f>IF(ISERROR(VLOOKUP(D70,'Base de Datos'!$C$7:$AU$400,2,0))=TRUE," ",(VLOOKUP(D70,'Base de Datos'!$C$7:$AU$400,2,0)))</f>
        <v>2015165</v>
      </c>
      <c r="AL70" s="423" t="str">
        <f>IF(ISERROR(VLOOKUP(D70,'Base de Datos'!$C$7:$AU$400,3,0))=TRUE," ",(VLOOKUP(D70,'Base de Datos'!$C$7:$AU$400,3,0)))</f>
        <v>150265-0-2015</v>
      </c>
      <c r="AM70" s="426" t="str">
        <f>IF(ISERROR(VLOOKUP(D70,'Base de Datos'!$C$7:$AU$3761,6,0))=TRUE," ",(VLOOKUP(D70,'Base de Datos'!$C$7:$AU$400,6,0)))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26" t="str">
        <f>IF(ISERROR(VLOOKUP(D70,'Base de Datos'!$C$7:$AU$400,20,0))=TRUE," ",(VLOOKUP(D70,'Base de Datos'!$C$7:$AU$400,19,0)))</f>
        <v/>
      </c>
      <c r="AO70" s="429">
        <f>IF(ISERROR(VLOOKUP(D70,'Base de Datos'!$C$7:$AU$400,9,0))=TRUE," ",(VLOOKUP(D70,'Base de Datos'!$C$7:$AU$400,9,0)))</f>
        <v>2015</v>
      </c>
      <c r="AP70" s="429">
        <f>IF(ISERROR(VLOOKUP(D70,'Base de Datos'!$C$7:$AU$400,10,0))=TRUE," ",(VLOOKUP(D70,'Base de Datos'!$C$7:$AU$400,10,0)))</f>
        <v>42174</v>
      </c>
      <c r="AQ70" s="431">
        <f>IF(ISERROR(VLOOKUP(D70,'Base de Datos'!$C$7:$AU$400,11,0))=TRUE," ",(VLOOKUP(D70,'Base de Datos'!$C$7:$AU$400,11,0)))</f>
        <v>42187</v>
      </c>
      <c r="AR70" s="432">
        <f>IF(ISERROR(VLOOKUP(D70,'Base de Datos'!$C$7:$AU$400,12,0))=TRUE," ",(VLOOKUP(D70,'Base de Datos'!$C$7:$AU$400,12,0)))</f>
        <v>42492</v>
      </c>
      <c r="AS70" s="431" t="str">
        <f>IF(ISERROR(VLOOKUP(D70,'Base de Datos'!$C$7:$AU$400,13,0))=TRUE," ",(VLOOKUP(D70,'Base de Datos'!$C$7:$AU$400,13,0)))</f>
        <v/>
      </c>
      <c r="AT70" s="431">
        <f>IF(ISERROR(VLOOKUP(D70,'Base de Datos'!$C$7:$AU$400,14,0))=TRUE," ",(VLOOKUP(D70,'Base de Datos'!$C$7:$AU$400,14,0)))</f>
        <v>2</v>
      </c>
      <c r="AU70" s="429">
        <f>IF(ISERROR(VLOOKUP(D70,'Base de Datos'!$C$7:$AU$400,16,0))=TRUE," ",(VLOOKUP(D70,'Base de Datos'!$C$7:$AU$400,16,0)))</f>
        <v>4</v>
      </c>
      <c r="AV70" s="433" t="str">
        <f>IF(ISERROR(VLOOKUP(D70,'Base de Datos'!$C$7:$AU$400,17,0))=TRUE," ",(VLOOKUP(D70,'Base de Datos'!$C$7:$AU$400,17,0)))</f>
        <v>7 meses          23 días</v>
      </c>
      <c r="AW70" s="433">
        <f>IF(ISERROR(VLOOKUP(D70,'Base de Datos'!$C$7:$AU$400,18,0))=TRUE," ",(VLOOKUP(D70,'Base de Datos'!$C$7:$AU$400,18,0)))</f>
        <v>42728</v>
      </c>
      <c r="AX70" s="433" t="str">
        <f>IF(ISERROR(VLOOKUP(D70,'Base de Datos'!$C$7:$AU$400,19,0))=TRUE," ",(VLOOKUP(D70,'Base de Datos'!$C$7:$AU$400,19,0)))</f>
        <v/>
      </c>
      <c r="AY70" s="436">
        <f>IF(ISERROR(VLOOKUP(D70,'Base de Datos'!$C$7:$AU$400,21,0))=TRUE," ",(VLOOKUP(D70,'Base de Datos'!$C$7:$AU$400,21,0)))</f>
        <v>42728</v>
      </c>
      <c r="AZ70" s="436">
        <f>IF(ISERROR(VLOOKUP(D70,'Base de Datos'!$C$7:$AU$400,22,0))=TRUE," ",(VLOOKUP(D70,'Base de Datos'!$C$7:$AU$400,22,0)))</f>
        <v>434000000</v>
      </c>
      <c r="BA70" s="443"/>
      <c r="BB70" s="453"/>
    </row>
    <row r="71" spans="2:54" ht="55.5" hidden="1" customHeight="1" x14ac:dyDescent="0.3">
      <c r="B71" s="406">
        <v>64</v>
      </c>
      <c r="C71" s="414" t="s">
        <v>1641</v>
      </c>
      <c r="D71" s="406">
        <v>171</v>
      </c>
      <c r="E71" s="414" t="s">
        <v>1654</v>
      </c>
      <c r="F71" s="415">
        <f>VLOOKUP(D71,'Presupuesto - PAA 2015'!$B$10:$E$265,4,0)</f>
        <v>14210000</v>
      </c>
      <c r="G71" s="407" t="str">
        <f>VLOOKUP(D71,'[4]Seguimiento Plan'!$C$2:$R$101,16,0)</f>
        <v>Prestar los servicios de mantenimiento preventivo y correctivo a los ascensores marca Mitsubishi del CAD y del Concejo de Bogotá y de la Plataforma para discapacitados ubicada en el CAD.-</v>
      </c>
      <c r="H71" s="407" t="s">
        <v>1775</v>
      </c>
      <c r="I71" s="407" t="s">
        <v>1709</v>
      </c>
      <c r="J71" s="416" t="s">
        <v>908</v>
      </c>
      <c r="K71" s="417" t="s">
        <v>390</v>
      </c>
      <c r="L71" s="417" t="str">
        <f>VLOOKUP(D71,'[4]Seguimiento Plan'!$C$2:$AJ$101,30,0)</f>
        <v>SI</v>
      </c>
      <c r="M71" s="418">
        <f>VLOOKUP(D71,'[4]Seguimiento Plan'!$C$2:$AJ$101,31,0)</f>
        <v>42061</v>
      </c>
      <c r="N71" s="417"/>
      <c r="O71" s="419"/>
      <c r="P71" s="419"/>
      <c r="Q71" s="419"/>
      <c r="R71" s="420"/>
      <c r="S71" s="438" t="s">
        <v>1855</v>
      </c>
      <c r="T71" s="125" t="s">
        <v>268</v>
      </c>
      <c r="U71" s="423" t="str">
        <f>IF(ISERROR(VLOOKUP(T71,'Base de Datos'!$E$7:$AU$302,3,0))=TRUE," ",(VLOOKUP(T71,'Base de Datos'!$E$7:$AU$302,2,0)))</f>
        <v>MITSUBISHIS ELECTRIC DE COLOMBIA LTDA</v>
      </c>
      <c r="V71" s="426">
        <f>IF(ISERROR(VLOOKUP(T71,'Base de Datos'!$E$7:$AU$302,5,0))=TRUE," ",(VLOOKUP(T71,'Base de Datos'!$E$7:$AU$302,5,0)))</f>
        <v>16555000</v>
      </c>
      <c r="W71" s="423">
        <f>IF(ISERROR(VLOOKUP(T71,'Base de Datos'!$E$7:$AU$302,19,0))=TRUE," ",(VLOOKUP(T71,'Base de Datos'!$E$7:$AU$302,19,0)))</f>
        <v>42096</v>
      </c>
      <c r="X71" s="428" t="str">
        <f>IF(ISERROR(VLOOKUP(T71,'Base de Datos'!$E$7:$AU$302,8,0))=TRUE," ",(VLOOKUP(T71,'Base de Datos'!$E$7:$AU$302,8,0)))</f>
        <v xml:space="preserve"> </v>
      </c>
      <c r="Y71" s="428">
        <f>IF(ISERROR(VLOOKUP(T71,'Base de Datos'!$E$7:$AU$302,9,0))=TRUE," ",(VLOOKUP(T71,'Base de Datos'!$E$7:$AU$302,9,0)))</f>
        <v>41732</v>
      </c>
      <c r="Z71" s="422">
        <f>IF(ISERROR(VLOOKUP(T71,'Base de Datos'!$E$7:$AU$302,10,0))=TRUE," ",(VLOOKUP(T71,'Base de Datos'!$E$7:$AU$302,10,0)))</f>
        <v>42096</v>
      </c>
      <c r="AA71" s="425" t="str">
        <f>IF(ISERROR(VLOOKUP(T71,'Base de Datos'!$E$7:$AU$302,11,0))=TRUE," ",(VLOOKUP(T71,'Base de Datos'!$E$7:$AU$302,11,0)))</f>
        <v/>
      </c>
      <c r="AB71" s="422">
        <f>IF(ISERROR(VLOOKUP(T71,'Base de Datos'!$E$7:$AU$302,12,0))=TRUE," ",(VLOOKUP(T71,'Base de Datos'!$E$7:$AU$302,12,0)))</f>
        <v>0</v>
      </c>
      <c r="AC71" s="422">
        <f>IF(ISERROR(VLOOKUP(T71,'Base de Datos'!$E$7:$AU$302,12,0))=TRUE," ",(VLOOKUP(T71,'Base de Datos'!$E$7:$AU$302,12,0)))</f>
        <v>0</v>
      </c>
      <c r="AD71" s="428" t="str">
        <f>IF(ISERROR(VLOOKUP(T71,'Base de Datos'!$E$7:$AU$302,15,0))=TRUE," ",(VLOOKUP(T71,'Base de Datos'!$E$7:$AU$302,15,0)))</f>
        <v/>
      </c>
      <c r="AE71" s="433" t="str">
        <f>IF(ISERROR(VLOOKUP(T71,'Base de Datos'!$E$7:$AU$302,16,0))=TRUE," ",(VLOOKUP(T71,'Base de Datos'!$E$7:$AU$302,16,0)))</f>
        <v/>
      </c>
      <c r="AF71" s="433" t="str">
        <f>IF(ISERROR(VLOOKUP(T71,'Base de Datos'!$E$7:$AU$302,17,0))=TRUE," ",(VLOOKUP(T71,'Base de Datos'!$E$7:$AU$302,17,0)))</f>
        <v/>
      </c>
      <c r="AG71" s="433" t="str">
        <f>IF(ISERROR(VLOOKUP(T71,'Base de Datos'!$E$7:$AU$302,18,0))=TRUE," ",(VLOOKUP(T71,'Base de Datos'!$E$7:$AU$302,18,0)))</f>
        <v/>
      </c>
      <c r="AH71" s="434">
        <f>IF(ISERROR(VLOOKUP(T71,'Base de Datos'!$E$7:$AU$302,20,0))=TRUE," ",(VLOOKUP(T71,'Base de Datos'!$E$7:$AU$302,20,0)))</f>
        <v>16555000</v>
      </c>
      <c r="AI71" s="434">
        <f>IF(ISERROR(VLOOKUP(T71,'Base de Datos'!$E$7:$AU$302,21,0))=TRUE," ",(VLOOKUP(T71,'Base de Datos'!$E$7:$AU$302,21,0)))</f>
        <v>15762669</v>
      </c>
      <c r="AJ71" s="437">
        <v>42132</v>
      </c>
      <c r="AK71" s="423" t="str">
        <f>IF(ISERROR(VLOOKUP(D71,'Base de Datos'!$C$7:$AU$400,2,0))=TRUE," ",(VLOOKUP(D71,'Base de Datos'!$C$7:$AU$400,2,0)))</f>
        <v>2015171</v>
      </c>
      <c r="AL71" s="423" t="str">
        <f>IF(ISERROR(VLOOKUP(D71,'Base de Datos'!$C$7:$AU$400,3,0))=TRUE," ",(VLOOKUP(D71,'Base de Datos'!$C$7:$AU$400,3,0)))</f>
        <v>150219-0-2015</v>
      </c>
      <c r="AM71" s="426" t="str">
        <f>IF(ISERROR(VLOOKUP(D71,'Base de Datos'!$C$7:$AU$3761,6,0))=TRUE," ",(VLOOKUP(D71,'Base de Datos'!$C$7:$AU$400,6,0)))</f>
        <v>PRESTAR LOS SERVICIOS DE MANTENIMIENTO PREVENTIVO Y CORRECTIVO A LOS ASCENSORES MARCA MITSUBISHI UBICADOS EN EL CONCEJO DE BOGOTA.</v>
      </c>
      <c r="AN71" s="426" t="str">
        <f>IF(ISERROR(VLOOKUP(D71,'Base de Datos'!$C$7:$AU$400,20,0))=TRUE," ",(VLOOKUP(D71,'Base de Datos'!$C$7:$AU$400,19,0)))</f>
        <v/>
      </c>
      <c r="AO71" s="429">
        <f>IF(ISERROR(VLOOKUP(D71,'Base de Datos'!$C$7:$AU$400,9,0))=TRUE," ",(VLOOKUP(D71,'Base de Datos'!$C$7:$AU$400,9,0)))</f>
        <v>2015</v>
      </c>
      <c r="AP71" s="429">
        <f>IF(ISERROR(VLOOKUP(D71,'Base de Datos'!$C$7:$AU$400,10,0))=TRUE," ",(VLOOKUP(D71,'Base de Datos'!$C$7:$AU$400,10,0)))</f>
        <v>42132</v>
      </c>
      <c r="AQ71" s="431">
        <f>IF(ISERROR(VLOOKUP(D71,'Base de Datos'!$C$7:$AU$400,11,0))=TRUE," ",(VLOOKUP(D71,'Base de Datos'!$C$7:$AU$400,11,0)))</f>
        <v>42149</v>
      </c>
      <c r="AR71" s="432">
        <f>IF(ISERROR(VLOOKUP(D71,'Base de Datos'!$C$7:$AU$400,12,0))=TRUE," ",(VLOOKUP(D71,'Base de Datos'!$C$7:$AU$400,12,0)))</f>
        <v>42454</v>
      </c>
      <c r="AS71" s="431" t="str">
        <f>IF(ISERROR(VLOOKUP(D71,'Base de Datos'!$C$7:$AU$400,13,0))=TRUE," ",(VLOOKUP(D71,'Base de Datos'!$C$7:$AU$400,13,0)))</f>
        <v/>
      </c>
      <c r="AT71" s="431">
        <f>IF(ISERROR(VLOOKUP(D71,'Base de Datos'!$C$7:$AU$400,14,0))=TRUE," ",(VLOOKUP(D71,'Base de Datos'!$C$7:$AU$400,14,0)))</f>
        <v>1</v>
      </c>
      <c r="AU71" s="429">
        <f>IF(ISERROR(VLOOKUP(D71,'Base de Datos'!$C$7:$AU$400,16,0))=TRUE," ",(VLOOKUP(D71,'Base de Datos'!$C$7:$AU$400,16,0)))</f>
        <v>0</v>
      </c>
      <c r="AV71" s="433" t="str">
        <f>IF(ISERROR(VLOOKUP(D71,'Base de Datos'!$C$7:$AU$400,17,0))=TRUE," ",(VLOOKUP(D71,'Base de Datos'!$C$7:$AU$400,17,0)))</f>
        <v/>
      </c>
      <c r="AW71" s="433" t="str">
        <f>IF(ISERROR(VLOOKUP(D71,'Base de Datos'!$C$7:$AU$400,18,0))=TRUE," ",(VLOOKUP(D71,'Base de Datos'!$C$7:$AU$400,18,0)))</f>
        <v/>
      </c>
      <c r="AX71" s="433" t="str">
        <f>IF(ISERROR(VLOOKUP(D71,'Base de Datos'!$C$7:$AU$400,19,0))=TRUE," ",(VLOOKUP(D71,'Base de Datos'!$C$7:$AU$400,19,0)))</f>
        <v/>
      </c>
      <c r="AY71" s="436">
        <f>IF(ISERROR(VLOOKUP(D71,'Base de Datos'!$C$7:$AU$400,21,0))=TRUE," ",(VLOOKUP(D71,'Base de Datos'!$C$7:$AU$400,21,0)))</f>
        <v>42454</v>
      </c>
      <c r="AZ71" s="436">
        <f>IF(ISERROR(VLOOKUP(D71,'Base de Datos'!$C$7:$AU$400,22,0))=TRUE," ",(VLOOKUP(D71,'Base de Datos'!$C$7:$AU$400,22,0)))</f>
        <v>18836508</v>
      </c>
      <c r="BA71" s="443"/>
      <c r="BB71" s="453"/>
    </row>
    <row r="72" spans="2:54" ht="55.5" hidden="1" customHeight="1" x14ac:dyDescent="0.3">
      <c r="B72" s="406">
        <v>65</v>
      </c>
      <c r="C72" s="414" t="s">
        <v>1641</v>
      </c>
      <c r="D72" s="406">
        <v>172</v>
      </c>
      <c r="E72" s="414" t="s">
        <v>1654</v>
      </c>
      <c r="F72" s="415">
        <f>VLOOKUP(D72,'Presupuesto - PAA 2015'!$B$10:$E$265,4,0)</f>
        <v>5874000</v>
      </c>
      <c r="G72" s="407" t="str">
        <f>VLOOKUP(D72,'[4]Seguimiento Plan'!$C$2:$R$101,16,0)</f>
        <v>Prestar los servicios de mantenimiento correctivo y suministro de repuestos para los sistemas de archivos rodantes de la Secretaría Distrital de Hacienda y del Concejo de Bogotá-</v>
      </c>
      <c r="H72" s="407" t="s">
        <v>1775</v>
      </c>
      <c r="I72" s="407" t="s">
        <v>1709</v>
      </c>
      <c r="J72" s="416" t="s">
        <v>909</v>
      </c>
      <c r="K72" s="417" t="s">
        <v>390</v>
      </c>
      <c r="L72" s="417" t="str">
        <f>VLOOKUP(D72,'[4]Seguimiento Plan'!$C$2:$AJ$101,30,0)</f>
        <v>SI</v>
      </c>
      <c r="M72" s="418">
        <f>VLOOKUP(D72,'[4]Seguimiento Plan'!$C$2:$AJ$101,31,0)</f>
        <v>42037</v>
      </c>
      <c r="N72" s="417"/>
      <c r="O72" s="419"/>
      <c r="P72" s="419"/>
      <c r="Q72" s="419"/>
      <c r="R72" s="420"/>
      <c r="S72" s="438" t="s">
        <v>1763</v>
      </c>
      <c r="T72" s="125" t="s">
        <v>302</v>
      </c>
      <c r="U72" s="423" t="str">
        <f>IF(ISERROR(VLOOKUP(T72,'Base de Datos'!$E$7:$AU$302,3,0))=TRUE," ",(VLOOKUP(T72,'Base de Datos'!$E$7:$AU$302,2,0)))</f>
        <v>DIVIEXPORT EU</v>
      </c>
      <c r="V72" s="426">
        <f>IF(ISERROR(VLOOKUP(T72,'Base de Datos'!$E$7:$AU$302,5,0))=TRUE," ",(VLOOKUP(T72,'Base de Datos'!$E$7:$AU$302,5,0)))</f>
        <v>4672000</v>
      </c>
      <c r="W72" s="423">
        <f>IF(ISERROR(VLOOKUP(T72,'Base de Datos'!$E$7:$AU$302,19,0))=TRUE," ",(VLOOKUP(T72,'Base de Datos'!$E$7:$AU$302,19,0)))</f>
        <v>42050</v>
      </c>
      <c r="X72" s="428" t="str">
        <f>IF(ISERROR(VLOOKUP(T72,'Base de Datos'!$E$7:$AU$302,8,0))=TRUE," ",(VLOOKUP(T72,'Base de Datos'!$E$7:$AU$302,8,0)))</f>
        <v xml:space="preserve"> </v>
      </c>
      <c r="Y72" s="428">
        <f>IF(ISERROR(VLOOKUP(T72,'Base de Datos'!$E$7:$AU$302,9,0))=TRUE," ",(VLOOKUP(T72,'Base de Datos'!$E$7:$AU$302,9,0)))</f>
        <v>41835</v>
      </c>
      <c r="Z72" s="422">
        <f>IF(ISERROR(VLOOKUP(T72,'Base de Datos'!$E$7:$AU$302,10,0))=TRUE," ",(VLOOKUP(T72,'Base de Datos'!$E$7:$AU$302,10,0)))</f>
        <v>42050</v>
      </c>
      <c r="AA72" s="425" t="str">
        <f>IF(ISERROR(VLOOKUP(T72,'Base de Datos'!$E$7:$AU$302,11,0))=TRUE," ",(VLOOKUP(T72,'Base de Datos'!$E$7:$AU$302,11,0)))</f>
        <v/>
      </c>
      <c r="AB72" s="422">
        <f>IF(ISERROR(VLOOKUP(T72,'Base de Datos'!$E$7:$AU$302,12,0))=TRUE," ",(VLOOKUP(T72,'Base de Datos'!$E$7:$AU$302,12,0)))</f>
        <v>0</v>
      </c>
      <c r="AC72" s="422">
        <f>IF(ISERROR(VLOOKUP(T72,'Base de Datos'!$E$7:$AU$302,12,0))=TRUE," ",(VLOOKUP(T72,'Base de Datos'!$E$7:$AU$302,12,0)))</f>
        <v>0</v>
      </c>
      <c r="AD72" s="428" t="str">
        <f>IF(ISERROR(VLOOKUP(T72,'Base de Datos'!$E$7:$AU$302,15,0))=TRUE," ",(VLOOKUP(T72,'Base de Datos'!$E$7:$AU$302,15,0)))</f>
        <v/>
      </c>
      <c r="AE72" s="433" t="str">
        <f>IF(ISERROR(VLOOKUP(T72,'Base de Datos'!$E$7:$AU$302,16,0))=TRUE," ",(VLOOKUP(T72,'Base de Datos'!$E$7:$AU$302,16,0)))</f>
        <v/>
      </c>
      <c r="AF72" s="433" t="str">
        <f>IF(ISERROR(VLOOKUP(T72,'Base de Datos'!$E$7:$AU$302,17,0))=TRUE," ",(VLOOKUP(T72,'Base de Datos'!$E$7:$AU$302,17,0)))</f>
        <v/>
      </c>
      <c r="AG72" s="433" t="str">
        <f>IF(ISERROR(VLOOKUP(T72,'Base de Datos'!$E$7:$AU$302,18,0))=TRUE," ",(VLOOKUP(T72,'Base de Datos'!$E$7:$AU$302,18,0)))</f>
        <v/>
      </c>
      <c r="AH72" s="434">
        <f>IF(ISERROR(VLOOKUP(T72,'Base de Datos'!$E$7:$AU$302,20,0))=TRUE," ",(VLOOKUP(T72,'Base de Datos'!$E$7:$AU$302,20,0)))</f>
        <v>4672000</v>
      </c>
      <c r="AI72" s="434">
        <f>IF(ISERROR(VLOOKUP(T72,'Base de Datos'!$E$7:$AU$302,21,0))=TRUE," ",(VLOOKUP(T72,'Base de Datos'!$E$7:$AU$302,21,0)))</f>
        <v>1806200</v>
      </c>
      <c r="AJ72" s="437">
        <v>42130</v>
      </c>
      <c r="AK72" s="423" t="str">
        <f>IF(ISERROR(VLOOKUP(D72,'Base de Datos'!$C$7:$AU$400,2,0))=TRUE," ",(VLOOKUP(D72,'Base de Datos'!$C$7:$AU$400,2,0)))</f>
        <v>2015172</v>
      </c>
      <c r="AL72" s="423" t="str">
        <f>IF(ISERROR(VLOOKUP(D72,'Base de Datos'!$C$7:$AU$400,3,0))=TRUE," ",(VLOOKUP(D72,'Base de Datos'!$C$7:$AU$400,3,0)))</f>
        <v>150215-0-2015</v>
      </c>
      <c r="AM72" s="426" t="str">
        <f>IF(ISERROR(VLOOKUP(D72,'Base de Datos'!$C$7:$AU$3761,6,0))=TRUE," ",(VLOOKUP(D72,'Base de Datos'!$C$7:$AU$400,6,0)))</f>
        <v>Realizar el servicio de mantenimiento correctivo y traslado, incluyendo los repuestos y elementos nuevos que requieran los sistemas de archivos rodantes existentes en las diferentes dependencias del Concejo de Bogotá, D.C.</v>
      </c>
      <c r="AN72" s="426" t="str">
        <f>IF(ISERROR(VLOOKUP(D72,'Base de Datos'!$C$7:$AU$400,20,0))=TRUE," ",(VLOOKUP(D72,'Base de Datos'!$C$7:$AU$400,19,0)))</f>
        <v/>
      </c>
      <c r="AO72" s="429">
        <f>IF(ISERROR(VLOOKUP(D72,'Base de Datos'!$C$7:$AU$400,9,0))=TRUE," ",(VLOOKUP(D72,'Base de Datos'!$C$7:$AU$400,9,0)))</f>
        <v>2015</v>
      </c>
      <c r="AP72" s="429">
        <f>IF(ISERROR(VLOOKUP(D72,'Base de Datos'!$C$7:$AU$400,10,0))=TRUE," ",(VLOOKUP(D72,'Base de Datos'!$C$7:$AU$400,10,0)))</f>
        <v>42130</v>
      </c>
      <c r="AQ72" s="431">
        <f>IF(ISERROR(VLOOKUP(D72,'Base de Datos'!$C$7:$AU$400,11,0))=TRUE," ",(VLOOKUP(D72,'Base de Datos'!$C$7:$AU$400,11,0)))</f>
        <v>42149</v>
      </c>
      <c r="AR72" s="432">
        <f>IF(ISERROR(VLOOKUP(D72,'Base de Datos'!$C$7:$AU$400,12,0))=TRUE," ",(VLOOKUP(D72,'Base de Datos'!$C$7:$AU$400,12,0)))</f>
        <v>42515</v>
      </c>
      <c r="AS72" s="431" t="str">
        <f>IF(ISERROR(VLOOKUP(D72,'Base de Datos'!$C$7:$AU$400,13,0))=TRUE," ",(VLOOKUP(D72,'Base de Datos'!$C$7:$AU$400,13,0)))</f>
        <v/>
      </c>
      <c r="AT72" s="431">
        <f>IF(ISERROR(VLOOKUP(D72,'Base de Datos'!$C$7:$AU$400,14,0))=TRUE," ",(VLOOKUP(D72,'Base de Datos'!$C$7:$AU$400,14,0)))</f>
        <v>0</v>
      </c>
      <c r="AU72" s="429">
        <f>IF(ISERROR(VLOOKUP(D72,'Base de Datos'!$C$7:$AU$400,16,0))=TRUE," ",(VLOOKUP(D72,'Base de Datos'!$C$7:$AU$400,16,0)))</f>
        <v>0</v>
      </c>
      <c r="AV72" s="433" t="str">
        <f>IF(ISERROR(VLOOKUP(D72,'Base de Datos'!$C$7:$AU$400,17,0))=TRUE," ",(VLOOKUP(D72,'Base de Datos'!$C$7:$AU$400,17,0)))</f>
        <v/>
      </c>
      <c r="AW72" s="433" t="str">
        <f>IF(ISERROR(VLOOKUP(D72,'Base de Datos'!$C$7:$AU$400,18,0))=TRUE," ",(VLOOKUP(D72,'Base de Datos'!$C$7:$AU$400,18,0)))</f>
        <v/>
      </c>
      <c r="AX72" s="433" t="str">
        <f>IF(ISERROR(VLOOKUP(D72,'Base de Datos'!$C$7:$AU$400,19,0))=TRUE," ",(VLOOKUP(D72,'Base de Datos'!$C$7:$AU$400,19,0)))</f>
        <v/>
      </c>
      <c r="AY72" s="436">
        <f>IF(ISERROR(VLOOKUP(D72,'Base de Datos'!$C$7:$AU$400,21,0))=TRUE," ",(VLOOKUP(D72,'Base de Datos'!$C$7:$AU$400,21,0)))</f>
        <v>42515</v>
      </c>
      <c r="AZ72" s="436">
        <f>IF(ISERROR(VLOOKUP(D72,'Base de Datos'!$C$7:$AU$400,22,0))=TRUE," ",(VLOOKUP(D72,'Base de Datos'!$C$7:$AU$400,22,0)))</f>
        <v>5874000</v>
      </c>
      <c r="BA72" s="443"/>
      <c r="BB72" s="453"/>
    </row>
    <row r="73" spans="2:54" ht="55.5" hidden="1" customHeight="1" x14ac:dyDescent="0.3">
      <c r="B73" s="406">
        <v>66</v>
      </c>
      <c r="C73" s="414" t="s">
        <v>1641</v>
      </c>
      <c r="D73" s="406">
        <v>173</v>
      </c>
      <c r="E73" s="414" t="s">
        <v>1654</v>
      </c>
      <c r="F73" s="415">
        <f>VLOOKUP(D73,'Presupuesto - PAA 2015'!$B$10:$E$265,4,0)</f>
        <v>213921490</v>
      </c>
      <c r="G73" s="407" t="str">
        <f>VLOOKUP(D73,'[4]Seguimiento Plan'!$C$2:$R$101,16,0)</f>
        <v>Prestar los servicios de mantenimiento integral locativo con el suministro de personal, equipo y repuestos en las instalaciones físicas de la Secretaría Distrital de Hacienda y del Concejo de Bogotá.</v>
      </c>
      <c r="H73" s="407" t="s">
        <v>1775</v>
      </c>
      <c r="I73" s="407" t="s">
        <v>1716</v>
      </c>
      <c r="J73" s="416" t="s">
        <v>913</v>
      </c>
      <c r="K73" s="417" t="s">
        <v>390</v>
      </c>
      <c r="L73" s="417" t="str">
        <f>VLOOKUP(D73,'[4]Seguimiento Plan'!$C$2:$AJ$101,30,0)</f>
        <v>SI</v>
      </c>
      <c r="M73" s="418">
        <f>VLOOKUP(D73,'[4]Seguimiento Plan'!$C$2:$AJ$101,31,0)</f>
        <v>42069</v>
      </c>
      <c r="N73" s="417" t="s">
        <v>1807</v>
      </c>
      <c r="O73" s="419"/>
      <c r="P73" s="419"/>
      <c r="Q73" s="419"/>
      <c r="R73" s="420"/>
      <c r="S73" s="438" t="s">
        <v>1981</v>
      </c>
      <c r="T73" s="317" t="s">
        <v>401</v>
      </c>
      <c r="U73" s="423" t="str">
        <f>IF(ISERROR(VLOOKUP(T73,'Base de Datos'!$E$7:$AU$302,3,0))=TRUE," ",(VLOOKUP(T73,'Base de Datos'!$E$7:$AU$302,2,0)))</f>
        <v>H &amp; D OFIMAGEN</v>
      </c>
      <c r="V73" s="426">
        <f>IF(ISERROR(VLOOKUP(T73,'Base de Datos'!$E$7:$AU$302,5,0))=TRUE," ",(VLOOKUP(T73,'Base de Datos'!$E$7:$AU$302,5,0)))</f>
        <v>249991314</v>
      </c>
      <c r="W73" s="423">
        <f>IF(ISERROR(VLOOKUP(T73,'Base de Datos'!$E$7:$AU$302,19,0))=TRUE," ",(VLOOKUP(T73,'Base de Datos'!$E$7:$AU$302,19,0)))</f>
        <v>42216</v>
      </c>
      <c r="X73" s="428" t="str">
        <f>IF(ISERROR(VLOOKUP(T73,'Base de Datos'!$E$7:$AU$302,8,0))=TRUE," ",(VLOOKUP(T73,'Base de Datos'!$E$7:$AU$302,8,0)))</f>
        <v xml:space="preserve"> </v>
      </c>
      <c r="Y73" s="428">
        <f>IF(ISERROR(VLOOKUP(T73,'Base de Datos'!$E$7:$AU$302,9,0))=TRUE," ",(VLOOKUP(T73,'Base de Datos'!$E$7:$AU$302,9,0)))</f>
        <v>41837</v>
      </c>
      <c r="Z73" s="422">
        <f>IF(ISERROR(VLOOKUP(T73,'Base de Datos'!$E$7:$AU$302,10,0))=TRUE," ",(VLOOKUP(T73,'Base de Datos'!$E$7:$AU$302,10,0)))</f>
        <v>42171</v>
      </c>
      <c r="AA73" s="425" t="str">
        <f>IF(ISERROR(VLOOKUP(T73,'Base de Datos'!$E$7:$AU$302,11,0))=TRUE," ",(VLOOKUP(T73,'Base de Datos'!$E$7:$AU$302,11,0)))</f>
        <v/>
      </c>
      <c r="AB73" s="422">
        <f>IF(ISERROR(VLOOKUP(T73,'Base de Datos'!$E$7:$AU$302,12,0))=TRUE," ",(VLOOKUP(T73,'Base de Datos'!$E$7:$AU$302,12,0)))</f>
        <v>0</v>
      </c>
      <c r="AC73" s="422">
        <f>IF(ISERROR(VLOOKUP(T73,'Base de Datos'!$E$7:$AU$302,12,0))=TRUE," ",(VLOOKUP(T73,'Base de Datos'!$E$7:$AU$302,12,0)))</f>
        <v>0</v>
      </c>
      <c r="AD73" s="428" t="str">
        <f>IF(ISERROR(VLOOKUP(T73,'Base de Datos'!$E$7:$AU$302,15,0))=TRUE," ",(VLOOKUP(T73,'Base de Datos'!$E$7:$AU$302,15,0)))</f>
        <v>1 mes y 14 días</v>
      </c>
      <c r="AE73" s="433">
        <f>IF(ISERROR(VLOOKUP(T73,'Base de Datos'!$E$7:$AU$302,16,0))=TRUE," ",(VLOOKUP(T73,'Base de Datos'!$E$7:$AU$302,16,0)))</f>
        <v>42216</v>
      </c>
      <c r="AF73" s="433" t="str">
        <f>IF(ISERROR(VLOOKUP(T73,'Base de Datos'!$E$7:$AU$302,17,0))=TRUE," ",(VLOOKUP(T73,'Base de Datos'!$E$7:$AU$302,17,0)))</f>
        <v/>
      </c>
      <c r="AG73" s="433" t="str">
        <f>IF(ISERROR(VLOOKUP(T73,'Base de Datos'!$E$7:$AU$302,18,0))=TRUE," ",(VLOOKUP(T73,'Base de Datos'!$E$7:$AU$302,18,0)))</f>
        <v/>
      </c>
      <c r="AH73" s="434">
        <f>IF(ISERROR(VLOOKUP(T73,'Base de Datos'!$E$7:$AU$302,20,0))=TRUE," ",(VLOOKUP(T73,'Base de Datos'!$E$7:$AU$302,20,0)))</f>
        <v>249991314</v>
      </c>
      <c r="AI73" s="434">
        <f>IF(ISERROR(VLOOKUP(T73,'Base de Datos'!$E$7:$AU$302,21,0))=TRUE," ",(VLOOKUP(T73,'Base de Datos'!$E$7:$AU$302,21,0)))</f>
        <v>248275406</v>
      </c>
      <c r="AJ73" s="423"/>
      <c r="AK73" s="423" t="str">
        <f>IF(ISERROR(VLOOKUP(D73,'Base de Datos'!$C$7:$AU$400,2,0))=TRUE," ",(VLOOKUP(D73,'Base de Datos'!$C$7:$AU$400,2,0)))</f>
        <v>2015173</v>
      </c>
      <c r="AL73" s="423" t="str">
        <f>IF(ISERROR(VLOOKUP(D73,'Base de Datos'!$C$7:$AU$400,3,0))=TRUE," ",(VLOOKUP(D73,'Base de Datos'!$C$7:$AU$400,3,0)))</f>
        <v>150323-0-2015</v>
      </c>
      <c r="AM73" s="426" t="str">
        <f>IF(ISERROR(VLOOKUP(D73,'Base de Datos'!$C$7:$AU$3761,6,0))=TRUE," ",(VLOOKUP(D73,'Base de Datos'!$C$7:$AU$400,6,0)))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26" t="str">
        <f>IF(ISERROR(VLOOKUP(D73,'Base de Datos'!$C$7:$AU$400,20,0))=TRUE," ",(VLOOKUP(D73,'Base de Datos'!$C$7:$AU$400,19,0)))</f>
        <v/>
      </c>
      <c r="AO73" s="429">
        <f>IF(ISERROR(VLOOKUP(D73,'Base de Datos'!$C$7:$AU$400,9,0))=TRUE," ",(VLOOKUP(D73,'Base de Datos'!$C$7:$AU$400,9,0)))</f>
        <v>2015</v>
      </c>
      <c r="AP73" s="429">
        <f>IF(ISERROR(VLOOKUP(D73,'Base de Datos'!$C$7:$AU$400,10,0))=TRUE," ",(VLOOKUP(D73,'Base de Datos'!$C$7:$AU$400,10,0)))</f>
        <v>42213</v>
      </c>
      <c r="AQ73" s="431">
        <f>IF(ISERROR(VLOOKUP(D73,'Base de Datos'!$C$7:$AU$400,11,0))=TRUE," ",(VLOOKUP(D73,'Base de Datos'!$C$7:$AU$400,11,0)))</f>
        <v>42250</v>
      </c>
      <c r="AR73" s="432">
        <f>IF(ISERROR(VLOOKUP(D73,'Base de Datos'!$C$7:$AU$400,12,0))=TRUE," ",(VLOOKUP(D73,'Base de Datos'!$C$7:$AU$400,12,0)))</f>
        <v>42524</v>
      </c>
      <c r="AS73" s="431" t="str">
        <f>IF(ISERROR(VLOOKUP(D73,'Base de Datos'!$C$7:$AU$400,13,0))=TRUE," ",(VLOOKUP(D73,'Base de Datos'!$C$7:$AU$400,13,0)))</f>
        <v/>
      </c>
      <c r="AT73" s="431">
        <f>IF(ISERROR(VLOOKUP(D73,'Base de Datos'!$C$7:$AU$400,14,0))=TRUE," ",(VLOOKUP(D73,'Base de Datos'!$C$7:$AU$400,14,0)))</f>
        <v>1</v>
      </c>
      <c r="AU73" s="429">
        <f>IF(ISERROR(VLOOKUP(D73,'Base de Datos'!$C$7:$AU$400,16,0))=TRUE," ",(VLOOKUP(D73,'Base de Datos'!$C$7:$AU$400,16,0)))</f>
        <v>0</v>
      </c>
      <c r="AV73" s="433" t="str">
        <f>IF(ISERROR(VLOOKUP(D73,'Base de Datos'!$C$7:$AU$400,17,0))=TRUE," ",(VLOOKUP(D73,'Base de Datos'!$C$7:$AU$400,17,0)))</f>
        <v/>
      </c>
      <c r="AW73" s="433" t="str">
        <f>IF(ISERROR(VLOOKUP(D73,'Base de Datos'!$C$7:$AU$400,18,0))=TRUE," ",(VLOOKUP(D73,'Base de Datos'!$C$7:$AU$400,18,0)))</f>
        <v/>
      </c>
      <c r="AX73" s="433" t="str">
        <f>IF(ISERROR(VLOOKUP(D73,'Base de Datos'!$C$7:$AU$400,19,0))=TRUE," ",(VLOOKUP(D73,'Base de Datos'!$C$7:$AU$400,19,0)))</f>
        <v/>
      </c>
      <c r="AY73" s="436">
        <f>IF(ISERROR(VLOOKUP(D73,'Base de Datos'!$C$7:$AU$400,21,0))=TRUE," ",(VLOOKUP(D73,'Base de Datos'!$C$7:$AU$400,21,0)))</f>
        <v>42524</v>
      </c>
      <c r="AZ73" s="436">
        <f>IF(ISERROR(VLOOKUP(D73,'Base de Datos'!$C$7:$AU$400,22,0))=TRUE," ",(VLOOKUP(D73,'Base de Datos'!$C$7:$AU$400,22,0)))</f>
        <v>255421490</v>
      </c>
      <c r="BA73" s="443"/>
      <c r="BB73" s="453"/>
    </row>
    <row r="74" spans="2:54" ht="55.5" hidden="1" customHeight="1" x14ac:dyDescent="0.3">
      <c r="B74" s="406">
        <v>67</v>
      </c>
      <c r="C74" s="414" t="s">
        <v>1641</v>
      </c>
      <c r="D74" s="406">
        <v>174</v>
      </c>
      <c r="E74" s="414" t="s">
        <v>1654</v>
      </c>
      <c r="F74" s="415">
        <f>VLOOKUP(D74,'Presupuesto - PAA 2015'!$B$10:$E$265,4,0)</f>
        <v>566000000</v>
      </c>
      <c r="G74" s="407" t="str">
        <f>VLOOKUP(D74,'[4]Seguimiento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07" t="s">
        <v>1775</v>
      </c>
      <c r="I74" s="407" t="s">
        <v>1709</v>
      </c>
      <c r="J74" s="416" t="s">
        <v>1733</v>
      </c>
      <c r="K74" s="417" t="s">
        <v>390</v>
      </c>
      <c r="L74" s="417" t="str">
        <f>VLOOKUP(D74,'[4]Seguimiento Plan'!$C$2:$AJ$101,30,0)</f>
        <v>SI</v>
      </c>
      <c r="M74" s="418">
        <f>VLOOKUP(D74,'[4]Seguimiento Plan'!$C$2:$AJ$101,31,0)</f>
        <v>42020</v>
      </c>
      <c r="N74" s="417"/>
      <c r="O74" s="419"/>
      <c r="P74" s="419"/>
      <c r="Q74" s="439">
        <v>42059</v>
      </c>
      <c r="R74" s="498"/>
      <c r="S74" s="438" t="s">
        <v>1765</v>
      </c>
      <c r="T74" s="280" t="s">
        <v>1490</v>
      </c>
      <c r="U74" s="423" t="str">
        <f>IF(ISERROR(VLOOKUP(T74,'Base de Datos'!$E$7:$AU$302,3,0))=TRUE," ",(VLOOKUP(T74,'Base de Datos'!$E$7:$AU$302,2,0)))</f>
        <v>VIGILANCIA ACOSTA LIMITADA</v>
      </c>
      <c r="V74" s="426">
        <f>IF(ISERROR(VLOOKUP(T74,'Base de Datos'!$E$7:$AU$302,5,0))=TRUE," ",(VLOOKUP(T74,'Base de Datos'!$E$7:$AU$302,5,0)))</f>
        <v>300000000</v>
      </c>
      <c r="W74" s="423">
        <f>IF(ISERROR(VLOOKUP(T74,'Base de Datos'!$E$7:$AU$302,19,0))=TRUE," ",(VLOOKUP(T74,'Base de Datos'!$E$7:$AU$302,19,0)))</f>
        <v>42140</v>
      </c>
      <c r="X74" s="428" t="str">
        <f>IF(ISERROR(VLOOKUP(T74,'Base de Datos'!$E$7:$AU$302,8,0))=TRUE," ",(VLOOKUP(T74,'Base de Datos'!$E$7:$AU$302,8,0)))</f>
        <v xml:space="preserve"> </v>
      </c>
      <c r="Y74" s="428">
        <f>IF(ISERROR(VLOOKUP(T74,'Base de Datos'!$E$7:$AU$302,9,0))=TRUE," ",(VLOOKUP(T74,'Base de Datos'!$E$7:$AU$302,9,0)))</f>
        <v>41989</v>
      </c>
      <c r="Z74" s="422">
        <f>IF(ISERROR(VLOOKUP(T74,'Base de Datos'!$E$7:$AU$302,10,0))=TRUE," ",(VLOOKUP(T74,'Base de Datos'!$E$7:$AU$302,10,0)))</f>
        <v>42140</v>
      </c>
      <c r="AA74" s="425" t="str">
        <f>IF(ISERROR(VLOOKUP(T74,'Base de Datos'!$E$7:$AU$302,11,0))=TRUE," ",(VLOOKUP(T74,'Base de Datos'!$E$7:$AU$302,11,0)))</f>
        <v/>
      </c>
      <c r="AB74" s="422">
        <f>IF(ISERROR(VLOOKUP(T74,'Base de Datos'!$E$7:$AU$302,12,0))=TRUE," ",(VLOOKUP(T74,'Base de Datos'!$E$7:$AU$302,12,0)))</f>
        <v>0</v>
      </c>
      <c r="AC74" s="422">
        <f>IF(ISERROR(VLOOKUP(T74,'Base de Datos'!$E$7:$AU$302,12,0))=TRUE," ",(VLOOKUP(T74,'Base de Datos'!$E$7:$AU$302,12,0)))</f>
        <v>0</v>
      </c>
      <c r="AD74" s="428" t="str">
        <f>IF(ISERROR(VLOOKUP(T74,'Base de Datos'!$E$7:$AU$302,15,0))=TRUE," ",(VLOOKUP(T74,'Base de Datos'!$E$7:$AU$302,15,0)))</f>
        <v/>
      </c>
      <c r="AE74" s="433" t="str">
        <f>IF(ISERROR(VLOOKUP(T74,'Base de Datos'!$E$7:$AU$302,16,0))=TRUE," ",(VLOOKUP(T74,'Base de Datos'!$E$7:$AU$302,16,0)))</f>
        <v/>
      </c>
      <c r="AF74" s="433" t="str">
        <f>IF(ISERROR(VLOOKUP(T74,'Base de Datos'!$E$7:$AU$302,17,0))=TRUE," ",(VLOOKUP(T74,'Base de Datos'!$E$7:$AU$302,17,0)))</f>
        <v/>
      </c>
      <c r="AG74" s="433" t="str">
        <f>IF(ISERROR(VLOOKUP(T74,'Base de Datos'!$E$7:$AU$302,18,0))=TRUE," ",(VLOOKUP(T74,'Base de Datos'!$E$7:$AU$302,18,0)))</f>
        <v/>
      </c>
      <c r="AH74" s="434">
        <f>IF(ISERROR(VLOOKUP(T74,'Base de Datos'!$E$7:$AU$302,20,0))=TRUE," ",(VLOOKUP(T74,'Base de Datos'!$E$7:$AU$302,20,0)))</f>
        <v>300000000</v>
      </c>
      <c r="AI74" s="434">
        <f>IF(ISERROR(VLOOKUP(T74,'Base de Datos'!$E$7:$AU$302,21,0))=TRUE," ",(VLOOKUP(T74,'Base de Datos'!$E$7:$AU$302,21,0)))</f>
        <v>238626484</v>
      </c>
      <c r="AJ74" s="437">
        <v>42136</v>
      </c>
      <c r="AK74" s="423" t="str">
        <f>IF(ISERROR(VLOOKUP(D74,'Base de Datos'!$C$7:$AU$400,2,0))=TRUE," ",(VLOOKUP(D74,'Base de Datos'!$C$7:$AU$400,2,0)))</f>
        <v>2015174</v>
      </c>
      <c r="AL74" s="423" t="str">
        <f>IF(ISERROR(VLOOKUP(D74,'Base de Datos'!$C$7:$AU$400,3,0))=TRUE," ",(VLOOKUP(D74,'Base de Datos'!$C$7:$AU$400,3,0)))</f>
        <v>150226-0-2015</v>
      </c>
      <c r="AM74" s="426" t="str">
        <f>IF(ISERROR(VLOOKUP(D74,'Base de Datos'!$C$7:$AU$3761,6,0))=TRUE," ",(VLOOKUP(D74,'Base de Datos'!$C$7:$AU$400,6,0)))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26" t="str">
        <f>IF(ISERROR(VLOOKUP(D74,'Base de Datos'!$C$7:$AU$400,20,0))=TRUE," ",(VLOOKUP(D74,'Base de Datos'!$C$7:$AU$400,19,0)))</f>
        <v/>
      </c>
      <c r="AO74" s="429">
        <f>IF(ISERROR(VLOOKUP(D74,'Base de Datos'!$C$7:$AU$400,9,0))=TRUE," ",(VLOOKUP(D74,'Base de Datos'!$C$7:$AU$400,9,0)))</f>
        <v>2015</v>
      </c>
      <c r="AP74" s="429">
        <f>IF(ISERROR(VLOOKUP(D74,'Base de Datos'!$C$7:$AU$400,10,0))=TRUE," ",(VLOOKUP(D74,'Base de Datos'!$C$7:$AU$400,10,0)))</f>
        <v>42136</v>
      </c>
      <c r="AQ74" s="431">
        <f>IF(ISERROR(VLOOKUP(D74,'Base de Datos'!$C$7:$AU$400,11,0))=TRUE," ",(VLOOKUP(D74,'Base de Datos'!$C$7:$AU$400,11,0)))</f>
        <v>42141</v>
      </c>
      <c r="AR74" s="432">
        <f>IF(ISERROR(VLOOKUP(D74,'Base de Datos'!$C$7:$AU$400,12,0))=TRUE," ",(VLOOKUP(D74,'Base de Datos'!$C$7:$AU$400,12,0)))</f>
        <v>42507</v>
      </c>
      <c r="AS74" s="431" t="str">
        <f>IF(ISERROR(VLOOKUP(D74,'Base de Datos'!$C$7:$AU$400,13,0))=TRUE," ",(VLOOKUP(D74,'Base de Datos'!$C$7:$AU$400,13,0)))</f>
        <v/>
      </c>
      <c r="AT74" s="431">
        <f>IF(ISERROR(VLOOKUP(D74,'Base de Datos'!$C$7:$AU$400,14,0))=TRUE," ",(VLOOKUP(D74,'Base de Datos'!$C$7:$AU$400,14,0)))</f>
        <v>0</v>
      </c>
      <c r="AU74" s="429">
        <f>IF(ISERROR(VLOOKUP(D74,'Base de Datos'!$C$7:$AU$400,16,0))=TRUE," ",(VLOOKUP(D74,'Base de Datos'!$C$7:$AU$400,16,0)))</f>
        <v>0</v>
      </c>
      <c r="AV74" s="433" t="str">
        <f>IF(ISERROR(VLOOKUP(D74,'Base de Datos'!$C$7:$AU$400,17,0))=TRUE," ",(VLOOKUP(D74,'Base de Datos'!$C$7:$AU$400,17,0)))</f>
        <v>2 meses y 14 días calendario</v>
      </c>
      <c r="AW74" s="433" t="str">
        <f>IF(ISERROR(VLOOKUP(D74,'Base de Datos'!$C$7:$AU$400,18,0))=TRUE," ",(VLOOKUP(D74,'Base de Datos'!$C$7:$AU$400,18,0)))</f>
        <v/>
      </c>
      <c r="AX74" s="433" t="str">
        <f>IF(ISERROR(VLOOKUP(D74,'Base de Datos'!$C$7:$AU$400,19,0))=TRUE," ",(VLOOKUP(D74,'Base de Datos'!$C$7:$AU$400,19,0)))</f>
        <v/>
      </c>
      <c r="AY74" s="436">
        <f>IF(ISERROR(VLOOKUP(D74,'Base de Datos'!$C$7:$AU$400,21,0))=TRUE," ",(VLOOKUP(D74,'Base de Datos'!$C$7:$AU$400,21,0)))</f>
        <v>42507</v>
      </c>
      <c r="AZ74" s="436">
        <f>IF(ISERROR(VLOOKUP(D74,'Base de Datos'!$C$7:$AU$400,22,0))=TRUE," ",(VLOOKUP(D74,'Base de Datos'!$C$7:$AU$400,22,0)))</f>
        <v>566000000</v>
      </c>
      <c r="BA74" s="443"/>
      <c r="BB74" s="453"/>
    </row>
    <row r="75" spans="2:54" ht="55.5" hidden="1" customHeight="1" x14ac:dyDescent="0.3">
      <c r="B75" s="406">
        <v>68</v>
      </c>
      <c r="C75" s="414" t="s">
        <v>1641</v>
      </c>
      <c r="D75" s="406">
        <v>175</v>
      </c>
      <c r="E75" s="414" t="s">
        <v>1654</v>
      </c>
      <c r="F75" s="415">
        <f>VLOOKUP(D75,'Presupuesto - PAA 2015'!$B$10:$E$265,4,0)</f>
        <v>27620000</v>
      </c>
      <c r="G75" s="407" t="str">
        <f>VLOOKUP(D75,'[4]Seguimiento Plan'!$C$2:$R$101,16,0)</f>
        <v>Prestar los servicios de mantenimiento preventivo y correctivo con suministro de repuestos de los automotores marca Chevrolet al servicio de la Secretaría Distrital de Hacienda y del Concejo de Bogotá</v>
      </c>
      <c r="H75" s="407" t="s">
        <v>1775</v>
      </c>
      <c r="I75" s="407" t="s">
        <v>1709</v>
      </c>
      <c r="J75" s="416" t="s">
        <v>909</v>
      </c>
      <c r="K75" s="417" t="s">
        <v>390</v>
      </c>
      <c r="L75" s="417" t="str">
        <f>VLOOKUP(D75,'[4]Seguimiento Plan'!$C$2:$AJ$101,30,0)</f>
        <v>SI</v>
      </c>
      <c r="M75" s="418">
        <f>VLOOKUP(D75,'[4]Seguimiento Plan'!$C$2:$AJ$101,31,0)</f>
        <v>42010</v>
      </c>
      <c r="N75" s="417"/>
      <c r="O75" s="419"/>
      <c r="P75" s="419"/>
      <c r="Q75" s="419"/>
      <c r="R75" s="420"/>
      <c r="S75" s="438" t="s">
        <v>1752</v>
      </c>
      <c r="T75" s="317" t="s">
        <v>279</v>
      </c>
      <c r="U75" s="423" t="str">
        <f>IF(ISERROR(VLOOKUP(T75,'Base de Datos'!$E$7:$AU$302,3,0))=TRUE," ",(VLOOKUP(T75,'Base de Datos'!$E$7:$AU$302,2,0)))</f>
        <v>HERNANDO  BULLA ORJUELA</v>
      </c>
      <c r="V75" s="426">
        <f>IF(ISERROR(VLOOKUP(T75,'Base de Datos'!$E$7:$AU$302,5,0))=TRUE," ",(VLOOKUP(T75,'Base de Datos'!$E$7:$AU$302,5,0)))</f>
        <v>20872000</v>
      </c>
      <c r="W75" s="423">
        <f>IF(ISERROR(VLOOKUP(T75,'Base de Datos'!$E$7:$AU$302,19,0))=TRUE," ",(VLOOKUP(T75,'Base de Datos'!$E$7:$AU$302,19,0)))</f>
        <v>42091</v>
      </c>
      <c r="X75" s="428" t="str">
        <f>IF(ISERROR(VLOOKUP(T75,'Base de Datos'!$E$7:$AU$302,8,0))=TRUE," ",(VLOOKUP(T75,'Base de Datos'!$E$7:$AU$302,8,0)))</f>
        <v xml:space="preserve"> </v>
      </c>
      <c r="Y75" s="428">
        <f>IF(ISERROR(VLOOKUP(T75,'Base de Datos'!$E$7:$AU$302,9,0))=TRUE," ",(VLOOKUP(T75,'Base de Datos'!$E$7:$AU$302,9,0)))</f>
        <v>41757</v>
      </c>
      <c r="Z75" s="422">
        <f>IF(ISERROR(VLOOKUP(T75,'Base de Datos'!$E$7:$AU$302,10,0))=TRUE," ",(VLOOKUP(T75,'Base de Datos'!$E$7:$AU$302,10,0)))</f>
        <v>42062</v>
      </c>
      <c r="AA75" s="425" t="str">
        <f>IF(ISERROR(VLOOKUP(T75,'Base de Datos'!$E$7:$AU$302,11,0))=TRUE," ",(VLOOKUP(T75,'Base de Datos'!$E$7:$AU$302,11,0)))</f>
        <v/>
      </c>
      <c r="AB75" s="422">
        <f>IF(ISERROR(VLOOKUP(T75,'Base de Datos'!$E$7:$AU$302,12,0))=TRUE," ",(VLOOKUP(T75,'Base de Datos'!$E$7:$AU$302,12,0)))</f>
        <v>1</v>
      </c>
      <c r="AC75" s="422">
        <f>IF(ISERROR(VLOOKUP(T75,'Base de Datos'!$E$7:$AU$302,12,0))=TRUE," ",(VLOOKUP(T75,'Base de Datos'!$E$7:$AU$302,12,0)))</f>
        <v>1</v>
      </c>
      <c r="AD75" s="428" t="str">
        <f>IF(ISERROR(VLOOKUP(T75,'Base de Datos'!$E$7:$AU$302,15,0))=TRUE," ",(VLOOKUP(T75,'Base de Datos'!$E$7:$AU$302,15,0)))</f>
        <v xml:space="preserve">1 mes   </v>
      </c>
      <c r="AE75" s="433">
        <f>IF(ISERROR(VLOOKUP(T75,'Base de Datos'!$E$7:$AU$302,16,0))=TRUE," ",(VLOOKUP(T75,'Base de Datos'!$E$7:$AU$302,16,0)))</f>
        <v>42091</v>
      </c>
      <c r="AF75" s="433" t="str">
        <f>IF(ISERROR(VLOOKUP(T75,'Base de Datos'!$E$7:$AU$302,17,0))=TRUE," ",(VLOOKUP(T75,'Base de Datos'!$E$7:$AU$302,17,0)))</f>
        <v/>
      </c>
      <c r="AG75" s="433" t="str">
        <f>IF(ISERROR(VLOOKUP(T75,'Base de Datos'!$E$7:$AU$302,18,0))=TRUE," ",(VLOOKUP(T75,'Base de Datos'!$E$7:$AU$302,18,0)))</f>
        <v/>
      </c>
      <c r="AH75" s="434">
        <f>IF(ISERROR(VLOOKUP(T75,'Base de Datos'!$E$7:$AU$302,20,0))=TRUE," ",(VLOOKUP(T75,'Base de Datos'!$E$7:$AU$302,20,0)))</f>
        <v>31218000</v>
      </c>
      <c r="AI75" s="434">
        <f>IF(ISERROR(VLOOKUP(T75,'Base de Datos'!$E$7:$AU$302,21,0))=TRUE," ",(VLOOKUP(T75,'Base de Datos'!$E$7:$AU$302,21,0)))</f>
        <v>29571427</v>
      </c>
      <c r="AJ75" s="428">
        <v>42109</v>
      </c>
      <c r="AK75" s="423" t="str">
        <f>IF(ISERROR(VLOOKUP(D75,'Base de Datos'!$C$7:$AU$400,2,0))=TRUE," ",(VLOOKUP(D75,'Base de Datos'!$C$7:$AU$400,2,0)))</f>
        <v>2015175</v>
      </c>
      <c r="AL75" s="423" t="str">
        <f>IF(ISERROR(VLOOKUP(D75,'Base de Datos'!$C$7:$AU$400,3,0))=TRUE," ",(VLOOKUP(D75,'Base de Datos'!$C$7:$AU$400,3,0)))</f>
        <v>150191-0-2015</v>
      </c>
      <c r="AM75" s="426" t="str">
        <f>IF(ISERROR(VLOOKUP(D75,'Base de Datos'!$C$7:$AU$3761,6,0))=TRUE," ",(VLOOKUP(D75,'Base de Datos'!$C$7:$AU$400,6,0)))</f>
        <v>Contratar el servicio de mantenimiento preventivo y correctivo con suministro de repuestos del parque automotor marca Chevrolet de propiedad del Concejo de Bogotá, de conformidad con lo establecido en la presente invitación pública.</v>
      </c>
      <c r="AN75" s="426" t="str">
        <f>IF(ISERROR(VLOOKUP(D75,'Base de Datos'!$C$7:$AU$400,20,0))=TRUE," ",(VLOOKUP(D75,'Base de Datos'!$C$7:$AU$400,19,0)))</f>
        <v/>
      </c>
      <c r="AO75" s="429">
        <f>IF(ISERROR(VLOOKUP(D75,'Base de Datos'!$C$7:$AU$400,9,0))=TRUE," ",(VLOOKUP(D75,'Base de Datos'!$C$7:$AU$400,9,0)))</f>
        <v>2015</v>
      </c>
      <c r="AP75" s="429">
        <f>IF(ISERROR(VLOOKUP(D75,'Base de Datos'!$C$7:$AU$400,10,0))=TRUE," ",(VLOOKUP(D75,'Base de Datos'!$C$7:$AU$400,10,0)))</f>
        <v>42109</v>
      </c>
      <c r="AQ75" s="431">
        <f>IF(ISERROR(VLOOKUP(D75,'Base de Datos'!$C$7:$AU$400,11,0))=TRUE," ",(VLOOKUP(D75,'Base de Datos'!$C$7:$AU$400,11,0)))</f>
        <v>42137</v>
      </c>
      <c r="AR75" s="432">
        <f>IF(ISERROR(VLOOKUP(D75,'Base de Datos'!$C$7:$AU$400,12,0))=TRUE," ",(VLOOKUP(D75,'Base de Datos'!$C$7:$AU$400,12,0)))</f>
        <v>42503</v>
      </c>
      <c r="AS75" s="431" t="str">
        <f>IF(ISERROR(VLOOKUP(D75,'Base de Datos'!$C$7:$AU$400,13,0))=TRUE," ",(VLOOKUP(D75,'Base de Datos'!$C$7:$AU$400,13,0)))</f>
        <v/>
      </c>
      <c r="AT75" s="431">
        <f>IF(ISERROR(VLOOKUP(D75,'Base de Datos'!$C$7:$AU$400,14,0))=TRUE," ",(VLOOKUP(D75,'Base de Datos'!$C$7:$AU$400,14,0)))</f>
        <v>1</v>
      </c>
      <c r="AU75" s="429">
        <f>IF(ISERROR(VLOOKUP(D75,'Base de Datos'!$C$7:$AU$400,16,0))=TRUE," ",(VLOOKUP(D75,'Base de Datos'!$C$7:$AU$400,16,0)))</f>
        <v>1</v>
      </c>
      <c r="AV75" s="433" t="str">
        <f>IF(ISERROR(VLOOKUP(D75,'Base de Datos'!$C$7:$AU$400,17,0))=TRUE," ",(VLOOKUP(D75,'Base de Datos'!$C$7:$AU$400,17,0)))</f>
        <v>28 días calendario</v>
      </c>
      <c r="AW75" s="433">
        <f>IF(ISERROR(VLOOKUP(D75,'Base de Datos'!$C$7:$AU$400,18,0))=TRUE," ",(VLOOKUP(D75,'Base de Datos'!$C$7:$AU$400,18,0)))</f>
        <v>42531</v>
      </c>
      <c r="AX75" s="433" t="str">
        <f>IF(ISERROR(VLOOKUP(D75,'Base de Datos'!$C$7:$AU$400,19,0))=TRUE," ",(VLOOKUP(D75,'Base de Datos'!$C$7:$AU$400,19,0)))</f>
        <v/>
      </c>
      <c r="AY75" s="436">
        <f>IF(ISERROR(VLOOKUP(D75,'Base de Datos'!$C$7:$AU$400,21,0))=TRUE," ",(VLOOKUP(D75,'Base de Datos'!$C$7:$AU$400,21,0)))</f>
        <v>42531</v>
      </c>
      <c r="AZ75" s="436">
        <f>IF(ISERROR(VLOOKUP(D75,'Base de Datos'!$C$7:$AU$400,22,0))=TRUE," ",(VLOOKUP(D75,'Base de Datos'!$C$7:$AU$400,22,0)))</f>
        <v>41620000</v>
      </c>
      <c r="BA75" s="443"/>
      <c r="BB75" s="453"/>
    </row>
    <row r="76" spans="2:54" ht="55.5" hidden="1" customHeight="1" x14ac:dyDescent="0.3">
      <c r="B76" s="406">
        <v>69</v>
      </c>
      <c r="C76" s="414" t="s">
        <v>1641</v>
      </c>
      <c r="D76" s="406">
        <v>176</v>
      </c>
      <c r="E76" s="414" t="s">
        <v>1654</v>
      </c>
      <c r="F76" s="415">
        <f>VLOOKUP(D76,'Presupuesto - PAA 2015'!$B$10:$E$265,4,0)</f>
        <v>28000000</v>
      </c>
      <c r="G76" s="407" t="str">
        <f>VLOOKUP(D76,'[4]Seguimiento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07" t="s">
        <v>1775</v>
      </c>
      <c r="I76" s="407" t="s">
        <v>1709</v>
      </c>
      <c r="J76" s="416" t="s">
        <v>1733</v>
      </c>
      <c r="K76" s="417" t="s">
        <v>390</v>
      </c>
      <c r="L76" s="417" t="str">
        <f>VLOOKUP(D76,'[4]Seguimiento Plan'!$C$2:$AJ$101,30,0)</f>
        <v>SI</v>
      </c>
      <c r="M76" s="418">
        <f>VLOOKUP(D76,'[4]Seguimiento Plan'!$C$2:$AJ$101,31,0)</f>
        <v>42031</v>
      </c>
      <c r="N76" s="417"/>
      <c r="O76" s="419"/>
      <c r="P76" s="419"/>
      <c r="Q76" s="419"/>
      <c r="R76" s="497"/>
      <c r="S76" s="324" t="s">
        <v>1741</v>
      </c>
      <c r="T76" s="125" t="s">
        <v>271</v>
      </c>
      <c r="U76" s="423" t="str">
        <f>IF(ISERROR(VLOOKUP(T76,'Base de Datos'!$E$7:$AU$302,3,0))=TRUE," ",(VLOOKUP(T76,'Base de Datos'!$E$7:$AU$302,2,0)))</f>
        <v>MODULARES OFIMA LTDA</v>
      </c>
      <c r="V76" s="426">
        <f>IF(ISERROR(VLOOKUP(T76,'Base de Datos'!$E$7:$AU$302,5,0))=TRUE," ",(VLOOKUP(T76,'Base de Datos'!$E$7:$AU$302,5,0)))</f>
        <v>28000000</v>
      </c>
      <c r="W76" s="423">
        <f>IF(ISERROR(VLOOKUP(T76,'Base de Datos'!$E$7:$AU$302,19,0))=TRUE," ",(VLOOKUP(T76,'Base de Datos'!$E$7:$AU$302,19,0)))</f>
        <v>41951</v>
      </c>
      <c r="X76" s="428" t="str">
        <f>IF(ISERROR(VLOOKUP(T76,'Base de Datos'!$E$7:$AU$302,8,0))=TRUE," ",(VLOOKUP(T76,'Base de Datos'!$E$7:$AU$302,8,0)))</f>
        <v xml:space="preserve"> </v>
      </c>
      <c r="Y76" s="428">
        <f>IF(ISERROR(VLOOKUP(T76,'Base de Datos'!$E$7:$AU$302,9,0))=TRUE," ",(VLOOKUP(T76,'Base de Datos'!$E$7:$AU$302,9,0)))</f>
        <v>41738</v>
      </c>
      <c r="Z76" s="422">
        <f>IF(ISERROR(VLOOKUP(T76,'Base de Datos'!$E$7:$AU$302,10,0))=TRUE," ",(VLOOKUP(T76,'Base de Datos'!$E$7:$AU$302,10,0)))</f>
        <v>41951</v>
      </c>
      <c r="AA76" s="425" t="str">
        <f>IF(ISERROR(VLOOKUP(T76,'Base de Datos'!$E$7:$AU$302,11,0))=TRUE," ",(VLOOKUP(T76,'Base de Datos'!$E$7:$AU$302,11,0)))</f>
        <v/>
      </c>
      <c r="AB76" s="422">
        <f>IF(ISERROR(VLOOKUP(T76,'Base de Datos'!$E$7:$AU$302,12,0))=TRUE," ",(VLOOKUP(T76,'Base de Datos'!$E$7:$AU$302,12,0)))</f>
        <v>0</v>
      </c>
      <c r="AC76" s="422">
        <f>IF(ISERROR(VLOOKUP(T76,'Base de Datos'!$E$7:$AU$302,12,0))=TRUE," ",(VLOOKUP(T76,'Base de Datos'!$E$7:$AU$302,12,0)))</f>
        <v>0</v>
      </c>
      <c r="AD76" s="428" t="str">
        <f>IF(ISERROR(VLOOKUP(T76,'Base de Datos'!$E$7:$AU$302,15,0))=TRUE," ",(VLOOKUP(T76,'Base de Datos'!$E$7:$AU$302,15,0)))</f>
        <v/>
      </c>
      <c r="AE76" s="433" t="str">
        <f>IF(ISERROR(VLOOKUP(T76,'Base de Datos'!$E$7:$AU$302,16,0))=TRUE," ",(VLOOKUP(T76,'Base de Datos'!$E$7:$AU$302,16,0)))</f>
        <v/>
      </c>
      <c r="AF76" s="433" t="str">
        <f>IF(ISERROR(VLOOKUP(T76,'Base de Datos'!$E$7:$AU$302,17,0))=TRUE," ",(VLOOKUP(T76,'Base de Datos'!$E$7:$AU$302,17,0)))</f>
        <v/>
      </c>
      <c r="AG76" s="433" t="str">
        <f>IF(ISERROR(VLOOKUP(T76,'Base de Datos'!$E$7:$AU$302,18,0))=TRUE," ",(VLOOKUP(T76,'Base de Datos'!$E$7:$AU$302,18,0)))</f>
        <v/>
      </c>
      <c r="AH76" s="434">
        <f>IF(ISERROR(VLOOKUP(T76,'Base de Datos'!$E$7:$AU$302,20,0))=TRUE," ",(VLOOKUP(T76,'Base de Datos'!$E$7:$AU$302,20,0)))</f>
        <v>28000000</v>
      </c>
      <c r="AI76" s="434">
        <f>IF(ISERROR(VLOOKUP(T76,'Base de Datos'!$E$7:$AU$302,21,0))=TRUE," ",(VLOOKUP(T76,'Base de Datos'!$E$7:$AU$302,21,0)))</f>
        <v>10978240</v>
      </c>
      <c r="AJ76" s="428">
        <v>42093</v>
      </c>
      <c r="AK76" s="423" t="str">
        <f>IF(ISERROR(VLOOKUP(D76,'Base de Datos'!$C$7:$AU$400,2,0))=TRUE," ",(VLOOKUP(D76,'Base de Datos'!$C$7:$AU$400,2,0)))</f>
        <v>2015176</v>
      </c>
      <c r="AL76" s="423" t="str">
        <f>IF(ISERROR(VLOOKUP(D76,'Base de Datos'!$C$7:$AU$400,3,0))=TRUE," ",(VLOOKUP(D76,'Base de Datos'!$C$7:$AU$400,3,0)))</f>
        <v>150141-0-2015</v>
      </c>
      <c r="AM76" s="426" t="str">
        <f>IF(ISERROR(VLOOKUP(D76,'Base de Datos'!$C$7:$AU$3761,6,0))=TRUE," ",(VLOOKUP(D76,'Base de Datos'!$C$7:$AU$400,6,0)))</f>
        <v>Prestar el servicio de mantenimiento correctivo incluyendo suministro de repuestos y/o elementos nuevos que requieran las sillas existentes en el Concejo de Bogotá, D.C.</v>
      </c>
      <c r="AN76" s="426" t="str">
        <f>IF(ISERROR(VLOOKUP(D76,'Base de Datos'!$C$7:$AU$400,20,0))=TRUE," ",(VLOOKUP(D76,'Base de Datos'!$C$7:$AU$400,19,0)))</f>
        <v/>
      </c>
      <c r="AO76" s="429">
        <f>IF(ISERROR(VLOOKUP(D76,'Base de Datos'!$C$7:$AU$400,9,0))=TRUE," ",(VLOOKUP(D76,'Base de Datos'!$C$7:$AU$400,9,0)))</f>
        <v>2015</v>
      </c>
      <c r="AP76" s="429">
        <f>IF(ISERROR(VLOOKUP(D76,'Base de Datos'!$C$7:$AU$400,10,0))=TRUE," ",(VLOOKUP(D76,'Base de Datos'!$C$7:$AU$400,10,0)))</f>
        <v>42093</v>
      </c>
      <c r="AQ76" s="431">
        <f>IF(ISERROR(VLOOKUP(D76,'Base de Datos'!$C$7:$AU$400,11,0))=TRUE," ",(VLOOKUP(D76,'Base de Datos'!$C$7:$AU$400,11,0)))</f>
        <v>42116</v>
      </c>
      <c r="AR76" s="432">
        <f>IF(ISERROR(VLOOKUP(D76,'Base de Datos'!$C$7:$AU$400,12,0))=TRUE," ",(VLOOKUP(D76,'Base de Datos'!$C$7:$AU$400,12,0)))</f>
        <v>42482</v>
      </c>
      <c r="AS76" s="431" t="str">
        <f>IF(ISERROR(VLOOKUP(D76,'Base de Datos'!$C$7:$AU$400,13,0))=TRUE," ",(VLOOKUP(D76,'Base de Datos'!$C$7:$AU$400,13,0)))</f>
        <v/>
      </c>
      <c r="AT76" s="431">
        <f>IF(ISERROR(VLOOKUP(D76,'Base de Datos'!$C$7:$AU$400,14,0))=TRUE," ",(VLOOKUP(D76,'Base de Datos'!$C$7:$AU$400,14,0)))</f>
        <v>0</v>
      </c>
      <c r="AU76" s="429">
        <f>IF(ISERROR(VLOOKUP(D76,'Base de Datos'!$C$7:$AU$400,16,0))=TRUE," ",(VLOOKUP(D76,'Base de Datos'!$C$7:$AU$400,16,0)))</f>
        <v>0</v>
      </c>
      <c r="AV76" s="433" t="str">
        <f>IF(ISERROR(VLOOKUP(D76,'Base de Datos'!$C$7:$AU$400,17,0))=TRUE," ",(VLOOKUP(D76,'Base de Datos'!$C$7:$AU$400,17,0)))</f>
        <v/>
      </c>
      <c r="AW76" s="433" t="str">
        <f>IF(ISERROR(VLOOKUP(D76,'Base de Datos'!$C$7:$AU$400,18,0))=TRUE," ",(VLOOKUP(D76,'Base de Datos'!$C$7:$AU$400,18,0)))</f>
        <v/>
      </c>
      <c r="AX76" s="433" t="str">
        <f>IF(ISERROR(VLOOKUP(D76,'Base de Datos'!$C$7:$AU$400,19,0))=TRUE," ",(VLOOKUP(D76,'Base de Datos'!$C$7:$AU$400,19,0)))</f>
        <v/>
      </c>
      <c r="AY76" s="436">
        <f>IF(ISERROR(VLOOKUP(D76,'Base de Datos'!$C$7:$AU$400,21,0))=TRUE," ",(VLOOKUP(D76,'Base de Datos'!$C$7:$AU$400,21,0)))</f>
        <v>42482</v>
      </c>
      <c r="AZ76" s="436">
        <f>IF(ISERROR(VLOOKUP(D76,'Base de Datos'!$C$7:$AU$400,22,0))=TRUE," ",(VLOOKUP(D76,'Base de Datos'!$C$7:$AU$400,22,0)))</f>
        <v>28000000</v>
      </c>
      <c r="BA76" s="443"/>
      <c r="BB76" s="453"/>
    </row>
    <row r="77" spans="2:54" ht="55.5" hidden="1" customHeight="1" x14ac:dyDescent="0.3">
      <c r="B77" s="406">
        <v>70</v>
      </c>
      <c r="C77" s="414" t="s">
        <v>1641</v>
      </c>
      <c r="D77" s="406">
        <v>177</v>
      </c>
      <c r="E77" s="414" t="s">
        <v>1654</v>
      </c>
      <c r="F77" s="415">
        <f>VLOOKUP(D77,'Presupuesto - PAA 2015'!$B$10:$E$265,4,0)</f>
        <v>11000000</v>
      </c>
      <c r="G77" s="407" t="str">
        <f>VLOOKUP(D77,'[4]Seguimiento Plan'!$C$2:$R$101,16,0)</f>
        <v>Prestar los servicios de mantenimiento preventivo y correctivo al sistema eléctrico del  Centro Administrativo Distrital CAD y al sistema de generación y transferencia eléctrica de emergencia  del Concejo de Bogotá, DC.</v>
      </c>
      <c r="H77" s="407" t="s">
        <v>1775</v>
      </c>
      <c r="I77" s="407" t="s">
        <v>1709</v>
      </c>
      <c r="J77" s="416" t="s">
        <v>913</v>
      </c>
      <c r="K77" s="417" t="s">
        <v>390</v>
      </c>
      <c r="L77" s="417" t="str">
        <f>VLOOKUP(D77,'[4]Seguimiento Plan'!$C$2:$AJ$101,30,0)</f>
        <v>SI</v>
      </c>
      <c r="M77" s="418">
        <f>VLOOKUP(D77,'[4]Seguimiento Plan'!$C$2:$AJ$101,31,0)</f>
        <v>42033</v>
      </c>
      <c r="N77" s="417"/>
      <c r="O77" s="419"/>
      <c r="P77" s="419"/>
      <c r="Q77" s="439">
        <v>42082</v>
      </c>
      <c r="R77" s="498"/>
      <c r="S77" s="438" t="s">
        <v>1753</v>
      </c>
      <c r="T77" s="317" t="s">
        <v>400</v>
      </c>
      <c r="U77" s="423" t="str">
        <f>IF(ISERROR(VLOOKUP(T77,'Base de Datos'!$E$7:$AU$302,3,0))=TRUE," ",(VLOOKUP(T77,'Base de Datos'!$E$7:$AU$302,2,0)))</f>
        <v>SODINLEC LTDA</v>
      </c>
      <c r="V77" s="426">
        <f>IF(ISERROR(VLOOKUP(T77,'Base de Datos'!$E$7:$AU$302,5,0))=TRUE," ",(VLOOKUP(T77,'Base de Datos'!$E$7:$AU$302,5,0)))</f>
        <v>10564000</v>
      </c>
      <c r="W77" s="423">
        <f>IF(ISERROR(VLOOKUP(T77,'Base de Datos'!$E$7:$AU$302,19,0))=TRUE," ",(VLOOKUP(T77,'Base de Datos'!$E$7:$AU$302,19,0)))</f>
        <v>42096</v>
      </c>
      <c r="X77" s="428" t="str">
        <f>IF(ISERROR(VLOOKUP(T77,'Base de Datos'!$E$7:$AU$302,8,0))=TRUE," ",(VLOOKUP(T77,'Base de Datos'!$E$7:$AU$302,8,0)))</f>
        <v xml:space="preserve"> </v>
      </c>
      <c r="Y77" s="428">
        <f>IF(ISERROR(VLOOKUP(T77,'Base de Datos'!$E$7:$AU$302,9,0))=TRUE," ",(VLOOKUP(T77,'Base de Datos'!$E$7:$AU$302,9,0)))</f>
        <v>41793</v>
      </c>
      <c r="Z77" s="422">
        <f>IF(ISERROR(VLOOKUP(T77,'Base de Datos'!$E$7:$AU$302,10,0))=TRUE," ",(VLOOKUP(T77,'Base de Datos'!$E$7:$AU$302,10,0)))</f>
        <v>42096</v>
      </c>
      <c r="AA77" s="425" t="str">
        <f>IF(ISERROR(VLOOKUP(T77,'Base de Datos'!$E$7:$AU$302,11,0))=TRUE," ",(VLOOKUP(T77,'Base de Datos'!$E$7:$AU$302,11,0)))</f>
        <v/>
      </c>
      <c r="AB77" s="422">
        <f>IF(ISERROR(VLOOKUP(T77,'Base de Datos'!$E$7:$AU$302,12,0))=TRUE," ",(VLOOKUP(T77,'Base de Datos'!$E$7:$AU$302,12,0)))</f>
        <v>0</v>
      </c>
      <c r="AC77" s="422">
        <f>IF(ISERROR(VLOOKUP(T77,'Base de Datos'!$E$7:$AU$302,12,0))=TRUE," ",(VLOOKUP(T77,'Base de Datos'!$E$7:$AU$302,12,0)))</f>
        <v>0</v>
      </c>
      <c r="AD77" s="428" t="str">
        <f>IF(ISERROR(VLOOKUP(T77,'Base de Datos'!$E$7:$AU$302,15,0))=TRUE," ",(VLOOKUP(T77,'Base de Datos'!$E$7:$AU$302,15,0)))</f>
        <v/>
      </c>
      <c r="AE77" s="433" t="str">
        <f>IF(ISERROR(VLOOKUP(T77,'Base de Datos'!$E$7:$AU$302,16,0))=TRUE," ",(VLOOKUP(T77,'Base de Datos'!$E$7:$AU$302,16,0)))</f>
        <v/>
      </c>
      <c r="AF77" s="433" t="str">
        <f>IF(ISERROR(VLOOKUP(T77,'Base de Datos'!$E$7:$AU$302,17,0))=TRUE," ",(VLOOKUP(T77,'Base de Datos'!$E$7:$AU$302,17,0)))</f>
        <v/>
      </c>
      <c r="AG77" s="433" t="str">
        <f>IF(ISERROR(VLOOKUP(T77,'Base de Datos'!$E$7:$AU$302,18,0))=TRUE," ",(VLOOKUP(T77,'Base de Datos'!$E$7:$AU$302,18,0)))</f>
        <v/>
      </c>
      <c r="AH77" s="434">
        <f>IF(ISERROR(VLOOKUP(T77,'Base de Datos'!$E$7:$AU$302,20,0))=TRUE," ",(VLOOKUP(T77,'Base de Datos'!$E$7:$AU$302,20,0)))</f>
        <v>10564000</v>
      </c>
      <c r="AI77" s="434">
        <f>IF(ISERROR(VLOOKUP(T77,'Base de Datos'!$E$7:$AU$302,21,0))=TRUE," ",(VLOOKUP(T77,'Base de Datos'!$E$7:$AU$302,21,0)))</f>
        <v>10055157</v>
      </c>
      <c r="AJ77" s="437">
        <v>42109</v>
      </c>
      <c r="AK77" s="423" t="str">
        <f>IF(ISERROR(VLOOKUP(D77,'Base de Datos'!$C$7:$AU$400,2,0))=TRUE," ",(VLOOKUP(D77,'Base de Datos'!$C$7:$AU$400,2,0)))</f>
        <v>2015177</v>
      </c>
      <c r="AL77" s="423" t="str">
        <f>IF(ISERROR(VLOOKUP(D77,'Base de Datos'!$C$7:$AU$400,3,0))=TRUE," ",(VLOOKUP(D77,'Base de Datos'!$C$7:$AU$400,3,0)))</f>
        <v>150193-0-2015</v>
      </c>
      <c r="AM77" s="426" t="str">
        <f>IF(ISERROR(VLOOKUP(D77,'Base de Datos'!$C$7:$AU$3761,6,0))=TRUE," ",(VLOOKUP(D77,'Base de Datos'!$C$7:$AU$400,6,0)))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26" t="str">
        <f>IF(ISERROR(VLOOKUP(D77,'Base de Datos'!$C$7:$AU$400,20,0))=TRUE," ",(VLOOKUP(D77,'Base de Datos'!$C$7:$AU$400,19,0)))</f>
        <v/>
      </c>
      <c r="AO77" s="429">
        <f>IF(ISERROR(VLOOKUP(D77,'Base de Datos'!$C$7:$AU$400,9,0))=TRUE," ",(VLOOKUP(D77,'Base de Datos'!$C$7:$AU$400,9,0)))</f>
        <v>2015</v>
      </c>
      <c r="AP77" s="429">
        <f>IF(ISERROR(VLOOKUP(D77,'Base de Datos'!$C$7:$AU$400,10,0))=TRUE," ",(VLOOKUP(D77,'Base de Datos'!$C$7:$AU$400,10,0)))</f>
        <v>42109</v>
      </c>
      <c r="AQ77" s="431">
        <f>IF(ISERROR(VLOOKUP(D77,'Base de Datos'!$C$7:$AU$400,11,0))=TRUE," ",(VLOOKUP(D77,'Base de Datos'!$C$7:$AU$400,11,0)))</f>
        <v>42135</v>
      </c>
      <c r="AR77" s="432">
        <f>IF(ISERROR(VLOOKUP(D77,'Base de Datos'!$C$7:$AU$400,12,0))=TRUE," ",(VLOOKUP(D77,'Base de Datos'!$C$7:$AU$400,12,0)))</f>
        <v>42501</v>
      </c>
      <c r="AS77" s="431" t="str">
        <f>IF(ISERROR(VLOOKUP(D77,'Base de Datos'!$C$7:$AU$400,13,0))=TRUE," ",(VLOOKUP(D77,'Base de Datos'!$C$7:$AU$400,13,0)))</f>
        <v/>
      </c>
      <c r="AT77" s="431">
        <f>IF(ISERROR(VLOOKUP(D77,'Base de Datos'!$C$7:$AU$400,14,0))=TRUE," ",(VLOOKUP(D77,'Base de Datos'!$C$7:$AU$400,14,0)))</f>
        <v>0</v>
      </c>
      <c r="AU77" s="429">
        <f>IF(ISERROR(VLOOKUP(D77,'Base de Datos'!$C$7:$AU$400,16,0))=TRUE," ",(VLOOKUP(D77,'Base de Datos'!$C$7:$AU$400,16,0)))</f>
        <v>1</v>
      </c>
      <c r="AV77" s="433" t="str">
        <f>IF(ISERROR(VLOOKUP(D77,'Base de Datos'!$C$7:$AU$400,17,0))=TRUE," ",(VLOOKUP(D77,'Base de Datos'!$C$7:$AU$400,17,0)))</f>
        <v>1 mes</v>
      </c>
      <c r="AW77" s="433">
        <f>IF(ISERROR(VLOOKUP(D77,'Base de Datos'!$C$7:$AU$400,18,0))=TRUE," ",(VLOOKUP(D77,'Base de Datos'!$C$7:$AU$400,18,0)))</f>
        <v>42532</v>
      </c>
      <c r="AX77" s="433" t="str">
        <f>IF(ISERROR(VLOOKUP(D77,'Base de Datos'!$C$7:$AU$400,19,0))=TRUE," ",(VLOOKUP(D77,'Base de Datos'!$C$7:$AU$400,19,0)))</f>
        <v/>
      </c>
      <c r="AY77" s="436">
        <f>IF(ISERROR(VLOOKUP(D77,'Base de Datos'!$C$7:$AU$400,21,0))=TRUE," ",(VLOOKUP(D77,'Base de Datos'!$C$7:$AU$400,21,0)))</f>
        <v>42532</v>
      </c>
      <c r="AZ77" s="436">
        <f>IF(ISERROR(VLOOKUP(D77,'Base de Datos'!$C$7:$AU$400,22,0))=TRUE," ",(VLOOKUP(D77,'Base de Datos'!$C$7:$AU$400,22,0)))</f>
        <v>11000000</v>
      </c>
      <c r="BA77" s="443"/>
      <c r="BB77" s="453"/>
    </row>
    <row r="78" spans="2:54" ht="55.5" hidden="1" customHeight="1" x14ac:dyDescent="0.3">
      <c r="B78" s="406">
        <v>71</v>
      </c>
      <c r="C78" s="414" t="s">
        <v>1641</v>
      </c>
      <c r="D78" s="406">
        <v>178</v>
      </c>
      <c r="E78" s="414" t="s">
        <v>1654</v>
      </c>
      <c r="F78" s="415">
        <f>VLOOKUP(D78,'Presupuesto - PAA 2015'!$B$10:$E$265,4,0)</f>
        <v>3035520</v>
      </c>
      <c r="G78" s="407" t="str">
        <f>VLOOKUP(D78,'[4]Seguimiento Plan'!$C$2:$R$101,16,0)</f>
        <v>Prestar los servicios de mantenimiento con suministro de repuestos para plantas purificadoras de agua semi-industriales de la Secretaría Distrital de Hacienda</v>
      </c>
      <c r="H78" s="407" t="s">
        <v>1775</v>
      </c>
      <c r="I78" s="407" t="s">
        <v>1709</v>
      </c>
      <c r="J78" s="416" t="s">
        <v>909</v>
      </c>
      <c r="K78" s="417" t="s">
        <v>390</v>
      </c>
      <c r="L78" s="417" t="str">
        <f>VLOOKUP(D78,'[4]Seguimiento Plan'!$C$2:$AJ$101,30,0)</f>
        <v>SI</v>
      </c>
      <c r="M78" s="418">
        <f>VLOOKUP(D78,'[4]Seguimiento Plan'!$C$2:$AJ$101,31,0)</f>
        <v>42020</v>
      </c>
      <c r="N78" s="417"/>
      <c r="O78" s="419"/>
      <c r="P78" s="419"/>
      <c r="Q78" s="419"/>
      <c r="R78" s="497"/>
      <c r="S78" s="324" t="s">
        <v>1738</v>
      </c>
      <c r="T78" s="421"/>
      <c r="U78" s="423" t="str">
        <f>IF(ISERROR(VLOOKUP(T78,'Base de Datos'!$E$7:$AU$302,3,0))=TRUE," ",(VLOOKUP(T78,'Base de Datos'!$E$7:$AU$302,2,0)))</f>
        <v xml:space="preserve"> </v>
      </c>
      <c r="V78" s="426" t="str">
        <f>IF(ISERROR(VLOOKUP(T78,'Base de Datos'!$E$7:$AU$302,5,0))=TRUE," ",(VLOOKUP(T78,'Base de Datos'!$E$7:$AU$302,5,0)))</f>
        <v xml:space="preserve"> </v>
      </c>
      <c r="W78" s="423" t="str">
        <f>IF(ISERROR(VLOOKUP(T78,'Base de Datos'!$E$7:$AU$302,19,0))=TRUE," ",(VLOOKUP(T78,'Base de Datos'!$E$7:$AU$302,19,0)))</f>
        <v xml:space="preserve"> </v>
      </c>
      <c r="X78" s="428" t="str">
        <f>IF(ISERROR(VLOOKUP(T78,'Base de Datos'!$E$7:$AU$302,8,0))=TRUE," ",(VLOOKUP(T78,'Base de Datos'!$E$7:$AU$302,8,0)))</f>
        <v xml:space="preserve"> </v>
      </c>
      <c r="Y78" s="428" t="str">
        <f>IF(ISERROR(VLOOKUP(T78,'Base de Datos'!$E$7:$AU$302,9,0))=TRUE," ",(VLOOKUP(T78,'Base de Datos'!$E$7:$AU$302,9,0)))</f>
        <v xml:space="preserve"> </v>
      </c>
      <c r="Z78" s="422" t="str">
        <f>IF(ISERROR(VLOOKUP(T78,'Base de Datos'!$E$7:$AU$302,10,0))=TRUE," ",(VLOOKUP(T78,'Base de Datos'!$E$7:$AU$302,10,0)))</f>
        <v xml:space="preserve"> </v>
      </c>
      <c r="AA78" s="425" t="str">
        <f>IF(ISERROR(VLOOKUP(T78,'Base de Datos'!$E$7:$AU$302,11,0))=TRUE," ",(VLOOKUP(T78,'Base de Datos'!$E$7:$AU$302,11,0)))</f>
        <v xml:space="preserve"> </v>
      </c>
      <c r="AB78" s="422" t="str">
        <f>IF(ISERROR(VLOOKUP(T78,'Base de Datos'!$E$7:$AU$302,12,0))=TRUE," ",(VLOOKUP(T78,'Base de Datos'!$E$7:$AU$302,12,0)))</f>
        <v xml:space="preserve"> </v>
      </c>
      <c r="AC78" s="422" t="str">
        <f>IF(ISERROR(VLOOKUP(T78,'Base de Datos'!$E$7:$AU$302,12,0))=TRUE," ",(VLOOKUP(T78,'Base de Datos'!$E$7:$AU$302,12,0)))</f>
        <v xml:space="preserve"> </v>
      </c>
      <c r="AD78" s="428" t="str">
        <f>IF(ISERROR(VLOOKUP(T78,'Base de Datos'!$E$7:$AU$302,15,0))=TRUE," ",(VLOOKUP(T78,'Base de Datos'!$E$7:$AU$302,15,0)))</f>
        <v xml:space="preserve"> </v>
      </c>
      <c r="AE78" s="433" t="str">
        <f>IF(ISERROR(VLOOKUP(T78,'Base de Datos'!$E$7:$AU$302,16,0))=TRUE," ",(VLOOKUP(T78,'Base de Datos'!$E$7:$AU$302,16,0)))</f>
        <v xml:space="preserve"> </v>
      </c>
      <c r="AF78" s="433" t="str">
        <f>IF(ISERROR(VLOOKUP(T78,'Base de Datos'!$E$7:$AU$302,17,0))=TRUE," ",(VLOOKUP(T78,'Base de Datos'!$E$7:$AU$302,17,0)))</f>
        <v xml:space="preserve"> </v>
      </c>
      <c r="AG78" s="433" t="str">
        <f>IF(ISERROR(VLOOKUP(T78,'Base de Datos'!$E$7:$AU$302,18,0))=TRUE," ",(VLOOKUP(T78,'Base de Datos'!$E$7:$AU$302,18,0)))</f>
        <v xml:space="preserve"> </v>
      </c>
      <c r="AH78" s="434" t="str">
        <f>IF(ISERROR(VLOOKUP(T78,'Base de Datos'!$E$7:$AU$302,20,0))=TRUE," ",(VLOOKUP(T78,'Base de Datos'!$E$7:$AU$302,20,0)))</f>
        <v xml:space="preserve"> </v>
      </c>
      <c r="AI78" s="434" t="str">
        <f>IF(ISERROR(VLOOKUP(T78,'Base de Datos'!$E$7:$AU$302,21,0))=TRUE," ",(VLOOKUP(T78,'Base de Datos'!$E$7:$AU$302,21,0)))</f>
        <v xml:space="preserve"> </v>
      </c>
      <c r="AJ78" s="428">
        <v>42100</v>
      </c>
      <c r="AK78" s="423" t="str">
        <f>IF(ISERROR(VLOOKUP(D78,'Base de Datos'!$C$7:$AU$400,2,0))=TRUE," ",(VLOOKUP(D78,'Base de Datos'!$C$7:$AU$400,2,0)))</f>
        <v>2015178</v>
      </c>
      <c r="AL78" s="423" t="str">
        <f>IF(ISERROR(VLOOKUP(D78,'Base de Datos'!$C$7:$AU$400,3,0))=TRUE," ",(VLOOKUP(D78,'Base de Datos'!$C$7:$AU$400,3,0)))</f>
        <v>150152-0-2015</v>
      </c>
      <c r="AM78" s="426" t="str">
        <f>IF(ISERROR(VLOOKUP(D78,'Base de Datos'!$C$7:$AU$3761,6,0))=TRUE," ",(VLOOKUP(D78,'Base de Datos'!$C$7:$AU$400,6,0)))</f>
        <v>Realizar el mantenimiento preventivo y correctivo de las plantas purificadoras de agua del Concejo de Bogotá, D.C.</v>
      </c>
      <c r="AN78" s="426" t="str">
        <f>IF(ISERROR(VLOOKUP(D78,'Base de Datos'!$C$7:$AU$400,20,0))=TRUE," ",(VLOOKUP(D78,'Base de Datos'!$C$7:$AU$400,19,0)))</f>
        <v/>
      </c>
      <c r="AO78" s="429">
        <f>IF(ISERROR(VLOOKUP(D78,'Base de Datos'!$C$7:$AU$400,9,0))=TRUE," ",(VLOOKUP(D78,'Base de Datos'!$C$7:$AU$400,9,0)))</f>
        <v>2015</v>
      </c>
      <c r="AP78" s="429">
        <f>IF(ISERROR(VLOOKUP(D78,'Base de Datos'!$C$7:$AU$400,10,0))=TRUE," ",(VLOOKUP(D78,'Base de Datos'!$C$7:$AU$400,10,0)))</f>
        <v>42100</v>
      </c>
      <c r="AQ78" s="431">
        <f>IF(ISERROR(VLOOKUP(D78,'Base de Datos'!$C$7:$AU$400,11,0))=TRUE," ",(VLOOKUP(D78,'Base de Datos'!$C$7:$AU$400,11,0)))</f>
        <v>42121</v>
      </c>
      <c r="AR78" s="432">
        <f>IF(ISERROR(VLOOKUP(D78,'Base de Datos'!$C$7:$AU$400,12,0))=TRUE," ",(VLOOKUP(D78,'Base de Datos'!$C$7:$AU$400,12,0)))</f>
        <v>42487</v>
      </c>
      <c r="AS78" s="431" t="str">
        <f>IF(ISERROR(VLOOKUP(D78,'Base de Datos'!$C$7:$AU$400,13,0))=TRUE," ",(VLOOKUP(D78,'Base de Datos'!$C$7:$AU$400,13,0)))</f>
        <v/>
      </c>
      <c r="AT78" s="431">
        <f>IF(ISERROR(VLOOKUP(D78,'Base de Datos'!$C$7:$AU$400,14,0))=TRUE," ",(VLOOKUP(D78,'Base de Datos'!$C$7:$AU$400,14,0)))</f>
        <v>0</v>
      </c>
      <c r="AU78" s="429">
        <f>IF(ISERROR(VLOOKUP(D78,'Base de Datos'!$C$7:$AU$400,16,0))=TRUE," ",(VLOOKUP(D78,'Base de Datos'!$C$7:$AU$400,16,0)))</f>
        <v>0</v>
      </c>
      <c r="AV78" s="433" t="str">
        <f>IF(ISERROR(VLOOKUP(D78,'Base de Datos'!$C$7:$AU$400,17,0))=TRUE," ",(VLOOKUP(D78,'Base de Datos'!$C$7:$AU$400,17,0)))</f>
        <v/>
      </c>
      <c r="AW78" s="433" t="str">
        <f>IF(ISERROR(VLOOKUP(D78,'Base de Datos'!$C$7:$AU$400,18,0))=TRUE," ",(VLOOKUP(D78,'Base de Datos'!$C$7:$AU$400,18,0)))</f>
        <v/>
      </c>
      <c r="AX78" s="433" t="str">
        <f>IF(ISERROR(VLOOKUP(D78,'Base de Datos'!$C$7:$AU$400,19,0))=TRUE," ",(VLOOKUP(D78,'Base de Datos'!$C$7:$AU$400,19,0)))</f>
        <v/>
      </c>
      <c r="AY78" s="436">
        <f>IF(ISERROR(VLOOKUP(D78,'Base de Datos'!$C$7:$AU$400,21,0))=TRUE," ",(VLOOKUP(D78,'Base de Datos'!$C$7:$AU$400,21,0)))</f>
        <v>42487</v>
      </c>
      <c r="AZ78" s="436">
        <f>IF(ISERROR(VLOOKUP(D78,'Base de Datos'!$C$7:$AU$400,22,0))=TRUE," ",(VLOOKUP(D78,'Base de Datos'!$C$7:$AU$400,22,0)))</f>
        <v>3035520</v>
      </c>
      <c r="BA78" s="443"/>
      <c r="BB78" s="453"/>
    </row>
    <row r="79" spans="2:54" ht="55.5" hidden="1" customHeight="1" x14ac:dyDescent="0.3">
      <c r="B79" s="406">
        <v>72</v>
      </c>
      <c r="C79" s="414" t="s">
        <v>1641</v>
      </c>
      <c r="D79" s="406">
        <v>179</v>
      </c>
      <c r="E79" s="414" t="s">
        <v>1656</v>
      </c>
      <c r="F79" s="415">
        <f>VLOOKUP(D79,'Presupuesto - PAA 2015'!$B$10:$E$265,4,0)</f>
        <v>174490259</v>
      </c>
      <c r="G79" s="407" t="str">
        <f>VLOOKUP(D79,'[4]Seguimiento Plan'!$C$2:$R$101,16,0)</f>
        <v>Expedir la pólizas de seguros requeridas para adecuada protección de los bienes de la Secretaría Distrital de Hacienda y del Concejo de Bogotá D.C., así como el seguro de Grupo Vida de los Concejales de Bogotá D.C.</v>
      </c>
      <c r="H79" s="407" t="s">
        <v>1775</v>
      </c>
      <c r="I79" s="407" t="s">
        <v>1709</v>
      </c>
      <c r="J79" s="416" t="s">
        <v>1735</v>
      </c>
      <c r="K79" s="417"/>
      <c r="L79" s="417"/>
      <c r="M79" s="418"/>
      <c r="N79" s="417"/>
      <c r="O79" s="419"/>
      <c r="P79" s="419"/>
      <c r="Q79" s="419"/>
      <c r="R79" s="420"/>
      <c r="S79" s="420"/>
      <c r="T79" s="421"/>
      <c r="U79" s="423" t="str">
        <f>IF(ISERROR(VLOOKUP(T79,'Base de Datos'!$E$7:$AU$302,3,0))=TRUE," ",(VLOOKUP(T79,'Base de Datos'!$E$7:$AU$302,2,0)))</f>
        <v xml:space="preserve"> </v>
      </c>
      <c r="V79" s="426" t="str">
        <f>IF(ISERROR(VLOOKUP(T79,'Base de Datos'!$E$7:$AU$302,5,0))=TRUE," ",(VLOOKUP(T79,'Base de Datos'!$E$7:$AU$302,5,0)))</f>
        <v xml:space="preserve"> </v>
      </c>
      <c r="W79" s="423" t="str">
        <f>IF(ISERROR(VLOOKUP(T79,'Base de Datos'!$E$7:$AU$302,19,0))=TRUE," ",(VLOOKUP(T79,'Base de Datos'!$E$7:$AU$302,19,0)))</f>
        <v xml:space="preserve"> </v>
      </c>
      <c r="X79" s="428" t="str">
        <f>IF(ISERROR(VLOOKUP(T79,'Base de Datos'!$E$7:$AU$302,8,0))=TRUE," ",(VLOOKUP(T79,'Base de Datos'!$E$7:$AU$302,8,0)))</f>
        <v xml:space="preserve"> </v>
      </c>
      <c r="Y79" s="428" t="str">
        <f>IF(ISERROR(VLOOKUP(T79,'Base de Datos'!$E$7:$AU$302,9,0))=TRUE," ",(VLOOKUP(T79,'Base de Datos'!$E$7:$AU$302,9,0)))</f>
        <v xml:space="preserve"> </v>
      </c>
      <c r="Z79" s="422" t="str">
        <f>IF(ISERROR(VLOOKUP(T79,'Base de Datos'!$E$7:$AU$302,10,0))=TRUE," ",(VLOOKUP(T79,'Base de Datos'!$E$7:$AU$302,10,0)))</f>
        <v xml:space="preserve"> </v>
      </c>
      <c r="AA79" s="425" t="str">
        <f>IF(ISERROR(VLOOKUP(T79,'Base de Datos'!$E$7:$AU$302,11,0))=TRUE," ",(VLOOKUP(T79,'Base de Datos'!$E$7:$AU$302,11,0)))</f>
        <v xml:space="preserve"> </v>
      </c>
      <c r="AB79" s="422" t="str">
        <f>IF(ISERROR(VLOOKUP(T79,'Base de Datos'!$E$7:$AU$302,12,0))=TRUE," ",(VLOOKUP(T79,'Base de Datos'!$E$7:$AU$302,12,0)))</f>
        <v xml:space="preserve"> </v>
      </c>
      <c r="AC79" s="422" t="str">
        <f>IF(ISERROR(VLOOKUP(T79,'Base de Datos'!$E$7:$AU$302,12,0))=TRUE," ",(VLOOKUP(T79,'Base de Datos'!$E$7:$AU$302,12,0)))</f>
        <v xml:space="preserve"> </v>
      </c>
      <c r="AD79" s="428" t="str">
        <f>IF(ISERROR(VLOOKUP(T79,'Base de Datos'!$E$7:$AU$302,15,0))=TRUE," ",(VLOOKUP(T79,'Base de Datos'!$E$7:$AU$302,15,0)))</f>
        <v xml:space="preserve"> </v>
      </c>
      <c r="AE79" s="433" t="str">
        <f>IF(ISERROR(VLOOKUP(T79,'Base de Datos'!$E$7:$AU$302,16,0))=TRUE," ",(VLOOKUP(T79,'Base de Datos'!$E$7:$AU$302,16,0)))</f>
        <v xml:space="preserve"> </v>
      </c>
      <c r="AF79" s="433" t="str">
        <f>IF(ISERROR(VLOOKUP(T79,'Base de Datos'!$E$7:$AU$302,17,0))=TRUE," ",(VLOOKUP(T79,'Base de Datos'!$E$7:$AU$302,17,0)))</f>
        <v xml:space="preserve"> </v>
      </c>
      <c r="AG79" s="433" t="str">
        <f>IF(ISERROR(VLOOKUP(T79,'Base de Datos'!$E$7:$AU$302,18,0))=TRUE," ",(VLOOKUP(T79,'Base de Datos'!$E$7:$AU$302,18,0)))</f>
        <v xml:space="preserve"> </v>
      </c>
      <c r="AH79" s="434" t="str">
        <f>IF(ISERROR(VLOOKUP(T79,'Base de Datos'!$E$7:$AU$302,20,0))=TRUE," ",(VLOOKUP(T79,'Base de Datos'!$E$7:$AU$302,20,0)))</f>
        <v xml:space="preserve"> </v>
      </c>
      <c r="AI79" s="434" t="str">
        <f>IF(ISERROR(VLOOKUP(T79,'Base de Datos'!$E$7:$AU$302,21,0))=TRUE," ",(VLOOKUP(T79,'Base de Datos'!$E$7:$AU$302,21,0)))</f>
        <v xml:space="preserve"> </v>
      </c>
      <c r="AJ79" s="423"/>
      <c r="AK79" s="423" t="str">
        <f>IF(ISERROR(VLOOKUP(D79,'Base de Datos'!$C$7:$AU$400,2,0))=TRUE," ",(VLOOKUP(D79,'Base de Datos'!$C$7:$AU$400,2,0)))</f>
        <v>2015179</v>
      </c>
      <c r="AL79" s="423" t="str">
        <f>IF(ISERROR(VLOOKUP(D79,'Base de Datos'!$C$7:$AU$400,3,0))=TRUE," ",(VLOOKUP(D79,'Base de Datos'!$C$7:$AU$400,3,0)))</f>
        <v>150302-0-2015</v>
      </c>
      <c r="AM79" s="426" t="str">
        <f>IF(ISERROR(VLOOKUP(D79,'Base de Datos'!$C$7:$AU$3761,6,0))=TRUE," ",(VLOOKUP(D79,'Base de Datos'!$C$7:$AU$400,6,0)))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26" t="str">
        <f>IF(ISERROR(VLOOKUP(D79,'Base de Datos'!$C$7:$AU$400,20,0))=TRUE," ",(VLOOKUP(D79,'Base de Datos'!$C$7:$AU$400,19,0)))</f>
        <v/>
      </c>
      <c r="AO79" s="429">
        <f>IF(ISERROR(VLOOKUP(D79,'Base de Datos'!$C$7:$AU$400,9,0))=TRUE," ",(VLOOKUP(D79,'Base de Datos'!$C$7:$AU$400,9,0)))</f>
        <v>2015</v>
      </c>
      <c r="AP79" s="429">
        <f>IF(ISERROR(VLOOKUP(D79,'Base de Datos'!$C$7:$AU$400,10,0))=TRUE," ",(VLOOKUP(D79,'Base de Datos'!$C$7:$AU$400,10,0)))</f>
        <v>42187</v>
      </c>
      <c r="AQ79" s="431">
        <f>IF(ISERROR(VLOOKUP(D79,'Base de Datos'!$C$7:$AU$400,11,0))=TRUE," ",(VLOOKUP(D79,'Base de Datos'!$C$7:$AU$400,11,0)))</f>
        <v>0</v>
      </c>
      <c r="AR79" s="432">
        <f>IF(ISERROR(VLOOKUP(D79,'Base de Datos'!$C$7:$AU$400,12,0))=TRUE," ",(VLOOKUP(D79,'Base de Datos'!$C$7:$AU$400,12,0)))</f>
        <v>0</v>
      </c>
      <c r="AS79" s="431" t="str">
        <f>IF(ISERROR(VLOOKUP(D79,'Base de Datos'!$C$7:$AU$400,13,0))=TRUE," ",(VLOOKUP(D79,'Base de Datos'!$C$7:$AU$400,13,0)))</f>
        <v/>
      </c>
      <c r="AT79" s="431">
        <f>IF(ISERROR(VLOOKUP(D79,'Base de Datos'!$C$7:$AU$400,14,0))=TRUE," ",(VLOOKUP(D79,'Base de Datos'!$C$7:$AU$400,14,0)))</f>
        <v>1</v>
      </c>
      <c r="AU79" s="429">
        <f>IF(ISERROR(VLOOKUP(D79,'Base de Datos'!$C$7:$AU$400,16,0))=TRUE," ",(VLOOKUP(D79,'Base de Datos'!$C$7:$AU$400,16,0)))</f>
        <v>0</v>
      </c>
      <c r="AV79" s="433" t="str">
        <f>IF(ISERROR(VLOOKUP(D79,'Base de Datos'!$C$7:$AU$400,17,0))=TRUE," ",(VLOOKUP(D79,'Base de Datos'!$C$7:$AU$400,17,0)))</f>
        <v/>
      </c>
      <c r="AW79" s="433" t="str">
        <f>IF(ISERROR(VLOOKUP(D79,'Base de Datos'!$C$7:$AU$400,18,0))=TRUE," ",(VLOOKUP(D79,'Base de Datos'!$C$7:$AU$400,18,0)))</f>
        <v/>
      </c>
      <c r="AX79" s="433" t="str">
        <f>IF(ISERROR(VLOOKUP(D79,'Base de Datos'!$C$7:$AU$400,19,0))=TRUE," ",(VLOOKUP(D79,'Base de Datos'!$C$7:$AU$400,19,0)))</f>
        <v/>
      </c>
      <c r="AY79" s="436">
        <f>IF(ISERROR(VLOOKUP(D79,'Base de Datos'!$C$7:$AU$400,21,0))=TRUE," ",(VLOOKUP(D79,'Base de Datos'!$C$7:$AU$400,21,0)))</f>
        <v>0</v>
      </c>
      <c r="AZ79" s="436">
        <f>IF(ISERROR(VLOOKUP(D79,'Base de Datos'!$C$7:$AU$400,22,0))=TRUE," ",(VLOOKUP(D79,'Base de Datos'!$C$7:$AU$400,22,0)))</f>
        <v>204705978</v>
      </c>
      <c r="BA79" s="443"/>
      <c r="BB79" s="453"/>
    </row>
    <row r="80" spans="2:54" ht="55.5" hidden="1" customHeight="1" x14ac:dyDescent="0.3">
      <c r="B80" s="406">
        <v>73</v>
      </c>
      <c r="C80" s="414" t="s">
        <v>1641</v>
      </c>
      <c r="D80" s="406">
        <v>180</v>
      </c>
      <c r="E80" s="414" t="s">
        <v>1656</v>
      </c>
      <c r="F80" s="415">
        <f>VLOOKUP(D80,'Presupuesto - PAA 2015'!$B$10:$E$265,4,0)</f>
        <v>4201951</v>
      </c>
      <c r="G80" s="407" t="str">
        <f>VLOOKUP(D80,'[4]Seguimiento Plan'!$C$2:$R$101,16,0)</f>
        <v>Expedir las polizas de seguro obligatorio SOAT para los vehículos de la Secretaría Distrital de Hacienda y del Concejo de Bogotá</v>
      </c>
      <c r="H80" s="407" t="s">
        <v>1775</v>
      </c>
      <c r="I80" s="407" t="s">
        <v>1709</v>
      </c>
      <c r="J80" s="416" t="s">
        <v>1734</v>
      </c>
      <c r="K80" s="417"/>
      <c r="L80" s="417"/>
      <c r="M80" s="418"/>
      <c r="N80" s="417"/>
      <c r="O80" s="419"/>
      <c r="P80" s="419"/>
      <c r="Q80" s="419"/>
      <c r="R80" s="420"/>
      <c r="S80" s="420"/>
      <c r="T80" s="125" t="s">
        <v>919</v>
      </c>
      <c r="U80" s="423" t="str">
        <f>IF(ISERROR(VLOOKUP(T80,'Base de Datos'!$E$7:$AU$302,3,0))=TRUE," ",(VLOOKUP(T80,'Base de Datos'!$E$7:$AU$302,2,0)))</f>
        <v>SEGUROS GENERALES SURAMERICANA</v>
      </c>
      <c r="V80" s="426">
        <f>IF(ISERROR(VLOOKUP(T80,'Base de Datos'!$E$7:$AU$302,5,0))=TRUE," ",(VLOOKUP(T80,'Base de Datos'!$E$7:$AU$302,5,0)))</f>
        <v>3846133</v>
      </c>
      <c r="W80" s="423">
        <f>IF(ISERROR(VLOOKUP(T80,'Base de Datos'!$E$7:$AU$302,19,0))=TRUE," ",(VLOOKUP(T80,'Base de Datos'!$E$7:$AU$302,19,0)))</f>
        <v>42202</v>
      </c>
      <c r="X80" s="428" t="str">
        <f>IF(ISERROR(VLOOKUP(T80,'Base de Datos'!$E$7:$AU$302,8,0))=TRUE," ",(VLOOKUP(T80,'Base de Datos'!$E$7:$AU$302,8,0)))</f>
        <v xml:space="preserve"> </v>
      </c>
      <c r="Y80" s="428">
        <f>IF(ISERROR(VLOOKUP(T80,'Base de Datos'!$E$7:$AU$302,9,0))=TRUE," ",(VLOOKUP(T80,'Base de Datos'!$E$7:$AU$302,9,0)))</f>
        <v>41837</v>
      </c>
      <c r="Z80" s="422">
        <f>IF(ISERROR(VLOOKUP(T80,'Base de Datos'!$E$7:$AU$302,10,0))=TRUE," ",(VLOOKUP(T80,'Base de Datos'!$E$7:$AU$302,10,0)))</f>
        <v>42202</v>
      </c>
      <c r="AA80" s="425" t="str">
        <f>IF(ISERROR(VLOOKUP(T80,'Base de Datos'!$E$7:$AU$302,11,0))=TRUE," ",(VLOOKUP(T80,'Base de Datos'!$E$7:$AU$302,11,0)))</f>
        <v/>
      </c>
      <c r="AB80" s="422">
        <f>IF(ISERROR(VLOOKUP(T80,'Base de Datos'!$E$7:$AU$302,12,0))=TRUE," ",(VLOOKUP(T80,'Base de Datos'!$E$7:$AU$302,12,0)))</f>
        <v>0</v>
      </c>
      <c r="AC80" s="422">
        <f>IF(ISERROR(VLOOKUP(T80,'Base de Datos'!$E$7:$AU$302,12,0))=TRUE," ",(VLOOKUP(T80,'Base de Datos'!$E$7:$AU$302,12,0)))</f>
        <v>0</v>
      </c>
      <c r="AD80" s="428" t="str">
        <f>IF(ISERROR(VLOOKUP(T80,'Base de Datos'!$E$7:$AU$302,15,0))=TRUE," ",(VLOOKUP(T80,'Base de Datos'!$E$7:$AU$302,15,0)))</f>
        <v/>
      </c>
      <c r="AE80" s="433" t="str">
        <f>IF(ISERROR(VLOOKUP(T80,'Base de Datos'!$E$7:$AU$302,16,0))=TRUE," ",(VLOOKUP(T80,'Base de Datos'!$E$7:$AU$302,16,0)))</f>
        <v/>
      </c>
      <c r="AF80" s="433" t="str">
        <f>IF(ISERROR(VLOOKUP(T80,'Base de Datos'!$E$7:$AU$302,17,0))=TRUE," ",(VLOOKUP(T80,'Base de Datos'!$E$7:$AU$302,17,0)))</f>
        <v/>
      </c>
      <c r="AG80" s="433" t="str">
        <f>IF(ISERROR(VLOOKUP(T80,'Base de Datos'!$E$7:$AU$302,18,0))=TRUE," ",(VLOOKUP(T80,'Base de Datos'!$E$7:$AU$302,18,0)))</f>
        <v/>
      </c>
      <c r="AH80" s="434">
        <f>IF(ISERROR(VLOOKUP(T80,'Base de Datos'!$E$7:$AU$302,20,0))=TRUE," ",(VLOOKUP(T80,'Base de Datos'!$E$7:$AU$302,20,0)))</f>
        <v>3846133</v>
      </c>
      <c r="AI80" s="434">
        <f>IF(ISERROR(VLOOKUP(T80,'Base de Datos'!$E$7:$AU$302,21,0))=TRUE," ",(VLOOKUP(T80,'Base de Datos'!$E$7:$AU$302,21,0)))</f>
        <v>0</v>
      </c>
      <c r="AJ80" s="423"/>
      <c r="AK80" s="423" t="str">
        <f>IF(ISERROR(VLOOKUP(D80,'Base de Datos'!$C$7:$AU$400,2,0))=TRUE," ",(VLOOKUP(D80,'Base de Datos'!$C$7:$AU$400,2,0)))</f>
        <v xml:space="preserve"> </v>
      </c>
      <c r="AL80" s="423" t="str">
        <f>IF(ISERROR(VLOOKUP(D80,'Base de Datos'!$C$7:$AU$400,3,0))=TRUE," ",(VLOOKUP(D80,'Base de Datos'!$C$7:$AU$400,3,0)))</f>
        <v xml:space="preserve"> </v>
      </c>
      <c r="AM80" s="426" t="e">
        <f>IF(ISERROR(VLOOKUP(D80,'Base de Datos'!$C$7:$AU$3761,6,0))=TRUE," ",(VLOOKUP(D80,'Base de Datos'!$C$7:$AU$400,6,0)))</f>
        <v>#N/A</v>
      </c>
      <c r="AN80" s="426" t="str">
        <f>IF(ISERROR(VLOOKUP(D80,'Base de Datos'!$C$7:$AU$400,20,0))=TRUE," ",(VLOOKUP(D80,'Base de Datos'!$C$7:$AU$400,19,0)))</f>
        <v xml:space="preserve"> </v>
      </c>
      <c r="AO80" s="429" t="str">
        <f>IF(ISERROR(VLOOKUP(D80,'Base de Datos'!$C$7:$AU$400,9,0))=TRUE," ",(VLOOKUP(D80,'Base de Datos'!$C$7:$AU$400,9,0)))</f>
        <v xml:space="preserve"> </v>
      </c>
      <c r="AP80" s="429" t="str">
        <f>IF(ISERROR(VLOOKUP(D80,'Base de Datos'!$C$7:$AU$400,10,0))=TRUE," ",(VLOOKUP(D80,'Base de Datos'!$C$7:$AU$400,10,0)))</f>
        <v xml:space="preserve"> </v>
      </c>
      <c r="AQ80" s="431" t="str">
        <f>IF(ISERROR(VLOOKUP(D80,'Base de Datos'!$C$7:$AU$400,11,0))=TRUE," ",(VLOOKUP(D80,'Base de Datos'!$C$7:$AU$400,11,0)))</f>
        <v xml:space="preserve"> </v>
      </c>
      <c r="AR80" s="432" t="str">
        <f>IF(ISERROR(VLOOKUP(D80,'Base de Datos'!$C$7:$AU$400,12,0))=TRUE," ",(VLOOKUP(D80,'Base de Datos'!$C$7:$AU$400,12,0)))</f>
        <v xml:space="preserve"> </v>
      </c>
      <c r="AS80" s="431" t="str">
        <f>IF(ISERROR(VLOOKUP(D80,'Base de Datos'!$C$7:$AU$400,13,0))=TRUE," ",(VLOOKUP(D80,'Base de Datos'!$C$7:$AU$400,13,0)))</f>
        <v xml:space="preserve"> </v>
      </c>
      <c r="AT80" s="431" t="str">
        <f>IF(ISERROR(VLOOKUP(D80,'Base de Datos'!$C$7:$AU$400,14,0))=TRUE," ",(VLOOKUP(D80,'Base de Datos'!$C$7:$AU$400,14,0)))</f>
        <v xml:space="preserve"> </v>
      </c>
      <c r="AU80" s="429" t="str">
        <f>IF(ISERROR(VLOOKUP(D80,'Base de Datos'!$C$7:$AU$400,16,0))=TRUE," ",(VLOOKUP(D80,'Base de Datos'!$C$7:$AU$400,16,0)))</f>
        <v xml:space="preserve"> </v>
      </c>
      <c r="AV80" s="433" t="str">
        <f>IF(ISERROR(VLOOKUP(D80,'Base de Datos'!$C$7:$AU$400,17,0))=TRUE," ",(VLOOKUP(D80,'Base de Datos'!$C$7:$AU$400,17,0)))</f>
        <v xml:space="preserve"> </v>
      </c>
      <c r="AW80" s="433" t="str">
        <f>IF(ISERROR(VLOOKUP(D80,'Base de Datos'!$C$7:$AU$400,18,0))=TRUE," ",(VLOOKUP(D80,'Base de Datos'!$C$7:$AU$400,18,0)))</f>
        <v xml:space="preserve"> </v>
      </c>
      <c r="AX80" s="433" t="str">
        <f>IF(ISERROR(VLOOKUP(D80,'Base de Datos'!$C$7:$AU$400,19,0))=TRUE," ",(VLOOKUP(D80,'Base de Datos'!$C$7:$AU$400,19,0)))</f>
        <v xml:space="preserve"> </v>
      </c>
      <c r="AY80" s="436" t="str">
        <f>IF(ISERROR(VLOOKUP(D80,'Base de Datos'!$C$7:$AU$400,21,0))=TRUE," ",(VLOOKUP(D80,'Base de Datos'!$C$7:$AU$400,21,0)))</f>
        <v xml:space="preserve"> </v>
      </c>
      <c r="AZ80" s="436" t="str">
        <f>IF(ISERROR(VLOOKUP(D80,'Base de Datos'!$C$7:$AU$400,22,0))=TRUE," ",(VLOOKUP(D80,'Base de Datos'!$C$7:$AU$400,22,0)))</f>
        <v xml:space="preserve"> </v>
      </c>
      <c r="BA80" s="443"/>
      <c r="BB80" s="453"/>
    </row>
    <row r="81" spans="2:54" ht="55.5" hidden="1" customHeight="1" x14ac:dyDescent="0.3">
      <c r="B81" s="406">
        <v>74</v>
      </c>
      <c r="C81" s="414" t="s">
        <v>1641</v>
      </c>
      <c r="D81" s="406">
        <v>156</v>
      </c>
      <c r="E81" s="414" t="s">
        <v>1657</v>
      </c>
      <c r="F81" s="415">
        <f>VLOOKUP(D81,'Presupuesto - PAA 2015'!$B$10:$E$265,4,0)</f>
        <v>25824000</v>
      </c>
      <c r="G81" s="407" t="str">
        <f>VLOOKUP(D81,'[4]Seguimiento Plan'!$C$2:$R$101,16,0)</f>
        <v>Adición y prorroga al contrato 130342-0-2013 suscrito con POSITIVA COMPAÑIA DE SEGUROS S A para la expedición de la póliza de seguro vida de los  Concejales de Bogotá.</v>
      </c>
      <c r="H81" s="407" t="s">
        <v>1775</v>
      </c>
      <c r="I81" s="407" t="s">
        <v>1709</v>
      </c>
      <c r="J81" s="416" t="s">
        <v>590</v>
      </c>
      <c r="K81" s="417"/>
      <c r="L81" s="417"/>
      <c r="M81" s="418"/>
      <c r="N81" s="417"/>
      <c r="O81" s="419"/>
      <c r="P81" s="419"/>
      <c r="Q81" s="419"/>
      <c r="R81" s="420"/>
      <c r="S81" s="420"/>
      <c r="T81" s="421"/>
      <c r="U81" s="423" t="str">
        <f>IF(ISERROR(VLOOKUP(T81,'Base de Datos'!$E$7:$AU$302,3,0))=TRUE," ",(VLOOKUP(T81,'Base de Datos'!$E$7:$AU$302,2,0)))</f>
        <v xml:space="preserve"> </v>
      </c>
      <c r="V81" s="426" t="str">
        <f>IF(ISERROR(VLOOKUP(T81,'Base de Datos'!$E$7:$AU$302,5,0))=TRUE," ",(VLOOKUP(T81,'Base de Datos'!$E$7:$AU$302,5,0)))</f>
        <v xml:space="preserve"> </v>
      </c>
      <c r="W81" s="423" t="str">
        <f>IF(ISERROR(VLOOKUP(T81,'Base de Datos'!$E$7:$AU$302,19,0))=TRUE," ",(VLOOKUP(T81,'Base de Datos'!$E$7:$AU$302,19,0)))</f>
        <v xml:space="preserve"> </v>
      </c>
      <c r="X81" s="428" t="str">
        <f>IF(ISERROR(VLOOKUP(T81,'Base de Datos'!$E$7:$AU$302,8,0))=TRUE," ",(VLOOKUP(T81,'Base de Datos'!$E$7:$AU$302,8,0)))</f>
        <v xml:space="preserve"> </v>
      </c>
      <c r="Y81" s="428" t="str">
        <f>IF(ISERROR(VLOOKUP(T81,'Base de Datos'!$E$7:$AU$302,9,0))=TRUE," ",(VLOOKUP(T81,'Base de Datos'!$E$7:$AU$302,9,0)))</f>
        <v xml:space="preserve"> </v>
      </c>
      <c r="Z81" s="422" t="str">
        <f>IF(ISERROR(VLOOKUP(T81,'Base de Datos'!$E$7:$AU$302,10,0))=TRUE," ",(VLOOKUP(T81,'Base de Datos'!$E$7:$AU$302,10,0)))</f>
        <v xml:space="preserve"> </v>
      </c>
      <c r="AA81" s="425" t="str">
        <f>IF(ISERROR(VLOOKUP(T81,'Base de Datos'!$E$7:$AU$302,11,0))=TRUE," ",(VLOOKUP(T81,'Base de Datos'!$E$7:$AU$302,11,0)))</f>
        <v xml:space="preserve"> </v>
      </c>
      <c r="AB81" s="422" t="str">
        <f>IF(ISERROR(VLOOKUP(T81,'Base de Datos'!$E$7:$AU$302,12,0))=TRUE," ",(VLOOKUP(T81,'Base de Datos'!$E$7:$AU$302,12,0)))</f>
        <v xml:space="preserve"> </v>
      </c>
      <c r="AC81" s="422" t="str">
        <f>IF(ISERROR(VLOOKUP(T81,'Base de Datos'!$E$7:$AU$302,12,0))=TRUE," ",(VLOOKUP(T81,'Base de Datos'!$E$7:$AU$302,12,0)))</f>
        <v xml:space="preserve"> </v>
      </c>
      <c r="AD81" s="428" t="str">
        <f>IF(ISERROR(VLOOKUP(T81,'Base de Datos'!$E$7:$AU$302,15,0))=TRUE," ",(VLOOKUP(T81,'Base de Datos'!$E$7:$AU$302,15,0)))</f>
        <v xml:space="preserve"> </v>
      </c>
      <c r="AE81" s="433" t="str">
        <f>IF(ISERROR(VLOOKUP(T81,'Base de Datos'!$E$7:$AU$302,16,0))=TRUE," ",(VLOOKUP(T81,'Base de Datos'!$E$7:$AU$302,16,0)))</f>
        <v xml:space="preserve"> </v>
      </c>
      <c r="AF81" s="433" t="str">
        <f>IF(ISERROR(VLOOKUP(T81,'Base de Datos'!$E$7:$AU$302,17,0))=TRUE," ",(VLOOKUP(T81,'Base de Datos'!$E$7:$AU$302,17,0)))</f>
        <v xml:space="preserve"> </v>
      </c>
      <c r="AG81" s="433" t="str">
        <f>IF(ISERROR(VLOOKUP(T81,'Base de Datos'!$E$7:$AU$302,18,0))=TRUE," ",(VLOOKUP(T81,'Base de Datos'!$E$7:$AU$302,18,0)))</f>
        <v xml:space="preserve"> </v>
      </c>
      <c r="AH81" s="434" t="str">
        <f>IF(ISERROR(VLOOKUP(T81,'Base de Datos'!$E$7:$AU$302,20,0))=TRUE," ",(VLOOKUP(T81,'Base de Datos'!$E$7:$AU$302,20,0)))</f>
        <v xml:space="preserve"> </v>
      </c>
      <c r="AI81" s="434" t="str">
        <f>IF(ISERROR(VLOOKUP(T81,'Base de Datos'!$E$7:$AU$302,21,0))=TRUE," ",(VLOOKUP(T81,'Base de Datos'!$E$7:$AU$302,21,0)))</f>
        <v xml:space="preserve"> </v>
      </c>
      <c r="AJ81" s="423"/>
      <c r="AK81" s="423" t="str">
        <f>IF(ISERROR(VLOOKUP(D81,'Base de Datos'!$C$7:$AU$400,2,0))=TRUE," ",(VLOOKUP(D81,'Base de Datos'!$C$7:$AU$400,2,0)))</f>
        <v xml:space="preserve"> </v>
      </c>
      <c r="AL81" s="423" t="str">
        <f>IF(ISERROR(VLOOKUP(D81,'Base de Datos'!$C$7:$AU$400,3,0))=TRUE," ",(VLOOKUP(D81,'Base de Datos'!$C$7:$AU$400,3,0)))</f>
        <v xml:space="preserve"> </v>
      </c>
      <c r="AM81" s="426" t="e">
        <f>IF(ISERROR(VLOOKUP(D81,'Base de Datos'!$C$7:$AU$3761,6,0))=TRUE," ",(VLOOKUP(D81,'Base de Datos'!$C$7:$AU$400,6,0)))</f>
        <v>#N/A</v>
      </c>
      <c r="AN81" s="426" t="str">
        <f>IF(ISERROR(VLOOKUP(D81,'Base de Datos'!$C$7:$AU$400,20,0))=TRUE," ",(VLOOKUP(D81,'Base de Datos'!$C$7:$AU$400,19,0)))</f>
        <v xml:space="preserve"> </v>
      </c>
      <c r="AO81" s="429" t="str">
        <f>IF(ISERROR(VLOOKUP(D81,'Base de Datos'!$C$7:$AU$400,9,0))=TRUE," ",(VLOOKUP(D81,'Base de Datos'!$C$7:$AU$400,9,0)))</f>
        <v xml:space="preserve"> </v>
      </c>
      <c r="AP81" s="429" t="str">
        <f>IF(ISERROR(VLOOKUP(D81,'Base de Datos'!$C$7:$AU$400,10,0))=TRUE," ",(VLOOKUP(D81,'Base de Datos'!$C$7:$AU$400,10,0)))</f>
        <v xml:space="preserve"> </v>
      </c>
      <c r="AQ81" s="431" t="str">
        <f>IF(ISERROR(VLOOKUP(D81,'Base de Datos'!$C$7:$AU$400,11,0))=TRUE," ",(VLOOKUP(D81,'Base de Datos'!$C$7:$AU$400,11,0)))</f>
        <v xml:space="preserve"> </v>
      </c>
      <c r="AR81" s="432" t="str">
        <f>IF(ISERROR(VLOOKUP(D81,'Base de Datos'!$C$7:$AU$400,12,0))=TRUE," ",(VLOOKUP(D81,'Base de Datos'!$C$7:$AU$400,12,0)))</f>
        <v xml:space="preserve"> </v>
      </c>
      <c r="AS81" s="431" t="str">
        <f>IF(ISERROR(VLOOKUP(D81,'Base de Datos'!$C$7:$AU$400,13,0))=TRUE," ",(VLOOKUP(D81,'Base de Datos'!$C$7:$AU$400,13,0)))</f>
        <v xml:space="preserve"> </v>
      </c>
      <c r="AT81" s="431" t="str">
        <f>IF(ISERROR(VLOOKUP(D81,'Base de Datos'!$C$7:$AU$400,14,0))=TRUE," ",(VLOOKUP(D81,'Base de Datos'!$C$7:$AU$400,14,0)))</f>
        <v xml:space="preserve"> </v>
      </c>
      <c r="AU81" s="429" t="str">
        <f>IF(ISERROR(VLOOKUP(D81,'Base de Datos'!$C$7:$AU$400,16,0))=TRUE," ",(VLOOKUP(D81,'Base de Datos'!$C$7:$AU$400,16,0)))</f>
        <v xml:space="preserve"> </v>
      </c>
      <c r="AV81" s="433" t="str">
        <f>IF(ISERROR(VLOOKUP(D81,'Base de Datos'!$C$7:$AU$400,17,0))=TRUE," ",(VLOOKUP(D81,'Base de Datos'!$C$7:$AU$400,17,0)))</f>
        <v xml:space="preserve"> </v>
      </c>
      <c r="AW81" s="433" t="str">
        <f>IF(ISERROR(VLOOKUP(D81,'Base de Datos'!$C$7:$AU$400,18,0))=TRUE," ",(VLOOKUP(D81,'Base de Datos'!$C$7:$AU$400,18,0)))</f>
        <v xml:space="preserve"> </v>
      </c>
      <c r="AX81" s="433" t="str">
        <f>IF(ISERROR(VLOOKUP(D81,'Base de Datos'!$C$7:$AU$400,19,0))=TRUE," ",(VLOOKUP(D81,'Base de Datos'!$C$7:$AU$400,19,0)))</f>
        <v xml:space="preserve"> </v>
      </c>
      <c r="AY81" s="436" t="str">
        <f>IF(ISERROR(VLOOKUP(D81,'Base de Datos'!$C$7:$AU$400,21,0))=TRUE," ",(VLOOKUP(D81,'Base de Datos'!$C$7:$AU$400,21,0)))</f>
        <v xml:space="preserve"> </v>
      </c>
      <c r="AZ81" s="436" t="str">
        <f>IF(ISERROR(VLOOKUP(D81,'Base de Datos'!$C$7:$AU$400,22,0))=TRUE," ",(VLOOKUP(D81,'Base de Datos'!$C$7:$AU$400,22,0)))</f>
        <v xml:space="preserve"> </v>
      </c>
      <c r="BA81" s="443"/>
      <c r="BB81" s="453"/>
    </row>
    <row r="82" spans="2:54" ht="55.5" hidden="1" customHeight="1" x14ac:dyDescent="0.3">
      <c r="B82" s="406">
        <v>75</v>
      </c>
      <c r="C82" s="414" t="s">
        <v>1641</v>
      </c>
      <c r="D82" s="406">
        <v>179</v>
      </c>
      <c r="E82" s="414" t="s">
        <v>1657</v>
      </c>
      <c r="F82" s="415">
        <f>VLOOKUP(D82,'Presupuesto - PAA 2015'!$B$10:$E$265,4,0)</f>
        <v>174490259</v>
      </c>
      <c r="G82" s="407" t="str">
        <f>VLOOKUP(D82,'[4]Seguimiento Plan'!$C$2:$R$101,16,0)</f>
        <v>Expedir la pólizas de seguros requeridas para adecuada protección de los bienes de la Secretaría Distrital de Hacienda y del Concejo de Bogotá D.C., así como el seguro de Grupo Vida de los Concejales de Bogotá D.C.</v>
      </c>
      <c r="H82" s="407" t="s">
        <v>1775</v>
      </c>
      <c r="I82" s="407" t="s">
        <v>1709</v>
      </c>
      <c r="J82" s="416" t="s">
        <v>1735</v>
      </c>
      <c r="K82" s="417" t="s">
        <v>390</v>
      </c>
      <c r="L82" s="417"/>
      <c r="M82" s="418"/>
      <c r="N82" s="417"/>
      <c r="O82" s="419"/>
      <c r="P82" s="419"/>
      <c r="Q82" s="419"/>
      <c r="R82" s="420"/>
      <c r="S82" s="685" t="s">
        <v>2071</v>
      </c>
      <c r="T82" s="421"/>
      <c r="U82" s="423" t="str">
        <f>IF(ISERROR(VLOOKUP(T82,'Base de Datos'!$E$7:$AU$302,3,0))=TRUE," ",(VLOOKUP(T82,'Base de Datos'!$E$7:$AU$302,2,0)))</f>
        <v xml:space="preserve"> </v>
      </c>
      <c r="V82" s="426" t="str">
        <f>IF(ISERROR(VLOOKUP(T82,'Base de Datos'!$E$7:$AU$302,5,0))=TRUE," ",(VLOOKUP(T82,'Base de Datos'!$E$7:$AU$302,5,0)))</f>
        <v xml:space="preserve"> </v>
      </c>
      <c r="W82" s="423" t="str">
        <f>IF(ISERROR(VLOOKUP(T82,'Base de Datos'!$E$7:$AU$302,19,0))=TRUE," ",(VLOOKUP(T82,'Base de Datos'!$E$7:$AU$302,19,0)))</f>
        <v xml:space="preserve"> </v>
      </c>
      <c r="X82" s="428" t="str">
        <f>IF(ISERROR(VLOOKUP(T82,'Base de Datos'!$E$7:$AU$302,8,0))=TRUE," ",(VLOOKUP(T82,'Base de Datos'!$E$7:$AU$302,8,0)))</f>
        <v xml:space="preserve"> </v>
      </c>
      <c r="Y82" s="428" t="str">
        <f>IF(ISERROR(VLOOKUP(T82,'Base de Datos'!$E$7:$AU$302,9,0))=TRUE," ",(VLOOKUP(T82,'Base de Datos'!$E$7:$AU$302,9,0)))</f>
        <v xml:space="preserve"> </v>
      </c>
      <c r="Z82" s="422" t="str">
        <f>IF(ISERROR(VLOOKUP(T82,'Base de Datos'!$E$7:$AU$302,10,0))=TRUE," ",(VLOOKUP(T82,'Base de Datos'!$E$7:$AU$302,10,0)))</f>
        <v xml:space="preserve"> </v>
      </c>
      <c r="AA82" s="425" t="str">
        <f>IF(ISERROR(VLOOKUP(T82,'Base de Datos'!$E$7:$AU$302,11,0))=TRUE," ",(VLOOKUP(T82,'Base de Datos'!$E$7:$AU$302,11,0)))</f>
        <v xml:space="preserve"> </v>
      </c>
      <c r="AB82" s="422" t="str">
        <f>IF(ISERROR(VLOOKUP(T82,'Base de Datos'!$E$7:$AU$302,12,0))=TRUE," ",(VLOOKUP(T82,'Base de Datos'!$E$7:$AU$302,12,0)))</f>
        <v xml:space="preserve"> </v>
      </c>
      <c r="AC82" s="422" t="str">
        <f>IF(ISERROR(VLOOKUP(T82,'Base de Datos'!$E$7:$AU$302,12,0))=TRUE," ",(VLOOKUP(T82,'Base de Datos'!$E$7:$AU$302,12,0)))</f>
        <v xml:space="preserve"> </v>
      </c>
      <c r="AD82" s="428" t="str">
        <f>IF(ISERROR(VLOOKUP(T82,'Base de Datos'!$E$7:$AU$302,15,0))=TRUE," ",(VLOOKUP(T82,'Base de Datos'!$E$7:$AU$302,15,0)))</f>
        <v xml:space="preserve"> </v>
      </c>
      <c r="AE82" s="433" t="str">
        <f>IF(ISERROR(VLOOKUP(T82,'Base de Datos'!$E$7:$AU$302,16,0))=TRUE," ",(VLOOKUP(T82,'Base de Datos'!$E$7:$AU$302,16,0)))</f>
        <v xml:space="preserve"> </v>
      </c>
      <c r="AF82" s="433" t="str">
        <f>IF(ISERROR(VLOOKUP(T82,'Base de Datos'!$E$7:$AU$302,17,0))=TRUE," ",(VLOOKUP(T82,'Base de Datos'!$E$7:$AU$302,17,0)))</f>
        <v xml:space="preserve"> </v>
      </c>
      <c r="AG82" s="433" t="str">
        <f>IF(ISERROR(VLOOKUP(T82,'Base de Datos'!$E$7:$AU$302,18,0))=TRUE," ",(VLOOKUP(T82,'Base de Datos'!$E$7:$AU$302,18,0)))</f>
        <v xml:space="preserve"> </v>
      </c>
      <c r="AH82" s="434" t="str">
        <f>IF(ISERROR(VLOOKUP(T82,'Base de Datos'!$E$7:$AU$302,20,0))=TRUE," ",(VLOOKUP(T82,'Base de Datos'!$E$7:$AU$302,20,0)))</f>
        <v xml:space="preserve"> </v>
      </c>
      <c r="AI82" s="434" t="str">
        <f>IF(ISERROR(VLOOKUP(T82,'Base de Datos'!$E$7:$AU$302,21,0))=TRUE," ",(VLOOKUP(T82,'Base de Datos'!$E$7:$AU$302,21,0)))</f>
        <v xml:space="preserve"> </v>
      </c>
      <c r="AJ82" s="437">
        <v>42187</v>
      </c>
      <c r="AK82" s="423" t="str">
        <f>IF(ISERROR(VLOOKUP(D82,'Base de Datos'!$C$7:$AU$400,2,0))=TRUE," ",(VLOOKUP(D82,'Base de Datos'!$C$7:$AU$400,2,0)))</f>
        <v>2015179</v>
      </c>
      <c r="AL82" s="423" t="str">
        <f>IF(ISERROR(VLOOKUP(D82,'Base de Datos'!$C$7:$AU$400,3,0))=TRUE," ",(VLOOKUP(D82,'Base de Datos'!$C$7:$AU$400,3,0)))</f>
        <v>150302-0-2015</v>
      </c>
      <c r="AM82" s="426" t="str">
        <f>IF(ISERROR(VLOOKUP(D82,'Base de Datos'!$C$7:$AU$3761,6,0))=TRUE," ",(VLOOKUP(D82,'Base de Datos'!$C$7:$AU$400,6,0)))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26" t="str">
        <f>IF(ISERROR(VLOOKUP(D82,'Base de Datos'!$C$7:$AU$400,20,0))=TRUE," ",(VLOOKUP(D82,'Base de Datos'!$C$7:$AU$400,19,0)))</f>
        <v/>
      </c>
      <c r="AO82" s="429">
        <f>IF(ISERROR(VLOOKUP(D82,'Base de Datos'!$C$7:$AU$400,9,0))=TRUE," ",(VLOOKUP(D82,'Base de Datos'!$C$7:$AU$400,9,0)))</f>
        <v>2015</v>
      </c>
      <c r="AP82" s="429">
        <f>IF(ISERROR(VLOOKUP(D82,'Base de Datos'!$C$7:$AU$400,10,0))=TRUE," ",(VLOOKUP(D82,'Base de Datos'!$C$7:$AU$400,10,0)))</f>
        <v>42187</v>
      </c>
      <c r="AQ82" s="431">
        <f>IF(ISERROR(VLOOKUP(D82,'Base de Datos'!$C$7:$AU$400,11,0))=TRUE," ",(VLOOKUP(D82,'Base de Datos'!$C$7:$AU$400,11,0)))</f>
        <v>0</v>
      </c>
      <c r="AR82" s="432">
        <f>IF(ISERROR(VLOOKUP(D82,'Base de Datos'!$C$7:$AU$400,12,0))=TRUE," ",(VLOOKUP(D82,'Base de Datos'!$C$7:$AU$400,12,0)))</f>
        <v>0</v>
      </c>
      <c r="AS82" s="431" t="str">
        <f>IF(ISERROR(VLOOKUP(D82,'Base de Datos'!$C$7:$AU$400,13,0))=TRUE," ",(VLOOKUP(D82,'Base de Datos'!$C$7:$AU$400,13,0)))</f>
        <v/>
      </c>
      <c r="AT82" s="431">
        <f>IF(ISERROR(VLOOKUP(D82,'Base de Datos'!$C$7:$AU$400,14,0))=TRUE," ",(VLOOKUP(D82,'Base de Datos'!$C$7:$AU$400,14,0)))</f>
        <v>1</v>
      </c>
      <c r="AU82" s="429">
        <f>IF(ISERROR(VLOOKUP(D82,'Base de Datos'!$C$7:$AU$400,16,0))=TRUE," ",(VLOOKUP(D82,'Base de Datos'!$C$7:$AU$400,16,0)))</f>
        <v>0</v>
      </c>
      <c r="AV82" s="433" t="str">
        <f>IF(ISERROR(VLOOKUP(D82,'Base de Datos'!$C$7:$AU$400,17,0))=TRUE," ",(VLOOKUP(D82,'Base de Datos'!$C$7:$AU$400,17,0)))</f>
        <v/>
      </c>
      <c r="AW82" s="433" t="str">
        <f>IF(ISERROR(VLOOKUP(D82,'Base de Datos'!$C$7:$AU$400,18,0))=TRUE," ",(VLOOKUP(D82,'Base de Datos'!$C$7:$AU$400,18,0)))</f>
        <v/>
      </c>
      <c r="AX82" s="433" t="str">
        <f>IF(ISERROR(VLOOKUP(D82,'Base de Datos'!$C$7:$AU$400,19,0))=TRUE," ",(VLOOKUP(D82,'Base de Datos'!$C$7:$AU$400,19,0)))</f>
        <v/>
      </c>
      <c r="AY82" s="436">
        <f>IF(ISERROR(VLOOKUP(D82,'Base de Datos'!$C$7:$AU$400,21,0))=TRUE," ",(VLOOKUP(D82,'Base de Datos'!$C$7:$AU$400,21,0)))</f>
        <v>0</v>
      </c>
      <c r="AZ82" s="436">
        <f>IF(ISERROR(VLOOKUP(D82,'Base de Datos'!$C$7:$AU$400,22,0))=TRUE," ",(VLOOKUP(D82,'Base de Datos'!$C$7:$AU$400,22,0)))</f>
        <v>204705978</v>
      </c>
      <c r="BA82" s="443"/>
      <c r="BB82" s="453"/>
    </row>
    <row r="83" spans="2:54" ht="55.5" hidden="1" customHeight="1" x14ac:dyDescent="0.3">
      <c r="B83" s="406">
        <v>76</v>
      </c>
      <c r="C83" s="414" t="s">
        <v>1641</v>
      </c>
      <c r="D83" s="406">
        <v>181</v>
      </c>
      <c r="E83" s="414" t="s">
        <v>1665</v>
      </c>
      <c r="F83" s="415">
        <f>VLOOKUP(D83,'Presupuesto - PAA 2015'!$B$10:$E$265,4,0)</f>
        <v>478000000</v>
      </c>
      <c r="G83" s="407" t="str">
        <f>VLOOKUP(D83,'[4]Seguimiento Plan'!$C$2:$R$101,16,0)</f>
        <v>Realizar las actividades de capacitación previstas en el Plan Institucional de Capacitación para los funcionarios de la SDH y del Concejo de Bogotá.</v>
      </c>
      <c r="H83" s="407" t="s">
        <v>1775</v>
      </c>
      <c r="I83" s="407" t="s">
        <v>1709</v>
      </c>
      <c r="J83" s="416" t="s">
        <v>1735</v>
      </c>
      <c r="K83" s="417" t="s">
        <v>390</v>
      </c>
      <c r="L83" s="417" t="s">
        <v>390</v>
      </c>
      <c r="M83" s="418">
        <v>42135</v>
      </c>
      <c r="N83" s="417" t="s">
        <v>1882</v>
      </c>
      <c r="O83" s="419"/>
      <c r="P83" s="419"/>
      <c r="Q83" s="419"/>
      <c r="R83" s="420"/>
      <c r="S83" s="676" t="s">
        <v>2190</v>
      </c>
      <c r="T83" s="324" t="s">
        <v>1473</v>
      </c>
      <c r="U83" s="423" t="str">
        <f>IF(ISERROR(VLOOKUP(T83,'Base de Datos'!$E$7:$AU$302,3,0))=TRUE," ",(VLOOKUP(T83,'Base de Datos'!$E$7:$AU$302,2,0)))</f>
        <v>CENTRO DE RECURSOS EDUCATIVOS PARA LA COMPETITIVIDAD EMPRESARIAL LTDA - CRECE</v>
      </c>
      <c r="V83" s="426">
        <f>IF(ISERROR(VLOOKUP(T83,'Base de Datos'!$E$7:$AU$302,5,0))=TRUE," ",(VLOOKUP(T83,'Base de Datos'!$E$7:$AU$302,5,0)))</f>
        <v>401058400</v>
      </c>
      <c r="W83" s="423">
        <f>IF(ISERROR(VLOOKUP(T83,'Base de Datos'!$E$7:$AU$302,19,0))=TRUE," ",(VLOOKUP(T83,'Base de Datos'!$E$7:$AU$302,19,0)))</f>
        <v>42335</v>
      </c>
      <c r="X83" s="428" t="str">
        <f>IF(ISERROR(VLOOKUP(T83,'Base de Datos'!$E$7:$AU$302,8,0))=TRUE," ",(VLOOKUP(T83,'Base de Datos'!$E$7:$AU$302,8,0)))</f>
        <v xml:space="preserve"> </v>
      </c>
      <c r="Y83" s="428">
        <f>IF(ISERROR(VLOOKUP(T83,'Base de Datos'!$E$7:$AU$302,9,0))=TRUE," ",(VLOOKUP(T83,'Base de Datos'!$E$7:$AU$302,9,0)))</f>
        <v>42031</v>
      </c>
      <c r="Z83" s="422">
        <f>IF(ISERROR(VLOOKUP(T83,'Base de Datos'!$E$7:$AU$302,10,0))=TRUE," ",(VLOOKUP(T83,'Base de Datos'!$E$7:$AU$302,10,0)))</f>
        <v>42274</v>
      </c>
      <c r="AA83" s="425" t="str">
        <f>IF(ISERROR(VLOOKUP(T83,'Base de Datos'!$E$7:$AU$302,11,0))=TRUE," ",(VLOOKUP(T83,'Base de Datos'!$E$7:$AU$302,11,0)))</f>
        <v/>
      </c>
      <c r="AB83" s="422">
        <f>IF(ISERROR(VLOOKUP(T83,'Base de Datos'!$E$7:$AU$302,12,0))=TRUE," ",(VLOOKUP(T83,'Base de Datos'!$E$7:$AU$302,12,0)))</f>
        <v>0</v>
      </c>
      <c r="AC83" s="422">
        <f>IF(ISERROR(VLOOKUP(T83,'Base de Datos'!$E$7:$AU$302,12,0))=TRUE," ",(VLOOKUP(T83,'Base de Datos'!$E$7:$AU$302,12,0)))</f>
        <v>0</v>
      </c>
      <c r="AD83" s="428" t="str">
        <f>IF(ISERROR(VLOOKUP(T83,'Base de Datos'!$E$7:$AU$302,15,0))=TRUE," ",(VLOOKUP(T83,'Base de Datos'!$E$7:$AU$302,15,0)))</f>
        <v>2 meses</v>
      </c>
      <c r="AE83" s="433">
        <f>IF(ISERROR(VLOOKUP(T83,'Base de Datos'!$E$7:$AU$302,16,0))=TRUE," ",(VLOOKUP(T83,'Base de Datos'!$E$7:$AU$302,16,0)))</f>
        <v>42335</v>
      </c>
      <c r="AF83" s="433" t="str">
        <f>IF(ISERROR(VLOOKUP(T83,'Base de Datos'!$E$7:$AU$302,17,0))=TRUE," ",(VLOOKUP(T83,'Base de Datos'!$E$7:$AU$302,17,0)))</f>
        <v/>
      </c>
      <c r="AG83" s="433" t="str">
        <f>IF(ISERROR(VLOOKUP(T83,'Base de Datos'!$E$7:$AU$302,18,0))=TRUE," ",(VLOOKUP(T83,'Base de Datos'!$E$7:$AU$302,18,0)))</f>
        <v/>
      </c>
      <c r="AH83" s="434">
        <f>IF(ISERROR(VLOOKUP(T83,'Base de Datos'!$E$7:$AU$302,20,0))=TRUE," ",(VLOOKUP(T83,'Base de Datos'!$E$7:$AU$302,20,0)))</f>
        <v>401058400</v>
      </c>
      <c r="AI83" s="434">
        <f>IF(ISERROR(VLOOKUP(T83,'Base de Datos'!$E$7:$AU$302,21,0))=TRUE," ",(VLOOKUP(T83,'Base de Datos'!$E$7:$AU$302,21,0)))</f>
        <v>401058400</v>
      </c>
      <c r="AJ83" s="423"/>
      <c r="AK83" s="423" t="str">
        <f>IF(ISERROR(VLOOKUP(D83,'Base de Datos'!$C$7:$AU$400,2,0))=TRUE," ",(VLOOKUP(D83,'Base de Datos'!$C$7:$AU$400,2,0)))</f>
        <v>2015181</v>
      </c>
      <c r="AL83" s="423" t="str">
        <f>IF(ISERROR(VLOOKUP(D83,'Base de Datos'!$C$7:$AU$400,3,0))=TRUE," ",(VLOOKUP(D83,'Base de Datos'!$C$7:$AU$400,3,0)))</f>
        <v>150373-0-2015</v>
      </c>
      <c r="AM83" s="426" t="str">
        <f>IF(ISERROR(VLOOKUP(D83,'Base de Datos'!$C$7:$AU$3761,6,0))=TRUE," ",(VLOOKUP(D83,'Base de Datos'!$C$7:$AU$400,6,0)))</f>
        <v>Ejecutar actividades del Plan Institucional de Capacitación del Concejo de Bogotá, D.C., - Grupo 3, según el pliego de condiciones del proceso SDH-LP-04-2015</v>
      </c>
      <c r="AN83" s="426" t="str">
        <f>IF(ISERROR(VLOOKUP(D83,'Base de Datos'!$C$7:$AU$400,20,0))=TRUE," ",(VLOOKUP(D83,'Base de Datos'!$C$7:$AU$400,19,0)))</f>
        <v/>
      </c>
      <c r="AO83" s="429">
        <f>IF(ISERROR(VLOOKUP(D83,'Base de Datos'!$C$7:$AU$400,9,0))=TRUE," ",(VLOOKUP(D83,'Base de Datos'!$C$7:$AU$400,9,0)))</f>
        <v>2015</v>
      </c>
      <c r="AP83" s="429">
        <f>IF(ISERROR(VLOOKUP(D83,'Base de Datos'!$C$7:$AU$400,10,0))=TRUE," ",(VLOOKUP(D83,'Base de Datos'!$C$7:$AU$400,10,0)))</f>
        <v>42293</v>
      </c>
      <c r="AQ83" s="431">
        <f>IF(ISERROR(VLOOKUP(D83,'Base de Datos'!$C$7:$AU$400,11,0))=TRUE," ",(VLOOKUP(D83,'Base de Datos'!$C$7:$AU$400,11,0)))</f>
        <v>42362</v>
      </c>
      <c r="AR83" s="432">
        <f>IF(ISERROR(VLOOKUP(D83,'Base de Datos'!$C$7:$AU$400,12,0))=TRUE," ",(VLOOKUP(D83,'Base de Datos'!$C$7:$AU$400,12,0)))</f>
        <v>42605</v>
      </c>
      <c r="AS83" s="431" t="str">
        <f>IF(ISERROR(VLOOKUP(D83,'Base de Datos'!$C$7:$AU$400,13,0))=TRUE," ",(VLOOKUP(D83,'Base de Datos'!$C$7:$AU$400,13,0)))</f>
        <v/>
      </c>
      <c r="AT83" s="431">
        <f>IF(ISERROR(VLOOKUP(D83,'Base de Datos'!$C$7:$AU$400,14,0))=TRUE," ",(VLOOKUP(D83,'Base de Datos'!$C$7:$AU$400,14,0)))</f>
        <v>0</v>
      </c>
      <c r="AU83" s="429">
        <f>IF(ISERROR(VLOOKUP(D83,'Base de Datos'!$C$7:$AU$400,16,0))=TRUE," ",(VLOOKUP(D83,'Base de Datos'!$C$7:$AU$400,16,0)))</f>
        <v>2</v>
      </c>
      <c r="AV83" s="433" t="str">
        <f>IF(ISERROR(VLOOKUP(D83,'Base de Datos'!$C$7:$AU$400,17,0))=TRUE," ",(VLOOKUP(D83,'Base de Datos'!$C$7:$AU$400,17,0)))</f>
        <v>3 meses y 7 días</v>
      </c>
      <c r="AW83" s="433">
        <f>IF(ISERROR(VLOOKUP(D83,'Base de Datos'!$C$7:$AU$400,18,0))=TRUE," ",(VLOOKUP(D83,'Base de Datos'!$C$7:$AU$400,18,0)))</f>
        <v>42704</v>
      </c>
      <c r="AX83" s="433" t="str">
        <f>IF(ISERROR(VLOOKUP(D83,'Base de Datos'!$C$7:$AU$400,19,0))=TRUE," ",(VLOOKUP(D83,'Base de Datos'!$C$7:$AU$400,19,0)))</f>
        <v/>
      </c>
      <c r="AY83" s="436">
        <f>IF(ISERROR(VLOOKUP(D83,'Base de Datos'!$C$7:$AU$400,21,0))=TRUE," ",(VLOOKUP(D83,'Base de Datos'!$C$7:$AU$400,21,0)))</f>
        <v>42704</v>
      </c>
      <c r="AZ83" s="436">
        <f>IF(ISERROR(VLOOKUP(D83,'Base de Datos'!$C$7:$AU$400,22,0))=TRUE," ",(VLOOKUP(D83,'Base de Datos'!$C$7:$AU$400,22,0)))</f>
        <v>436914000</v>
      </c>
      <c r="BA83" s="443"/>
      <c r="BB83" s="453"/>
    </row>
    <row r="84" spans="2:54" ht="55.5" hidden="1" customHeight="1" x14ac:dyDescent="0.3">
      <c r="B84" s="406">
        <v>77</v>
      </c>
      <c r="C84" s="414" t="s">
        <v>1641</v>
      </c>
      <c r="D84" s="406">
        <v>184</v>
      </c>
      <c r="E84" s="414" t="s">
        <v>1666</v>
      </c>
      <c r="F84" s="415">
        <f>VLOOKUP(D84,'Presupuesto - PAA 2015'!$B$10:$E$265,4,0)</f>
        <v>40000000</v>
      </c>
      <c r="G84" s="407" t="str">
        <f>VLOOKUP(D84,'[4]Seguimiento Plan'!$C$2:$R$101,16,0)</f>
        <v>Adquisición de bonos navideños para los hijos de los funcionarios de la Secretaría de Hacienda y el Concejo de Bogotá</v>
      </c>
      <c r="H84" s="407" t="s">
        <v>1775</v>
      </c>
      <c r="I84" s="407" t="s">
        <v>1711</v>
      </c>
      <c r="J84" s="416" t="s">
        <v>913</v>
      </c>
      <c r="K84" s="417" t="s">
        <v>390</v>
      </c>
      <c r="L84" s="417" t="s">
        <v>390</v>
      </c>
      <c r="M84" s="418" t="s">
        <v>1884</v>
      </c>
      <c r="N84" s="417" t="s">
        <v>1885</v>
      </c>
      <c r="O84" s="419"/>
      <c r="P84" s="419"/>
      <c r="Q84" s="419"/>
      <c r="R84" s="420"/>
      <c r="S84" s="438" t="s">
        <v>2200</v>
      </c>
      <c r="T84" s="324" t="s">
        <v>1480</v>
      </c>
      <c r="U84" s="423" t="str">
        <f>IF(ISERROR(VLOOKUP(T84,'Base de Datos'!$E$7:$AU$302,3,0))=TRUE," ",(VLOOKUP(T84,'Base de Datos'!$E$7:$AU$302,2,0)))</f>
        <v>CAJA COLOMBIANA DE SUBSIDIO FAMILIAR – COLSUBSIDIO</v>
      </c>
      <c r="V84" s="426">
        <f>IF(ISERROR(VLOOKUP(T84,'Base de Datos'!$E$7:$AU$302,5,0))=TRUE," ",(VLOOKUP(T84,'Base de Datos'!$E$7:$AU$302,5,0)))</f>
        <v>39424000</v>
      </c>
      <c r="W84" s="423">
        <f>IF(ISERROR(VLOOKUP(T84,'Base de Datos'!$E$7:$AU$302,19,0))=TRUE," ",(VLOOKUP(T84,'Base de Datos'!$E$7:$AU$302,19,0)))</f>
        <v>42013</v>
      </c>
      <c r="X84" s="428" t="str">
        <f>IF(ISERROR(VLOOKUP(T84,'Base de Datos'!$E$7:$AU$302,8,0))=TRUE," ",(VLOOKUP(T84,'Base de Datos'!$E$7:$AU$302,8,0)))</f>
        <v xml:space="preserve"> </v>
      </c>
      <c r="Y84" s="428">
        <f>IF(ISERROR(VLOOKUP(T84,'Base de Datos'!$E$7:$AU$302,9,0))=TRUE," ",(VLOOKUP(T84,'Base de Datos'!$E$7:$AU$302,9,0)))</f>
        <v>41982</v>
      </c>
      <c r="Z84" s="422">
        <f>IF(ISERROR(VLOOKUP(T84,'Base de Datos'!$E$7:$AU$302,10,0))=TRUE," ",(VLOOKUP(T84,'Base de Datos'!$E$7:$AU$302,10,0)))</f>
        <v>42013</v>
      </c>
      <c r="AA84" s="425" t="str">
        <f>IF(ISERROR(VLOOKUP(T84,'Base de Datos'!$E$7:$AU$302,11,0))=TRUE," ",(VLOOKUP(T84,'Base de Datos'!$E$7:$AU$302,11,0)))</f>
        <v/>
      </c>
      <c r="AB84" s="422">
        <f>IF(ISERROR(VLOOKUP(T84,'Base de Datos'!$E$7:$AU$302,12,0))=TRUE," ",(VLOOKUP(T84,'Base de Datos'!$E$7:$AU$302,12,0)))</f>
        <v>0</v>
      </c>
      <c r="AC84" s="422">
        <f>IF(ISERROR(VLOOKUP(T84,'Base de Datos'!$E$7:$AU$302,12,0))=TRUE," ",(VLOOKUP(T84,'Base de Datos'!$E$7:$AU$302,12,0)))</f>
        <v>0</v>
      </c>
      <c r="AD84" s="428" t="str">
        <f>IF(ISERROR(VLOOKUP(T84,'Base de Datos'!$E$7:$AU$302,15,0))=TRUE," ",(VLOOKUP(T84,'Base de Datos'!$E$7:$AU$302,15,0)))</f>
        <v/>
      </c>
      <c r="AE84" s="433" t="str">
        <f>IF(ISERROR(VLOOKUP(T84,'Base de Datos'!$E$7:$AU$302,16,0))=TRUE," ",(VLOOKUP(T84,'Base de Datos'!$E$7:$AU$302,16,0)))</f>
        <v/>
      </c>
      <c r="AF84" s="433" t="str">
        <f>IF(ISERROR(VLOOKUP(T84,'Base de Datos'!$E$7:$AU$302,17,0))=TRUE," ",(VLOOKUP(T84,'Base de Datos'!$E$7:$AU$302,17,0)))</f>
        <v/>
      </c>
      <c r="AG84" s="433" t="str">
        <f>IF(ISERROR(VLOOKUP(T84,'Base de Datos'!$E$7:$AU$302,18,0))=TRUE," ",(VLOOKUP(T84,'Base de Datos'!$E$7:$AU$302,18,0)))</f>
        <v/>
      </c>
      <c r="AH84" s="434">
        <f>IF(ISERROR(VLOOKUP(T84,'Base de Datos'!$E$7:$AU$302,20,0))=TRUE," ",(VLOOKUP(T84,'Base de Datos'!$E$7:$AU$302,20,0)))</f>
        <v>39424000</v>
      </c>
      <c r="AI84" s="434">
        <f>IF(ISERROR(VLOOKUP(T84,'Base de Datos'!$E$7:$AU$302,21,0))=TRUE," ",(VLOOKUP(T84,'Base de Datos'!$E$7:$AU$302,21,0)))</f>
        <v>39424000</v>
      </c>
      <c r="AJ84" s="423"/>
      <c r="AK84" s="423" t="str">
        <f>IF(ISERROR(VLOOKUP(D84,'Base de Datos'!$C$7:$AU$400,2,0))=TRUE," ",(VLOOKUP(D84,'Base de Datos'!$C$7:$AU$400,2,0)))</f>
        <v>2015184</v>
      </c>
      <c r="AL84" s="423" t="str">
        <f>IF(ISERROR(VLOOKUP(D84,'Base de Datos'!$C$7:$AU$400,3,0))=TRUE," ",(VLOOKUP(D84,'Base de Datos'!$C$7:$AU$400,3,0)))</f>
        <v>150386-0-2015</v>
      </c>
      <c r="AM84" s="426" t="str">
        <f>IF(ISERROR(VLOOKUP(D84,'Base de Datos'!$C$7:$AU$3761,6,0))=TRUE," ",(VLOOKUP(D84,'Base de Datos'!$C$7:$AU$400,6,0)))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26" t="str">
        <f>IF(ISERROR(VLOOKUP(D84,'Base de Datos'!$C$7:$AU$400,20,0))=TRUE," ",(VLOOKUP(D84,'Base de Datos'!$C$7:$AU$400,19,0)))</f>
        <v/>
      </c>
      <c r="AO84" s="429">
        <f>IF(ISERROR(VLOOKUP(D84,'Base de Datos'!$C$7:$AU$400,9,0))=TRUE," ",(VLOOKUP(D84,'Base de Datos'!$C$7:$AU$400,9,0)))</f>
        <v>2015</v>
      </c>
      <c r="AP84" s="429">
        <f>IF(ISERROR(VLOOKUP(D84,'Base de Datos'!$C$7:$AU$400,10,0))=TRUE," ",(VLOOKUP(D84,'Base de Datos'!$C$7:$AU$400,10,0)))</f>
        <v>42314</v>
      </c>
      <c r="AQ84" s="431">
        <f>IF(ISERROR(VLOOKUP(D84,'Base de Datos'!$C$7:$AU$400,11,0))=TRUE," ",(VLOOKUP(D84,'Base de Datos'!$C$7:$AU$400,11,0)))</f>
        <v>42331</v>
      </c>
      <c r="AR84" s="432">
        <f>IF(ISERROR(VLOOKUP(D84,'Base de Datos'!$C$7:$AU$400,12,0))=TRUE," ",(VLOOKUP(D84,'Base de Datos'!$C$7:$AU$400,12,0)))</f>
        <v>42392</v>
      </c>
      <c r="AS84" s="431" t="str">
        <f>IF(ISERROR(VLOOKUP(D84,'Base de Datos'!$C$7:$AU$400,13,0))=TRUE," ",(VLOOKUP(D84,'Base de Datos'!$C$7:$AU$400,13,0)))</f>
        <v/>
      </c>
      <c r="AT84" s="431">
        <f>IF(ISERROR(VLOOKUP(D84,'Base de Datos'!$C$7:$AU$400,14,0))=TRUE," ",(VLOOKUP(D84,'Base de Datos'!$C$7:$AU$400,14,0)))</f>
        <v>0</v>
      </c>
      <c r="AU84" s="429" t="str">
        <f>IF(ISERROR(VLOOKUP(D84,'Base de Datos'!$C$7:$AU$400,16,0))=TRUE," ",(VLOOKUP(D84,'Base de Datos'!$C$7:$AU$400,16,0)))</f>
        <v>l</v>
      </c>
      <c r="AV84" s="433" t="str">
        <f>IF(ISERROR(VLOOKUP(D84,'Base de Datos'!$C$7:$AU$400,17,0))=TRUE," ",(VLOOKUP(D84,'Base de Datos'!$C$7:$AU$400,17,0)))</f>
        <v>5 meses</v>
      </c>
      <c r="AW84" s="433">
        <f>IF(ISERROR(VLOOKUP(D84,'Base de Datos'!$C$7:$AU$400,18,0))=TRUE," ",(VLOOKUP(D84,'Base de Datos'!$C$7:$AU$400,18,0)))</f>
        <v>42544</v>
      </c>
      <c r="AX84" s="433" t="str">
        <f>IF(ISERROR(VLOOKUP(D84,'Base de Datos'!$C$7:$AU$400,19,0))=TRUE," ",(VLOOKUP(D84,'Base de Datos'!$C$7:$AU$400,19,0)))</f>
        <v/>
      </c>
      <c r="AY84" s="436">
        <f>IF(ISERROR(VLOOKUP(D84,'Base de Datos'!$C$7:$AU$400,21,0))=TRUE," ",(VLOOKUP(D84,'Base de Datos'!$C$7:$AU$400,21,0)))</f>
        <v>42544</v>
      </c>
      <c r="AZ84" s="436">
        <f>IF(ISERROR(VLOOKUP(D84,'Base de Datos'!$C$7:$AU$400,22,0))=TRUE," ",(VLOOKUP(D84,'Base de Datos'!$C$7:$AU$400,22,0)))</f>
        <v>37372300</v>
      </c>
      <c r="BA84" s="443"/>
      <c r="BB84" s="453"/>
    </row>
    <row r="85" spans="2:54" ht="55.5" hidden="1" customHeight="1" x14ac:dyDescent="0.3">
      <c r="B85" s="406">
        <v>78</v>
      </c>
      <c r="C85" s="414" t="s">
        <v>1641</v>
      </c>
      <c r="D85" s="406">
        <v>185</v>
      </c>
      <c r="E85" s="414" t="s">
        <v>1666</v>
      </c>
      <c r="F85" s="415">
        <f>VLOOKUP(D85,'Presupuesto - PAA 2015'!$B$10:$E$265,4,0)</f>
        <v>550762000</v>
      </c>
      <c r="G85" s="407" t="str">
        <f>VLOOKUP(D85,'[4]Seguimiento Plan'!$C$2:$R$101,16,0)</f>
        <v>Desarrollar las actividades contenidas en los Planes de Bienestar e Incentivos y Mejoramiento del Clima Laboral para la Secretaría de Hacienda y el Concejo de Bogota.</v>
      </c>
      <c r="H85" s="407" t="s">
        <v>1775</v>
      </c>
      <c r="I85" s="407" t="s">
        <v>1709</v>
      </c>
      <c r="J85" s="416" t="s">
        <v>1735</v>
      </c>
      <c r="K85" s="417" t="s">
        <v>390</v>
      </c>
      <c r="L85" s="417" t="str">
        <f>VLOOKUP(D85,'[4]Seguimiento Plan'!$C$2:$AJ$101,30,0)</f>
        <v>SI</v>
      </c>
      <c r="M85" s="418">
        <f>VLOOKUP(D85,'[4]Seguimiento Plan'!$C$2:$AJ$101,31,0)</f>
        <v>42069</v>
      </c>
      <c r="N85" s="417" t="s">
        <v>1808</v>
      </c>
      <c r="O85" s="419"/>
      <c r="P85" s="419"/>
      <c r="Q85" s="419"/>
      <c r="R85" s="420" t="s">
        <v>1883</v>
      </c>
      <c r="S85" s="420"/>
      <c r="T85" s="324" t="s">
        <v>1423</v>
      </c>
      <c r="U85" s="423" t="str">
        <f>IF(ISERROR(VLOOKUP(T85,'Base de Datos'!$E$7:$AU$302,3,0))=TRUE," ",(VLOOKUP(T85,'Base de Datos'!$E$7:$AU$302,2,0)))</f>
        <v>J.A. ZABALA &amp; CONSULTORES ASOCIADOS LTDA.</v>
      </c>
      <c r="V85" s="426">
        <f>IF(ISERROR(VLOOKUP(T85,'Base de Datos'!$E$7:$AU$302,5,0))=TRUE," ",(VLOOKUP(T85,'Base de Datos'!$E$7:$AU$302,5,0)))</f>
        <v>506601000</v>
      </c>
      <c r="W85" s="423">
        <f>IF(ISERROR(VLOOKUP(T85,'Base de Datos'!$E$7:$AU$302,19,0))=TRUE," ",(VLOOKUP(T85,'Base de Datos'!$E$7:$AU$302,19,0)))</f>
        <v>42205</v>
      </c>
      <c r="X85" s="428" t="str">
        <f>IF(ISERROR(VLOOKUP(T85,'Base de Datos'!$E$7:$AU$302,8,0))=TRUE," ",(VLOOKUP(T85,'Base de Datos'!$E$7:$AU$302,8,0)))</f>
        <v xml:space="preserve"> </v>
      </c>
      <c r="Y85" s="428">
        <f>IF(ISERROR(VLOOKUP(T85,'Base de Datos'!$E$7:$AU$302,9,0))=TRUE," ",(VLOOKUP(T85,'Base de Datos'!$E$7:$AU$302,9,0)))</f>
        <v>41963</v>
      </c>
      <c r="Z85" s="422">
        <f>IF(ISERROR(VLOOKUP(T85,'Base de Datos'!$E$7:$AU$302,10,0))=TRUE," ",(VLOOKUP(T85,'Base de Datos'!$E$7:$AU$302,10,0)))</f>
        <v>42205</v>
      </c>
      <c r="AA85" s="425" t="str">
        <f>IF(ISERROR(VLOOKUP(T85,'Base de Datos'!$E$7:$AU$302,11,0))=TRUE," ",(VLOOKUP(T85,'Base de Datos'!$E$7:$AU$302,11,0)))</f>
        <v/>
      </c>
      <c r="AB85" s="422">
        <f>IF(ISERROR(VLOOKUP(T85,'Base de Datos'!$E$7:$AU$302,12,0))=TRUE," ",(VLOOKUP(T85,'Base de Datos'!$E$7:$AU$302,12,0)))</f>
        <v>2</v>
      </c>
      <c r="AC85" s="422">
        <f>IF(ISERROR(VLOOKUP(T85,'Base de Datos'!$E$7:$AU$302,12,0))=TRUE," ",(VLOOKUP(T85,'Base de Datos'!$E$7:$AU$302,12,0)))</f>
        <v>2</v>
      </c>
      <c r="AD85" s="428" t="str">
        <f>IF(ISERROR(VLOOKUP(T85,'Base de Datos'!$E$7:$AU$302,15,0))=TRUE," ",(VLOOKUP(T85,'Base de Datos'!$E$7:$AU$302,15,0)))</f>
        <v/>
      </c>
      <c r="AE85" s="433" t="str">
        <f>IF(ISERROR(VLOOKUP(T85,'Base de Datos'!$E$7:$AU$302,16,0))=TRUE," ",(VLOOKUP(T85,'Base de Datos'!$E$7:$AU$302,16,0)))</f>
        <v/>
      </c>
      <c r="AF85" s="433" t="str">
        <f>IF(ISERROR(VLOOKUP(T85,'Base de Datos'!$E$7:$AU$302,17,0))=TRUE," ",(VLOOKUP(T85,'Base de Datos'!$E$7:$AU$302,17,0)))</f>
        <v/>
      </c>
      <c r="AG85" s="433" t="str">
        <f>IF(ISERROR(VLOOKUP(T85,'Base de Datos'!$E$7:$AU$302,18,0))=TRUE," ",(VLOOKUP(T85,'Base de Datos'!$E$7:$AU$302,18,0)))</f>
        <v/>
      </c>
      <c r="AH85" s="434">
        <f>IF(ISERROR(VLOOKUP(T85,'Base de Datos'!$E$7:$AU$302,20,0))=TRUE," ",(VLOOKUP(T85,'Base de Datos'!$E$7:$AU$302,20,0)))</f>
        <v>668707669</v>
      </c>
      <c r="AI85" s="434">
        <f>IF(ISERROR(VLOOKUP(T85,'Base de Datos'!$E$7:$AU$302,21,0))=TRUE," ",(VLOOKUP(T85,'Base de Datos'!$E$7:$AU$302,21,0)))</f>
        <v>665337830</v>
      </c>
      <c r="AJ85" s="423"/>
      <c r="AK85" s="423" t="str">
        <f>IF(ISERROR(VLOOKUP(D85,'Base de Datos'!$C$7:$AU$400,2,0))=TRUE," ",(VLOOKUP(D85,'Base de Datos'!$C$7:$AU$400,2,0)))</f>
        <v>2015185</v>
      </c>
      <c r="AL85" s="423" t="str">
        <f>IF(ISERROR(VLOOKUP(D85,'Base de Datos'!$C$7:$AU$400,3,0))=TRUE," ",(VLOOKUP(D85,'Base de Datos'!$C$7:$AU$400,3,0)))</f>
        <v>150377-0-2015</v>
      </c>
      <c r="AM85" s="426" t="str">
        <f>IF(ISERROR(VLOOKUP(D85,'Base de Datos'!$C$7:$AU$3761,6,0))=TRUE," ",(VLOOKUP(D85,'Base de Datos'!$C$7:$AU$400,6,0)))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26" t="str">
        <f>IF(ISERROR(VLOOKUP(D85,'Base de Datos'!$C$7:$AU$400,20,0))=TRUE," ",(VLOOKUP(D85,'Base de Datos'!$C$7:$AU$400,19,0)))</f>
        <v/>
      </c>
      <c r="AO85" s="429">
        <f>IF(ISERROR(VLOOKUP(D85,'Base de Datos'!$C$7:$AU$400,9,0))=TRUE," ",(VLOOKUP(D85,'Base de Datos'!$C$7:$AU$400,9,0)))</f>
        <v>2015</v>
      </c>
      <c r="AP85" s="429">
        <f>IF(ISERROR(VLOOKUP(D85,'Base de Datos'!$C$7:$AU$400,10,0))=TRUE," ",(VLOOKUP(D85,'Base de Datos'!$C$7:$AU$400,10,0)))</f>
        <v>42297</v>
      </c>
      <c r="AQ85" s="431">
        <f>IF(ISERROR(VLOOKUP(D85,'Base de Datos'!$C$7:$AU$400,11,0))=TRUE," ",(VLOOKUP(D85,'Base de Datos'!$C$7:$AU$400,11,0)))</f>
        <v>42305</v>
      </c>
      <c r="AR85" s="432">
        <f>IF(ISERROR(VLOOKUP(D85,'Base de Datos'!$C$7:$AU$400,12,0))=TRUE," ",(VLOOKUP(D85,'Base de Datos'!$C$7:$AU$400,12,0)))</f>
        <v>42579</v>
      </c>
      <c r="AS85" s="431" t="str">
        <f>IF(ISERROR(VLOOKUP(D85,'Base de Datos'!$C$7:$AU$400,13,0))=TRUE," ",(VLOOKUP(D85,'Base de Datos'!$C$7:$AU$400,13,0)))</f>
        <v/>
      </c>
      <c r="AT85" s="431">
        <f>IF(ISERROR(VLOOKUP(D85,'Base de Datos'!$C$7:$AU$400,14,0))=TRUE," ",(VLOOKUP(D85,'Base de Datos'!$C$7:$AU$400,14,0)))</f>
        <v>2</v>
      </c>
      <c r="AU85" s="429">
        <f>IF(ISERROR(VLOOKUP(D85,'Base de Datos'!$C$7:$AU$400,16,0))=TRUE," ",(VLOOKUP(D85,'Base de Datos'!$C$7:$AU$400,16,0)))</f>
        <v>2</v>
      </c>
      <c r="AV85" s="433" t="str">
        <f>IF(ISERROR(VLOOKUP(D85,'Base de Datos'!$C$7:$AU$400,17,0))=TRUE," ",(VLOOKUP(D85,'Base de Datos'!$C$7:$AU$400,17,0)))</f>
        <v>1 mes y 23 días</v>
      </c>
      <c r="AW85" s="433">
        <f>IF(ISERROR(VLOOKUP(D85,'Base de Datos'!$C$7:$AU$400,18,0))=TRUE," ",(VLOOKUP(D85,'Base de Datos'!$C$7:$AU$400,18,0)))</f>
        <v>42633</v>
      </c>
      <c r="AX85" s="433" t="str">
        <f>IF(ISERROR(VLOOKUP(D85,'Base de Datos'!$C$7:$AU$400,19,0))=TRUE," ",(VLOOKUP(D85,'Base de Datos'!$C$7:$AU$400,19,0)))</f>
        <v/>
      </c>
      <c r="AY85" s="436">
        <f>IF(ISERROR(VLOOKUP(D85,'Base de Datos'!$C$7:$AU$400,21,0))=TRUE," ",(VLOOKUP(D85,'Base de Datos'!$C$7:$AU$400,21,0)))</f>
        <v>42633</v>
      </c>
      <c r="AZ85" s="436">
        <f>IF(ISERROR(VLOOKUP(D85,'Base de Datos'!$C$7:$AU$400,22,0))=TRUE," ",(VLOOKUP(D85,'Base de Datos'!$C$7:$AU$400,22,0)))</f>
        <v>807506000</v>
      </c>
      <c r="BA85" s="443"/>
      <c r="BB85" s="453"/>
    </row>
    <row r="86" spans="2:54" ht="55.5" hidden="1" customHeight="1" x14ac:dyDescent="0.3">
      <c r="B86" s="406">
        <v>79</v>
      </c>
      <c r="C86" s="414" t="s">
        <v>1641</v>
      </c>
      <c r="D86" s="406">
        <v>289</v>
      </c>
      <c r="E86" s="414" t="s">
        <v>1666</v>
      </c>
      <c r="F86" s="415">
        <f>VLOOKUP(D86,'Presupuesto - PAA 2015'!$B$10:$E$265,4,0)</f>
        <v>15868800</v>
      </c>
      <c r="G86" s="407" t="s">
        <v>1781</v>
      </c>
      <c r="H86" s="407" t="s">
        <v>1775</v>
      </c>
      <c r="I86" s="407" t="s">
        <v>1709</v>
      </c>
      <c r="J86" s="416" t="s">
        <v>590</v>
      </c>
      <c r="K86" s="417"/>
      <c r="L86" s="417" t="s">
        <v>390</v>
      </c>
      <c r="M86" s="418"/>
      <c r="N86" s="417"/>
      <c r="O86" s="419"/>
      <c r="P86" s="419"/>
      <c r="Q86" s="419"/>
      <c r="R86" s="420"/>
      <c r="S86" s="420"/>
      <c r="T86" s="324" t="s">
        <v>1423</v>
      </c>
      <c r="U86" s="423" t="str">
        <f>IF(ISERROR(VLOOKUP(T86,'Base de Datos'!$E$7:$AU$302,3,0))=TRUE," ",(VLOOKUP(T86,'Base de Datos'!$E$7:$AU$302,2,0)))</f>
        <v>J.A. ZABALA &amp; CONSULTORES ASOCIADOS LTDA.</v>
      </c>
      <c r="V86" s="426">
        <f>IF(ISERROR(VLOOKUP(T86,'Base de Datos'!$E$7:$AU$302,5,0))=TRUE," ",(VLOOKUP(T86,'Base de Datos'!$E$7:$AU$302,5,0)))</f>
        <v>506601000</v>
      </c>
      <c r="W86" s="423">
        <f>IF(ISERROR(VLOOKUP(T86,'Base de Datos'!$E$7:$AU$302,19,0))=TRUE," ",(VLOOKUP(T86,'Base de Datos'!$E$7:$AU$302,19,0)))</f>
        <v>42205</v>
      </c>
      <c r="X86" s="428" t="str">
        <f>IF(ISERROR(VLOOKUP(T86,'Base de Datos'!$E$7:$AU$302,8,0))=TRUE," ",(VLOOKUP(T86,'Base de Datos'!$E$7:$AU$302,8,0)))</f>
        <v xml:space="preserve"> </v>
      </c>
      <c r="Y86" s="428">
        <f>IF(ISERROR(VLOOKUP(T86,'Base de Datos'!$E$7:$AU$302,9,0))=TRUE," ",(VLOOKUP(T86,'Base de Datos'!$E$7:$AU$302,9,0)))</f>
        <v>41963</v>
      </c>
      <c r="Z86" s="422">
        <f>IF(ISERROR(VLOOKUP(T86,'Base de Datos'!$E$7:$AU$302,10,0))=TRUE," ",(VLOOKUP(T86,'Base de Datos'!$E$7:$AU$302,10,0)))</f>
        <v>42205</v>
      </c>
      <c r="AA86" s="425" t="str">
        <f>IF(ISERROR(VLOOKUP(T86,'Base de Datos'!$E$7:$AU$302,11,0))=TRUE," ",(VLOOKUP(T86,'Base de Datos'!$E$7:$AU$302,11,0)))</f>
        <v/>
      </c>
      <c r="AB86" s="422">
        <f>IF(ISERROR(VLOOKUP(T86,'Base de Datos'!$E$7:$AU$302,12,0))=TRUE," ",(VLOOKUP(T86,'Base de Datos'!$E$7:$AU$302,12,0)))</f>
        <v>2</v>
      </c>
      <c r="AC86" s="422">
        <f>IF(ISERROR(VLOOKUP(T86,'Base de Datos'!$E$7:$AU$302,12,0))=TRUE," ",(VLOOKUP(T86,'Base de Datos'!$E$7:$AU$302,12,0)))</f>
        <v>2</v>
      </c>
      <c r="AD86" s="428" t="str">
        <f>IF(ISERROR(VLOOKUP(T86,'Base de Datos'!$E$7:$AU$302,15,0))=TRUE," ",(VLOOKUP(T86,'Base de Datos'!$E$7:$AU$302,15,0)))</f>
        <v/>
      </c>
      <c r="AE86" s="433" t="str">
        <f>IF(ISERROR(VLOOKUP(T86,'Base de Datos'!$E$7:$AU$302,16,0))=TRUE," ",(VLOOKUP(T86,'Base de Datos'!$E$7:$AU$302,16,0)))</f>
        <v/>
      </c>
      <c r="AF86" s="433" t="str">
        <f>IF(ISERROR(VLOOKUP(T86,'Base de Datos'!$E$7:$AU$302,17,0))=TRUE," ",(VLOOKUP(T86,'Base de Datos'!$E$7:$AU$302,17,0)))</f>
        <v/>
      </c>
      <c r="AG86" s="433" t="str">
        <f>IF(ISERROR(VLOOKUP(T86,'Base de Datos'!$E$7:$AU$302,18,0))=TRUE," ",(VLOOKUP(T86,'Base de Datos'!$E$7:$AU$302,18,0)))</f>
        <v/>
      </c>
      <c r="AH86" s="434">
        <f>IF(ISERROR(VLOOKUP(T86,'Base de Datos'!$E$7:$AU$302,20,0))=TRUE," ",(VLOOKUP(T86,'Base de Datos'!$E$7:$AU$302,20,0)))</f>
        <v>668707669</v>
      </c>
      <c r="AI86" s="434">
        <f>IF(ISERROR(VLOOKUP(T86,'Base de Datos'!$E$7:$AU$302,21,0))=TRUE," ",(VLOOKUP(T86,'Base de Datos'!$E$7:$AU$302,21,0)))</f>
        <v>665337830</v>
      </c>
      <c r="AJ86" s="423"/>
      <c r="AK86" s="423" t="str">
        <f>IF(ISERROR(VLOOKUP(D86,'Base de Datos'!$C$7:$AU$400,2,0))=TRUE," ",(VLOOKUP(D86,'Base de Datos'!$C$7:$AU$400,2,0)))</f>
        <v xml:space="preserve"> </v>
      </c>
      <c r="AL86" s="423" t="str">
        <f>IF(ISERROR(VLOOKUP(D86,'Base de Datos'!$C$7:$AU$400,3,0))=TRUE," ",(VLOOKUP(D86,'Base de Datos'!$C$7:$AU$400,3,0)))</f>
        <v xml:space="preserve"> </v>
      </c>
      <c r="AM86" s="426" t="str">
        <f>IF(ISERROR(VLOOKUP(D86,'Base de Datos'!$C$7:$AU$3761,6,0))=TRUE," ",(VLOOKUP(D86,'Base de Datos'!$C$7:$AU$400,6,0)))</f>
        <v xml:space="preserve"> </v>
      </c>
      <c r="AN86" s="426" t="str">
        <f>IF(ISERROR(VLOOKUP(D86,'Base de Datos'!$C$7:$AU$400,20,0))=TRUE," ",(VLOOKUP(D86,'Base de Datos'!$C$7:$AU$400,19,0)))</f>
        <v xml:space="preserve"> </v>
      </c>
      <c r="AO86" s="429" t="str">
        <f>IF(ISERROR(VLOOKUP(D86,'Base de Datos'!$C$7:$AU$400,9,0))=TRUE," ",(VLOOKUP(D86,'Base de Datos'!$C$7:$AU$400,9,0)))</f>
        <v xml:space="preserve"> </v>
      </c>
      <c r="AP86" s="429" t="str">
        <f>IF(ISERROR(VLOOKUP(D86,'Base de Datos'!$C$7:$AU$400,10,0))=TRUE," ",(VLOOKUP(D86,'Base de Datos'!$C$7:$AU$400,10,0)))</f>
        <v xml:space="preserve"> </v>
      </c>
      <c r="AQ86" s="431" t="str">
        <f>IF(ISERROR(VLOOKUP(D86,'Base de Datos'!$C$7:$AU$400,11,0))=TRUE," ",(VLOOKUP(D86,'Base de Datos'!$C$7:$AU$400,11,0)))</f>
        <v xml:space="preserve"> </v>
      </c>
      <c r="AR86" s="432" t="str">
        <f>IF(ISERROR(VLOOKUP(D86,'Base de Datos'!$C$7:$AU$400,12,0))=TRUE," ",(VLOOKUP(D86,'Base de Datos'!$C$7:$AU$400,12,0)))</f>
        <v xml:space="preserve"> </v>
      </c>
      <c r="AS86" s="431" t="str">
        <f>IF(ISERROR(VLOOKUP(D86,'Base de Datos'!$C$7:$AU$400,13,0))=TRUE," ",(VLOOKUP(D86,'Base de Datos'!$C$7:$AU$400,13,0)))</f>
        <v xml:space="preserve"> </v>
      </c>
      <c r="AT86" s="431" t="str">
        <f>IF(ISERROR(VLOOKUP(D86,'Base de Datos'!$C$7:$AU$400,14,0))=TRUE," ",(VLOOKUP(D86,'Base de Datos'!$C$7:$AU$400,14,0)))</f>
        <v xml:space="preserve"> </v>
      </c>
      <c r="AU86" s="429" t="str">
        <f>IF(ISERROR(VLOOKUP(D86,'Base de Datos'!$C$7:$AU$400,16,0))=TRUE," ",(VLOOKUP(D86,'Base de Datos'!$C$7:$AU$400,16,0)))</f>
        <v xml:space="preserve"> </v>
      </c>
      <c r="AV86" s="433" t="str">
        <f>IF(ISERROR(VLOOKUP(D86,'Base de Datos'!$C$7:$AU$400,17,0))=TRUE," ",(VLOOKUP(D86,'Base de Datos'!$C$7:$AU$400,17,0)))</f>
        <v xml:space="preserve"> </v>
      </c>
      <c r="AW86" s="433" t="str">
        <f>IF(ISERROR(VLOOKUP(D86,'Base de Datos'!$C$7:$AU$400,18,0))=TRUE," ",(VLOOKUP(D86,'Base de Datos'!$C$7:$AU$400,18,0)))</f>
        <v xml:space="preserve"> </v>
      </c>
      <c r="AX86" s="433" t="str">
        <f>IF(ISERROR(VLOOKUP(D86,'Base de Datos'!$C$7:$AU$400,19,0))=TRUE," ",(VLOOKUP(D86,'Base de Datos'!$C$7:$AU$400,19,0)))</f>
        <v xml:space="preserve"> </v>
      </c>
      <c r="AY86" s="436" t="str">
        <f>IF(ISERROR(VLOOKUP(D86,'Base de Datos'!$C$7:$AU$400,21,0))=TRUE," ",(VLOOKUP(D86,'Base de Datos'!$C$7:$AU$400,21,0)))</f>
        <v xml:space="preserve"> </v>
      </c>
      <c r="AZ86" s="436" t="str">
        <f>IF(ISERROR(VLOOKUP(D86,'Base de Datos'!$C$7:$AU$400,22,0))=TRUE," ",(VLOOKUP(D86,'Base de Datos'!$C$7:$AU$400,22,0)))</f>
        <v xml:space="preserve"> </v>
      </c>
      <c r="BA86" s="443"/>
      <c r="BB86" s="453"/>
    </row>
    <row r="87" spans="2:54" ht="55.5" hidden="1" customHeight="1" x14ac:dyDescent="0.3">
      <c r="B87" s="406">
        <v>80</v>
      </c>
      <c r="C87" s="414" t="s">
        <v>1641</v>
      </c>
      <c r="D87" s="406">
        <v>157</v>
      </c>
      <c r="E87" s="414" t="s">
        <v>1667</v>
      </c>
      <c r="F87" s="415">
        <f>VLOOKUP(D87,'Presupuesto - PAA 2015'!$B$10:$E$265,4,0)</f>
        <v>29000000</v>
      </c>
      <c r="G87" s="407" t="str">
        <f>VLOOKUP(D87,'[4]Seguimiento Plan'!$C$2:$R$101,16,0)</f>
        <v>Suministro de elementos de promoción institucional y actos protocolarios del Concejo de Bogotá.-</v>
      </c>
      <c r="H87" s="407" t="s">
        <v>1775</v>
      </c>
      <c r="I87" s="407" t="s">
        <v>1712</v>
      </c>
      <c r="J87" s="416" t="s">
        <v>909</v>
      </c>
      <c r="K87" s="417" t="s">
        <v>390</v>
      </c>
      <c r="L87" s="417" t="str">
        <f>VLOOKUP(D87,'[4]Seguimiento Plan'!$C$2:$AJ$101,30,0)</f>
        <v>SI</v>
      </c>
      <c r="M87" s="418">
        <f>VLOOKUP(D87,'[4]Seguimiento Plan'!$C$2:$AJ$101,31,0)</f>
        <v>0</v>
      </c>
      <c r="N87" s="417"/>
      <c r="O87" s="419"/>
      <c r="P87" s="419"/>
      <c r="Q87" s="419"/>
      <c r="R87" s="420"/>
      <c r="S87" s="438" t="s">
        <v>1942</v>
      </c>
      <c r="T87" s="125" t="s">
        <v>276</v>
      </c>
      <c r="U87" s="423" t="str">
        <f>IF(ISERROR(VLOOKUP(T87,'Base de Datos'!$E$7:$AU$302,3,0))=TRUE," ",(VLOOKUP(T87,'Base de Datos'!$E$7:$AU$302,2,0)))</f>
        <v>GRANADOS Y CONDECORACIONES</v>
      </c>
      <c r="V87" s="426">
        <f>IF(ISERROR(VLOOKUP(T87,'Base de Datos'!$E$7:$AU$302,5,0))=TRUE," ",(VLOOKUP(T87,'Base de Datos'!$E$7:$AU$302,5,0)))</f>
        <v>32631000</v>
      </c>
      <c r="W87" s="423">
        <f>IF(ISERROR(VLOOKUP(T87,'Base de Datos'!$E$7:$AU$302,19,0))=TRUE," ",(VLOOKUP(T87,'Base de Datos'!$E$7:$AU$302,19,0)))</f>
        <v>42117</v>
      </c>
      <c r="X87" s="428" t="str">
        <f>IF(ISERROR(VLOOKUP(T87,'Base de Datos'!$E$7:$AU$302,8,0))=TRUE," ",(VLOOKUP(T87,'Base de Datos'!$E$7:$AU$302,8,0)))</f>
        <v xml:space="preserve"> </v>
      </c>
      <c r="Y87" s="428">
        <f>IF(ISERROR(VLOOKUP(T87,'Base de Datos'!$E$7:$AU$302,9,0))=TRUE," ",(VLOOKUP(T87,'Base de Datos'!$E$7:$AU$302,9,0)))</f>
        <v>41753</v>
      </c>
      <c r="Z87" s="422">
        <f>IF(ISERROR(VLOOKUP(T87,'Base de Datos'!$E$7:$AU$302,10,0))=TRUE," ",(VLOOKUP(T87,'Base de Datos'!$E$7:$AU$302,10,0)))</f>
        <v>42117</v>
      </c>
      <c r="AA87" s="425" t="str">
        <f>IF(ISERROR(VLOOKUP(T87,'Base de Datos'!$E$7:$AU$302,11,0))=TRUE," ",(VLOOKUP(T87,'Base de Datos'!$E$7:$AU$302,11,0)))</f>
        <v/>
      </c>
      <c r="AB87" s="422">
        <f>IF(ISERROR(VLOOKUP(T87,'Base de Datos'!$E$7:$AU$302,12,0))=TRUE," ",(VLOOKUP(T87,'Base de Datos'!$E$7:$AU$302,12,0)))</f>
        <v>0</v>
      </c>
      <c r="AC87" s="422">
        <f>IF(ISERROR(VLOOKUP(T87,'Base de Datos'!$E$7:$AU$302,12,0))=TRUE," ",(VLOOKUP(T87,'Base de Datos'!$E$7:$AU$302,12,0)))</f>
        <v>0</v>
      </c>
      <c r="AD87" s="428" t="str">
        <f>IF(ISERROR(VLOOKUP(T87,'Base de Datos'!$E$7:$AU$302,15,0))=TRUE," ",(VLOOKUP(T87,'Base de Datos'!$E$7:$AU$302,15,0)))</f>
        <v/>
      </c>
      <c r="AE87" s="433" t="str">
        <f>IF(ISERROR(VLOOKUP(T87,'Base de Datos'!$E$7:$AU$302,16,0))=TRUE," ",(VLOOKUP(T87,'Base de Datos'!$E$7:$AU$302,16,0)))</f>
        <v/>
      </c>
      <c r="AF87" s="433" t="str">
        <f>IF(ISERROR(VLOOKUP(T87,'Base de Datos'!$E$7:$AU$302,17,0))=TRUE," ",(VLOOKUP(T87,'Base de Datos'!$E$7:$AU$302,17,0)))</f>
        <v/>
      </c>
      <c r="AG87" s="433" t="str">
        <f>IF(ISERROR(VLOOKUP(T87,'Base de Datos'!$E$7:$AU$302,18,0))=TRUE," ",(VLOOKUP(T87,'Base de Datos'!$E$7:$AU$302,18,0)))</f>
        <v/>
      </c>
      <c r="AH87" s="434">
        <f>IF(ISERROR(VLOOKUP(T87,'Base de Datos'!$E$7:$AU$302,20,0))=TRUE," ",(VLOOKUP(T87,'Base de Datos'!$E$7:$AU$302,20,0)))</f>
        <v>32631000</v>
      </c>
      <c r="AI87" s="434">
        <f>IF(ISERROR(VLOOKUP(T87,'Base de Datos'!$E$7:$AU$302,21,0))=TRUE," ",(VLOOKUP(T87,'Base de Datos'!$E$7:$AU$302,21,0)))</f>
        <v>32594631</v>
      </c>
      <c r="AJ87" s="437">
        <v>42167</v>
      </c>
      <c r="AK87" s="423" t="str">
        <f>IF(ISERROR(VLOOKUP(D87,'Base de Datos'!$C$7:$AU$400,2,0))=TRUE," ",(VLOOKUP(D87,'Base de Datos'!$C$7:$AU$400,2,0)))</f>
        <v>2015157</v>
      </c>
      <c r="AL87" s="423" t="str">
        <f>IF(ISERROR(VLOOKUP(D87,'Base de Datos'!$C$7:$AU$400,3,0))=TRUE," ",(VLOOKUP(D87,'Base de Datos'!$C$7:$AU$400,3,0)))</f>
        <v>150255-0-2015</v>
      </c>
      <c r="AM87" s="426" t="str">
        <f>IF(ISERROR(VLOOKUP(D87,'Base de Datos'!$C$7:$AU$3761,6,0))=TRUE," ",(VLOOKUP(D87,'Base de Datos'!$C$7:$AU$400,6,0)))</f>
        <v>Suministro de elementos de promoción institucional y actos protocolarios del Concejo de Bogotá, D.C., de conformidad con lo establecido en la presente invitación pública</v>
      </c>
      <c r="AN87" s="426" t="str">
        <f>IF(ISERROR(VLOOKUP(D87,'Base de Datos'!$C$7:$AU$400,20,0))=TRUE," ",(VLOOKUP(D87,'Base de Datos'!$C$7:$AU$400,19,0)))</f>
        <v/>
      </c>
      <c r="AO87" s="429">
        <f>IF(ISERROR(VLOOKUP(D87,'Base de Datos'!$C$7:$AU$400,9,0))=TRUE," ",(VLOOKUP(D87,'Base de Datos'!$C$7:$AU$400,9,0)))</f>
        <v>2015</v>
      </c>
      <c r="AP87" s="429">
        <f>IF(ISERROR(VLOOKUP(D87,'Base de Datos'!$C$7:$AU$400,10,0))=TRUE," ",(VLOOKUP(D87,'Base de Datos'!$C$7:$AU$400,10,0)))</f>
        <v>42167</v>
      </c>
      <c r="AQ87" s="431">
        <f>IF(ISERROR(VLOOKUP(D87,'Base de Datos'!$C$7:$AU$400,11,0))=TRUE," ",(VLOOKUP(D87,'Base de Datos'!$C$7:$AU$400,11,0)))</f>
        <v>42179</v>
      </c>
      <c r="AR87" s="432">
        <f>IF(ISERROR(VLOOKUP(D87,'Base de Datos'!$C$7:$AU$400,12,0))=TRUE," ",(VLOOKUP(D87,'Base de Datos'!$C$7:$AU$400,12,0)))</f>
        <v>42484</v>
      </c>
      <c r="AS87" s="431" t="str">
        <f>IF(ISERROR(VLOOKUP(D87,'Base de Datos'!$C$7:$AU$400,13,0))=TRUE," ",(VLOOKUP(D87,'Base de Datos'!$C$7:$AU$400,13,0)))</f>
        <v/>
      </c>
      <c r="AT87" s="431">
        <f>IF(ISERROR(VLOOKUP(D87,'Base de Datos'!$C$7:$AU$400,14,0))=TRUE," ",(VLOOKUP(D87,'Base de Datos'!$C$7:$AU$400,14,0)))</f>
        <v>1</v>
      </c>
      <c r="AU87" s="429">
        <f>IF(ISERROR(VLOOKUP(D87,'Base de Datos'!$C$7:$AU$400,16,0))=TRUE," ",(VLOOKUP(D87,'Base de Datos'!$C$7:$AU$400,16,0)))</f>
        <v>2</v>
      </c>
      <c r="AV87" s="433" t="str">
        <f>IF(ISERROR(VLOOKUP(D87,'Base de Datos'!$C$7:$AU$400,17,0))=TRUE," ",(VLOOKUP(D87,'Base de Datos'!$C$7:$AU$400,17,0)))</f>
        <v>2 meses</v>
      </c>
      <c r="AW87" s="433">
        <f>IF(ISERROR(VLOOKUP(D87,'Base de Datos'!$C$7:$AU$400,18,0))=TRUE," ",(VLOOKUP(D87,'Base de Datos'!$C$7:$AU$400,18,0)))</f>
        <v>42545</v>
      </c>
      <c r="AX87" s="433" t="str">
        <f>IF(ISERROR(VLOOKUP(D87,'Base de Datos'!$C$7:$AU$400,19,0))=TRUE," ",(VLOOKUP(D87,'Base de Datos'!$C$7:$AU$400,19,0)))</f>
        <v/>
      </c>
      <c r="AY87" s="436">
        <f>IF(ISERROR(VLOOKUP(D87,'Base de Datos'!$C$7:$AU$400,21,0))=TRUE," ",(VLOOKUP(D87,'Base de Datos'!$C$7:$AU$400,21,0)))</f>
        <v>42545</v>
      </c>
      <c r="AZ87" s="436">
        <f>IF(ISERROR(VLOOKUP(D87,'Base de Datos'!$C$7:$AU$400,22,0))=TRUE," ",(VLOOKUP(D87,'Base de Datos'!$C$7:$AU$400,22,0)))</f>
        <v>43417333</v>
      </c>
      <c r="BA87" s="443"/>
      <c r="BB87" s="453"/>
    </row>
    <row r="88" spans="2:54" ht="55.5" hidden="1" customHeight="1" x14ac:dyDescent="0.3">
      <c r="B88" s="406">
        <v>81</v>
      </c>
      <c r="C88" s="414" t="s">
        <v>1641</v>
      </c>
      <c r="D88" s="406">
        <v>158</v>
      </c>
      <c r="E88" s="414" t="s">
        <v>1667</v>
      </c>
      <c r="F88" s="415">
        <f>VLOOKUP(D88,'Presupuesto - PAA 2015'!$B$10:$E$265,4,0)</f>
        <v>180000000</v>
      </c>
      <c r="G88" s="407" t="str">
        <f>VLOOKUP(D88,'[4]Seguimiento Plan'!$C$2:$R$101,16,0)</f>
        <v>Aunar esfuerzos y recursos humanos, financieros y técnicos para realizar las actividades asociadas a la intervención de los bienes muebles de carácter patrimonial del Concejo de Bogotá D.C.</v>
      </c>
      <c r="H88" s="407" t="s">
        <v>1775</v>
      </c>
      <c r="I88" s="407" t="s">
        <v>1717</v>
      </c>
      <c r="J88" s="416" t="s">
        <v>908</v>
      </c>
      <c r="K88" s="417"/>
      <c r="L88" s="417"/>
      <c r="M88" s="418"/>
      <c r="N88" s="417"/>
      <c r="O88" s="419"/>
      <c r="P88" s="419"/>
      <c r="Q88" s="419"/>
      <c r="R88" s="420"/>
      <c r="S88" s="420"/>
      <c r="T88" s="421"/>
      <c r="U88" s="423" t="str">
        <f>IF(ISERROR(VLOOKUP(T88,'Base de Datos'!$E$7:$AU$302,3,0))=TRUE," ",(VLOOKUP(T88,'Base de Datos'!$E$7:$AU$302,2,0)))</f>
        <v xml:space="preserve"> </v>
      </c>
      <c r="V88" s="426" t="str">
        <f>IF(ISERROR(VLOOKUP(T88,'Base de Datos'!$E$7:$AU$302,5,0))=TRUE," ",(VLOOKUP(T88,'Base de Datos'!$E$7:$AU$302,5,0)))</f>
        <v xml:space="preserve"> </v>
      </c>
      <c r="W88" s="423" t="str">
        <f>IF(ISERROR(VLOOKUP(T88,'Base de Datos'!$E$7:$AU$302,19,0))=TRUE," ",(VLOOKUP(T88,'Base de Datos'!$E$7:$AU$302,19,0)))</f>
        <v xml:space="preserve"> </v>
      </c>
      <c r="X88" s="428" t="str">
        <f>IF(ISERROR(VLOOKUP(T88,'Base de Datos'!$E$7:$AU$302,8,0))=TRUE," ",(VLOOKUP(T88,'Base de Datos'!$E$7:$AU$302,8,0)))</f>
        <v xml:space="preserve"> </v>
      </c>
      <c r="Y88" s="428" t="str">
        <f>IF(ISERROR(VLOOKUP(T88,'Base de Datos'!$E$7:$AU$302,9,0))=TRUE," ",(VLOOKUP(T88,'Base de Datos'!$E$7:$AU$302,9,0)))</f>
        <v xml:space="preserve"> </v>
      </c>
      <c r="Z88" s="422" t="str">
        <f>IF(ISERROR(VLOOKUP(T88,'Base de Datos'!$E$7:$AU$302,10,0))=TRUE," ",(VLOOKUP(T88,'Base de Datos'!$E$7:$AU$302,10,0)))</f>
        <v xml:space="preserve"> </v>
      </c>
      <c r="AA88" s="425" t="str">
        <f>IF(ISERROR(VLOOKUP(T88,'Base de Datos'!$E$7:$AU$302,11,0))=TRUE," ",(VLOOKUP(T88,'Base de Datos'!$E$7:$AU$302,11,0)))</f>
        <v xml:space="preserve"> </v>
      </c>
      <c r="AB88" s="422" t="str">
        <f>IF(ISERROR(VLOOKUP(T88,'Base de Datos'!$E$7:$AU$302,12,0))=TRUE," ",(VLOOKUP(T88,'Base de Datos'!$E$7:$AU$302,12,0)))</f>
        <v xml:space="preserve"> </v>
      </c>
      <c r="AC88" s="422" t="str">
        <f>IF(ISERROR(VLOOKUP(T88,'Base de Datos'!$E$7:$AU$302,12,0))=TRUE," ",(VLOOKUP(T88,'Base de Datos'!$E$7:$AU$302,12,0)))</f>
        <v xml:space="preserve"> </v>
      </c>
      <c r="AD88" s="428" t="str">
        <f>IF(ISERROR(VLOOKUP(T88,'Base de Datos'!$E$7:$AU$302,15,0))=TRUE," ",(VLOOKUP(T88,'Base de Datos'!$E$7:$AU$302,15,0)))</f>
        <v xml:space="preserve"> </v>
      </c>
      <c r="AE88" s="433" t="str">
        <f>IF(ISERROR(VLOOKUP(T88,'Base de Datos'!$E$7:$AU$302,16,0))=TRUE," ",(VLOOKUP(T88,'Base de Datos'!$E$7:$AU$302,16,0)))</f>
        <v xml:space="preserve"> </v>
      </c>
      <c r="AF88" s="433" t="str">
        <f>IF(ISERROR(VLOOKUP(T88,'Base de Datos'!$E$7:$AU$302,17,0))=TRUE," ",(VLOOKUP(T88,'Base de Datos'!$E$7:$AU$302,17,0)))</f>
        <v xml:space="preserve"> </v>
      </c>
      <c r="AG88" s="433" t="str">
        <f>IF(ISERROR(VLOOKUP(T88,'Base de Datos'!$E$7:$AU$302,18,0))=TRUE," ",(VLOOKUP(T88,'Base de Datos'!$E$7:$AU$302,18,0)))</f>
        <v xml:space="preserve"> </v>
      </c>
      <c r="AH88" s="434" t="str">
        <f>IF(ISERROR(VLOOKUP(T88,'Base de Datos'!$E$7:$AU$302,20,0))=TRUE," ",(VLOOKUP(T88,'Base de Datos'!$E$7:$AU$302,20,0)))</f>
        <v xml:space="preserve"> </v>
      </c>
      <c r="AI88" s="434" t="str">
        <f>IF(ISERROR(VLOOKUP(T88,'Base de Datos'!$E$7:$AU$302,21,0))=TRUE," ",(VLOOKUP(T88,'Base de Datos'!$E$7:$AU$302,21,0)))</f>
        <v xml:space="preserve"> </v>
      </c>
      <c r="AJ88" s="423"/>
      <c r="AK88" s="423" t="str">
        <f>IF(ISERROR(VLOOKUP(D88,'Base de Datos'!$C$7:$AU$400,2,0))=TRUE," ",(VLOOKUP(D88,'Base de Datos'!$C$7:$AU$400,2,0)))</f>
        <v>2015158</v>
      </c>
      <c r="AL88" s="423" t="str">
        <f>IF(ISERROR(VLOOKUP(D88,'Base de Datos'!$C$7:$AU$400,3,0))=TRUE," ",(VLOOKUP(D88,'Base de Datos'!$C$7:$AU$400,3,0)))</f>
        <v>150271-0-2015</v>
      </c>
      <c r="AM88" s="426" t="str">
        <f>IF(ISERROR(VLOOKUP(D88,'Base de Datos'!$C$7:$AU$3761,6,0))=TRUE," ",(VLOOKUP(D88,'Base de Datos'!$C$7:$AU$400,6,0)))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26" t="str">
        <f>IF(ISERROR(VLOOKUP(D88,'Base de Datos'!$C$7:$AU$400,20,0))=TRUE," ",(VLOOKUP(D88,'Base de Datos'!$C$7:$AU$400,19,0)))</f>
        <v/>
      </c>
      <c r="AO88" s="429">
        <f>IF(ISERROR(VLOOKUP(D88,'Base de Datos'!$C$7:$AU$400,9,0))=TRUE," ",(VLOOKUP(D88,'Base de Datos'!$C$7:$AU$400,9,0)))</f>
        <v>2015</v>
      </c>
      <c r="AP88" s="429">
        <f>IF(ISERROR(VLOOKUP(D88,'Base de Datos'!$C$7:$AU$400,10,0))=TRUE," ",(VLOOKUP(D88,'Base de Datos'!$C$7:$AU$400,10,0)))</f>
        <v>42179</v>
      </c>
      <c r="AQ88" s="431">
        <f>IF(ISERROR(VLOOKUP(D88,'Base de Datos'!$C$7:$AU$400,11,0))=TRUE," ",(VLOOKUP(D88,'Base de Datos'!$C$7:$AU$400,11,0)))</f>
        <v>42219</v>
      </c>
      <c r="AR88" s="432">
        <f>IF(ISERROR(VLOOKUP(D88,'Base de Datos'!$C$7:$AU$400,12,0))=TRUE," ",(VLOOKUP(D88,'Base de Datos'!$C$7:$AU$400,12,0)))</f>
        <v>42492</v>
      </c>
      <c r="AS88" s="431" t="str">
        <f>IF(ISERROR(VLOOKUP(D88,'Base de Datos'!$C$7:$AU$400,13,0))=TRUE," ",(VLOOKUP(D88,'Base de Datos'!$C$7:$AU$400,13,0)))</f>
        <v/>
      </c>
      <c r="AT88" s="431">
        <f>IF(ISERROR(VLOOKUP(D88,'Base de Datos'!$C$7:$AU$400,14,0))=TRUE," ",(VLOOKUP(D88,'Base de Datos'!$C$7:$AU$400,14,0)))</f>
        <v>0</v>
      </c>
      <c r="AU88" s="429">
        <f>IF(ISERROR(VLOOKUP(D88,'Base de Datos'!$C$7:$AU$400,16,0))=TRUE," ",(VLOOKUP(D88,'Base de Datos'!$C$7:$AU$400,16,0)))</f>
        <v>2</v>
      </c>
      <c r="AV88" s="433" t="str">
        <f>IF(ISERROR(VLOOKUP(D88,'Base de Datos'!$C$7:$AU$400,17,0))=TRUE," ",(VLOOKUP(D88,'Base de Datos'!$C$7:$AU$400,17,0)))</f>
        <v>9 meses</v>
      </c>
      <c r="AW88" s="433">
        <f>IF(ISERROR(VLOOKUP(D88,'Base de Datos'!$C$7:$AU$400,18,0))=TRUE," ",(VLOOKUP(D88,'Base de Datos'!$C$7:$AU$400,18,0)))</f>
        <v>42949</v>
      </c>
      <c r="AX88" s="433" t="str">
        <f>IF(ISERROR(VLOOKUP(D88,'Base de Datos'!$C$7:$AU$400,19,0))=TRUE," ",(VLOOKUP(D88,'Base de Datos'!$C$7:$AU$400,19,0)))</f>
        <v/>
      </c>
      <c r="AY88" s="436">
        <f>IF(ISERROR(VLOOKUP(D88,'Base de Datos'!$C$7:$AU$400,21,0))=TRUE," ",(VLOOKUP(D88,'Base de Datos'!$C$7:$AU$400,21,0)))</f>
        <v>42949</v>
      </c>
      <c r="AZ88" s="436">
        <f>IF(ISERROR(VLOOKUP(D88,'Base de Datos'!$C$7:$AU$400,22,0))=TRUE," ",(VLOOKUP(D88,'Base de Datos'!$C$7:$AU$400,22,0)))</f>
        <v>180000000</v>
      </c>
      <c r="BA88" s="443"/>
      <c r="BB88" s="453"/>
    </row>
    <row r="89" spans="2:54" ht="55.5" hidden="1" customHeight="1" x14ac:dyDescent="0.3">
      <c r="B89" s="406">
        <v>82</v>
      </c>
      <c r="C89" s="414" t="s">
        <v>1641</v>
      </c>
      <c r="D89" s="406">
        <v>182</v>
      </c>
      <c r="E89" s="414" t="s">
        <v>1667</v>
      </c>
      <c r="F89" s="415">
        <f>VLOOKUP(D89,'Presupuesto - PAA 2015'!$B$10:$E$265,4,0)</f>
        <v>102000000</v>
      </c>
      <c r="G89" s="407" t="str">
        <f>VLOOKUP(D89,'[4]Seguimiento Plan'!$C$2:$R$101,16,0)</f>
        <v>Presar el servicio de alquiler de escenarios como salones, auditorios y espacios abiertos, apoyo logístico y servicio de catering para el desarrollo de eventos que requieran la Secretaría Distrital de Hacienda y el Concejo de Bogotá.</v>
      </c>
      <c r="H89" s="407" t="s">
        <v>1775</v>
      </c>
      <c r="I89" s="407" t="s">
        <v>1709</v>
      </c>
      <c r="J89" s="416" t="s">
        <v>913</v>
      </c>
      <c r="K89" s="417" t="s">
        <v>390</v>
      </c>
      <c r="L89" s="417" t="str">
        <f>VLOOKUP(D89,'[4]Seguimiento Plan'!$C$2:$AJ$101,30,0)</f>
        <v>SI</v>
      </c>
      <c r="M89" s="418">
        <f>VLOOKUP(D89,'[4]Seguimiento Plan'!$C$2:$AJ$101,31,0)</f>
        <v>42025</v>
      </c>
      <c r="N89" s="417"/>
      <c r="O89" s="419"/>
      <c r="P89" s="419"/>
      <c r="Q89" s="419"/>
      <c r="R89" s="420"/>
      <c r="S89" s="438" t="s">
        <v>1750</v>
      </c>
      <c r="T89" s="317" t="s">
        <v>297</v>
      </c>
      <c r="U89" s="423" t="str">
        <f>IF(ISERROR(VLOOKUP(T89,'Base de Datos'!$E$7:$AU$302,3,0))=TRUE," ",(VLOOKUP(T89,'Base de Datos'!$E$7:$AU$302,2,0)))</f>
        <v>COMPENSAR SALONES</v>
      </c>
      <c r="V89" s="426">
        <f>IF(ISERROR(VLOOKUP(T89,'Base de Datos'!$E$7:$AU$302,5,0))=TRUE," ",(VLOOKUP(T89,'Base de Datos'!$E$7:$AU$302,5,0)))</f>
        <v>65200000</v>
      </c>
      <c r="W89" s="423">
        <f>IF(ISERROR(VLOOKUP(T89,'Base de Datos'!$E$7:$AU$302,19,0))=TRUE," ",(VLOOKUP(T89,'Base de Datos'!$E$7:$AU$302,19,0)))</f>
        <v>42139</v>
      </c>
      <c r="X89" s="428" t="str">
        <f>IF(ISERROR(VLOOKUP(T89,'Base de Datos'!$E$7:$AU$302,8,0))=TRUE," ",(VLOOKUP(T89,'Base de Datos'!$E$7:$AU$302,8,0)))</f>
        <v xml:space="preserve"> </v>
      </c>
      <c r="Y89" s="428">
        <f>IF(ISERROR(VLOOKUP(T89,'Base de Datos'!$E$7:$AU$302,9,0))=TRUE," ",(VLOOKUP(T89,'Base de Datos'!$E$7:$AU$302,9,0)))</f>
        <v>41835</v>
      </c>
      <c r="Z89" s="422">
        <f>IF(ISERROR(VLOOKUP(T89,'Base de Datos'!$E$7:$AU$302,10,0))=TRUE," ",(VLOOKUP(T89,'Base de Datos'!$E$7:$AU$302,10,0)))</f>
        <v>42078</v>
      </c>
      <c r="AA89" s="425" t="str">
        <f>IF(ISERROR(VLOOKUP(T89,'Base de Datos'!$E$7:$AU$302,11,0))=TRUE," ",(VLOOKUP(T89,'Base de Datos'!$E$7:$AU$302,11,0)))</f>
        <v/>
      </c>
      <c r="AB89" s="422">
        <f>IF(ISERROR(VLOOKUP(T89,'Base de Datos'!$E$7:$AU$302,12,0))=TRUE," ",(VLOOKUP(T89,'Base de Datos'!$E$7:$AU$302,12,0)))</f>
        <v>1</v>
      </c>
      <c r="AC89" s="422">
        <f>IF(ISERROR(VLOOKUP(T89,'Base de Datos'!$E$7:$AU$302,12,0))=TRUE," ",(VLOOKUP(T89,'Base de Datos'!$E$7:$AU$302,12,0)))</f>
        <v>1</v>
      </c>
      <c r="AD89" s="428" t="str">
        <f>IF(ISERROR(VLOOKUP(T89,'Base de Datos'!$E$7:$AU$302,15,0))=TRUE," ",(VLOOKUP(T89,'Base de Datos'!$E$7:$AU$302,15,0)))</f>
        <v>2 meses</v>
      </c>
      <c r="AE89" s="433">
        <f>IF(ISERROR(VLOOKUP(T89,'Base de Datos'!$E$7:$AU$302,16,0))=TRUE," ",(VLOOKUP(T89,'Base de Datos'!$E$7:$AU$302,16,0)))</f>
        <v>42139</v>
      </c>
      <c r="AF89" s="433" t="str">
        <f>IF(ISERROR(VLOOKUP(T89,'Base de Datos'!$E$7:$AU$302,17,0))=TRUE," ",(VLOOKUP(T89,'Base de Datos'!$E$7:$AU$302,17,0)))</f>
        <v/>
      </c>
      <c r="AG89" s="433" t="str">
        <f>IF(ISERROR(VLOOKUP(T89,'Base de Datos'!$E$7:$AU$302,18,0))=TRUE," ",(VLOOKUP(T89,'Base de Datos'!$E$7:$AU$302,18,0)))</f>
        <v/>
      </c>
      <c r="AH89" s="434">
        <f>IF(ISERROR(VLOOKUP(T89,'Base de Datos'!$E$7:$AU$302,20,0))=TRUE," ",(VLOOKUP(T89,'Base de Datos'!$E$7:$AU$302,20,0)))</f>
        <v>97800000</v>
      </c>
      <c r="AI89" s="434">
        <f>IF(ISERROR(VLOOKUP(T89,'Base de Datos'!$E$7:$AU$302,21,0))=TRUE," ",(VLOOKUP(T89,'Base de Datos'!$E$7:$AU$302,21,0)))</f>
        <v>97794518</v>
      </c>
      <c r="AJ89" s="437">
        <v>42171</v>
      </c>
      <c r="AK89" s="423" t="str">
        <f>IF(ISERROR(VLOOKUP(D89,'Base de Datos'!$C$7:$AU$400,2,0))=TRUE," ",(VLOOKUP(D89,'Base de Datos'!$C$7:$AU$400,2,0)))</f>
        <v>2015182</v>
      </c>
      <c r="AL89" s="423" t="str">
        <f>IF(ISERROR(VLOOKUP(D89,'Base de Datos'!$C$7:$AU$400,3,0))=TRUE," ",(VLOOKUP(D89,'Base de Datos'!$C$7:$AU$400,3,0)))</f>
        <v>150260-0-2015</v>
      </c>
      <c r="AM89" s="426" t="str">
        <f>IF(ISERROR(VLOOKUP(D89,'Base de Datos'!$C$7:$AU$3761,6,0))=TRUE," ",(VLOOKUP(D89,'Base de Datos'!$C$7:$AU$400,6,0)))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26" t="str">
        <f>IF(ISERROR(VLOOKUP(D89,'Base de Datos'!$C$7:$AU$400,20,0))=TRUE," ",(VLOOKUP(D89,'Base de Datos'!$C$7:$AU$400,19,0)))</f>
        <v/>
      </c>
      <c r="AO89" s="429">
        <f>IF(ISERROR(VLOOKUP(D89,'Base de Datos'!$C$7:$AU$400,9,0))=TRUE," ",(VLOOKUP(D89,'Base de Datos'!$C$7:$AU$400,9,0)))</f>
        <v>2015</v>
      </c>
      <c r="AP89" s="429">
        <f>IF(ISERROR(VLOOKUP(D89,'Base de Datos'!$C$7:$AU$400,10,0))=TRUE," ",(VLOOKUP(D89,'Base de Datos'!$C$7:$AU$400,10,0)))</f>
        <v>42171</v>
      </c>
      <c r="AQ89" s="431">
        <f>IF(ISERROR(VLOOKUP(D89,'Base de Datos'!$C$7:$AU$400,11,0))=TRUE," ",(VLOOKUP(D89,'Base de Datos'!$C$7:$AU$400,11,0)))</f>
        <v>42186</v>
      </c>
      <c r="AR89" s="432">
        <f>IF(ISERROR(VLOOKUP(D89,'Base de Datos'!$C$7:$AU$400,12,0))=TRUE," ",(VLOOKUP(D89,'Base de Datos'!$C$7:$AU$400,12,0)))</f>
        <v>42519</v>
      </c>
      <c r="AS89" s="431" t="str">
        <f>IF(ISERROR(VLOOKUP(D89,'Base de Datos'!$C$7:$AU$400,13,0))=TRUE," ",(VLOOKUP(D89,'Base de Datos'!$C$7:$AU$400,13,0)))</f>
        <v/>
      </c>
      <c r="AT89" s="431">
        <f>IF(ISERROR(VLOOKUP(D89,'Base de Datos'!$C$7:$AU$400,14,0))=TRUE," ",(VLOOKUP(D89,'Base de Datos'!$C$7:$AU$400,14,0)))</f>
        <v>1</v>
      </c>
      <c r="AU89" s="429">
        <f>IF(ISERROR(VLOOKUP(D89,'Base de Datos'!$C$7:$AU$400,16,0))=TRUE," ",(VLOOKUP(D89,'Base de Datos'!$C$7:$AU$400,16,0)))</f>
        <v>1</v>
      </c>
      <c r="AV89" s="433" t="str">
        <f>IF(ISERROR(VLOOKUP(D89,'Base de Datos'!$C$7:$AU$400,17,0))=TRUE," ",(VLOOKUP(D89,'Base de Datos'!$C$7:$AU$400,17,0)))</f>
        <v>1 mes</v>
      </c>
      <c r="AW89" s="433">
        <f>IF(ISERROR(VLOOKUP(D89,'Base de Datos'!$C$7:$AU$400,18,0))=TRUE," ",(VLOOKUP(D89,'Base de Datos'!$C$7:$AU$400,18,0)))</f>
        <v>42522</v>
      </c>
      <c r="AX89" s="433" t="str">
        <f>IF(ISERROR(VLOOKUP(D89,'Base de Datos'!$C$7:$AU$400,19,0))=TRUE," ",(VLOOKUP(D89,'Base de Datos'!$C$7:$AU$400,19,0)))</f>
        <v/>
      </c>
      <c r="AY89" s="436">
        <f>IF(ISERROR(VLOOKUP(D89,'Base de Datos'!$C$7:$AU$400,21,0))=TRUE," ",(VLOOKUP(D89,'Base de Datos'!$C$7:$AU$400,21,0)))</f>
        <v>42522</v>
      </c>
      <c r="AZ89" s="436">
        <f>IF(ISERROR(VLOOKUP(D89,'Base de Datos'!$C$7:$AU$400,22,0))=TRUE," ",(VLOOKUP(D89,'Base de Datos'!$C$7:$AU$400,22,0)))</f>
        <v>124930204</v>
      </c>
      <c r="BA89" s="443"/>
      <c r="BB89" s="453"/>
    </row>
    <row r="90" spans="2:54" ht="55.5" hidden="1" customHeight="1" x14ac:dyDescent="0.3">
      <c r="B90" s="406">
        <v>83</v>
      </c>
      <c r="C90" s="414" t="s">
        <v>1641</v>
      </c>
      <c r="D90" s="406">
        <v>275</v>
      </c>
      <c r="E90" s="414" t="s">
        <v>1667</v>
      </c>
      <c r="F90" s="415">
        <f>VLOOKUP(D90,'Presupuesto - PAA 2015'!$B$10:$E$265,4,0)</f>
        <v>32600000</v>
      </c>
      <c r="G90" s="407" t="str">
        <f>VLOOKUP(D90,'[4]Seguimiento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07" t="s">
        <v>1775</v>
      </c>
      <c r="I90" s="407" t="s">
        <v>1709</v>
      </c>
      <c r="J90" s="416" t="s">
        <v>590</v>
      </c>
      <c r="K90" s="417" t="s">
        <v>390</v>
      </c>
      <c r="L90" s="417" t="str">
        <f>VLOOKUP(D90,'[4]Seguimiento Plan'!$C$2:$AJ$101,30,0)</f>
        <v>SI</v>
      </c>
      <c r="M90" s="418"/>
      <c r="N90" s="417"/>
      <c r="O90" s="419"/>
      <c r="P90" s="419"/>
      <c r="Q90" s="419"/>
      <c r="R90" s="420"/>
      <c r="S90" s="420"/>
      <c r="T90" s="317" t="s">
        <v>297</v>
      </c>
      <c r="U90" s="423" t="str">
        <f>IF(ISERROR(VLOOKUP(T90,'Base de Datos'!$E$7:$AU$302,3,0))=TRUE," ",(VLOOKUP(T90,'Base de Datos'!$E$7:$AU$302,2,0)))</f>
        <v>COMPENSAR SALONES</v>
      </c>
      <c r="V90" s="426">
        <f>IF(ISERROR(VLOOKUP(T90,'Base de Datos'!$E$7:$AU$302,5,0))=TRUE," ",(VLOOKUP(T90,'Base de Datos'!$E$7:$AU$302,5,0)))</f>
        <v>65200000</v>
      </c>
      <c r="W90" s="423">
        <f>IF(ISERROR(VLOOKUP(T90,'Base de Datos'!$E$7:$AU$302,19,0))=TRUE," ",(VLOOKUP(T90,'Base de Datos'!$E$7:$AU$302,19,0)))</f>
        <v>42139</v>
      </c>
      <c r="X90" s="428" t="str">
        <f>IF(ISERROR(VLOOKUP(T90,'Base de Datos'!$E$7:$AU$302,8,0))=TRUE," ",(VLOOKUP(T90,'Base de Datos'!$E$7:$AU$302,8,0)))</f>
        <v xml:space="preserve"> </v>
      </c>
      <c r="Y90" s="428">
        <f>IF(ISERROR(VLOOKUP(T90,'Base de Datos'!$E$7:$AU$302,9,0))=TRUE," ",(VLOOKUP(T90,'Base de Datos'!$E$7:$AU$302,9,0)))</f>
        <v>41835</v>
      </c>
      <c r="Z90" s="422">
        <f>IF(ISERROR(VLOOKUP(T90,'Base de Datos'!$E$7:$AU$302,10,0))=TRUE," ",(VLOOKUP(T90,'Base de Datos'!$E$7:$AU$302,10,0)))</f>
        <v>42078</v>
      </c>
      <c r="AA90" s="425" t="str">
        <f>IF(ISERROR(VLOOKUP(T90,'Base de Datos'!$E$7:$AU$302,11,0))=TRUE," ",(VLOOKUP(T90,'Base de Datos'!$E$7:$AU$302,11,0)))</f>
        <v/>
      </c>
      <c r="AB90" s="422">
        <f>IF(ISERROR(VLOOKUP(T90,'Base de Datos'!$E$7:$AU$302,12,0))=TRUE," ",(VLOOKUP(T90,'Base de Datos'!$E$7:$AU$302,12,0)))</f>
        <v>1</v>
      </c>
      <c r="AC90" s="422">
        <f>IF(ISERROR(VLOOKUP(T90,'Base de Datos'!$E$7:$AU$302,12,0))=TRUE," ",(VLOOKUP(T90,'Base de Datos'!$E$7:$AU$302,12,0)))</f>
        <v>1</v>
      </c>
      <c r="AD90" s="428" t="str">
        <f>IF(ISERROR(VLOOKUP(T90,'Base de Datos'!$E$7:$AU$302,15,0))=TRUE," ",(VLOOKUP(T90,'Base de Datos'!$E$7:$AU$302,15,0)))</f>
        <v>2 meses</v>
      </c>
      <c r="AE90" s="433">
        <f>IF(ISERROR(VLOOKUP(T90,'Base de Datos'!$E$7:$AU$302,16,0))=TRUE," ",(VLOOKUP(T90,'Base de Datos'!$E$7:$AU$302,16,0)))</f>
        <v>42139</v>
      </c>
      <c r="AF90" s="433" t="str">
        <f>IF(ISERROR(VLOOKUP(T90,'Base de Datos'!$E$7:$AU$302,17,0))=TRUE," ",(VLOOKUP(T90,'Base de Datos'!$E$7:$AU$302,17,0)))</f>
        <v/>
      </c>
      <c r="AG90" s="433" t="str">
        <f>IF(ISERROR(VLOOKUP(T90,'Base de Datos'!$E$7:$AU$302,18,0))=TRUE," ",(VLOOKUP(T90,'Base de Datos'!$E$7:$AU$302,18,0)))</f>
        <v/>
      </c>
      <c r="AH90" s="434">
        <f>IF(ISERROR(VLOOKUP(T90,'Base de Datos'!$E$7:$AU$302,20,0))=TRUE," ",(VLOOKUP(T90,'Base de Datos'!$E$7:$AU$302,20,0)))</f>
        <v>97800000</v>
      </c>
      <c r="AI90" s="434">
        <f>IF(ISERROR(VLOOKUP(T90,'Base de Datos'!$E$7:$AU$302,21,0))=TRUE," ",(VLOOKUP(T90,'Base de Datos'!$E$7:$AU$302,21,0)))</f>
        <v>97794518</v>
      </c>
      <c r="AJ90" s="423"/>
      <c r="AK90" s="423" t="str">
        <f>IF(ISERROR(VLOOKUP(D90,'Base de Datos'!$C$7:$AU$400,2,0))=TRUE," ",(VLOOKUP(D90,'Base de Datos'!$C$7:$AU$400,2,0)))</f>
        <v xml:space="preserve"> </v>
      </c>
      <c r="AL90" s="423" t="str">
        <f>IF(ISERROR(VLOOKUP(D90,'Base de Datos'!$C$7:$AU$400,3,0))=TRUE," ",(VLOOKUP(D90,'Base de Datos'!$C$7:$AU$400,3,0)))</f>
        <v xml:space="preserve"> </v>
      </c>
      <c r="AM90" s="426" t="e">
        <f>IF(ISERROR(VLOOKUP(D90,'Base de Datos'!$C$7:$AU$3761,6,0))=TRUE," ",(VLOOKUP(D90,'Base de Datos'!$C$7:$AU$400,6,0)))</f>
        <v>#N/A</v>
      </c>
      <c r="AN90" s="426" t="str">
        <f>IF(ISERROR(VLOOKUP(D90,'Base de Datos'!$C$7:$AU$400,20,0))=TRUE," ",(VLOOKUP(D90,'Base de Datos'!$C$7:$AU$400,19,0)))</f>
        <v xml:space="preserve"> </v>
      </c>
      <c r="AO90" s="429" t="str">
        <f>IF(ISERROR(VLOOKUP(D90,'Base de Datos'!$C$7:$AU$400,9,0))=TRUE," ",(VLOOKUP(D90,'Base de Datos'!$C$7:$AU$400,9,0)))</f>
        <v xml:space="preserve"> </v>
      </c>
      <c r="AP90" s="429" t="str">
        <f>IF(ISERROR(VLOOKUP(D90,'Base de Datos'!$C$7:$AU$400,10,0))=TRUE," ",(VLOOKUP(D90,'Base de Datos'!$C$7:$AU$400,10,0)))</f>
        <v xml:space="preserve"> </v>
      </c>
      <c r="AQ90" s="431" t="str">
        <f>IF(ISERROR(VLOOKUP(D90,'Base de Datos'!$C$7:$AU$400,11,0))=TRUE," ",(VLOOKUP(D90,'Base de Datos'!$C$7:$AU$400,11,0)))</f>
        <v xml:space="preserve"> </v>
      </c>
      <c r="AR90" s="432" t="str">
        <f>IF(ISERROR(VLOOKUP(D90,'Base de Datos'!$C$7:$AU$400,12,0))=TRUE," ",(VLOOKUP(D90,'Base de Datos'!$C$7:$AU$400,12,0)))</f>
        <v xml:space="preserve"> </v>
      </c>
      <c r="AS90" s="431" t="str">
        <f>IF(ISERROR(VLOOKUP(D90,'Base de Datos'!$C$7:$AU$400,13,0))=TRUE," ",(VLOOKUP(D90,'Base de Datos'!$C$7:$AU$400,13,0)))</f>
        <v xml:space="preserve"> </v>
      </c>
      <c r="AT90" s="431" t="str">
        <f>IF(ISERROR(VLOOKUP(D90,'Base de Datos'!$C$7:$AU$400,14,0))=TRUE," ",(VLOOKUP(D90,'Base de Datos'!$C$7:$AU$400,14,0)))</f>
        <v xml:space="preserve"> </v>
      </c>
      <c r="AU90" s="429" t="str">
        <f>IF(ISERROR(VLOOKUP(D90,'Base de Datos'!$C$7:$AU$400,16,0))=TRUE," ",(VLOOKUP(D90,'Base de Datos'!$C$7:$AU$400,16,0)))</f>
        <v xml:space="preserve"> </v>
      </c>
      <c r="AV90" s="433" t="str">
        <f>IF(ISERROR(VLOOKUP(D90,'Base de Datos'!$C$7:$AU$400,17,0))=TRUE," ",(VLOOKUP(D90,'Base de Datos'!$C$7:$AU$400,17,0)))</f>
        <v xml:space="preserve"> </v>
      </c>
      <c r="AW90" s="433" t="str">
        <f>IF(ISERROR(VLOOKUP(D90,'Base de Datos'!$C$7:$AU$400,18,0))=TRUE," ",(VLOOKUP(D90,'Base de Datos'!$C$7:$AU$400,18,0)))</f>
        <v xml:space="preserve"> </v>
      </c>
      <c r="AX90" s="433" t="str">
        <f>IF(ISERROR(VLOOKUP(D90,'Base de Datos'!$C$7:$AU$400,19,0))=TRUE," ",(VLOOKUP(D90,'Base de Datos'!$C$7:$AU$400,19,0)))</f>
        <v xml:space="preserve"> </v>
      </c>
      <c r="AY90" s="436" t="str">
        <f>IF(ISERROR(VLOOKUP(D90,'Base de Datos'!$C$7:$AU$400,21,0))=TRUE," ",(VLOOKUP(D90,'Base de Datos'!$C$7:$AU$400,21,0)))</f>
        <v xml:space="preserve"> </v>
      </c>
      <c r="AZ90" s="436" t="str">
        <f>IF(ISERROR(VLOOKUP(D90,'Base de Datos'!$C$7:$AU$400,22,0))=TRUE," ",(VLOOKUP(D90,'Base de Datos'!$C$7:$AU$400,22,0)))</f>
        <v xml:space="preserve"> </v>
      </c>
      <c r="BA90" s="443"/>
      <c r="BB90" s="453"/>
    </row>
    <row r="91" spans="2:54" ht="55.5" customHeight="1" x14ac:dyDescent="0.3">
      <c r="B91" s="406">
        <v>84</v>
      </c>
      <c r="C91" s="414" t="s">
        <v>1641</v>
      </c>
      <c r="D91" s="406">
        <v>186</v>
      </c>
      <c r="E91" s="414" t="s">
        <v>1668</v>
      </c>
      <c r="F91" s="415">
        <f>VLOOKUP(D91,'Presupuesto - PAA 2015'!$B$10:$E$265,4,0)</f>
        <v>6000000</v>
      </c>
      <c r="G91" s="407" t="str">
        <f>VLOOKUP(D91,'[4]Seguimiento Plan'!$C$2:$R$101,16,0)</f>
        <v>Adquisición de elementos e insumos necesarios para atender los primeros auxilios y dotar los botiquines de la Secretaría de Hacienda</v>
      </c>
      <c r="H91" s="407" t="s">
        <v>1775</v>
      </c>
      <c r="I91" s="407" t="s">
        <v>1711</v>
      </c>
      <c r="J91" s="416" t="s">
        <v>909</v>
      </c>
      <c r="K91" s="417" t="s">
        <v>390</v>
      </c>
      <c r="L91" s="417" t="str">
        <f>VLOOKUP(D91,'[4]Seguimiento Plan'!$C$2:$AJ$101,30,0)</f>
        <v>SI</v>
      </c>
      <c r="M91" s="418">
        <f>VLOOKUP(D91,'[4]Seguimiento Plan'!$C$2:$AJ$101,31,0)</f>
        <v>42020</v>
      </c>
      <c r="N91" s="417"/>
      <c r="O91" s="419"/>
      <c r="P91" s="419"/>
      <c r="Q91" s="419"/>
      <c r="R91" s="420"/>
      <c r="S91" s="677" t="s">
        <v>2157</v>
      </c>
      <c r="T91" s="125" t="s">
        <v>296</v>
      </c>
      <c r="U91" s="423" t="str">
        <f>IF(ISERROR(VLOOKUP(T91,'Base de Datos'!$E$7:$AU$302,3,0))=TRUE," ",(VLOOKUP(T91,'Base de Datos'!$E$7:$AU$302,2,0)))</f>
        <v>TECNOLOGÍA BIOMÉDICA</v>
      </c>
      <c r="V91" s="426">
        <f>IF(ISERROR(VLOOKUP(T91,'Base de Datos'!$E$7:$AU$302,5,0))=TRUE," ",(VLOOKUP(T91,'Base de Datos'!$E$7:$AU$302,5,0)))</f>
        <v>5719790</v>
      </c>
      <c r="W91" s="423">
        <f>IF(ISERROR(VLOOKUP(T91,'Base de Datos'!$E$7:$AU$302,19,0))=TRUE," ",(VLOOKUP(T91,'Base de Datos'!$E$7:$AU$302,19,0)))</f>
        <v>41867</v>
      </c>
      <c r="X91" s="428" t="str">
        <f>IF(ISERROR(VLOOKUP(T91,'Base de Datos'!$E$7:$AU$302,8,0))=TRUE," ",(VLOOKUP(T91,'Base de Datos'!$E$7:$AU$302,8,0)))</f>
        <v xml:space="preserve"> </v>
      </c>
      <c r="Y91" s="428">
        <f>IF(ISERROR(VLOOKUP(T91,'Base de Datos'!$E$7:$AU$302,9,0))=TRUE," ",(VLOOKUP(T91,'Base de Datos'!$E$7:$AU$302,9,0)))</f>
        <v>41807</v>
      </c>
      <c r="Z91" s="422">
        <f>IF(ISERROR(VLOOKUP(T91,'Base de Datos'!$E$7:$AU$302,10,0))=TRUE," ",(VLOOKUP(T91,'Base de Datos'!$E$7:$AU$302,10,0)))</f>
        <v>41867</v>
      </c>
      <c r="AA91" s="425" t="str">
        <f>IF(ISERROR(VLOOKUP(T91,'Base de Datos'!$E$7:$AU$302,11,0))=TRUE," ",(VLOOKUP(T91,'Base de Datos'!$E$7:$AU$302,11,0)))</f>
        <v/>
      </c>
      <c r="AB91" s="422">
        <f>IF(ISERROR(VLOOKUP(T91,'Base de Datos'!$E$7:$AU$302,12,0))=TRUE," ",(VLOOKUP(T91,'Base de Datos'!$E$7:$AU$302,12,0)))</f>
        <v>0</v>
      </c>
      <c r="AC91" s="422">
        <f>IF(ISERROR(VLOOKUP(T91,'Base de Datos'!$E$7:$AU$302,12,0))=TRUE," ",(VLOOKUP(T91,'Base de Datos'!$E$7:$AU$302,12,0)))</f>
        <v>0</v>
      </c>
      <c r="AD91" s="428" t="str">
        <f>IF(ISERROR(VLOOKUP(T91,'Base de Datos'!$E$7:$AU$302,15,0))=TRUE," ",(VLOOKUP(T91,'Base de Datos'!$E$7:$AU$302,15,0)))</f>
        <v/>
      </c>
      <c r="AE91" s="433" t="str">
        <f>IF(ISERROR(VLOOKUP(T91,'Base de Datos'!$E$7:$AU$302,16,0))=TRUE," ",(VLOOKUP(T91,'Base de Datos'!$E$7:$AU$302,16,0)))</f>
        <v/>
      </c>
      <c r="AF91" s="433" t="str">
        <f>IF(ISERROR(VLOOKUP(T91,'Base de Datos'!$E$7:$AU$302,17,0))=TRUE," ",(VLOOKUP(T91,'Base de Datos'!$E$7:$AU$302,17,0)))</f>
        <v/>
      </c>
      <c r="AG91" s="433" t="str">
        <f>IF(ISERROR(VLOOKUP(T91,'Base de Datos'!$E$7:$AU$302,18,0))=TRUE," ",(VLOOKUP(T91,'Base de Datos'!$E$7:$AU$302,18,0)))</f>
        <v/>
      </c>
      <c r="AH91" s="434">
        <f>IF(ISERROR(VLOOKUP(T91,'Base de Datos'!$E$7:$AU$302,20,0))=TRUE," ",(VLOOKUP(T91,'Base de Datos'!$E$7:$AU$302,20,0)))</f>
        <v>5719790</v>
      </c>
      <c r="AI91" s="434">
        <f>IF(ISERROR(VLOOKUP(T91,'Base de Datos'!$E$7:$AU$302,21,0))=TRUE," ",(VLOOKUP(T91,'Base de Datos'!$E$7:$AU$302,21,0)))</f>
        <v>5719790</v>
      </c>
      <c r="AJ91" s="423"/>
      <c r="AK91" s="423" t="str">
        <f>IF(ISERROR(VLOOKUP(D91,'Base de Datos'!$C$7:$AU$400,2,0))=TRUE," ",(VLOOKUP(D91,'Base de Datos'!$C$7:$AU$400,2,0)))</f>
        <v>2015186</v>
      </c>
      <c r="AL91" s="423" t="str">
        <f>IF(ISERROR(VLOOKUP(D91,'Base de Datos'!$C$7:$AU$400,3,0))=TRUE," ",(VLOOKUP(D91,'Base de Datos'!$C$7:$AU$400,3,0)))</f>
        <v>150353-0-2015</v>
      </c>
      <c r="AM91" s="426" t="str">
        <f>IF(ISERROR(VLOOKUP(D91,'Base de Datos'!$C$7:$AU$3761,6,0))=TRUE," ",(VLOOKUP(D91,'Base de Datos'!$C$7:$AU$400,6,0)))</f>
        <v>Adquisición de elementos e insumos necesarios para atender los primeros auxilios y dotar los botiquines del Concejo de Bogotá D.C.</v>
      </c>
      <c r="AN91" s="426" t="str">
        <f>IF(ISERROR(VLOOKUP(D91,'Base de Datos'!$C$7:$AU$400,20,0))=TRUE," ",(VLOOKUP(D91,'Base de Datos'!$C$7:$AU$400,19,0)))</f>
        <v/>
      </c>
      <c r="AO91" s="429">
        <f>IF(ISERROR(VLOOKUP(D91,'Base de Datos'!$C$7:$AU$400,9,0))=TRUE," ",(VLOOKUP(D91,'Base de Datos'!$C$7:$AU$400,9,0)))</f>
        <v>2015</v>
      </c>
      <c r="AP91" s="429">
        <f>IF(ISERROR(VLOOKUP(D91,'Base de Datos'!$C$7:$AU$400,10,0))=TRUE," ",(VLOOKUP(D91,'Base de Datos'!$C$7:$AU$400,10,0)))</f>
        <v>42261</v>
      </c>
      <c r="AQ91" s="431">
        <f>IF(ISERROR(VLOOKUP(D91,'Base de Datos'!$C$7:$AU$400,11,0))=TRUE," ",(VLOOKUP(D91,'Base de Datos'!$C$7:$AU$400,11,0)))</f>
        <v>42291</v>
      </c>
      <c r="AR91" s="432">
        <f>IF(ISERROR(VLOOKUP(D91,'Base de Datos'!$C$7:$AU$400,12,0))=TRUE," ",(VLOOKUP(D91,'Base de Datos'!$C$7:$AU$400,12,0)))</f>
        <v>42352</v>
      </c>
      <c r="AS91" s="431" t="str">
        <f>IF(ISERROR(VLOOKUP(D91,'Base de Datos'!$C$7:$AU$400,13,0))=TRUE," ",(VLOOKUP(D91,'Base de Datos'!$C$7:$AU$400,13,0)))</f>
        <v/>
      </c>
      <c r="AT91" s="431">
        <f>IF(ISERROR(VLOOKUP(D91,'Base de Datos'!$C$7:$AU$400,14,0))=TRUE," ",(VLOOKUP(D91,'Base de Datos'!$C$7:$AU$400,14,0)))</f>
        <v>0</v>
      </c>
      <c r="AU91" s="429">
        <f>IF(ISERROR(VLOOKUP(D91,'Base de Datos'!$C$7:$AU$400,16,0))=TRUE," ",(VLOOKUP(D91,'Base de Datos'!$C$7:$AU$400,16,0)))</f>
        <v>0</v>
      </c>
      <c r="AV91" s="433" t="str">
        <f>IF(ISERROR(VLOOKUP(D91,'Base de Datos'!$C$7:$AU$400,17,0))=TRUE," ",(VLOOKUP(D91,'Base de Datos'!$C$7:$AU$400,17,0)))</f>
        <v/>
      </c>
      <c r="AW91" s="433" t="str">
        <f>IF(ISERROR(VLOOKUP(D91,'Base de Datos'!$C$7:$AU$400,18,0))=TRUE," ",(VLOOKUP(D91,'Base de Datos'!$C$7:$AU$400,18,0)))</f>
        <v/>
      </c>
      <c r="AX91" s="433" t="str">
        <f>IF(ISERROR(VLOOKUP(D91,'Base de Datos'!$C$7:$AU$400,19,0))=TRUE," ",(VLOOKUP(D91,'Base de Datos'!$C$7:$AU$400,19,0)))</f>
        <v/>
      </c>
      <c r="AY91" s="436">
        <f>IF(ISERROR(VLOOKUP(D91,'Base de Datos'!$C$7:$AU$400,21,0))=TRUE," ",(VLOOKUP(D91,'Base de Datos'!$C$7:$AU$400,21,0)))</f>
        <v>42352</v>
      </c>
      <c r="AZ91" s="436">
        <f>IF(ISERROR(VLOOKUP(D91,'Base de Datos'!$C$7:$AU$400,22,0))=TRUE," ",(VLOOKUP(D91,'Base de Datos'!$C$7:$AU$400,22,0)))</f>
        <v>6000000</v>
      </c>
      <c r="BA91" s="443"/>
      <c r="BB91" s="453"/>
    </row>
    <row r="92" spans="2:54" ht="55.5" hidden="1" customHeight="1" x14ac:dyDescent="0.3">
      <c r="B92" s="406">
        <v>85</v>
      </c>
      <c r="C92" s="414" t="s">
        <v>1641</v>
      </c>
      <c r="D92" s="406">
        <v>187</v>
      </c>
      <c r="E92" s="414" t="s">
        <v>1668</v>
      </c>
      <c r="F92" s="415">
        <f>VLOOKUP(D92,'Presupuesto - PAA 2015'!$B$10:$E$265,4,0)</f>
        <v>19141000</v>
      </c>
      <c r="G92" s="407" t="str">
        <f>VLOOKUP(D92,'[4]Seguimiento Plan'!$C$2:$R$101,16,0)</f>
        <v>Adquisición de elementos de protección personal para los servidores de la Secretaría de Hacienda</v>
      </c>
      <c r="H92" s="407" t="s">
        <v>1775</v>
      </c>
      <c r="I92" s="407" t="s">
        <v>1711</v>
      </c>
      <c r="J92" s="416" t="s">
        <v>909</v>
      </c>
      <c r="K92" s="417" t="s">
        <v>390</v>
      </c>
      <c r="L92" s="417" t="str">
        <f>VLOOKUP(D92,'[4]Seguimiento Plan'!$C$2:$AJ$101,30,0)</f>
        <v>SI</v>
      </c>
      <c r="M92" s="418">
        <f>VLOOKUP(D92,'[4]Seguimiento Plan'!$C$2:$AJ$101,31,0)</f>
        <v>42020</v>
      </c>
      <c r="N92" s="417"/>
      <c r="O92" s="419"/>
      <c r="P92" s="419"/>
      <c r="Q92" s="419"/>
      <c r="R92" s="420"/>
      <c r="S92" s="438" t="s">
        <v>2117</v>
      </c>
      <c r="T92" s="318" t="s">
        <v>553</v>
      </c>
      <c r="U92" s="423" t="str">
        <f>IF(ISERROR(VLOOKUP(T92,'Base de Datos'!$E$7:$AU$302,3,0))=TRUE," ",(VLOOKUP(T92,'Base de Datos'!$E$7:$AU$302,2,0)))</f>
        <v>SUPERIOR DE DOTACIONES SAS</v>
      </c>
      <c r="V92" s="426">
        <f>IF(ISERROR(VLOOKUP(T92,'Base de Datos'!$E$7:$AU$302,5,0))=TRUE," ",(VLOOKUP(T92,'Base de Datos'!$E$7:$AU$302,5,0)))</f>
        <v>19356282</v>
      </c>
      <c r="W92" s="423">
        <f>IF(ISERROR(VLOOKUP(T92,'Base de Datos'!$E$7:$AU$302,19,0))=TRUE," ",(VLOOKUP(T92,'Base de Datos'!$E$7:$AU$302,19,0)))</f>
        <v>42009</v>
      </c>
      <c r="X92" s="428" t="str">
        <f>IF(ISERROR(VLOOKUP(T92,'Base de Datos'!$E$7:$AU$302,8,0))=TRUE," ",(VLOOKUP(T92,'Base de Datos'!$E$7:$AU$302,8,0)))</f>
        <v xml:space="preserve"> </v>
      </c>
      <c r="Y92" s="428">
        <f>IF(ISERROR(VLOOKUP(T92,'Base de Datos'!$E$7:$AU$302,9,0))=TRUE," ",(VLOOKUP(T92,'Base de Datos'!$E$7:$AU$302,9,0)))</f>
        <v>41887</v>
      </c>
      <c r="Z92" s="422">
        <f>IF(ISERROR(VLOOKUP(T92,'Base de Datos'!$E$7:$AU$302,10,0))=TRUE," ",(VLOOKUP(T92,'Base de Datos'!$E$7:$AU$302,10,0)))</f>
        <v>42009</v>
      </c>
      <c r="AA92" s="425" t="str">
        <f>IF(ISERROR(VLOOKUP(T92,'Base de Datos'!$E$7:$AU$302,11,0))=TRUE," ",(VLOOKUP(T92,'Base de Datos'!$E$7:$AU$302,11,0)))</f>
        <v/>
      </c>
      <c r="AB92" s="422">
        <f>IF(ISERROR(VLOOKUP(T92,'Base de Datos'!$E$7:$AU$302,12,0))=TRUE," ",(VLOOKUP(T92,'Base de Datos'!$E$7:$AU$302,12,0)))</f>
        <v>0</v>
      </c>
      <c r="AC92" s="422">
        <f>IF(ISERROR(VLOOKUP(T92,'Base de Datos'!$E$7:$AU$302,12,0))=TRUE," ",(VLOOKUP(T92,'Base de Datos'!$E$7:$AU$302,12,0)))</f>
        <v>0</v>
      </c>
      <c r="AD92" s="428" t="str">
        <f>IF(ISERROR(VLOOKUP(T92,'Base de Datos'!$E$7:$AU$302,15,0))=TRUE," ",(VLOOKUP(T92,'Base de Datos'!$E$7:$AU$302,15,0)))</f>
        <v/>
      </c>
      <c r="AE92" s="433" t="str">
        <f>IF(ISERROR(VLOOKUP(T92,'Base de Datos'!$E$7:$AU$302,16,0))=TRUE," ",(VLOOKUP(T92,'Base de Datos'!$E$7:$AU$302,16,0)))</f>
        <v/>
      </c>
      <c r="AF92" s="433" t="str">
        <f>IF(ISERROR(VLOOKUP(T92,'Base de Datos'!$E$7:$AU$302,17,0))=TRUE," ",(VLOOKUP(T92,'Base de Datos'!$E$7:$AU$302,17,0)))</f>
        <v/>
      </c>
      <c r="AG92" s="433" t="str">
        <f>IF(ISERROR(VLOOKUP(T92,'Base de Datos'!$E$7:$AU$302,18,0))=TRUE," ",(VLOOKUP(T92,'Base de Datos'!$E$7:$AU$302,18,0)))</f>
        <v/>
      </c>
      <c r="AH92" s="434">
        <f>IF(ISERROR(VLOOKUP(T92,'Base de Datos'!$E$7:$AU$302,20,0))=TRUE," ",(VLOOKUP(T92,'Base de Datos'!$E$7:$AU$302,20,0)))</f>
        <v>19356282</v>
      </c>
      <c r="AI92" s="434">
        <f>IF(ISERROR(VLOOKUP(T92,'Base de Datos'!$E$7:$AU$302,21,0))=TRUE," ",(VLOOKUP(T92,'Base de Datos'!$E$7:$AU$302,21,0)))</f>
        <v>19356282</v>
      </c>
      <c r="AJ92" s="423"/>
      <c r="AK92" s="423" t="str">
        <f>IF(ISERROR(VLOOKUP(D92,'Base de Datos'!$C$7:$AU$400,2,0))=TRUE," ",(VLOOKUP(D92,'Base de Datos'!$C$7:$AU$400,2,0)))</f>
        <v>2015187</v>
      </c>
      <c r="AL92" s="423" t="str">
        <f>IF(ISERROR(VLOOKUP(D92,'Base de Datos'!$C$7:$AU$400,3,0))=TRUE," ",(VLOOKUP(D92,'Base de Datos'!$C$7:$AU$400,3,0)))</f>
        <v>150348-0-2015</v>
      </c>
      <c r="AM92" s="426" t="str">
        <f>IF(ISERROR(VLOOKUP(D92,'Base de Datos'!$C$7:$AU$3761,6,0))=TRUE," ",(VLOOKUP(D92,'Base de Datos'!$C$7:$AU$400,6,0)))</f>
        <v>Adquirir a título de compraventa elementos de protección personal para los servidores públicos del Concejo de Bogotá, D.C</v>
      </c>
      <c r="AN92" s="426" t="str">
        <f>IF(ISERROR(VLOOKUP(D92,'Base de Datos'!$C$7:$AU$400,20,0))=TRUE," ",(VLOOKUP(D92,'Base de Datos'!$C$7:$AU$400,19,0)))</f>
        <v/>
      </c>
      <c r="AO92" s="429">
        <f>IF(ISERROR(VLOOKUP(D92,'Base de Datos'!$C$7:$AU$400,9,0))=TRUE," ",(VLOOKUP(D92,'Base de Datos'!$C$7:$AU$400,9,0)))</f>
        <v>2015</v>
      </c>
      <c r="AP92" s="429">
        <f>IF(ISERROR(VLOOKUP(D92,'Base de Datos'!$C$7:$AU$400,10,0))=TRUE," ",(VLOOKUP(D92,'Base de Datos'!$C$7:$AU$400,10,0)))</f>
        <v>42248</v>
      </c>
      <c r="AQ92" s="431">
        <f>IF(ISERROR(VLOOKUP(D92,'Base de Datos'!$C$7:$AU$400,11,0))=TRUE," ",(VLOOKUP(D92,'Base de Datos'!$C$7:$AU$400,11,0)))</f>
        <v>42262</v>
      </c>
      <c r="AR92" s="432">
        <f>IF(ISERROR(VLOOKUP(D92,'Base de Datos'!$C$7:$AU$400,12,0))=TRUE," ",(VLOOKUP(D92,'Base de Datos'!$C$7:$AU$400,12,0)))</f>
        <v>42384</v>
      </c>
      <c r="AS92" s="431" t="str">
        <f>IF(ISERROR(VLOOKUP(D92,'Base de Datos'!$C$7:$AU$400,13,0))=TRUE," ",(VLOOKUP(D92,'Base de Datos'!$C$7:$AU$400,13,0)))</f>
        <v/>
      </c>
      <c r="AT92" s="431">
        <f>IF(ISERROR(VLOOKUP(D92,'Base de Datos'!$C$7:$AU$400,14,0))=TRUE," ",(VLOOKUP(D92,'Base de Datos'!$C$7:$AU$400,14,0)))</f>
        <v>0</v>
      </c>
      <c r="AU92" s="429">
        <f>IF(ISERROR(VLOOKUP(D92,'Base de Datos'!$C$7:$AU$400,16,0))=TRUE," ",(VLOOKUP(D92,'Base de Datos'!$C$7:$AU$400,16,0)))</f>
        <v>0</v>
      </c>
      <c r="AV92" s="433" t="str">
        <f>IF(ISERROR(VLOOKUP(D92,'Base de Datos'!$C$7:$AU$400,17,0))=TRUE," ",(VLOOKUP(D92,'Base de Datos'!$C$7:$AU$400,17,0)))</f>
        <v/>
      </c>
      <c r="AW92" s="433" t="str">
        <f>IF(ISERROR(VLOOKUP(D92,'Base de Datos'!$C$7:$AU$400,18,0))=TRUE," ",(VLOOKUP(D92,'Base de Datos'!$C$7:$AU$400,18,0)))</f>
        <v/>
      </c>
      <c r="AX92" s="433" t="str">
        <f>IF(ISERROR(VLOOKUP(D92,'Base de Datos'!$C$7:$AU$400,19,0))=TRUE," ",(VLOOKUP(D92,'Base de Datos'!$C$7:$AU$400,19,0)))</f>
        <v/>
      </c>
      <c r="AY92" s="436">
        <f>IF(ISERROR(VLOOKUP(D92,'Base de Datos'!$C$7:$AU$400,21,0))=TRUE," ",(VLOOKUP(D92,'Base de Datos'!$C$7:$AU$400,21,0)))</f>
        <v>42384</v>
      </c>
      <c r="AZ92" s="436">
        <f>IF(ISERROR(VLOOKUP(D92,'Base de Datos'!$C$7:$AU$400,22,0))=TRUE," ",(VLOOKUP(D92,'Base de Datos'!$C$7:$AU$400,22,0)))</f>
        <v>19141000</v>
      </c>
      <c r="BA92" s="443"/>
      <c r="BB92" s="453"/>
    </row>
    <row r="93" spans="2:54" ht="55.5" hidden="1" customHeight="1" x14ac:dyDescent="0.3">
      <c r="B93" s="406">
        <v>86</v>
      </c>
      <c r="C93" s="414" t="s">
        <v>1641</v>
      </c>
      <c r="D93" s="406">
        <v>188</v>
      </c>
      <c r="E93" s="414" t="s">
        <v>1668</v>
      </c>
      <c r="F93" s="415">
        <f>VLOOKUP(D93,'Presupuesto - PAA 2015'!$B$10:$E$265,4,0)</f>
        <v>52390000</v>
      </c>
      <c r="G93" s="407" t="str">
        <f>VLOOKUP(D93,'[4]Seguimiento Plan'!$C$2:$R$101,16,0)</f>
        <v>Realizar exámenes médicos ocupacionales y complementarios y aplicación de vacunas para los funcionarios de la Secretaría Distrital de Hacienda y del Concejo de Bogotá</v>
      </c>
      <c r="H93" s="407" t="s">
        <v>1775</v>
      </c>
      <c r="I93" s="407" t="s">
        <v>1709</v>
      </c>
      <c r="J93" s="416" t="s">
        <v>913</v>
      </c>
      <c r="K93" s="417" t="s">
        <v>390</v>
      </c>
      <c r="L93" s="417" t="str">
        <f>VLOOKUP(D93,'[4]Seguimiento Plan'!$C$2:$AJ$101,30,0)</f>
        <v>SI</v>
      </c>
      <c r="M93" s="418">
        <f>VLOOKUP(D93,'[4]Seguimiento Plan'!$C$2:$AJ$101,31,0)</f>
        <v>42036</v>
      </c>
      <c r="N93" s="417"/>
      <c r="O93" s="419"/>
      <c r="P93" s="419"/>
      <c r="Q93" s="419"/>
      <c r="R93" s="420"/>
      <c r="S93" s="438" t="s">
        <v>1872</v>
      </c>
      <c r="T93" s="318" t="s">
        <v>1159</v>
      </c>
      <c r="U93" s="423" t="str">
        <f>IF(ISERROR(VLOOKUP(T93,'Base de Datos'!$E$7:$AU$302,3,0))=TRUE," ",(VLOOKUP(T93,'Base de Datos'!$E$7:$AU$302,2,0)))</f>
        <v>CENTRO DE DIAGNOSTICO Y TRATAMIENTO CENDIATRA LTDA</v>
      </c>
      <c r="V93" s="426">
        <f>IF(ISERROR(VLOOKUP(T93,'Base de Datos'!$E$7:$AU$302,5,0))=TRUE," ",(VLOOKUP(T93,'Base de Datos'!$E$7:$AU$302,5,0)))</f>
        <v>41850000</v>
      </c>
      <c r="W93" s="423">
        <f>IF(ISERROR(VLOOKUP(T93,'Base de Datos'!$E$7:$AU$302,19,0))=TRUE," ",(VLOOKUP(T93,'Base de Datos'!$E$7:$AU$302,19,0)))</f>
        <v>42138</v>
      </c>
      <c r="X93" s="428" t="str">
        <f>IF(ISERROR(VLOOKUP(T93,'Base de Datos'!$E$7:$AU$302,8,0))=TRUE," ",(VLOOKUP(T93,'Base de Datos'!$E$7:$AU$302,8,0)))</f>
        <v xml:space="preserve"> </v>
      </c>
      <c r="Y93" s="428">
        <f>IF(ISERROR(VLOOKUP(T93,'Base de Datos'!$E$7:$AU$302,9,0))=TRUE," ",(VLOOKUP(T93,'Base de Datos'!$E$7:$AU$302,9,0)))</f>
        <v>41926</v>
      </c>
      <c r="Z93" s="422">
        <f>IF(ISERROR(VLOOKUP(T93,'Base de Datos'!$E$7:$AU$302,10,0))=TRUE," ",(VLOOKUP(T93,'Base de Datos'!$E$7:$AU$302,10,0)))</f>
        <v>42138</v>
      </c>
      <c r="AA93" s="425" t="str">
        <f>IF(ISERROR(VLOOKUP(T93,'Base de Datos'!$E$7:$AU$302,11,0))=TRUE," ",(VLOOKUP(T93,'Base de Datos'!$E$7:$AU$302,11,0)))</f>
        <v/>
      </c>
      <c r="AB93" s="422">
        <f>IF(ISERROR(VLOOKUP(T93,'Base de Datos'!$E$7:$AU$302,12,0))=TRUE," ",(VLOOKUP(T93,'Base de Datos'!$E$7:$AU$302,12,0)))</f>
        <v>0</v>
      </c>
      <c r="AC93" s="422">
        <f>IF(ISERROR(VLOOKUP(T93,'Base de Datos'!$E$7:$AU$302,12,0))=TRUE," ",(VLOOKUP(T93,'Base de Datos'!$E$7:$AU$302,12,0)))</f>
        <v>0</v>
      </c>
      <c r="AD93" s="428" t="str">
        <f>IF(ISERROR(VLOOKUP(T93,'Base de Datos'!$E$7:$AU$302,15,0))=TRUE," ",(VLOOKUP(T93,'Base de Datos'!$E$7:$AU$302,15,0)))</f>
        <v/>
      </c>
      <c r="AE93" s="433" t="str">
        <f>IF(ISERROR(VLOOKUP(T93,'Base de Datos'!$E$7:$AU$302,16,0))=TRUE," ",(VLOOKUP(T93,'Base de Datos'!$E$7:$AU$302,16,0)))</f>
        <v/>
      </c>
      <c r="AF93" s="433" t="str">
        <f>IF(ISERROR(VLOOKUP(T93,'Base de Datos'!$E$7:$AU$302,17,0))=TRUE," ",(VLOOKUP(T93,'Base de Datos'!$E$7:$AU$302,17,0)))</f>
        <v/>
      </c>
      <c r="AG93" s="433" t="str">
        <f>IF(ISERROR(VLOOKUP(T93,'Base de Datos'!$E$7:$AU$302,18,0))=TRUE," ",(VLOOKUP(T93,'Base de Datos'!$E$7:$AU$302,18,0)))</f>
        <v/>
      </c>
      <c r="AH93" s="434">
        <f>IF(ISERROR(VLOOKUP(T93,'Base de Datos'!$E$7:$AU$302,20,0))=TRUE," ",(VLOOKUP(T93,'Base de Datos'!$E$7:$AU$302,20,0)))</f>
        <v>41850000</v>
      </c>
      <c r="AI93" s="434">
        <f>IF(ISERROR(VLOOKUP(T93,'Base de Datos'!$E$7:$AU$302,21,0))=TRUE," ",(VLOOKUP(T93,'Base de Datos'!$E$7:$AU$302,21,0)))</f>
        <v>26363000</v>
      </c>
      <c r="AJ93" s="437">
        <v>42181</v>
      </c>
      <c r="AK93" s="423" t="str">
        <f>IF(ISERROR(VLOOKUP(D93,'Base de Datos'!$C$7:$AU$400,2,0))=TRUE," ",(VLOOKUP(D93,'Base de Datos'!$C$7:$AU$400,2,0)))</f>
        <v>2015188</v>
      </c>
      <c r="AL93" s="423" t="str">
        <f>IF(ISERROR(VLOOKUP(D93,'Base de Datos'!$C$7:$AU$400,3,0))=TRUE," ",(VLOOKUP(D93,'Base de Datos'!$C$7:$AU$400,3,0)))</f>
        <v>150300-0-2015</v>
      </c>
      <c r="AM93" s="426" t="str">
        <f>IF(ISERROR(VLOOKUP(D93,'Base de Datos'!$C$7:$AU$3761,6,0))=TRUE," ",(VLOOKUP(D93,'Base de Datos'!$C$7:$AU$400,6,0)))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26" t="str">
        <f>IF(ISERROR(VLOOKUP(D93,'Base de Datos'!$C$7:$AU$400,20,0))=TRUE," ",(VLOOKUP(D93,'Base de Datos'!$C$7:$AU$400,19,0)))</f>
        <v/>
      </c>
      <c r="AO93" s="429">
        <f>IF(ISERROR(VLOOKUP(D93,'Base de Datos'!$C$7:$AU$400,9,0))=TRUE," ",(VLOOKUP(D93,'Base de Datos'!$C$7:$AU$400,9,0)))</f>
        <v>2015</v>
      </c>
      <c r="AP93" s="429">
        <f>IF(ISERROR(VLOOKUP(D93,'Base de Datos'!$C$7:$AU$400,10,0))=TRUE," ",(VLOOKUP(D93,'Base de Datos'!$C$7:$AU$400,10,0)))</f>
        <v>42181</v>
      </c>
      <c r="AQ93" s="431">
        <f>IF(ISERROR(VLOOKUP(D93,'Base de Datos'!$C$7:$AU$400,11,0))=TRUE," ",(VLOOKUP(D93,'Base de Datos'!$C$7:$AU$400,11,0)))</f>
        <v>42200</v>
      </c>
      <c r="AR93" s="432">
        <f>IF(ISERROR(VLOOKUP(D93,'Base de Datos'!$C$7:$AU$400,12,0))=TRUE," ",(VLOOKUP(D93,'Base de Datos'!$C$7:$AU$400,12,0)))</f>
        <v>42475</v>
      </c>
      <c r="AS93" s="431" t="str">
        <f>IF(ISERROR(VLOOKUP(D93,'Base de Datos'!$C$7:$AU$400,13,0))=TRUE," ",(VLOOKUP(D93,'Base de Datos'!$C$7:$AU$400,13,0)))</f>
        <v/>
      </c>
      <c r="AT93" s="431">
        <f>IF(ISERROR(VLOOKUP(D93,'Base de Datos'!$C$7:$AU$400,14,0))=TRUE," ",(VLOOKUP(D93,'Base de Datos'!$C$7:$AU$400,14,0)))</f>
        <v>0</v>
      </c>
      <c r="AU93" s="429">
        <f>IF(ISERROR(VLOOKUP(D93,'Base de Datos'!$C$7:$AU$400,16,0))=TRUE," ",(VLOOKUP(D93,'Base de Datos'!$C$7:$AU$400,16,0)))</f>
        <v>0</v>
      </c>
      <c r="AV93" s="433" t="str">
        <f>IF(ISERROR(VLOOKUP(D93,'Base de Datos'!$C$7:$AU$400,17,0))=TRUE," ",(VLOOKUP(D93,'Base de Datos'!$C$7:$AU$400,17,0)))</f>
        <v/>
      </c>
      <c r="AW93" s="433" t="str">
        <f>IF(ISERROR(VLOOKUP(D93,'Base de Datos'!$C$7:$AU$400,18,0))=TRUE," ",(VLOOKUP(D93,'Base de Datos'!$C$7:$AU$400,18,0)))</f>
        <v/>
      </c>
      <c r="AX93" s="433" t="str">
        <f>IF(ISERROR(VLOOKUP(D93,'Base de Datos'!$C$7:$AU$400,19,0))=TRUE," ",(VLOOKUP(D93,'Base de Datos'!$C$7:$AU$400,19,0)))</f>
        <v/>
      </c>
      <c r="AY93" s="436">
        <f>IF(ISERROR(VLOOKUP(D93,'Base de Datos'!$C$7:$AU$400,21,0))=TRUE," ",(VLOOKUP(D93,'Base de Datos'!$C$7:$AU$400,21,0)))</f>
        <v>42475</v>
      </c>
      <c r="AZ93" s="436">
        <f>IF(ISERROR(VLOOKUP(D93,'Base de Datos'!$C$7:$AU$400,22,0))=TRUE," ",(VLOOKUP(D93,'Base de Datos'!$C$7:$AU$400,22,0)))</f>
        <v>52390000</v>
      </c>
      <c r="BA93" s="443"/>
      <c r="BB93" s="453"/>
    </row>
    <row r="94" spans="2:54" ht="55.5" hidden="1" customHeight="1" x14ac:dyDescent="0.3">
      <c r="B94" s="406">
        <v>87</v>
      </c>
      <c r="C94" s="414" t="s">
        <v>1641</v>
      </c>
      <c r="D94" s="406">
        <v>160</v>
      </c>
      <c r="E94" s="414" t="s">
        <v>1671</v>
      </c>
      <c r="F94" s="415">
        <f>VLOOKUP(D94,'Presupuesto - PAA 2015'!$B$10:$E$265,4,0)</f>
        <v>436000000</v>
      </c>
      <c r="G94" s="407" t="str">
        <f>VLOOKUP(D94,'[4]Seguimiento Plan'!$C$2:$R$101,16,0)</f>
        <v>Presar los servicios de diseño, producción y ejecución de estrategias de divulgación en medios de comunicación de carácter masivo y alternativo para el Concejo de Bogotá.</v>
      </c>
      <c r="H94" s="407" t="s">
        <v>1775</v>
      </c>
      <c r="I94" s="407" t="s">
        <v>1718</v>
      </c>
      <c r="J94" s="416" t="s">
        <v>908</v>
      </c>
      <c r="K94" s="417" t="s">
        <v>390</v>
      </c>
      <c r="L94" s="417" t="str">
        <f>VLOOKUP(D94,'[4]Seguimiento Plan'!$C$2:$AJ$101,30,0)</f>
        <v>SI</v>
      </c>
      <c r="M94" s="418">
        <f>VLOOKUP(D94,'[4]Seguimiento Plan'!$C$2:$AJ$101,31,0)</f>
        <v>42075</v>
      </c>
      <c r="N94" s="417" t="s">
        <v>1809</v>
      </c>
      <c r="O94" s="419"/>
      <c r="P94" s="419"/>
      <c r="Q94" s="419"/>
      <c r="R94" s="420"/>
      <c r="S94" s="677" t="s">
        <v>2050</v>
      </c>
      <c r="T94" s="324" t="s">
        <v>1528</v>
      </c>
      <c r="U94" s="423" t="str">
        <f>IF(ISERROR(VLOOKUP(T94,'Base de Datos'!$E$7:$AU$302,3,0))=TRUE," ",(VLOOKUP(T94,'Base de Datos'!$E$7:$AU$302,2,0)))</f>
        <v>CENTURY MEDIA SAS</v>
      </c>
      <c r="V94" s="426">
        <f>IF(ISERROR(VLOOKUP(T94,'Base de Datos'!$E$7:$AU$302,5,0))=TRUE," ",(VLOOKUP(T94,'Base de Datos'!$E$7:$AU$302,5,0)))</f>
        <v>249210000</v>
      </c>
      <c r="W94" s="423">
        <f>IF(ISERROR(VLOOKUP(T94,'Base de Datos'!$E$7:$AU$302,19,0))=TRUE," ",(VLOOKUP(T94,'Base de Datos'!$E$7:$AU$302,19,0)))</f>
        <v>42338</v>
      </c>
      <c r="X94" s="428" t="str">
        <f>IF(ISERROR(VLOOKUP(T94,'Base de Datos'!$E$7:$AU$302,8,0))=TRUE," ",(VLOOKUP(T94,'Base de Datos'!$E$7:$AU$302,8,0)))</f>
        <v xml:space="preserve"> </v>
      </c>
      <c r="Y94" s="428">
        <f>IF(ISERROR(VLOOKUP(T94,'Base de Datos'!$E$7:$AU$302,9,0))=TRUE," ",(VLOOKUP(T94,'Base de Datos'!$E$7:$AU$302,9,0)))</f>
        <v>42017</v>
      </c>
      <c r="Z94" s="422">
        <f>IF(ISERROR(VLOOKUP(T94,'Base de Datos'!$E$7:$AU$302,10,0))=TRUE," ",(VLOOKUP(T94,'Base de Datos'!$E$7:$AU$302,10,0)))</f>
        <v>42198</v>
      </c>
      <c r="AA94" s="425" t="str">
        <f>IF(ISERROR(VLOOKUP(T94,'Base de Datos'!$E$7:$AU$302,11,0))=TRUE," ",(VLOOKUP(T94,'Base de Datos'!$E$7:$AU$302,11,0)))</f>
        <v/>
      </c>
      <c r="AB94" s="422">
        <f>IF(ISERROR(VLOOKUP(T94,'Base de Datos'!$E$7:$AU$302,12,0))=TRUE," ",(VLOOKUP(T94,'Base de Datos'!$E$7:$AU$302,12,0)))</f>
        <v>1</v>
      </c>
      <c r="AC94" s="422">
        <f>IF(ISERROR(VLOOKUP(T94,'Base de Datos'!$E$7:$AU$302,12,0))=TRUE," ",(VLOOKUP(T94,'Base de Datos'!$E$7:$AU$302,12,0)))</f>
        <v>1</v>
      </c>
      <c r="AD94" s="428" t="str">
        <f>IF(ISERROR(VLOOKUP(T94,'Base de Datos'!$E$7:$AU$302,15,0))=TRUE," ",(VLOOKUP(T94,'Base de Datos'!$E$7:$AU$302,15,0)))</f>
        <v>4 meses y 18 días</v>
      </c>
      <c r="AE94" s="433">
        <f>IF(ISERROR(VLOOKUP(T94,'Base de Datos'!$E$7:$AU$302,16,0))=TRUE," ",(VLOOKUP(T94,'Base de Datos'!$E$7:$AU$302,16,0)))</f>
        <v>42338</v>
      </c>
      <c r="AF94" s="433" t="str">
        <f>IF(ISERROR(VLOOKUP(T94,'Base de Datos'!$E$7:$AU$302,17,0))=TRUE," ",(VLOOKUP(T94,'Base de Datos'!$E$7:$AU$302,17,0)))</f>
        <v/>
      </c>
      <c r="AG94" s="433" t="str">
        <f>IF(ISERROR(VLOOKUP(T94,'Base de Datos'!$E$7:$AU$302,18,0))=TRUE," ",(VLOOKUP(T94,'Base de Datos'!$E$7:$AU$302,18,0)))</f>
        <v/>
      </c>
      <c r="AH94" s="434">
        <f>IF(ISERROR(VLOOKUP(T94,'Base de Datos'!$E$7:$AU$302,20,0))=TRUE," ",(VLOOKUP(T94,'Base de Datos'!$E$7:$AU$302,20,0)))</f>
        <v>309210000</v>
      </c>
      <c r="AI94" s="434">
        <f>IF(ISERROR(VLOOKUP(T94,'Base de Datos'!$E$7:$AU$302,21,0))=TRUE," ",(VLOOKUP(T94,'Base de Datos'!$E$7:$AU$302,21,0)))</f>
        <v>309210000</v>
      </c>
      <c r="AJ94" s="423"/>
      <c r="AK94" s="423" t="str">
        <f>IF(ISERROR(VLOOKUP(D94,'Base de Datos'!$C$7:$AU$400,2,0))=TRUE," ",(VLOOKUP(D94,'Base de Datos'!$C$7:$AU$400,2,0)))</f>
        <v>2015160</v>
      </c>
      <c r="AL94" s="423" t="str">
        <f>IF(ISERROR(VLOOKUP(D94,'Base de Datos'!$C$7:$AU$400,3,0))=TRUE," ",(VLOOKUP(D94,'Base de Datos'!$C$7:$AU$400,3,0)))</f>
        <v>150400-0-2015</v>
      </c>
      <c r="AM94" s="426" t="str">
        <f>IF(ISERROR(VLOOKUP(D94,'Base de Datos'!$C$7:$AU$3761,6,0))=TRUE," ",(VLOOKUP(D94,'Base de Datos'!$C$7:$AU$400,6,0)))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26" t="str">
        <f>IF(ISERROR(VLOOKUP(D94,'Base de Datos'!$C$7:$AU$400,20,0))=TRUE," ",(VLOOKUP(D94,'Base de Datos'!$C$7:$AU$400,19,0)))</f>
        <v/>
      </c>
      <c r="AO94" s="429">
        <f>IF(ISERROR(VLOOKUP(D94,'Base de Datos'!$C$7:$AU$400,9,0))=TRUE," ",(VLOOKUP(D94,'Base de Datos'!$C$7:$AU$400,9,0)))</f>
        <v>2015</v>
      </c>
      <c r="AP94" s="429">
        <f>IF(ISERROR(VLOOKUP(D94,'Base de Datos'!$C$7:$AU$400,10,0))=TRUE," ",(VLOOKUP(D94,'Base de Datos'!$C$7:$AU$400,10,0)))</f>
        <v>42349</v>
      </c>
      <c r="AQ94" s="431">
        <f>IF(ISERROR(VLOOKUP(D94,'Base de Datos'!$C$7:$AU$400,11,0))=TRUE," ",(VLOOKUP(D94,'Base de Datos'!$C$7:$AU$400,11,0)))</f>
        <v>42383</v>
      </c>
      <c r="AR94" s="432">
        <f>IF(ISERROR(VLOOKUP(D94,'Base de Datos'!$C$7:$AU$400,12,0))=TRUE," ",(VLOOKUP(D94,'Base de Datos'!$C$7:$AU$400,12,0)))</f>
        <v>42627</v>
      </c>
      <c r="AS94" s="431" t="str">
        <f>IF(ISERROR(VLOOKUP(D94,'Base de Datos'!$C$7:$AU$400,13,0))=TRUE," ",(VLOOKUP(D94,'Base de Datos'!$C$7:$AU$400,13,0)))</f>
        <v/>
      </c>
      <c r="AT94" s="431">
        <f>IF(ISERROR(VLOOKUP(D94,'Base de Datos'!$C$7:$AU$400,14,0))=TRUE," ",(VLOOKUP(D94,'Base de Datos'!$C$7:$AU$400,14,0)))</f>
        <v>1</v>
      </c>
      <c r="AU94" s="429">
        <f>IF(ISERROR(VLOOKUP(D94,'Base de Datos'!$C$7:$AU$400,16,0))=TRUE," ",(VLOOKUP(D94,'Base de Datos'!$C$7:$AU$400,16,0)))</f>
        <v>1</v>
      </c>
      <c r="AV94" s="433" t="str">
        <f>IF(ISERROR(VLOOKUP(D94,'Base de Datos'!$C$7:$AU$400,17,0))=TRUE," ",(VLOOKUP(D94,'Base de Datos'!$C$7:$AU$400,17,0)))</f>
        <v>4 meses             17 días</v>
      </c>
      <c r="AW94" s="433">
        <f>IF(ISERROR(VLOOKUP(D94,'Base de Datos'!$C$7:$AU$400,18,0))=TRUE," ",(VLOOKUP(D94,'Base de Datos'!$C$7:$AU$400,18,0)))</f>
        <v>42766</v>
      </c>
      <c r="AX94" s="433" t="str">
        <f>IF(ISERROR(VLOOKUP(D94,'Base de Datos'!$C$7:$AU$400,19,0))=TRUE," ",(VLOOKUP(D94,'Base de Datos'!$C$7:$AU$400,19,0)))</f>
        <v/>
      </c>
      <c r="AY94" s="436">
        <f>IF(ISERROR(VLOOKUP(D94,'Base de Datos'!$C$7:$AU$400,21,0))=TRUE," ",(VLOOKUP(D94,'Base de Datos'!$C$7:$AU$400,21,0)))</f>
        <v>42766</v>
      </c>
      <c r="AZ94" s="436">
        <f>IF(ISERROR(VLOOKUP(D94,'Base de Datos'!$C$7:$AU$400,22,0))=TRUE," ",(VLOOKUP(D94,'Base de Datos'!$C$7:$AU$400,22,0)))</f>
        <v>517500000</v>
      </c>
      <c r="BA94" s="443"/>
      <c r="BB94" s="453"/>
    </row>
    <row r="95" spans="2:54" ht="55.5" hidden="1" customHeight="1" x14ac:dyDescent="0.3">
      <c r="B95" s="406">
        <v>88</v>
      </c>
      <c r="C95" s="414" t="s">
        <v>1641</v>
      </c>
      <c r="D95" s="406">
        <v>161</v>
      </c>
      <c r="E95" s="414" t="s">
        <v>1671</v>
      </c>
      <c r="F95" s="415">
        <f>VLOOKUP(D95,'Presupuesto - PAA 2015'!$B$10:$E$265,4,0)</f>
        <v>1291938453</v>
      </c>
      <c r="G95" s="407" t="str">
        <f>VLOOKUP(D95,'[4]Seguimiento Plan'!$C$2:$R$101,16,0)</f>
        <v>Prestar los servicios de producción y transmisión de  programas de televisión para el Concejo de Bogotá-</v>
      </c>
      <c r="H95" s="407" t="s">
        <v>1775</v>
      </c>
      <c r="I95" s="407" t="s">
        <v>1718</v>
      </c>
      <c r="J95" s="416" t="s">
        <v>908</v>
      </c>
      <c r="K95" s="417" t="s">
        <v>390</v>
      </c>
      <c r="L95" s="417" t="str">
        <f>VLOOKUP(D95,'[4]Seguimiento Plan'!$C$2:$AJ$101,30,0)</f>
        <v>SI</v>
      </c>
      <c r="M95" s="418">
        <f>VLOOKUP(D95,'[4]Seguimiento Plan'!$C$2:$AJ$101,31,0)</f>
        <v>42066</v>
      </c>
      <c r="N95" s="417" t="s">
        <v>1810</v>
      </c>
      <c r="O95" s="419"/>
      <c r="P95" s="419"/>
      <c r="Q95" s="419"/>
      <c r="R95" s="420"/>
      <c r="S95" s="420"/>
      <c r="T95" s="321" t="s">
        <v>1109</v>
      </c>
      <c r="U95" s="423" t="str">
        <f>IF(ISERROR(VLOOKUP(T95,'Base de Datos'!$E$7:$AU$302,3,0))=TRUE," ",(VLOOKUP(T95,'Base de Datos'!$E$7:$AU$302,2,0)))</f>
        <v>CANAL REGIONAL DE TELEVISION TEVEANDINA LTDA - TEVEANDINA LTDA</v>
      </c>
      <c r="V95" s="426">
        <f>IF(ISERROR(VLOOKUP(T95,'Base de Datos'!$E$7:$AU$302,5,0))=TRUE," ",(VLOOKUP(T95,'Base de Datos'!$E$7:$AU$302,5,0)))</f>
        <v>818527824</v>
      </c>
      <c r="W95" s="423">
        <f>IF(ISERROR(VLOOKUP(T95,'Base de Datos'!$E$7:$AU$302,19,0))=TRUE," ",(VLOOKUP(T95,'Base de Datos'!$E$7:$AU$302,19,0)))</f>
        <v>42116</v>
      </c>
      <c r="X95" s="428" t="str">
        <f>IF(ISERROR(VLOOKUP(T95,'Base de Datos'!$E$7:$AU$302,8,0))=TRUE," ",(VLOOKUP(T95,'Base de Datos'!$E$7:$AU$302,8,0)))</f>
        <v xml:space="preserve"> </v>
      </c>
      <c r="Y95" s="428">
        <f>IF(ISERROR(VLOOKUP(T95,'Base de Datos'!$E$7:$AU$302,9,0))=TRUE," ",(VLOOKUP(T95,'Base de Datos'!$E$7:$AU$302,9,0)))</f>
        <v>41921</v>
      </c>
      <c r="Z95" s="422">
        <f>IF(ISERROR(VLOOKUP(T95,'Base de Datos'!$E$7:$AU$302,10,0))=TRUE," ",(VLOOKUP(T95,'Base de Datos'!$E$7:$AU$302,10,0)))</f>
        <v>42102</v>
      </c>
      <c r="AA95" s="425" t="str">
        <f>IF(ISERROR(VLOOKUP(T95,'Base de Datos'!$E$7:$AU$302,11,0))=TRUE," ",(VLOOKUP(T95,'Base de Datos'!$E$7:$AU$302,11,0)))</f>
        <v/>
      </c>
      <c r="AB95" s="422">
        <f>IF(ISERROR(VLOOKUP(T95,'Base de Datos'!$E$7:$AU$302,12,0))=TRUE," ",(VLOOKUP(T95,'Base de Datos'!$E$7:$AU$302,12,0)))</f>
        <v>0</v>
      </c>
      <c r="AC95" s="422">
        <f>IF(ISERROR(VLOOKUP(T95,'Base de Datos'!$E$7:$AU$302,12,0))=TRUE," ",(VLOOKUP(T95,'Base de Datos'!$E$7:$AU$302,12,0)))</f>
        <v>0</v>
      </c>
      <c r="AD95" s="428" t="str">
        <f>IF(ISERROR(VLOOKUP(T95,'Base de Datos'!$E$7:$AU$302,15,0))=TRUE," ",(VLOOKUP(T95,'Base de Datos'!$E$7:$AU$302,15,0)))</f>
        <v>13 días</v>
      </c>
      <c r="AE95" s="433">
        <f>IF(ISERROR(VLOOKUP(T95,'Base de Datos'!$E$7:$AU$302,16,0))=TRUE," ",(VLOOKUP(T95,'Base de Datos'!$E$7:$AU$302,16,0)))</f>
        <v>42116</v>
      </c>
      <c r="AF95" s="433" t="str">
        <f>IF(ISERROR(VLOOKUP(T95,'Base de Datos'!$E$7:$AU$302,17,0))=TRUE," ",(VLOOKUP(T95,'Base de Datos'!$E$7:$AU$302,17,0)))</f>
        <v/>
      </c>
      <c r="AG95" s="433" t="str">
        <f>IF(ISERROR(VLOOKUP(T95,'Base de Datos'!$E$7:$AU$302,18,0))=TRUE," ",(VLOOKUP(T95,'Base de Datos'!$E$7:$AU$302,18,0)))</f>
        <v/>
      </c>
      <c r="AH95" s="434">
        <f>IF(ISERROR(VLOOKUP(T95,'Base de Datos'!$E$7:$AU$302,20,0))=TRUE," ",(VLOOKUP(T95,'Base de Datos'!$E$7:$AU$302,20,0)))</f>
        <v>818527824</v>
      </c>
      <c r="AI95" s="434">
        <f>IF(ISERROR(VLOOKUP(T95,'Base de Datos'!$E$7:$AU$302,21,0))=TRUE," ",(VLOOKUP(T95,'Base de Datos'!$E$7:$AU$302,21,0)))</f>
        <v>800790708</v>
      </c>
      <c r="AJ95" s="437">
        <v>42135</v>
      </c>
      <c r="AK95" s="423" t="str">
        <f>IF(ISERROR(VLOOKUP(D95,'Base de Datos'!$C$7:$AU$400,2,0))=TRUE," ",(VLOOKUP(D95,'Base de Datos'!$C$7:$AU$400,2,0)))</f>
        <v>2015161</v>
      </c>
      <c r="AL95" s="423" t="str">
        <f>IF(ISERROR(VLOOKUP(D95,'Base de Datos'!$C$7:$AU$400,3,0))=TRUE," ",(VLOOKUP(D95,'Base de Datos'!$C$7:$AU$400,3,0)))</f>
        <v>150225-0-2015</v>
      </c>
      <c r="AM95" s="426" t="str">
        <f>IF(ISERROR(VLOOKUP(D95,'Base de Datos'!$C$7:$AU$3761,6,0))=TRUE," ",(VLOOKUP(D95,'Base de Datos'!$C$7:$AU$400,6,0)))</f>
        <v>Realizar la producción y trasmisión de programas de televisión para el Concejo de Bogotá.</v>
      </c>
      <c r="AN95" s="426" t="str">
        <f>IF(ISERROR(VLOOKUP(D95,'Base de Datos'!$C$7:$AU$400,20,0))=TRUE," ",(VLOOKUP(D95,'Base de Datos'!$C$7:$AU$400,19,0)))</f>
        <v/>
      </c>
      <c r="AO95" s="429">
        <f>IF(ISERROR(VLOOKUP(D95,'Base de Datos'!$C$7:$AU$400,9,0))=TRUE," ",(VLOOKUP(D95,'Base de Datos'!$C$7:$AU$400,9,0)))</f>
        <v>2015</v>
      </c>
      <c r="AP95" s="429">
        <f>IF(ISERROR(VLOOKUP(D95,'Base de Datos'!$C$7:$AU$400,10,0))=TRUE," ",(VLOOKUP(D95,'Base de Datos'!$C$7:$AU$400,10,0)))</f>
        <v>42135</v>
      </c>
      <c r="AQ95" s="431">
        <f>IF(ISERROR(VLOOKUP(D95,'Base de Datos'!$C$7:$AU$400,11,0))=TRUE," ",(VLOOKUP(D95,'Base de Datos'!$C$7:$AU$400,11,0)))</f>
        <v>42139</v>
      </c>
      <c r="AR95" s="432">
        <f>IF(ISERROR(VLOOKUP(D95,'Base de Datos'!$C$7:$AU$400,12,0))=TRUE," ",(VLOOKUP(D95,'Base de Datos'!$C$7:$AU$400,12,0)))</f>
        <v>42421</v>
      </c>
      <c r="AS95" s="431" t="str">
        <f>IF(ISERROR(VLOOKUP(D95,'Base de Datos'!$C$7:$AU$400,13,0))=TRUE," ",(VLOOKUP(D95,'Base de Datos'!$C$7:$AU$400,13,0)))</f>
        <v/>
      </c>
      <c r="AT95" s="431">
        <f>IF(ISERROR(VLOOKUP(D95,'Base de Datos'!$C$7:$AU$400,14,0))=TRUE," ",(VLOOKUP(D95,'Base de Datos'!$C$7:$AU$400,14,0)))</f>
        <v>1</v>
      </c>
      <c r="AU95" s="429">
        <f>IF(ISERROR(VLOOKUP(D95,'Base de Datos'!$C$7:$AU$400,16,0))=TRUE," ",(VLOOKUP(D95,'Base de Datos'!$C$7:$AU$400,16,0)))</f>
        <v>1</v>
      </c>
      <c r="AV95" s="433" t="str">
        <f>IF(ISERROR(VLOOKUP(D95,'Base de Datos'!$C$7:$AU$400,17,0))=TRUE," ",(VLOOKUP(D95,'Base de Datos'!$C$7:$AU$400,17,0)))</f>
        <v>2 meses</v>
      </c>
      <c r="AW95" s="433">
        <f>IF(ISERROR(VLOOKUP(D95,'Base de Datos'!$C$7:$AU$400,18,0))=TRUE," ",(VLOOKUP(D95,'Base de Datos'!$C$7:$AU$400,18,0)))</f>
        <v>42450</v>
      </c>
      <c r="AX95" s="433" t="str">
        <f>IF(ISERROR(VLOOKUP(D95,'Base de Datos'!$C$7:$AU$400,19,0))=TRUE," ",(VLOOKUP(D95,'Base de Datos'!$C$7:$AU$400,19,0)))</f>
        <v/>
      </c>
      <c r="AY95" s="436">
        <f>IF(ISERROR(VLOOKUP(D95,'Base de Datos'!$C$7:$AU$400,21,0))=TRUE," ",(VLOOKUP(D95,'Base de Datos'!$C$7:$AU$400,21,0)))</f>
        <v>42450</v>
      </c>
      <c r="AZ95" s="436">
        <f>IF(ISERROR(VLOOKUP(D95,'Base de Datos'!$C$7:$AU$400,22,0))=TRUE," ",(VLOOKUP(D95,'Base de Datos'!$C$7:$AU$400,22,0)))</f>
        <v>1433352777</v>
      </c>
      <c r="BA95" s="443"/>
      <c r="BB95" s="453"/>
    </row>
    <row r="96" spans="2:54" ht="55.5" hidden="1" customHeight="1" x14ac:dyDescent="0.3">
      <c r="B96" s="406">
        <v>89</v>
      </c>
      <c r="C96" s="414" t="s">
        <v>1674</v>
      </c>
      <c r="D96" s="406">
        <v>70</v>
      </c>
      <c r="E96" s="414" t="s">
        <v>1678</v>
      </c>
      <c r="F96" s="415">
        <f>VLOOKUP(D96,'Presupuesto - PAA 2015'!$B$10:$E$265,4,0)</f>
        <v>31577404</v>
      </c>
      <c r="G96" s="407" t="str">
        <f>VLOOKUP(D96,'[4]Seguimiento Plan'!$C$2:$R$101,16,0)</f>
        <v>Adquisición de la licencia TOAD para el Concejo de Bogotá.</v>
      </c>
      <c r="H96" s="407" t="s">
        <v>1776</v>
      </c>
      <c r="I96" s="407" t="s">
        <v>1711</v>
      </c>
      <c r="J96" s="416" t="s">
        <v>909</v>
      </c>
      <c r="K96" s="417" t="s">
        <v>390</v>
      </c>
      <c r="L96" s="417" t="str">
        <f>VLOOKUP(D96,'[4]Seguimiento Plan'!$C$2:$AJ$101,30,0)</f>
        <v>SI</v>
      </c>
      <c r="M96" s="418">
        <f>VLOOKUP(D96,'[4]Seguimiento Plan'!$C$2:$AJ$101,31,0)</f>
        <v>42009</v>
      </c>
      <c r="N96" s="417" t="s">
        <v>1811</v>
      </c>
      <c r="O96" s="419"/>
      <c r="P96" s="419"/>
      <c r="Q96" s="419"/>
      <c r="R96" s="420" t="s">
        <v>2063</v>
      </c>
      <c r="S96" s="677" t="s">
        <v>2062</v>
      </c>
      <c r="T96" s="421"/>
      <c r="U96" s="423" t="str">
        <f>IF(ISERROR(VLOOKUP(T96,'Base de Datos'!$E$7:$AU$302,3,0))=TRUE," ",(VLOOKUP(T96,'Base de Datos'!$E$7:$AU$302,2,0)))</f>
        <v xml:space="preserve"> </v>
      </c>
      <c r="V96" s="426" t="str">
        <f>IF(ISERROR(VLOOKUP(T96,'Base de Datos'!$E$7:$AU$302,5,0))=TRUE," ",(VLOOKUP(T96,'Base de Datos'!$E$7:$AU$302,5,0)))</f>
        <v xml:space="preserve"> </v>
      </c>
      <c r="W96" s="423" t="str">
        <f>IF(ISERROR(VLOOKUP(T96,'Base de Datos'!$E$7:$AU$302,19,0))=TRUE," ",(VLOOKUP(T96,'Base de Datos'!$E$7:$AU$302,19,0)))</f>
        <v xml:space="preserve"> </v>
      </c>
      <c r="X96" s="428" t="str">
        <f>IF(ISERROR(VLOOKUP(T96,'Base de Datos'!$E$7:$AU$302,8,0))=TRUE," ",(VLOOKUP(T96,'Base de Datos'!$E$7:$AU$302,8,0)))</f>
        <v xml:space="preserve"> </v>
      </c>
      <c r="Y96" s="428" t="str">
        <f>IF(ISERROR(VLOOKUP(T96,'Base de Datos'!$E$7:$AU$302,9,0))=TRUE," ",(VLOOKUP(T96,'Base de Datos'!$E$7:$AU$302,9,0)))</f>
        <v xml:space="preserve"> </v>
      </c>
      <c r="Z96" s="422" t="str">
        <f>IF(ISERROR(VLOOKUP(T96,'Base de Datos'!$E$7:$AU$302,10,0))=TRUE," ",(VLOOKUP(T96,'Base de Datos'!$E$7:$AU$302,10,0)))</f>
        <v xml:space="preserve"> </v>
      </c>
      <c r="AA96" s="425" t="str">
        <f>IF(ISERROR(VLOOKUP(T96,'Base de Datos'!$E$7:$AU$302,11,0))=TRUE," ",(VLOOKUP(T96,'Base de Datos'!$E$7:$AU$302,11,0)))</f>
        <v xml:space="preserve"> </v>
      </c>
      <c r="AB96" s="422" t="str">
        <f>IF(ISERROR(VLOOKUP(T96,'Base de Datos'!$E$7:$AU$302,12,0))=TRUE," ",(VLOOKUP(T96,'Base de Datos'!$E$7:$AU$302,12,0)))</f>
        <v xml:space="preserve"> </v>
      </c>
      <c r="AC96" s="422" t="str">
        <f>IF(ISERROR(VLOOKUP(T96,'Base de Datos'!$E$7:$AU$302,12,0))=TRUE," ",(VLOOKUP(T96,'Base de Datos'!$E$7:$AU$302,12,0)))</f>
        <v xml:space="preserve"> </v>
      </c>
      <c r="AD96" s="428" t="str">
        <f>IF(ISERROR(VLOOKUP(T96,'Base de Datos'!$E$7:$AU$302,15,0))=TRUE," ",(VLOOKUP(T96,'Base de Datos'!$E$7:$AU$302,15,0)))</f>
        <v xml:space="preserve"> </v>
      </c>
      <c r="AE96" s="433" t="str">
        <f>IF(ISERROR(VLOOKUP(T96,'Base de Datos'!$E$7:$AU$302,16,0))=TRUE," ",(VLOOKUP(T96,'Base de Datos'!$E$7:$AU$302,16,0)))</f>
        <v xml:space="preserve"> </v>
      </c>
      <c r="AF96" s="433" t="str">
        <f>IF(ISERROR(VLOOKUP(T96,'Base de Datos'!$E$7:$AU$302,17,0))=TRUE," ",(VLOOKUP(T96,'Base de Datos'!$E$7:$AU$302,17,0)))</f>
        <v xml:space="preserve"> </v>
      </c>
      <c r="AG96" s="433" t="str">
        <f>IF(ISERROR(VLOOKUP(T96,'Base de Datos'!$E$7:$AU$302,18,0))=TRUE," ",(VLOOKUP(T96,'Base de Datos'!$E$7:$AU$302,18,0)))</f>
        <v xml:space="preserve"> </v>
      </c>
      <c r="AH96" s="434" t="str">
        <f>IF(ISERROR(VLOOKUP(T96,'Base de Datos'!$E$7:$AU$302,20,0))=TRUE," ",(VLOOKUP(T96,'Base de Datos'!$E$7:$AU$302,20,0)))</f>
        <v xml:space="preserve"> </v>
      </c>
      <c r="AI96" s="434" t="str">
        <f>IF(ISERROR(VLOOKUP(T96,'Base de Datos'!$E$7:$AU$302,21,0))=TRUE," ",(VLOOKUP(T96,'Base de Datos'!$E$7:$AU$302,21,0)))</f>
        <v xml:space="preserve"> </v>
      </c>
      <c r="AJ96" s="423"/>
      <c r="AK96" s="423" t="str">
        <f>IF(ISERROR(VLOOKUP(D96,'Base de Datos'!$C$7:$AU$400,2,0))=TRUE," ",(VLOOKUP(D96,'Base de Datos'!$C$7:$AU$400,2,0)))</f>
        <v>201570</v>
      </c>
      <c r="AL96" s="423" t="str">
        <f>IF(ISERROR(VLOOKUP(D96,'Base de Datos'!$C$7:$AU$400,3,0))=TRUE," ",(VLOOKUP(D96,'Base de Datos'!$C$7:$AU$400,3,0)))</f>
        <v>150321-0-2015</v>
      </c>
      <c r="AM96" s="426" t="str">
        <f>IF(ISERROR(VLOOKUP(D96,'Base de Datos'!$C$7:$AU$3761,6,0))=TRUE," ",(VLOOKUP(D96,'Base de Datos'!$C$7:$AU$400,6,0)))</f>
        <v>Adquisión de la licencia TOAD para el Concejo de Bogotá.</v>
      </c>
      <c r="AN96" s="426" t="str">
        <f>IF(ISERROR(VLOOKUP(D96,'Base de Datos'!$C$7:$AU$400,20,0))=TRUE," ",(VLOOKUP(D96,'Base de Datos'!$C$7:$AU$400,19,0)))</f>
        <v/>
      </c>
      <c r="AO96" s="429">
        <f>IF(ISERROR(VLOOKUP(D96,'Base de Datos'!$C$7:$AU$400,9,0))=TRUE," ",(VLOOKUP(D96,'Base de Datos'!$C$7:$AU$400,9,0)))</f>
        <v>2015</v>
      </c>
      <c r="AP96" s="429">
        <f>IF(ISERROR(VLOOKUP(D96,'Base de Datos'!$C$7:$AU$400,10,0))=TRUE," ",(VLOOKUP(D96,'Base de Datos'!$C$7:$AU$400,10,0)))</f>
        <v>42208</v>
      </c>
      <c r="AQ96" s="431">
        <f>IF(ISERROR(VLOOKUP(D96,'Base de Datos'!$C$7:$AU$400,11,0))=TRUE," ",(VLOOKUP(D96,'Base de Datos'!$C$7:$AU$400,11,0)))</f>
        <v>42221</v>
      </c>
      <c r="AR96" s="432">
        <f>IF(ISERROR(VLOOKUP(D96,'Base de Datos'!$C$7:$AU$400,12,0))=TRUE," ",(VLOOKUP(D96,'Base de Datos'!$C$7:$AU$400,12,0)))</f>
        <v>42282</v>
      </c>
      <c r="AS96" s="431" t="str">
        <f>IF(ISERROR(VLOOKUP(D96,'Base de Datos'!$C$7:$AU$400,13,0))=TRUE," ",(VLOOKUP(D96,'Base de Datos'!$C$7:$AU$400,13,0)))</f>
        <v/>
      </c>
      <c r="AT96" s="431">
        <f>IF(ISERROR(VLOOKUP(D96,'Base de Datos'!$C$7:$AU$400,14,0))=TRUE," ",(VLOOKUP(D96,'Base de Datos'!$C$7:$AU$400,14,0)))</f>
        <v>0</v>
      </c>
      <c r="AU96" s="429">
        <f>IF(ISERROR(VLOOKUP(D96,'Base de Datos'!$C$7:$AU$400,16,0))=TRUE," ",(VLOOKUP(D96,'Base de Datos'!$C$7:$AU$400,16,0)))</f>
        <v>0</v>
      </c>
      <c r="AV96" s="433" t="str">
        <f>IF(ISERROR(VLOOKUP(D96,'Base de Datos'!$C$7:$AU$400,17,0))=TRUE," ",(VLOOKUP(D96,'Base de Datos'!$C$7:$AU$400,17,0)))</f>
        <v/>
      </c>
      <c r="AW96" s="433" t="str">
        <f>IF(ISERROR(VLOOKUP(D96,'Base de Datos'!$C$7:$AU$400,18,0))=TRUE," ",(VLOOKUP(D96,'Base de Datos'!$C$7:$AU$400,18,0)))</f>
        <v/>
      </c>
      <c r="AX96" s="433" t="str">
        <f>IF(ISERROR(VLOOKUP(D96,'Base de Datos'!$C$7:$AU$400,19,0))=TRUE," ",(VLOOKUP(D96,'Base de Datos'!$C$7:$AU$400,19,0)))</f>
        <v/>
      </c>
      <c r="AY96" s="436">
        <f>IF(ISERROR(VLOOKUP(D96,'Base de Datos'!$C$7:$AU$400,21,0))=TRUE," ",(VLOOKUP(D96,'Base de Datos'!$C$7:$AU$400,21,0)))</f>
        <v>42282</v>
      </c>
      <c r="AZ96" s="436">
        <f>IF(ISERROR(VLOOKUP(D96,'Base de Datos'!$C$7:$AU$400,22,0))=TRUE," ",(VLOOKUP(D96,'Base de Datos'!$C$7:$AU$400,22,0)))</f>
        <v>31577404</v>
      </c>
      <c r="BA96" s="443"/>
      <c r="BB96" s="453"/>
    </row>
    <row r="97" spans="2:54" ht="55.5" hidden="1" customHeight="1" x14ac:dyDescent="0.3">
      <c r="B97" s="406">
        <v>90</v>
      </c>
      <c r="C97" s="414" t="s">
        <v>1674</v>
      </c>
      <c r="D97" s="406">
        <v>71</v>
      </c>
      <c r="E97" s="414" t="s">
        <v>1678</v>
      </c>
      <c r="F97" s="415">
        <f>VLOOKUP(D97,'Presupuesto - PAA 2015'!$B$10:$E$265,4,0)</f>
        <v>11167296</v>
      </c>
      <c r="G97" s="407" t="str">
        <f>VLOOKUP(D97,'[4]Seguimiento Plan'!$C$2:$R$101,16,0)</f>
        <v>Adquisición de licencias de servidores Windows Server 2012 para el Concejo de Bogotá.</v>
      </c>
      <c r="H97" s="407" t="s">
        <v>1776</v>
      </c>
      <c r="I97" s="407" t="s">
        <v>1711</v>
      </c>
      <c r="J97" s="416" t="s">
        <v>909</v>
      </c>
      <c r="K97" s="417" t="s">
        <v>390</v>
      </c>
      <c r="L97" s="417" t="str">
        <f>VLOOKUP(D97,'[4]Seguimiento Plan'!$C$2:$AJ$101,30,0)</f>
        <v>SI</v>
      </c>
      <c r="M97" s="418">
        <f>VLOOKUP(D97,'[4]Seguimiento Plan'!$C$2:$AJ$101,31,0)</f>
        <v>42093</v>
      </c>
      <c r="N97" s="417" t="s">
        <v>1812</v>
      </c>
      <c r="O97" s="419"/>
      <c r="P97" s="419"/>
      <c r="Q97" s="419"/>
      <c r="R97" s="420"/>
      <c r="S97" s="438" t="s">
        <v>1895</v>
      </c>
      <c r="T97" s="421"/>
      <c r="U97" s="423" t="str">
        <f>IF(ISERROR(VLOOKUP(T97,'Base de Datos'!$E$7:$AU$302,3,0))=TRUE," ",(VLOOKUP(T97,'Base de Datos'!$E$7:$AU$302,2,0)))</f>
        <v xml:space="preserve"> </v>
      </c>
      <c r="V97" s="426" t="str">
        <f>IF(ISERROR(VLOOKUP(T97,'Base de Datos'!$E$7:$AU$302,5,0))=TRUE," ",(VLOOKUP(T97,'Base de Datos'!$E$7:$AU$302,5,0)))</f>
        <v xml:space="preserve"> </v>
      </c>
      <c r="W97" s="423" t="str">
        <f>IF(ISERROR(VLOOKUP(T97,'Base de Datos'!$E$7:$AU$302,19,0))=TRUE," ",(VLOOKUP(T97,'Base de Datos'!$E$7:$AU$302,19,0)))</f>
        <v xml:space="preserve"> </v>
      </c>
      <c r="X97" s="428" t="str">
        <f>IF(ISERROR(VLOOKUP(T97,'Base de Datos'!$E$7:$AU$302,8,0))=TRUE," ",(VLOOKUP(T97,'Base de Datos'!$E$7:$AU$302,8,0)))</f>
        <v xml:space="preserve"> </v>
      </c>
      <c r="Y97" s="428" t="str">
        <f>IF(ISERROR(VLOOKUP(T97,'Base de Datos'!$E$7:$AU$302,9,0))=TRUE," ",(VLOOKUP(T97,'Base de Datos'!$E$7:$AU$302,9,0)))</f>
        <v xml:space="preserve"> </v>
      </c>
      <c r="Z97" s="422" t="str">
        <f>IF(ISERROR(VLOOKUP(T97,'Base de Datos'!$E$7:$AU$302,10,0))=TRUE," ",(VLOOKUP(T97,'Base de Datos'!$E$7:$AU$302,10,0)))</f>
        <v xml:space="preserve"> </v>
      </c>
      <c r="AA97" s="425" t="str">
        <f>IF(ISERROR(VLOOKUP(T97,'Base de Datos'!$E$7:$AU$302,11,0))=TRUE," ",(VLOOKUP(T97,'Base de Datos'!$E$7:$AU$302,11,0)))</f>
        <v xml:space="preserve"> </v>
      </c>
      <c r="AB97" s="422" t="str">
        <f>IF(ISERROR(VLOOKUP(T97,'Base de Datos'!$E$7:$AU$302,12,0))=TRUE," ",(VLOOKUP(T97,'Base de Datos'!$E$7:$AU$302,12,0)))</f>
        <v xml:space="preserve"> </v>
      </c>
      <c r="AC97" s="422" t="str">
        <f>IF(ISERROR(VLOOKUP(T97,'Base de Datos'!$E$7:$AU$302,12,0))=TRUE," ",(VLOOKUP(T97,'Base de Datos'!$E$7:$AU$302,12,0)))</f>
        <v xml:space="preserve"> </v>
      </c>
      <c r="AD97" s="428" t="str">
        <f>IF(ISERROR(VLOOKUP(T97,'Base de Datos'!$E$7:$AU$302,15,0))=TRUE," ",(VLOOKUP(T97,'Base de Datos'!$E$7:$AU$302,15,0)))</f>
        <v xml:space="preserve"> </v>
      </c>
      <c r="AE97" s="433" t="str">
        <f>IF(ISERROR(VLOOKUP(T97,'Base de Datos'!$E$7:$AU$302,16,0))=TRUE," ",(VLOOKUP(T97,'Base de Datos'!$E$7:$AU$302,16,0)))</f>
        <v xml:space="preserve"> </v>
      </c>
      <c r="AF97" s="433" t="str">
        <f>IF(ISERROR(VLOOKUP(T97,'Base de Datos'!$E$7:$AU$302,17,0))=TRUE," ",(VLOOKUP(T97,'Base de Datos'!$E$7:$AU$302,17,0)))</f>
        <v xml:space="preserve"> </v>
      </c>
      <c r="AG97" s="433" t="str">
        <f>IF(ISERROR(VLOOKUP(T97,'Base de Datos'!$E$7:$AU$302,18,0))=TRUE," ",(VLOOKUP(T97,'Base de Datos'!$E$7:$AU$302,18,0)))</f>
        <v xml:space="preserve"> </v>
      </c>
      <c r="AH97" s="434" t="str">
        <f>IF(ISERROR(VLOOKUP(T97,'Base de Datos'!$E$7:$AU$302,20,0))=TRUE," ",(VLOOKUP(T97,'Base de Datos'!$E$7:$AU$302,20,0)))</f>
        <v xml:space="preserve"> </v>
      </c>
      <c r="AI97" s="434" t="str">
        <f>IF(ISERROR(VLOOKUP(T97,'Base de Datos'!$E$7:$AU$302,21,0))=TRUE," ",(VLOOKUP(T97,'Base de Datos'!$E$7:$AU$302,21,0)))</f>
        <v xml:space="preserve"> </v>
      </c>
      <c r="AJ97" s="437">
        <v>42167</v>
      </c>
      <c r="AK97" s="423" t="str">
        <f>IF(ISERROR(VLOOKUP(D97,'Base de Datos'!$C$7:$AU$400,2,0))=TRUE," ",(VLOOKUP(D97,'Base de Datos'!$C$7:$AU$400,2,0)))</f>
        <v>201571</v>
      </c>
      <c r="AL97" s="423" t="str">
        <f>IF(ISERROR(VLOOKUP(D97,'Base de Datos'!$C$7:$AU$400,3,0))=TRUE," ",(VLOOKUP(D97,'Base de Datos'!$C$7:$AU$400,3,0)))</f>
        <v>150254-0-2015</v>
      </c>
      <c r="AM97" s="426" t="str">
        <f>IF(ISERROR(VLOOKUP(D97,'Base de Datos'!$C$7:$AU$3761,6,0))=TRUE," ",(VLOOKUP(D97,'Base de Datos'!$C$7:$AU$400,6,0)))</f>
        <v>Adquisición de licencias de servidores Windows Server 2012 para el Concejo de Bogotá, de conformidad con lo establecido en la presente invitación pública</v>
      </c>
      <c r="AN97" s="426" t="str">
        <f>IF(ISERROR(VLOOKUP(D97,'Base de Datos'!$C$7:$AU$400,20,0))=TRUE," ",(VLOOKUP(D97,'Base de Datos'!$C$7:$AU$400,19,0)))</f>
        <v/>
      </c>
      <c r="AO97" s="429">
        <f>IF(ISERROR(VLOOKUP(D97,'Base de Datos'!$C$7:$AU$400,9,0))=TRUE," ",(VLOOKUP(D97,'Base de Datos'!$C$7:$AU$400,9,0)))</f>
        <v>2015</v>
      </c>
      <c r="AP97" s="429">
        <f>IF(ISERROR(VLOOKUP(D97,'Base de Datos'!$C$7:$AU$400,10,0))=TRUE," ",(VLOOKUP(D97,'Base de Datos'!$C$7:$AU$400,10,0)))</f>
        <v>42167</v>
      </c>
      <c r="AQ97" s="431">
        <f>IF(ISERROR(VLOOKUP(D97,'Base de Datos'!$C$7:$AU$400,11,0))=TRUE," ",(VLOOKUP(D97,'Base de Datos'!$C$7:$AU$400,11,0)))</f>
        <v>42188</v>
      </c>
      <c r="AR97" s="432">
        <f>IF(ISERROR(VLOOKUP(D97,'Base de Datos'!$C$7:$AU$400,12,0))=TRUE," ",(VLOOKUP(D97,'Base de Datos'!$C$7:$AU$400,12,0)))</f>
        <v>42250</v>
      </c>
      <c r="AS97" s="431" t="str">
        <f>IF(ISERROR(VLOOKUP(D97,'Base de Datos'!$C$7:$AU$400,13,0))=TRUE," ",(VLOOKUP(D97,'Base de Datos'!$C$7:$AU$400,13,0)))</f>
        <v/>
      </c>
      <c r="AT97" s="431">
        <f>IF(ISERROR(VLOOKUP(D97,'Base de Datos'!$C$7:$AU$400,14,0))=TRUE," ",(VLOOKUP(D97,'Base de Datos'!$C$7:$AU$400,14,0)))</f>
        <v>0</v>
      </c>
      <c r="AU97" s="429">
        <f>IF(ISERROR(VLOOKUP(D97,'Base de Datos'!$C$7:$AU$400,16,0))=TRUE," ",(VLOOKUP(D97,'Base de Datos'!$C$7:$AU$400,16,0)))</f>
        <v>0</v>
      </c>
      <c r="AV97" s="433" t="str">
        <f>IF(ISERROR(VLOOKUP(D97,'Base de Datos'!$C$7:$AU$400,17,0))=TRUE," ",(VLOOKUP(D97,'Base de Datos'!$C$7:$AU$400,17,0)))</f>
        <v/>
      </c>
      <c r="AW97" s="433" t="str">
        <f>IF(ISERROR(VLOOKUP(D97,'Base de Datos'!$C$7:$AU$400,18,0))=TRUE," ",(VLOOKUP(D97,'Base de Datos'!$C$7:$AU$400,18,0)))</f>
        <v/>
      </c>
      <c r="AX97" s="433" t="str">
        <f>IF(ISERROR(VLOOKUP(D97,'Base de Datos'!$C$7:$AU$400,19,0))=TRUE," ",(VLOOKUP(D97,'Base de Datos'!$C$7:$AU$400,19,0)))</f>
        <v/>
      </c>
      <c r="AY97" s="436">
        <f>IF(ISERROR(VLOOKUP(D97,'Base de Datos'!$C$7:$AU$400,21,0))=TRUE," ",(VLOOKUP(D97,'Base de Datos'!$C$7:$AU$400,21,0)))</f>
        <v>42250</v>
      </c>
      <c r="AZ97" s="436">
        <f>IF(ISERROR(VLOOKUP(D97,'Base de Datos'!$C$7:$AU$400,22,0))=TRUE," ",(VLOOKUP(D97,'Base de Datos'!$C$7:$AU$400,22,0)))</f>
        <v>11167296</v>
      </c>
      <c r="BA97" s="443"/>
      <c r="BB97" s="453"/>
    </row>
    <row r="98" spans="2:54" ht="55.5" hidden="1" customHeight="1" x14ac:dyDescent="0.3">
      <c r="B98" s="406">
        <v>91</v>
      </c>
      <c r="C98" s="414" t="s">
        <v>1674</v>
      </c>
      <c r="D98" s="406">
        <v>72</v>
      </c>
      <c r="E98" s="414" t="s">
        <v>1678</v>
      </c>
      <c r="F98" s="415" t="e">
        <f>VLOOKUP(D98,'Presupuesto - PAA 2015'!$B$10:$E$265,4,0)</f>
        <v>#N/A</v>
      </c>
      <c r="G98" s="407" t="str">
        <f>VLOOKUP(D98,'[4]Seguimiento Plan'!$C$2:$R$101,16,0)</f>
        <v>Adquisición e instalación tableros eléctricos de red normal  del Concejo de Bogotá.</v>
      </c>
      <c r="H98" s="407" t="s">
        <v>1776</v>
      </c>
      <c r="I98" s="407" t="s">
        <v>1711</v>
      </c>
      <c r="J98" s="416" t="s">
        <v>909</v>
      </c>
      <c r="K98" s="417"/>
      <c r="L98" s="417" t="str">
        <f>VLOOKUP(D98,'[4]Seguimiento Plan'!$C$2:$AJ$101,30,0)</f>
        <v>NA</v>
      </c>
      <c r="M98" s="418">
        <f>VLOOKUP(D98,'[4]Seguimiento Plan'!$C$2:$AJ$101,31,0)</f>
        <v>0</v>
      </c>
      <c r="N98" s="417"/>
      <c r="O98" s="419"/>
      <c r="P98" s="419"/>
      <c r="Q98" s="419"/>
      <c r="R98" s="417" t="s">
        <v>1813</v>
      </c>
      <c r="S98" s="420"/>
      <c r="T98" s="421"/>
      <c r="U98" s="423" t="str">
        <f>IF(ISERROR(VLOOKUP(T98,'Base de Datos'!$E$7:$AU$302,3,0))=TRUE," ",(VLOOKUP(T98,'Base de Datos'!$E$7:$AU$302,2,0)))</f>
        <v xml:space="preserve"> </v>
      </c>
      <c r="V98" s="426" t="str">
        <f>IF(ISERROR(VLOOKUP(T98,'Base de Datos'!$E$7:$AU$302,5,0))=TRUE," ",(VLOOKUP(T98,'Base de Datos'!$E$7:$AU$302,5,0)))</f>
        <v xml:space="preserve"> </v>
      </c>
      <c r="W98" s="423" t="str">
        <f>IF(ISERROR(VLOOKUP(T98,'Base de Datos'!$E$7:$AU$302,19,0))=TRUE," ",(VLOOKUP(T98,'Base de Datos'!$E$7:$AU$302,19,0)))</f>
        <v xml:space="preserve"> </v>
      </c>
      <c r="X98" s="428" t="str">
        <f>IF(ISERROR(VLOOKUP(T98,'Base de Datos'!$E$7:$AU$302,8,0))=TRUE," ",(VLOOKUP(T98,'Base de Datos'!$E$7:$AU$302,8,0)))</f>
        <v xml:space="preserve"> </v>
      </c>
      <c r="Y98" s="428" t="str">
        <f>IF(ISERROR(VLOOKUP(T98,'Base de Datos'!$E$7:$AU$302,9,0))=TRUE," ",(VLOOKUP(T98,'Base de Datos'!$E$7:$AU$302,9,0)))</f>
        <v xml:space="preserve"> </v>
      </c>
      <c r="Z98" s="422" t="str">
        <f>IF(ISERROR(VLOOKUP(T98,'Base de Datos'!$E$7:$AU$302,10,0))=TRUE," ",(VLOOKUP(T98,'Base de Datos'!$E$7:$AU$302,10,0)))</f>
        <v xml:space="preserve"> </v>
      </c>
      <c r="AA98" s="425" t="str">
        <f>IF(ISERROR(VLOOKUP(T98,'Base de Datos'!$E$7:$AU$302,11,0))=TRUE," ",(VLOOKUP(T98,'Base de Datos'!$E$7:$AU$302,11,0)))</f>
        <v xml:space="preserve"> </v>
      </c>
      <c r="AB98" s="422" t="str">
        <f>IF(ISERROR(VLOOKUP(T98,'Base de Datos'!$E$7:$AU$302,12,0))=TRUE," ",(VLOOKUP(T98,'Base de Datos'!$E$7:$AU$302,12,0)))</f>
        <v xml:space="preserve"> </v>
      </c>
      <c r="AC98" s="422" t="str">
        <f>IF(ISERROR(VLOOKUP(T98,'Base de Datos'!$E$7:$AU$302,12,0))=TRUE," ",(VLOOKUP(T98,'Base de Datos'!$E$7:$AU$302,12,0)))</f>
        <v xml:space="preserve"> </v>
      </c>
      <c r="AD98" s="428" t="str">
        <f>IF(ISERROR(VLOOKUP(T98,'Base de Datos'!$E$7:$AU$302,15,0))=TRUE," ",(VLOOKUP(T98,'Base de Datos'!$E$7:$AU$302,15,0)))</f>
        <v xml:space="preserve"> </v>
      </c>
      <c r="AE98" s="433" t="str">
        <f>IF(ISERROR(VLOOKUP(T98,'Base de Datos'!$E$7:$AU$302,16,0))=TRUE," ",(VLOOKUP(T98,'Base de Datos'!$E$7:$AU$302,16,0)))</f>
        <v xml:space="preserve"> </v>
      </c>
      <c r="AF98" s="433" t="str">
        <f>IF(ISERROR(VLOOKUP(T98,'Base de Datos'!$E$7:$AU$302,17,0))=TRUE," ",(VLOOKUP(T98,'Base de Datos'!$E$7:$AU$302,17,0)))</f>
        <v xml:space="preserve"> </v>
      </c>
      <c r="AG98" s="433" t="str">
        <f>IF(ISERROR(VLOOKUP(T98,'Base de Datos'!$E$7:$AU$302,18,0))=TRUE," ",(VLOOKUP(T98,'Base de Datos'!$E$7:$AU$302,18,0)))</f>
        <v xml:space="preserve"> </v>
      </c>
      <c r="AH98" s="434" t="str">
        <f>IF(ISERROR(VLOOKUP(T98,'Base de Datos'!$E$7:$AU$302,20,0))=TRUE," ",(VLOOKUP(T98,'Base de Datos'!$E$7:$AU$302,20,0)))</f>
        <v xml:space="preserve"> </v>
      </c>
      <c r="AI98" s="434" t="str">
        <f>IF(ISERROR(VLOOKUP(T98,'Base de Datos'!$E$7:$AU$302,21,0))=TRUE," ",(VLOOKUP(T98,'Base de Datos'!$E$7:$AU$302,21,0)))</f>
        <v xml:space="preserve"> </v>
      </c>
      <c r="AJ98" s="423"/>
      <c r="AK98" s="423" t="str">
        <f>IF(ISERROR(VLOOKUP(D98,'Base de Datos'!$C$7:$AU$400,2,0))=TRUE," ",(VLOOKUP(D98,'Base de Datos'!$C$7:$AU$400,2,0)))</f>
        <v xml:space="preserve"> </v>
      </c>
      <c r="AL98" s="423" t="str">
        <f>IF(ISERROR(VLOOKUP(D98,'Base de Datos'!$C$7:$AU$400,3,0))=TRUE," ",(VLOOKUP(D98,'Base de Datos'!$C$7:$AU$400,3,0)))</f>
        <v xml:space="preserve"> </v>
      </c>
      <c r="AM98" s="426" t="str">
        <f>IF(ISERROR(VLOOKUP(D98,'Base de Datos'!$C$7:$AU$3761,6,0))=TRUE," ",(VLOOKUP(D98,'Base de Datos'!$C$7:$AU$400,6,0)))</f>
        <v xml:space="preserve"> </v>
      </c>
      <c r="AN98" s="426" t="str">
        <f>IF(ISERROR(VLOOKUP(D98,'Base de Datos'!$C$7:$AU$400,20,0))=TRUE," ",(VLOOKUP(D98,'Base de Datos'!$C$7:$AU$400,19,0)))</f>
        <v xml:space="preserve"> </v>
      </c>
      <c r="AO98" s="429" t="str">
        <f>IF(ISERROR(VLOOKUP(D98,'Base de Datos'!$C$7:$AU$400,9,0))=TRUE," ",(VLOOKUP(D98,'Base de Datos'!$C$7:$AU$400,9,0)))</f>
        <v xml:space="preserve"> </v>
      </c>
      <c r="AP98" s="429" t="str">
        <f>IF(ISERROR(VLOOKUP(D98,'Base de Datos'!$C$7:$AU$400,10,0))=TRUE," ",(VLOOKUP(D98,'Base de Datos'!$C$7:$AU$400,10,0)))</f>
        <v xml:space="preserve"> </v>
      </c>
      <c r="AQ98" s="431" t="str">
        <f>IF(ISERROR(VLOOKUP(D98,'Base de Datos'!$C$7:$AU$400,11,0))=TRUE," ",(VLOOKUP(D98,'Base de Datos'!$C$7:$AU$400,11,0)))</f>
        <v xml:space="preserve"> </v>
      </c>
      <c r="AR98" s="432" t="str">
        <f>IF(ISERROR(VLOOKUP(D98,'Base de Datos'!$C$7:$AU$400,12,0))=TRUE," ",(VLOOKUP(D98,'Base de Datos'!$C$7:$AU$400,12,0)))</f>
        <v xml:space="preserve"> </v>
      </c>
      <c r="AS98" s="431" t="str">
        <f>IF(ISERROR(VLOOKUP(D98,'Base de Datos'!$C$7:$AU$400,13,0))=TRUE," ",(VLOOKUP(D98,'Base de Datos'!$C$7:$AU$400,13,0)))</f>
        <v xml:space="preserve"> </v>
      </c>
      <c r="AT98" s="431" t="str">
        <f>IF(ISERROR(VLOOKUP(D98,'Base de Datos'!$C$7:$AU$400,14,0))=TRUE," ",(VLOOKUP(D98,'Base de Datos'!$C$7:$AU$400,14,0)))</f>
        <v xml:space="preserve"> </v>
      </c>
      <c r="AU98" s="429" t="str">
        <f>IF(ISERROR(VLOOKUP(D98,'Base de Datos'!$C$7:$AU$400,16,0))=TRUE," ",(VLOOKUP(D98,'Base de Datos'!$C$7:$AU$400,16,0)))</f>
        <v xml:space="preserve"> </v>
      </c>
      <c r="AV98" s="433" t="str">
        <f>IF(ISERROR(VLOOKUP(D98,'Base de Datos'!$C$7:$AU$400,17,0))=TRUE," ",(VLOOKUP(D98,'Base de Datos'!$C$7:$AU$400,17,0)))</f>
        <v xml:space="preserve"> </v>
      </c>
      <c r="AW98" s="433" t="str">
        <f>IF(ISERROR(VLOOKUP(D98,'Base de Datos'!$C$7:$AU$400,18,0))=TRUE," ",(VLOOKUP(D98,'Base de Datos'!$C$7:$AU$400,18,0)))</f>
        <v xml:space="preserve"> </v>
      </c>
      <c r="AX98" s="433" t="str">
        <f>IF(ISERROR(VLOOKUP(D98,'Base de Datos'!$C$7:$AU$400,19,0))=TRUE," ",(VLOOKUP(D98,'Base de Datos'!$C$7:$AU$400,19,0)))</f>
        <v xml:space="preserve"> </v>
      </c>
      <c r="AY98" s="436" t="str">
        <f>IF(ISERROR(VLOOKUP(D98,'Base de Datos'!$C$7:$AU$400,21,0))=TRUE," ",(VLOOKUP(D98,'Base de Datos'!$C$7:$AU$400,21,0)))</f>
        <v xml:space="preserve"> </v>
      </c>
      <c r="AZ98" s="436" t="str">
        <f>IF(ISERROR(VLOOKUP(D98,'Base de Datos'!$C$7:$AU$400,22,0))=TRUE," ",(VLOOKUP(D98,'Base de Datos'!$C$7:$AU$400,22,0)))</f>
        <v xml:space="preserve"> </v>
      </c>
      <c r="BA98" s="443"/>
      <c r="BB98" s="453"/>
    </row>
    <row r="99" spans="2:54" ht="55.5" hidden="1" customHeight="1" x14ac:dyDescent="0.3">
      <c r="B99" s="406">
        <v>92</v>
      </c>
      <c r="C99" s="414" t="s">
        <v>1674</v>
      </c>
      <c r="D99" s="406">
        <v>73</v>
      </c>
      <c r="E99" s="414" t="s">
        <v>1678</v>
      </c>
      <c r="F99" s="415">
        <f>VLOOKUP(D99,'Presupuesto - PAA 2015'!$B$10:$E$265,4,0)</f>
        <v>0</v>
      </c>
      <c r="G99" s="407" t="str">
        <f>VLOOKUP(D99,'[4]Seguimiento Plan'!$C$2:$R$101,16,0)</f>
        <v>Adquisición de licencias Oracle  para el Concejo de Bogotá.</v>
      </c>
      <c r="H99" s="407" t="s">
        <v>1776</v>
      </c>
      <c r="I99" s="407" t="s">
        <v>1711</v>
      </c>
      <c r="J99" s="416" t="s">
        <v>908</v>
      </c>
      <c r="K99" s="417" t="s">
        <v>390</v>
      </c>
      <c r="L99" s="417" t="str">
        <f>VLOOKUP(D99,'[4]Seguimiento Plan'!$C$2:$AJ$101,30,0)</f>
        <v>SI</v>
      </c>
      <c r="M99" s="418">
        <f>VLOOKUP(D99,'[4]Seguimiento Plan'!$C$2:$AJ$101,31,0)</f>
        <v>42009</v>
      </c>
      <c r="N99" s="417" t="s">
        <v>1811</v>
      </c>
      <c r="O99" s="419"/>
      <c r="P99" s="419"/>
      <c r="Q99" s="419"/>
      <c r="R99" s="420"/>
      <c r="S99" s="420"/>
      <c r="T99" s="421"/>
      <c r="U99" s="423" t="str">
        <f>IF(ISERROR(VLOOKUP(T99,'Base de Datos'!$E$7:$AU$302,3,0))=TRUE," ",(VLOOKUP(T99,'Base de Datos'!$E$7:$AU$302,2,0)))</f>
        <v xml:space="preserve"> </v>
      </c>
      <c r="V99" s="426" t="str">
        <f>IF(ISERROR(VLOOKUP(T99,'Base de Datos'!$E$7:$AU$302,5,0))=TRUE," ",(VLOOKUP(T99,'Base de Datos'!$E$7:$AU$302,5,0)))</f>
        <v xml:space="preserve"> </v>
      </c>
      <c r="W99" s="423" t="str">
        <f>IF(ISERROR(VLOOKUP(T99,'Base de Datos'!$E$7:$AU$302,19,0))=TRUE," ",(VLOOKUP(T99,'Base de Datos'!$E$7:$AU$302,19,0)))</f>
        <v xml:space="preserve"> </v>
      </c>
      <c r="X99" s="428" t="str">
        <f>IF(ISERROR(VLOOKUP(T99,'Base de Datos'!$E$7:$AU$302,8,0))=TRUE," ",(VLOOKUP(T99,'Base de Datos'!$E$7:$AU$302,8,0)))</f>
        <v xml:space="preserve"> </v>
      </c>
      <c r="Y99" s="428" t="str">
        <f>IF(ISERROR(VLOOKUP(T99,'Base de Datos'!$E$7:$AU$302,9,0))=TRUE," ",(VLOOKUP(T99,'Base de Datos'!$E$7:$AU$302,9,0)))</f>
        <v xml:space="preserve"> </v>
      </c>
      <c r="Z99" s="422" t="str">
        <f>IF(ISERROR(VLOOKUP(T99,'Base de Datos'!$E$7:$AU$302,10,0))=TRUE," ",(VLOOKUP(T99,'Base de Datos'!$E$7:$AU$302,10,0)))</f>
        <v xml:space="preserve"> </v>
      </c>
      <c r="AA99" s="425" t="str">
        <f>IF(ISERROR(VLOOKUP(T99,'Base de Datos'!$E$7:$AU$302,11,0))=TRUE," ",(VLOOKUP(T99,'Base de Datos'!$E$7:$AU$302,11,0)))</f>
        <v xml:space="preserve"> </v>
      </c>
      <c r="AB99" s="422" t="str">
        <f>IF(ISERROR(VLOOKUP(T99,'Base de Datos'!$E$7:$AU$302,12,0))=TRUE," ",(VLOOKUP(T99,'Base de Datos'!$E$7:$AU$302,12,0)))</f>
        <v xml:space="preserve"> </v>
      </c>
      <c r="AC99" s="422" t="str">
        <f>IF(ISERROR(VLOOKUP(T99,'Base de Datos'!$E$7:$AU$302,12,0))=TRUE," ",(VLOOKUP(T99,'Base de Datos'!$E$7:$AU$302,12,0)))</f>
        <v xml:space="preserve"> </v>
      </c>
      <c r="AD99" s="428" t="str">
        <f>IF(ISERROR(VLOOKUP(T99,'Base de Datos'!$E$7:$AU$302,15,0))=TRUE," ",(VLOOKUP(T99,'Base de Datos'!$E$7:$AU$302,15,0)))</f>
        <v xml:space="preserve"> </v>
      </c>
      <c r="AE99" s="433" t="str">
        <f>IF(ISERROR(VLOOKUP(T99,'Base de Datos'!$E$7:$AU$302,16,0))=TRUE," ",(VLOOKUP(T99,'Base de Datos'!$E$7:$AU$302,16,0)))</f>
        <v xml:space="preserve"> </v>
      </c>
      <c r="AF99" s="433" t="str">
        <f>IF(ISERROR(VLOOKUP(T99,'Base de Datos'!$E$7:$AU$302,17,0))=TRUE," ",(VLOOKUP(T99,'Base de Datos'!$E$7:$AU$302,17,0)))</f>
        <v xml:space="preserve"> </v>
      </c>
      <c r="AG99" s="433" t="str">
        <f>IF(ISERROR(VLOOKUP(T99,'Base de Datos'!$E$7:$AU$302,18,0))=TRUE," ",(VLOOKUP(T99,'Base de Datos'!$E$7:$AU$302,18,0)))</f>
        <v xml:space="preserve"> </v>
      </c>
      <c r="AH99" s="434" t="str">
        <f>IF(ISERROR(VLOOKUP(T99,'Base de Datos'!$E$7:$AU$302,20,0))=TRUE," ",(VLOOKUP(T99,'Base de Datos'!$E$7:$AU$302,20,0)))</f>
        <v xml:space="preserve"> </v>
      </c>
      <c r="AI99" s="434" t="str">
        <f>IF(ISERROR(VLOOKUP(T99,'Base de Datos'!$E$7:$AU$302,21,0))=TRUE," ",(VLOOKUP(T99,'Base de Datos'!$E$7:$AU$302,21,0)))</f>
        <v xml:space="preserve"> </v>
      </c>
      <c r="AJ99" s="423"/>
      <c r="AK99" s="423" t="str">
        <f>IF(ISERROR(VLOOKUP(D99,'Base de Datos'!$C$7:$AU$400,2,0))=TRUE," ",(VLOOKUP(D99,'Base de Datos'!$C$7:$AU$400,2,0)))</f>
        <v xml:space="preserve"> </v>
      </c>
      <c r="AL99" s="423" t="str">
        <f>IF(ISERROR(VLOOKUP(D99,'Base de Datos'!$C$7:$AU$400,3,0))=TRUE," ",(VLOOKUP(D99,'Base de Datos'!$C$7:$AU$400,3,0)))</f>
        <v xml:space="preserve"> </v>
      </c>
      <c r="AM99" s="426" t="e">
        <f>IF(ISERROR(VLOOKUP(D99,'Base de Datos'!$C$7:$AU$3761,6,0))=TRUE," ",(VLOOKUP(D99,'Base de Datos'!$C$7:$AU$400,6,0)))</f>
        <v>#N/A</v>
      </c>
      <c r="AN99" s="426" t="str">
        <f>IF(ISERROR(VLOOKUP(D99,'Base de Datos'!$C$7:$AU$400,20,0))=TRUE," ",(VLOOKUP(D99,'Base de Datos'!$C$7:$AU$400,19,0)))</f>
        <v xml:space="preserve"> </v>
      </c>
      <c r="AO99" s="429" t="str">
        <f>IF(ISERROR(VLOOKUP(D99,'Base de Datos'!$C$7:$AU$400,9,0))=TRUE," ",(VLOOKUP(D99,'Base de Datos'!$C$7:$AU$400,9,0)))</f>
        <v xml:space="preserve"> </v>
      </c>
      <c r="AP99" s="429" t="str">
        <f>IF(ISERROR(VLOOKUP(D99,'Base de Datos'!$C$7:$AU$400,10,0))=TRUE," ",(VLOOKUP(D99,'Base de Datos'!$C$7:$AU$400,10,0)))</f>
        <v xml:space="preserve"> </v>
      </c>
      <c r="AQ99" s="431" t="str">
        <f>IF(ISERROR(VLOOKUP(D99,'Base de Datos'!$C$7:$AU$400,11,0))=TRUE," ",(VLOOKUP(D99,'Base de Datos'!$C$7:$AU$400,11,0)))</f>
        <v xml:space="preserve"> </v>
      </c>
      <c r="AR99" s="432" t="str">
        <f>IF(ISERROR(VLOOKUP(D99,'Base de Datos'!$C$7:$AU$400,12,0))=TRUE," ",(VLOOKUP(D99,'Base de Datos'!$C$7:$AU$400,12,0)))</f>
        <v xml:space="preserve"> </v>
      </c>
      <c r="AS99" s="431" t="str">
        <f>IF(ISERROR(VLOOKUP(D99,'Base de Datos'!$C$7:$AU$400,13,0))=TRUE," ",(VLOOKUP(D99,'Base de Datos'!$C$7:$AU$400,13,0)))</f>
        <v xml:space="preserve"> </v>
      </c>
      <c r="AT99" s="431" t="str">
        <f>IF(ISERROR(VLOOKUP(D99,'Base de Datos'!$C$7:$AU$400,14,0))=TRUE," ",(VLOOKUP(D99,'Base de Datos'!$C$7:$AU$400,14,0)))</f>
        <v xml:space="preserve"> </v>
      </c>
      <c r="AU99" s="429" t="str">
        <f>IF(ISERROR(VLOOKUP(D99,'Base de Datos'!$C$7:$AU$400,16,0))=TRUE," ",(VLOOKUP(D99,'Base de Datos'!$C$7:$AU$400,16,0)))</f>
        <v xml:space="preserve"> </v>
      </c>
      <c r="AV99" s="433" t="str">
        <f>IF(ISERROR(VLOOKUP(D99,'Base de Datos'!$C$7:$AU$400,17,0))=TRUE," ",(VLOOKUP(D99,'Base de Datos'!$C$7:$AU$400,17,0)))</f>
        <v xml:space="preserve"> </v>
      </c>
      <c r="AW99" s="433" t="str">
        <f>IF(ISERROR(VLOOKUP(D99,'Base de Datos'!$C$7:$AU$400,18,0))=TRUE," ",(VLOOKUP(D99,'Base de Datos'!$C$7:$AU$400,18,0)))</f>
        <v xml:space="preserve"> </v>
      </c>
      <c r="AX99" s="433" t="str">
        <f>IF(ISERROR(VLOOKUP(D99,'Base de Datos'!$C$7:$AU$400,19,0))=TRUE," ",(VLOOKUP(D99,'Base de Datos'!$C$7:$AU$400,19,0)))</f>
        <v xml:space="preserve"> </v>
      </c>
      <c r="AY99" s="436" t="str">
        <f>IF(ISERROR(VLOOKUP(D99,'Base de Datos'!$C$7:$AU$400,21,0))=TRUE," ",(VLOOKUP(D99,'Base de Datos'!$C$7:$AU$400,21,0)))</f>
        <v xml:space="preserve"> </v>
      </c>
      <c r="AZ99" s="436" t="str">
        <f>IF(ISERROR(VLOOKUP(D99,'Base de Datos'!$C$7:$AU$400,22,0))=TRUE," ",(VLOOKUP(D99,'Base de Datos'!$C$7:$AU$400,22,0)))</f>
        <v xml:space="preserve"> </v>
      </c>
      <c r="BA99" s="443"/>
      <c r="BB99" s="453"/>
    </row>
    <row r="100" spans="2:54" ht="55.5" hidden="1" customHeight="1" x14ac:dyDescent="0.3">
      <c r="B100" s="406">
        <v>93</v>
      </c>
      <c r="C100" s="414" t="s">
        <v>1674</v>
      </c>
      <c r="D100" s="406">
        <v>74</v>
      </c>
      <c r="E100" s="414" t="s">
        <v>1678</v>
      </c>
      <c r="F100" s="415">
        <f>VLOOKUP(D100,'Presupuesto - PAA 2015'!$B$10:$E$265,4,0)</f>
        <v>1544000000</v>
      </c>
      <c r="G100" s="407" t="str">
        <f>VLOOKUP(D100,'[4]Seguimiento Plan'!$C$2:$R$101,16,0)</f>
        <v>Adquisición de los equipos de red Switches para el Concejo de Bogotá.</v>
      </c>
      <c r="H100" s="407" t="s">
        <v>1776</v>
      </c>
      <c r="I100" s="407" t="s">
        <v>1711</v>
      </c>
      <c r="J100" s="416" t="s">
        <v>1733</v>
      </c>
      <c r="K100" s="417"/>
      <c r="L100" s="417"/>
      <c r="M100" s="418"/>
      <c r="N100" s="417"/>
      <c r="O100" s="419"/>
      <c r="P100" s="419"/>
      <c r="Q100" s="419"/>
      <c r="R100" s="420"/>
      <c r="S100" s="420"/>
      <c r="T100" s="421"/>
      <c r="U100" s="423" t="str">
        <f>IF(ISERROR(VLOOKUP(T100,'Base de Datos'!$E$7:$AU$302,3,0))=TRUE," ",(VLOOKUP(T100,'Base de Datos'!$E$7:$AU$302,2,0)))</f>
        <v xml:space="preserve"> </v>
      </c>
      <c r="V100" s="426" t="str">
        <f>IF(ISERROR(VLOOKUP(T100,'Base de Datos'!$E$7:$AU$302,5,0))=TRUE," ",(VLOOKUP(T100,'Base de Datos'!$E$7:$AU$302,5,0)))</f>
        <v xml:space="preserve"> </v>
      </c>
      <c r="W100" s="423" t="str">
        <f>IF(ISERROR(VLOOKUP(T100,'Base de Datos'!$E$7:$AU$302,19,0))=TRUE," ",(VLOOKUP(T100,'Base de Datos'!$E$7:$AU$302,19,0)))</f>
        <v xml:space="preserve"> </v>
      </c>
      <c r="X100" s="428" t="str">
        <f>IF(ISERROR(VLOOKUP(T100,'Base de Datos'!$E$7:$AU$302,8,0))=TRUE," ",(VLOOKUP(T100,'Base de Datos'!$E$7:$AU$302,8,0)))</f>
        <v xml:space="preserve"> </v>
      </c>
      <c r="Y100" s="428" t="str">
        <f>IF(ISERROR(VLOOKUP(T100,'Base de Datos'!$E$7:$AU$302,9,0))=TRUE," ",(VLOOKUP(T100,'Base de Datos'!$E$7:$AU$302,9,0)))</f>
        <v xml:space="preserve"> </v>
      </c>
      <c r="Z100" s="422" t="str">
        <f>IF(ISERROR(VLOOKUP(T100,'Base de Datos'!$E$7:$AU$302,10,0))=TRUE," ",(VLOOKUP(T100,'Base de Datos'!$E$7:$AU$302,10,0)))</f>
        <v xml:space="preserve"> </v>
      </c>
      <c r="AA100" s="425" t="str">
        <f>IF(ISERROR(VLOOKUP(T100,'Base de Datos'!$E$7:$AU$302,11,0))=TRUE," ",(VLOOKUP(T100,'Base de Datos'!$E$7:$AU$302,11,0)))</f>
        <v xml:space="preserve"> </v>
      </c>
      <c r="AB100" s="422" t="str">
        <f>IF(ISERROR(VLOOKUP(T100,'Base de Datos'!$E$7:$AU$302,12,0))=TRUE," ",(VLOOKUP(T100,'Base de Datos'!$E$7:$AU$302,12,0)))</f>
        <v xml:space="preserve"> </v>
      </c>
      <c r="AC100" s="422" t="str">
        <f>IF(ISERROR(VLOOKUP(T100,'Base de Datos'!$E$7:$AU$302,12,0))=TRUE," ",(VLOOKUP(T100,'Base de Datos'!$E$7:$AU$302,12,0)))</f>
        <v xml:space="preserve"> </v>
      </c>
      <c r="AD100" s="428" t="str">
        <f>IF(ISERROR(VLOOKUP(T100,'Base de Datos'!$E$7:$AU$302,15,0))=TRUE," ",(VLOOKUP(T100,'Base de Datos'!$E$7:$AU$302,15,0)))</f>
        <v xml:space="preserve"> </v>
      </c>
      <c r="AE100" s="433" t="str">
        <f>IF(ISERROR(VLOOKUP(T100,'Base de Datos'!$E$7:$AU$302,16,0))=TRUE," ",(VLOOKUP(T100,'Base de Datos'!$E$7:$AU$302,16,0)))</f>
        <v xml:space="preserve"> </v>
      </c>
      <c r="AF100" s="433" t="str">
        <f>IF(ISERROR(VLOOKUP(T100,'Base de Datos'!$E$7:$AU$302,17,0))=TRUE," ",(VLOOKUP(T100,'Base de Datos'!$E$7:$AU$302,17,0)))</f>
        <v xml:space="preserve"> </v>
      </c>
      <c r="AG100" s="433" t="str">
        <f>IF(ISERROR(VLOOKUP(T100,'Base de Datos'!$E$7:$AU$302,18,0))=TRUE," ",(VLOOKUP(T100,'Base de Datos'!$E$7:$AU$302,18,0)))</f>
        <v xml:space="preserve"> </v>
      </c>
      <c r="AH100" s="434" t="str">
        <f>IF(ISERROR(VLOOKUP(T100,'Base de Datos'!$E$7:$AU$302,20,0))=TRUE," ",(VLOOKUP(T100,'Base de Datos'!$E$7:$AU$302,20,0)))</f>
        <v xml:space="preserve"> </v>
      </c>
      <c r="AI100" s="434" t="str">
        <f>IF(ISERROR(VLOOKUP(T100,'Base de Datos'!$E$7:$AU$302,21,0))=TRUE," ",(VLOOKUP(T100,'Base de Datos'!$E$7:$AU$302,21,0)))</f>
        <v xml:space="preserve"> </v>
      </c>
      <c r="AJ100" s="423"/>
      <c r="AK100" s="423" t="str">
        <f>IF(ISERROR(VLOOKUP(D100,'Base de Datos'!$C$7:$AU$400,2,0))=TRUE," ",(VLOOKUP(D100,'Base de Datos'!$C$7:$AU$400,2,0)))</f>
        <v>201574</v>
      </c>
      <c r="AL100" s="423" t="str">
        <f>IF(ISERROR(VLOOKUP(D100,'Base de Datos'!$C$7:$AU$400,3,0))=TRUE," ",(VLOOKUP(D100,'Base de Datos'!$C$7:$AU$400,3,0)))</f>
        <v>150382-0-2015</v>
      </c>
      <c r="AM100" s="426" t="str">
        <f>IF(ISERROR(VLOOKUP(D100,'Base de Datos'!$C$7:$AU$3761,6,0))=TRUE," ",(VLOOKUP(D100,'Base de Datos'!$C$7:$AU$400,6,0)))</f>
        <v>Contratar la adquisición de equipos de red switches para el Concejo de Bogotá, de conformidad con el alcance del objeto y lo señalado en el pliego de condiciones del proceso SDH-SIE-14-2015, en la Ficha Técnica y en la propuesta.</v>
      </c>
      <c r="AN100" s="426" t="str">
        <f>IF(ISERROR(VLOOKUP(D100,'Base de Datos'!$C$7:$AU$400,20,0))=TRUE," ",(VLOOKUP(D100,'Base de Datos'!$C$7:$AU$400,19,0)))</f>
        <v/>
      </c>
      <c r="AO100" s="429">
        <f>IF(ISERROR(VLOOKUP(D100,'Base de Datos'!$C$7:$AU$400,9,0))=TRUE," ",(VLOOKUP(D100,'Base de Datos'!$C$7:$AU$400,9,0)))</f>
        <v>2015</v>
      </c>
      <c r="AP100" s="429">
        <f>IF(ISERROR(VLOOKUP(D100,'Base de Datos'!$C$7:$AU$400,10,0))=TRUE," ",(VLOOKUP(D100,'Base de Datos'!$C$7:$AU$400,10,0)))</f>
        <v>42311</v>
      </c>
      <c r="AQ100" s="431">
        <f>IF(ISERROR(VLOOKUP(D100,'Base de Datos'!$C$7:$AU$400,11,0))=TRUE," ",(VLOOKUP(D100,'Base de Datos'!$C$7:$AU$400,11,0)))</f>
        <v>42333</v>
      </c>
      <c r="AR100" s="432">
        <f>IF(ISERROR(VLOOKUP(D100,'Base de Datos'!$C$7:$AU$400,12,0))=TRUE," ",(VLOOKUP(D100,'Base de Datos'!$C$7:$AU$400,12,0)))</f>
        <v>42515</v>
      </c>
      <c r="AS100" s="431" t="str">
        <f>IF(ISERROR(VLOOKUP(D100,'Base de Datos'!$C$7:$AU$400,13,0))=TRUE," ",(VLOOKUP(D100,'Base de Datos'!$C$7:$AU$400,13,0)))</f>
        <v/>
      </c>
      <c r="AT100" s="431">
        <f>IF(ISERROR(VLOOKUP(D100,'Base de Datos'!$C$7:$AU$400,14,0))=TRUE," ",(VLOOKUP(D100,'Base de Datos'!$C$7:$AU$400,14,0)))</f>
        <v>0</v>
      </c>
      <c r="AU100" s="429">
        <f>IF(ISERROR(VLOOKUP(D100,'Base de Datos'!$C$7:$AU$400,16,0))=TRUE," ",(VLOOKUP(D100,'Base de Datos'!$C$7:$AU$400,16,0)))</f>
        <v>0</v>
      </c>
      <c r="AV100" s="433" t="str">
        <f>IF(ISERROR(VLOOKUP(D100,'Base de Datos'!$C$7:$AU$400,17,0))=TRUE," ",(VLOOKUP(D100,'Base de Datos'!$C$7:$AU$400,17,0)))</f>
        <v/>
      </c>
      <c r="AW100" s="433" t="str">
        <f>IF(ISERROR(VLOOKUP(D100,'Base de Datos'!$C$7:$AU$400,18,0))=TRUE," ",(VLOOKUP(D100,'Base de Datos'!$C$7:$AU$400,18,0)))</f>
        <v/>
      </c>
      <c r="AX100" s="433" t="str">
        <f>IF(ISERROR(VLOOKUP(D100,'Base de Datos'!$C$7:$AU$400,19,0))=TRUE," ",(VLOOKUP(D100,'Base de Datos'!$C$7:$AU$400,19,0)))</f>
        <v/>
      </c>
      <c r="AY100" s="436">
        <f>IF(ISERROR(VLOOKUP(D100,'Base de Datos'!$C$7:$AU$400,21,0))=TRUE," ",(VLOOKUP(D100,'Base de Datos'!$C$7:$AU$400,21,0)))</f>
        <v>42515</v>
      </c>
      <c r="AZ100" s="436">
        <f>IF(ISERROR(VLOOKUP(D100,'Base de Datos'!$C$7:$AU$400,22,0))=TRUE," ",(VLOOKUP(D100,'Base de Datos'!$C$7:$AU$400,22,0)))</f>
        <v>1512217703</v>
      </c>
      <c r="BA100" s="443"/>
      <c r="BB100" s="453"/>
    </row>
    <row r="101" spans="2:54" ht="55.5" hidden="1" customHeight="1" x14ac:dyDescent="0.3">
      <c r="B101" s="406">
        <v>94</v>
      </c>
      <c r="C101" s="414" t="s">
        <v>1674</v>
      </c>
      <c r="D101" s="406">
        <v>75</v>
      </c>
      <c r="E101" s="414" t="s">
        <v>1678</v>
      </c>
      <c r="F101" s="415">
        <f>VLOOKUP(D101,'Presupuesto - PAA 2015'!$B$10:$E$265,4,0)</f>
        <v>8086410</v>
      </c>
      <c r="G101" s="407" t="s">
        <v>1777</v>
      </c>
      <c r="H101" s="407" t="s">
        <v>1776</v>
      </c>
      <c r="I101" s="407" t="s">
        <v>1711</v>
      </c>
      <c r="J101" s="416" t="s">
        <v>909</v>
      </c>
      <c r="K101" s="417" t="s">
        <v>390</v>
      </c>
      <c r="L101" s="417" t="str">
        <f>VLOOKUP(D101,'[4]Seguimiento Plan'!$C$2:$AJ$101,30,0)</f>
        <v>SI</v>
      </c>
      <c r="M101" s="418">
        <f>VLOOKUP(D101,'[4]Seguimiento Plan'!$C$2:$AJ$101,31,0)</f>
        <v>42045</v>
      </c>
      <c r="N101" s="417" t="s">
        <v>1814</v>
      </c>
      <c r="O101" s="419"/>
      <c r="P101" s="419"/>
      <c r="Q101" s="417" t="s">
        <v>390</v>
      </c>
      <c r="R101" s="420"/>
      <c r="S101" s="438" t="s">
        <v>1878</v>
      </c>
      <c r="T101" s="421"/>
      <c r="U101" s="423" t="str">
        <f>IF(ISERROR(VLOOKUP(T101,'Base de Datos'!$E$7:$AU$302,3,0))=TRUE," ",(VLOOKUP(T101,'Base de Datos'!$E$7:$AU$302,2,0)))</f>
        <v xml:space="preserve"> </v>
      </c>
      <c r="V101" s="426" t="str">
        <f>IF(ISERROR(VLOOKUP(T101,'Base de Datos'!$E$7:$AU$302,5,0))=TRUE," ",(VLOOKUP(T101,'Base de Datos'!$E$7:$AU$302,5,0)))</f>
        <v xml:space="preserve"> </v>
      </c>
      <c r="W101" s="423" t="str">
        <f>IF(ISERROR(VLOOKUP(T101,'Base de Datos'!$E$7:$AU$302,19,0))=TRUE," ",(VLOOKUP(T101,'Base de Datos'!$E$7:$AU$302,19,0)))</f>
        <v xml:space="preserve"> </v>
      </c>
      <c r="X101" s="428" t="str">
        <f>IF(ISERROR(VLOOKUP(T101,'Base de Datos'!$E$7:$AU$302,8,0))=TRUE," ",(VLOOKUP(T101,'Base de Datos'!$E$7:$AU$302,8,0)))</f>
        <v xml:space="preserve"> </v>
      </c>
      <c r="Y101" s="428" t="str">
        <f>IF(ISERROR(VLOOKUP(T101,'Base de Datos'!$E$7:$AU$302,9,0))=TRUE," ",(VLOOKUP(T101,'Base de Datos'!$E$7:$AU$302,9,0)))</f>
        <v xml:space="preserve"> </v>
      </c>
      <c r="Z101" s="422" t="str">
        <f>IF(ISERROR(VLOOKUP(T101,'Base de Datos'!$E$7:$AU$302,10,0))=TRUE," ",(VLOOKUP(T101,'Base de Datos'!$E$7:$AU$302,10,0)))</f>
        <v xml:space="preserve"> </v>
      </c>
      <c r="AA101" s="425" t="str">
        <f>IF(ISERROR(VLOOKUP(T101,'Base de Datos'!$E$7:$AU$302,11,0))=TRUE," ",(VLOOKUP(T101,'Base de Datos'!$E$7:$AU$302,11,0)))</f>
        <v xml:space="preserve"> </v>
      </c>
      <c r="AB101" s="422" t="str">
        <f>IF(ISERROR(VLOOKUP(T101,'Base de Datos'!$E$7:$AU$302,12,0))=TRUE," ",(VLOOKUP(T101,'Base de Datos'!$E$7:$AU$302,12,0)))</f>
        <v xml:space="preserve"> </v>
      </c>
      <c r="AC101" s="422" t="str">
        <f>IF(ISERROR(VLOOKUP(T101,'Base de Datos'!$E$7:$AU$302,12,0))=TRUE," ",(VLOOKUP(T101,'Base de Datos'!$E$7:$AU$302,12,0)))</f>
        <v xml:space="preserve"> </v>
      </c>
      <c r="AD101" s="428" t="str">
        <f>IF(ISERROR(VLOOKUP(T101,'Base de Datos'!$E$7:$AU$302,15,0))=TRUE," ",(VLOOKUP(T101,'Base de Datos'!$E$7:$AU$302,15,0)))</f>
        <v xml:space="preserve"> </v>
      </c>
      <c r="AE101" s="433" t="str">
        <f>IF(ISERROR(VLOOKUP(T101,'Base de Datos'!$E$7:$AU$302,16,0))=TRUE," ",(VLOOKUP(T101,'Base de Datos'!$E$7:$AU$302,16,0)))</f>
        <v xml:space="preserve"> </v>
      </c>
      <c r="AF101" s="433" t="str">
        <f>IF(ISERROR(VLOOKUP(T101,'Base de Datos'!$E$7:$AU$302,17,0))=TRUE," ",(VLOOKUP(T101,'Base de Datos'!$E$7:$AU$302,17,0)))</f>
        <v xml:space="preserve"> </v>
      </c>
      <c r="AG101" s="433" t="str">
        <f>IF(ISERROR(VLOOKUP(T101,'Base de Datos'!$E$7:$AU$302,18,0))=TRUE," ",(VLOOKUP(T101,'Base de Datos'!$E$7:$AU$302,18,0)))</f>
        <v xml:space="preserve"> </v>
      </c>
      <c r="AH101" s="434" t="str">
        <f>IF(ISERROR(VLOOKUP(T101,'Base de Datos'!$E$7:$AU$302,20,0))=TRUE," ",(VLOOKUP(T101,'Base de Datos'!$E$7:$AU$302,20,0)))</f>
        <v xml:space="preserve"> </v>
      </c>
      <c r="AI101" s="434" t="str">
        <f>IF(ISERROR(VLOOKUP(T101,'Base de Datos'!$E$7:$AU$302,21,0))=TRUE," ",(VLOOKUP(T101,'Base de Datos'!$E$7:$AU$302,21,0)))</f>
        <v xml:space="preserve"> </v>
      </c>
      <c r="AJ101" s="437">
        <v>42152</v>
      </c>
      <c r="AK101" s="423" t="str">
        <f>IF(ISERROR(VLOOKUP(D101,'Base de Datos'!$C$7:$AU$400,2,0))=TRUE," ",(VLOOKUP(D101,'Base de Datos'!$C$7:$AU$400,2,0)))</f>
        <v>201575</v>
      </c>
      <c r="AL101" s="423" t="str">
        <f>IF(ISERROR(VLOOKUP(D101,'Base de Datos'!$C$7:$AU$400,3,0))=TRUE," ",(VLOOKUP(D101,'Base de Datos'!$C$7:$AU$400,3,0)))</f>
        <v>150236-0-2015</v>
      </c>
      <c r="AM101" s="426" t="str">
        <f>IF(ISERROR(VLOOKUP(D101,'Base de Datos'!$C$7:$AU$3761,6,0))=TRUE," ",(VLOOKUP(D101,'Base de Datos'!$C$7:$AU$400,6,0)))</f>
        <v>Adquisición de memorias para repotenciación de equipos de cómputo para el Concejo de Bogotá D.C.</v>
      </c>
      <c r="AN101" s="426" t="str">
        <f>IF(ISERROR(VLOOKUP(D101,'Base de Datos'!$C$7:$AU$400,20,0))=TRUE," ",(VLOOKUP(D101,'Base de Datos'!$C$7:$AU$400,19,0)))</f>
        <v/>
      </c>
      <c r="AO101" s="429">
        <f>IF(ISERROR(VLOOKUP(D101,'Base de Datos'!$C$7:$AU$400,9,0))=TRUE," ",(VLOOKUP(D101,'Base de Datos'!$C$7:$AU$400,9,0)))</f>
        <v>2015</v>
      </c>
      <c r="AP101" s="429">
        <f>IF(ISERROR(VLOOKUP(D101,'Base de Datos'!$C$7:$AU$400,10,0))=TRUE," ",(VLOOKUP(D101,'Base de Datos'!$C$7:$AU$400,10,0)))</f>
        <v>42152</v>
      </c>
      <c r="AQ101" s="431">
        <f>IF(ISERROR(VLOOKUP(D101,'Base de Datos'!$C$7:$AU$400,11,0))=TRUE," ",(VLOOKUP(D101,'Base de Datos'!$C$7:$AU$400,11,0)))</f>
        <v>42165</v>
      </c>
      <c r="AR101" s="432">
        <f>IF(ISERROR(VLOOKUP(D101,'Base de Datos'!$C$7:$AU$400,12,0))=TRUE," ",(VLOOKUP(D101,'Base de Datos'!$C$7:$AU$400,12,0)))</f>
        <v>42226</v>
      </c>
      <c r="AS101" s="431" t="str">
        <f>IF(ISERROR(VLOOKUP(D101,'Base de Datos'!$C$7:$AU$400,13,0))=TRUE," ",(VLOOKUP(D101,'Base de Datos'!$C$7:$AU$400,13,0)))</f>
        <v/>
      </c>
      <c r="AT101" s="431">
        <f>IF(ISERROR(VLOOKUP(D101,'Base de Datos'!$C$7:$AU$400,14,0))=TRUE," ",(VLOOKUP(D101,'Base de Datos'!$C$7:$AU$400,14,0)))</f>
        <v>0</v>
      </c>
      <c r="AU101" s="429">
        <f>IF(ISERROR(VLOOKUP(D101,'Base de Datos'!$C$7:$AU$400,16,0))=TRUE," ",(VLOOKUP(D101,'Base de Datos'!$C$7:$AU$400,16,0)))</f>
        <v>0</v>
      </c>
      <c r="AV101" s="433" t="str">
        <f>IF(ISERROR(VLOOKUP(D101,'Base de Datos'!$C$7:$AU$400,17,0))=TRUE," ",(VLOOKUP(D101,'Base de Datos'!$C$7:$AU$400,17,0)))</f>
        <v/>
      </c>
      <c r="AW101" s="433" t="str">
        <f>IF(ISERROR(VLOOKUP(D101,'Base de Datos'!$C$7:$AU$400,18,0))=TRUE," ",(VLOOKUP(D101,'Base de Datos'!$C$7:$AU$400,18,0)))</f>
        <v/>
      </c>
      <c r="AX101" s="433" t="str">
        <f>IF(ISERROR(VLOOKUP(D101,'Base de Datos'!$C$7:$AU$400,19,0))=TRUE," ",(VLOOKUP(D101,'Base de Datos'!$C$7:$AU$400,19,0)))</f>
        <v/>
      </c>
      <c r="AY101" s="436">
        <f>IF(ISERROR(VLOOKUP(D101,'Base de Datos'!$C$7:$AU$400,21,0))=TRUE," ",(VLOOKUP(D101,'Base de Datos'!$C$7:$AU$400,21,0)))</f>
        <v>42226</v>
      </c>
      <c r="AZ101" s="436">
        <f>IF(ISERROR(VLOOKUP(D101,'Base de Datos'!$C$7:$AU$400,22,0))=TRUE," ",(VLOOKUP(D101,'Base de Datos'!$C$7:$AU$400,22,0)))</f>
        <v>8086410</v>
      </c>
      <c r="BA101" s="443"/>
      <c r="BB101" s="453"/>
    </row>
    <row r="102" spans="2:54" ht="55.5" hidden="1" customHeight="1" x14ac:dyDescent="0.3">
      <c r="B102" s="406">
        <v>95</v>
      </c>
      <c r="C102" s="414" t="s">
        <v>1674</v>
      </c>
      <c r="D102" s="406">
        <v>76</v>
      </c>
      <c r="E102" s="414" t="s">
        <v>1678</v>
      </c>
      <c r="F102" s="415" t="e">
        <f>VLOOKUP(D102,'Presupuesto - PAA 2015'!$B$10:$E$265,4,0)</f>
        <v>#N/A</v>
      </c>
      <c r="G102" s="407" t="str">
        <f>VLOOKUP(D102,'[4]Seguimiento Plan'!$C$2:$R$101,16,0)</f>
        <v>Adquisición del sistema de aire acondicionado para el salón comuneros del Concejo de Bogotá.</v>
      </c>
      <c r="H102" s="407" t="s">
        <v>1776</v>
      </c>
      <c r="I102" s="407" t="s">
        <v>1711</v>
      </c>
      <c r="J102" s="416" t="s">
        <v>1733</v>
      </c>
      <c r="K102" s="417" t="s">
        <v>390</v>
      </c>
      <c r="L102" s="417" t="str">
        <f>VLOOKUP(D102,'[4]Seguimiento Plan'!$C$2:$AJ$101,30,0)</f>
        <v>SI</v>
      </c>
      <c r="M102" s="418">
        <f>VLOOKUP(D102,'[4]Seguimiento Plan'!$C$2:$AJ$101,31,0)</f>
        <v>42081</v>
      </c>
      <c r="N102" s="417" t="s">
        <v>1815</v>
      </c>
      <c r="O102" s="419"/>
      <c r="P102" s="419"/>
      <c r="Q102" s="419"/>
      <c r="R102" s="420"/>
      <c r="S102" s="420"/>
      <c r="T102" s="421"/>
      <c r="U102" s="423" t="str">
        <f>IF(ISERROR(VLOOKUP(T102,'Base de Datos'!$E$7:$AU$302,3,0))=TRUE," ",(VLOOKUP(T102,'Base de Datos'!$E$7:$AU$302,2,0)))</f>
        <v xml:space="preserve"> </v>
      </c>
      <c r="V102" s="426" t="str">
        <f>IF(ISERROR(VLOOKUP(T102,'Base de Datos'!$E$7:$AU$302,5,0))=TRUE," ",(VLOOKUP(T102,'Base de Datos'!$E$7:$AU$302,5,0)))</f>
        <v xml:space="preserve"> </v>
      </c>
      <c r="W102" s="423" t="str">
        <f>IF(ISERROR(VLOOKUP(T102,'Base de Datos'!$E$7:$AU$302,19,0))=TRUE," ",(VLOOKUP(T102,'Base de Datos'!$E$7:$AU$302,19,0)))</f>
        <v xml:space="preserve"> </v>
      </c>
      <c r="X102" s="428" t="str">
        <f>IF(ISERROR(VLOOKUP(T102,'Base de Datos'!$E$7:$AU$302,8,0))=TRUE," ",(VLOOKUP(T102,'Base de Datos'!$E$7:$AU$302,8,0)))</f>
        <v xml:space="preserve"> </v>
      </c>
      <c r="Y102" s="428" t="str">
        <f>IF(ISERROR(VLOOKUP(T102,'Base de Datos'!$E$7:$AU$302,9,0))=TRUE," ",(VLOOKUP(T102,'Base de Datos'!$E$7:$AU$302,9,0)))</f>
        <v xml:space="preserve"> </v>
      </c>
      <c r="Z102" s="422" t="str">
        <f>IF(ISERROR(VLOOKUP(T102,'Base de Datos'!$E$7:$AU$302,10,0))=TRUE," ",(VLOOKUP(T102,'Base de Datos'!$E$7:$AU$302,10,0)))</f>
        <v xml:space="preserve"> </v>
      </c>
      <c r="AA102" s="425" t="str">
        <f>IF(ISERROR(VLOOKUP(T102,'Base de Datos'!$E$7:$AU$302,11,0))=TRUE," ",(VLOOKUP(T102,'Base de Datos'!$E$7:$AU$302,11,0)))</f>
        <v xml:space="preserve"> </v>
      </c>
      <c r="AB102" s="422" t="str">
        <f>IF(ISERROR(VLOOKUP(T102,'Base de Datos'!$E$7:$AU$302,12,0))=TRUE," ",(VLOOKUP(T102,'Base de Datos'!$E$7:$AU$302,12,0)))</f>
        <v xml:space="preserve"> </v>
      </c>
      <c r="AC102" s="422" t="str">
        <f>IF(ISERROR(VLOOKUP(T102,'Base de Datos'!$E$7:$AU$302,12,0))=TRUE," ",(VLOOKUP(T102,'Base de Datos'!$E$7:$AU$302,12,0)))</f>
        <v xml:space="preserve"> </v>
      </c>
      <c r="AD102" s="428" t="str">
        <f>IF(ISERROR(VLOOKUP(T102,'Base de Datos'!$E$7:$AU$302,15,0))=TRUE," ",(VLOOKUP(T102,'Base de Datos'!$E$7:$AU$302,15,0)))</f>
        <v xml:space="preserve"> </v>
      </c>
      <c r="AE102" s="433" t="str">
        <f>IF(ISERROR(VLOOKUP(T102,'Base de Datos'!$E$7:$AU$302,16,0))=TRUE," ",(VLOOKUP(T102,'Base de Datos'!$E$7:$AU$302,16,0)))</f>
        <v xml:space="preserve"> </v>
      </c>
      <c r="AF102" s="433" t="str">
        <f>IF(ISERROR(VLOOKUP(T102,'Base de Datos'!$E$7:$AU$302,17,0))=TRUE," ",(VLOOKUP(T102,'Base de Datos'!$E$7:$AU$302,17,0)))</f>
        <v xml:space="preserve"> </v>
      </c>
      <c r="AG102" s="433" t="str">
        <f>IF(ISERROR(VLOOKUP(T102,'Base de Datos'!$E$7:$AU$302,18,0))=TRUE," ",(VLOOKUP(T102,'Base de Datos'!$E$7:$AU$302,18,0)))</f>
        <v xml:space="preserve"> </v>
      </c>
      <c r="AH102" s="434" t="str">
        <f>IF(ISERROR(VLOOKUP(T102,'Base de Datos'!$E$7:$AU$302,20,0))=TRUE," ",(VLOOKUP(T102,'Base de Datos'!$E$7:$AU$302,20,0)))</f>
        <v xml:space="preserve"> </v>
      </c>
      <c r="AI102" s="434" t="str">
        <f>IF(ISERROR(VLOOKUP(T102,'Base de Datos'!$E$7:$AU$302,21,0))=TRUE," ",(VLOOKUP(T102,'Base de Datos'!$E$7:$AU$302,21,0)))</f>
        <v xml:space="preserve"> </v>
      </c>
      <c r="AJ102" s="423"/>
      <c r="AK102" s="423" t="str">
        <f>IF(ISERROR(VLOOKUP(D102,'Base de Datos'!$C$7:$AU$400,2,0))=TRUE," ",(VLOOKUP(D102,'Base de Datos'!$C$7:$AU$400,2,0)))</f>
        <v xml:space="preserve"> </v>
      </c>
      <c r="AL102" s="423" t="str">
        <f>IF(ISERROR(VLOOKUP(D102,'Base de Datos'!$C$7:$AU$400,3,0))=TRUE," ",(VLOOKUP(D102,'Base de Datos'!$C$7:$AU$400,3,0)))</f>
        <v xml:space="preserve"> </v>
      </c>
      <c r="AM102" s="426" t="e">
        <f>IF(ISERROR(VLOOKUP(D102,'Base de Datos'!$C$7:$AU$3761,6,0))=TRUE," ",(VLOOKUP(D102,'Base de Datos'!$C$7:$AU$400,6,0)))</f>
        <v>#N/A</v>
      </c>
      <c r="AN102" s="426" t="str">
        <f>IF(ISERROR(VLOOKUP(D102,'Base de Datos'!$C$7:$AU$400,20,0))=TRUE," ",(VLOOKUP(D102,'Base de Datos'!$C$7:$AU$400,19,0)))</f>
        <v xml:space="preserve"> </v>
      </c>
      <c r="AO102" s="429" t="str">
        <f>IF(ISERROR(VLOOKUP(D102,'Base de Datos'!$C$7:$AU$400,9,0))=TRUE," ",(VLOOKUP(D102,'Base de Datos'!$C$7:$AU$400,9,0)))</f>
        <v xml:space="preserve"> </v>
      </c>
      <c r="AP102" s="429" t="str">
        <f>IF(ISERROR(VLOOKUP(D102,'Base de Datos'!$C$7:$AU$400,10,0))=TRUE," ",(VLOOKUP(D102,'Base de Datos'!$C$7:$AU$400,10,0)))</f>
        <v xml:space="preserve"> </v>
      </c>
      <c r="AQ102" s="431" t="str">
        <f>IF(ISERROR(VLOOKUP(D102,'Base de Datos'!$C$7:$AU$400,11,0))=TRUE," ",(VLOOKUP(D102,'Base de Datos'!$C$7:$AU$400,11,0)))</f>
        <v xml:space="preserve"> </v>
      </c>
      <c r="AR102" s="432" t="str">
        <f>IF(ISERROR(VLOOKUP(D102,'Base de Datos'!$C$7:$AU$400,12,0))=TRUE," ",(VLOOKUP(D102,'Base de Datos'!$C$7:$AU$400,12,0)))</f>
        <v xml:space="preserve"> </v>
      </c>
      <c r="AS102" s="431" t="str">
        <f>IF(ISERROR(VLOOKUP(D102,'Base de Datos'!$C$7:$AU$400,13,0))=TRUE," ",(VLOOKUP(D102,'Base de Datos'!$C$7:$AU$400,13,0)))</f>
        <v xml:space="preserve"> </v>
      </c>
      <c r="AT102" s="431" t="str">
        <f>IF(ISERROR(VLOOKUP(D102,'Base de Datos'!$C$7:$AU$400,14,0))=TRUE," ",(VLOOKUP(D102,'Base de Datos'!$C$7:$AU$400,14,0)))</f>
        <v xml:space="preserve"> </v>
      </c>
      <c r="AU102" s="429" t="str">
        <f>IF(ISERROR(VLOOKUP(D102,'Base de Datos'!$C$7:$AU$400,16,0))=TRUE," ",(VLOOKUP(D102,'Base de Datos'!$C$7:$AU$400,16,0)))</f>
        <v xml:space="preserve"> </v>
      </c>
      <c r="AV102" s="433" t="str">
        <f>IF(ISERROR(VLOOKUP(D102,'Base de Datos'!$C$7:$AU$400,17,0))=TRUE," ",(VLOOKUP(D102,'Base de Datos'!$C$7:$AU$400,17,0)))</f>
        <v xml:space="preserve"> </v>
      </c>
      <c r="AW102" s="433" t="str">
        <f>IF(ISERROR(VLOOKUP(D102,'Base de Datos'!$C$7:$AU$400,18,0))=TRUE," ",(VLOOKUP(D102,'Base de Datos'!$C$7:$AU$400,18,0)))</f>
        <v xml:space="preserve"> </v>
      </c>
      <c r="AX102" s="433" t="str">
        <f>IF(ISERROR(VLOOKUP(D102,'Base de Datos'!$C$7:$AU$400,19,0))=TRUE," ",(VLOOKUP(D102,'Base de Datos'!$C$7:$AU$400,19,0)))</f>
        <v xml:space="preserve"> </v>
      </c>
      <c r="AY102" s="436" t="str">
        <f>IF(ISERROR(VLOOKUP(D102,'Base de Datos'!$C$7:$AU$400,21,0))=TRUE," ",(VLOOKUP(D102,'Base de Datos'!$C$7:$AU$400,21,0)))</f>
        <v xml:space="preserve"> </v>
      </c>
      <c r="AZ102" s="436" t="str">
        <f>IF(ISERROR(VLOOKUP(D102,'Base de Datos'!$C$7:$AU$400,22,0))=TRUE," ",(VLOOKUP(D102,'Base de Datos'!$C$7:$AU$400,22,0)))</f>
        <v xml:space="preserve"> </v>
      </c>
      <c r="BA102" s="443"/>
      <c r="BB102" s="453"/>
    </row>
    <row r="103" spans="2:54" ht="55.5" hidden="1" customHeight="1" x14ac:dyDescent="0.3">
      <c r="B103" s="406">
        <v>96</v>
      </c>
      <c r="C103" s="414" t="s">
        <v>1674</v>
      </c>
      <c r="D103" s="406">
        <v>77</v>
      </c>
      <c r="E103" s="414" t="s">
        <v>1678</v>
      </c>
      <c r="F103" s="415" t="e">
        <f>VLOOKUP(D103,'Presupuesto - PAA 2015'!$B$10:$E$265,4,0)</f>
        <v>#N/A</v>
      </c>
      <c r="G103" s="407" t="str">
        <f>VLOOKUP(D103,'[4]Seguimiento Plan'!$C$2:$R$101,16,0)</f>
        <v>Adquisición de la librería HP LTO de respaldo para el Concejo de Bogotá</v>
      </c>
      <c r="H103" s="407" t="s">
        <v>1776</v>
      </c>
      <c r="I103" s="407" t="s">
        <v>1711</v>
      </c>
      <c r="J103" s="416" t="s">
        <v>909</v>
      </c>
      <c r="K103" s="417"/>
      <c r="L103" s="417"/>
      <c r="M103" s="418"/>
      <c r="N103" s="417"/>
      <c r="O103" s="419"/>
      <c r="P103" s="419"/>
      <c r="Q103" s="419"/>
      <c r="R103" s="420"/>
      <c r="S103" s="420"/>
      <c r="T103" s="421"/>
      <c r="U103" s="423" t="str">
        <f>IF(ISERROR(VLOOKUP(T103,'Base de Datos'!$E$7:$AU$302,3,0))=TRUE," ",(VLOOKUP(T103,'Base de Datos'!$E$7:$AU$302,2,0)))</f>
        <v xml:space="preserve"> </v>
      </c>
      <c r="V103" s="426" t="str">
        <f>IF(ISERROR(VLOOKUP(T103,'Base de Datos'!$E$7:$AU$302,5,0))=TRUE," ",(VLOOKUP(T103,'Base de Datos'!$E$7:$AU$302,5,0)))</f>
        <v xml:space="preserve"> </v>
      </c>
      <c r="W103" s="423" t="str">
        <f>IF(ISERROR(VLOOKUP(T103,'Base de Datos'!$E$7:$AU$302,19,0))=TRUE," ",(VLOOKUP(T103,'Base de Datos'!$E$7:$AU$302,19,0)))</f>
        <v xml:space="preserve"> </v>
      </c>
      <c r="X103" s="428" t="str">
        <f>IF(ISERROR(VLOOKUP(T103,'Base de Datos'!$E$7:$AU$302,8,0))=TRUE," ",(VLOOKUP(T103,'Base de Datos'!$E$7:$AU$302,8,0)))</f>
        <v xml:space="preserve"> </v>
      </c>
      <c r="Y103" s="428" t="str">
        <f>IF(ISERROR(VLOOKUP(T103,'Base de Datos'!$E$7:$AU$302,9,0))=TRUE," ",(VLOOKUP(T103,'Base de Datos'!$E$7:$AU$302,9,0)))</f>
        <v xml:space="preserve"> </v>
      </c>
      <c r="Z103" s="422" t="str">
        <f>IF(ISERROR(VLOOKUP(T103,'Base de Datos'!$E$7:$AU$302,10,0))=TRUE," ",(VLOOKUP(T103,'Base de Datos'!$E$7:$AU$302,10,0)))</f>
        <v xml:space="preserve"> </v>
      </c>
      <c r="AA103" s="425" t="str">
        <f>IF(ISERROR(VLOOKUP(T103,'Base de Datos'!$E$7:$AU$302,11,0))=TRUE," ",(VLOOKUP(T103,'Base de Datos'!$E$7:$AU$302,11,0)))</f>
        <v xml:space="preserve"> </v>
      </c>
      <c r="AB103" s="422" t="str">
        <f>IF(ISERROR(VLOOKUP(T103,'Base de Datos'!$E$7:$AU$302,12,0))=TRUE," ",(VLOOKUP(T103,'Base de Datos'!$E$7:$AU$302,12,0)))</f>
        <v xml:space="preserve"> </v>
      </c>
      <c r="AC103" s="422" t="str">
        <f>IF(ISERROR(VLOOKUP(T103,'Base de Datos'!$E$7:$AU$302,12,0))=TRUE," ",(VLOOKUP(T103,'Base de Datos'!$E$7:$AU$302,12,0)))</f>
        <v xml:space="preserve"> </v>
      </c>
      <c r="AD103" s="428" t="str">
        <f>IF(ISERROR(VLOOKUP(T103,'Base de Datos'!$E$7:$AU$302,15,0))=TRUE," ",(VLOOKUP(T103,'Base de Datos'!$E$7:$AU$302,15,0)))</f>
        <v xml:space="preserve"> </v>
      </c>
      <c r="AE103" s="433" t="str">
        <f>IF(ISERROR(VLOOKUP(T103,'Base de Datos'!$E$7:$AU$302,16,0))=TRUE," ",(VLOOKUP(T103,'Base de Datos'!$E$7:$AU$302,16,0)))</f>
        <v xml:space="preserve"> </v>
      </c>
      <c r="AF103" s="433" t="str">
        <f>IF(ISERROR(VLOOKUP(T103,'Base de Datos'!$E$7:$AU$302,17,0))=TRUE," ",(VLOOKUP(T103,'Base de Datos'!$E$7:$AU$302,17,0)))</f>
        <v xml:space="preserve"> </v>
      </c>
      <c r="AG103" s="433" t="str">
        <f>IF(ISERROR(VLOOKUP(T103,'Base de Datos'!$E$7:$AU$302,18,0))=TRUE," ",(VLOOKUP(T103,'Base de Datos'!$E$7:$AU$302,18,0)))</f>
        <v xml:space="preserve"> </v>
      </c>
      <c r="AH103" s="434" t="str">
        <f>IF(ISERROR(VLOOKUP(T103,'Base de Datos'!$E$7:$AU$302,20,0))=TRUE," ",(VLOOKUP(T103,'Base de Datos'!$E$7:$AU$302,20,0)))</f>
        <v xml:space="preserve"> </v>
      </c>
      <c r="AI103" s="434" t="str">
        <f>IF(ISERROR(VLOOKUP(T103,'Base de Datos'!$E$7:$AU$302,21,0))=TRUE," ",(VLOOKUP(T103,'Base de Datos'!$E$7:$AU$302,21,0)))</f>
        <v xml:space="preserve"> </v>
      </c>
      <c r="AJ103" s="423"/>
      <c r="AK103" s="423" t="str">
        <f>IF(ISERROR(VLOOKUP(D103,'Base de Datos'!$C$7:$AU$400,2,0))=TRUE," ",(VLOOKUP(D103,'Base de Datos'!$C$7:$AU$400,2,0)))</f>
        <v xml:space="preserve"> </v>
      </c>
      <c r="AL103" s="423" t="str">
        <f>IF(ISERROR(VLOOKUP(D103,'Base de Datos'!$C$7:$AU$400,3,0))=TRUE," ",(VLOOKUP(D103,'Base de Datos'!$C$7:$AU$400,3,0)))</f>
        <v xml:space="preserve"> </v>
      </c>
      <c r="AM103" s="426" t="e">
        <f>IF(ISERROR(VLOOKUP(D103,'Base de Datos'!$C$7:$AU$3761,6,0))=TRUE," ",(VLOOKUP(D103,'Base de Datos'!$C$7:$AU$400,6,0)))</f>
        <v>#N/A</v>
      </c>
      <c r="AN103" s="426" t="str">
        <f>IF(ISERROR(VLOOKUP(D103,'Base de Datos'!$C$7:$AU$400,20,0))=TRUE," ",(VLOOKUP(D103,'Base de Datos'!$C$7:$AU$400,19,0)))</f>
        <v xml:space="preserve"> </v>
      </c>
      <c r="AO103" s="429" t="str">
        <f>IF(ISERROR(VLOOKUP(D103,'Base de Datos'!$C$7:$AU$400,9,0))=TRUE," ",(VLOOKUP(D103,'Base de Datos'!$C$7:$AU$400,9,0)))</f>
        <v xml:space="preserve"> </v>
      </c>
      <c r="AP103" s="429" t="str">
        <f>IF(ISERROR(VLOOKUP(D103,'Base de Datos'!$C$7:$AU$400,10,0))=TRUE," ",(VLOOKUP(D103,'Base de Datos'!$C$7:$AU$400,10,0)))</f>
        <v xml:space="preserve"> </v>
      </c>
      <c r="AQ103" s="431" t="str">
        <f>IF(ISERROR(VLOOKUP(D103,'Base de Datos'!$C$7:$AU$400,11,0))=TRUE," ",(VLOOKUP(D103,'Base de Datos'!$C$7:$AU$400,11,0)))</f>
        <v xml:space="preserve"> </v>
      </c>
      <c r="AR103" s="432" t="str">
        <f>IF(ISERROR(VLOOKUP(D103,'Base de Datos'!$C$7:$AU$400,12,0))=TRUE," ",(VLOOKUP(D103,'Base de Datos'!$C$7:$AU$400,12,0)))</f>
        <v xml:space="preserve"> </v>
      </c>
      <c r="AS103" s="431" t="str">
        <f>IF(ISERROR(VLOOKUP(D103,'Base de Datos'!$C$7:$AU$400,13,0))=TRUE," ",(VLOOKUP(D103,'Base de Datos'!$C$7:$AU$400,13,0)))</f>
        <v xml:space="preserve"> </v>
      </c>
      <c r="AT103" s="431" t="str">
        <f>IF(ISERROR(VLOOKUP(D103,'Base de Datos'!$C$7:$AU$400,14,0))=TRUE," ",(VLOOKUP(D103,'Base de Datos'!$C$7:$AU$400,14,0)))</f>
        <v xml:space="preserve"> </v>
      </c>
      <c r="AU103" s="429" t="str">
        <f>IF(ISERROR(VLOOKUP(D103,'Base de Datos'!$C$7:$AU$400,16,0))=TRUE," ",(VLOOKUP(D103,'Base de Datos'!$C$7:$AU$400,16,0)))</f>
        <v xml:space="preserve"> </v>
      </c>
      <c r="AV103" s="433" t="str">
        <f>IF(ISERROR(VLOOKUP(D103,'Base de Datos'!$C$7:$AU$400,17,0))=TRUE," ",(VLOOKUP(D103,'Base de Datos'!$C$7:$AU$400,17,0)))</f>
        <v xml:space="preserve"> </v>
      </c>
      <c r="AW103" s="433" t="str">
        <f>IF(ISERROR(VLOOKUP(D103,'Base de Datos'!$C$7:$AU$400,18,0))=TRUE," ",(VLOOKUP(D103,'Base de Datos'!$C$7:$AU$400,18,0)))</f>
        <v xml:space="preserve"> </v>
      </c>
      <c r="AX103" s="433" t="str">
        <f>IF(ISERROR(VLOOKUP(D103,'Base de Datos'!$C$7:$AU$400,19,0))=TRUE," ",(VLOOKUP(D103,'Base de Datos'!$C$7:$AU$400,19,0)))</f>
        <v xml:space="preserve"> </v>
      </c>
      <c r="AY103" s="436" t="str">
        <f>IF(ISERROR(VLOOKUP(D103,'Base de Datos'!$C$7:$AU$400,21,0))=TRUE," ",(VLOOKUP(D103,'Base de Datos'!$C$7:$AU$400,21,0)))</f>
        <v xml:space="preserve"> </v>
      </c>
      <c r="AZ103" s="436" t="str">
        <f>IF(ISERROR(VLOOKUP(D103,'Base de Datos'!$C$7:$AU$400,22,0))=TRUE," ",(VLOOKUP(D103,'Base de Datos'!$C$7:$AU$400,22,0)))</f>
        <v xml:space="preserve"> </v>
      </c>
      <c r="BA103" s="443"/>
      <c r="BB103" s="453"/>
    </row>
    <row r="104" spans="2:54" ht="55.5" hidden="1" customHeight="1" x14ac:dyDescent="0.3">
      <c r="B104" s="406">
        <v>97</v>
      </c>
      <c r="C104" s="414" t="s">
        <v>1674</v>
      </c>
      <c r="D104" s="406">
        <v>208</v>
      </c>
      <c r="E104" s="414" t="s">
        <v>1678</v>
      </c>
      <c r="F104" s="415">
        <f>VLOOKUP(D104,'Presupuesto - PAA 2015'!$B$10:$E$265,4,0)</f>
        <v>379200000</v>
      </c>
      <c r="G104" s="407" t="str">
        <f>VLOOKUP(D104,'[4]Seguimiento Plan'!$C$2:$R$101,16,0)</f>
        <v>Arriendo de un inmueble para uso de parqueadero de vehÍculos y motocicletas del Concejo de Bogotá.</v>
      </c>
      <c r="H104" s="407" t="s">
        <v>1775</v>
      </c>
      <c r="I104" s="407" t="s">
        <v>1719</v>
      </c>
      <c r="J104" s="416" t="s">
        <v>908</v>
      </c>
      <c r="K104" s="417" t="s">
        <v>390</v>
      </c>
      <c r="L104" s="417" t="str">
        <f>VLOOKUP(D104,'[4]Seguimiento Plan'!$C$2:$AJ$101,30,0)</f>
        <v>SI</v>
      </c>
      <c r="M104" s="418">
        <f>VLOOKUP(D104,'[4]Seguimiento Plan'!$C$2:$AJ$101,31,0)</f>
        <v>42024</v>
      </c>
      <c r="N104" s="417"/>
      <c r="O104" s="419"/>
      <c r="P104" s="419"/>
      <c r="Q104" s="419"/>
      <c r="R104" s="497"/>
      <c r="S104" s="324" t="s">
        <v>1614</v>
      </c>
      <c r="T104" s="318" t="s">
        <v>307</v>
      </c>
      <c r="U104" s="423" t="str">
        <f>IF(ISERROR(VLOOKUP(T104,'Base de Datos'!$E$7:$AU$302,3,0))=TRUE," ",(VLOOKUP(T104,'Base de Datos'!$E$7:$AU$302,2,0)))</f>
        <v>INVERSIONES MATAY SAS</v>
      </c>
      <c r="V104" s="426">
        <f>IF(ISERROR(VLOOKUP(T104,'Base de Datos'!$E$7:$AU$302,5,0))=TRUE," ",(VLOOKUP(T104,'Base de Datos'!$E$7:$AU$302,5,0)))</f>
        <v>202978686</v>
      </c>
      <c r="W104" s="423">
        <f>IF(ISERROR(VLOOKUP(T104,'Base de Datos'!$E$7:$AU$302,19,0))=TRUE," ",(VLOOKUP(T104,'Base de Datos'!$E$7:$AU$302,19,0)))</f>
        <v>42108</v>
      </c>
      <c r="X104" s="428" t="str">
        <f>IF(ISERROR(VLOOKUP(T104,'Base de Datos'!$E$7:$AU$302,8,0))=TRUE," ",(VLOOKUP(T104,'Base de Datos'!$E$7:$AU$302,8,0)))</f>
        <v xml:space="preserve"> </v>
      </c>
      <c r="Y104" s="428">
        <f>IF(ISERROR(VLOOKUP(T104,'Base de Datos'!$E$7:$AU$302,9,0))=TRUE," ",(VLOOKUP(T104,'Base de Datos'!$E$7:$AU$302,9,0)))</f>
        <v>41850</v>
      </c>
      <c r="Z104" s="422">
        <f>IF(ISERROR(VLOOKUP(T104,'Base de Datos'!$E$7:$AU$302,10,0))=TRUE," ",(VLOOKUP(T104,'Base de Datos'!$E$7:$AU$302,10,0)))</f>
        <v>42034</v>
      </c>
      <c r="AA104" s="425" t="str">
        <f>IF(ISERROR(VLOOKUP(T104,'Base de Datos'!$E$7:$AU$302,11,0))=TRUE," ",(VLOOKUP(T104,'Base de Datos'!$E$7:$AU$302,11,0)))</f>
        <v/>
      </c>
      <c r="AB104" s="422">
        <f>IF(ISERROR(VLOOKUP(T104,'Base de Datos'!$E$7:$AU$302,12,0))=TRUE," ",(VLOOKUP(T104,'Base de Datos'!$E$7:$AU$302,12,0)))</f>
        <v>1</v>
      </c>
      <c r="AC104" s="422">
        <f>IF(ISERROR(VLOOKUP(T104,'Base de Datos'!$E$7:$AU$302,12,0))=TRUE," ",(VLOOKUP(T104,'Base de Datos'!$E$7:$AU$302,12,0)))</f>
        <v>1</v>
      </c>
      <c r="AD104" s="428" t="str">
        <f>IF(ISERROR(VLOOKUP(T104,'Base de Datos'!$E$7:$AU$302,15,0))=TRUE," ",(VLOOKUP(T104,'Base de Datos'!$E$7:$AU$302,15,0)))</f>
        <v>2 meses y 15 días</v>
      </c>
      <c r="AE104" s="433">
        <f>IF(ISERROR(VLOOKUP(T104,'Base de Datos'!$E$7:$AU$302,16,0))=TRUE," ",(VLOOKUP(T104,'Base de Datos'!$E$7:$AU$302,16,0)))</f>
        <v>42108</v>
      </c>
      <c r="AF104" s="433" t="str">
        <f>IF(ISERROR(VLOOKUP(T104,'Base de Datos'!$E$7:$AU$302,17,0))=TRUE," ",(VLOOKUP(T104,'Base de Datos'!$E$7:$AU$302,17,0)))</f>
        <v/>
      </c>
      <c r="AG104" s="433" t="str">
        <f>IF(ISERROR(VLOOKUP(T104,'Base de Datos'!$E$7:$AU$302,18,0))=TRUE," ",(VLOOKUP(T104,'Base de Datos'!$E$7:$AU$302,18,0)))</f>
        <v/>
      </c>
      <c r="AH104" s="434">
        <f>IF(ISERROR(VLOOKUP(T104,'Base de Datos'!$E$7:$AU$302,20,0))=TRUE," ",(VLOOKUP(T104,'Base de Datos'!$E$7:$AU$302,20,0)))</f>
        <v>290648563</v>
      </c>
      <c r="AI104" s="434">
        <f>IF(ISERROR(VLOOKUP(T104,'Base de Datos'!$E$7:$AU$302,21,0))=TRUE," ",(VLOOKUP(T104,'Base de Datos'!$E$7:$AU$302,21,0)))</f>
        <v>290648563</v>
      </c>
      <c r="AJ104" s="428">
        <v>42109</v>
      </c>
      <c r="AK104" s="423" t="str">
        <f>IF(ISERROR(VLOOKUP(D104,'Base de Datos'!$C$7:$AU$400,2,0))=TRUE," ",(VLOOKUP(D104,'Base de Datos'!$C$7:$AU$400,2,0)))</f>
        <v>2015208</v>
      </c>
      <c r="AL104" s="423" t="str">
        <f>IF(ISERROR(VLOOKUP(D104,'Base de Datos'!$C$7:$AU$400,3,0))=TRUE," ",(VLOOKUP(D104,'Base de Datos'!$C$7:$AU$400,3,0)))</f>
        <v>150192-0-2015</v>
      </c>
      <c r="AM104" s="426" t="str">
        <f>IF(ISERROR(VLOOKUP(D104,'Base de Datos'!$C$7:$AU$3761,6,0))=TRUE," ",(VLOOKUP(D104,'Base de Datos'!$C$7:$AU$400,6,0)))</f>
        <v>Arrendamiento de un inmueble para uso de parqueadero, por parte del Concejo de Bogotá D.C., de acuerdo con lo establecido en el documento de estudios previos y la propuesta presentada por el contratista.</v>
      </c>
      <c r="AN104" s="426" t="str">
        <f>IF(ISERROR(VLOOKUP(D104,'Base de Datos'!$C$7:$AU$400,20,0))=TRUE," ",(VLOOKUP(D104,'Base de Datos'!$C$7:$AU$400,19,0)))</f>
        <v/>
      </c>
      <c r="AO104" s="429">
        <f>IF(ISERROR(VLOOKUP(D104,'Base de Datos'!$C$7:$AU$400,9,0))=TRUE," ",(VLOOKUP(D104,'Base de Datos'!$C$7:$AU$400,9,0)))</f>
        <v>2015</v>
      </c>
      <c r="AP104" s="429">
        <f>IF(ISERROR(VLOOKUP(D104,'Base de Datos'!$C$7:$AU$400,10,0))=TRUE," ",(VLOOKUP(D104,'Base de Datos'!$C$7:$AU$400,10,0)))</f>
        <v>42109</v>
      </c>
      <c r="AQ104" s="431">
        <f>IF(ISERROR(VLOOKUP(D104,'Base de Datos'!$C$7:$AU$400,11,0))=TRUE," ",(VLOOKUP(D104,'Base de Datos'!$C$7:$AU$400,11,0)))</f>
        <v>42109</v>
      </c>
      <c r="AR104" s="432">
        <f>IF(ISERROR(VLOOKUP(D104,'Base de Datos'!$C$7:$AU$400,12,0))=TRUE," ",(VLOOKUP(D104,'Base de Datos'!$C$7:$AU$400,12,0)))</f>
        <v>42429</v>
      </c>
      <c r="AS104" s="431" t="str">
        <f>IF(ISERROR(VLOOKUP(D104,'Base de Datos'!$C$7:$AU$400,13,0))=TRUE," ",(VLOOKUP(D104,'Base de Datos'!$C$7:$AU$400,13,0)))</f>
        <v/>
      </c>
      <c r="AT104" s="431">
        <f>IF(ISERROR(VLOOKUP(D104,'Base de Datos'!$C$7:$AU$400,14,0))=TRUE," ",(VLOOKUP(D104,'Base de Datos'!$C$7:$AU$400,14,0)))</f>
        <v>1</v>
      </c>
      <c r="AU104" s="429">
        <f>IF(ISERROR(VLOOKUP(D104,'Base de Datos'!$C$7:$AU$400,16,0))=TRUE," ",(VLOOKUP(D104,'Base de Datos'!$C$7:$AU$400,16,0)))</f>
        <v>1</v>
      </c>
      <c r="AV104" s="433" t="str">
        <f>IF(ISERROR(VLOOKUP(D104,'Base de Datos'!$C$7:$AU$400,17,0))=TRUE," ",(VLOOKUP(D104,'Base de Datos'!$C$7:$AU$400,17,0)))</f>
        <v>5 meses y 16 dias</v>
      </c>
      <c r="AW104" s="433">
        <f>IF(ISERROR(VLOOKUP(D104,'Base de Datos'!$C$7:$AU$400,18,0))=TRUE," ",(VLOOKUP(D104,'Base de Datos'!$C$7:$AU$400,18,0)))</f>
        <v>42582</v>
      </c>
      <c r="AX104" s="433" t="str">
        <f>IF(ISERROR(VLOOKUP(D104,'Base de Datos'!$C$7:$AU$400,19,0))=TRUE," ",(VLOOKUP(D104,'Base de Datos'!$C$7:$AU$400,19,0)))</f>
        <v/>
      </c>
      <c r="AY104" s="436">
        <f>IF(ISERROR(VLOOKUP(D104,'Base de Datos'!$C$7:$AU$400,21,0))=TRUE," ",(VLOOKUP(D104,'Base de Datos'!$C$7:$AU$400,21,0)))</f>
        <v>42582</v>
      </c>
      <c r="AZ104" s="436">
        <f>IF(ISERROR(VLOOKUP(D104,'Base de Datos'!$C$7:$AU$400,22,0))=TRUE," ",(VLOOKUP(D104,'Base de Datos'!$C$7:$AU$400,22,0)))</f>
        <v>559200000</v>
      </c>
      <c r="BA104" s="443"/>
      <c r="BB104" s="453"/>
    </row>
    <row r="105" spans="2:54" ht="55.5" hidden="1" customHeight="1" x14ac:dyDescent="0.3">
      <c r="B105" s="406">
        <v>98</v>
      </c>
      <c r="C105" s="414" t="s">
        <v>1674</v>
      </c>
      <c r="D105" s="406">
        <v>209</v>
      </c>
      <c r="E105" s="414" t="s">
        <v>1678</v>
      </c>
      <c r="F105" s="415">
        <f>VLOOKUP(D105,'Presupuesto - PAA 2015'!$B$10:$E$265,4,0)</f>
        <v>0</v>
      </c>
      <c r="G105" s="407" t="str">
        <f>VLOOKUP(D105,'[4]Seguimiento Plan'!$C$2:$R$101,16,0)</f>
        <v>Arriendo de instalaciones para acondicionamiento de áreas  requeridas por el Concejo Distrital</v>
      </c>
      <c r="H105" s="407" t="s">
        <v>1775</v>
      </c>
      <c r="I105" s="407" t="s">
        <v>1719</v>
      </c>
      <c r="J105" s="416" t="s">
        <v>908</v>
      </c>
      <c r="K105" s="417"/>
      <c r="L105" s="417"/>
      <c r="M105" s="418"/>
      <c r="N105" s="417"/>
      <c r="O105" s="419"/>
      <c r="P105" s="419"/>
      <c r="Q105" s="419"/>
      <c r="R105" s="420"/>
      <c r="S105" s="420"/>
      <c r="T105" s="421"/>
      <c r="U105" s="423" t="str">
        <f>IF(ISERROR(VLOOKUP(T105,'Base de Datos'!$E$7:$AU$302,3,0))=TRUE," ",(VLOOKUP(T105,'Base de Datos'!$E$7:$AU$302,2,0)))</f>
        <v xml:space="preserve"> </v>
      </c>
      <c r="V105" s="426" t="str">
        <f>IF(ISERROR(VLOOKUP(T105,'Base de Datos'!$E$7:$AU$302,5,0))=TRUE," ",(VLOOKUP(T105,'Base de Datos'!$E$7:$AU$302,5,0)))</f>
        <v xml:space="preserve"> </v>
      </c>
      <c r="W105" s="423" t="str">
        <f>IF(ISERROR(VLOOKUP(T105,'Base de Datos'!$E$7:$AU$302,19,0))=TRUE," ",(VLOOKUP(T105,'Base de Datos'!$E$7:$AU$302,19,0)))</f>
        <v xml:space="preserve"> </v>
      </c>
      <c r="X105" s="428" t="str">
        <f>IF(ISERROR(VLOOKUP(T105,'Base de Datos'!$E$7:$AU$302,8,0))=TRUE," ",(VLOOKUP(T105,'Base de Datos'!$E$7:$AU$302,8,0)))</f>
        <v xml:space="preserve"> </v>
      </c>
      <c r="Y105" s="428" t="str">
        <f>IF(ISERROR(VLOOKUP(T105,'Base de Datos'!$E$7:$AU$302,9,0))=TRUE," ",(VLOOKUP(T105,'Base de Datos'!$E$7:$AU$302,9,0)))</f>
        <v xml:space="preserve"> </v>
      </c>
      <c r="Z105" s="422" t="str">
        <f>IF(ISERROR(VLOOKUP(T105,'Base de Datos'!$E$7:$AU$302,10,0))=TRUE," ",(VLOOKUP(T105,'Base de Datos'!$E$7:$AU$302,10,0)))</f>
        <v xml:space="preserve"> </v>
      </c>
      <c r="AA105" s="425" t="str">
        <f>IF(ISERROR(VLOOKUP(T105,'Base de Datos'!$E$7:$AU$302,11,0))=TRUE," ",(VLOOKUP(T105,'Base de Datos'!$E$7:$AU$302,11,0)))</f>
        <v xml:space="preserve"> </v>
      </c>
      <c r="AB105" s="422" t="str">
        <f>IF(ISERROR(VLOOKUP(T105,'Base de Datos'!$E$7:$AU$302,12,0))=TRUE," ",(VLOOKUP(T105,'Base de Datos'!$E$7:$AU$302,12,0)))</f>
        <v xml:space="preserve"> </v>
      </c>
      <c r="AC105" s="422" t="str">
        <f>IF(ISERROR(VLOOKUP(T105,'Base de Datos'!$E$7:$AU$302,12,0))=TRUE," ",(VLOOKUP(T105,'Base de Datos'!$E$7:$AU$302,12,0)))</f>
        <v xml:space="preserve"> </v>
      </c>
      <c r="AD105" s="428" t="str">
        <f>IF(ISERROR(VLOOKUP(T105,'Base de Datos'!$E$7:$AU$302,15,0))=TRUE," ",(VLOOKUP(T105,'Base de Datos'!$E$7:$AU$302,15,0)))</f>
        <v xml:space="preserve"> </v>
      </c>
      <c r="AE105" s="433" t="str">
        <f>IF(ISERROR(VLOOKUP(T105,'Base de Datos'!$E$7:$AU$302,16,0))=TRUE," ",(VLOOKUP(T105,'Base de Datos'!$E$7:$AU$302,16,0)))</f>
        <v xml:space="preserve"> </v>
      </c>
      <c r="AF105" s="433" t="str">
        <f>IF(ISERROR(VLOOKUP(T105,'Base de Datos'!$E$7:$AU$302,17,0))=TRUE," ",(VLOOKUP(T105,'Base de Datos'!$E$7:$AU$302,17,0)))</f>
        <v xml:space="preserve"> </v>
      </c>
      <c r="AG105" s="433" t="str">
        <f>IF(ISERROR(VLOOKUP(T105,'Base de Datos'!$E$7:$AU$302,18,0))=TRUE," ",(VLOOKUP(T105,'Base de Datos'!$E$7:$AU$302,18,0)))</f>
        <v xml:space="preserve"> </v>
      </c>
      <c r="AH105" s="434" t="str">
        <f>IF(ISERROR(VLOOKUP(T105,'Base de Datos'!$E$7:$AU$302,20,0))=TRUE," ",(VLOOKUP(T105,'Base de Datos'!$E$7:$AU$302,20,0)))</f>
        <v xml:space="preserve"> </v>
      </c>
      <c r="AI105" s="434" t="str">
        <f>IF(ISERROR(VLOOKUP(T105,'Base de Datos'!$E$7:$AU$302,21,0))=TRUE," ",(VLOOKUP(T105,'Base de Datos'!$E$7:$AU$302,21,0)))</f>
        <v xml:space="preserve"> </v>
      </c>
      <c r="AJ105" s="423"/>
      <c r="AK105" s="423" t="str">
        <f>IF(ISERROR(VLOOKUP(D105,'Base de Datos'!$C$7:$AU$400,2,0))=TRUE," ",(VLOOKUP(D105,'Base de Datos'!$C$7:$AU$400,2,0)))</f>
        <v xml:space="preserve"> </v>
      </c>
      <c r="AL105" s="423" t="str">
        <f>IF(ISERROR(VLOOKUP(D105,'Base de Datos'!$C$7:$AU$400,3,0))=TRUE," ",(VLOOKUP(D105,'Base de Datos'!$C$7:$AU$400,3,0)))</f>
        <v xml:space="preserve"> </v>
      </c>
      <c r="AM105" s="426" t="e">
        <f>IF(ISERROR(VLOOKUP(D105,'Base de Datos'!$C$7:$AU$3761,6,0))=TRUE," ",(VLOOKUP(D105,'Base de Datos'!$C$7:$AU$400,6,0)))</f>
        <v>#N/A</v>
      </c>
      <c r="AN105" s="426" t="str">
        <f>IF(ISERROR(VLOOKUP(D105,'Base de Datos'!$C$7:$AU$400,20,0))=TRUE," ",(VLOOKUP(D105,'Base de Datos'!$C$7:$AU$400,19,0)))</f>
        <v xml:space="preserve"> </v>
      </c>
      <c r="AO105" s="429" t="str">
        <f>IF(ISERROR(VLOOKUP(D105,'Base de Datos'!$C$7:$AU$400,9,0))=TRUE," ",(VLOOKUP(D105,'Base de Datos'!$C$7:$AU$400,9,0)))</f>
        <v xml:space="preserve"> </v>
      </c>
      <c r="AP105" s="429" t="str">
        <f>IF(ISERROR(VLOOKUP(D105,'Base de Datos'!$C$7:$AU$400,10,0))=TRUE," ",(VLOOKUP(D105,'Base de Datos'!$C$7:$AU$400,10,0)))</f>
        <v xml:space="preserve"> </v>
      </c>
      <c r="AQ105" s="431" t="str">
        <f>IF(ISERROR(VLOOKUP(D105,'Base de Datos'!$C$7:$AU$400,11,0))=TRUE," ",(VLOOKUP(D105,'Base de Datos'!$C$7:$AU$400,11,0)))</f>
        <v xml:space="preserve"> </v>
      </c>
      <c r="AR105" s="432" t="str">
        <f>IF(ISERROR(VLOOKUP(D105,'Base de Datos'!$C$7:$AU$400,12,0))=TRUE," ",(VLOOKUP(D105,'Base de Datos'!$C$7:$AU$400,12,0)))</f>
        <v xml:space="preserve"> </v>
      </c>
      <c r="AS105" s="431" t="str">
        <f>IF(ISERROR(VLOOKUP(D105,'Base de Datos'!$C$7:$AU$400,13,0))=TRUE," ",(VLOOKUP(D105,'Base de Datos'!$C$7:$AU$400,13,0)))</f>
        <v xml:space="preserve"> </v>
      </c>
      <c r="AT105" s="431" t="str">
        <f>IF(ISERROR(VLOOKUP(D105,'Base de Datos'!$C$7:$AU$400,14,0))=TRUE," ",(VLOOKUP(D105,'Base de Datos'!$C$7:$AU$400,14,0)))</f>
        <v xml:space="preserve"> </v>
      </c>
      <c r="AU105" s="429" t="str">
        <f>IF(ISERROR(VLOOKUP(D105,'Base de Datos'!$C$7:$AU$400,16,0))=TRUE," ",(VLOOKUP(D105,'Base de Datos'!$C$7:$AU$400,16,0)))</f>
        <v xml:space="preserve"> </v>
      </c>
      <c r="AV105" s="433" t="str">
        <f>IF(ISERROR(VLOOKUP(D105,'Base de Datos'!$C$7:$AU$400,17,0))=TRUE," ",(VLOOKUP(D105,'Base de Datos'!$C$7:$AU$400,17,0)))</f>
        <v xml:space="preserve"> </v>
      </c>
      <c r="AW105" s="433" t="str">
        <f>IF(ISERROR(VLOOKUP(D105,'Base de Datos'!$C$7:$AU$400,18,0))=TRUE," ",(VLOOKUP(D105,'Base de Datos'!$C$7:$AU$400,18,0)))</f>
        <v xml:space="preserve"> </v>
      </c>
      <c r="AX105" s="433" t="str">
        <f>IF(ISERROR(VLOOKUP(D105,'Base de Datos'!$C$7:$AU$400,19,0))=TRUE," ",(VLOOKUP(D105,'Base de Datos'!$C$7:$AU$400,19,0)))</f>
        <v xml:space="preserve"> </v>
      </c>
      <c r="AY105" s="436" t="str">
        <f>IF(ISERROR(VLOOKUP(D105,'Base de Datos'!$C$7:$AU$400,21,0))=TRUE," ",(VLOOKUP(D105,'Base de Datos'!$C$7:$AU$400,21,0)))</f>
        <v xml:space="preserve"> </v>
      </c>
      <c r="AZ105" s="436" t="str">
        <f>IF(ISERROR(VLOOKUP(D105,'Base de Datos'!$C$7:$AU$400,22,0))=TRUE," ",(VLOOKUP(D105,'Base de Datos'!$C$7:$AU$400,22,0)))</f>
        <v xml:space="preserve"> </v>
      </c>
      <c r="BA105" s="443"/>
      <c r="BB105" s="453"/>
    </row>
    <row r="106" spans="2:54" ht="55.5" hidden="1" customHeight="1" x14ac:dyDescent="0.3">
      <c r="B106" s="406">
        <v>99</v>
      </c>
      <c r="C106" s="414" t="s">
        <v>1674</v>
      </c>
      <c r="D106" s="406">
        <v>210</v>
      </c>
      <c r="E106" s="414" t="s">
        <v>1678</v>
      </c>
      <c r="F106" s="415">
        <f>VLOOKUP(D106,'Presupuesto - PAA 2015'!$B$10:$E$265,4,0)</f>
        <v>4174276985</v>
      </c>
      <c r="G106" s="407" t="str">
        <f>VLOOKUP(D106,'[4]Seguimiento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07" t="s">
        <v>1775</v>
      </c>
      <c r="I106" s="407" t="s">
        <v>1718</v>
      </c>
      <c r="J106" s="416" t="s">
        <v>908</v>
      </c>
      <c r="K106" s="417" t="s">
        <v>390</v>
      </c>
      <c r="L106" s="417" t="str">
        <f>VLOOKUP(D106,'[4]Seguimiento Plan'!$C$2:$AJ$101,30,0)</f>
        <v>SI</v>
      </c>
      <c r="M106" s="418">
        <f>VLOOKUP(D106,'[4]Seguimiento Plan'!$C$2:$AJ$101,31,0)</f>
        <v>42087</v>
      </c>
      <c r="N106" s="417" t="s">
        <v>1816</v>
      </c>
      <c r="O106" s="419"/>
      <c r="P106" s="419"/>
      <c r="Q106" s="419"/>
      <c r="R106" s="420"/>
      <c r="S106" s="438" t="s">
        <v>1635</v>
      </c>
      <c r="T106" s="317" t="s">
        <v>291</v>
      </c>
      <c r="U106" s="423" t="str">
        <f>IF(ISERROR(VLOOKUP(T106,'Base de Datos'!$E$7:$AU$302,3,0))=TRUE," ",(VLOOKUP(T106,'Base de Datos'!$E$7:$AU$302,2,0)))</f>
        <v>UNIDAD NACIONAL DE PROTECCIÓN</v>
      </c>
      <c r="V106" s="426">
        <f>IF(ISERROR(VLOOKUP(T106,'Base de Datos'!$E$7:$AU$302,5,0))=TRUE," ",(VLOOKUP(T106,'Base de Datos'!$E$7:$AU$302,5,0)))</f>
        <v>2447846100</v>
      </c>
      <c r="W106" s="423">
        <f>IF(ISERROR(VLOOKUP(T106,'Base de Datos'!$E$7:$AU$302,19,0))=TRUE," ",(VLOOKUP(T106,'Base de Datos'!$E$7:$AU$302,19,0)))</f>
        <v>42116</v>
      </c>
      <c r="X106" s="428" t="str">
        <f>IF(ISERROR(VLOOKUP(T106,'Base de Datos'!$E$7:$AU$302,8,0))=TRUE," ",(VLOOKUP(T106,'Base de Datos'!$E$7:$AU$302,8,0)))</f>
        <v xml:space="preserve"> </v>
      </c>
      <c r="Y106" s="428">
        <f>IF(ISERROR(VLOOKUP(T106,'Base de Datos'!$E$7:$AU$302,9,0))=TRUE," ",(VLOOKUP(T106,'Base de Datos'!$E$7:$AU$302,9,0)))</f>
        <v>41808</v>
      </c>
      <c r="Z106" s="422">
        <f>IF(ISERROR(VLOOKUP(T106,'Base de Datos'!$E$7:$AU$302,10,0))=TRUE," ",(VLOOKUP(T106,'Base de Datos'!$E$7:$AU$302,10,0)))</f>
        <v>42021</v>
      </c>
      <c r="AA106" s="425" t="str">
        <f>IF(ISERROR(VLOOKUP(T106,'Base de Datos'!$E$7:$AU$302,11,0))=TRUE," ",(VLOOKUP(T106,'Base de Datos'!$E$7:$AU$302,11,0)))</f>
        <v/>
      </c>
      <c r="AB106" s="422">
        <f>IF(ISERROR(VLOOKUP(T106,'Base de Datos'!$E$7:$AU$302,12,0))=TRUE," ",(VLOOKUP(T106,'Base de Datos'!$E$7:$AU$302,12,0)))</f>
        <v>1</v>
      </c>
      <c r="AC106" s="422">
        <f>IF(ISERROR(VLOOKUP(T106,'Base de Datos'!$E$7:$AU$302,12,0))=TRUE," ",(VLOOKUP(T106,'Base de Datos'!$E$7:$AU$302,12,0)))</f>
        <v>1</v>
      </c>
      <c r="AD106" s="428" t="str">
        <f>IF(ISERROR(VLOOKUP(T106,'Base de Datos'!$E$7:$AU$302,15,0))=TRUE," ",(VLOOKUP(T106,'Base de Datos'!$E$7:$AU$302,15,0)))</f>
        <v>3 meses y 5 días</v>
      </c>
      <c r="AE106" s="433">
        <f>IF(ISERROR(VLOOKUP(T106,'Base de Datos'!$E$7:$AU$302,16,0))=TRUE," ",(VLOOKUP(T106,'Base de Datos'!$E$7:$AU$302,16,0)))</f>
        <v>42116</v>
      </c>
      <c r="AF106" s="433" t="str">
        <f>IF(ISERROR(VLOOKUP(T106,'Base de Datos'!$E$7:$AU$302,17,0))=TRUE," ",(VLOOKUP(T106,'Base de Datos'!$E$7:$AU$302,17,0)))</f>
        <v/>
      </c>
      <c r="AG106" s="433" t="str">
        <f>IF(ISERROR(VLOOKUP(T106,'Base de Datos'!$E$7:$AU$302,18,0))=TRUE," ",(VLOOKUP(T106,'Base de Datos'!$E$7:$AU$302,18,0)))</f>
        <v/>
      </c>
      <c r="AH106" s="434">
        <f>IF(ISERROR(VLOOKUP(T106,'Base de Datos'!$E$7:$AU$302,20,0))=TRUE," ",(VLOOKUP(T106,'Base de Datos'!$E$7:$AU$302,20,0)))</f>
        <v>3463454100</v>
      </c>
      <c r="AI106" s="434">
        <f>IF(ISERROR(VLOOKUP(T106,'Base de Datos'!$E$7:$AU$302,21,0))=TRUE," ",(VLOOKUP(T106,'Base de Datos'!$E$7:$AU$302,21,0)))</f>
        <v>3320263630</v>
      </c>
      <c r="AJ106" s="428">
        <v>42117</v>
      </c>
      <c r="AK106" s="423" t="str">
        <f>IF(ISERROR(VLOOKUP(D106,'Base de Datos'!$C$7:$AU$400,2,0))=TRUE," ",(VLOOKUP(D106,'Base de Datos'!$C$7:$AU$400,2,0)))</f>
        <v>2015210</v>
      </c>
      <c r="AL106" s="423" t="str">
        <f>IF(ISERROR(VLOOKUP(D106,'Base de Datos'!$C$7:$AU$400,3,0))=TRUE," ",(VLOOKUP(D106,'Base de Datos'!$C$7:$AU$400,3,0)))</f>
        <v>150198-0-2015</v>
      </c>
      <c r="AM106" s="426" t="str">
        <f>IF(ISERROR(VLOOKUP(D106,'Base de Datos'!$C$7:$AU$3761,6,0))=TRUE," ",(VLOOKUP(D106,'Base de Datos'!$C$7:$AU$400,6,0)))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26" t="str">
        <f>IF(ISERROR(VLOOKUP(D106,'Base de Datos'!$C$7:$AU$400,20,0))=TRUE," ",(VLOOKUP(D106,'Base de Datos'!$C$7:$AU$400,19,0)))</f>
        <v/>
      </c>
      <c r="AO106" s="429">
        <f>IF(ISERROR(VLOOKUP(D106,'Base de Datos'!$C$7:$AU$400,9,0))=TRUE," ",(VLOOKUP(D106,'Base de Datos'!$C$7:$AU$400,9,0)))</f>
        <v>2015</v>
      </c>
      <c r="AP106" s="429">
        <f>IF(ISERROR(VLOOKUP(D106,'Base de Datos'!$C$7:$AU$400,10,0))=TRUE," ",(VLOOKUP(D106,'Base de Datos'!$C$7:$AU$400,10,0)))</f>
        <v>42117</v>
      </c>
      <c r="AQ106" s="431">
        <f>IF(ISERROR(VLOOKUP(D106,'Base de Datos'!$C$7:$AU$400,11,0))=TRUE," ",(VLOOKUP(D106,'Base de Datos'!$C$7:$AU$400,11,0)))</f>
        <v>42117</v>
      </c>
      <c r="AR106" s="432">
        <f>IF(ISERROR(VLOOKUP(D106,'Base de Datos'!$C$7:$AU$400,12,0))=TRUE," ",(VLOOKUP(D106,'Base de Datos'!$C$7:$AU$400,12,0)))</f>
        <v>42468</v>
      </c>
      <c r="AS106" s="431" t="str">
        <f>IF(ISERROR(VLOOKUP(D106,'Base de Datos'!$C$7:$AU$400,13,0))=TRUE," ",(VLOOKUP(D106,'Base de Datos'!$C$7:$AU$400,13,0)))</f>
        <v/>
      </c>
      <c r="AT106" s="431">
        <f>IF(ISERROR(VLOOKUP(D106,'Base de Datos'!$C$7:$AU$400,14,0))=TRUE," ",(VLOOKUP(D106,'Base de Datos'!$C$7:$AU$400,14,0)))</f>
        <v>0</v>
      </c>
      <c r="AU106" s="429">
        <f>IF(ISERROR(VLOOKUP(D106,'Base de Datos'!$C$7:$AU$400,16,0))=TRUE," ",(VLOOKUP(D106,'Base de Datos'!$C$7:$AU$400,16,0)))</f>
        <v>0</v>
      </c>
      <c r="AV106" s="433" t="str">
        <f>IF(ISERROR(VLOOKUP(D106,'Base de Datos'!$C$7:$AU$400,17,0))=TRUE," ",(VLOOKUP(D106,'Base de Datos'!$C$7:$AU$400,17,0)))</f>
        <v/>
      </c>
      <c r="AW106" s="433" t="str">
        <f>IF(ISERROR(VLOOKUP(D106,'Base de Datos'!$C$7:$AU$400,18,0))=TRUE," ",(VLOOKUP(D106,'Base de Datos'!$C$7:$AU$400,18,0)))</f>
        <v/>
      </c>
      <c r="AX106" s="433" t="str">
        <f>IF(ISERROR(VLOOKUP(D106,'Base de Datos'!$C$7:$AU$400,19,0))=TRUE," ",(VLOOKUP(D106,'Base de Datos'!$C$7:$AU$400,19,0)))</f>
        <v/>
      </c>
      <c r="AY106" s="436">
        <f>IF(ISERROR(VLOOKUP(D106,'Base de Datos'!$C$7:$AU$400,21,0))=TRUE," ",(VLOOKUP(D106,'Base de Datos'!$C$7:$AU$400,21,0)))</f>
        <v>42468</v>
      </c>
      <c r="AZ106" s="436">
        <f>IF(ISERROR(VLOOKUP(D106,'Base de Datos'!$C$7:$AU$400,22,0))=TRUE," ",(VLOOKUP(D106,'Base de Datos'!$C$7:$AU$400,22,0)))</f>
        <v>4174276985</v>
      </c>
      <c r="BA106" s="443"/>
      <c r="BB106" s="453"/>
    </row>
    <row r="107" spans="2:54" ht="55.5" hidden="1" customHeight="1" x14ac:dyDescent="0.3">
      <c r="B107" s="406">
        <v>100</v>
      </c>
      <c r="C107" s="414" t="s">
        <v>1674</v>
      </c>
      <c r="D107" s="406">
        <v>211</v>
      </c>
      <c r="E107" s="414" t="s">
        <v>1678</v>
      </c>
      <c r="F107" s="415">
        <f>VLOOKUP(D107,'Presupuesto - PAA 2015'!$B$10:$E$265,4,0)</f>
        <v>0</v>
      </c>
      <c r="G107" s="407" t="str">
        <f>VLOOKUP(D107,'[4]Seguimiento Plan'!$C$2:$R$101,16,0)</f>
        <v>Arriendo de un inmueble para la sede del Concejo de Bogotá.</v>
      </c>
      <c r="H107" s="407" t="s">
        <v>1775</v>
      </c>
      <c r="I107" s="407" t="s">
        <v>1719</v>
      </c>
      <c r="J107" s="416" t="s">
        <v>908</v>
      </c>
      <c r="K107" s="417"/>
      <c r="L107" s="417"/>
      <c r="M107" s="418"/>
      <c r="N107" s="417"/>
      <c r="O107" s="419"/>
      <c r="P107" s="419"/>
      <c r="Q107" s="419"/>
      <c r="R107" s="420"/>
      <c r="S107" s="420"/>
      <c r="T107" s="421"/>
      <c r="U107" s="423" t="str">
        <f>IF(ISERROR(VLOOKUP(T107,'Base de Datos'!$E$7:$AU$302,3,0))=TRUE," ",(VLOOKUP(T107,'Base de Datos'!$E$7:$AU$302,2,0)))</f>
        <v xml:space="preserve"> </v>
      </c>
      <c r="V107" s="426" t="str">
        <f>IF(ISERROR(VLOOKUP(T107,'Base de Datos'!$E$7:$AU$302,5,0))=TRUE," ",(VLOOKUP(T107,'Base de Datos'!$E$7:$AU$302,5,0)))</f>
        <v xml:space="preserve"> </v>
      </c>
      <c r="W107" s="423" t="str">
        <f>IF(ISERROR(VLOOKUP(T107,'Base de Datos'!$E$7:$AU$302,19,0))=TRUE," ",(VLOOKUP(T107,'Base de Datos'!$E$7:$AU$302,19,0)))</f>
        <v xml:space="preserve"> </v>
      </c>
      <c r="X107" s="428" t="str">
        <f>IF(ISERROR(VLOOKUP(T107,'Base de Datos'!$E$7:$AU$302,8,0))=TRUE," ",(VLOOKUP(T107,'Base de Datos'!$E$7:$AU$302,8,0)))</f>
        <v xml:space="preserve"> </v>
      </c>
      <c r="Y107" s="428" t="str">
        <f>IF(ISERROR(VLOOKUP(T107,'Base de Datos'!$E$7:$AU$302,9,0))=TRUE," ",(VLOOKUP(T107,'Base de Datos'!$E$7:$AU$302,9,0)))</f>
        <v xml:space="preserve"> </v>
      </c>
      <c r="Z107" s="422" t="str">
        <f>IF(ISERROR(VLOOKUP(T107,'Base de Datos'!$E$7:$AU$302,10,0))=TRUE," ",(VLOOKUP(T107,'Base de Datos'!$E$7:$AU$302,10,0)))</f>
        <v xml:space="preserve"> </v>
      </c>
      <c r="AA107" s="425" t="str">
        <f>IF(ISERROR(VLOOKUP(T107,'Base de Datos'!$E$7:$AU$302,11,0))=TRUE," ",(VLOOKUP(T107,'Base de Datos'!$E$7:$AU$302,11,0)))</f>
        <v xml:space="preserve"> </v>
      </c>
      <c r="AB107" s="422" t="str">
        <f>IF(ISERROR(VLOOKUP(T107,'Base de Datos'!$E$7:$AU$302,12,0))=TRUE," ",(VLOOKUP(T107,'Base de Datos'!$E$7:$AU$302,12,0)))</f>
        <v xml:space="preserve"> </v>
      </c>
      <c r="AC107" s="422" t="str">
        <f>IF(ISERROR(VLOOKUP(T107,'Base de Datos'!$E$7:$AU$302,12,0))=TRUE," ",(VLOOKUP(T107,'Base de Datos'!$E$7:$AU$302,12,0)))</f>
        <v xml:space="preserve"> </v>
      </c>
      <c r="AD107" s="428" t="str">
        <f>IF(ISERROR(VLOOKUP(T107,'Base de Datos'!$E$7:$AU$302,15,0))=TRUE," ",(VLOOKUP(T107,'Base de Datos'!$E$7:$AU$302,15,0)))</f>
        <v xml:space="preserve"> </v>
      </c>
      <c r="AE107" s="433" t="str">
        <f>IF(ISERROR(VLOOKUP(T107,'Base de Datos'!$E$7:$AU$302,16,0))=TRUE," ",(VLOOKUP(T107,'Base de Datos'!$E$7:$AU$302,16,0)))</f>
        <v xml:space="preserve"> </v>
      </c>
      <c r="AF107" s="433" t="str">
        <f>IF(ISERROR(VLOOKUP(T107,'Base de Datos'!$E$7:$AU$302,17,0))=TRUE," ",(VLOOKUP(T107,'Base de Datos'!$E$7:$AU$302,17,0)))</f>
        <v xml:space="preserve"> </v>
      </c>
      <c r="AG107" s="433" t="str">
        <f>IF(ISERROR(VLOOKUP(T107,'Base de Datos'!$E$7:$AU$302,18,0))=TRUE," ",(VLOOKUP(T107,'Base de Datos'!$E$7:$AU$302,18,0)))</f>
        <v xml:space="preserve"> </v>
      </c>
      <c r="AH107" s="434" t="str">
        <f>IF(ISERROR(VLOOKUP(T107,'Base de Datos'!$E$7:$AU$302,20,0))=TRUE," ",(VLOOKUP(T107,'Base de Datos'!$E$7:$AU$302,20,0)))</f>
        <v xml:space="preserve"> </v>
      </c>
      <c r="AI107" s="434" t="str">
        <f>IF(ISERROR(VLOOKUP(T107,'Base de Datos'!$E$7:$AU$302,21,0))=TRUE," ",(VLOOKUP(T107,'Base de Datos'!$E$7:$AU$302,21,0)))</f>
        <v xml:space="preserve"> </v>
      </c>
      <c r="AJ107" s="423"/>
      <c r="AK107" s="423" t="str">
        <f>IF(ISERROR(VLOOKUP(D107,'Base de Datos'!$C$7:$AU$400,2,0))=TRUE," ",(VLOOKUP(D107,'Base de Datos'!$C$7:$AU$400,2,0)))</f>
        <v xml:space="preserve"> </v>
      </c>
      <c r="AL107" s="423" t="str">
        <f>IF(ISERROR(VLOOKUP(D107,'Base de Datos'!$C$7:$AU$400,3,0))=TRUE," ",(VLOOKUP(D107,'Base de Datos'!$C$7:$AU$400,3,0)))</f>
        <v xml:space="preserve"> </v>
      </c>
      <c r="AM107" s="426" t="e">
        <f>IF(ISERROR(VLOOKUP(D107,'Base de Datos'!$C$7:$AU$3761,6,0))=TRUE," ",(VLOOKUP(D107,'Base de Datos'!$C$7:$AU$400,6,0)))</f>
        <v>#N/A</v>
      </c>
      <c r="AN107" s="426" t="str">
        <f>IF(ISERROR(VLOOKUP(D107,'Base de Datos'!$C$7:$AU$400,20,0))=TRUE," ",(VLOOKUP(D107,'Base de Datos'!$C$7:$AU$400,19,0)))</f>
        <v xml:space="preserve"> </v>
      </c>
      <c r="AO107" s="429" t="str">
        <f>IF(ISERROR(VLOOKUP(D107,'Base de Datos'!$C$7:$AU$400,9,0))=TRUE," ",(VLOOKUP(D107,'Base de Datos'!$C$7:$AU$400,9,0)))</f>
        <v xml:space="preserve"> </v>
      </c>
      <c r="AP107" s="429" t="str">
        <f>IF(ISERROR(VLOOKUP(D107,'Base de Datos'!$C$7:$AU$400,10,0))=TRUE," ",(VLOOKUP(D107,'Base de Datos'!$C$7:$AU$400,10,0)))</f>
        <v xml:space="preserve"> </v>
      </c>
      <c r="AQ107" s="431" t="str">
        <f>IF(ISERROR(VLOOKUP(D107,'Base de Datos'!$C$7:$AU$400,11,0))=TRUE," ",(VLOOKUP(D107,'Base de Datos'!$C$7:$AU$400,11,0)))</f>
        <v xml:space="preserve"> </v>
      </c>
      <c r="AR107" s="432" t="str">
        <f>IF(ISERROR(VLOOKUP(D107,'Base de Datos'!$C$7:$AU$400,12,0))=TRUE," ",(VLOOKUP(D107,'Base de Datos'!$C$7:$AU$400,12,0)))</f>
        <v xml:space="preserve"> </v>
      </c>
      <c r="AS107" s="431" t="str">
        <f>IF(ISERROR(VLOOKUP(D107,'Base de Datos'!$C$7:$AU$400,13,0))=TRUE," ",(VLOOKUP(D107,'Base de Datos'!$C$7:$AU$400,13,0)))</f>
        <v xml:space="preserve"> </v>
      </c>
      <c r="AT107" s="431" t="str">
        <f>IF(ISERROR(VLOOKUP(D107,'Base de Datos'!$C$7:$AU$400,14,0))=TRUE," ",(VLOOKUP(D107,'Base de Datos'!$C$7:$AU$400,14,0)))</f>
        <v xml:space="preserve"> </v>
      </c>
      <c r="AU107" s="429" t="str">
        <f>IF(ISERROR(VLOOKUP(D107,'Base de Datos'!$C$7:$AU$400,16,0))=TRUE," ",(VLOOKUP(D107,'Base de Datos'!$C$7:$AU$400,16,0)))</f>
        <v xml:space="preserve"> </v>
      </c>
      <c r="AV107" s="433" t="str">
        <f>IF(ISERROR(VLOOKUP(D107,'Base de Datos'!$C$7:$AU$400,17,0))=TRUE," ",(VLOOKUP(D107,'Base de Datos'!$C$7:$AU$400,17,0)))</f>
        <v xml:space="preserve"> </v>
      </c>
      <c r="AW107" s="433" t="str">
        <f>IF(ISERROR(VLOOKUP(D107,'Base de Datos'!$C$7:$AU$400,18,0))=TRUE," ",(VLOOKUP(D107,'Base de Datos'!$C$7:$AU$400,18,0)))</f>
        <v xml:space="preserve"> </v>
      </c>
      <c r="AX107" s="433" t="str">
        <f>IF(ISERROR(VLOOKUP(D107,'Base de Datos'!$C$7:$AU$400,19,0))=TRUE," ",(VLOOKUP(D107,'Base de Datos'!$C$7:$AU$400,19,0)))</f>
        <v xml:space="preserve"> </v>
      </c>
      <c r="AY107" s="436" t="str">
        <f>IF(ISERROR(VLOOKUP(D107,'Base de Datos'!$C$7:$AU$400,21,0))=TRUE," ",(VLOOKUP(D107,'Base de Datos'!$C$7:$AU$400,21,0)))</f>
        <v xml:space="preserve"> </v>
      </c>
      <c r="AZ107" s="436" t="str">
        <f>IF(ISERROR(VLOOKUP(D107,'Base de Datos'!$C$7:$AU$400,22,0))=TRUE," ",(VLOOKUP(D107,'Base de Datos'!$C$7:$AU$400,22,0)))</f>
        <v xml:space="preserve"> </v>
      </c>
      <c r="BA107" s="443"/>
      <c r="BB107" s="453"/>
    </row>
    <row r="108" spans="2:54" ht="55.5" hidden="1" customHeight="1" x14ac:dyDescent="0.3">
      <c r="B108" s="406">
        <v>101</v>
      </c>
      <c r="C108" s="414" t="s">
        <v>1674</v>
      </c>
      <c r="D108" s="406">
        <v>212</v>
      </c>
      <c r="E108" s="414" t="s">
        <v>1678</v>
      </c>
      <c r="F108" s="415">
        <f>VLOOKUP(D108,'Presupuesto - PAA 2015'!$B$10:$E$265,4,0)</f>
        <v>0</v>
      </c>
      <c r="G108" s="407" t="str">
        <f>VLOOKUP(D108,'[4]Seguimiento Plan'!$C$2:$R$101,16,0)</f>
        <v>Efectuar los estudios de viabilidad técnica y presupuestal para la compra o construcción de la sede Administrativa del Concejo de Bogotá</v>
      </c>
      <c r="H108" s="407" t="s">
        <v>1775</v>
      </c>
      <c r="I108" s="407" t="s">
        <v>1715</v>
      </c>
      <c r="J108" s="416" t="s">
        <v>1736</v>
      </c>
      <c r="K108" s="417"/>
      <c r="L108" s="417"/>
      <c r="M108" s="418"/>
      <c r="N108" s="417"/>
      <c r="O108" s="419"/>
      <c r="P108" s="419"/>
      <c r="Q108" s="419"/>
      <c r="R108" s="420"/>
      <c r="S108" s="420"/>
      <c r="T108" s="421"/>
      <c r="U108" s="423" t="str">
        <f>IF(ISERROR(VLOOKUP(T108,'Base de Datos'!$E$7:$AU$302,3,0))=TRUE," ",(VLOOKUP(T108,'Base de Datos'!$E$7:$AU$302,2,0)))</f>
        <v xml:space="preserve"> </v>
      </c>
      <c r="V108" s="426" t="str">
        <f>IF(ISERROR(VLOOKUP(T108,'Base de Datos'!$E$7:$AU$302,5,0))=TRUE," ",(VLOOKUP(T108,'Base de Datos'!$E$7:$AU$302,5,0)))</f>
        <v xml:space="preserve"> </v>
      </c>
      <c r="W108" s="423" t="str">
        <f>IF(ISERROR(VLOOKUP(T108,'Base de Datos'!$E$7:$AU$302,19,0))=TRUE," ",(VLOOKUP(T108,'Base de Datos'!$E$7:$AU$302,19,0)))</f>
        <v xml:space="preserve"> </v>
      </c>
      <c r="X108" s="428" t="str">
        <f>IF(ISERROR(VLOOKUP(T108,'Base de Datos'!$E$7:$AU$302,8,0))=TRUE," ",(VLOOKUP(T108,'Base de Datos'!$E$7:$AU$302,8,0)))</f>
        <v xml:space="preserve"> </v>
      </c>
      <c r="Y108" s="428" t="str">
        <f>IF(ISERROR(VLOOKUP(T108,'Base de Datos'!$E$7:$AU$302,9,0))=TRUE," ",(VLOOKUP(T108,'Base de Datos'!$E$7:$AU$302,9,0)))</f>
        <v xml:space="preserve"> </v>
      </c>
      <c r="Z108" s="422" t="str">
        <f>IF(ISERROR(VLOOKUP(T108,'Base de Datos'!$E$7:$AU$302,10,0))=TRUE," ",(VLOOKUP(T108,'Base de Datos'!$E$7:$AU$302,10,0)))</f>
        <v xml:space="preserve"> </v>
      </c>
      <c r="AA108" s="425" t="str">
        <f>IF(ISERROR(VLOOKUP(T108,'Base de Datos'!$E$7:$AU$302,11,0))=TRUE," ",(VLOOKUP(T108,'Base de Datos'!$E$7:$AU$302,11,0)))</f>
        <v xml:space="preserve"> </v>
      </c>
      <c r="AB108" s="422" t="str">
        <f>IF(ISERROR(VLOOKUP(T108,'Base de Datos'!$E$7:$AU$302,12,0))=TRUE," ",(VLOOKUP(T108,'Base de Datos'!$E$7:$AU$302,12,0)))</f>
        <v xml:space="preserve"> </v>
      </c>
      <c r="AC108" s="422" t="str">
        <f>IF(ISERROR(VLOOKUP(T108,'Base de Datos'!$E$7:$AU$302,12,0))=TRUE," ",(VLOOKUP(T108,'Base de Datos'!$E$7:$AU$302,12,0)))</f>
        <v xml:space="preserve"> </v>
      </c>
      <c r="AD108" s="428" t="str">
        <f>IF(ISERROR(VLOOKUP(T108,'Base de Datos'!$E$7:$AU$302,15,0))=TRUE," ",(VLOOKUP(T108,'Base de Datos'!$E$7:$AU$302,15,0)))</f>
        <v xml:space="preserve"> </v>
      </c>
      <c r="AE108" s="433" t="str">
        <f>IF(ISERROR(VLOOKUP(T108,'Base de Datos'!$E$7:$AU$302,16,0))=TRUE," ",(VLOOKUP(T108,'Base de Datos'!$E$7:$AU$302,16,0)))</f>
        <v xml:space="preserve"> </v>
      </c>
      <c r="AF108" s="433" t="str">
        <f>IF(ISERROR(VLOOKUP(T108,'Base de Datos'!$E$7:$AU$302,17,0))=TRUE," ",(VLOOKUP(T108,'Base de Datos'!$E$7:$AU$302,17,0)))</f>
        <v xml:space="preserve"> </v>
      </c>
      <c r="AG108" s="433" t="str">
        <f>IF(ISERROR(VLOOKUP(T108,'Base de Datos'!$E$7:$AU$302,18,0))=TRUE," ",(VLOOKUP(T108,'Base de Datos'!$E$7:$AU$302,18,0)))</f>
        <v xml:space="preserve"> </v>
      </c>
      <c r="AH108" s="434" t="str">
        <f>IF(ISERROR(VLOOKUP(T108,'Base de Datos'!$E$7:$AU$302,20,0))=TRUE," ",(VLOOKUP(T108,'Base de Datos'!$E$7:$AU$302,20,0)))</f>
        <v xml:space="preserve"> </v>
      </c>
      <c r="AI108" s="434" t="str">
        <f>IF(ISERROR(VLOOKUP(T108,'Base de Datos'!$E$7:$AU$302,21,0))=TRUE," ",(VLOOKUP(T108,'Base de Datos'!$E$7:$AU$302,21,0)))</f>
        <v xml:space="preserve"> </v>
      </c>
      <c r="AJ108" s="423"/>
      <c r="AK108" s="423" t="str">
        <f>IF(ISERROR(VLOOKUP(D108,'Base de Datos'!$C$7:$AU$400,2,0))=TRUE," ",(VLOOKUP(D108,'Base de Datos'!$C$7:$AU$400,2,0)))</f>
        <v xml:space="preserve"> </v>
      </c>
      <c r="AL108" s="423" t="str">
        <f>IF(ISERROR(VLOOKUP(D108,'Base de Datos'!$C$7:$AU$400,3,0))=TRUE," ",(VLOOKUP(D108,'Base de Datos'!$C$7:$AU$400,3,0)))</f>
        <v xml:space="preserve"> </v>
      </c>
      <c r="AM108" s="426" t="e">
        <f>IF(ISERROR(VLOOKUP(D108,'Base de Datos'!$C$7:$AU$3761,6,0))=TRUE," ",(VLOOKUP(D108,'Base de Datos'!$C$7:$AU$400,6,0)))</f>
        <v>#N/A</v>
      </c>
      <c r="AN108" s="426" t="str">
        <f>IF(ISERROR(VLOOKUP(D108,'Base de Datos'!$C$7:$AU$400,20,0))=TRUE," ",(VLOOKUP(D108,'Base de Datos'!$C$7:$AU$400,19,0)))</f>
        <v xml:space="preserve"> </v>
      </c>
      <c r="AO108" s="429" t="str">
        <f>IF(ISERROR(VLOOKUP(D108,'Base de Datos'!$C$7:$AU$400,9,0))=TRUE," ",(VLOOKUP(D108,'Base de Datos'!$C$7:$AU$400,9,0)))</f>
        <v xml:space="preserve"> </v>
      </c>
      <c r="AP108" s="429" t="str">
        <f>IF(ISERROR(VLOOKUP(D108,'Base de Datos'!$C$7:$AU$400,10,0))=TRUE," ",(VLOOKUP(D108,'Base de Datos'!$C$7:$AU$400,10,0)))</f>
        <v xml:space="preserve"> </v>
      </c>
      <c r="AQ108" s="431" t="str">
        <f>IF(ISERROR(VLOOKUP(D108,'Base de Datos'!$C$7:$AU$400,11,0))=TRUE," ",(VLOOKUP(D108,'Base de Datos'!$C$7:$AU$400,11,0)))</f>
        <v xml:space="preserve"> </v>
      </c>
      <c r="AR108" s="432" t="str">
        <f>IF(ISERROR(VLOOKUP(D108,'Base de Datos'!$C$7:$AU$400,12,0))=TRUE," ",(VLOOKUP(D108,'Base de Datos'!$C$7:$AU$400,12,0)))</f>
        <v xml:space="preserve"> </v>
      </c>
      <c r="AS108" s="431" t="str">
        <f>IF(ISERROR(VLOOKUP(D108,'Base de Datos'!$C$7:$AU$400,13,0))=TRUE," ",(VLOOKUP(D108,'Base de Datos'!$C$7:$AU$400,13,0)))</f>
        <v xml:space="preserve"> </v>
      </c>
      <c r="AT108" s="431" t="str">
        <f>IF(ISERROR(VLOOKUP(D108,'Base de Datos'!$C$7:$AU$400,14,0))=TRUE," ",(VLOOKUP(D108,'Base de Datos'!$C$7:$AU$400,14,0)))</f>
        <v xml:space="preserve"> </v>
      </c>
      <c r="AU108" s="429" t="str">
        <f>IF(ISERROR(VLOOKUP(D108,'Base de Datos'!$C$7:$AU$400,16,0))=TRUE," ",(VLOOKUP(D108,'Base de Datos'!$C$7:$AU$400,16,0)))</f>
        <v xml:space="preserve"> </v>
      </c>
      <c r="AV108" s="433" t="str">
        <f>IF(ISERROR(VLOOKUP(D108,'Base de Datos'!$C$7:$AU$400,17,0))=TRUE," ",(VLOOKUP(D108,'Base de Datos'!$C$7:$AU$400,17,0)))</f>
        <v xml:space="preserve"> </v>
      </c>
      <c r="AW108" s="433" t="str">
        <f>IF(ISERROR(VLOOKUP(D108,'Base de Datos'!$C$7:$AU$400,18,0))=TRUE," ",(VLOOKUP(D108,'Base de Datos'!$C$7:$AU$400,18,0)))</f>
        <v xml:space="preserve"> </v>
      </c>
      <c r="AX108" s="433" t="str">
        <f>IF(ISERROR(VLOOKUP(D108,'Base de Datos'!$C$7:$AU$400,19,0))=TRUE," ",(VLOOKUP(D108,'Base de Datos'!$C$7:$AU$400,19,0)))</f>
        <v xml:space="preserve"> </v>
      </c>
      <c r="AY108" s="436" t="str">
        <f>IF(ISERROR(VLOOKUP(D108,'Base de Datos'!$C$7:$AU$400,21,0))=TRUE," ",(VLOOKUP(D108,'Base de Datos'!$C$7:$AU$400,21,0)))</f>
        <v xml:space="preserve"> </v>
      </c>
      <c r="AZ108" s="436" t="str">
        <f>IF(ISERROR(VLOOKUP(D108,'Base de Datos'!$C$7:$AU$400,22,0))=TRUE," ",(VLOOKUP(D108,'Base de Datos'!$C$7:$AU$400,22,0)))</f>
        <v xml:space="preserve"> </v>
      </c>
      <c r="BA108" s="443"/>
      <c r="BB108" s="453"/>
    </row>
    <row r="109" spans="2:54" ht="55.5" hidden="1" customHeight="1" x14ac:dyDescent="0.3">
      <c r="B109" s="406">
        <v>102</v>
      </c>
      <c r="C109" s="414" t="s">
        <v>1674</v>
      </c>
      <c r="D109" s="406">
        <v>213</v>
      </c>
      <c r="E109" s="414" t="s">
        <v>1678</v>
      </c>
      <c r="F109" s="415">
        <f>VLOOKUP(D109,'Presupuesto - PAA 2015'!$B$10:$E$265,4,0)</f>
        <v>450477000</v>
      </c>
      <c r="G109" s="407" t="str">
        <f>VLOOKUP(D109,'[4]Seguimiento Plan'!$C$2:$R$101,16,0)</f>
        <v>Adquisición, entrega y montaje de mobiliario y equipo de oficina para la sede del Concejo de Bogotá</v>
      </c>
      <c r="H109" s="407" t="s">
        <v>1775</v>
      </c>
      <c r="I109" s="407" t="s">
        <v>1711</v>
      </c>
      <c r="J109" s="416" t="s">
        <v>1733</v>
      </c>
      <c r="K109" s="417" t="s">
        <v>390</v>
      </c>
      <c r="L109" s="417" t="s">
        <v>390</v>
      </c>
      <c r="M109" s="418">
        <v>42062</v>
      </c>
      <c r="N109" s="417" t="s">
        <v>1818</v>
      </c>
      <c r="O109" s="419"/>
      <c r="P109" s="419"/>
      <c r="Q109" s="419"/>
      <c r="R109" s="420"/>
      <c r="S109" s="438" t="s">
        <v>2199</v>
      </c>
      <c r="T109" s="125" t="s">
        <v>260</v>
      </c>
      <c r="U109" s="423" t="str">
        <f>IF(ISERROR(VLOOKUP(T109,'Base de Datos'!$E$7:$AU$302,3,0))=TRUE," ",(VLOOKUP(T109,'Base de Datos'!$E$7:$AU$302,2,0)))</f>
        <v>K 10 DESIGN   S.A.S</v>
      </c>
      <c r="V109" s="426">
        <f>IF(ISERROR(VLOOKUP(T109,'Base de Datos'!$E$7:$AU$302,5,0))=TRUE," ",(VLOOKUP(T109,'Base de Datos'!$E$7:$AU$302,5,0)))</f>
        <v>248000000</v>
      </c>
      <c r="W109" s="423">
        <f>IF(ISERROR(VLOOKUP(T109,'Base de Datos'!$E$7:$AU$302,19,0))=TRUE," ",(VLOOKUP(T109,'Base de Datos'!$E$7:$AU$302,19,0)))</f>
        <v>41738</v>
      </c>
      <c r="X109" s="428" t="str">
        <f>IF(ISERROR(VLOOKUP(T109,'Base de Datos'!$E$7:$AU$302,8,0))=TRUE," ",(VLOOKUP(T109,'Base de Datos'!$E$7:$AU$302,8,0)))</f>
        <v xml:space="preserve"> </v>
      </c>
      <c r="Y109" s="428">
        <f>IF(ISERROR(VLOOKUP(T109,'Base de Datos'!$E$7:$AU$302,9,0))=TRUE," ",(VLOOKUP(T109,'Base de Datos'!$E$7:$AU$302,9,0)))</f>
        <v>41708</v>
      </c>
      <c r="Z109" s="422">
        <f>IF(ISERROR(VLOOKUP(T109,'Base de Datos'!$E$7:$AU$302,10,0))=TRUE," ",(VLOOKUP(T109,'Base de Datos'!$E$7:$AU$302,10,0)))</f>
        <v>41738</v>
      </c>
      <c r="AA109" s="425" t="str">
        <f>IF(ISERROR(VLOOKUP(T109,'Base de Datos'!$E$7:$AU$302,11,0))=TRUE," ",(VLOOKUP(T109,'Base de Datos'!$E$7:$AU$302,11,0)))</f>
        <v/>
      </c>
      <c r="AB109" s="422">
        <f>IF(ISERROR(VLOOKUP(T109,'Base de Datos'!$E$7:$AU$302,12,0))=TRUE," ",(VLOOKUP(T109,'Base de Datos'!$E$7:$AU$302,12,0)))</f>
        <v>1</v>
      </c>
      <c r="AC109" s="422">
        <f>IF(ISERROR(VLOOKUP(T109,'Base de Datos'!$E$7:$AU$302,12,0))=TRUE," ",(VLOOKUP(T109,'Base de Datos'!$E$7:$AU$302,12,0)))</f>
        <v>1</v>
      </c>
      <c r="AD109" s="428" t="str">
        <f>IF(ISERROR(VLOOKUP(T109,'Base de Datos'!$E$7:$AU$302,15,0))=TRUE," ",(VLOOKUP(T109,'Base de Datos'!$E$7:$AU$302,15,0)))</f>
        <v/>
      </c>
      <c r="AE109" s="433" t="str">
        <f>IF(ISERROR(VLOOKUP(T109,'Base de Datos'!$E$7:$AU$302,16,0))=TRUE," ",(VLOOKUP(T109,'Base de Datos'!$E$7:$AU$302,16,0)))</f>
        <v/>
      </c>
      <c r="AF109" s="433" t="str">
        <f>IF(ISERROR(VLOOKUP(T109,'Base de Datos'!$E$7:$AU$302,17,0))=TRUE," ",(VLOOKUP(T109,'Base de Datos'!$E$7:$AU$302,17,0)))</f>
        <v/>
      </c>
      <c r="AG109" s="433" t="str">
        <f>IF(ISERROR(VLOOKUP(T109,'Base de Datos'!$E$7:$AU$302,18,0))=TRUE," ",(VLOOKUP(T109,'Base de Datos'!$E$7:$AU$302,18,0)))</f>
        <v/>
      </c>
      <c r="AH109" s="434">
        <f>IF(ISERROR(VLOOKUP(T109,'Base de Datos'!$E$7:$AU$302,20,0))=TRUE," ",(VLOOKUP(T109,'Base de Datos'!$E$7:$AU$302,20,0)))</f>
        <v>325128875</v>
      </c>
      <c r="AI109" s="434">
        <f>IF(ISERROR(VLOOKUP(T109,'Base de Datos'!$E$7:$AU$302,21,0))=TRUE," ",(VLOOKUP(T109,'Base de Datos'!$E$7:$AU$302,21,0)))</f>
        <v>325028452</v>
      </c>
      <c r="AJ109" s="423"/>
      <c r="AK109" s="423" t="str">
        <f>IF(ISERROR(VLOOKUP(D109,'Base de Datos'!$C$7:$AU$400,2,0))=TRUE," ",(VLOOKUP(D109,'Base de Datos'!$C$7:$AU$400,2,0)))</f>
        <v xml:space="preserve"> </v>
      </c>
      <c r="AL109" s="423" t="str">
        <f>IF(ISERROR(VLOOKUP(D109,'Base de Datos'!$C$7:$AU$400,3,0))=TRUE," ",(VLOOKUP(D109,'Base de Datos'!$C$7:$AU$400,3,0)))</f>
        <v xml:space="preserve"> </v>
      </c>
      <c r="AM109" s="426" t="e">
        <f>IF(ISERROR(VLOOKUP(D109,'Base de Datos'!$C$7:$AU$3761,6,0))=TRUE," ",(VLOOKUP(D109,'Base de Datos'!$C$7:$AU$400,6,0)))</f>
        <v>#N/A</v>
      </c>
      <c r="AN109" s="426" t="str">
        <f>IF(ISERROR(VLOOKUP(D109,'Base de Datos'!$C$7:$AU$400,20,0))=TRUE," ",(VLOOKUP(D109,'Base de Datos'!$C$7:$AU$400,19,0)))</f>
        <v xml:space="preserve"> </v>
      </c>
      <c r="AO109" s="429" t="str">
        <f>IF(ISERROR(VLOOKUP(D109,'Base de Datos'!$C$7:$AU$400,9,0))=TRUE," ",(VLOOKUP(D109,'Base de Datos'!$C$7:$AU$400,9,0)))</f>
        <v xml:space="preserve"> </v>
      </c>
      <c r="AP109" s="429" t="str">
        <f>IF(ISERROR(VLOOKUP(D109,'Base de Datos'!$C$7:$AU$400,10,0))=TRUE," ",(VLOOKUP(D109,'Base de Datos'!$C$7:$AU$400,10,0)))</f>
        <v xml:space="preserve"> </v>
      </c>
      <c r="AQ109" s="431" t="str">
        <f>IF(ISERROR(VLOOKUP(D109,'Base de Datos'!$C$7:$AU$400,11,0))=TRUE," ",(VLOOKUP(D109,'Base de Datos'!$C$7:$AU$400,11,0)))</f>
        <v xml:space="preserve"> </v>
      </c>
      <c r="AR109" s="432" t="str">
        <f>IF(ISERROR(VLOOKUP(D109,'Base de Datos'!$C$7:$AU$400,12,0))=TRUE," ",(VLOOKUP(D109,'Base de Datos'!$C$7:$AU$400,12,0)))</f>
        <v xml:space="preserve"> </v>
      </c>
      <c r="AS109" s="431" t="str">
        <f>IF(ISERROR(VLOOKUP(D109,'Base de Datos'!$C$7:$AU$400,13,0))=TRUE," ",(VLOOKUP(D109,'Base de Datos'!$C$7:$AU$400,13,0)))</f>
        <v xml:space="preserve"> </v>
      </c>
      <c r="AT109" s="431" t="str">
        <f>IF(ISERROR(VLOOKUP(D109,'Base de Datos'!$C$7:$AU$400,14,0))=TRUE," ",(VLOOKUP(D109,'Base de Datos'!$C$7:$AU$400,14,0)))</f>
        <v xml:space="preserve"> </v>
      </c>
      <c r="AU109" s="429" t="str">
        <f>IF(ISERROR(VLOOKUP(D109,'Base de Datos'!$C$7:$AU$400,16,0))=TRUE," ",(VLOOKUP(D109,'Base de Datos'!$C$7:$AU$400,16,0)))</f>
        <v xml:space="preserve"> </v>
      </c>
      <c r="AV109" s="433" t="str">
        <f>IF(ISERROR(VLOOKUP(D109,'Base de Datos'!$C$7:$AU$400,17,0))=TRUE," ",(VLOOKUP(D109,'Base de Datos'!$C$7:$AU$400,17,0)))</f>
        <v xml:space="preserve"> </v>
      </c>
      <c r="AW109" s="433" t="str">
        <f>IF(ISERROR(VLOOKUP(D109,'Base de Datos'!$C$7:$AU$400,18,0))=TRUE," ",(VLOOKUP(D109,'Base de Datos'!$C$7:$AU$400,18,0)))</f>
        <v xml:space="preserve"> </v>
      </c>
      <c r="AX109" s="433" t="str">
        <f>IF(ISERROR(VLOOKUP(D109,'Base de Datos'!$C$7:$AU$400,19,0))=TRUE," ",(VLOOKUP(D109,'Base de Datos'!$C$7:$AU$400,19,0)))</f>
        <v xml:space="preserve"> </v>
      </c>
      <c r="AY109" s="436" t="str">
        <f>IF(ISERROR(VLOOKUP(D109,'Base de Datos'!$C$7:$AU$400,21,0))=TRUE," ",(VLOOKUP(D109,'Base de Datos'!$C$7:$AU$400,21,0)))</f>
        <v xml:space="preserve"> </v>
      </c>
      <c r="AZ109" s="436" t="str">
        <f>IF(ISERROR(VLOOKUP(D109,'Base de Datos'!$C$7:$AU$400,22,0))=TRUE," ",(VLOOKUP(D109,'Base de Datos'!$C$7:$AU$400,22,0)))</f>
        <v xml:space="preserve"> </v>
      </c>
      <c r="BA109" s="443"/>
      <c r="BB109" s="453"/>
    </row>
    <row r="110" spans="2:54" ht="55.5" hidden="1" customHeight="1" x14ac:dyDescent="0.3">
      <c r="B110" s="406">
        <v>103</v>
      </c>
      <c r="C110" s="414" t="s">
        <v>1674</v>
      </c>
      <c r="D110" s="406">
        <v>214</v>
      </c>
      <c r="E110" s="414" t="s">
        <v>1678</v>
      </c>
      <c r="F110" s="415" t="e">
        <f>VLOOKUP(D110,'Presupuesto - PAA 2015'!$B$10:$E$265,4,0)</f>
        <v>#N/A</v>
      </c>
      <c r="G110" s="407" t="str">
        <f>VLOOKUP(D110,'[4]Seguimiento Plan'!$C$2:$R$101,16,0)</f>
        <v>Desarrollar actividades para fortalecer los Sistemas de Gestión Institucional del Concejo de Bogotá- Subsistema Responsabilidad Social.</v>
      </c>
      <c r="H110" s="407" t="s">
        <v>1775</v>
      </c>
      <c r="I110" s="407" t="s">
        <v>1709</v>
      </c>
      <c r="J110" s="416" t="s">
        <v>909</v>
      </c>
      <c r="K110" s="417"/>
      <c r="L110" s="417" t="s">
        <v>390</v>
      </c>
      <c r="M110" s="418"/>
      <c r="N110" s="417"/>
      <c r="O110" s="419"/>
      <c r="P110" s="419"/>
      <c r="Q110" s="419"/>
      <c r="R110" s="420"/>
      <c r="S110" s="420"/>
      <c r="T110" s="421"/>
      <c r="U110" s="423" t="str">
        <f>IF(ISERROR(VLOOKUP(T110,'Base de Datos'!$E$7:$AU$302,3,0))=TRUE," ",(VLOOKUP(T110,'Base de Datos'!$E$7:$AU$302,2,0)))</f>
        <v xml:space="preserve"> </v>
      </c>
      <c r="V110" s="426" t="str">
        <f>IF(ISERROR(VLOOKUP(T110,'Base de Datos'!$E$7:$AU$302,5,0))=TRUE," ",(VLOOKUP(T110,'Base de Datos'!$E$7:$AU$302,5,0)))</f>
        <v xml:space="preserve"> </v>
      </c>
      <c r="W110" s="423" t="str">
        <f>IF(ISERROR(VLOOKUP(T110,'Base de Datos'!$E$7:$AU$302,19,0))=TRUE," ",(VLOOKUP(T110,'Base de Datos'!$E$7:$AU$302,19,0)))</f>
        <v xml:space="preserve"> </v>
      </c>
      <c r="X110" s="428" t="str">
        <f>IF(ISERROR(VLOOKUP(T110,'Base de Datos'!$E$7:$AU$302,8,0))=TRUE," ",(VLOOKUP(T110,'Base de Datos'!$E$7:$AU$302,8,0)))</f>
        <v xml:space="preserve"> </v>
      </c>
      <c r="Y110" s="428" t="str">
        <f>IF(ISERROR(VLOOKUP(T110,'Base de Datos'!$E$7:$AU$302,9,0))=TRUE," ",(VLOOKUP(T110,'Base de Datos'!$E$7:$AU$302,9,0)))</f>
        <v xml:space="preserve"> </v>
      </c>
      <c r="Z110" s="422" t="str">
        <f>IF(ISERROR(VLOOKUP(T110,'Base de Datos'!$E$7:$AU$302,10,0))=TRUE," ",(VLOOKUP(T110,'Base de Datos'!$E$7:$AU$302,10,0)))</f>
        <v xml:space="preserve"> </v>
      </c>
      <c r="AA110" s="425" t="str">
        <f>IF(ISERROR(VLOOKUP(T110,'Base de Datos'!$E$7:$AU$302,11,0))=TRUE," ",(VLOOKUP(T110,'Base de Datos'!$E$7:$AU$302,11,0)))</f>
        <v xml:space="preserve"> </v>
      </c>
      <c r="AB110" s="422" t="str">
        <f>IF(ISERROR(VLOOKUP(T110,'Base de Datos'!$E$7:$AU$302,12,0))=TRUE," ",(VLOOKUP(T110,'Base de Datos'!$E$7:$AU$302,12,0)))</f>
        <v xml:space="preserve"> </v>
      </c>
      <c r="AC110" s="422" t="str">
        <f>IF(ISERROR(VLOOKUP(T110,'Base de Datos'!$E$7:$AU$302,12,0))=TRUE," ",(VLOOKUP(T110,'Base de Datos'!$E$7:$AU$302,12,0)))</f>
        <v xml:space="preserve"> </v>
      </c>
      <c r="AD110" s="428" t="str">
        <f>IF(ISERROR(VLOOKUP(T110,'Base de Datos'!$E$7:$AU$302,15,0))=TRUE," ",(VLOOKUP(T110,'Base de Datos'!$E$7:$AU$302,15,0)))</f>
        <v xml:space="preserve"> </v>
      </c>
      <c r="AE110" s="433" t="str">
        <f>IF(ISERROR(VLOOKUP(T110,'Base de Datos'!$E$7:$AU$302,16,0))=TRUE," ",(VLOOKUP(T110,'Base de Datos'!$E$7:$AU$302,16,0)))</f>
        <v xml:space="preserve"> </v>
      </c>
      <c r="AF110" s="433" t="str">
        <f>IF(ISERROR(VLOOKUP(T110,'Base de Datos'!$E$7:$AU$302,17,0))=TRUE," ",(VLOOKUP(T110,'Base de Datos'!$E$7:$AU$302,17,0)))</f>
        <v xml:space="preserve"> </v>
      </c>
      <c r="AG110" s="433" t="str">
        <f>IF(ISERROR(VLOOKUP(T110,'Base de Datos'!$E$7:$AU$302,18,0))=TRUE," ",(VLOOKUP(T110,'Base de Datos'!$E$7:$AU$302,18,0)))</f>
        <v xml:space="preserve"> </v>
      </c>
      <c r="AH110" s="434" t="str">
        <f>IF(ISERROR(VLOOKUP(T110,'Base de Datos'!$E$7:$AU$302,20,0))=TRUE," ",(VLOOKUP(T110,'Base de Datos'!$E$7:$AU$302,20,0)))</f>
        <v xml:space="preserve"> </v>
      </c>
      <c r="AI110" s="434" t="str">
        <f>IF(ISERROR(VLOOKUP(T110,'Base de Datos'!$E$7:$AU$302,21,0))=TRUE," ",(VLOOKUP(T110,'Base de Datos'!$E$7:$AU$302,21,0)))</f>
        <v xml:space="preserve"> </v>
      </c>
      <c r="AJ110" s="423"/>
      <c r="AK110" s="423" t="str">
        <f>IF(ISERROR(VLOOKUP(D110,'Base de Datos'!$C$7:$AU$400,2,0))=TRUE," ",(VLOOKUP(D110,'Base de Datos'!$C$7:$AU$400,2,0)))</f>
        <v xml:space="preserve"> </v>
      </c>
      <c r="AL110" s="423" t="str">
        <f>IF(ISERROR(VLOOKUP(D110,'Base de Datos'!$C$7:$AU$400,3,0))=TRUE," ",(VLOOKUP(D110,'Base de Datos'!$C$7:$AU$400,3,0)))</f>
        <v xml:space="preserve"> </v>
      </c>
      <c r="AM110" s="426" t="e">
        <f>IF(ISERROR(VLOOKUP(D110,'Base de Datos'!$C$7:$AU$3761,6,0))=TRUE," ",(VLOOKUP(D110,'Base de Datos'!$C$7:$AU$400,6,0)))</f>
        <v>#N/A</v>
      </c>
      <c r="AN110" s="426" t="str">
        <f>IF(ISERROR(VLOOKUP(D110,'Base de Datos'!$C$7:$AU$400,20,0))=TRUE," ",(VLOOKUP(D110,'Base de Datos'!$C$7:$AU$400,19,0)))</f>
        <v xml:space="preserve"> </v>
      </c>
      <c r="AO110" s="429" t="str">
        <f>IF(ISERROR(VLOOKUP(D110,'Base de Datos'!$C$7:$AU$400,9,0))=TRUE," ",(VLOOKUP(D110,'Base de Datos'!$C$7:$AU$400,9,0)))</f>
        <v xml:space="preserve"> </v>
      </c>
      <c r="AP110" s="429" t="str">
        <f>IF(ISERROR(VLOOKUP(D110,'Base de Datos'!$C$7:$AU$400,10,0))=TRUE," ",(VLOOKUP(D110,'Base de Datos'!$C$7:$AU$400,10,0)))</f>
        <v xml:space="preserve"> </v>
      </c>
      <c r="AQ110" s="431" t="str">
        <f>IF(ISERROR(VLOOKUP(D110,'Base de Datos'!$C$7:$AU$400,11,0))=TRUE," ",(VLOOKUP(D110,'Base de Datos'!$C$7:$AU$400,11,0)))</f>
        <v xml:space="preserve"> </v>
      </c>
      <c r="AR110" s="432" t="str">
        <f>IF(ISERROR(VLOOKUP(D110,'Base de Datos'!$C$7:$AU$400,12,0))=TRUE," ",(VLOOKUP(D110,'Base de Datos'!$C$7:$AU$400,12,0)))</f>
        <v xml:space="preserve"> </v>
      </c>
      <c r="AS110" s="431" t="str">
        <f>IF(ISERROR(VLOOKUP(D110,'Base de Datos'!$C$7:$AU$400,13,0))=TRUE," ",(VLOOKUP(D110,'Base de Datos'!$C$7:$AU$400,13,0)))</f>
        <v xml:space="preserve"> </v>
      </c>
      <c r="AT110" s="431" t="str">
        <f>IF(ISERROR(VLOOKUP(D110,'Base de Datos'!$C$7:$AU$400,14,0))=TRUE," ",(VLOOKUP(D110,'Base de Datos'!$C$7:$AU$400,14,0)))</f>
        <v xml:space="preserve"> </v>
      </c>
      <c r="AU110" s="429" t="str">
        <f>IF(ISERROR(VLOOKUP(D110,'Base de Datos'!$C$7:$AU$400,16,0))=TRUE," ",(VLOOKUP(D110,'Base de Datos'!$C$7:$AU$400,16,0)))</f>
        <v xml:space="preserve"> </v>
      </c>
      <c r="AV110" s="433" t="str">
        <f>IF(ISERROR(VLOOKUP(D110,'Base de Datos'!$C$7:$AU$400,17,0))=TRUE," ",(VLOOKUP(D110,'Base de Datos'!$C$7:$AU$400,17,0)))</f>
        <v xml:space="preserve"> </v>
      </c>
      <c r="AW110" s="433" t="str">
        <f>IF(ISERROR(VLOOKUP(D110,'Base de Datos'!$C$7:$AU$400,18,0))=TRUE," ",(VLOOKUP(D110,'Base de Datos'!$C$7:$AU$400,18,0)))</f>
        <v xml:space="preserve"> </v>
      </c>
      <c r="AX110" s="433" t="str">
        <f>IF(ISERROR(VLOOKUP(D110,'Base de Datos'!$C$7:$AU$400,19,0))=TRUE," ",(VLOOKUP(D110,'Base de Datos'!$C$7:$AU$400,19,0)))</f>
        <v xml:space="preserve"> </v>
      </c>
      <c r="AY110" s="436" t="str">
        <f>IF(ISERROR(VLOOKUP(D110,'Base de Datos'!$C$7:$AU$400,21,0))=TRUE," ",(VLOOKUP(D110,'Base de Datos'!$C$7:$AU$400,21,0)))</f>
        <v xml:space="preserve"> </v>
      </c>
      <c r="AZ110" s="436" t="str">
        <f>IF(ISERROR(VLOOKUP(D110,'Base de Datos'!$C$7:$AU$400,22,0))=TRUE," ",(VLOOKUP(D110,'Base de Datos'!$C$7:$AU$400,22,0)))</f>
        <v xml:space="preserve"> </v>
      </c>
      <c r="BA110" s="443"/>
      <c r="BB110" s="453"/>
    </row>
    <row r="111" spans="2:54" ht="55.5" hidden="1" customHeight="1" x14ac:dyDescent="0.3">
      <c r="B111" s="406">
        <v>104</v>
      </c>
      <c r="C111" s="414" t="s">
        <v>1674</v>
      </c>
      <c r="D111" s="406">
        <v>263</v>
      </c>
      <c r="E111" s="414" t="s">
        <v>1678</v>
      </c>
      <c r="F111" s="415">
        <f>VLOOKUP(D111,'Presupuesto - PAA 2015'!$B$10:$E$265,4,0)</f>
        <v>87669877</v>
      </c>
      <c r="G111" s="407" t="str">
        <f>VLOOKUP(D111,'[4]Seguimiento Plan'!$C$2:$R$101,16,0)</f>
        <v>Adicion y Prorroga al contrato 140249-0-2014 suscrito con Inversiones Matay cuyo objeto es: Contratar a título de arrendamiento un inmueble para uso de parqueadero, por parte del Concejo de Bogotá D.C.</v>
      </c>
      <c r="H111" s="407" t="s">
        <v>1775</v>
      </c>
      <c r="I111" s="407" t="s">
        <v>1719</v>
      </c>
      <c r="J111" s="416" t="s">
        <v>908</v>
      </c>
      <c r="K111" s="417" t="s">
        <v>390</v>
      </c>
      <c r="L111" s="417" t="str">
        <f>VLOOKUP(D111,'[4]Seguimiento Plan'!$C$2:$AJ$101,30,0)</f>
        <v>SI</v>
      </c>
      <c r="M111" s="418" t="s">
        <v>1241</v>
      </c>
      <c r="N111" s="417"/>
      <c r="O111" s="419"/>
      <c r="P111" s="419"/>
      <c r="Q111" s="419"/>
      <c r="R111" s="420"/>
      <c r="S111" s="420"/>
      <c r="T111" s="317" t="s">
        <v>307</v>
      </c>
      <c r="U111" s="423" t="str">
        <f>IF(ISERROR(VLOOKUP(T111,'Base de Datos'!$E$7:$AU$302,3,0))=TRUE," ",(VLOOKUP(T111,'Base de Datos'!$E$7:$AU$302,2,0)))</f>
        <v>INVERSIONES MATAY SAS</v>
      </c>
      <c r="V111" s="426">
        <f>IF(ISERROR(VLOOKUP(T111,'Base de Datos'!$E$7:$AU$302,5,0))=TRUE," ",(VLOOKUP(T111,'Base de Datos'!$E$7:$AU$302,5,0)))</f>
        <v>202978686</v>
      </c>
      <c r="W111" s="423">
        <f>IF(ISERROR(VLOOKUP(T111,'Base de Datos'!$E$7:$AU$302,19,0))=TRUE," ",(VLOOKUP(T111,'Base de Datos'!$E$7:$AU$302,19,0)))</f>
        <v>42108</v>
      </c>
      <c r="X111" s="428" t="str">
        <f>IF(ISERROR(VLOOKUP(T111,'Base de Datos'!$E$7:$AU$302,8,0))=TRUE," ",(VLOOKUP(T111,'Base de Datos'!$E$7:$AU$302,8,0)))</f>
        <v xml:space="preserve"> </v>
      </c>
      <c r="Y111" s="428">
        <f>IF(ISERROR(VLOOKUP(T111,'Base de Datos'!$E$7:$AU$302,9,0))=TRUE," ",(VLOOKUP(T111,'Base de Datos'!$E$7:$AU$302,9,0)))</f>
        <v>41850</v>
      </c>
      <c r="Z111" s="422">
        <f>IF(ISERROR(VLOOKUP(T111,'Base de Datos'!$E$7:$AU$302,10,0))=TRUE," ",(VLOOKUP(T111,'Base de Datos'!$E$7:$AU$302,10,0)))</f>
        <v>42034</v>
      </c>
      <c r="AA111" s="425" t="str">
        <f>IF(ISERROR(VLOOKUP(T111,'Base de Datos'!$E$7:$AU$302,11,0))=TRUE," ",(VLOOKUP(T111,'Base de Datos'!$E$7:$AU$302,11,0)))</f>
        <v/>
      </c>
      <c r="AB111" s="422">
        <f>IF(ISERROR(VLOOKUP(T111,'Base de Datos'!$E$7:$AU$302,12,0))=TRUE," ",(VLOOKUP(T111,'Base de Datos'!$E$7:$AU$302,12,0)))</f>
        <v>1</v>
      </c>
      <c r="AC111" s="422">
        <f>IF(ISERROR(VLOOKUP(T111,'Base de Datos'!$E$7:$AU$302,12,0))=TRUE," ",(VLOOKUP(T111,'Base de Datos'!$E$7:$AU$302,12,0)))</f>
        <v>1</v>
      </c>
      <c r="AD111" s="428" t="str">
        <f>IF(ISERROR(VLOOKUP(T111,'Base de Datos'!$E$7:$AU$302,15,0))=TRUE," ",(VLOOKUP(T111,'Base de Datos'!$E$7:$AU$302,15,0)))</f>
        <v>2 meses y 15 días</v>
      </c>
      <c r="AE111" s="433">
        <f>IF(ISERROR(VLOOKUP(T111,'Base de Datos'!$E$7:$AU$302,16,0))=TRUE," ",(VLOOKUP(T111,'Base de Datos'!$E$7:$AU$302,16,0)))</f>
        <v>42108</v>
      </c>
      <c r="AF111" s="433" t="str">
        <f>IF(ISERROR(VLOOKUP(T111,'Base de Datos'!$E$7:$AU$302,17,0))=TRUE," ",(VLOOKUP(T111,'Base de Datos'!$E$7:$AU$302,17,0)))</f>
        <v/>
      </c>
      <c r="AG111" s="433" t="str">
        <f>IF(ISERROR(VLOOKUP(T111,'Base de Datos'!$E$7:$AU$302,18,0))=TRUE," ",(VLOOKUP(T111,'Base de Datos'!$E$7:$AU$302,18,0)))</f>
        <v/>
      </c>
      <c r="AH111" s="434">
        <f>IF(ISERROR(VLOOKUP(T111,'Base de Datos'!$E$7:$AU$302,20,0))=TRUE," ",(VLOOKUP(T111,'Base de Datos'!$E$7:$AU$302,20,0)))</f>
        <v>290648563</v>
      </c>
      <c r="AI111" s="434">
        <f>IF(ISERROR(VLOOKUP(T111,'Base de Datos'!$E$7:$AU$302,21,0))=TRUE," ",(VLOOKUP(T111,'Base de Datos'!$E$7:$AU$302,21,0)))</f>
        <v>290648563</v>
      </c>
      <c r="AJ111" s="423"/>
      <c r="AK111" s="423" t="str">
        <f>IF(ISERROR(VLOOKUP(D111,'Base de Datos'!$C$7:$AU$400,2,0))=TRUE," ",(VLOOKUP(D111,'Base de Datos'!$C$7:$AU$400,2,0)))</f>
        <v xml:space="preserve"> </v>
      </c>
      <c r="AL111" s="423" t="str">
        <f>IF(ISERROR(VLOOKUP(D111,'Base de Datos'!$C$7:$AU$400,3,0))=TRUE," ",(VLOOKUP(D111,'Base de Datos'!$C$7:$AU$400,3,0)))</f>
        <v xml:space="preserve"> </v>
      </c>
      <c r="AM111" s="426" t="e">
        <f>IF(ISERROR(VLOOKUP(D111,'Base de Datos'!$C$7:$AU$3761,6,0))=TRUE," ",(VLOOKUP(D111,'Base de Datos'!$C$7:$AU$400,6,0)))</f>
        <v>#N/A</v>
      </c>
      <c r="AN111" s="426" t="str">
        <f>IF(ISERROR(VLOOKUP(D111,'Base de Datos'!$C$7:$AU$400,20,0))=TRUE," ",(VLOOKUP(D111,'Base de Datos'!$C$7:$AU$400,19,0)))</f>
        <v xml:space="preserve"> </v>
      </c>
      <c r="AO111" s="429" t="str">
        <f>IF(ISERROR(VLOOKUP(D111,'Base de Datos'!$C$7:$AU$400,9,0))=TRUE," ",(VLOOKUP(D111,'Base de Datos'!$C$7:$AU$400,9,0)))</f>
        <v xml:space="preserve"> </v>
      </c>
      <c r="AP111" s="429" t="str">
        <f>IF(ISERROR(VLOOKUP(D111,'Base de Datos'!$C$7:$AU$400,10,0))=TRUE," ",(VLOOKUP(D111,'Base de Datos'!$C$7:$AU$400,10,0)))</f>
        <v xml:space="preserve"> </v>
      </c>
      <c r="AQ111" s="431" t="str">
        <f>IF(ISERROR(VLOOKUP(D111,'Base de Datos'!$C$7:$AU$400,11,0))=TRUE," ",(VLOOKUP(D111,'Base de Datos'!$C$7:$AU$400,11,0)))</f>
        <v xml:space="preserve"> </v>
      </c>
      <c r="AR111" s="432" t="str">
        <f>IF(ISERROR(VLOOKUP(D111,'Base de Datos'!$C$7:$AU$400,12,0))=TRUE," ",(VLOOKUP(D111,'Base de Datos'!$C$7:$AU$400,12,0)))</f>
        <v xml:space="preserve"> </v>
      </c>
      <c r="AS111" s="431" t="str">
        <f>IF(ISERROR(VLOOKUP(D111,'Base de Datos'!$C$7:$AU$400,13,0))=TRUE," ",(VLOOKUP(D111,'Base de Datos'!$C$7:$AU$400,13,0)))</f>
        <v xml:space="preserve"> </v>
      </c>
      <c r="AT111" s="431" t="str">
        <f>IF(ISERROR(VLOOKUP(D111,'Base de Datos'!$C$7:$AU$400,14,0))=TRUE," ",(VLOOKUP(D111,'Base de Datos'!$C$7:$AU$400,14,0)))</f>
        <v xml:space="preserve"> </v>
      </c>
      <c r="AU111" s="429" t="str">
        <f>IF(ISERROR(VLOOKUP(D111,'Base de Datos'!$C$7:$AU$400,16,0))=TRUE," ",(VLOOKUP(D111,'Base de Datos'!$C$7:$AU$400,16,0)))</f>
        <v xml:space="preserve"> </v>
      </c>
      <c r="AV111" s="433" t="str">
        <f>IF(ISERROR(VLOOKUP(D111,'Base de Datos'!$C$7:$AU$400,17,0))=TRUE," ",(VLOOKUP(D111,'Base de Datos'!$C$7:$AU$400,17,0)))</f>
        <v xml:space="preserve"> </v>
      </c>
      <c r="AW111" s="433" t="str">
        <f>IF(ISERROR(VLOOKUP(D111,'Base de Datos'!$C$7:$AU$400,18,0))=TRUE," ",(VLOOKUP(D111,'Base de Datos'!$C$7:$AU$400,18,0)))</f>
        <v xml:space="preserve"> </v>
      </c>
      <c r="AX111" s="433" t="str">
        <f>IF(ISERROR(VLOOKUP(D111,'Base de Datos'!$C$7:$AU$400,19,0))=TRUE," ",(VLOOKUP(D111,'Base de Datos'!$C$7:$AU$400,19,0)))</f>
        <v xml:space="preserve"> </v>
      </c>
      <c r="AY111" s="436" t="str">
        <f>IF(ISERROR(VLOOKUP(D111,'Base de Datos'!$C$7:$AU$400,21,0))=TRUE," ",(VLOOKUP(D111,'Base de Datos'!$C$7:$AU$400,21,0)))</f>
        <v xml:space="preserve"> </v>
      </c>
      <c r="AZ111" s="436" t="str">
        <f>IF(ISERROR(VLOOKUP(D111,'Base de Datos'!$C$7:$AU$400,22,0))=TRUE," ",(VLOOKUP(D111,'Base de Datos'!$C$7:$AU$400,22,0)))</f>
        <v xml:space="preserve"> </v>
      </c>
      <c r="BA111" s="443"/>
      <c r="BB111" s="453"/>
    </row>
    <row r="112" spans="2:54" x14ac:dyDescent="0.3">
      <c r="K112" s="96"/>
    </row>
    <row r="113" spans="11:38" x14ac:dyDescent="0.3">
      <c r="K113" s="96"/>
    </row>
    <row r="114" spans="11:38" x14ac:dyDescent="0.3">
      <c r="K114" s="96"/>
    </row>
    <row r="115" spans="11:38" x14ac:dyDescent="0.3">
      <c r="K115" s="96"/>
      <c r="AK115" s="217" t="s">
        <v>2011</v>
      </c>
      <c r="AL115" s="217" t="s">
        <v>1299</v>
      </c>
    </row>
    <row r="116" spans="11:38" x14ac:dyDescent="0.3">
      <c r="K116" s="96"/>
    </row>
    <row r="117" spans="11:38" x14ac:dyDescent="0.3">
      <c r="K117" s="96"/>
    </row>
    <row r="118" spans="11:38" x14ac:dyDescent="0.3">
      <c r="K118" s="96"/>
    </row>
    <row r="119" spans="11:38" x14ac:dyDescent="0.3">
      <c r="K119" s="96"/>
    </row>
    <row r="120" spans="11:38" x14ac:dyDescent="0.3">
      <c r="K120" s="96"/>
    </row>
    <row r="121" spans="11:38" x14ac:dyDescent="0.3">
      <c r="K121" s="96"/>
    </row>
    <row r="122" spans="11:38" x14ac:dyDescent="0.3">
      <c r="K122" s="96"/>
    </row>
    <row r="123" spans="11:38" x14ac:dyDescent="0.3">
      <c r="K123" s="96"/>
    </row>
    <row r="124" spans="11:38" x14ac:dyDescent="0.3">
      <c r="K124" s="96"/>
    </row>
    <row r="125" spans="11:38" x14ac:dyDescent="0.3">
      <c r="K125" s="96"/>
    </row>
    <row r="126" spans="11:38" x14ac:dyDescent="0.3">
      <c r="K126" s="96"/>
    </row>
    <row r="127" spans="11:38" x14ac:dyDescent="0.3">
      <c r="K127" s="96"/>
    </row>
    <row r="128" spans="11:38" x14ac:dyDescent="0.3">
      <c r="K128" s="96"/>
    </row>
    <row r="129" spans="11:11" x14ac:dyDescent="0.3">
      <c r="K129" s="96"/>
    </row>
    <row r="130" spans="11:11" x14ac:dyDescent="0.3">
      <c r="K130" s="96"/>
    </row>
    <row r="131" spans="11:11" x14ac:dyDescent="0.3">
      <c r="K131" s="96"/>
    </row>
    <row r="132" spans="11:11" x14ac:dyDescent="0.3">
      <c r="K132" s="96"/>
    </row>
    <row r="133" spans="11:11" x14ac:dyDescent="0.3">
      <c r="K133" s="96"/>
    </row>
    <row r="134" spans="11:11" x14ac:dyDescent="0.3">
      <c r="K134" s="96"/>
    </row>
    <row r="135" spans="11:11" x14ac:dyDescent="0.3">
      <c r="K135" s="96"/>
    </row>
    <row r="136" spans="11:11" x14ac:dyDescent="0.3">
      <c r="K136" s="96"/>
    </row>
    <row r="137" spans="11:11" x14ac:dyDescent="0.3">
      <c r="K137" s="96"/>
    </row>
    <row r="138" spans="11:11" x14ac:dyDescent="0.3">
      <c r="K138" s="96"/>
    </row>
    <row r="139" spans="11:11" x14ac:dyDescent="0.3">
      <c r="K139" s="96"/>
    </row>
    <row r="140" spans="11:11" x14ac:dyDescent="0.3">
      <c r="K140" s="96"/>
    </row>
    <row r="141" spans="11:11" x14ac:dyDescent="0.3">
      <c r="K141" s="96"/>
    </row>
    <row r="142" spans="11:11" x14ac:dyDescent="0.3">
      <c r="K142" s="96"/>
    </row>
    <row r="143" spans="11:11" x14ac:dyDescent="0.3">
      <c r="K143" s="96"/>
    </row>
    <row r="144" spans="11:11" x14ac:dyDescent="0.3">
      <c r="K144" s="96"/>
    </row>
    <row r="145" spans="11:11" x14ac:dyDescent="0.3">
      <c r="K145" s="96"/>
    </row>
    <row r="146" spans="11:11" x14ac:dyDescent="0.3">
      <c r="K146" s="96"/>
    </row>
    <row r="147" spans="11:11" x14ac:dyDescent="0.3">
      <c r="K147" s="96"/>
    </row>
    <row r="148" spans="11:11" x14ac:dyDescent="0.3">
      <c r="K148" s="96"/>
    </row>
    <row r="149" spans="11:11" x14ac:dyDescent="0.3">
      <c r="K149" s="96"/>
    </row>
    <row r="150" spans="11:11" x14ac:dyDescent="0.3">
      <c r="K150" s="96"/>
    </row>
    <row r="151" spans="11:11" x14ac:dyDescent="0.3">
      <c r="K151" s="96"/>
    </row>
    <row r="152" spans="11:11" x14ac:dyDescent="0.3">
      <c r="K152" s="96"/>
    </row>
    <row r="153" spans="11:11" x14ac:dyDescent="0.3">
      <c r="K153" s="96"/>
    </row>
    <row r="154" spans="11:11" x14ac:dyDescent="0.3">
      <c r="K154" s="96"/>
    </row>
    <row r="155" spans="11:11" x14ac:dyDescent="0.3">
      <c r="K155" s="96"/>
    </row>
    <row r="156" spans="11:11" x14ac:dyDescent="0.3">
      <c r="K156" s="96"/>
    </row>
    <row r="157" spans="11:11" x14ac:dyDescent="0.3">
      <c r="K157" s="96"/>
    </row>
    <row r="158" spans="11:11" x14ac:dyDescent="0.3">
      <c r="K158" s="96"/>
    </row>
    <row r="159" spans="11:11" x14ac:dyDescent="0.3">
      <c r="K159" s="96"/>
    </row>
    <row r="160" spans="11:11" x14ac:dyDescent="0.3">
      <c r="K160" s="96"/>
    </row>
    <row r="161" spans="11:11" x14ac:dyDescent="0.3">
      <c r="K161" s="96"/>
    </row>
    <row r="162" spans="11:11" x14ac:dyDescent="0.3">
      <c r="K162" s="96"/>
    </row>
    <row r="163" spans="11:11" x14ac:dyDescent="0.3">
      <c r="K163" s="96"/>
    </row>
    <row r="164" spans="11:11" x14ac:dyDescent="0.3">
      <c r="K164" s="96"/>
    </row>
    <row r="165" spans="11:11" x14ac:dyDescent="0.3">
      <c r="K165" s="96"/>
    </row>
    <row r="166" spans="11:11" x14ac:dyDescent="0.3">
      <c r="K166" s="96"/>
    </row>
    <row r="167" spans="11:11" x14ac:dyDescent="0.3">
      <c r="K167" s="96"/>
    </row>
    <row r="168" spans="11:11" x14ac:dyDescent="0.3">
      <c r="K168" s="96"/>
    </row>
    <row r="169" spans="11:11" x14ac:dyDescent="0.3">
      <c r="K169" s="96"/>
    </row>
    <row r="170" spans="11:11" x14ac:dyDescent="0.3">
      <c r="K170" s="96"/>
    </row>
    <row r="171" spans="11:11" x14ac:dyDescent="0.3">
      <c r="K171" s="96"/>
    </row>
    <row r="172" spans="11:11" x14ac:dyDescent="0.3">
      <c r="K172" s="96"/>
    </row>
    <row r="173" spans="11:11" x14ac:dyDescent="0.3">
      <c r="K173" s="96"/>
    </row>
    <row r="174" spans="11:11" x14ac:dyDescent="0.3">
      <c r="K174" s="96"/>
    </row>
    <row r="175" spans="11:11" x14ac:dyDescent="0.3">
      <c r="K175" s="96"/>
    </row>
    <row r="176" spans="11:11" x14ac:dyDescent="0.3">
      <c r="K176" s="96"/>
    </row>
    <row r="177" spans="11:11" x14ac:dyDescent="0.3">
      <c r="K177" s="96"/>
    </row>
    <row r="178" spans="11:11" x14ac:dyDescent="0.3">
      <c r="K178" s="96"/>
    </row>
    <row r="179" spans="11:11" x14ac:dyDescent="0.3">
      <c r="K179" s="96"/>
    </row>
    <row r="180" spans="11:11" x14ac:dyDescent="0.3">
      <c r="K180" s="96"/>
    </row>
    <row r="181" spans="11:11" x14ac:dyDescent="0.3">
      <c r="K181" s="96"/>
    </row>
    <row r="182" spans="11:11" x14ac:dyDescent="0.3">
      <c r="K182" s="96"/>
    </row>
    <row r="183" spans="11:11" x14ac:dyDescent="0.3">
      <c r="K183" s="96"/>
    </row>
    <row r="184" spans="11:11" x14ac:dyDescent="0.3">
      <c r="K184" s="96"/>
    </row>
    <row r="185" spans="11:11" x14ac:dyDescent="0.3">
      <c r="K185" s="96"/>
    </row>
    <row r="186" spans="11:11" x14ac:dyDescent="0.3">
      <c r="K186" s="96"/>
    </row>
    <row r="187" spans="11:11" x14ac:dyDescent="0.3">
      <c r="K187" s="96"/>
    </row>
    <row r="188" spans="11:11" x14ac:dyDescent="0.3">
      <c r="K188" s="96"/>
    </row>
    <row r="189" spans="11:11" x14ac:dyDescent="0.3">
      <c r="K189" s="96"/>
    </row>
    <row r="190" spans="11:11" x14ac:dyDescent="0.3">
      <c r="K190" s="96"/>
    </row>
    <row r="191" spans="11:11" x14ac:dyDescent="0.3">
      <c r="K191" s="96"/>
    </row>
    <row r="192" spans="11:11" x14ac:dyDescent="0.3">
      <c r="K192" s="96"/>
    </row>
    <row r="193" spans="11:11" x14ac:dyDescent="0.3">
      <c r="K193" s="96"/>
    </row>
    <row r="194" spans="11:11" x14ac:dyDescent="0.3">
      <c r="K194" s="96"/>
    </row>
    <row r="195" spans="11:11" x14ac:dyDescent="0.3">
      <c r="K195" s="96"/>
    </row>
    <row r="196" spans="11:11" x14ac:dyDescent="0.3">
      <c r="K196" s="96"/>
    </row>
    <row r="197" spans="11:11" x14ac:dyDescent="0.3">
      <c r="K197" s="96"/>
    </row>
    <row r="198" spans="11:11" x14ac:dyDescent="0.3">
      <c r="K198" s="96"/>
    </row>
    <row r="199" spans="11:11" x14ac:dyDescent="0.3">
      <c r="K199" s="96"/>
    </row>
    <row r="200" spans="11:11" x14ac:dyDescent="0.3">
      <c r="K200" s="96"/>
    </row>
    <row r="201" spans="11:11" x14ac:dyDescent="0.3">
      <c r="K201" s="96"/>
    </row>
    <row r="202" spans="11:11" x14ac:dyDescent="0.3">
      <c r="K202" s="96"/>
    </row>
    <row r="203" spans="11:11" x14ac:dyDescent="0.3">
      <c r="K203" s="96"/>
    </row>
    <row r="204" spans="11:11" x14ac:dyDescent="0.3">
      <c r="K204" s="96"/>
    </row>
    <row r="205" spans="11:11" x14ac:dyDescent="0.3">
      <c r="K205" s="96"/>
    </row>
    <row r="206" spans="11:11" x14ac:dyDescent="0.3">
      <c r="K206" s="96"/>
    </row>
    <row r="207" spans="11:11" x14ac:dyDescent="0.3">
      <c r="K207" s="96"/>
    </row>
    <row r="208" spans="11:11" x14ac:dyDescent="0.3">
      <c r="K208" s="96"/>
    </row>
    <row r="209" spans="11:11" x14ac:dyDescent="0.3">
      <c r="K209" s="96"/>
    </row>
    <row r="210" spans="11:11" x14ac:dyDescent="0.3">
      <c r="K210" s="96"/>
    </row>
    <row r="211" spans="11:11" x14ac:dyDescent="0.3">
      <c r="K211" s="96"/>
    </row>
    <row r="212" spans="11:11" x14ac:dyDescent="0.3">
      <c r="K212" s="96"/>
    </row>
    <row r="213" spans="11:11" x14ac:dyDescent="0.3">
      <c r="K213" s="96"/>
    </row>
    <row r="214" spans="11:11" x14ac:dyDescent="0.3">
      <c r="K214" s="96"/>
    </row>
    <row r="215" spans="11:11" x14ac:dyDescent="0.3">
      <c r="K215" s="96"/>
    </row>
    <row r="216" spans="11:11" x14ac:dyDescent="0.3">
      <c r="K216" s="96"/>
    </row>
    <row r="217" spans="11:11" x14ac:dyDescent="0.3">
      <c r="K217" s="96"/>
    </row>
    <row r="218" spans="11:11" x14ac:dyDescent="0.3">
      <c r="K218" s="96"/>
    </row>
    <row r="219" spans="11:11" x14ac:dyDescent="0.3">
      <c r="K219" s="96"/>
    </row>
    <row r="220" spans="11:11" x14ac:dyDescent="0.3">
      <c r="K220" s="96"/>
    </row>
    <row r="221" spans="11:11" x14ac:dyDescent="0.3">
      <c r="K221" s="96"/>
    </row>
    <row r="222" spans="11:11" x14ac:dyDescent="0.3">
      <c r="K222" s="96"/>
    </row>
    <row r="223" spans="11:11" x14ac:dyDescent="0.3">
      <c r="K223" s="96"/>
    </row>
    <row r="224" spans="11:11" x14ac:dyDescent="0.3">
      <c r="K224" s="96"/>
    </row>
    <row r="225" spans="11:11" x14ac:dyDescent="0.3">
      <c r="K225" s="96"/>
    </row>
    <row r="226" spans="11:11" x14ac:dyDescent="0.3">
      <c r="K226" s="96"/>
    </row>
    <row r="227" spans="11:11" x14ac:dyDescent="0.3">
      <c r="K227" s="96"/>
    </row>
    <row r="228" spans="11:11" x14ac:dyDescent="0.3">
      <c r="K228" s="96"/>
    </row>
    <row r="229" spans="11:11" x14ac:dyDescent="0.3">
      <c r="K229" s="96"/>
    </row>
    <row r="230" spans="11:11" x14ac:dyDescent="0.3">
      <c r="K230" s="96"/>
    </row>
    <row r="231" spans="11:11" x14ac:dyDescent="0.3">
      <c r="K231" s="96"/>
    </row>
    <row r="232" spans="11:11" x14ac:dyDescent="0.3">
      <c r="K232" s="96"/>
    </row>
    <row r="233" spans="11:11" x14ac:dyDescent="0.3">
      <c r="K233" s="96"/>
    </row>
    <row r="234" spans="11:11" x14ac:dyDescent="0.3">
      <c r="K234" s="96"/>
    </row>
    <row r="235" spans="11:11" x14ac:dyDescent="0.3">
      <c r="K235" s="96"/>
    </row>
    <row r="236" spans="11:11" x14ac:dyDescent="0.3">
      <c r="K236" s="96"/>
    </row>
    <row r="237" spans="11:11" x14ac:dyDescent="0.3">
      <c r="K237" s="96"/>
    </row>
    <row r="238" spans="11:11" x14ac:dyDescent="0.3">
      <c r="K238" s="96"/>
    </row>
    <row r="239" spans="11:11" x14ac:dyDescent="0.3">
      <c r="K239" s="96"/>
    </row>
    <row r="240" spans="11:11" x14ac:dyDescent="0.3">
      <c r="K240" s="96"/>
    </row>
    <row r="241" spans="11:11" x14ac:dyDescent="0.3">
      <c r="K241" s="96"/>
    </row>
    <row r="242" spans="11:11" x14ac:dyDescent="0.3">
      <c r="K242" s="96"/>
    </row>
    <row r="243" spans="11:11" x14ac:dyDescent="0.3">
      <c r="K243" s="96"/>
    </row>
    <row r="244" spans="11:11" x14ac:dyDescent="0.3">
      <c r="K244" s="96"/>
    </row>
    <row r="245" spans="11:11" x14ac:dyDescent="0.3">
      <c r="K245" s="96"/>
    </row>
    <row r="246" spans="11:11" x14ac:dyDescent="0.3">
      <c r="K246" s="96"/>
    </row>
    <row r="247" spans="11:11" x14ac:dyDescent="0.3">
      <c r="K247" s="96"/>
    </row>
    <row r="248" spans="11:11" x14ac:dyDescent="0.3">
      <c r="K248" s="96"/>
    </row>
    <row r="249" spans="11:11" x14ac:dyDescent="0.3">
      <c r="K249" s="96"/>
    </row>
    <row r="250" spans="11:11" x14ac:dyDescent="0.3">
      <c r="K250" s="96"/>
    </row>
    <row r="251" spans="11:11" x14ac:dyDescent="0.3">
      <c r="K251" s="96"/>
    </row>
    <row r="252" spans="11:11" x14ac:dyDescent="0.3">
      <c r="K252" s="96"/>
    </row>
    <row r="253" spans="11:11" x14ac:dyDescent="0.3">
      <c r="K253" s="96"/>
    </row>
    <row r="254" spans="11:11" x14ac:dyDescent="0.3">
      <c r="K254" s="96"/>
    </row>
    <row r="255" spans="11:11" x14ac:dyDescent="0.3">
      <c r="K255" s="96"/>
    </row>
    <row r="256" spans="11:11" x14ac:dyDescent="0.3">
      <c r="K256" s="96"/>
    </row>
    <row r="257" spans="11:11" x14ac:dyDescent="0.3">
      <c r="K257" s="96"/>
    </row>
    <row r="258" spans="11:11" x14ac:dyDescent="0.3">
      <c r="K258" s="96"/>
    </row>
    <row r="259" spans="11:11" x14ac:dyDescent="0.3">
      <c r="K259" s="96"/>
    </row>
    <row r="260" spans="11:11" x14ac:dyDescent="0.3">
      <c r="K260" s="96"/>
    </row>
    <row r="261" spans="11:11" x14ac:dyDescent="0.3">
      <c r="K261" s="96"/>
    </row>
    <row r="262" spans="11:11" x14ac:dyDescent="0.3">
      <c r="K262" s="96"/>
    </row>
    <row r="263" spans="11:11" x14ac:dyDescent="0.3">
      <c r="K263" s="96"/>
    </row>
    <row r="264" spans="11:11" x14ac:dyDescent="0.3">
      <c r="K264" s="96"/>
    </row>
    <row r="265" spans="11:11" x14ac:dyDescent="0.3">
      <c r="K265" s="96"/>
    </row>
    <row r="266" spans="11:11" x14ac:dyDescent="0.3">
      <c r="K266" s="96"/>
    </row>
    <row r="267" spans="11:11" x14ac:dyDescent="0.3">
      <c r="K267" s="96"/>
    </row>
    <row r="268" spans="11:11" x14ac:dyDescent="0.3">
      <c r="K268" s="96"/>
    </row>
    <row r="269" spans="11:11" x14ac:dyDescent="0.3">
      <c r="K269" s="96"/>
    </row>
    <row r="270" spans="11:11" x14ac:dyDescent="0.3">
      <c r="K270" s="96"/>
    </row>
    <row r="271" spans="11:11" x14ac:dyDescent="0.3">
      <c r="K271" s="96"/>
    </row>
    <row r="272" spans="11:11" x14ac:dyDescent="0.3">
      <c r="K272" s="96"/>
    </row>
    <row r="273" spans="11:11" x14ac:dyDescent="0.3">
      <c r="K273" s="96"/>
    </row>
    <row r="274" spans="11:11" x14ac:dyDescent="0.3">
      <c r="K274" s="96"/>
    </row>
    <row r="275" spans="11:11" x14ac:dyDescent="0.3">
      <c r="K275" s="96"/>
    </row>
    <row r="276" spans="11:11" x14ac:dyDescent="0.3">
      <c r="K276" s="96"/>
    </row>
    <row r="277" spans="11:11" x14ac:dyDescent="0.3">
      <c r="K277" s="96"/>
    </row>
    <row r="278" spans="11:11" x14ac:dyDescent="0.3">
      <c r="K278" s="96"/>
    </row>
    <row r="279" spans="11:11" x14ac:dyDescent="0.3">
      <c r="K279" s="96"/>
    </row>
    <row r="280" spans="11:11" x14ac:dyDescent="0.3">
      <c r="K280" s="96"/>
    </row>
    <row r="281" spans="11:11" x14ac:dyDescent="0.3">
      <c r="K281" s="96"/>
    </row>
    <row r="282" spans="11:11" x14ac:dyDescent="0.3">
      <c r="K282" s="96"/>
    </row>
    <row r="283" spans="11:11" x14ac:dyDescent="0.3">
      <c r="K283" s="96"/>
    </row>
    <row r="284" spans="11:11" x14ac:dyDescent="0.3">
      <c r="K284" s="96"/>
    </row>
    <row r="285" spans="11:11" x14ac:dyDescent="0.3">
      <c r="K285" s="96"/>
    </row>
    <row r="286" spans="11:11" x14ac:dyDescent="0.3">
      <c r="K286" s="96"/>
    </row>
    <row r="287" spans="11:11" x14ac:dyDescent="0.3">
      <c r="K287" s="96"/>
    </row>
    <row r="288" spans="11:11" x14ac:dyDescent="0.3">
      <c r="K288" s="96"/>
    </row>
    <row r="289" spans="11:11" x14ac:dyDescent="0.3">
      <c r="K289" s="96"/>
    </row>
    <row r="290" spans="11:11" x14ac:dyDescent="0.3">
      <c r="K290" s="96"/>
    </row>
    <row r="291" spans="11:11" x14ac:dyDescent="0.3">
      <c r="K291" s="96"/>
    </row>
    <row r="292" spans="11:11" x14ac:dyDescent="0.3">
      <c r="K292" s="96"/>
    </row>
    <row r="293" spans="11:11" x14ac:dyDescent="0.3">
      <c r="K293" s="96"/>
    </row>
    <row r="294" spans="11:11" x14ac:dyDescent="0.3">
      <c r="K294" s="96"/>
    </row>
    <row r="295" spans="11:11" x14ac:dyDescent="0.3">
      <c r="K295" s="96"/>
    </row>
    <row r="296" spans="11:11" x14ac:dyDescent="0.3">
      <c r="K296" s="96"/>
    </row>
    <row r="297" spans="11:11" x14ac:dyDescent="0.3">
      <c r="K297" s="96"/>
    </row>
    <row r="298" spans="11:11" x14ac:dyDescent="0.3">
      <c r="K298" s="96"/>
    </row>
    <row r="299" spans="11:11" x14ac:dyDescent="0.3">
      <c r="K299" s="96"/>
    </row>
    <row r="300" spans="11:11" x14ac:dyDescent="0.3">
      <c r="K300" s="96"/>
    </row>
    <row r="301" spans="11:11" x14ac:dyDescent="0.3">
      <c r="K301" s="96"/>
    </row>
    <row r="302" spans="11:11" x14ac:dyDescent="0.3">
      <c r="K302" s="96"/>
    </row>
    <row r="303" spans="11:11" x14ac:dyDescent="0.3">
      <c r="K303" s="96"/>
    </row>
    <row r="304" spans="11:11" x14ac:dyDescent="0.3">
      <c r="K304" s="96"/>
    </row>
    <row r="305" spans="11:11" x14ac:dyDescent="0.3">
      <c r="K305" s="96"/>
    </row>
    <row r="306" spans="11:11" x14ac:dyDescent="0.3">
      <c r="K306" s="96"/>
    </row>
    <row r="307" spans="11:11" x14ac:dyDescent="0.3">
      <c r="K307" s="96"/>
    </row>
    <row r="308" spans="11:11" x14ac:dyDescent="0.3">
      <c r="K308" s="96"/>
    </row>
    <row r="309" spans="11:11" x14ac:dyDescent="0.3">
      <c r="K309" s="96"/>
    </row>
    <row r="310" spans="11:11" x14ac:dyDescent="0.3">
      <c r="K310" s="96"/>
    </row>
    <row r="311" spans="11:11" x14ac:dyDescent="0.3">
      <c r="K311" s="96"/>
    </row>
    <row r="312" spans="11:11" x14ac:dyDescent="0.3">
      <c r="K312" s="96"/>
    </row>
    <row r="313" spans="11:11" x14ac:dyDescent="0.3">
      <c r="K313" s="96"/>
    </row>
    <row r="314" spans="11:11" x14ac:dyDescent="0.3">
      <c r="K314" s="96"/>
    </row>
    <row r="315" spans="11:11" x14ac:dyDescent="0.3">
      <c r="K315" s="96"/>
    </row>
    <row r="316" spans="11:11" x14ac:dyDescent="0.3">
      <c r="K316" s="96"/>
    </row>
    <row r="317" spans="11:11" x14ac:dyDescent="0.3">
      <c r="K317" s="96"/>
    </row>
    <row r="318" spans="11:11" x14ac:dyDescent="0.3">
      <c r="K318" s="96"/>
    </row>
    <row r="319" spans="11:11" x14ac:dyDescent="0.3">
      <c r="K319" s="96"/>
    </row>
    <row r="320" spans="11:11" x14ac:dyDescent="0.3">
      <c r="K320" s="96"/>
    </row>
    <row r="321" spans="11:11" x14ac:dyDescent="0.3">
      <c r="K321" s="96"/>
    </row>
    <row r="322" spans="11:11" x14ac:dyDescent="0.3">
      <c r="K322" s="96"/>
    </row>
    <row r="323" spans="11:11" x14ac:dyDescent="0.3">
      <c r="K323" s="96"/>
    </row>
    <row r="324" spans="11:11" x14ac:dyDescent="0.3">
      <c r="K324" s="96"/>
    </row>
    <row r="325" spans="11:11" x14ac:dyDescent="0.3">
      <c r="K325" s="96"/>
    </row>
    <row r="326" spans="11:11" x14ac:dyDescent="0.3">
      <c r="K326" s="96"/>
    </row>
    <row r="327" spans="11:11" x14ac:dyDescent="0.3">
      <c r="K327" s="96"/>
    </row>
    <row r="328" spans="11:11" x14ac:dyDescent="0.3">
      <c r="K328" s="96"/>
    </row>
    <row r="329" spans="11:11" x14ac:dyDescent="0.3">
      <c r="K329" s="96"/>
    </row>
    <row r="330" spans="11:11" x14ac:dyDescent="0.3">
      <c r="K330" s="96"/>
    </row>
  </sheetData>
  <autoFilter ref="B6:AZ111" xr:uid="{00000000-0009-0000-0000-00000B000000}">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xr:uid="{00000000-0004-0000-0B00-000000000000}"/>
    <hyperlink ref="S9" r:id="rId2" xr:uid="{00000000-0004-0000-0B00-000001000000}"/>
    <hyperlink ref="S22" r:id="rId3" xr:uid="{00000000-0004-0000-0B00-000002000000}"/>
    <hyperlink ref="S11" r:id="rId4" xr:uid="{00000000-0004-0000-0B00-000003000000}"/>
    <hyperlink ref="S18" r:id="rId5" xr:uid="{00000000-0004-0000-0B00-000004000000}"/>
    <hyperlink ref="S15" r:id="rId6" xr:uid="{00000000-0004-0000-0B00-000005000000}"/>
    <hyperlink ref="S21" r:id="rId7" xr:uid="{00000000-0004-0000-0B00-000006000000}"/>
    <hyperlink ref="S10" r:id="rId8" xr:uid="{00000000-0004-0000-0B00-000007000000}"/>
    <hyperlink ref="S17" r:id="rId9" xr:uid="{00000000-0004-0000-0B00-000008000000}"/>
    <hyperlink ref="S13" r:id="rId10" xr:uid="{00000000-0004-0000-0B00-000009000000}"/>
    <hyperlink ref="S12" r:id="rId11" xr:uid="{00000000-0004-0000-0B00-00000A000000}"/>
    <hyperlink ref="S16" r:id="rId12" xr:uid="{00000000-0004-0000-0B00-00000B000000}"/>
    <hyperlink ref="S52" r:id="rId13" xr:uid="{00000000-0004-0000-0B00-00000C000000}"/>
    <hyperlink ref="S65" r:id="rId14" display="150129-0-2015" xr:uid="{00000000-0004-0000-0B00-00000D000000}"/>
    <hyperlink ref="S104" r:id="rId15" xr:uid="{00000000-0004-0000-0B00-00000E000000}"/>
    <hyperlink ref="S78" r:id="rId16" display="150152-0-2015" xr:uid="{00000000-0004-0000-0B00-00000F000000}"/>
    <hyperlink ref="S63" r:id="rId17" display="150168-0-2015" xr:uid="{00000000-0004-0000-0B00-000010000000}"/>
    <hyperlink ref="S76" r:id="rId18" display="150141-0-2015" xr:uid="{00000000-0004-0000-0B00-000011000000}"/>
    <hyperlink ref="S49" r:id="rId19" xr:uid="{00000000-0004-0000-0B00-000012000000}"/>
    <hyperlink ref="S8" r:id="rId20" xr:uid="{00000000-0004-0000-0B00-000013000000}"/>
    <hyperlink ref="S60" r:id="rId21" xr:uid="{00000000-0004-0000-0B00-000014000000}"/>
    <hyperlink ref="S106" r:id="rId22" xr:uid="{00000000-0004-0000-0B00-000015000000}"/>
    <hyperlink ref="S62" r:id="rId23" xr:uid="{00000000-0004-0000-0B00-000016000000}"/>
    <hyperlink ref="S89" r:id="rId24" xr:uid="{00000000-0004-0000-0B00-000017000000}"/>
    <hyperlink ref="S44" r:id="rId25" xr:uid="{00000000-0004-0000-0B00-000018000000}"/>
    <hyperlink ref="S75" r:id="rId26" xr:uid="{00000000-0004-0000-0B00-000019000000}"/>
    <hyperlink ref="S77" r:id="rId27" xr:uid="{00000000-0004-0000-0B00-00001A000000}"/>
    <hyperlink ref="S70" r:id="rId28" xr:uid="{00000000-0004-0000-0B00-00001B000000}"/>
    <hyperlink ref="S42" r:id="rId29" xr:uid="{00000000-0004-0000-0B00-00001C000000}"/>
    <hyperlink ref="S26" r:id="rId30" xr:uid="{00000000-0004-0000-0B00-00001D000000}"/>
    <hyperlink ref="S72" r:id="rId31" xr:uid="{00000000-0004-0000-0B00-00001E000000}"/>
    <hyperlink ref="S25" r:id="rId32" xr:uid="{00000000-0004-0000-0B00-00001F000000}"/>
    <hyperlink ref="S74" r:id="rId33" xr:uid="{00000000-0004-0000-0B00-000020000000}"/>
    <hyperlink ref="S54" r:id="rId34" xr:uid="{00000000-0004-0000-0B00-000021000000}"/>
    <hyperlink ref="S14" r:id="rId35" xr:uid="{00000000-0004-0000-0B00-000022000000}"/>
    <hyperlink ref="T7" r:id="rId36" xr:uid="{00000000-0004-0000-0B00-000023000000}"/>
    <hyperlink ref="T16" r:id="rId37" xr:uid="{00000000-0004-0000-0B00-000024000000}"/>
    <hyperlink ref="T20" r:id="rId38" xr:uid="{00000000-0004-0000-0B00-000025000000}"/>
    <hyperlink ref="T21" r:id="rId39" xr:uid="{00000000-0004-0000-0B00-000026000000}"/>
    <hyperlink ref="T28" r:id="rId40" xr:uid="{00000000-0004-0000-0B00-000027000000}"/>
    <hyperlink ref="T31" r:id="rId41" xr:uid="{00000000-0004-0000-0B00-000028000000}"/>
    <hyperlink ref="T32" r:id="rId42" xr:uid="{00000000-0004-0000-0B00-000029000000}"/>
    <hyperlink ref="T34" r:id="rId43" xr:uid="{00000000-0004-0000-0B00-00002A000000}"/>
    <hyperlink ref="T35" r:id="rId44" xr:uid="{00000000-0004-0000-0B00-00002B000000}"/>
    <hyperlink ref="T42" r:id="rId45" xr:uid="{00000000-0004-0000-0B00-00002C000000}"/>
    <hyperlink ref="T55" r:id="rId46" xr:uid="{00000000-0004-0000-0B00-00002D000000}"/>
    <hyperlink ref="T56" r:id="rId47" xr:uid="{00000000-0004-0000-0B00-00002E000000}"/>
    <hyperlink ref="T57" r:id="rId48" xr:uid="{00000000-0004-0000-0B00-00002F000000}"/>
    <hyperlink ref="T58" r:id="rId49" xr:uid="{00000000-0004-0000-0B00-000030000000}"/>
    <hyperlink ref="T59" r:id="rId50" xr:uid="{00000000-0004-0000-0B00-000031000000}"/>
    <hyperlink ref="T60" r:id="rId51" xr:uid="{00000000-0004-0000-0B00-000032000000}"/>
    <hyperlink ref="T61" r:id="rId52" xr:uid="{00000000-0004-0000-0B00-000033000000}"/>
    <hyperlink ref="T62" r:id="rId53" xr:uid="{00000000-0004-0000-0B00-000034000000}"/>
    <hyperlink ref="T64" r:id="rId54" xr:uid="{00000000-0004-0000-0B00-000035000000}"/>
    <hyperlink ref="T66" r:id="rId55" xr:uid="{00000000-0004-0000-0B00-000036000000}"/>
    <hyperlink ref="T70" r:id="rId56" xr:uid="{00000000-0004-0000-0B00-000037000000}"/>
    <hyperlink ref="T73" r:id="rId57" xr:uid="{00000000-0004-0000-0B00-000038000000}"/>
    <hyperlink ref="T75" r:id="rId58" xr:uid="{00000000-0004-0000-0B00-000039000000}"/>
    <hyperlink ref="T77" r:id="rId59" xr:uid="{00000000-0004-0000-0B00-00003A000000}"/>
    <hyperlink ref="T83" r:id="rId60" xr:uid="{00000000-0004-0000-0B00-00003B000000}"/>
    <hyperlink ref="T84" r:id="rId61" xr:uid="{00000000-0004-0000-0B00-00003C000000}"/>
    <hyperlink ref="T85" r:id="rId62" xr:uid="{00000000-0004-0000-0B00-00003D000000}"/>
    <hyperlink ref="T89" r:id="rId63" xr:uid="{00000000-0004-0000-0B00-00003E000000}"/>
    <hyperlink ref="T90" r:id="rId64" xr:uid="{00000000-0004-0000-0B00-00003F000000}"/>
    <hyperlink ref="T92" r:id="rId65" xr:uid="{00000000-0004-0000-0B00-000040000000}"/>
    <hyperlink ref="T93" r:id="rId66" xr:uid="{00000000-0004-0000-0B00-000041000000}"/>
    <hyperlink ref="T94" r:id="rId67" xr:uid="{00000000-0004-0000-0B00-000042000000}"/>
    <hyperlink ref="T95" r:id="rId68" xr:uid="{00000000-0004-0000-0B00-000043000000}"/>
    <hyperlink ref="T104" r:id="rId69" xr:uid="{00000000-0004-0000-0B00-000044000000}"/>
    <hyperlink ref="T106" r:id="rId70" xr:uid="{00000000-0004-0000-0B00-000045000000}"/>
    <hyperlink ref="T111" r:id="rId71" xr:uid="{00000000-0004-0000-0B00-000046000000}"/>
    <hyperlink ref="S43" r:id="rId72" xr:uid="{00000000-0004-0000-0B00-000047000000}"/>
    <hyperlink ref="T86" r:id="rId73" xr:uid="{00000000-0004-0000-0B00-000048000000}"/>
    <hyperlink ref="S36" r:id="rId74" xr:uid="{00000000-0004-0000-0B00-000049000000}"/>
    <hyperlink ref="S71" r:id="rId75" xr:uid="{00000000-0004-0000-0B00-00004A000000}"/>
    <hyperlink ref="S93" r:id="rId76" xr:uid="{00000000-0004-0000-0B00-00004B000000}"/>
    <hyperlink ref="S101" r:id="rId77" xr:uid="{00000000-0004-0000-0B00-00004C000000}"/>
    <hyperlink ref="S97" r:id="rId78" xr:uid="{00000000-0004-0000-0B00-00004D000000}"/>
    <hyperlink ref="S87" r:id="rId79" xr:uid="{00000000-0004-0000-0B00-00004E000000}"/>
    <hyperlink ref="S41" r:id="rId80" xr:uid="{00000000-0004-0000-0B00-00004F000000}"/>
    <hyperlink ref="S69" r:id="rId81" xr:uid="{00000000-0004-0000-0B00-000050000000}"/>
    <hyperlink ref="S48" r:id="rId82" xr:uid="{00000000-0004-0000-0B00-000051000000}"/>
    <hyperlink ref="S73" r:id="rId83" xr:uid="{00000000-0004-0000-0B00-000052000000}"/>
    <hyperlink ref="S37" r:id="rId84" xr:uid="{00000000-0004-0000-0B00-000053000000}"/>
    <hyperlink ref="S94" r:id="rId85" xr:uid="{00000000-0004-0000-0B00-000054000000}"/>
    <hyperlink ref="S29" r:id="rId86" xr:uid="{00000000-0004-0000-0B00-000055000000}"/>
    <hyperlink ref="S51" r:id="rId87" xr:uid="{00000000-0004-0000-0B00-000056000000}"/>
    <hyperlink ref="S64" r:id="rId88" xr:uid="{00000000-0004-0000-0B00-000057000000}"/>
    <hyperlink ref="S96" r:id="rId89" xr:uid="{00000000-0004-0000-0B00-000058000000}"/>
    <hyperlink ref="S28" r:id="rId90" xr:uid="{00000000-0004-0000-0B00-000059000000}"/>
    <hyperlink ref="S82" r:id="rId91" xr:uid="{00000000-0004-0000-0B00-00005A000000}"/>
    <hyperlink ref="S45" r:id="rId92" xr:uid="{00000000-0004-0000-0B00-00005B000000}"/>
    <hyperlink ref="S68" r:id="rId93" xr:uid="{00000000-0004-0000-0B00-00005C000000}"/>
    <hyperlink ref="S92" r:id="rId94" xr:uid="{00000000-0004-0000-0B00-00005D000000}"/>
    <hyperlink ref="S27" r:id="rId95" xr:uid="{00000000-0004-0000-0B00-00005E000000}"/>
    <hyperlink ref="S91" r:id="rId96" xr:uid="{00000000-0004-0000-0B00-00005F000000}"/>
    <hyperlink ref="S83" r:id="rId97" xr:uid="{00000000-0004-0000-0B00-000060000000}"/>
    <hyperlink ref="S109" r:id="rId98" xr:uid="{00000000-0004-0000-0B00-000061000000}"/>
    <hyperlink ref="S84" r:id="rId99" xr:uid="{00000000-0004-0000-0B00-000062000000}"/>
    <hyperlink ref="S50" r:id="rId100" xr:uid="{00000000-0004-0000-0B00-0000630000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0000000}">
          <x14:formula1>
            <xm:f>'\\cbprint\FONDO CUENTA\Users\ljgonzalez\Downloads\[Base de datos contratos (27-04-2015) - Actualizada.xlsm]Hoja1'!#REF!</xm:f>
          </x14:formula1>
          <xm:sqref>E112:E290</xm:sqref>
        </x14:dataValidation>
        <x14:dataValidation type="list" allowBlank="1" showInputMessage="1" showErrorMessage="1" xr:uid="{00000000-0002-0000-0B00-000001000000}">
          <x14:formula1>
            <xm:f>Hoja1!$D$13:$D$14</xm:f>
          </x14:formula1>
          <xm:sqref>C7:C1048576</xm:sqref>
        </x14:dataValidation>
        <x14:dataValidation type="list" allowBlank="1" showInputMessage="1" showErrorMessage="1" xr:uid="{00000000-0002-0000-0B00-000002000000}">
          <x14:formula1>
            <xm:f>Hoja1!$F$4:$F$46</xm:f>
          </x14:formula1>
          <xm:sqref>E7:E111</xm:sqref>
        </x14:dataValidation>
        <x14:dataValidation type="list" allowBlank="1" showInputMessage="1" showErrorMessage="1" xr:uid="{00000000-0002-0000-0B00-000003000000}">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3.2" x14ac:dyDescent="0.25"/>
  <cols>
    <col min="1" max="1" width="3.88671875" style="500" customWidth="1"/>
    <col min="2" max="2" width="45.6640625" style="500" customWidth="1"/>
    <col min="3" max="3" width="18.5546875" style="500" bestFit="1" customWidth="1"/>
    <col min="4" max="4" width="15.88671875" style="500" bestFit="1" customWidth="1"/>
    <col min="5" max="5" width="17.5546875" style="500" bestFit="1" customWidth="1"/>
    <col min="6" max="6" width="11.44140625" style="500" customWidth="1"/>
    <col min="7" max="7" width="17.5546875" style="500" bestFit="1" customWidth="1"/>
    <col min="8" max="8" width="17.109375" style="500" hidden="1" customWidth="1"/>
    <col min="9" max="9" width="14.5546875" style="500" customWidth="1"/>
    <col min="10" max="10" width="16.88671875" style="500" customWidth="1"/>
    <col min="11" max="12" width="11.44140625" style="500" customWidth="1"/>
    <col min="13" max="16384" width="11.44140625" style="500" hidden="1"/>
  </cols>
  <sheetData>
    <row r="1" spans="1:12" s="455" customFormat="1" x14ac:dyDescent="0.25">
      <c r="A1" s="500"/>
      <c r="B1" s="500"/>
      <c r="C1" s="500"/>
      <c r="D1" s="500"/>
      <c r="E1" s="500"/>
      <c r="F1" s="500"/>
      <c r="G1" s="500"/>
      <c r="H1" s="500"/>
      <c r="I1" s="500"/>
      <c r="J1" s="500"/>
      <c r="K1" s="500"/>
      <c r="L1" s="500"/>
    </row>
    <row r="2" spans="1:12" s="455" customFormat="1" x14ac:dyDescent="0.25">
      <c r="A2" s="500"/>
      <c r="B2" s="500"/>
      <c r="C2" s="500"/>
      <c r="D2" s="500"/>
      <c r="E2" s="500"/>
      <c r="F2" s="500"/>
      <c r="G2" s="500"/>
      <c r="H2" s="500"/>
      <c r="I2" s="500"/>
      <c r="J2" s="500"/>
      <c r="K2" s="500"/>
      <c r="L2" s="500"/>
    </row>
    <row r="3" spans="1:12" s="455" customFormat="1" x14ac:dyDescent="0.25">
      <c r="A3" s="500"/>
      <c r="B3" s="500"/>
      <c r="C3" s="500"/>
      <c r="D3" s="500"/>
      <c r="E3" s="500"/>
      <c r="F3" s="500"/>
      <c r="G3" s="500"/>
      <c r="H3" s="500"/>
      <c r="I3" s="500"/>
      <c r="J3" s="500"/>
      <c r="K3" s="500"/>
      <c r="L3" s="500"/>
    </row>
    <row r="4" spans="1:12" s="455" customFormat="1" x14ac:dyDescent="0.25">
      <c r="A4" s="500"/>
      <c r="B4" s="500"/>
      <c r="C4" s="500"/>
      <c r="D4" s="500"/>
      <c r="E4" s="500"/>
      <c r="F4" s="500"/>
      <c r="G4" s="500"/>
      <c r="H4" s="500"/>
      <c r="I4" s="500"/>
      <c r="J4" s="500"/>
      <c r="K4" s="500"/>
      <c r="L4" s="500"/>
    </row>
    <row r="5" spans="1:12" s="455" customFormat="1" x14ac:dyDescent="0.25">
      <c r="A5" s="500"/>
      <c r="B5" s="503"/>
      <c r="C5" s="504"/>
      <c r="D5" s="505"/>
      <c r="E5" s="500"/>
      <c r="F5" s="500"/>
      <c r="G5" s="500"/>
      <c r="H5" s="500"/>
      <c r="I5" s="500"/>
      <c r="J5" s="500"/>
      <c r="K5" s="500"/>
      <c r="L5" s="500"/>
    </row>
    <row r="6" spans="1:12" s="455" customFormat="1" ht="13.8" x14ac:dyDescent="0.25">
      <c r="A6" s="500"/>
      <c r="B6" s="1237" t="s">
        <v>1793</v>
      </c>
      <c r="C6" s="1237"/>
      <c r="D6" s="1237"/>
      <c r="E6" s="1237"/>
      <c r="F6" s="1237"/>
      <c r="G6" s="1237"/>
      <c r="H6" s="1237"/>
      <c r="I6" s="1237"/>
      <c r="J6" s="1237"/>
      <c r="K6" s="1237"/>
      <c r="L6" s="500"/>
    </row>
    <row r="7" spans="1:12" s="455" customFormat="1" ht="13.8" x14ac:dyDescent="0.25">
      <c r="A7" s="500"/>
      <c r="B7" s="1237" t="s">
        <v>1794</v>
      </c>
      <c r="C7" s="1237"/>
      <c r="D7" s="1237"/>
      <c r="E7" s="1237"/>
      <c r="F7" s="1237"/>
      <c r="G7" s="1237"/>
      <c r="H7" s="1237"/>
      <c r="I7" s="1237"/>
      <c r="J7" s="1237"/>
      <c r="K7" s="1237"/>
      <c r="L7" s="500"/>
    </row>
    <row r="8" spans="1:12" s="455" customFormat="1" ht="52.8" x14ac:dyDescent="0.25">
      <c r="A8" s="500"/>
      <c r="B8" s="501" t="s">
        <v>1782</v>
      </c>
      <c r="C8" s="501" t="s">
        <v>1787</v>
      </c>
      <c r="D8" s="501" t="s">
        <v>1783</v>
      </c>
      <c r="E8" s="501" t="s">
        <v>1784</v>
      </c>
      <c r="F8" s="501" t="s">
        <v>1785</v>
      </c>
      <c r="G8" s="501" t="s">
        <v>1786</v>
      </c>
      <c r="H8" s="501" t="s">
        <v>1788</v>
      </c>
      <c r="I8" s="502" t="s">
        <v>1789</v>
      </c>
      <c r="J8" s="501" t="s">
        <v>1790</v>
      </c>
      <c r="K8" s="502" t="s">
        <v>1791</v>
      </c>
      <c r="L8" s="500"/>
    </row>
    <row r="9" spans="1:12" s="455" customFormat="1" x14ac:dyDescent="0.25">
      <c r="A9" s="500"/>
      <c r="B9" s="469" t="s">
        <v>1685</v>
      </c>
      <c r="C9" s="471">
        <v>29809977000</v>
      </c>
      <c r="D9" s="459"/>
      <c r="E9" s="458"/>
      <c r="F9" s="460"/>
      <c r="G9" s="461"/>
      <c r="H9" s="457"/>
      <c r="I9" s="462"/>
      <c r="J9" s="462"/>
      <c r="K9" s="462"/>
      <c r="L9" s="500"/>
    </row>
    <row r="10" spans="1:12" s="455" customFormat="1" x14ac:dyDescent="0.25">
      <c r="A10" s="500"/>
      <c r="B10" s="465" t="s">
        <v>1683</v>
      </c>
      <c r="C10" s="475">
        <v>22267500000</v>
      </c>
      <c r="D10" s="623">
        <f>C11+C17</f>
        <v>22267500000</v>
      </c>
      <c r="E10" s="458"/>
      <c r="F10" s="460"/>
      <c r="G10" s="461"/>
      <c r="H10" s="457"/>
      <c r="I10" s="462"/>
      <c r="J10" s="462"/>
      <c r="K10" s="462"/>
      <c r="L10" s="500"/>
    </row>
    <row r="11" spans="1:12" s="455" customFormat="1" x14ac:dyDescent="0.25">
      <c r="A11" s="500"/>
      <c r="B11" s="469" t="s">
        <v>1682</v>
      </c>
      <c r="C11" s="471">
        <v>13495500000</v>
      </c>
      <c r="D11" s="459"/>
      <c r="E11" s="458"/>
      <c r="F11" s="460"/>
      <c r="G11" s="461"/>
      <c r="H11" s="457"/>
      <c r="I11" s="462"/>
      <c r="J11" s="462"/>
      <c r="K11" s="462"/>
      <c r="L11" s="500"/>
    </row>
    <row r="12" spans="1:12" s="455" customFormat="1" x14ac:dyDescent="0.25">
      <c r="A12" s="500"/>
      <c r="B12" s="470" t="s">
        <v>1681</v>
      </c>
      <c r="C12" s="471">
        <v>13495500000</v>
      </c>
      <c r="D12" s="459"/>
      <c r="E12" s="458"/>
      <c r="F12" s="460"/>
      <c r="G12" s="461"/>
      <c r="H12" s="457"/>
      <c r="I12" s="462"/>
      <c r="J12" s="462"/>
      <c r="K12" s="462"/>
      <c r="L12" s="500"/>
    </row>
    <row r="13" spans="1:12" s="455" customFormat="1" x14ac:dyDescent="0.25">
      <c r="A13" s="500"/>
      <c r="B13" s="472" t="s">
        <v>1680</v>
      </c>
      <c r="C13" s="473">
        <v>13475500000</v>
      </c>
      <c r="D13" s="459"/>
      <c r="E13" s="458"/>
      <c r="F13" s="460"/>
      <c r="G13" s="461"/>
      <c r="H13" s="457"/>
      <c r="I13" s="462"/>
      <c r="J13" s="462"/>
      <c r="K13" s="462"/>
      <c r="L13" s="500"/>
    </row>
    <row r="14" spans="1:12" s="455" customFormat="1" x14ac:dyDescent="0.25">
      <c r="A14" s="500"/>
      <c r="B14" s="456" t="s">
        <v>1642</v>
      </c>
      <c r="C14" s="458">
        <v>730500000</v>
      </c>
      <c r="D14" s="459">
        <f>COUNTIF('Actualizada - presupuesto'!$E$7:$E$111,'Resumen_Seguimiento Presupuesto'!B14)</f>
        <v>16</v>
      </c>
      <c r="E14" s="458">
        <f>SUMIFS('Actualizada - presupuesto'!$F$7:$F$111,'Actualizada - presupuesto'!$E$7:$E$111,B14)</f>
        <v>727229972</v>
      </c>
      <c r="F14" s="460">
        <f>COUNTIFS('Actualizada - presupuesto'!$L$7:$L$111,"SI",'Actualizada - presupuesto'!$E$7:$E$111,B14)</f>
        <v>15</v>
      </c>
      <c r="G14" s="461">
        <f>SUMIFS('Actualizada - presupuesto'!$F$7:$F$111,'Actualizada - presupuesto'!$E$7:$E$111,B14,'Actualizada - presupuesto'!$L$7:$L$111,"SI")</f>
        <v>720569972</v>
      </c>
      <c r="H14" s="457">
        <f>SUMIFS('Actualizada - presupuesto'!$AM$7:$AM$111,'Actualizada - presupuesto'!$E$7:$E$111,B14)</f>
        <v>0</v>
      </c>
      <c r="I14" s="463">
        <f>(H14/C14)*100%</f>
        <v>0</v>
      </c>
      <c r="J14" s="458">
        <f>SUMIFS('Actualizada - presupuesto'!$AW$7:$AW$111,'Actualizada - presupuesto'!$E$7:$E$111,B14)</f>
        <v>84940</v>
      </c>
      <c r="K14" s="464">
        <f t="shared" ref="K14:K52" si="0">(J14/C14)*100%</f>
        <v>1.1627652292950034E-4</v>
      </c>
      <c r="L14" s="500"/>
    </row>
    <row r="15" spans="1:12" s="455" customFormat="1" x14ac:dyDescent="0.25">
      <c r="A15" s="500"/>
      <c r="B15" s="456" t="s">
        <v>1643</v>
      </c>
      <c r="C15" s="458">
        <v>12745000000</v>
      </c>
      <c r="D15" s="459">
        <f>COUNTIF('Actualizada - presupuesto'!$E$7:$E$111,'Resumen_Seguimiento Presupuesto'!B15)</f>
        <v>0</v>
      </c>
      <c r="E15" s="458">
        <f>SUMIFS('Actualizada - presupuesto'!$F$7:$F$111,'Actualizada - presupuesto'!$E$7:$E$111,B15)</f>
        <v>0</v>
      </c>
      <c r="F15" s="460">
        <f>COUNTIFS('Actualizada - presupuesto'!$L$7:$L$111,"SI",'Actualizada - presupuesto'!$E$7:$E$111,B15)</f>
        <v>0</v>
      </c>
      <c r="G15" s="461">
        <f>SUMIFS('Actualizada - presupuesto'!$F$7:$F$111,'Actualizada - presupuesto'!$E$7:$E$111,B15,'Actualizada - presupuesto'!$L$7:$L$111,"SI")</f>
        <v>0</v>
      </c>
      <c r="H15" s="457">
        <f>SUMIFS('Actualizada - presupuesto'!$AM$7:$AM$111,'Actualizada - presupuesto'!$E$7:$E$111,B15)</f>
        <v>0</v>
      </c>
      <c r="I15" s="463">
        <f>(H15/C15)*100%</f>
        <v>0</v>
      </c>
      <c r="J15" s="458">
        <f>SUMIFS('Actualizada - presupuesto'!$AW$7:$AW$111,'Actualizada - presupuesto'!$E$7:$E$111,B15)</f>
        <v>0</v>
      </c>
      <c r="K15" s="464">
        <f t="shared" si="0"/>
        <v>0</v>
      </c>
      <c r="L15" s="500"/>
    </row>
    <row r="16" spans="1:12" s="455" customFormat="1" x14ac:dyDescent="0.25">
      <c r="A16" s="500"/>
      <c r="B16" s="456" t="s">
        <v>1644</v>
      </c>
      <c r="C16" s="458">
        <v>20000000</v>
      </c>
      <c r="D16" s="459">
        <f>COUNTIF('Actualizada - presupuesto'!$E$7:$E$111,'Resumen_Seguimiento Presupuesto'!B16)</f>
        <v>1</v>
      </c>
      <c r="E16" s="458">
        <f>SUMIFS('Actualizada - presupuesto'!$F$7:$F$111,'Actualizada - presupuesto'!$E$7:$E$111,B16)</f>
        <v>18000000</v>
      </c>
      <c r="F16" s="460">
        <f>COUNTIFS('Actualizada - presupuesto'!$L$7:$L$111,"SI",'Actualizada - presupuesto'!$E$7:$E$111,B16)</f>
        <v>1</v>
      </c>
      <c r="G16" s="461">
        <f>SUMIFS('Actualizada - presupuesto'!$F$7:$F$111,'Actualizada - presupuesto'!$E$7:$E$111,B16,'Actualizada - presupuesto'!$L$7:$L$111,"SI")</f>
        <v>18000000</v>
      </c>
      <c r="H16" s="457">
        <f>SUMIFS('Actualizada - presupuesto'!$AM$7:$AM$111,'Actualizada - presupuesto'!$E$7:$E$111,B16)</f>
        <v>0</v>
      </c>
      <c r="I16" s="463">
        <f>(H16/C16)*100%</f>
        <v>0</v>
      </c>
      <c r="J16" s="458">
        <f>SUMIFS('Actualizada - presupuesto'!$AW$7:$AW$111,'Actualizada - presupuesto'!$E$7:$E$111,B16)</f>
        <v>0</v>
      </c>
      <c r="K16" s="464">
        <f t="shared" si="0"/>
        <v>0</v>
      </c>
      <c r="L16" s="500"/>
    </row>
    <row r="17" spans="1:12" s="455" customFormat="1" x14ac:dyDescent="0.25">
      <c r="A17" s="500"/>
      <c r="B17" s="466" t="s">
        <v>1792</v>
      </c>
      <c r="C17" s="474">
        <v>8772000000</v>
      </c>
      <c r="D17" s="459"/>
      <c r="E17" s="458"/>
      <c r="F17" s="460"/>
      <c r="G17" s="461"/>
      <c r="H17" s="457"/>
      <c r="I17" s="463"/>
      <c r="J17" s="458"/>
      <c r="K17" s="464"/>
      <c r="L17" s="500"/>
    </row>
    <row r="18" spans="1:12" s="455" customFormat="1" x14ac:dyDescent="0.25">
      <c r="A18" s="500"/>
      <c r="B18" s="476" t="s">
        <v>1646</v>
      </c>
      <c r="C18" s="473">
        <v>1589000000</v>
      </c>
      <c r="D18" s="459"/>
      <c r="E18" s="458"/>
      <c r="F18" s="460"/>
      <c r="G18" s="461"/>
      <c r="H18" s="457"/>
      <c r="I18" s="463"/>
      <c r="J18" s="458"/>
      <c r="K18" s="464"/>
      <c r="L18" s="500"/>
    </row>
    <row r="19" spans="1:12" s="455" customFormat="1" x14ac:dyDescent="0.25">
      <c r="A19" s="500"/>
      <c r="B19" s="456" t="s">
        <v>1647</v>
      </c>
      <c r="C19" s="458">
        <v>914000000</v>
      </c>
      <c r="D19" s="459">
        <f>COUNTIF('Actualizada - presupuesto'!$E$7:$E$111,'Resumen_Seguimiento Presupuesto'!B19)</f>
        <v>15</v>
      </c>
      <c r="E19" s="458">
        <f>SUMIFS('Actualizada - presupuesto'!$F$7:$F$111,'Actualizada - presupuesto'!$E$7:$E$111,B19)</f>
        <v>1314726924</v>
      </c>
      <c r="F19" s="460">
        <f>COUNTIFS('Actualizada - presupuesto'!$L$7:$L$111,"SI",'Actualizada - presupuesto'!$E$7:$E$111,B19)</f>
        <v>11</v>
      </c>
      <c r="G19" s="461">
        <f>SUMIFS('Actualizada - presupuesto'!$F$7:$F$111,'Actualizada - presupuesto'!$E$7:$E$111,B19,'Actualizada - presupuesto'!$L$7:$L$111,"SI")</f>
        <v>1088361990</v>
      </c>
      <c r="H19" s="457" t="e">
        <f>SUMIFS('Actualizada - presupuesto'!$AM$7:$AM$111,'Actualizada - presupuesto'!$E$7:$E$111,B19)</f>
        <v>#N/A</v>
      </c>
      <c r="I19" s="463" t="e">
        <f t="shared" ref="I19:I52" si="1">(H19/C19)*100%</f>
        <v>#N/A</v>
      </c>
      <c r="J19" s="458">
        <f>SUMIFS('Actualizada - presupuesto'!$AW$7:$AW$111,'Actualizada - presupuesto'!$E$7:$E$111,B19)</f>
        <v>127868</v>
      </c>
      <c r="K19" s="464">
        <f t="shared" si="0"/>
        <v>1.3989934354485776E-4</v>
      </c>
      <c r="L19" s="500"/>
    </row>
    <row r="20" spans="1:12" s="455" customFormat="1" x14ac:dyDescent="0.25">
      <c r="A20" s="500"/>
      <c r="B20" s="456" t="s">
        <v>1648</v>
      </c>
      <c r="C20" s="458">
        <v>452000000</v>
      </c>
      <c r="D20" s="459">
        <f>COUNTIF('Actualizada - presupuesto'!$E$7:$E$111,'Resumen_Seguimiento Presupuesto'!B20)</f>
        <v>3</v>
      </c>
      <c r="E20" s="458">
        <f>SUMIFS('Actualizada - presupuesto'!$F$7:$F$111,'Actualizada - presupuesto'!$E$7:$E$111,B20)</f>
        <v>448015000</v>
      </c>
      <c r="F20" s="460">
        <f>COUNTIFS('Actualizada - presupuesto'!$L$7:$L$111,"SI",'Actualizada - presupuesto'!$E$7:$E$111,B20)</f>
        <v>2</v>
      </c>
      <c r="G20" s="461">
        <f>SUMIFS('Actualizada - presupuesto'!$F$7:$F$111,'Actualizada - presupuesto'!$E$7:$E$111,B20,'Actualizada - presupuesto'!$L$7:$L$111,"SI")</f>
        <v>448015000</v>
      </c>
      <c r="H20" s="457" t="e">
        <f>SUMIFS('Actualizada - presupuesto'!$AM$7:$AM$111,'Actualizada - presupuesto'!$E$7:$E$111,B20)</f>
        <v>#N/A</v>
      </c>
      <c r="I20" s="463" t="e">
        <f t="shared" si="1"/>
        <v>#N/A</v>
      </c>
      <c r="J20" s="458">
        <f>SUMIFS('Actualizada - presupuesto'!$AW$7:$AW$111,'Actualizada - presupuesto'!$E$7:$E$111,B20)</f>
        <v>42735</v>
      </c>
      <c r="K20" s="464">
        <f t="shared" si="0"/>
        <v>9.4546460176991157E-5</v>
      </c>
      <c r="L20" s="500"/>
    </row>
    <row r="21" spans="1:12" s="455" customFormat="1" x14ac:dyDescent="0.25">
      <c r="A21" s="500"/>
      <c r="B21" s="456" t="s">
        <v>1649</v>
      </c>
      <c r="C21" s="458">
        <v>223000000</v>
      </c>
      <c r="D21" s="459">
        <f>COUNTIF('Actualizada - presupuesto'!$E$7:$E$111,'Resumen_Seguimiento Presupuesto'!B21)</f>
        <v>4</v>
      </c>
      <c r="E21" s="458">
        <f>SUMIFS('Actualizada - presupuesto'!$F$7:$F$111,'Actualizada - presupuesto'!$E$7:$E$111,B21)</f>
        <v>208212000</v>
      </c>
      <c r="F21" s="460">
        <f>COUNTIFS('Actualizada - presupuesto'!$L$7:$L$111,"SI",'Actualizada - presupuesto'!$E$7:$E$111,B21)</f>
        <v>4</v>
      </c>
      <c r="G21" s="461">
        <f>SUMIFS('Actualizada - presupuesto'!$F$7:$F$111,'Actualizada - presupuesto'!$E$7:$E$111,B21,'Actualizada - presupuesto'!$L$7:$L$111,"SI")</f>
        <v>208212000</v>
      </c>
      <c r="H21" s="457">
        <f>SUMIFS('Actualizada - presupuesto'!$AM$7:$AM$111,'Actualizada - presupuesto'!$E$7:$E$111,B21)</f>
        <v>0</v>
      </c>
      <c r="I21" s="463">
        <f t="shared" si="1"/>
        <v>0</v>
      </c>
      <c r="J21" s="458">
        <f>SUMIFS('Actualizada - presupuesto'!$AW$7:$AW$111,'Actualizada - presupuesto'!$E$7:$E$111,B21)</f>
        <v>85357</v>
      </c>
      <c r="K21" s="464">
        <f t="shared" si="0"/>
        <v>3.8276681614349777E-4</v>
      </c>
      <c r="L21" s="500"/>
    </row>
    <row r="22" spans="1:12" s="455" customFormat="1" x14ac:dyDescent="0.25">
      <c r="A22" s="500"/>
      <c r="B22" s="476" t="s">
        <v>1650</v>
      </c>
      <c r="C22" s="473">
        <v>7182000000</v>
      </c>
      <c r="D22" s="459"/>
      <c r="E22" s="458"/>
      <c r="F22" s="460"/>
      <c r="G22" s="461"/>
      <c r="H22" s="457"/>
      <c r="I22" s="463"/>
      <c r="J22" s="458"/>
      <c r="K22" s="464"/>
      <c r="L22" s="500"/>
    </row>
    <row r="23" spans="1:12" s="455" customFormat="1" x14ac:dyDescent="0.25">
      <c r="A23" s="500"/>
      <c r="B23" s="456" t="s">
        <v>1651</v>
      </c>
      <c r="C23" s="458">
        <v>229000000</v>
      </c>
      <c r="D23" s="459">
        <f>COUNTIF('Actualizada - presupuesto'!$E$7:$E$111,'Resumen_Seguimiento Presupuesto'!B23)</f>
        <v>5</v>
      </c>
      <c r="E23" s="458">
        <f>SUMIFS('Actualizada - presupuesto'!$F$7:$F$111,'Actualizada - presupuesto'!$E$7:$E$111,B23)</f>
        <v>201208146</v>
      </c>
      <c r="F23" s="460">
        <f>COUNTIFS('Actualizada - presupuesto'!$L$7:$L$111,"SI",'Actualizada - presupuesto'!$E$7:$E$111,B23)</f>
        <v>5</v>
      </c>
      <c r="G23" s="461">
        <f>SUMIFS('Actualizada - presupuesto'!$F$7:$F$111,'Actualizada - presupuesto'!$E$7:$E$111,B23,'Actualizada - presupuesto'!$L$7:$L$111,"SI")</f>
        <v>201208146</v>
      </c>
      <c r="H23" s="457" t="e">
        <f>SUMIFS('Actualizada - presupuesto'!$AM$7:$AM$111,'Actualizada - presupuesto'!$E$7:$E$111,B23)</f>
        <v>#N/A</v>
      </c>
      <c r="I23" s="463" t="e">
        <f t="shared" si="1"/>
        <v>#N/A</v>
      </c>
      <c r="J23" s="458">
        <f>SUMIFS('Actualizada - presupuesto'!$AW$7:$AW$111,'Actualizada - presupuesto'!$E$7:$E$111,B23)</f>
        <v>42510</v>
      </c>
      <c r="K23" s="464">
        <f t="shared" si="0"/>
        <v>1.8563318777292575E-4</v>
      </c>
      <c r="L23" s="500"/>
    </row>
    <row r="24" spans="1:12" s="455" customFormat="1" x14ac:dyDescent="0.25">
      <c r="A24" s="500"/>
      <c r="B24" s="456" t="s">
        <v>1652</v>
      </c>
      <c r="C24" s="458">
        <v>54000000</v>
      </c>
      <c r="D24" s="459">
        <f>COUNTIF('Actualizada - presupuesto'!$E$7:$E$111,'Resumen_Seguimiento Presupuesto'!B24)</f>
        <v>11</v>
      </c>
      <c r="E24" s="458">
        <f>SUMIFS('Actualizada - presupuesto'!$F$7:$F$111,'Actualizada - presupuesto'!$E$7:$E$111,B24)</f>
        <v>48599594</v>
      </c>
      <c r="F24" s="460">
        <f>COUNTIFS('Actualizada - presupuesto'!$L$7:$L$111,"SI",'Actualizada - presupuesto'!$E$7:$E$111,B24)</f>
        <v>10</v>
      </c>
      <c r="G24" s="461">
        <f>SUMIFS('Actualizada - presupuesto'!$F$7:$F$111,'Actualizada - presupuesto'!$E$7:$E$111,B24,'Actualizada - presupuesto'!$L$7:$L$111,"SI")</f>
        <v>48599594</v>
      </c>
      <c r="H24" s="457" t="e">
        <f>SUMIFS('Actualizada - presupuesto'!$AM$7:$AM$111,'Actualizada - presupuesto'!$E$7:$E$111,B24)</f>
        <v>#N/A</v>
      </c>
      <c r="I24" s="463" t="e">
        <f t="shared" si="1"/>
        <v>#N/A</v>
      </c>
      <c r="J24" s="458">
        <f>SUMIFS('Actualizada - presupuesto'!$AW$7:$AW$111,'Actualizada - presupuesto'!$E$7:$E$111,B24)</f>
        <v>42582</v>
      </c>
      <c r="K24" s="464">
        <f t="shared" si="0"/>
        <v>7.8855555555555558E-4</v>
      </c>
      <c r="L24" s="500"/>
    </row>
    <row r="25" spans="1:12" s="455" customFormat="1" x14ac:dyDescent="0.25">
      <c r="A25" s="500"/>
      <c r="B25" s="476" t="s">
        <v>1653</v>
      </c>
      <c r="C25" s="473">
        <v>1243000000</v>
      </c>
      <c r="D25" s="459"/>
      <c r="E25" s="458"/>
      <c r="F25" s="460"/>
      <c r="G25" s="461"/>
      <c r="H25" s="457"/>
      <c r="I25" s="463"/>
      <c r="J25" s="458"/>
      <c r="K25" s="464"/>
      <c r="L25" s="500"/>
    </row>
    <row r="26" spans="1:12" s="455" customFormat="1" x14ac:dyDescent="0.25">
      <c r="A26" s="500"/>
      <c r="B26" s="456" t="s">
        <v>1654</v>
      </c>
      <c r="C26" s="458">
        <v>1243000000</v>
      </c>
      <c r="D26" s="459">
        <f>COUNTIF('Actualizada - presupuesto'!$E$7:$E$111,'Resumen_Seguimiento Presupuesto'!B26)</f>
        <v>17</v>
      </c>
      <c r="E26" s="458" t="e">
        <f>SUMIFS('Actualizada - presupuesto'!$F$7:$F$111,'Actualizada - presupuesto'!$E$7:$E$111,B26)</f>
        <v>#N/A</v>
      </c>
      <c r="F26" s="460">
        <f>COUNTIFS('Actualizada - presupuesto'!$L$7:$L$111,"SI",'Actualizada - presupuesto'!$E$7:$E$111,B26)</f>
        <v>16</v>
      </c>
      <c r="G26" s="461">
        <f>SUMIFS('Actualizada - presupuesto'!$F$7:$F$111,'Actualizada - presupuesto'!$E$7:$E$111,B26,'Actualizada - presupuesto'!$L$7:$L$111,"SI")</f>
        <v>1068156710</v>
      </c>
      <c r="H26" s="457">
        <f>SUMIFS('Actualizada - presupuesto'!$AM$7:$AM$111,'Actualizada - presupuesto'!$E$7:$E$111,B26)</f>
        <v>0</v>
      </c>
      <c r="I26" s="463">
        <f t="shared" si="1"/>
        <v>0</v>
      </c>
      <c r="J26" s="458">
        <f>SUMIFS('Actualizada - presupuesto'!$AW$7:$AW$111,'Actualizada - presupuesto'!$E$7:$E$111,B26)</f>
        <v>255825</v>
      </c>
      <c r="K26" s="464">
        <f t="shared" si="0"/>
        <v>2.0581255028157683E-4</v>
      </c>
      <c r="L26" s="500"/>
    </row>
    <row r="27" spans="1:12" s="455" customFormat="1" x14ac:dyDescent="0.25">
      <c r="A27" s="500"/>
      <c r="B27" s="476" t="s">
        <v>1655</v>
      </c>
      <c r="C27" s="473">
        <v>1488000000</v>
      </c>
      <c r="D27" s="459"/>
      <c r="E27" s="458"/>
      <c r="F27" s="460"/>
      <c r="G27" s="461"/>
      <c r="H27" s="457"/>
      <c r="I27" s="463"/>
      <c r="J27" s="458"/>
      <c r="K27" s="464"/>
      <c r="L27" s="500"/>
    </row>
    <row r="28" spans="1:12" s="455" customFormat="1" x14ac:dyDescent="0.25">
      <c r="A28" s="500"/>
      <c r="B28" s="456" t="s">
        <v>1656</v>
      </c>
      <c r="C28" s="458">
        <v>194693000</v>
      </c>
      <c r="D28" s="459">
        <f>COUNTIF('Actualizada - presupuesto'!$E$7:$E$111,'Resumen_Seguimiento Presupuesto'!B28)</f>
        <v>2</v>
      </c>
      <c r="E28" s="458">
        <f>SUMIFS('Actualizada - presupuesto'!$F$7:$F$111,'Actualizada - presupuesto'!$E$7:$E$111,B28)</f>
        <v>178692210</v>
      </c>
      <c r="F28" s="460">
        <f>COUNTIFS('Actualizada - presupuesto'!$L$7:$L$111,"SI",'Actualizada - presupuesto'!$E$7:$E$111,B28)</f>
        <v>0</v>
      </c>
      <c r="G28" s="461">
        <f>SUMIFS('Actualizada - presupuesto'!$F$7:$F$111,'Actualizada - presupuesto'!$E$7:$E$111,B28,'Actualizada - presupuesto'!$L$7:$L$111,"SI")</f>
        <v>0</v>
      </c>
      <c r="H28" s="457" t="e">
        <f>SUMIFS('Actualizada - presupuesto'!$AM$7:$AM$111,'Actualizada - presupuesto'!$E$7:$E$111,B28)</f>
        <v>#N/A</v>
      </c>
      <c r="I28" s="463" t="e">
        <f t="shared" si="1"/>
        <v>#N/A</v>
      </c>
      <c r="J28" s="458">
        <f>SUMIFS('Actualizada - presupuesto'!$AW$7:$AW$111,'Actualizada - presupuesto'!$E$7:$E$111,B28)</f>
        <v>0</v>
      </c>
      <c r="K28" s="464">
        <f t="shared" si="0"/>
        <v>0</v>
      </c>
      <c r="L28" s="500"/>
    </row>
    <row r="29" spans="1:12" s="455" customFormat="1" x14ac:dyDescent="0.25">
      <c r="A29" s="500"/>
      <c r="B29" s="456" t="s">
        <v>1657</v>
      </c>
      <c r="C29" s="458">
        <v>212307000</v>
      </c>
      <c r="D29" s="459">
        <f>COUNTIF('Actualizada - presupuesto'!$E$7:$E$111,'Resumen_Seguimiento Presupuesto'!B29)</f>
        <v>2</v>
      </c>
      <c r="E29" s="458">
        <f>SUMIFS('Actualizada - presupuesto'!$F$7:$F$111,'Actualizada - presupuesto'!$E$7:$E$111,B29)</f>
        <v>200314259</v>
      </c>
      <c r="F29" s="460">
        <f>COUNTIFS('Actualizada - presupuesto'!$L$7:$L$111,"SI",'Actualizada - presupuesto'!$E$7:$E$111,B29)</f>
        <v>0</v>
      </c>
      <c r="G29" s="461">
        <f>SUMIFS('Actualizada - presupuesto'!$F$7:$F$111,'Actualizada - presupuesto'!$E$7:$E$111,B29,'Actualizada - presupuesto'!$L$7:$L$111,"SI")</f>
        <v>0</v>
      </c>
      <c r="H29" s="457" t="e">
        <f>SUMIFS('Actualizada - presupuesto'!$AM$7:$AM$111,'Actualizada - presupuesto'!$E$7:$E$111,B29)</f>
        <v>#N/A</v>
      </c>
      <c r="I29" s="463" t="e">
        <f t="shared" si="1"/>
        <v>#N/A</v>
      </c>
      <c r="J29" s="458">
        <f>SUMIFS('Actualizada - presupuesto'!$AW$7:$AW$111,'Actualizada - presupuesto'!$E$7:$E$111,B29)</f>
        <v>0</v>
      </c>
      <c r="K29" s="464">
        <f t="shared" si="0"/>
        <v>0</v>
      </c>
      <c r="L29" s="500"/>
    </row>
    <row r="30" spans="1:12" s="455" customFormat="1" x14ac:dyDescent="0.25">
      <c r="A30" s="500"/>
      <c r="B30" s="456" t="s">
        <v>1658</v>
      </c>
      <c r="C30" s="458">
        <v>1081000000</v>
      </c>
      <c r="D30" s="459">
        <f>COUNTIF('Actualizada - presupuesto'!$E$7:$E$111,'Resumen_Seguimiento Presupuesto'!B30)</f>
        <v>0</v>
      </c>
      <c r="E30" s="458">
        <f>SUMIFS('Actualizada - presupuesto'!$F$7:$F$111,'Actualizada - presupuesto'!$E$7:$E$111,B30)</f>
        <v>0</v>
      </c>
      <c r="F30" s="460">
        <f>COUNTIFS('Actualizada - presupuesto'!$L$7:$L$111,"SI",'Actualizada - presupuesto'!$E$7:$E$111,B30)</f>
        <v>0</v>
      </c>
      <c r="G30" s="461">
        <f>SUMIFS('Actualizada - presupuesto'!$F$7:$F$111,'Actualizada - presupuesto'!$E$7:$E$111,B30,'Actualizada - presupuesto'!$L$7:$L$111,"SI")</f>
        <v>0</v>
      </c>
      <c r="H30" s="457">
        <f>SUMIFS('Actualizada - presupuesto'!$AM$7:$AM$111,'Actualizada - presupuesto'!$E$7:$E$111,B30)</f>
        <v>0</v>
      </c>
      <c r="I30" s="463">
        <f t="shared" si="1"/>
        <v>0</v>
      </c>
      <c r="J30" s="458">
        <f>SUMIFS('Actualizada - presupuesto'!$AW$7:$AW$111,'Actualizada - presupuesto'!$E$7:$E$111,B30)</f>
        <v>0</v>
      </c>
      <c r="K30" s="464">
        <f t="shared" si="0"/>
        <v>0</v>
      </c>
      <c r="L30" s="500"/>
    </row>
    <row r="31" spans="1:12" s="455" customFormat="1" x14ac:dyDescent="0.25">
      <c r="A31" s="500"/>
      <c r="B31" s="476" t="s">
        <v>1659</v>
      </c>
      <c r="C31" s="473">
        <v>430000000</v>
      </c>
      <c r="D31" s="459"/>
      <c r="E31" s="458"/>
      <c r="F31" s="460"/>
      <c r="G31" s="461"/>
      <c r="H31" s="457"/>
      <c r="I31" s="463"/>
      <c r="J31" s="458"/>
      <c r="K31" s="464"/>
      <c r="L31" s="500"/>
    </row>
    <row r="32" spans="1:12" s="455" customFormat="1" x14ac:dyDescent="0.25">
      <c r="A32" s="500"/>
      <c r="B32" s="456" t="s">
        <v>1660</v>
      </c>
      <c r="C32" s="458">
        <v>206250000</v>
      </c>
      <c r="D32" s="459">
        <f>COUNTIF('Actualizada - presupuesto'!$E$7:$E$111,'Resumen_Seguimiento Presupuesto'!B32)</f>
        <v>0</v>
      </c>
      <c r="E32" s="458">
        <f>SUMIFS('Actualizada - presupuesto'!$F$7:$F$111,'Actualizada - presupuesto'!$E$7:$E$111,B32)</f>
        <v>0</v>
      </c>
      <c r="F32" s="460">
        <f>COUNTIFS('Actualizada - presupuesto'!$L$7:$L$111,"SI",'Actualizada - presupuesto'!$E$7:$E$111,B32)</f>
        <v>0</v>
      </c>
      <c r="G32" s="461">
        <f>SUMIFS('Actualizada - presupuesto'!$F$7:$F$111,'Actualizada - presupuesto'!$E$7:$E$111,B32,'Actualizada - presupuesto'!$L$7:$L$111,"SI")</f>
        <v>0</v>
      </c>
      <c r="H32" s="457">
        <f>SUMIFS('Actualizada - presupuesto'!$AM$7:$AM$111,'Actualizada - presupuesto'!$E$7:$E$111,B32)</f>
        <v>0</v>
      </c>
      <c r="I32" s="463">
        <f t="shared" si="1"/>
        <v>0</v>
      </c>
      <c r="J32" s="458">
        <f>SUMIFS('Actualizada - presupuesto'!$AW$7:$AW$111,'Actualizada - presupuesto'!$E$7:$E$111,B32)</f>
        <v>0</v>
      </c>
      <c r="K32" s="464">
        <f t="shared" si="0"/>
        <v>0</v>
      </c>
      <c r="L32" s="500"/>
    </row>
    <row r="33" spans="1:12" s="455" customFormat="1" x14ac:dyDescent="0.25">
      <c r="A33" s="500"/>
      <c r="B33" s="456" t="s">
        <v>1661</v>
      </c>
      <c r="C33" s="458">
        <v>36750000</v>
      </c>
      <c r="D33" s="459">
        <f>COUNTIF('Actualizada - presupuesto'!$E$7:$E$111,'Resumen_Seguimiento Presupuesto'!B33)</f>
        <v>0</v>
      </c>
      <c r="E33" s="458">
        <f>SUMIFS('Actualizada - presupuesto'!$F$7:$F$111,'Actualizada - presupuesto'!$E$7:$E$111,B33)</f>
        <v>0</v>
      </c>
      <c r="F33" s="460">
        <f>COUNTIFS('Actualizada - presupuesto'!$L$7:$L$111,"SI",'Actualizada - presupuesto'!$E$7:$E$111,B33)</f>
        <v>0</v>
      </c>
      <c r="G33" s="461">
        <f>SUMIFS('Actualizada - presupuesto'!$F$7:$F$111,'Actualizada - presupuesto'!$E$7:$E$111,B33,'Actualizada - presupuesto'!$L$7:$L$111,"SI")</f>
        <v>0</v>
      </c>
      <c r="H33" s="457">
        <f>SUMIFS('Actualizada - presupuesto'!$AM$7:$AM$111,'Actualizada - presupuesto'!$E$7:$E$111,B33)</f>
        <v>0</v>
      </c>
      <c r="I33" s="463">
        <f t="shared" si="1"/>
        <v>0</v>
      </c>
      <c r="J33" s="458">
        <f>SUMIFS('Actualizada - presupuesto'!$AW$7:$AW$111,'Actualizada - presupuesto'!$E$7:$E$111,B33)</f>
        <v>0</v>
      </c>
      <c r="K33" s="464">
        <f t="shared" si="0"/>
        <v>0</v>
      </c>
      <c r="L33" s="500"/>
    </row>
    <row r="34" spans="1:12" s="455" customFormat="1" x14ac:dyDescent="0.25">
      <c r="A34" s="500"/>
      <c r="B34" s="456" t="s">
        <v>1662</v>
      </c>
      <c r="C34" s="458">
        <v>58000000</v>
      </c>
      <c r="D34" s="459">
        <f>COUNTIF('Actualizada - presupuesto'!$E$7:$E$111,'Resumen_Seguimiento Presupuesto'!B34)</f>
        <v>0</v>
      </c>
      <c r="E34" s="458">
        <f>SUMIFS('Actualizada - presupuesto'!$F$7:$F$111,'Actualizada - presupuesto'!$E$7:$E$111,B34)</f>
        <v>0</v>
      </c>
      <c r="F34" s="460">
        <f>COUNTIFS('Actualizada - presupuesto'!$L$7:$L$111,"SI",'Actualizada - presupuesto'!$E$7:$E$111,B34)</f>
        <v>0</v>
      </c>
      <c r="G34" s="461">
        <f>SUMIFS('Actualizada - presupuesto'!$F$7:$F$111,'Actualizada - presupuesto'!$E$7:$E$111,B34,'Actualizada - presupuesto'!$L$7:$L$111,"SI")</f>
        <v>0</v>
      </c>
      <c r="H34" s="457">
        <f>SUMIFS('Actualizada - presupuesto'!$AM$7:$AM$111,'Actualizada - presupuesto'!$E$7:$E$111,B34)</f>
        <v>0</v>
      </c>
      <c r="I34" s="463">
        <f t="shared" si="1"/>
        <v>0</v>
      </c>
      <c r="J34" s="458">
        <f>SUMIFS('Actualizada - presupuesto'!$AW$7:$AW$111,'Actualizada - presupuesto'!$E$7:$E$111,B34)</f>
        <v>0</v>
      </c>
      <c r="K34" s="464">
        <f t="shared" si="0"/>
        <v>0</v>
      </c>
      <c r="L34" s="500"/>
    </row>
    <row r="35" spans="1:12" s="455" customFormat="1" x14ac:dyDescent="0.25">
      <c r="A35" s="500"/>
      <c r="B35" s="456" t="s">
        <v>1663</v>
      </c>
      <c r="C35" s="458">
        <v>129000000</v>
      </c>
      <c r="D35" s="459">
        <f>COUNTIF('Actualizada - presupuesto'!$E$7:$E$111,'Resumen_Seguimiento Presupuesto'!B35)</f>
        <v>0</v>
      </c>
      <c r="E35" s="458">
        <f>SUMIFS('Actualizada - presupuesto'!$F$7:$F$111,'Actualizada - presupuesto'!$E$7:$E$111,B35)</f>
        <v>0</v>
      </c>
      <c r="F35" s="460">
        <f>COUNTIFS('Actualizada - presupuesto'!$L$7:$L$111,"SI",'Actualizada - presupuesto'!$E$7:$E$111,B35)</f>
        <v>0</v>
      </c>
      <c r="G35" s="461">
        <f>SUMIFS('Actualizada - presupuesto'!$F$7:$F$111,'Actualizada - presupuesto'!$E$7:$E$111,B35,'Actualizada - presupuesto'!$L$7:$L$111,"SI")</f>
        <v>0</v>
      </c>
      <c r="H35" s="457">
        <f>SUMIFS('Actualizada - presupuesto'!$AM$7:$AM$111,'Actualizada - presupuesto'!$E$7:$E$111,B35)</f>
        <v>0</v>
      </c>
      <c r="I35" s="463">
        <f t="shared" si="1"/>
        <v>0</v>
      </c>
      <c r="J35" s="458">
        <f>SUMIFS('Actualizada - presupuesto'!$AW$7:$AW$111,'Actualizada - presupuesto'!$E$7:$E$111,B35)</f>
        <v>0</v>
      </c>
      <c r="K35" s="464">
        <f t="shared" si="0"/>
        <v>0</v>
      </c>
      <c r="L35" s="500"/>
    </row>
    <row r="36" spans="1:12" s="455" customFormat="1" x14ac:dyDescent="0.25">
      <c r="A36" s="500"/>
      <c r="B36" s="476" t="s">
        <v>1664</v>
      </c>
      <c r="C36" s="473">
        <v>478000000</v>
      </c>
      <c r="D36" s="459"/>
      <c r="E36" s="458"/>
      <c r="F36" s="460"/>
      <c r="G36" s="461"/>
      <c r="H36" s="457"/>
      <c r="I36" s="463"/>
      <c r="J36" s="458"/>
      <c r="K36" s="464"/>
      <c r="L36" s="500"/>
    </row>
    <row r="37" spans="1:12" s="455" customFormat="1" x14ac:dyDescent="0.25">
      <c r="A37" s="500"/>
      <c r="B37" s="456" t="s">
        <v>1665</v>
      </c>
      <c r="C37" s="458">
        <v>478000000</v>
      </c>
      <c r="D37" s="459">
        <f>COUNTIF('Actualizada - presupuesto'!$E$7:$E$111,'Resumen_Seguimiento Presupuesto'!B37)</f>
        <v>1</v>
      </c>
      <c r="E37" s="458">
        <f>SUMIFS('Actualizada - presupuesto'!$F$7:$F$111,'Actualizada - presupuesto'!$E$7:$E$111,B37)</f>
        <v>478000000</v>
      </c>
      <c r="F37" s="460">
        <f>COUNTIFS('Actualizada - presupuesto'!$L$7:$L$111,"SI",'Actualizada - presupuesto'!$E$7:$E$111,B37)</f>
        <v>1</v>
      </c>
      <c r="G37" s="461">
        <f>SUMIFS('Actualizada - presupuesto'!$F$7:$F$111,'Actualizada - presupuesto'!$E$7:$E$111,B37,'Actualizada - presupuesto'!$L$7:$L$111,"SI")</f>
        <v>478000000</v>
      </c>
      <c r="H37" s="457">
        <f>SUMIFS('Actualizada - presupuesto'!$AM$7:$AM$111,'Actualizada - presupuesto'!$E$7:$E$111,B37)</f>
        <v>0</v>
      </c>
      <c r="I37" s="463">
        <f t="shared" si="1"/>
        <v>0</v>
      </c>
      <c r="J37" s="458">
        <f>SUMIFS('Actualizada - presupuesto'!$AW$7:$AW$111,'Actualizada - presupuesto'!$E$7:$E$111,B37)</f>
        <v>42704</v>
      </c>
      <c r="K37" s="464">
        <f t="shared" si="0"/>
        <v>8.9338912133891208E-5</v>
      </c>
      <c r="L37" s="500"/>
    </row>
    <row r="38" spans="1:12" s="455" customFormat="1" x14ac:dyDescent="0.25">
      <c r="A38" s="500"/>
      <c r="B38" s="456" t="s">
        <v>1666</v>
      </c>
      <c r="C38" s="458">
        <v>834000000</v>
      </c>
      <c r="D38" s="459">
        <f>COUNTIF('Actualizada - presupuesto'!$E$7:$E$111,'Resumen_Seguimiento Presupuesto'!B38)</f>
        <v>3</v>
      </c>
      <c r="E38" s="458">
        <f>SUMIFS('Actualizada - presupuesto'!$F$7:$F$111,'Actualizada - presupuesto'!$E$7:$E$111,B38)</f>
        <v>606630800</v>
      </c>
      <c r="F38" s="460">
        <f>COUNTIFS('Actualizada - presupuesto'!$L$7:$L$111,"SI",'Actualizada - presupuesto'!$E$7:$E$111,B38)</f>
        <v>3</v>
      </c>
      <c r="G38" s="461">
        <f>SUMIFS('Actualizada - presupuesto'!$F$7:$F$111,'Actualizada - presupuesto'!$E$7:$E$111,B38,'Actualizada - presupuesto'!$L$7:$L$111,"SI")</f>
        <v>606630800</v>
      </c>
      <c r="H38" s="457">
        <f>SUMIFS('Actualizada - presupuesto'!$AM$7:$AM$111,'Actualizada - presupuesto'!$E$7:$E$111,B38)</f>
        <v>0</v>
      </c>
      <c r="I38" s="463">
        <f t="shared" si="1"/>
        <v>0</v>
      </c>
      <c r="J38" s="458">
        <f>SUMIFS('Actualizada - presupuesto'!$AW$7:$AW$111,'Actualizada - presupuesto'!$E$7:$E$111,B38)</f>
        <v>85177</v>
      </c>
      <c r="K38" s="464">
        <f t="shared" si="0"/>
        <v>1.0213069544364508E-4</v>
      </c>
      <c r="L38" s="500"/>
    </row>
    <row r="39" spans="1:12" s="455" customFormat="1" x14ac:dyDescent="0.25">
      <c r="A39" s="500"/>
      <c r="B39" s="456" t="s">
        <v>1667</v>
      </c>
      <c r="C39" s="458">
        <v>478000000</v>
      </c>
      <c r="D39" s="459">
        <f>COUNTIF('Actualizada - presupuesto'!$E$7:$E$111,'Resumen_Seguimiento Presupuesto'!B39)</f>
        <v>4</v>
      </c>
      <c r="E39" s="458">
        <f>SUMIFS('Actualizada - presupuesto'!$F$7:$F$111,'Actualizada - presupuesto'!$E$7:$E$111,B39)</f>
        <v>343600000</v>
      </c>
      <c r="F39" s="460">
        <f>COUNTIFS('Actualizada - presupuesto'!$L$7:$L$111,"SI",'Actualizada - presupuesto'!$E$7:$E$111,B39)</f>
        <v>3</v>
      </c>
      <c r="G39" s="461">
        <f>SUMIFS('Actualizada - presupuesto'!$F$7:$F$111,'Actualizada - presupuesto'!$E$7:$E$111,B39,'Actualizada - presupuesto'!$L$7:$L$111,"SI")</f>
        <v>163600000</v>
      </c>
      <c r="H39" s="457" t="e">
        <f>SUMIFS('Actualizada - presupuesto'!$AM$7:$AM$111,'Actualizada - presupuesto'!$E$7:$E$111,B39)</f>
        <v>#N/A</v>
      </c>
      <c r="I39" s="463" t="e">
        <f t="shared" si="1"/>
        <v>#N/A</v>
      </c>
      <c r="J39" s="458">
        <f>SUMIFS('Actualizada - presupuesto'!$AW$7:$AW$111,'Actualizada - presupuesto'!$E$7:$E$111,B39)</f>
        <v>128016</v>
      </c>
      <c r="K39" s="464">
        <f t="shared" si="0"/>
        <v>2.6781589958158996E-4</v>
      </c>
      <c r="L39" s="500"/>
    </row>
    <row r="40" spans="1:12" s="455" customFormat="1" x14ac:dyDescent="0.25">
      <c r="A40" s="500"/>
      <c r="B40" s="456" t="s">
        <v>1668</v>
      </c>
      <c r="C40" s="458">
        <v>108000000</v>
      </c>
      <c r="D40" s="459">
        <f>COUNTIF('Actualizada - presupuesto'!$E$7:$E$111,'Resumen_Seguimiento Presupuesto'!B40)</f>
        <v>3</v>
      </c>
      <c r="E40" s="458">
        <f>SUMIFS('Actualizada - presupuesto'!$F$7:$F$111,'Actualizada - presupuesto'!$E$7:$E$111,B40)</f>
        <v>77531000</v>
      </c>
      <c r="F40" s="460">
        <f>COUNTIFS('Actualizada - presupuesto'!$L$7:$L$111,"SI",'Actualizada - presupuesto'!$E$7:$E$111,B40)</f>
        <v>3</v>
      </c>
      <c r="G40" s="461">
        <f>SUMIFS('Actualizada - presupuesto'!$F$7:$F$111,'Actualizada - presupuesto'!$E$7:$E$111,B40,'Actualizada - presupuesto'!$L$7:$L$111,"SI")</f>
        <v>77531000</v>
      </c>
      <c r="H40" s="457">
        <f>SUMIFS('Actualizada - presupuesto'!$AM$7:$AM$111,'Actualizada - presupuesto'!$E$7:$E$111,B40)</f>
        <v>0</v>
      </c>
      <c r="I40" s="463">
        <f t="shared" si="1"/>
        <v>0</v>
      </c>
      <c r="J40" s="458">
        <f>SUMIFS('Actualizada - presupuesto'!$AW$7:$AW$111,'Actualizada - presupuesto'!$E$7:$E$111,B40)</f>
        <v>0</v>
      </c>
      <c r="K40" s="464">
        <f t="shared" si="0"/>
        <v>0</v>
      </c>
      <c r="L40" s="500"/>
    </row>
    <row r="41" spans="1:12" s="455" customFormat="1" ht="26.4" x14ac:dyDescent="0.25">
      <c r="A41" s="500"/>
      <c r="B41" s="476" t="s">
        <v>1669</v>
      </c>
      <c r="C41" s="473">
        <v>40000000</v>
      </c>
      <c r="D41" s="459"/>
      <c r="E41" s="458"/>
      <c r="F41" s="460"/>
      <c r="G41" s="461"/>
      <c r="H41" s="457"/>
      <c r="I41" s="463"/>
      <c r="J41" s="458"/>
      <c r="K41" s="464"/>
      <c r="L41" s="500"/>
    </row>
    <row r="42" spans="1:12" s="455" customFormat="1" ht="26.4" x14ac:dyDescent="0.25">
      <c r="A42" s="500"/>
      <c r="B42" s="456" t="s">
        <v>1670</v>
      </c>
      <c r="C42" s="458">
        <v>40000000</v>
      </c>
      <c r="D42" s="459">
        <f>COUNTIF('Actualizada - presupuesto'!$E$7:$E$111,'Resumen_Seguimiento Presupuesto'!B42)</f>
        <v>0</v>
      </c>
      <c r="E42" s="458">
        <f>SUMIFS('Actualizada - presupuesto'!$F$7:$F$111,'Actualizada - presupuesto'!$E$7:$E$111,B42)</f>
        <v>0</v>
      </c>
      <c r="F42" s="460">
        <f>COUNTIFS('Actualizada - presupuesto'!$L$7:$L$111,"SI",'Actualizada - presupuesto'!$E$7:$E$111,B42)</f>
        <v>0</v>
      </c>
      <c r="G42" s="461">
        <f>SUMIFS('Actualizada - presupuesto'!$F$7:$F$111,'Actualizada - presupuesto'!$E$7:$E$111,B42,'Actualizada - presupuesto'!$L$7:$L$111,"SI")</f>
        <v>0</v>
      </c>
      <c r="H42" s="457">
        <f>SUMIFS('Actualizada - presupuesto'!$AM$7:$AM$111,'Actualizada - presupuesto'!$E$7:$E$111,B42)</f>
        <v>0</v>
      </c>
      <c r="I42" s="463">
        <f t="shared" si="1"/>
        <v>0</v>
      </c>
      <c r="J42" s="458">
        <f>SUMIFS('Actualizada - presupuesto'!$AW$7:$AW$111,'Actualizada - presupuesto'!$E$7:$E$111,B42)</f>
        <v>0</v>
      </c>
      <c r="K42" s="464">
        <f t="shared" si="0"/>
        <v>0</v>
      </c>
      <c r="L42" s="500"/>
    </row>
    <row r="43" spans="1:12" s="455" customFormat="1" x14ac:dyDescent="0.25">
      <c r="A43" s="500"/>
      <c r="B43" s="456" t="s">
        <v>1671</v>
      </c>
      <c r="C43" s="458">
        <v>1800000000</v>
      </c>
      <c r="D43" s="459">
        <f>COUNTIF('Actualizada - presupuesto'!$E$7:$E$111,'Resumen_Seguimiento Presupuesto'!B43)</f>
        <v>2</v>
      </c>
      <c r="E43" s="458">
        <f>SUMIFS('Actualizada - presupuesto'!$F$7:$F$111,'Actualizada - presupuesto'!$E$7:$E$111,B43)</f>
        <v>1727938453</v>
      </c>
      <c r="F43" s="460">
        <f>COUNTIFS('Actualizada - presupuesto'!$L$7:$L$111,"SI",'Actualizada - presupuesto'!$E$7:$E$111,B43)</f>
        <v>2</v>
      </c>
      <c r="G43" s="461">
        <f>SUMIFS('Actualizada - presupuesto'!$F$7:$F$111,'Actualizada - presupuesto'!$E$7:$E$111,B43,'Actualizada - presupuesto'!$L$7:$L$111,"SI")</f>
        <v>1727938453</v>
      </c>
      <c r="H43" s="457">
        <f>SUMIFS('Actualizada - presupuesto'!$AM$7:$AM$111,'Actualizada - presupuesto'!$E$7:$E$111,B43)</f>
        <v>0</v>
      </c>
      <c r="I43" s="463">
        <f t="shared" si="1"/>
        <v>0</v>
      </c>
      <c r="J43" s="458">
        <f>SUMIFS('Actualizada - presupuesto'!$AW$7:$AW$111,'Actualizada - presupuesto'!$E$7:$E$111,B43)</f>
        <v>85216</v>
      </c>
      <c r="K43" s="464">
        <f t="shared" si="0"/>
        <v>4.734222222222222E-5</v>
      </c>
      <c r="L43" s="500"/>
    </row>
    <row r="44" spans="1:12" s="455" customFormat="1" x14ac:dyDescent="0.25">
      <c r="A44" s="500"/>
      <c r="B44" s="476" t="s">
        <v>1672</v>
      </c>
      <c r="C44" s="473">
        <v>1000000</v>
      </c>
      <c r="D44" s="459"/>
      <c r="E44" s="458"/>
      <c r="F44" s="460"/>
      <c r="G44" s="461"/>
      <c r="H44" s="457"/>
      <c r="I44" s="463"/>
      <c r="J44" s="458"/>
      <c r="K44" s="464"/>
      <c r="L44" s="500"/>
    </row>
    <row r="45" spans="1:12" s="455" customFormat="1" ht="26.4" x14ac:dyDescent="0.25">
      <c r="A45" s="500"/>
      <c r="B45" s="456" t="s">
        <v>1673</v>
      </c>
      <c r="C45" s="458">
        <v>1000000</v>
      </c>
      <c r="D45" s="459">
        <f>COUNTIF('Actualizada - presupuesto'!$E$7:$E$111,'Resumen_Seguimiento Presupuesto'!B45)</f>
        <v>0</v>
      </c>
      <c r="E45" s="458">
        <f>SUMIFS('Actualizada - presupuesto'!$F$7:$F$111,'Actualizada - presupuesto'!$E$7:$E$111,B45)</f>
        <v>0</v>
      </c>
      <c r="F45" s="460">
        <f>COUNTIFS('Actualizada - presupuesto'!$L$7:$L$111,"SI",'Actualizada - presupuesto'!$E$7:$E$111,B45)</f>
        <v>0</v>
      </c>
      <c r="G45" s="461">
        <f>SUMIFS('Actualizada - presupuesto'!$F$7:$F$111,'Actualizada - presupuesto'!$E$7:$E$111,B45,'Actualizada - presupuesto'!$L$7:$L$111,"SI")</f>
        <v>0</v>
      </c>
      <c r="H45" s="457">
        <f>SUMIFS('Actualizada - presupuesto'!$AM$7:$AM$111,'Actualizada - presupuesto'!$E$7:$E$111,B45)</f>
        <v>0</v>
      </c>
      <c r="I45" s="463">
        <f t="shared" si="1"/>
        <v>0</v>
      </c>
      <c r="J45" s="458">
        <f>SUMIFS('Actualizada - presupuesto'!$AW$7:$AW$111,'Actualizada - presupuesto'!$E$7:$E$111,B45)</f>
        <v>0</v>
      </c>
      <c r="K45" s="464">
        <f t="shared" si="0"/>
        <v>0</v>
      </c>
      <c r="L45" s="500"/>
    </row>
    <row r="46" spans="1:12" s="455" customFormat="1" x14ac:dyDescent="0.25">
      <c r="A46" s="500"/>
      <c r="B46" s="467" t="s">
        <v>1687</v>
      </c>
      <c r="C46" s="475">
        <v>7542477000</v>
      </c>
      <c r="D46" s="459"/>
      <c r="E46" s="458"/>
      <c r="F46" s="460"/>
      <c r="G46" s="461"/>
      <c r="H46" s="457"/>
      <c r="I46" s="463"/>
      <c r="J46" s="458"/>
      <c r="K46" s="464"/>
      <c r="L46" s="500"/>
    </row>
    <row r="47" spans="1:12" s="455" customFormat="1" x14ac:dyDescent="0.25">
      <c r="A47" s="500"/>
      <c r="B47" s="468" t="s">
        <v>1686</v>
      </c>
      <c r="C47" s="471">
        <v>7542477000</v>
      </c>
      <c r="D47" s="459"/>
      <c r="E47" s="458"/>
      <c r="F47" s="460"/>
      <c r="G47" s="461"/>
      <c r="H47" s="457"/>
      <c r="I47" s="463"/>
      <c r="J47" s="458"/>
      <c r="K47" s="464"/>
      <c r="L47" s="500"/>
    </row>
    <row r="48" spans="1:12" s="455" customFormat="1" x14ac:dyDescent="0.25">
      <c r="A48" s="500"/>
      <c r="B48" s="456" t="s">
        <v>1675</v>
      </c>
      <c r="C48" s="458">
        <v>7542477000</v>
      </c>
      <c r="D48" s="459">
        <f>COUNTIF('Actualizada - presupuesto'!$E$7:$E$111,'Resumen_Seguimiento Presupuesto'!B48)</f>
        <v>0</v>
      </c>
      <c r="E48" s="458">
        <f>SUMIFS('Actualizada - presupuesto'!$F$7:$F$111,'Actualizada - presupuesto'!$E$7:$E$111,B48)</f>
        <v>0</v>
      </c>
      <c r="F48" s="460">
        <f>COUNTIFS('Actualizada - presupuesto'!$L$7:$L$111,"SI",'Actualizada - presupuesto'!$E$7:$E$111,B48)</f>
        <v>0</v>
      </c>
      <c r="G48" s="461">
        <f>SUMIFS('Actualizada - presupuesto'!$F$7:$F$111,'Actualizada - presupuesto'!$E$7:$E$111,B48,'Actualizada - presupuesto'!$L$7:$L$111,"SI")</f>
        <v>0</v>
      </c>
      <c r="H48" s="457">
        <f>SUMIFS('Actualizada - presupuesto'!$AM$7:$AM$111,'Actualizada - presupuesto'!$E$7:$E$111,B48)</f>
        <v>0</v>
      </c>
      <c r="I48" s="463">
        <f t="shared" si="1"/>
        <v>0</v>
      </c>
      <c r="J48" s="458">
        <f>SUMIFS('Actualizada - presupuesto'!$AW$7:$AW$111,'Actualizada - presupuesto'!$E$7:$E$111,B48)</f>
        <v>0</v>
      </c>
      <c r="K48" s="464">
        <f t="shared" si="0"/>
        <v>0</v>
      </c>
      <c r="L48" s="500"/>
    </row>
    <row r="49" spans="1:12" s="455" customFormat="1" ht="26.4" x14ac:dyDescent="0.25">
      <c r="A49" s="500"/>
      <c r="B49" s="456" t="s">
        <v>1676</v>
      </c>
      <c r="C49" s="458">
        <v>7542477000</v>
      </c>
      <c r="D49" s="459">
        <f>COUNTIF('Actualizada - presupuesto'!$E$7:$E$111,'Resumen_Seguimiento Presupuesto'!B49)</f>
        <v>0</v>
      </c>
      <c r="E49" s="458">
        <f>SUMIFS('Actualizada - presupuesto'!$F$7:$F$111,'Actualizada - presupuesto'!$E$7:$E$111,B49)</f>
        <v>0</v>
      </c>
      <c r="F49" s="460">
        <f>COUNTIFS('Actualizada - presupuesto'!$L$7:$L$111,"SI",'Actualizada - presupuesto'!$E$7:$E$111,B49)</f>
        <v>0</v>
      </c>
      <c r="G49" s="461">
        <f>SUMIFS('Actualizada - presupuesto'!$F$7:$F$111,'Actualizada - presupuesto'!$E$7:$E$111,B49,'Actualizada - presupuesto'!$L$7:$L$111,"SI")</f>
        <v>0</v>
      </c>
      <c r="H49" s="457">
        <f>SUMIFS('Actualizada - presupuesto'!$AM$7:$AM$111,'Actualizada - presupuesto'!$E$7:$E$111,B49)</f>
        <v>0</v>
      </c>
      <c r="I49" s="463">
        <f t="shared" si="1"/>
        <v>0</v>
      </c>
      <c r="J49" s="458">
        <f>SUMIFS('Actualizada - presupuesto'!$AW$7:$AW$111,'Actualizada - presupuesto'!$E$7:$E$111,B49)</f>
        <v>0</v>
      </c>
      <c r="K49" s="464">
        <f t="shared" si="0"/>
        <v>0</v>
      </c>
      <c r="L49" s="500"/>
    </row>
    <row r="50" spans="1:12" s="455" customFormat="1" ht="26.4" x14ac:dyDescent="0.25">
      <c r="A50" s="500"/>
      <c r="B50" s="456" t="s">
        <v>1677</v>
      </c>
      <c r="C50" s="458">
        <v>7542477000</v>
      </c>
      <c r="D50" s="459">
        <f>COUNTIF('Actualizada - presupuesto'!$E$7:$E$111,'Resumen_Seguimiento Presupuesto'!B50)</f>
        <v>0</v>
      </c>
      <c r="E50" s="458">
        <f>SUMIFS('Actualizada - presupuesto'!$F$7:$F$111,'Actualizada - presupuesto'!$E$7:$E$111,B50)</f>
        <v>0</v>
      </c>
      <c r="F50" s="460">
        <f>COUNTIFS('Actualizada - presupuesto'!$L$7:$L$111,"SI",'Actualizada - presupuesto'!$E$7:$E$111,B50)</f>
        <v>0</v>
      </c>
      <c r="G50" s="461">
        <f>SUMIFS('Actualizada - presupuesto'!$F$7:$F$111,'Actualizada - presupuesto'!$E$7:$E$111,B50,'Actualizada - presupuesto'!$L$7:$L$111,"SI")</f>
        <v>0</v>
      </c>
      <c r="H50" s="457">
        <f>SUMIFS('Actualizada - presupuesto'!$AM$7:$AM$111,'Actualizada - presupuesto'!$E$7:$E$111,B50)</f>
        <v>0</v>
      </c>
      <c r="I50" s="463">
        <f t="shared" si="1"/>
        <v>0</v>
      </c>
      <c r="J50" s="458">
        <f>SUMIFS('Actualizada - presupuesto'!$AW$7:$AW$111,'Actualizada - presupuesto'!$E$7:$E$111,B50)</f>
        <v>0</v>
      </c>
      <c r="K50" s="464">
        <f t="shared" si="0"/>
        <v>0</v>
      </c>
      <c r="L50" s="500"/>
    </row>
    <row r="51" spans="1:12" s="455" customFormat="1" ht="26.4" x14ac:dyDescent="0.25">
      <c r="A51" s="500"/>
      <c r="B51" s="456" t="s">
        <v>1678</v>
      </c>
      <c r="C51" s="458">
        <v>7542477000</v>
      </c>
      <c r="D51" s="459">
        <f>COUNTIF('Actualizada - presupuesto'!$E$7:$E$111,'Resumen_Seguimiento Presupuesto'!B51)</f>
        <v>16</v>
      </c>
      <c r="E51" s="458" t="e">
        <f>SUMIFS('Actualizada - presupuesto'!$F$7:$F$111,'Actualizada - presupuesto'!$E$7:$E$111,B51)</f>
        <v>#N/A</v>
      </c>
      <c r="F51" s="460">
        <f>COUNTIFS('Actualizada - presupuesto'!$L$7:$L$111,"SI",'Actualizada - presupuesto'!$E$7:$E$111,B51)</f>
        <v>10</v>
      </c>
      <c r="G51" s="461" t="e">
        <f>SUMIFS('Actualizada - presupuesto'!$F$7:$F$111,'Actualizada - presupuesto'!$E$7:$E$111,B51,'Actualizada - presupuesto'!$L$7:$L$111,"SI")</f>
        <v>#N/A</v>
      </c>
      <c r="H51" s="457" t="e">
        <f>SUMIFS('Actualizada - presupuesto'!$AM$7:$AM$111,'Actualizada - presupuesto'!$E$7:$E$111,B51)</f>
        <v>#N/A</v>
      </c>
      <c r="I51" s="463" t="e">
        <f t="shared" si="1"/>
        <v>#N/A</v>
      </c>
      <c r="J51" s="458">
        <f>SUMIFS('Actualizada - presupuesto'!$AW$7:$AW$111,'Actualizada - presupuesto'!$E$7:$E$111,B51)</f>
        <v>42582</v>
      </c>
      <c r="K51" s="464">
        <f t="shared" si="0"/>
        <v>5.6456254357819053E-6</v>
      </c>
      <c r="L51" s="500"/>
    </row>
    <row r="52" spans="1:12" s="455" customFormat="1" ht="26.4" x14ac:dyDescent="0.25">
      <c r="A52" s="500"/>
      <c r="B52" s="456" t="s">
        <v>1679</v>
      </c>
      <c r="C52" s="458">
        <v>7542477000</v>
      </c>
      <c r="D52" s="459">
        <f>COUNTIF('Actualizada - presupuesto'!$E$7:$E$111,'Resumen_Seguimiento Presupuesto'!B52)</f>
        <v>0</v>
      </c>
      <c r="E52" s="458">
        <f>SUMIFS('Actualizada - presupuesto'!$F$7:$F$111,'Actualizada - presupuesto'!$E$7:$E$111,B52)</f>
        <v>0</v>
      </c>
      <c r="F52" s="460">
        <f>COUNTIFS('Actualizada - presupuesto'!$L$7:$L$111,"SI",'Actualizada - presupuesto'!$E$7:$E$111,B52)</f>
        <v>0</v>
      </c>
      <c r="G52" s="461">
        <f>SUMIFS('Actualizada - presupuesto'!$F$7:$F$111,'Actualizada - presupuesto'!$E$7:$E$111,B52,'Actualizada - presupuesto'!$L$7:$L$111,"SI")</f>
        <v>0</v>
      </c>
      <c r="H52" s="457">
        <f>SUMIFS('Actualizada - presupuesto'!$AM$7:$AM$111,'Actualizada - presupuesto'!$E$7:$E$111,B52)</f>
        <v>0</v>
      </c>
      <c r="I52" s="463">
        <f t="shared" si="1"/>
        <v>0</v>
      </c>
      <c r="J52" s="458">
        <f>SUMIFS('Actualizada - presupuesto'!$AW$7:$AW$111,'Actualizada - presupuesto'!$E$7:$E$111,B52)</f>
        <v>0</v>
      </c>
      <c r="K52" s="464">
        <f t="shared" si="0"/>
        <v>0</v>
      </c>
      <c r="L52" s="500"/>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ColWidth="11.44140625" defaultRowHeight="11.4" outlineLevelRow="1" x14ac:dyDescent="0.3"/>
  <cols>
    <col min="1" max="1" width="2.44140625" style="508" customWidth="1"/>
    <col min="2" max="2" width="10" style="508" customWidth="1"/>
    <col min="3" max="3" width="18" style="508" customWidth="1"/>
    <col min="4" max="4" width="46.109375" style="508" customWidth="1"/>
    <col min="5" max="5" width="18.44140625" style="508" customWidth="1"/>
    <col min="6" max="6" width="15.109375" style="508" customWidth="1"/>
    <col min="7" max="7" width="14.109375" style="508" hidden="1" customWidth="1"/>
    <col min="8" max="8" width="12.6640625" style="508" hidden="1" customWidth="1"/>
    <col min="9" max="9" width="15" style="508" hidden="1" customWidth="1"/>
    <col min="10" max="10" width="16.6640625" style="508" customWidth="1"/>
    <col min="11" max="11" width="9" style="584" customWidth="1"/>
    <col min="12" max="12" width="16.6640625" style="508" customWidth="1"/>
    <col min="13" max="13" width="12.88671875" style="508" hidden="1" customWidth="1"/>
    <col min="14" max="14" width="16.6640625" style="508" customWidth="1"/>
    <col min="15" max="15" width="16.6640625" style="670" customWidth="1"/>
    <col min="16" max="16" width="15.109375" style="520" customWidth="1"/>
    <col min="17" max="19" width="11.44140625" style="508" customWidth="1"/>
    <col min="20" max="20" width="16.6640625" style="508" customWidth="1"/>
    <col min="21" max="21" width="17.5546875" style="629" bestFit="1" customWidth="1"/>
    <col min="22" max="22" width="17.88671875" style="508" bestFit="1" customWidth="1"/>
    <col min="23" max="26" width="11.44140625" style="508"/>
    <col min="27" max="27" width="6.109375" style="508" customWidth="1"/>
    <col min="28" max="16384" width="11.44140625" style="508"/>
  </cols>
  <sheetData>
    <row r="1" spans="2:27" ht="23.25" customHeight="1" thickBot="1" x14ac:dyDescent="0.35">
      <c r="B1" s="1245" t="s">
        <v>1840</v>
      </c>
      <c r="C1" s="1246"/>
      <c r="D1" s="1246"/>
      <c r="E1" s="1246"/>
      <c r="F1" s="1246"/>
      <c r="G1" s="1246"/>
      <c r="H1" s="1246"/>
      <c r="I1" s="1246"/>
      <c r="J1" s="1246"/>
      <c r="K1" s="1246"/>
      <c r="L1" s="1246"/>
      <c r="M1" s="1246"/>
      <c r="N1" s="1246"/>
      <c r="O1" s="1246"/>
      <c r="P1" s="1246"/>
      <c r="Q1" s="1246"/>
      <c r="R1" s="1246"/>
      <c r="S1" s="1246"/>
      <c r="T1" s="1247"/>
      <c r="AA1" s="508" t="s">
        <v>1902</v>
      </c>
    </row>
    <row r="2" spans="2:27" ht="36" x14ac:dyDescent="0.3">
      <c r="B2" s="1243" t="s">
        <v>1782</v>
      </c>
      <c r="C2" s="1243"/>
      <c r="D2" s="1243"/>
      <c r="E2" s="701" t="s">
        <v>2263</v>
      </c>
      <c r="F2" s="701" t="s">
        <v>1841</v>
      </c>
      <c r="G2" s="701" t="s">
        <v>1896</v>
      </c>
      <c r="H2" s="701" t="s">
        <v>1897</v>
      </c>
      <c r="I2" s="701" t="s">
        <v>1839</v>
      </c>
      <c r="J2" s="701" t="s">
        <v>1898</v>
      </c>
      <c r="K2" s="688" t="s">
        <v>1899</v>
      </c>
      <c r="L2" s="701" t="s">
        <v>1900</v>
      </c>
      <c r="M2" s="701" t="s">
        <v>1901</v>
      </c>
      <c r="N2" s="701" t="s">
        <v>1903</v>
      </c>
      <c r="O2" s="689" t="s">
        <v>1121</v>
      </c>
      <c r="P2" s="690" t="s">
        <v>1846</v>
      </c>
      <c r="Q2" s="701" t="s">
        <v>1847</v>
      </c>
      <c r="R2" s="701" t="s">
        <v>1848</v>
      </c>
      <c r="S2" s="701" t="s">
        <v>375</v>
      </c>
      <c r="T2" s="701" t="s">
        <v>1849</v>
      </c>
    </row>
    <row r="3" spans="2:27" ht="15" customHeight="1" x14ac:dyDescent="0.3">
      <c r="B3" s="1241" t="s">
        <v>1685</v>
      </c>
      <c r="C3" s="1241"/>
      <c r="D3" s="1241"/>
      <c r="E3" s="514">
        <v>31035477000</v>
      </c>
      <c r="F3" s="514"/>
      <c r="G3" s="514"/>
      <c r="H3" s="514"/>
      <c r="I3" s="514">
        <f>+I4+I226</f>
        <v>8272977000</v>
      </c>
      <c r="J3" s="514">
        <f>+J4+J226</f>
        <v>27324734236.200001</v>
      </c>
      <c r="K3" s="619">
        <f t="shared" ref="K3:K8" si="0">+J3/E3</f>
        <v>0.88043545250488664</v>
      </c>
      <c r="L3" s="514">
        <f>+L4+L226</f>
        <v>3107763756</v>
      </c>
      <c r="M3" s="514">
        <f>+M4+M251</f>
        <v>132180622</v>
      </c>
      <c r="N3" s="514">
        <f>+N4+N226</f>
        <v>586182073.80000019</v>
      </c>
      <c r="O3" s="514"/>
      <c r="P3" s="624"/>
      <c r="Q3" s="544"/>
      <c r="R3" s="544"/>
      <c r="S3" s="544"/>
      <c r="T3" s="544"/>
    </row>
    <row r="4" spans="2:27" ht="15" customHeight="1" x14ac:dyDescent="0.3">
      <c r="B4" s="1241" t="s">
        <v>1683</v>
      </c>
      <c r="C4" s="1241"/>
      <c r="D4" s="1241"/>
      <c r="E4" s="514">
        <v>22793000000</v>
      </c>
      <c r="F4" s="515"/>
      <c r="G4" s="514">
        <f>+G5+G58</f>
        <v>858500000</v>
      </c>
      <c r="H4" s="514">
        <f>+H5+H58</f>
        <v>128000000</v>
      </c>
      <c r="I4" s="514">
        <f>+I5+I58</f>
        <v>730500000</v>
      </c>
      <c r="J4" s="514">
        <f>+J5+J49</f>
        <v>19666824034</v>
      </c>
      <c r="K4" s="619">
        <f t="shared" si="0"/>
        <v>0.86284491001623309</v>
      </c>
      <c r="L4" s="514">
        <f>+L5+L49</f>
        <v>2657286756</v>
      </c>
      <c r="M4" s="514">
        <f>+M5+M49</f>
        <v>132180622</v>
      </c>
      <c r="N4" s="514">
        <f>+N5+N49</f>
        <v>452092276</v>
      </c>
      <c r="O4" s="647"/>
      <c r="P4" s="545"/>
      <c r="Q4" s="544"/>
      <c r="R4" s="544"/>
      <c r="S4" s="544"/>
      <c r="T4" s="544"/>
    </row>
    <row r="5" spans="2:27" ht="15" customHeight="1" x14ac:dyDescent="0.3">
      <c r="B5" s="1240" t="s">
        <v>1682</v>
      </c>
      <c r="C5" s="1240"/>
      <c r="D5" s="1240"/>
      <c r="E5" s="512">
        <v>13641779000</v>
      </c>
      <c r="F5" s="513"/>
      <c r="G5" s="512">
        <f t="shared" ref="G5:I6" si="1">+G6</f>
        <v>858500000</v>
      </c>
      <c r="H5" s="512">
        <f t="shared" si="1"/>
        <v>128000000</v>
      </c>
      <c r="I5" s="512">
        <f t="shared" si="1"/>
        <v>730500000</v>
      </c>
      <c r="J5" s="512">
        <f t="shared" ref="J5:N6" si="2">+J6</f>
        <v>11413365052</v>
      </c>
      <c r="K5" s="575">
        <f t="shared" si="0"/>
        <v>0.83664784864202824</v>
      </c>
      <c r="L5" s="512">
        <f t="shared" si="2"/>
        <v>2225164920</v>
      </c>
      <c r="M5" s="512">
        <f t="shared" si="2"/>
        <v>3249028</v>
      </c>
      <c r="N5" s="512">
        <f t="shared" si="2"/>
        <v>3249028</v>
      </c>
      <c r="O5" s="648"/>
      <c r="P5" s="543"/>
      <c r="Q5" s="542"/>
      <c r="R5" s="542"/>
      <c r="S5" s="542"/>
      <c r="T5" s="542"/>
    </row>
    <row r="6" spans="2:27" ht="15" customHeight="1" x14ac:dyDescent="0.3">
      <c r="B6" s="1240" t="s">
        <v>1681</v>
      </c>
      <c r="C6" s="1240"/>
      <c r="D6" s="1240"/>
      <c r="E6" s="512">
        <v>13641779000</v>
      </c>
      <c r="F6" s="513"/>
      <c r="G6" s="512">
        <f t="shared" si="1"/>
        <v>858500000</v>
      </c>
      <c r="H6" s="512">
        <f t="shared" si="1"/>
        <v>128000000</v>
      </c>
      <c r="I6" s="512">
        <f t="shared" si="1"/>
        <v>730500000</v>
      </c>
      <c r="J6" s="512">
        <f t="shared" si="2"/>
        <v>11413365052</v>
      </c>
      <c r="K6" s="575">
        <f t="shared" si="0"/>
        <v>0.83664784864202824</v>
      </c>
      <c r="L6" s="512">
        <f t="shared" si="2"/>
        <v>2225164920</v>
      </c>
      <c r="M6" s="512">
        <f t="shared" si="2"/>
        <v>3249028</v>
      </c>
      <c r="N6" s="512">
        <f t="shared" si="2"/>
        <v>3249028</v>
      </c>
      <c r="O6" s="648"/>
      <c r="P6" s="543"/>
      <c r="Q6" s="542"/>
      <c r="R6" s="542"/>
      <c r="S6" s="542"/>
      <c r="T6" s="542"/>
    </row>
    <row r="7" spans="2:27" ht="15" customHeight="1" x14ac:dyDescent="0.3">
      <c r="B7" s="1240" t="s">
        <v>1680</v>
      </c>
      <c r="C7" s="1240"/>
      <c r="D7" s="1240"/>
      <c r="E7" s="512">
        <v>13548179000</v>
      </c>
      <c r="F7" s="604"/>
      <c r="G7" s="512">
        <f>+G8+G49+G52</f>
        <v>858500000</v>
      </c>
      <c r="H7" s="512">
        <f>+H8+H49+H52</f>
        <v>128000000</v>
      </c>
      <c r="I7" s="512">
        <f>+I8+I49+I52</f>
        <v>730500000</v>
      </c>
      <c r="J7" s="512">
        <f>+J8+J34+J37</f>
        <v>11413365052</v>
      </c>
      <c r="K7" s="575">
        <f t="shared" si="0"/>
        <v>0.84242797884497989</v>
      </c>
      <c r="L7" s="512">
        <f>+L8+L34+L37</f>
        <v>2225164920</v>
      </c>
      <c r="M7" s="512">
        <f>+M8+M34+M37</f>
        <v>3249028</v>
      </c>
      <c r="N7" s="512">
        <f>+N8+N34+N37</f>
        <v>3249028</v>
      </c>
      <c r="O7" s="648"/>
      <c r="P7" s="543"/>
      <c r="Q7" s="542"/>
      <c r="R7" s="542"/>
      <c r="S7" s="542"/>
      <c r="T7" s="542"/>
    </row>
    <row r="8" spans="2:27" ht="15" customHeight="1" x14ac:dyDescent="0.3">
      <c r="B8" s="1239" t="s">
        <v>1642</v>
      </c>
      <c r="C8" s="1239"/>
      <c r="D8" s="1239"/>
      <c r="E8" s="554">
        <v>843179000</v>
      </c>
      <c r="F8" s="559">
        <v>19</v>
      </c>
      <c r="G8" s="554">
        <v>858500000</v>
      </c>
      <c r="H8" s="555">
        <v>128000000</v>
      </c>
      <c r="I8" s="554">
        <f>+G8-H8</f>
        <v>730500000</v>
      </c>
      <c r="J8" s="557">
        <f>SUM(J10:J31)</f>
        <v>839929972</v>
      </c>
      <c r="K8" s="576">
        <f t="shared" si="0"/>
        <v>0.99614669245794785</v>
      </c>
      <c r="L8" s="557">
        <f>SUM(L10:L31)</f>
        <v>0</v>
      </c>
      <c r="M8" s="558">
        <f>+E8-(J8+L8)</f>
        <v>3249028</v>
      </c>
      <c r="N8" s="605">
        <f>+E8-J8-L8</f>
        <v>3249028</v>
      </c>
      <c r="O8" s="649"/>
      <c r="P8" s="557"/>
      <c r="Q8" s="565"/>
      <c r="R8" s="565"/>
      <c r="S8" s="565"/>
      <c r="T8" s="565"/>
    </row>
    <row r="9" spans="2:27" ht="22.8" outlineLevel="1" x14ac:dyDescent="0.3">
      <c r="B9" s="510" t="s">
        <v>1692</v>
      </c>
      <c r="C9" s="510" t="s">
        <v>912</v>
      </c>
      <c r="D9" s="510" t="s">
        <v>1821</v>
      </c>
      <c r="E9" s="518" t="s">
        <v>1845</v>
      </c>
      <c r="F9" s="507" t="s">
        <v>1852</v>
      </c>
      <c r="G9" s="507"/>
      <c r="H9" s="507"/>
      <c r="I9" s="507"/>
      <c r="J9" s="510" t="s">
        <v>1844</v>
      </c>
      <c r="K9" s="625"/>
      <c r="L9" s="510" t="s">
        <v>1938</v>
      </c>
      <c r="M9" s="510"/>
      <c r="N9" s="510" t="s">
        <v>1939</v>
      </c>
      <c r="O9" s="650"/>
      <c r="P9" s="541" t="s">
        <v>1846</v>
      </c>
      <c r="Q9" s="510" t="s">
        <v>1847</v>
      </c>
      <c r="R9" s="510" t="s">
        <v>1848</v>
      </c>
      <c r="S9" s="510" t="s">
        <v>375</v>
      </c>
      <c r="T9" s="510" t="s">
        <v>1849</v>
      </c>
    </row>
    <row r="10" spans="2:27" ht="14.25" customHeight="1" outlineLevel="1" x14ac:dyDescent="0.3">
      <c r="B10" s="510">
        <v>122</v>
      </c>
      <c r="C10" s="506" t="str">
        <f>IF(ISERROR(VLOOKUP(B10,'Base de Datos'!$C$7:$F$4092,2,0))=TRUE,"",(VLOOKUP('Presupuesto - PAA 2015'!B10,'Base de Datos'!$C$7:$F$4092,3,0)))</f>
        <v>150244-0-2015</v>
      </c>
      <c r="D10" s="506" t="str">
        <f>IF(ISERROR(VLOOKUP(B10,'Base de Datos'!$C$7:$F$4092,3,0))=TRUE,"",(VLOOKUP('Presupuesto - PAA 2015'!B10,'Base de Datos'!$C$7:$F$4092,4,0)))</f>
        <v>COTECNA CERTIFICADORA SERVICES LIMITADA</v>
      </c>
      <c r="E10" s="509">
        <v>2365972</v>
      </c>
      <c r="F10" s="507" t="str">
        <f>VLOOKUP(B10,'Actualizada - presupuesto'!$D$7:$L$111,9,0)</f>
        <v>SI</v>
      </c>
      <c r="G10" s="507"/>
      <c r="H10" s="507"/>
      <c r="I10" s="507"/>
      <c r="J10" s="509">
        <f>IF(ISERROR(VLOOKUP(B10,'Base de Datos'!$C$7:$N$4092,6,0))=TRUE,"Sin Celebrar",(VLOOKUP(B10,'Base de Datos'!$C$7:$N$4092,7,0)))</f>
        <v>2365972</v>
      </c>
      <c r="K10" s="573"/>
      <c r="L10" s="509" t="str">
        <f>IF(J10=$AA$1,E10, " ")</f>
        <v xml:space="preserve"> </v>
      </c>
      <c r="M10" s="509"/>
      <c r="N10" s="509" t="str">
        <f>IF(J10&lt;E10,(E10-J10)," ")</f>
        <v xml:space="preserve"> </v>
      </c>
      <c r="O10" s="691" t="str">
        <f>IF(ISERROR(VLOOKUP(B10,'Base de Datos'!$C$7:$K$1048576,7,0))=TRUE," ",(VLOOKUP(B10,'Base de Datos'!$C$7:$K$1048576,8,0)))</f>
        <v>150244-0-2015</v>
      </c>
      <c r="P10" s="524">
        <f>IF(ISERROR(VLOOKUP(B10,'Base de Datos'!$C$7:$N$4077,9,0))=TRUE," ",(VLOOKUP(B10,'Base de Datos'!$C$7:$N$4077,10,0)))</f>
        <v>42158</v>
      </c>
      <c r="Q10" s="524" t="s">
        <v>381</v>
      </c>
      <c r="R10" s="524">
        <f>IF(ISERROR(VLOOKUP(B10,'Base de Datos'!$C$7:$N$4077,10,0))=TRUE," ",(VLOOKUP(B10,'Base de Datos'!$C$7:$N$4077,11,0)))</f>
        <v>42174</v>
      </c>
      <c r="S10" s="524">
        <f>IF(ISERROR(VLOOKUP(B10,'Base de Datos'!$C$7:$N$4077,11,0))=TRUE," ",(VLOOKUP(B10,'Base de Datos'!$C$7:$N$4077,12,0)))</f>
        <v>42296</v>
      </c>
      <c r="T10" s="506" t="str">
        <f>VLOOKUP(C10,'Base de Datos'!$E$7:$AU$382,39,0)</f>
        <v>LIQUIDADO</v>
      </c>
      <c r="U10" s="694"/>
      <c r="V10" s="607"/>
    </row>
    <row r="11" spans="2:27" ht="14.25" customHeight="1" outlineLevel="1" x14ac:dyDescent="0.3">
      <c r="B11" s="510">
        <v>123</v>
      </c>
      <c r="C11" s="506" t="str">
        <f>IF(ISERROR(VLOOKUP(B11,'Base de Datos'!$C$7:$F$4092,2,0))=TRUE,"",(VLOOKUP('Presupuesto - PAA 2015'!B11,'Base de Datos'!$C$7:$F$4092,3,0)))</f>
        <v>150221-0-2015</v>
      </c>
      <c r="D11" s="506" t="str">
        <f>IF(ISERROR(VLOOKUP(B11,'Base de Datos'!$C$7:$F$4092,3,0))=TRUE,"",(VLOOKUP('Presupuesto - PAA 2015'!B11,'Base de Datos'!$C$7:$F$4092,4,0)))</f>
        <v>SGS COLOMBIA S.A.</v>
      </c>
      <c r="E11" s="509">
        <v>7714000</v>
      </c>
      <c r="F11" s="507" t="str">
        <f>VLOOKUP(B11,'Actualizada - presupuesto'!$D$7:$L$111,9,0)</f>
        <v>SI</v>
      </c>
      <c r="G11" s="507"/>
      <c r="H11" s="507"/>
      <c r="I11" s="507"/>
      <c r="J11" s="509">
        <f>IF(ISERROR(VLOOKUP(B11,'Base de Datos'!$C$7:$N$4092,6,0))=TRUE,"Sin Celebrar",(VLOOKUP(B11,'Base de Datos'!$C$7:$N$4092,7,0)))</f>
        <v>7714000</v>
      </c>
      <c r="K11" s="573"/>
      <c r="L11" s="509" t="str">
        <f t="shared" ref="L11:L31" si="3">IF(J11=$AA$1,E11, " ")</f>
        <v xml:space="preserve"> </v>
      </c>
      <c r="M11" s="509"/>
      <c r="N11" s="509" t="str">
        <f>IF(J11&lt;E11,(E11-J11)," ")</f>
        <v xml:space="preserve"> </v>
      </c>
      <c r="O11" s="691" t="str">
        <f>IF(ISERROR(VLOOKUP(B11,'Base de Datos'!$C$7:$K$1048576,7,0))=TRUE," ",(VLOOKUP(B11,'Base de Datos'!$C$7:$K$1048576,8,0)))</f>
        <v>SDH-SMINC-28-2015</v>
      </c>
      <c r="P11" s="524">
        <f>IF(ISERROR(VLOOKUP(B11,'Base de Datos'!$C$7:$N$4077,9,0))=TRUE," ",(VLOOKUP(B11,'Base de Datos'!$C$7:$N$4077,10,0)))</f>
        <v>42132</v>
      </c>
      <c r="Q11" s="506" t="s">
        <v>544</v>
      </c>
      <c r="R11" s="524">
        <f>IF(ISERROR(VLOOKUP(B11,'Base de Datos'!$C$7:$N$4077,10,0))=TRUE," ",(VLOOKUP(B11,'Base de Datos'!$C$7:$N$4077,11,0)))</f>
        <v>42144</v>
      </c>
      <c r="S11" s="524">
        <f>IF(ISERROR(VLOOKUP(B11,'Base de Datos'!$C$7:$N$4077,11,0))=TRUE," ",(VLOOKUP(B11,'Base de Datos'!$C$7:$N$4077,12,0)))</f>
        <v>42236</v>
      </c>
      <c r="T11" s="506" t="str">
        <f>VLOOKUP(C11,'Base de Datos'!$E$7:$AU$382,39,0)</f>
        <v>LIQUIDADO</v>
      </c>
      <c r="U11" s="694"/>
      <c r="V11" s="607"/>
    </row>
    <row r="12" spans="2:27" ht="14.25" customHeight="1" outlineLevel="1" x14ac:dyDescent="0.3">
      <c r="B12" s="510">
        <v>124</v>
      </c>
      <c r="C12" s="506" t="str">
        <f>IF(ISERROR(VLOOKUP(B12,'Base de Datos'!$C$7:$F$4092,2,0))=TRUE,"",(VLOOKUP('Presupuesto - PAA 2015'!B12,'Base de Datos'!$C$7:$F$4092,3,0)))</f>
        <v>150049-0-2015</v>
      </c>
      <c r="D12" s="506" t="str">
        <f>IF(ISERROR(VLOOKUP(B12,'Base de Datos'!$C$7:$F$4092,3,0))=TRUE,"",(VLOOKUP('Presupuesto - PAA 2015'!B12,'Base de Datos'!$C$7:$F$4092,4,0)))</f>
        <v>ROSA ENRIQUELINA GÓMEZ CORREDOR</v>
      </c>
      <c r="E12" s="509">
        <f>VLOOKUP(B12,'[6]Abr 24-2015'!$C$53:$AA$327,24,0)</f>
        <v>60000000</v>
      </c>
      <c r="F12" s="507" t="str">
        <f>VLOOKUP(B12,'Actualizada - presupuesto'!$D$7:$L$111,9,0)</f>
        <v>SI</v>
      </c>
      <c r="G12" s="507"/>
      <c r="H12" s="507"/>
      <c r="I12" s="507"/>
      <c r="J12" s="509">
        <f>IF(ISERROR(VLOOKUP(B12,'Base de Datos'!$C$7:$N$4092,6,0))=TRUE,"Sin Celebrar",(VLOOKUP(B12,'Base de Datos'!$C$7:$N$4092,7,0)))</f>
        <v>60000000</v>
      </c>
      <c r="K12" s="573"/>
      <c r="L12" s="509" t="str">
        <f t="shared" si="3"/>
        <v xml:space="preserve"> </v>
      </c>
      <c r="M12" s="509"/>
      <c r="N12" s="509" t="str">
        <f t="shared" ref="N12:N31" si="4">IF(J12&lt;E12,(E12-J12)," ")</f>
        <v xml:space="preserve"> </v>
      </c>
      <c r="O12" s="691" t="str">
        <f>IF(ISERROR(VLOOKUP(B12,'Base de Datos'!$C$7:$K$1048576,7,0))=TRUE," ",(VLOOKUP(B12,'Base de Datos'!$C$7:$K$1048576,8,0)))</f>
        <v>150049-0-2015</v>
      </c>
      <c r="P12" s="524">
        <f>IF(ISERROR(VLOOKUP(B12,'Base de Datos'!$C$7:$N$4077,9,0))=TRUE," ",(VLOOKUP(B12,'Base de Datos'!$C$7:$N$4077,10,0)))</f>
        <v>42044</v>
      </c>
      <c r="Q12" s="506" t="s">
        <v>1850</v>
      </c>
      <c r="R12" s="524">
        <f>IF(ISERROR(VLOOKUP(B12,'Base de Datos'!$C$7:$N$4077,10,0))=TRUE," ",(VLOOKUP(B12,'Base de Datos'!$C$7:$N$4077,11,0)))</f>
        <v>42045</v>
      </c>
      <c r="S12" s="524">
        <f>IF(ISERROR(VLOOKUP(B12,'Base de Datos'!$C$7:$N$4077,11,0))=TRUE," ",(VLOOKUP(B12,'Base de Datos'!$C$7:$N$4077,12,0)))</f>
        <v>42410</v>
      </c>
      <c r="T12" s="506" t="str">
        <f>VLOOKUP(C12,'Base de Datos'!$E$7:$AU$382,39,0)</f>
        <v>LIQUIDADO</v>
      </c>
      <c r="U12" s="694"/>
      <c r="V12" s="607"/>
    </row>
    <row r="13" spans="2:27" ht="14.25" customHeight="1" outlineLevel="1" x14ac:dyDescent="0.3">
      <c r="B13" s="510">
        <v>125</v>
      </c>
      <c r="C13" s="506" t="str">
        <f>IF(ISERROR(VLOOKUP(B13,'Base de Datos'!$C$7:$F$4092,2,0))=TRUE,"",(VLOOKUP('Presupuesto - PAA 2015'!B13,'Base de Datos'!$C$7:$F$4092,3,0)))</f>
        <v>150081-0-2015</v>
      </c>
      <c r="D13" s="506" t="str">
        <f>IF(ISERROR(VLOOKUP(B13,'Base de Datos'!$C$7:$F$4092,3,0))=TRUE,"",(VLOOKUP('Presupuesto - PAA 2015'!B13,'Base de Datos'!$C$7:$F$4092,4,0)))</f>
        <v>LEIDY YONETH RIVERA GONZALEZ (Cesionario) / LUISA FERNANDA GUTIÉRREZ RAMÍREZ (Antes)</v>
      </c>
      <c r="E13" s="509">
        <f>VLOOKUP(B13,'[6]Abr 24-2015'!$C$53:$AA$327,24,0)</f>
        <v>63654000</v>
      </c>
      <c r="F13" s="507" t="str">
        <f>VLOOKUP(B13,'Actualizada - presupuesto'!$D$7:$L$111,9,0)</f>
        <v>SI</v>
      </c>
      <c r="G13" s="507"/>
      <c r="H13" s="507"/>
      <c r="I13" s="507"/>
      <c r="J13" s="509">
        <f>IF(ISERROR(VLOOKUP(B13,'Base de Datos'!$C$7:$N$4092,6,0))=TRUE,"Sin Celebrar",(VLOOKUP(B13,'Base de Datos'!$C$7:$N$4092,7,0)))</f>
        <v>63654000</v>
      </c>
      <c r="K13" s="573"/>
      <c r="L13" s="509" t="str">
        <f t="shared" si="3"/>
        <v xml:space="preserve"> </v>
      </c>
      <c r="M13" s="509"/>
      <c r="N13" s="509" t="str">
        <f t="shared" si="4"/>
        <v xml:space="preserve"> </v>
      </c>
      <c r="O13" s="691" t="str">
        <f>IF(ISERROR(VLOOKUP(B13,'Base de Datos'!$C$7:$K$1048576,7,0))=TRUE," ",(VLOOKUP(B13,'Base de Datos'!$C$7:$K$1048576,8,0)))</f>
        <v>150081-0-2015</v>
      </c>
      <c r="P13" s="524">
        <f>IF(ISERROR(VLOOKUP(B13,'Base de Datos'!$C$7:$N$4077,9,0))=TRUE," ",(VLOOKUP(B13,'Base de Datos'!$C$7:$N$4077,10,0)))</f>
        <v>42054</v>
      </c>
      <c r="Q13" s="506" t="s">
        <v>1850</v>
      </c>
      <c r="R13" s="524">
        <f>IF(ISERROR(VLOOKUP(B13,'Base de Datos'!$C$7:$N$4077,10,0))=TRUE," ",(VLOOKUP(B13,'Base de Datos'!$C$7:$N$4077,11,0)))</f>
        <v>42060</v>
      </c>
      <c r="S13" s="524">
        <f>IF(ISERROR(VLOOKUP(B13,'Base de Datos'!$C$7:$N$4077,11,0))=TRUE," ",(VLOOKUP(B13,'Base de Datos'!$C$7:$N$4077,12,0)))</f>
        <v>42425</v>
      </c>
      <c r="T13" s="506" t="str">
        <f>VLOOKUP(C13,'Base de Datos'!$E$7:$AU$382,39,0)</f>
        <v>LIQUIDADO</v>
      </c>
      <c r="U13" s="694"/>
      <c r="V13" s="607"/>
    </row>
    <row r="14" spans="2:27" ht="14.25" customHeight="1" outlineLevel="1" x14ac:dyDescent="0.3">
      <c r="B14" s="510">
        <v>126</v>
      </c>
      <c r="C14" s="506" t="str">
        <f>IF(ISERROR(VLOOKUP(B14,'Base de Datos'!$C$7:$F$4092,2,0))=TRUE,"",(VLOOKUP('Presupuesto - PAA 2015'!B14,'Base de Datos'!$C$7:$F$4092,3,0)))</f>
        <v>150067-0-2015</v>
      </c>
      <c r="D14" s="506" t="str">
        <f>IF(ISERROR(VLOOKUP(B14,'Base de Datos'!$C$7:$F$4092,3,0))=TRUE,"",(VLOOKUP('Presupuesto - PAA 2015'!B14,'Base de Datos'!$C$7:$F$4092,4,0)))</f>
        <v>WIESNER FABIÁN ROBAYO SALCEDO</v>
      </c>
      <c r="E14" s="509">
        <f>VLOOKUP(B14,'[6]Abr 24-2015'!$C$53:$AA$327,24,0)</f>
        <v>48000000</v>
      </c>
      <c r="F14" s="507" t="str">
        <f>VLOOKUP(B14,'Actualizada - presupuesto'!$D$7:$L$111,9,0)</f>
        <v>SI</v>
      </c>
      <c r="G14" s="507"/>
      <c r="H14" s="507"/>
      <c r="I14" s="507"/>
      <c r="J14" s="509">
        <f>IF(ISERROR(VLOOKUP(B14,'Base de Datos'!$C$7:$N$4092,6,0))=TRUE,"Sin Celebrar",(VLOOKUP(B14,'Base de Datos'!$C$7:$N$4092,7,0)))</f>
        <v>48000000</v>
      </c>
      <c r="K14" s="573"/>
      <c r="L14" s="509" t="str">
        <f t="shared" si="3"/>
        <v xml:space="preserve"> </v>
      </c>
      <c r="M14" s="509"/>
      <c r="N14" s="509" t="str">
        <f t="shared" si="4"/>
        <v xml:space="preserve"> </v>
      </c>
      <c r="O14" s="691" t="str">
        <f>IF(ISERROR(VLOOKUP(B14,'Base de Datos'!$C$7:$K$1048576,7,0))=TRUE," ",(VLOOKUP(B14,'Base de Datos'!$C$7:$K$1048576,8,0)))</f>
        <v>150067-0-2015</v>
      </c>
      <c r="P14" s="524">
        <f>IF(ISERROR(VLOOKUP(B14,'Base de Datos'!$C$7:$N$4077,9,0))=TRUE," ",(VLOOKUP(B14,'Base de Datos'!$C$7:$N$4077,10,0)))</f>
        <v>42051</v>
      </c>
      <c r="Q14" s="506" t="s">
        <v>1850</v>
      </c>
      <c r="R14" s="524">
        <f>IF(ISERROR(VLOOKUP(B14,'Base de Datos'!$C$7:$N$4077,10,0))=TRUE," ",(VLOOKUP(B14,'Base de Datos'!$C$7:$N$4077,11,0)))</f>
        <v>42053</v>
      </c>
      <c r="S14" s="524">
        <f>IF(ISERROR(VLOOKUP(B14,'Base de Datos'!$C$7:$N$4077,11,0))=TRUE," ",(VLOOKUP(B14,'Base de Datos'!$C$7:$N$4077,12,0)))</f>
        <v>42418</v>
      </c>
      <c r="T14" s="506" t="str">
        <f>VLOOKUP(C14,'Base de Datos'!$E$7:$AU$382,39,0)</f>
        <v>LIQUIDADO</v>
      </c>
      <c r="U14" s="694"/>
      <c r="V14" s="607"/>
    </row>
    <row r="15" spans="2:27" ht="14.25" customHeight="1" outlineLevel="1" x14ac:dyDescent="0.3">
      <c r="B15" s="510">
        <v>127</v>
      </c>
      <c r="C15" s="506" t="str">
        <f>IF(ISERROR(VLOOKUP(B15,'Base de Datos'!$C$7:$F$4092,2,0))=TRUE,"",(VLOOKUP('Presupuesto - PAA 2015'!B15,'Base de Datos'!$C$7:$F$4092,3,0)))</f>
        <v>150101-0-2015</v>
      </c>
      <c r="D15" s="506" t="str">
        <f>IF(ISERROR(VLOOKUP(B15,'Base de Datos'!$C$7:$F$4092,3,0))=TRUE,"",(VLOOKUP('Presupuesto - PAA 2015'!B15,'Base de Datos'!$C$7:$F$4092,4,0)))</f>
        <v>GLORIA CATALINA ROSERO TOLEDO</v>
      </c>
      <c r="E15" s="509">
        <f>VLOOKUP(B15,'[6]Abr 24-2015'!$C$53:$AA$327,24,0)</f>
        <v>78000000</v>
      </c>
      <c r="F15" s="507" t="str">
        <f>VLOOKUP(B15,'Actualizada - presupuesto'!$D$7:$L$111,9,0)</f>
        <v>SI</v>
      </c>
      <c r="G15" s="507"/>
      <c r="H15" s="507"/>
      <c r="I15" s="507"/>
      <c r="J15" s="509">
        <f>IF(ISERROR(VLOOKUP(B15,'Base de Datos'!$C$7:$N$4092,6,0))=TRUE,"Sin Celebrar",(VLOOKUP(B15,'Base de Datos'!$C$7:$N$4092,7,0)))</f>
        <v>78000000</v>
      </c>
      <c r="K15" s="573"/>
      <c r="L15" s="509" t="str">
        <f t="shared" si="3"/>
        <v xml:space="preserve"> </v>
      </c>
      <c r="M15" s="509"/>
      <c r="N15" s="509" t="str">
        <f t="shared" si="4"/>
        <v xml:space="preserve"> </v>
      </c>
      <c r="O15" s="691" t="str">
        <f>IF(ISERROR(VLOOKUP(B15,'Base de Datos'!$C$7:$K$1048576,7,0))=TRUE," ",(VLOOKUP(B15,'Base de Datos'!$C$7:$K$1048576,8,0)))</f>
        <v>150101-0-2015</v>
      </c>
      <c r="P15" s="524">
        <f>IF(ISERROR(VLOOKUP(B15,'Base de Datos'!$C$7:$N$4077,9,0))=TRUE," ",(VLOOKUP(B15,'Base de Datos'!$C$7:$N$4077,10,0)))</f>
        <v>42066</v>
      </c>
      <c r="Q15" s="506" t="s">
        <v>1850</v>
      </c>
      <c r="R15" s="524">
        <f>IF(ISERROR(VLOOKUP(B15,'Base de Datos'!$C$7:$N$4077,10,0))=TRUE," ",(VLOOKUP(B15,'Base de Datos'!$C$7:$N$4077,11,0)))</f>
        <v>42066</v>
      </c>
      <c r="S15" s="524">
        <f>IF(ISERROR(VLOOKUP(B15,'Base de Datos'!$C$7:$N$4077,11,0))=TRUE," ",(VLOOKUP(B15,'Base de Datos'!$C$7:$N$4077,12,0)))</f>
        <v>42432</v>
      </c>
      <c r="T15" s="506" t="str">
        <f>VLOOKUP(C15,'Base de Datos'!$E$7:$AU$382,39,0)</f>
        <v>LIQUIDADO</v>
      </c>
      <c r="U15" s="694"/>
      <c r="V15" s="607"/>
    </row>
    <row r="16" spans="2:27" ht="14.25" customHeight="1" outlineLevel="1" x14ac:dyDescent="0.3">
      <c r="B16" s="510">
        <v>128</v>
      </c>
      <c r="C16" s="506" t="str">
        <f>IF(ISERROR(VLOOKUP(B16,'Base de Datos'!$C$7:$F$4092,2,0))=TRUE,"",(VLOOKUP('Presupuesto - PAA 2015'!B16,'Base de Datos'!$C$7:$F$4092,3,0)))</f>
        <v>150100-0-2015</v>
      </c>
      <c r="D16" s="506" t="str">
        <f>IF(ISERROR(VLOOKUP(B16,'Base de Datos'!$C$7:$F$4092,3,0))=TRUE,"",(VLOOKUP('Presupuesto - PAA 2015'!B16,'Base de Datos'!$C$7:$F$4092,4,0)))</f>
        <v>KHAANKO NORBERTO RUIZ RODRÍGUEZ</v>
      </c>
      <c r="E16" s="509">
        <f>VLOOKUP(B16,'[6]Abr 24-2015'!$C$53:$AA$327,24,0)</f>
        <v>38400000</v>
      </c>
      <c r="F16" s="507" t="str">
        <f>VLOOKUP(B16,'Actualizada - presupuesto'!$D$7:$L$111,9,0)</f>
        <v>SI</v>
      </c>
      <c r="G16" s="507"/>
      <c r="H16" s="507"/>
      <c r="I16" s="507"/>
      <c r="J16" s="509">
        <f>IF(ISERROR(VLOOKUP(B16,'Base de Datos'!$C$7:$N$4092,6,0))=TRUE,"Sin Celebrar",(VLOOKUP(B16,'Base de Datos'!$C$7:$N$4092,7,0)))</f>
        <v>38400000</v>
      </c>
      <c r="K16" s="573"/>
      <c r="L16" s="509" t="str">
        <f t="shared" si="3"/>
        <v xml:space="preserve"> </v>
      </c>
      <c r="M16" s="509"/>
      <c r="N16" s="509" t="str">
        <f t="shared" si="4"/>
        <v xml:space="preserve"> </v>
      </c>
      <c r="O16" s="691" t="str">
        <f>IF(ISERROR(VLOOKUP(B16,'Base de Datos'!$C$7:$K$1048576,7,0))=TRUE," ",(VLOOKUP(B16,'Base de Datos'!$C$7:$K$1048576,8,0)))</f>
        <v>150100-0-2015</v>
      </c>
      <c r="P16" s="524">
        <f>IF(ISERROR(VLOOKUP(B16,'Base de Datos'!$C$7:$N$4077,9,0))=TRUE," ",(VLOOKUP(B16,'Base de Datos'!$C$7:$N$4077,10,0)))</f>
        <v>42062</v>
      </c>
      <c r="Q16" s="506" t="s">
        <v>1850</v>
      </c>
      <c r="R16" s="524">
        <f>IF(ISERROR(VLOOKUP(B16,'Base de Datos'!$C$7:$N$4077,10,0))=TRUE," ",(VLOOKUP(B16,'Base de Datos'!$C$7:$N$4077,11,0)))</f>
        <v>42073</v>
      </c>
      <c r="S16" s="524">
        <f>IF(ISERROR(VLOOKUP(B16,'Base de Datos'!$C$7:$N$4077,11,0))=TRUE," ",(VLOOKUP(B16,'Base de Datos'!$C$7:$N$4077,12,0)))</f>
        <v>42439</v>
      </c>
      <c r="T16" s="506" t="str">
        <f>VLOOKUP(C16,'Base de Datos'!$E$7:$AU$382,39,0)</f>
        <v>LIQUIDADO</v>
      </c>
      <c r="U16" s="694"/>
      <c r="V16" s="607"/>
    </row>
    <row r="17" spans="2:22" ht="14.25" customHeight="1" outlineLevel="1" x14ac:dyDescent="0.3">
      <c r="B17" s="510">
        <v>129</v>
      </c>
      <c r="C17" s="506" t="str">
        <f>IF(ISERROR(VLOOKUP(B17,'Base de Datos'!$C$7:$F$4092,2,0))=TRUE,"",(VLOOKUP('Presupuesto - PAA 2015'!B17,'Base de Datos'!$C$7:$F$4092,3,0)))</f>
        <v>150035-0-2015</v>
      </c>
      <c r="D17" s="506" t="str">
        <f>IF(ISERROR(VLOOKUP(B17,'Base de Datos'!$C$7:$F$4092,3,0))=TRUE,"",(VLOOKUP('Presupuesto - PAA 2015'!B17,'Base de Datos'!$C$7:$F$4092,4,0)))</f>
        <v>EDGAR EULICES GONZÁLEZ</v>
      </c>
      <c r="E17" s="509">
        <f>VLOOKUP(B17,'[6]Abr 24-2015'!$C$53:$AA$327,24,0)</f>
        <v>46068000</v>
      </c>
      <c r="F17" s="507" t="str">
        <f>VLOOKUP(B17,'Actualizada - presupuesto'!$D$7:$L$111,9,0)</f>
        <v>SI</v>
      </c>
      <c r="G17" s="507"/>
      <c r="H17" s="507"/>
      <c r="I17" s="507"/>
      <c r="J17" s="509">
        <f>IF(ISERROR(VLOOKUP(B17,'Base de Datos'!$C$7:$N$4092,6,0))=TRUE,"Sin Celebrar",(VLOOKUP(B17,'Base de Datos'!$C$7:$N$4092,7,0)))</f>
        <v>46068000</v>
      </c>
      <c r="K17" s="573"/>
      <c r="L17" s="509" t="str">
        <f t="shared" si="3"/>
        <v xml:space="preserve"> </v>
      </c>
      <c r="M17" s="509"/>
      <c r="N17" s="509" t="str">
        <f t="shared" si="4"/>
        <v xml:space="preserve"> </v>
      </c>
      <c r="O17" s="691" t="str">
        <f>IF(ISERROR(VLOOKUP(B17,'Base de Datos'!$C$7:$K$1048576,7,0))=TRUE," ",(VLOOKUP(B17,'Base de Datos'!$C$7:$K$1048576,8,0)))</f>
        <v>1400035-0-2015</v>
      </c>
      <c r="P17" s="524">
        <f>IF(ISERROR(VLOOKUP(B17,'Base de Datos'!$C$7:$N$4077,9,0))=TRUE," ",(VLOOKUP(B17,'Base de Datos'!$C$7:$N$4077,10,0)))</f>
        <v>42033</v>
      </c>
      <c r="Q17" s="506" t="s">
        <v>1850</v>
      </c>
      <c r="R17" s="524">
        <f>IF(ISERROR(VLOOKUP(B17,'Base de Datos'!$C$7:$N$4077,10,0))=TRUE," ",(VLOOKUP(B17,'Base de Datos'!$C$7:$N$4077,11,0)))</f>
        <v>42037</v>
      </c>
      <c r="S17" s="524">
        <f>IF(ISERROR(VLOOKUP(B17,'Base de Datos'!$C$7:$N$4077,11,0))=TRUE," ",(VLOOKUP(B17,'Base de Datos'!$C$7:$N$4077,12,0)))</f>
        <v>42402</v>
      </c>
      <c r="T17" s="506" t="str">
        <f>VLOOKUP(C17,'Base de Datos'!$E$7:$AU$382,39,0)</f>
        <v>LIQUIDADO</v>
      </c>
      <c r="U17" s="694"/>
      <c r="V17" s="607"/>
    </row>
    <row r="18" spans="2:22" ht="14.25" customHeight="1" outlineLevel="1" x14ac:dyDescent="0.3">
      <c r="B18" s="510">
        <v>130</v>
      </c>
      <c r="C18" s="506" t="str">
        <f>IF(ISERROR(VLOOKUP(B18,'Base de Datos'!$C$7:$F$4092,2,0))=TRUE,"",(VLOOKUP('Presupuesto - PAA 2015'!B18,'Base de Datos'!$C$7:$F$4092,3,0)))</f>
        <v>150073-0-2015</v>
      </c>
      <c r="D18" s="506" t="str">
        <f>IF(ISERROR(VLOOKUP(B18,'Base de Datos'!$C$7:$F$4092,3,0))=TRUE,"",(VLOOKUP('Presupuesto - PAA 2015'!B18,'Base de Datos'!$C$7:$F$4092,4,0)))</f>
        <v>ELVIN ALEXANDER AVEBDAÑO FONSECA (Cesionario) / JAVIER ANDRÉS VIDAL MELO (Antes)</v>
      </c>
      <c r="E18" s="509">
        <f>VLOOKUP(B18,'[6]Abr 24-2015'!$C$53:$AA$327,24,0)</f>
        <v>60000000</v>
      </c>
      <c r="F18" s="507" t="str">
        <f>VLOOKUP(B18,'Actualizada - presupuesto'!$D$7:$L$111,9,0)</f>
        <v>SI</v>
      </c>
      <c r="G18" s="507"/>
      <c r="H18" s="507"/>
      <c r="I18" s="507"/>
      <c r="J18" s="509">
        <f>IF(ISERROR(VLOOKUP(B18,'Base de Datos'!$C$7:$N$4092,6,0))=TRUE,"Sin Celebrar",(VLOOKUP(B18,'Base de Datos'!$C$7:$N$4092,7,0)))</f>
        <v>60000000</v>
      </c>
      <c r="K18" s="573"/>
      <c r="L18" s="509" t="str">
        <f t="shared" si="3"/>
        <v xml:space="preserve"> </v>
      </c>
      <c r="M18" s="509"/>
      <c r="N18" s="509" t="str">
        <f t="shared" si="4"/>
        <v xml:space="preserve"> </v>
      </c>
      <c r="O18" s="691" t="str">
        <f>IF(ISERROR(VLOOKUP(B18,'Base de Datos'!$C$7:$K$1048576,7,0))=TRUE," ",(VLOOKUP(B18,'Base de Datos'!$C$7:$K$1048576,8,0)))</f>
        <v>150073-0-2015</v>
      </c>
      <c r="P18" s="524">
        <f>IF(ISERROR(VLOOKUP(B18,'Base de Datos'!$C$7:$N$4077,9,0))=TRUE," ",(VLOOKUP(B18,'Base de Datos'!$C$7:$N$4077,10,0)))</f>
        <v>42052</v>
      </c>
      <c r="Q18" s="506" t="s">
        <v>1850</v>
      </c>
      <c r="R18" s="524">
        <f>IF(ISERROR(VLOOKUP(B18,'Base de Datos'!$C$7:$N$4077,10,0))=TRUE," ",(VLOOKUP(B18,'Base de Datos'!$C$7:$N$4077,11,0)))</f>
        <v>42054</v>
      </c>
      <c r="S18" s="524">
        <f>IF(ISERROR(VLOOKUP(B18,'Base de Datos'!$C$7:$N$4077,11,0))=TRUE," ",(VLOOKUP(B18,'Base de Datos'!$C$7:$N$4077,12,0)))</f>
        <v>42419</v>
      </c>
      <c r="T18" s="506" t="str">
        <f>VLOOKUP(C18,'Base de Datos'!$E$7:$AU$382,39,0)</f>
        <v>LIQUIDADO</v>
      </c>
      <c r="U18" s="694"/>
      <c r="V18" s="607"/>
    </row>
    <row r="19" spans="2:22" ht="14.25" customHeight="1" outlineLevel="1" x14ac:dyDescent="0.3">
      <c r="B19" s="510">
        <v>131</v>
      </c>
      <c r="C19" s="506" t="str">
        <f>IF(ISERROR(VLOOKUP(B19,'Base de Datos'!$C$7:$F$4092,2,0))=TRUE,"",(VLOOKUP('Presupuesto - PAA 2015'!B19,'Base de Datos'!$C$7:$F$4092,3,0)))</f>
        <v>150102-0-2015</v>
      </c>
      <c r="D19" s="506" t="str">
        <f>IF(ISERROR(VLOOKUP(B19,'Base de Datos'!$C$7:$F$4092,3,0))=TRUE,"",(VLOOKUP('Presupuesto - PAA 2015'!B19,'Base de Datos'!$C$7:$F$4092,4,0)))</f>
        <v>LINA MARÍA GONZÁLEZ RUIZ</v>
      </c>
      <c r="E19" s="509">
        <f>VLOOKUP(B19,'[6]Abr 24-2015'!$C$53:$AA$327,24,0)</f>
        <v>30900000</v>
      </c>
      <c r="F19" s="507" t="str">
        <f>VLOOKUP(B19,'Actualizada - presupuesto'!$D$7:$L$111,9,0)</f>
        <v>SI</v>
      </c>
      <c r="G19" s="507"/>
      <c r="H19" s="507"/>
      <c r="I19" s="507"/>
      <c r="J19" s="509">
        <f>IF(ISERROR(VLOOKUP(B19,'Base de Datos'!$C$7:$N$4092,6,0))=TRUE,"Sin Celebrar",(VLOOKUP(B19,'Base de Datos'!$C$7:$N$4092,7,0)))</f>
        <v>30900000</v>
      </c>
      <c r="K19" s="573"/>
      <c r="L19" s="509" t="str">
        <f t="shared" si="3"/>
        <v xml:space="preserve"> </v>
      </c>
      <c r="M19" s="509"/>
      <c r="N19" s="509" t="str">
        <f t="shared" si="4"/>
        <v xml:space="preserve"> </v>
      </c>
      <c r="O19" s="691" t="str">
        <f>IF(ISERROR(VLOOKUP(B19,'Base de Datos'!$C$7:$K$1048576,7,0))=TRUE," ",(VLOOKUP(B19,'Base de Datos'!$C$7:$K$1048576,8,0)))</f>
        <v>150102-0-2015</v>
      </c>
      <c r="P19" s="524">
        <f>IF(ISERROR(VLOOKUP(B19,'Base de Datos'!$C$7:$N$4077,9,0))=TRUE," ",(VLOOKUP(B19,'Base de Datos'!$C$7:$N$4077,10,0)))</f>
        <v>42066</v>
      </c>
      <c r="Q19" s="506" t="s">
        <v>1850</v>
      </c>
      <c r="R19" s="524">
        <f>IF(ISERROR(VLOOKUP(B19,'Base de Datos'!$C$7:$N$4077,10,0))=TRUE," ",(VLOOKUP(B19,'Base de Datos'!$C$7:$N$4077,11,0)))</f>
        <v>42073</v>
      </c>
      <c r="S19" s="524">
        <f>IF(ISERROR(VLOOKUP(B19,'Base de Datos'!$C$7:$N$4077,11,0))=TRUE," ",(VLOOKUP(B19,'Base de Datos'!$C$7:$N$4077,12,0)))</f>
        <v>42439</v>
      </c>
      <c r="T19" s="506" t="str">
        <f>VLOOKUP(C19,'Base de Datos'!$E$7:$AU$382,39,0)</f>
        <v>LIQUIDADO</v>
      </c>
      <c r="U19" s="694"/>
      <c r="V19" s="607"/>
    </row>
    <row r="20" spans="2:22" ht="14.25" customHeight="1" outlineLevel="1" x14ac:dyDescent="0.3">
      <c r="B20" s="510">
        <v>132</v>
      </c>
      <c r="C20" s="506" t="str">
        <f>IF(ISERROR(VLOOKUP(B20,'Base de Datos'!$C$7:$F$4092,2,0))=TRUE,"",(VLOOKUP('Presupuesto - PAA 2015'!B20,'Base de Datos'!$C$7:$F$4092,3,0)))</f>
        <v>150083-0-2015</v>
      </c>
      <c r="D20" s="506" t="str">
        <f>IF(ISERROR(VLOOKUP(B20,'Base de Datos'!$C$7:$F$4092,3,0))=TRUE,"",(VLOOKUP('Presupuesto - PAA 2015'!B20,'Base de Datos'!$C$7:$F$4092,4,0)))</f>
        <v>DIANA MARCELA REYES</v>
      </c>
      <c r="E20" s="509">
        <f>VLOOKUP(B20,'[6]Abr 24-2015'!$C$53:$AA$327,24,0)</f>
        <v>30900000</v>
      </c>
      <c r="F20" s="507" t="str">
        <f>VLOOKUP(B20,'Actualizada - presupuesto'!$D$7:$L$111,9,0)</f>
        <v>SI</v>
      </c>
      <c r="G20" s="507"/>
      <c r="H20" s="507"/>
      <c r="I20" s="507"/>
      <c r="J20" s="509">
        <f>IF(ISERROR(VLOOKUP(B20,'Base de Datos'!$C$7:$N$4092,6,0))=TRUE,"Sin Celebrar",(VLOOKUP(B20,'Base de Datos'!$C$7:$N$4092,7,0)))</f>
        <v>30900000</v>
      </c>
      <c r="K20" s="573"/>
      <c r="L20" s="509" t="str">
        <f t="shared" si="3"/>
        <v xml:space="preserve"> </v>
      </c>
      <c r="M20" s="509"/>
      <c r="N20" s="509" t="str">
        <f t="shared" si="4"/>
        <v xml:space="preserve"> </v>
      </c>
      <c r="O20" s="691" t="str">
        <f>IF(ISERROR(VLOOKUP(B20,'Base de Datos'!$C$7:$K$1048576,7,0))=TRUE," ",(VLOOKUP(B20,'Base de Datos'!$C$7:$K$1048576,8,0)))</f>
        <v>150083-0-2015</v>
      </c>
      <c r="P20" s="524">
        <f>IF(ISERROR(VLOOKUP(B20,'Base de Datos'!$C$7:$N$4077,9,0))=TRUE," ",(VLOOKUP(B20,'Base de Datos'!$C$7:$N$4077,10,0)))</f>
        <v>42055</v>
      </c>
      <c r="Q20" s="506" t="s">
        <v>1850</v>
      </c>
      <c r="R20" s="524">
        <f>IF(ISERROR(VLOOKUP(B20,'Base de Datos'!$C$7:$N$4077,10,0))=TRUE," ",(VLOOKUP(B20,'Base de Datos'!$C$7:$N$4077,11,0)))</f>
        <v>42065</v>
      </c>
      <c r="S20" s="524">
        <f>IF(ISERROR(VLOOKUP(B20,'Base de Datos'!$C$7:$N$4077,11,0))=TRUE," ",(VLOOKUP(B20,'Base de Datos'!$C$7:$N$4077,12,0)))</f>
        <v>42431</v>
      </c>
      <c r="T20" s="506" t="str">
        <f>VLOOKUP(C20,'Base de Datos'!$E$7:$AU$382,39,0)</f>
        <v>LIQUIDADO</v>
      </c>
      <c r="U20" s="694"/>
      <c r="V20" s="607"/>
    </row>
    <row r="21" spans="2:22" ht="14.25" customHeight="1" outlineLevel="1" x14ac:dyDescent="0.3">
      <c r="B21" s="510">
        <v>133</v>
      </c>
      <c r="C21" s="506" t="str">
        <f>IF(ISERROR(VLOOKUP(B21,'Base de Datos'!$C$7:$F$4092,2,0))=TRUE,"",(VLOOKUP('Presupuesto - PAA 2015'!B21,'Base de Datos'!$C$7:$F$4092,3,0)))</f>
        <v>150076-0-2015</v>
      </c>
      <c r="D21" s="506" t="str">
        <f>IF(ISERROR(VLOOKUP(B21,'Base de Datos'!$C$7:$F$4092,3,0))=TRUE,"",(VLOOKUP('Presupuesto - PAA 2015'!B21,'Base de Datos'!$C$7:$F$4092,4,0)))</f>
        <v>JUDITH HERNÁNDEZ VILLALBA</v>
      </c>
      <c r="E21" s="509">
        <f>VLOOKUP(B21,'[6]Abr 24-2015'!$C$53:$AA$327,24,0)</f>
        <v>63654000</v>
      </c>
      <c r="F21" s="507" t="str">
        <f>VLOOKUP(B21,'Actualizada - presupuesto'!$D$7:$L$111,9,0)</f>
        <v>SI</v>
      </c>
      <c r="G21" s="507"/>
      <c r="H21" s="507"/>
      <c r="I21" s="507"/>
      <c r="J21" s="509">
        <f>IF(ISERROR(VLOOKUP(B21,'Base de Datos'!$C$7:$N$4092,6,0))=TRUE,"Sin Celebrar",(VLOOKUP(B21,'Base de Datos'!$C$7:$N$4092,7,0)))</f>
        <v>63654000</v>
      </c>
      <c r="K21" s="573"/>
      <c r="L21" s="509" t="str">
        <f t="shared" si="3"/>
        <v xml:space="preserve"> </v>
      </c>
      <c r="M21" s="509"/>
      <c r="N21" s="509" t="str">
        <f t="shared" si="4"/>
        <v xml:space="preserve"> </v>
      </c>
      <c r="O21" s="691" t="str">
        <f>IF(ISERROR(VLOOKUP(B21,'Base de Datos'!$C$7:$K$1048576,7,0))=TRUE," ",(VLOOKUP(B21,'Base de Datos'!$C$7:$K$1048576,8,0)))</f>
        <v>150076-0-2015</v>
      </c>
      <c r="P21" s="524">
        <f>IF(ISERROR(VLOOKUP(B21,'Base de Datos'!$C$7:$N$4077,9,0))=TRUE," ",(VLOOKUP(B21,'Base de Datos'!$C$7:$N$4077,10,0)))</f>
        <v>42053</v>
      </c>
      <c r="Q21" s="506" t="s">
        <v>1850</v>
      </c>
      <c r="R21" s="524">
        <f>IF(ISERROR(VLOOKUP(B21,'Base de Datos'!$C$7:$N$4077,10,0))=TRUE," ",(VLOOKUP(B21,'Base de Datos'!$C$7:$N$4077,11,0)))</f>
        <v>42054</v>
      </c>
      <c r="S21" s="524">
        <f>IF(ISERROR(VLOOKUP(B21,'Base de Datos'!$C$7:$N$4077,11,0))=TRUE," ",(VLOOKUP(B21,'Base de Datos'!$C$7:$N$4077,12,0)))</f>
        <v>42419</v>
      </c>
      <c r="T21" s="506" t="str">
        <f>VLOOKUP(C21,'Base de Datos'!$E$7:$AU$382,39,0)</f>
        <v>LIQUIDADO</v>
      </c>
      <c r="U21" s="694"/>
      <c r="V21" s="607"/>
    </row>
    <row r="22" spans="2:22" ht="14.25" customHeight="1" outlineLevel="1" x14ac:dyDescent="0.3">
      <c r="B22" s="510">
        <v>134</v>
      </c>
      <c r="C22" s="506" t="str">
        <f>IF(ISERROR(VLOOKUP(B22,'Base de Datos'!$C$7:$F$4092,2,0))=TRUE,"",(VLOOKUP('Presupuesto - PAA 2015'!B22,'Base de Datos'!$C$7:$F$4092,3,0)))</f>
        <v>150369-0-2015</v>
      </c>
      <c r="D22" s="506" t="str">
        <f>IF(ISERROR(VLOOKUP(B22,'Base de Datos'!$C$7:$F$4092,3,0))=TRUE,"",(VLOOKUP('Presupuesto - PAA 2015'!B22,'Base de Datos'!$C$7:$F$4092,4,0)))</f>
        <v>DANIEL JOSE MORALES VARGAS</v>
      </c>
      <c r="E22" s="509">
        <v>6660000</v>
      </c>
      <c r="F22" s="507">
        <f>VLOOKUP(B22,'Actualizada - presupuesto'!$D$7:$L$111,9,0)</f>
        <v>0</v>
      </c>
      <c r="G22" s="507"/>
      <c r="H22" s="507"/>
      <c r="I22" s="507"/>
      <c r="J22" s="509">
        <f>IF(ISERROR(VLOOKUP(B22,'Base de Datos'!$C$7:$N$4092,6,0))=TRUE,"Sin Celebrar",(VLOOKUP(B22,'Base de Datos'!$C$7:$N$4092,7,0)))</f>
        <v>6660000</v>
      </c>
      <c r="K22" s="573"/>
      <c r="L22" s="509" t="str">
        <f t="shared" si="3"/>
        <v xml:space="preserve"> </v>
      </c>
      <c r="M22" s="509"/>
      <c r="N22" s="509" t="str">
        <f t="shared" si="4"/>
        <v xml:space="preserve"> </v>
      </c>
      <c r="O22" s="691" t="str">
        <f>IF(ISERROR(VLOOKUP(B22,'Base de Datos'!$C$7:$K$1048576,7,0))=TRUE," ",(VLOOKUP(B22,'Base de Datos'!$C$7:$K$1048576,8,0)))</f>
        <v>150369-0-2015</v>
      </c>
      <c r="P22" s="524">
        <f>IF(ISERROR(VLOOKUP(B22,'Base de Datos'!$C$7:$N$4077,9,0))=TRUE," ",(VLOOKUP(B22,'Base de Datos'!$C$7:$N$4077,10,0)))</f>
        <v>42284</v>
      </c>
      <c r="Q22" s="506" t="s">
        <v>378</v>
      </c>
      <c r="R22" s="524">
        <f>IF(ISERROR(VLOOKUP(B22,'Base de Datos'!$C$7:$N$4077,10,0))=TRUE," ",(VLOOKUP(B22,'Base de Datos'!$C$7:$N$4077,11,0)))</f>
        <v>42303</v>
      </c>
      <c r="S22" s="524">
        <f>IF(ISERROR(VLOOKUP(B22,'Base de Datos'!$C$7:$N$4077,11,0))=TRUE," ",(VLOOKUP(B22,'Base de Datos'!$C$7:$N$4077,12,0)))</f>
        <v>42364</v>
      </c>
      <c r="T22" s="506" t="str">
        <f>VLOOKUP(C22,'Base de Datos'!$E$7:$AU$382,39,0)</f>
        <v>LIQUIDADO</v>
      </c>
      <c r="U22" s="694"/>
      <c r="V22" s="607"/>
    </row>
    <row r="23" spans="2:22" ht="27" customHeight="1" outlineLevel="1" x14ac:dyDescent="0.3">
      <c r="B23" s="510">
        <v>135</v>
      </c>
      <c r="C23" s="506" t="str">
        <f>IF(ISERROR(VLOOKUP(B23,'Base de Datos'!$C$7:$F$4092,2,0))=TRUE,"",(VLOOKUP('Presupuesto - PAA 2015'!B23,'Base de Datos'!$C$7:$F$4092,3,0)))</f>
        <v>150028-0-2015</v>
      </c>
      <c r="D23" s="506" t="str">
        <f>IF(ISERROR(VLOOKUP(B23,'Base de Datos'!$C$7:$F$4092,3,0))=TRUE,"",(VLOOKUP('Presupuesto - PAA 2015'!B23,'Base de Datos'!$C$7:$F$4092,4,0)))</f>
        <v>RICARDO ROJAS SANABRIA (Cesionario) / Antes: NAYIVE CARRASCO PATIÑO</v>
      </c>
      <c r="E23" s="509">
        <f>VLOOKUP(B23,'[6]Abr 24-2015'!$C$53:$AA$327,24,0)</f>
        <v>84000000</v>
      </c>
      <c r="F23" s="507" t="str">
        <f>VLOOKUP(B23,'Actualizada - presupuesto'!$D$7:$L$111,9,0)</f>
        <v>SI</v>
      </c>
      <c r="G23" s="507"/>
      <c r="H23" s="507"/>
      <c r="I23" s="507"/>
      <c r="J23" s="509">
        <f>IF(ISERROR(VLOOKUP(B23,'Base de Datos'!$C$7:$N$4092,6,0))=TRUE,"Sin Celebrar",(VLOOKUP(B23,'Base de Datos'!$C$7:$N$4092,7,0)))</f>
        <v>84000000</v>
      </c>
      <c r="K23" s="573"/>
      <c r="L23" s="509" t="str">
        <f t="shared" si="3"/>
        <v xml:space="preserve"> </v>
      </c>
      <c r="M23" s="509"/>
      <c r="N23" s="509" t="str">
        <f t="shared" si="4"/>
        <v xml:space="preserve"> </v>
      </c>
      <c r="O23" s="691" t="str">
        <f>IF(ISERROR(VLOOKUP(B23,'Base de Datos'!$C$7:$K$1048576,7,0))=TRUE," ",(VLOOKUP(B23,'Base de Datos'!$C$7:$K$1048576,8,0)))</f>
        <v>150028-0-2015</v>
      </c>
      <c r="P23" s="524">
        <f>IF(ISERROR(VLOOKUP(B23,'Base de Datos'!$C$7:$N$4077,9,0))=TRUE," ",(VLOOKUP(B23,'Base de Datos'!$C$7:$N$4077,10,0)))</f>
        <v>42027</v>
      </c>
      <c r="Q23" s="506" t="s">
        <v>1850</v>
      </c>
      <c r="R23" s="524">
        <f>IF(ISERROR(VLOOKUP(B23,'Base de Datos'!$C$7:$N$4077,10,0))=TRUE," ",(VLOOKUP(B23,'Base de Datos'!$C$7:$N$4077,11,0)))</f>
        <v>42031</v>
      </c>
      <c r="S23" s="524">
        <f>IF(ISERROR(VLOOKUP(B23,'Base de Datos'!$C$7:$N$4077,11,0))=TRUE," ",(VLOOKUP(B23,'Base de Datos'!$C$7:$N$4077,12,0)))</f>
        <v>42396</v>
      </c>
      <c r="T23" s="506" t="str">
        <f>VLOOKUP(C23,'Base de Datos'!$E$7:$AU$382,39,0)</f>
        <v>LIQUIDADO</v>
      </c>
      <c r="U23" s="694"/>
      <c r="V23" s="607"/>
    </row>
    <row r="24" spans="2:22" ht="14.25" customHeight="1" outlineLevel="1" x14ac:dyDescent="0.3">
      <c r="B24" s="510">
        <v>136</v>
      </c>
      <c r="C24" s="506" t="str">
        <f>IF(ISERROR(VLOOKUP(B24,'Base de Datos'!$C$7:$F$4092,2,0))=TRUE,"",(VLOOKUP('Presupuesto - PAA 2015'!B24,'Base de Datos'!$C$7:$F$4092,3,0)))</f>
        <v>150080-0-2015</v>
      </c>
      <c r="D24" s="506" t="str">
        <f>IF(ISERROR(VLOOKUP(B24,'Base de Datos'!$C$7:$F$4092,3,0))=TRUE,"",(VLOOKUP('Presupuesto - PAA 2015'!B24,'Base de Datos'!$C$7:$F$4092,4,0)))</f>
        <v>LIZETH  GONZÁLEZ VARGAS</v>
      </c>
      <c r="E24" s="509">
        <f>VLOOKUP(B24,'[6]Abr 24-2015'!$C$53:$AA$327,24,0)</f>
        <v>43260000</v>
      </c>
      <c r="F24" s="507" t="str">
        <f>VLOOKUP(B24,'Actualizada - presupuesto'!$D$7:$L$111,9,0)</f>
        <v>SI</v>
      </c>
      <c r="G24" s="507"/>
      <c r="H24" s="507"/>
      <c r="I24" s="507"/>
      <c r="J24" s="509">
        <f>IF(ISERROR(VLOOKUP(B24,'Base de Datos'!$C$7:$N$4092,6,0))=TRUE,"Sin Celebrar",(VLOOKUP(B24,'Base de Datos'!$C$7:$N$4092,7,0)))</f>
        <v>43260000</v>
      </c>
      <c r="K24" s="573"/>
      <c r="L24" s="509" t="str">
        <f t="shared" si="3"/>
        <v xml:space="preserve"> </v>
      </c>
      <c r="M24" s="509"/>
      <c r="N24" s="509" t="str">
        <f t="shared" si="4"/>
        <v xml:space="preserve"> </v>
      </c>
      <c r="O24" s="691" t="str">
        <f>IF(ISERROR(VLOOKUP(B24,'Base de Datos'!$C$7:$K$1048576,7,0))=TRUE," ",(VLOOKUP(B24,'Base de Datos'!$C$7:$K$1048576,8,0)))</f>
        <v>150080-0-2015</v>
      </c>
      <c r="P24" s="524">
        <f>IF(ISERROR(VLOOKUP(B24,'Base de Datos'!$C$7:$N$4077,9,0))=TRUE," ",(VLOOKUP(B24,'Base de Datos'!$C$7:$N$4077,10,0)))</f>
        <v>42054</v>
      </c>
      <c r="Q24" s="506" t="s">
        <v>1850</v>
      </c>
      <c r="R24" s="524">
        <f>IF(ISERROR(VLOOKUP(B24,'Base de Datos'!$C$7:$N$4077,10,0))=TRUE," ",(VLOOKUP(B24,'Base de Datos'!$C$7:$N$4077,11,0)))</f>
        <v>42060</v>
      </c>
      <c r="S24" s="524">
        <f>IF(ISERROR(VLOOKUP(B24,'Base de Datos'!$C$7:$N$4077,11,0))=TRUE," ",(VLOOKUP(B24,'Base de Datos'!$C$7:$N$4077,12,0)))</f>
        <v>42425</v>
      </c>
      <c r="T24" s="506" t="str">
        <f>VLOOKUP(C24,'Base de Datos'!$E$7:$AU$382,39,0)</f>
        <v>LIQUIDADO</v>
      </c>
      <c r="U24" s="694"/>
      <c r="V24" s="607"/>
    </row>
    <row r="25" spans="2:22" ht="22.8" outlineLevel="1" x14ac:dyDescent="0.3">
      <c r="B25" s="525">
        <v>137</v>
      </c>
      <c r="C25" s="506" t="str">
        <f>IF(ISERROR(VLOOKUP(B25,'Base de Datos'!$C$7:$F$4092,2,0))=TRUE,"",(VLOOKUP('Presupuesto - PAA 2015'!B25,'Base de Datos'!$C$7:$F$4092,3,0)))</f>
        <v>150053-0-2015</v>
      </c>
      <c r="D25" s="506" t="str">
        <f>IF(ISERROR(VLOOKUP(B25,'Base de Datos'!$C$7:$F$4092,3,0))=TRUE,"",(VLOOKUP('Presupuesto - PAA 2015'!B25,'Base de Datos'!$C$7:$F$4092,4,0)))</f>
        <v xml:space="preserve">ADRIANA MARGARITA PAYARES (Cesionaria) / Antes: JEAN PAUL RUBIO MARTIN </v>
      </c>
      <c r="E25" s="527">
        <f>VLOOKUP(B25,'[6]Abr 24-2015'!$C$53:$AA$327,24,0)</f>
        <v>63654000</v>
      </c>
      <c r="F25" s="507" t="str">
        <f>VLOOKUP(B25,'Actualizada - presupuesto'!$D$7:$L$111,9,0)</f>
        <v>SI</v>
      </c>
      <c r="G25" s="528"/>
      <c r="H25" s="528"/>
      <c r="I25" s="528"/>
      <c r="J25" s="509">
        <f>IF(ISERROR(VLOOKUP(B25,'Base de Datos'!$C$7:$N$4092,6,0))=TRUE,"Sin Celebrar",(VLOOKUP(B25,'Base de Datos'!$C$7:$N$4092,7,0)))</f>
        <v>63654000</v>
      </c>
      <c r="K25" s="577"/>
      <c r="L25" s="509" t="str">
        <f t="shared" si="3"/>
        <v xml:space="preserve"> </v>
      </c>
      <c r="M25" s="527"/>
      <c r="N25" s="509" t="str">
        <f t="shared" si="4"/>
        <v xml:space="preserve"> </v>
      </c>
      <c r="O25" s="691" t="str">
        <f>IF(ISERROR(VLOOKUP(B25,'Base de Datos'!$C$7:$K$1048576,7,0))=TRUE," ",(VLOOKUP(B25,'Base de Datos'!$C$7:$K$1048576,8,0)))</f>
        <v>150053-0-2015</v>
      </c>
      <c r="P25" s="524">
        <f>IF(ISERROR(VLOOKUP(B25,'Base de Datos'!$C$7:$N$4077,9,0))=TRUE," ",(VLOOKUP(B25,'Base de Datos'!$C$7:$N$4077,10,0)))</f>
        <v>42044</v>
      </c>
      <c r="Q25" s="526" t="s">
        <v>1850</v>
      </c>
      <c r="R25" s="524">
        <f>IF(ISERROR(VLOOKUP(B25,'Base de Datos'!$C$7:$N$4077,10,0))=TRUE," ",(VLOOKUP(B25,'Base de Datos'!$C$7:$N$4077,11,0)))</f>
        <v>42045</v>
      </c>
      <c r="S25" s="524">
        <f>IF(ISERROR(VLOOKUP(B25,'Base de Datos'!$C$7:$N$4077,11,0))=TRUE," ",(VLOOKUP(B25,'Base de Datos'!$C$7:$N$4077,12,0)))</f>
        <v>42379</v>
      </c>
      <c r="T25" s="506" t="str">
        <f>VLOOKUP(C25,'Base de Datos'!$E$7:$AU$382,39,0)</f>
        <v>LIQUIDADO</v>
      </c>
      <c r="U25" s="694"/>
      <c r="V25" s="607"/>
    </row>
    <row r="26" spans="2:22" outlineLevel="1" x14ac:dyDescent="0.3">
      <c r="B26" s="525">
        <v>319</v>
      </c>
      <c r="C26" s="506" t="str">
        <f>IF(ISERROR(VLOOKUP(B26,'Base de Datos'!$C$7:$F$4092,2,0))=TRUE,"",(VLOOKUP('Presupuesto - PAA 2015'!B26,'Base de Datos'!$C$7:$F$4092,3,0)))</f>
        <v>150281-0-2015</v>
      </c>
      <c r="D26" s="506" t="str">
        <f>IF(ISERROR(VLOOKUP(B26,'Base de Datos'!$C$7:$F$4092,3,0))=TRUE,"",(VLOOKUP('Presupuesto - PAA 2015'!B26,'Base de Datos'!$C$7:$F$4092,4,0)))</f>
        <v>HUGO FERNANDO LONDOÑO ULLOA</v>
      </c>
      <c r="E26" s="527">
        <v>31800000</v>
      </c>
      <c r="F26" s="507" t="s">
        <v>390</v>
      </c>
      <c r="G26" s="528"/>
      <c r="H26" s="528"/>
      <c r="I26" s="528"/>
      <c r="J26" s="509">
        <f>IF(ISERROR(VLOOKUP(B26,'Base de Datos'!$C$7:$N$4092,6,0))=TRUE,"Sin Celebrar",(VLOOKUP(B26,'Base de Datos'!$C$7:$N$4092,7,0)))</f>
        <v>31800000</v>
      </c>
      <c r="K26" s="577"/>
      <c r="L26" s="509" t="str">
        <f t="shared" si="3"/>
        <v xml:space="preserve"> </v>
      </c>
      <c r="M26" s="527"/>
      <c r="N26" s="509" t="str">
        <f t="shared" si="4"/>
        <v xml:space="preserve"> </v>
      </c>
      <c r="O26" s="691" t="s">
        <v>2047</v>
      </c>
      <c r="P26" s="524">
        <f>IF(ISERROR(VLOOKUP(B26,'Base de Datos'!$C$7:$N$4077,9,0))=TRUE," ",(VLOOKUP(B26,'Base de Datos'!$C$7:$N$4077,10,0)))</f>
        <v>42179</v>
      </c>
      <c r="Q26" s="526" t="s">
        <v>382</v>
      </c>
      <c r="R26" s="524">
        <f>IF(ISERROR(VLOOKUP(B26,'Base de Datos'!$C$7:$N$4077,10,0))=TRUE," ",(VLOOKUP(B26,'Base de Datos'!$C$7:$N$4077,11,0)))</f>
        <v>42186</v>
      </c>
      <c r="S26" s="524">
        <f>IF(ISERROR(VLOOKUP(B26,'Base de Datos'!$C$7:$N$4077,11,0))=TRUE," ",(VLOOKUP(B26,'Base de Datos'!$C$7:$N$4077,12,0)))</f>
        <v>42370</v>
      </c>
      <c r="T26" s="506" t="str">
        <f>VLOOKUP(C26,'Base de Datos'!$E$7:$AU$382,39,0)</f>
        <v>LIQUIDADO</v>
      </c>
      <c r="U26" s="694"/>
      <c r="V26" s="607"/>
    </row>
    <row r="27" spans="2:22" outlineLevel="1" x14ac:dyDescent="0.3">
      <c r="B27" s="525">
        <v>320</v>
      </c>
      <c r="C27" s="506" t="str">
        <f>IF(ISERROR(VLOOKUP(B27,'Base de Datos'!$C$7:$F$4092,2,0))=TRUE,"",(VLOOKUP('Presupuesto - PAA 2015'!B27,'Base de Datos'!$C$7:$F$4092,3,0)))</f>
        <v>150276-0-2015</v>
      </c>
      <c r="D27" s="506" t="str">
        <f>IF(ISERROR(VLOOKUP(B27,'Base de Datos'!$C$7:$F$4092,3,0))=TRUE,"",(VLOOKUP('Presupuesto - PAA 2015'!B27,'Base de Datos'!$C$7:$F$4092,4,0)))</f>
        <v>JAVIER IGNACIO JATIVA GARCIA</v>
      </c>
      <c r="E27" s="509">
        <v>21600000</v>
      </c>
      <c r="F27" s="507" t="s">
        <v>390</v>
      </c>
      <c r="G27" s="528"/>
      <c r="H27" s="528"/>
      <c r="I27" s="528"/>
      <c r="J27" s="509">
        <f>IF(ISERROR(VLOOKUP(B27,'Base de Datos'!$C$7:$N$4092,6,0))=TRUE,"Sin Celebrar",(VLOOKUP(B27,'Base de Datos'!$C$7:$N$4092,7,0)))</f>
        <v>21600000</v>
      </c>
      <c r="K27" s="577"/>
      <c r="L27" s="509" t="str">
        <f t="shared" si="3"/>
        <v xml:space="preserve"> </v>
      </c>
      <c r="M27" s="527"/>
      <c r="N27" s="509" t="str">
        <f t="shared" si="4"/>
        <v xml:space="preserve"> </v>
      </c>
      <c r="O27" s="691" t="s">
        <v>2029</v>
      </c>
      <c r="P27" s="524">
        <f>IF(ISERROR(VLOOKUP(B27,'Base de Datos'!$C$7:$N$4077,9,0))=TRUE," ",(VLOOKUP(B27,'Base de Datos'!$C$7:$N$4077,10,0)))</f>
        <v>42179</v>
      </c>
      <c r="Q27" s="526" t="s">
        <v>382</v>
      </c>
      <c r="R27" s="524">
        <f>IF(ISERROR(VLOOKUP(B27,'Base de Datos'!$C$7:$N$4077,10,0))=TRUE," ",(VLOOKUP(B27,'Base de Datos'!$C$7:$N$4077,11,0)))</f>
        <v>42186</v>
      </c>
      <c r="S27" s="524">
        <f>IF(ISERROR(VLOOKUP(B27,'Base de Datos'!$C$7:$N$4077,11,0))=TRUE," ",(VLOOKUP(B27,'Base de Datos'!$C$7:$N$4077,12,0)))</f>
        <v>42370</v>
      </c>
      <c r="T27" s="506" t="str">
        <f>VLOOKUP(C27,'Base de Datos'!$E$7:$AU$382,39,0)</f>
        <v>LIQUIDADO</v>
      </c>
      <c r="U27" s="694"/>
      <c r="V27" s="607"/>
    </row>
    <row r="28" spans="2:22" outlineLevel="1" x14ac:dyDescent="0.3">
      <c r="B28" s="525">
        <v>324</v>
      </c>
      <c r="C28" s="506" t="str">
        <f>IF(ISERROR(VLOOKUP(B28,'Base de Datos'!$C$7:$F$4092,2,0))=TRUE,"",(VLOOKUP('Presupuesto - PAA 2015'!B28,'Base de Datos'!$C$7:$F$4092,3,0)))</f>
        <v>150286-0-2015</v>
      </c>
      <c r="D28" s="506" t="str">
        <f>IF(ISERROR(VLOOKUP(B28,'Base de Datos'!$C$7:$F$4092,3,0))=TRUE,"",(VLOOKUP('Presupuesto - PAA 2015'!B28,'Base de Datos'!$C$7:$F$4092,4,0)))</f>
        <v>CLAUDIA ELVIRA RODRIGUEZ POVEDA</v>
      </c>
      <c r="E28" s="509">
        <v>31800000</v>
      </c>
      <c r="F28" s="507" t="s">
        <v>390</v>
      </c>
      <c r="G28" s="528"/>
      <c r="H28" s="528"/>
      <c r="I28" s="528"/>
      <c r="J28" s="509">
        <f>IF(ISERROR(VLOOKUP(B28,'Base de Datos'!$C$7:$N$4092,6,0))=TRUE,"Sin Celebrar",(VLOOKUP(B28,'Base de Datos'!$C$7:$N$4092,7,0)))</f>
        <v>31800000</v>
      </c>
      <c r="K28" s="577"/>
      <c r="L28" s="509" t="str">
        <f t="shared" si="3"/>
        <v xml:space="preserve"> </v>
      </c>
      <c r="M28" s="527"/>
      <c r="N28" s="509" t="str">
        <f t="shared" si="4"/>
        <v xml:space="preserve"> </v>
      </c>
      <c r="O28" s="691" t="s">
        <v>2042</v>
      </c>
      <c r="P28" s="524">
        <f>IF(ISERROR(VLOOKUP(B28,'Base de Datos'!$C$7:$N$4077,9,0))=TRUE," ",(VLOOKUP(B28,'Base de Datos'!$C$7:$N$4077,10,0)))</f>
        <v>42179</v>
      </c>
      <c r="Q28" s="526" t="s">
        <v>382</v>
      </c>
      <c r="R28" s="524">
        <f>IF(ISERROR(VLOOKUP(B28,'Base de Datos'!$C$7:$N$4077,10,0))=TRUE," ",(VLOOKUP(B28,'Base de Datos'!$C$7:$N$4077,11,0)))</f>
        <v>42186</v>
      </c>
      <c r="S28" s="524">
        <f>IF(ISERROR(VLOOKUP(B28,'Base de Datos'!$C$7:$N$4077,11,0))=TRUE," ",(VLOOKUP(B28,'Base de Datos'!$C$7:$N$4077,12,0)))</f>
        <v>42370</v>
      </c>
      <c r="T28" s="506" t="str">
        <f>VLOOKUP(C28,'Base de Datos'!$E$7:$AU$382,39,0)</f>
        <v>LIQUIDADO</v>
      </c>
      <c r="U28" s="694"/>
      <c r="V28" s="607"/>
    </row>
    <row r="29" spans="2:22" outlineLevel="1" x14ac:dyDescent="0.3">
      <c r="B29" s="525">
        <v>366</v>
      </c>
      <c r="C29" s="506" t="str">
        <f>IF(ISERROR(VLOOKUP(B29,'Base de Datos'!$C$7:$F$4092,2,0))=TRUE,"",(VLOOKUP('Presupuesto - PAA 2015'!B29,'Base de Datos'!$C$7:$F$4092,3,0)))</f>
        <v>150398-0-2015</v>
      </c>
      <c r="D29" s="506" t="str">
        <f>IF(ISERROR(VLOOKUP(B29,'Base de Datos'!$C$7:$F$4092,3,0))=TRUE,"",(VLOOKUP('Presupuesto - PAA 2015'!B29,'Base de Datos'!$C$7:$F$4092,4,0)))</f>
        <v>MARLON ENRIQUE MIRANDA TRUJILLO</v>
      </c>
      <c r="E29" s="509">
        <v>27500000</v>
      </c>
      <c r="F29" s="507" t="s">
        <v>390</v>
      </c>
      <c r="G29" s="528"/>
      <c r="H29" s="528"/>
      <c r="I29" s="528"/>
      <c r="J29" s="509">
        <f>IF(ISERROR(VLOOKUP(B29,'Base de Datos'!$C$7:$N$4092,6,0))=TRUE,"Sin Celebrar",(VLOOKUP(B29,'Base de Datos'!$C$7:$N$4092,7,0)))</f>
        <v>27500000</v>
      </c>
      <c r="K29" s="577"/>
      <c r="L29" s="509" t="str">
        <f>IF(J29=$AA$1,E29, " ")</f>
        <v xml:space="preserve"> </v>
      </c>
      <c r="M29" s="527"/>
      <c r="N29" s="509" t="str">
        <f>IF(J29&lt;E29,(E29-J29)," ")</f>
        <v xml:space="preserve"> </v>
      </c>
      <c r="O29" s="691" t="s">
        <v>2344</v>
      </c>
      <c r="P29" s="524">
        <f>IF(ISERROR(VLOOKUP(B29,'Base de Datos'!$C$7:$N$4077,9,0))=TRUE," ",(VLOOKUP(B29,'Base de Datos'!$C$7:$N$4077,10,0)))</f>
        <v>42342</v>
      </c>
      <c r="Q29" s="526" t="s">
        <v>544</v>
      </c>
      <c r="R29" s="524">
        <f>IF(ISERROR(VLOOKUP(B29,'Base de Datos'!$C$7:$N$4077,10,0))=TRUE," ",(VLOOKUP(B29,'Base de Datos'!$C$7:$N$4077,11,0)))</f>
        <v>42349</v>
      </c>
      <c r="S29" s="524">
        <f>IF(ISERROR(VLOOKUP(B29,'Base de Datos'!$C$7:$N$4077,11,0))=TRUE," ",(VLOOKUP(B29,'Base de Datos'!$C$7:$N$4077,12,0)))</f>
        <v>42501</v>
      </c>
      <c r="T29" s="506"/>
      <c r="U29" s="694"/>
      <c r="V29" s="607"/>
    </row>
    <row r="30" spans="2:22" outlineLevel="1" x14ac:dyDescent="0.3">
      <c r="B30" s="525"/>
      <c r="C30" s="526"/>
      <c r="D30" s="506" t="s">
        <v>1934</v>
      </c>
      <c r="E30" s="509">
        <f>+E8-SUM(E10:E29)</f>
        <v>3249028</v>
      </c>
      <c r="F30" s="507"/>
      <c r="G30" s="528"/>
      <c r="H30" s="528"/>
      <c r="I30" s="528"/>
      <c r="J30" s="509"/>
      <c r="K30" s="577"/>
      <c r="L30" s="509" t="str">
        <f t="shared" si="3"/>
        <v xml:space="preserve"> </v>
      </c>
      <c r="M30" s="527"/>
      <c r="N30" s="509">
        <f t="shared" si="4"/>
        <v>3249028</v>
      </c>
      <c r="O30" s="652"/>
      <c r="P30" s="524" t="str">
        <f>IF(ISERROR(VLOOKUP(B30,'Base de Datos'!$C$7:$N$315,9,0))=TRUE," ",(VLOOKUP(B30,'Base de Datos'!$C$7:$N$315,9,0)))</f>
        <v xml:space="preserve"> </v>
      </c>
      <c r="Q30" s="526"/>
      <c r="R30" s="524" t="str">
        <f>IF(ISERROR(VLOOKUP(B30,'Base de Datos'!$C$7:$N$315,10,0))=TRUE," ",(VLOOKUP(B30,'Base de Datos'!$C$7:$N$315,10,0)))</f>
        <v xml:space="preserve"> </v>
      </c>
      <c r="S30" s="524" t="str">
        <f>IF(ISERROR(VLOOKUP(B30,'Base de Datos'!$C$7:$N$315,11,0))=TRUE," ",(VLOOKUP(B30,'Base de Datos'!$C$7:$N$315,11,0)))</f>
        <v xml:space="preserve"> </v>
      </c>
      <c r="T30" s="506"/>
      <c r="U30" s="694"/>
      <c r="V30" s="607"/>
    </row>
    <row r="31" spans="2:22" ht="12" outlineLevel="1" thickBot="1" x14ac:dyDescent="0.35">
      <c r="B31" s="525"/>
      <c r="C31" s="526"/>
      <c r="D31" s="526"/>
      <c r="E31" s="527"/>
      <c r="F31" s="528"/>
      <c r="G31" s="528"/>
      <c r="H31" s="528"/>
      <c r="I31" s="528"/>
      <c r="J31" s="509"/>
      <c r="K31" s="577"/>
      <c r="L31" s="527" t="str">
        <f t="shared" si="3"/>
        <v xml:space="preserve"> </v>
      </c>
      <c r="M31" s="527"/>
      <c r="N31" s="527" t="str">
        <f t="shared" si="4"/>
        <v xml:space="preserve"> </v>
      </c>
      <c r="O31" s="652"/>
      <c r="P31" s="529" t="str">
        <f>IF(ISERROR(VLOOKUP(B31,'Base de Datos'!$C$7:$N$315,9,0))=TRUE," ",(VLOOKUP(B31,'Base de Datos'!$C$7:$N$315,9,0)))</f>
        <v xml:space="preserve"> </v>
      </c>
      <c r="Q31" s="526"/>
      <c r="R31" s="529" t="str">
        <f>IF(ISERROR(VLOOKUP(B31,'Base de Datos'!$C$7:$N$315,10,0))=TRUE," ",(VLOOKUP(B31,'Base de Datos'!$C$7:$N$315,10,0)))</f>
        <v xml:space="preserve"> </v>
      </c>
      <c r="S31" s="529" t="str">
        <f>IF(ISERROR(VLOOKUP(B31,'Base de Datos'!$C$7:$N$315,11,0))=TRUE," ",(VLOOKUP(B31,'Base de Datos'!$C$7:$N$315,11,0)))</f>
        <v xml:space="preserve"> </v>
      </c>
      <c r="T31" s="526"/>
      <c r="U31" s="694"/>
      <c r="V31" s="607"/>
    </row>
    <row r="32" spans="2:22" ht="12" outlineLevel="1" x14ac:dyDescent="0.3">
      <c r="B32" s="1249"/>
      <c r="C32" s="1250"/>
      <c r="D32" s="1250"/>
      <c r="E32" s="532"/>
      <c r="F32" s="532"/>
      <c r="G32" s="532"/>
      <c r="H32" s="532"/>
      <c r="I32" s="532"/>
      <c r="J32" s="532"/>
      <c r="K32" s="578"/>
      <c r="L32" s="532"/>
      <c r="M32" s="532"/>
      <c r="N32" s="532"/>
      <c r="O32" s="653"/>
      <c r="P32" s="533"/>
      <c r="Q32" s="534"/>
      <c r="R32" s="533"/>
      <c r="S32" s="533"/>
      <c r="T32" s="535"/>
      <c r="U32" s="694"/>
      <c r="V32" s="607"/>
    </row>
    <row r="33" spans="2:22" ht="12.6" outlineLevel="1" thickBot="1" x14ac:dyDescent="0.35">
      <c r="B33" s="1251"/>
      <c r="C33" s="1252"/>
      <c r="D33" s="1252"/>
      <c r="E33" s="536"/>
      <c r="F33" s="552"/>
      <c r="G33" s="552"/>
      <c r="H33" s="552"/>
      <c r="I33" s="552"/>
      <c r="J33" s="536"/>
      <c r="K33" s="579"/>
      <c r="L33" s="536"/>
      <c r="M33" s="536"/>
      <c r="N33" s="536"/>
      <c r="O33" s="654"/>
      <c r="P33" s="537"/>
      <c r="Q33" s="538"/>
      <c r="R33" s="537"/>
      <c r="S33" s="537"/>
      <c r="T33" s="539"/>
      <c r="U33" s="694"/>
      <c r="V33" s="607"/>
    </row>
    <row r="34" spans="2:22" ht="15" customHeight="1" x14ac:dyDescent="0.3">
      <c r="B34" s="1253" t="s">
        <v>1643</v>
      </c>
      <c r="C34" s="1253"/>
      <c r="D34" s="1253"/>
      <c r="E34" s="560">
        <v>12705000000</v>
      </c>
      <c r="F34" s="561">
        <f>COUNTIF('Actualizada - presupuesto'!$E$7:$E$111,B34)</f>
        <v>0</v>
      </c>
      <c r="G34" s="561"/>
      <c r="H34" s="561"/>
      <c r="I34" s="554">
        <v>12745000000</v>
      </c>
      <c r="J34" s="560">
        <f>+J35</f>
        <v>10479835080</v>
      </c>
      <c r="K34" s="580">
        <f>J35/I34</f>
        <v>0.82227030835621817</v>
      </c>
      <c r="L34" s="560">
        <f>E34-J34</f>
        <v>2225164920</v>
      </c>
      <c r="M34" s="605">
        <f>+E34-(J34+L34)</f>
        <v>0</v>
      </c>
      <c r="N34" s="560">
        <f>+E34-J34-L34</f>
        <v>0</v>
      </c>
      <c r="O34" s="655"/>
      <c r="P34" s="562" t="str">
        <f>IF(ISERROR(VLOOKUP(B34,'Base de Datos'!$C$7:$N$315,8,0))=TRUE," ",(VLOOKUP(B34,'Base de Datos'!$C$7:$N$315,8,0)))</f>
        <v xml:space="preserve"> </v>
      </c>
      <c r="Q34" s="563"/>
      <c r="R34" s="562" t="str">
        <f>IF(ISERROR(VLOOKUP(B34,'Base de Datos'!$C$7:$N$315,9,0))=TRUE," ",(VLOOKUP(B34,'Base de Datos'!$C$7:$N$315,9,0)))</f>
        <v xml:space="preserve"> </v>
      </c>
      <c r="S34" s="562" t="str">
        <f>IF(ISERROR(VLOOKUP(B34,'Base de Datos'!$C$7:$N$315,10,0))=TRUE," ",(VLOOKUP(B34,'Base de Datos'!$C$7:$N$315,10,0)))</f>
        <v xml:space="preserve"> </v>
      </c>
      <c r="T34" s="686"/>
      <c r="U34" s="694"/>
      <c r="V34" s="607"/>
    </row>
    <row r="35" spans="2:22" s="571" customFormat="1" ht="15" customHeight="1" outlineLevel="1" x14ac:dyDescent="0.3">
      <c r="B35" s="566"/>
      <c r="C35" s="566"/>
      <c r="D35" s="703" t="s">
        <v>2262</v>
      </c>
      <c r="E35" s="567"/>
      <c r="F35" s="568"/>
      <c r="G35" s="568"/>
      <c r="H35" s="568"/>
      <c r="I35" s="568"/>
      <c r="J35" s="553">
        <v>10479835080</v>
      </c>
      <c r="K35" s="581"/>
      <c r="L35" s="567"/>
      <c r="M35" s="567"/>
      <c r="N35" s="567"/>
      <c r="O35" s="656"/>
      <c r="P35" s="569"/>
      <c r="Q35" s="570"/>
      <c r="R35" s="569"/>
      <c r="S35" s="569"/>
      <c r="T35" s="687"/>
      <c r="U35" s="694"/>
      <c r="V35" s="607"/>
    </row>
    <row r="36" spans="2:22" s="571" customFormat="1" ht="15" customHeight="1" outlineLevel="1" x14ac:dyDescent="0.3">
      <c r="B36" s="566"/>
      <c r="C36" s="566"/>
      <c r="D36" s="566"/>
      <c r="E36" s="567"/>
      <c r="F36" s="568"/>
      <c r="G36" s="568"/>
      <c r="H36" s="568"/>
      <c r="I36" s="568"/>
      <c r="J36" s="567"/>
      <c r="K36" s="581"/>
      <c r="L36" s="567"/>
      <c r="M36" s="567"/>
      <c r="N36" s="567"/>
      <c r="O36" s="656"/>
      <c r="P36" s="569"/>
      <c r="Q36" s="570"/>
      <c r="R36" s="569"/>
      <c r="S36" s="569"/>
      <c r="T36" s="687"/>
      <c r="U36" s="694"/>
      <c r="V36" s="607"/>
    </row>
    <row r="37" spans="2:22" ht="15" customHeight="1" x14ac:dyDescent="0.3">
      <c r="B37" s="1239" t="s">
        <v>1644</v>
      </c>
      <c r="C37" s="1239"/>
      <c r="D37" s="1239"/>
      <c r="E37" s="554">
        <v>93600000</v>
      </c>
      <c r="F37" s="559">
        <v>3</v>
      </c>
      <c r="G37" s="559"/>
      <c r="H37" s="559"/>
      <c r="I37" s="559"/>
      <c r="J37" s="554">
        <f>SUM(J39:J47)</f>
        <v>93600000</v>
      </c>
      <c r="K37" s="576">
        <f>J37/E37</f>
        <v>1</v>
      </c>
      <c r="L37" s="554">
        <f>SUM(L39:L47)</f>
        <v>0</v>
      </c>
      <c r="M37" s="605">
        <v>0</v>
      </c>
      <c r="N37" s="554">
        <f>+E37-J37-L37</f>
        <v>0</v>
      </c>
      <c r="O37" s="657"/>
      <c r="P37" s="564" t="str">
        <f>IF(ISERROR(VLOOKUP(B37,'Base de Datos'!$C$7:$N$315,8,0))=TRUE," ",(VLOOKUP(B37,'Base de Datos'!$C$7:$N$315,8,0)))</f>
        <v xml:space="preserve"> </v>
      </c>
      <c r="Q37" s="565"/>
      <c r="R37" s="564" t="str">
        <f>IF(ISERROR(VLOOKUP(B37,'Base de Datos'!$C$7:$N$315,9,0))=TRUE," ",(VLOOKUP(B37,'Base de Datos'!$C$7:$N$315,9,0)))</f>
        <v xml:space="preserve"> </v>
      </c>
      <c r="S37" s="564" t="str">
        <f>IF(ISERROR(VLOOKUP(B37,'Base de Datos'!$C$7:$N$315,10,0))=TRUE," ",(VLOOKUP(B37,'Base de Datos'!$C$7:$N$315,10,0)))</f>
        <v xml:space="preserve"> </v>
      </c>
      <c r="T37" s="565"/>
      <c r="U37" s="694"/>
      <c r="V37" s="607"/>
    </row>
    <row r="38" spans="2:22" ht="22.8" outlineLevel="1" x14ac:dyDescent="0.3">
      <c r="B38" s="510" t="s">
        <v>1692</v>
      </c>
      <c r="C38" s="510" t="s">
        <v>912</v>
      </c>
      <c r="D38" s="510" t="s">
        <v>1821</v>
      </c>
      <c r="E38" s="518" t="s">
        <v>1845</v>
      </c>
      <c r="F38" s="507" t="s">
        <v>1852</v>
      </c>
      <c r="G38" s="507"/>
      <c r="H38" s="507"/>
      <c r="I38" s="507"/>
      <c r="J38" s="510" t="s">
        <v>1844</v>
      </c>
      <c r="K38" s="625"/>
      <c r="L38" s="510" t="s">
        <v>1938</v>
      </c>
      <c r="M38" s="510"/>
      <c r="N38" s="510" t="s">
        <v>1939</v>
      </c>
      <c r="O38" s="650"/>
      <c r="P38" s="541" t="s">
        <v>1846</v>
      </c>
      <c r="Q38" s="510" t="s">
        <v>1847</v>
      </c>
      <c r="R38" s="510" t="s">
        <v>1848</v>
      </c>
      <c r="S38" s="510" t="s">
        <v>375</v>
      </c>
      <c r="T38" s="510" t="s">
        <v>1849</v>
      </c>
      <c r="U38" s="694"/>
      <c r="V38" s="607"/>
    </row>
    <row r="39" spans="2:22" outlineLevel="1" x14ac:dyDescent="0.3">
      <c r="B39" s="525">
        <v>274</v>
      </c>
      <c r="C39" s="506" t="str">
        <f>IF(ISERROR(VLOOKUP(B39,'Base de Datos'!$C$7:$F$4092,2,0))=TRUE,"",(VLOOKUP('Presupuesto - PAA 2015'!B39,'Base de Datos'!$C$7:$F$4092,3,0)))</f>
        <v>150214-0-2015</v>
      </c>
      <c r="D39" s="506" t="str">
        <f>IF(ISERROR(VLOOKUP(B39,'Base de Datos'!$C$7:$F$4092,3,0))=TRUE,"",(VLOOKUP('Presupuesto - PAA 2015'!B39,'Base de Datos'!$C$7:$F$4092,4,0)))</f>
        <v>CARLOS FERNANDO IBARRA VALLEJO</v>
      </c>
      <c r="E39" s="527">
        <v>18000000</v>
      </c>
      <c r="F39" s="507" t="s">
        <v>390</v>
      </c>
      <c r="G39" s="528"/>
      <c r="H39" s="528"/>
      <c r="I39" s="528"/>
      <c r="J39" s="509">
        <f>IF(ISERROR(VLOOKUP(B39,'Base de Datos'!$C$7:$N$4092,6,0))=TRUE,"Sin Celebrar",(VLOOKUP(B39,'Base de Datos'!$C$7:$N$4092,7,0)))</f>
        <v>18000000</v>
      </c>
      <c r="K39" s="577"/>
      <c r="L39" s="509" t="str">
        <f>IF(J39=$AA$1,E39, " ")</f>
        <v xml:space="preserve"> </v>
      </c>
      <c r="M39" s="527"/>
      <c r="N39" s="509" t="str">
        <f t="shared" ref="N39:N47" si="5">IF(J39&lt;E39,(E39-J39)," ")</f>
        <v xml:space="preserve"> </v>
      </c>
      <c r="O39" s="651" t="s">
        <v>1879</v>
      </c>
      <c r="P39" s="524">
        <f>IF(ISERROR(VLOOKUP(B39,'Base de Datos'!$C$7:$N$4077,9,0))=TRUE," ",(VLOOKUP(B39,'Base de Datos'!$C$7:$N$4077,10,0)))</f>
        <v>42130</v>
      </c>
      <c r="Q39" s="526" t="s">
        <v>1320</v>
      </c>
      <c r="R39" s="524">
        <f>IF(ISERROR(VLOOKUP(B39,'Base de Datos'!$C$7:$N$4077,10,0))=TRUE," ",(VLOOKUP(B39,'Base de Datos'!$C$7:$N$4077,11,0)))</f>
        <v>42137</v>
      </c>
      <c r="S39" s="524">
        <f>IF(ISERROR(VLOOKUP(B39,'Base de Datos'!$C$7:$N$4077,11,0))=TRUE," ",(VLOOKUP(B39,'Base de Datos'!$C$7:$N$4077,12,0)))</f>
        <v>42413</v>
      </c>
      <c r="T39" s="506" t="str">
        <f>VLOOKUP(C39,'Base de Datos'!$E$7:$AU$382,39,0)</f>
        <v>LIQUIDADO</v>
      </c>
      <c r="U39" s="694"/>
      <c r="V39" s="607"/>
    </row>
    <row r="40" spans="2:22" outlineLevel="1" x14ac:dyDescent="0.3">
      <c r="B40" s="525">
        <v>322</v>
      </c>
      <c r="C40" s="506" t="str">
        <f>IF(ISERROR(VLOOKUP(B40,'Base de Datos'!$C$7:$F$4092,2,0))=TRUE,"",(VLOOKUP('Presupuesto - PAA 2015'!B40,'Base de Datos'!$C$7:$F$4092,3,0)))</f>
        <v>150278-0-2015</v>
      </c>
      <c r="D40" s="506" t="str">
        <f>IF(ISERROR(VLOOKUP(B40,'Base de Datos'!$C$7:$F$4092,3,0))=TRUE,"",(VLOOKUP('Presupuesto - PAA 2015'!B40,'Base de Datos'!$C$7:$F$4092,4,0)))</f>
        <v>YURI VIVIANA REYES BENITEZ</v>
      </c>
      <c r="E40" s="527">
        <v>10800000</v>
      </c>
      <c r="F40" s="528" t="s">
        <v>390</v>
      </c>
      <c r="G40" s="528"/>
      <c r="H40" s="528"/>
      <c r="I40" s="528"/>
      <c r="J40" s="509">
        <f>IF(ISERROR(VLOOKUP(B40,'Base de Datos'!$C$7:$N$4092,6,0))=TRUE,"Sin Celebrar",(VLOOKUP(B40,'Base de Datos'!$C$7:$N$4092,7,0)))</f>
        <v>10800000</v>
      </c>
      <c r="K40" s="577"/>
      <c r="L40" s="527"/>
      <c r="M40" s="527"/>
      <c r="N40" s="509" t="str">
        <f t="shared" si="5"/>
        <v xml:space="preserve"> </v>
      </c>
      <c r="O40" s="651" t="s">
        <v>2034</v>
      </c>
      <c r="P40" s="524">
        <f>IF(ISERROR(VLOOKUP(B40,'Base de Datos'!$C$7:$N$4077,9,0))=TRUE," ",(VLOOKUP(B40,'Base de Datos'!$C$7:$N$4077,10,0)))</f>
        <v>42179</v>
      </c>
      <c r="Q40" s="526" t="s">
        <v>382</v>
      </c>
      <c r="R40" s="524">
        <f>IF(ISERROR(VLOOKUP(B40,'Base de Datos'!$C$7:$N$4077,10,0))=TRUE," ",(VLOOKUP(B40,'Base de Datos'!$C$7:$N$4077,11,0)))</f>
        <v>42186</v>
      </c>
      <c r="S40" s="524">
        <f>IF(ISERROR(VLOOKUP(B40,'Base de Datos'!$C$7:$N$4077,11,0))=TRUE," ",(VLOOKUP(B40,'Base de Datos'!$C$7:$N$4077,12,0)))</f>
        <v>42370</v>
      </c>
      <c r="T40" s="506" t="str">
        <f>VLOOKUP(C40,'Base de Datos'!$E$7:$AU$382,39,0)</f>
        <v>LIQUIDADO</v>
      </c>
      <c r="U40" s="694"/>
      <c r="V40" s="607"/>
    </row>
    <row r="41" spans="2:22" outlineLevel="1" x14ac:dyDescent="0.3">
      <c r="B41" s="525">
        <v>321</v>
      </c>
      <c r="C41" s="695" t="s">
        <v>2026</v>
      </c>
      <c r="D41" s="695" t="s">
        <v>2027</v>
      </c>
      <c r="E41" s="527">
        <v>10800000</v>
      </c>
      <c r="F41" s="528" t="s">
        <v>390</v>
      </c>
      <c r="G41" s="528"/>
      <c r="H41" s="528"/>
      <c r="I41" s="528"/>
      <c r="J41" s="527">
        <v>10800000</v>
      </c>
      <c r="K41" s="577"/>
      <c r="L41" s="527"/>
      <c r="M41" s="527"/>
      <c r="N41" s="509" t="str">
        <f t="shared" si="5"/>
        <v xml:space="preserve"> </v>
      </c>
      <c r="O41" s="652" t="s">
        <v>2026</v>
      </c>
      <c r="P41" s="529">
        <v>42179</v>
      </c>
      <c r="Q41" s="526" t="s">
        <v>382</v>
      </c>
      <c r="R41" s="524">
        <f>IF(ISERROR(VLOOKUP(B41,'Base de Datos'!$C$7:$N$4077,10,0))=TRUE," ",(VLOOKUP(B41,'Base de Datos'!$C$7:$N$4077,11,0)))</f>
        <v>42186</v>
      </c>
      <c r="S41" s="524">
        <f>IF(ISERROR(VLOOKUP(B41,'Base de Datos'!$C$7:$N$4077,11,0))=TRUE," ",(VLOOKUP(B41,'Base de Datos'!$C$7:$N$4077,12,0)))</f>
        <v>42370</v>
      </c>
      <c r="T41" s="506" t="str">
        <f>VLOOKUP(C41,'Base de Datos'!$E$7:$AU$382,39,0)</f>
        <v>LIQUIDADO</v>
      </c>
      <c r="U41" s="694"/>
      <c r="V41" s="607"/>
    </row>
    <row r="42" spans="2:22" outlineLevel="1" x14ac:dyDescent="0.3">
      <c r="B42" s="525">
        <v>321</v>
      </c>
      <c r="C42" s="695" t="s">
        <v>2032</v>
      </c>
      <c r="D42" s="695" t="s">
        <v>2033</v>
      </c>
      <c r="E42" s="527">
        <v>10800000</v>
      </c>
      <c r="F42" s="528" t="s">
        <v>390</v>
      </c>
      <c r="G42" s="528"/>
      <c r="H42" s="528"/>
      <c r="I42" s="528"/>
      <c r="J42" s="527">
        <v>10800000</v>
      </c>
      <c r="K42" s="577"/>
      <c r="L42" s="527"/>
      <c r="M42" s="527"/>
      <c r="N42" s="509" t="str">
        <f t="shared" si="5"/>
        <v xml:space="preserve"> </v>
      </c>
      <c r="O42" s="652" t="s">
        <v>2032</v>
      </c>
      <c r="P42" s="529">
        <v>42179</v>
      </c>
      <c r="Q42" s="526" t="s">
        <v>382</v>
      </c>
      <c r="R42" s="524">
        <f>IF(ISERROR(VLOOKUP(B42,'Base de Datos'!$C$7:$N$4077,10,0))=TRUE," ",(VLOOKUP(B42,'Base de Datos'!$C$7:$N$4077,11,0)))</f>
        <v>42186</v>
      </c>
      <c r="S42" s="524">
        <f>IF(ISERROR(VLOOKUP(B42,'Base de Datos'!$C$7:$N$4077,11,0))=TRUE," ",(VLOOKUP(B42,'Base de Datos'!$C$7:$N$4077,12,0)))</f>
        <v>42370</v>
      </c>
      <c r="T42" s="506" t="str">
        <f>VLOOKUP(C42,'Base de Datos'!$E$7:$AU$382,39,0)</f>
        <v>LIQUIDADO</v>
      </c>
      <c r="U42" s="694"/>
      <c r="V42" s="607"/>
    </row>
    <row r="43" spans="2:22" outlineLevel="1" x14ac:dyDescent="0.3">
      <c r="B43" s="525">
        <v>321</v>
      </c>
      <c r="C43" s="695" t="s">
        <v>2037</v>
      </c>
      <c r="D43" s="695" t="s">
        <v>2038</v>
      </c>
      <c r="E43" s="527">
        <v>10800000</v>
      </c>
      <c r="F43" s="528" t="s">
        <v>390</v>
      </c>
      <c r="G43" s="528"/>
      <c r="H43" s="528"/>
      <c r="I43" s="528"/>
      <c r="J43" s="527">
        <v>10800000</v>
      </c>
      <c r="K43" s="577"/>
      <c r="L43" s="527"/>
      <c r="M43" s="527"/>
      <c r="N43" s="509" t="str">
        <f t="shared" si="5"/>
        <v xml:space="preserve"> </v>
      </c>
      <c r="O43" s="652" t="s">
        <v>2037</v>
      </c>
      <c r="P43" s="529">
        <v>42179</v>
      </c>
      <c r="Q43" s="526" t="s">
        <v>382</v>
      </c>
      <c r="R43" s="524">
        <f>IF(ISERROR(VLOOKUP(B43,'Base de Datos'!$C$7:$N$4077,10,0))=TRUE," ",(VLOOKUP(B43,'Base de Datos'!$C$7:$N$4077,11,0)))</f>
        <v>42186</v>
      </c>
      <c r="S43" s="524">
        <f>IF(ISERROR(VLOOKUP(B43,'Base de Datos'!$C$7:$N$4077,11,0))=TRUE," ",(VLOOKUP(B43,'Base de Datos'!$C$7:$N$4077,12,0)))</f>
        <v>42370</v>
      </c>
      <c r="T43" s="506" t="str">
        <f>VLOOKUP(C43,'Base de Datos'!$E$7:$AU$382,39,0)</f>
        <v>LIQUIDADO</v>
      </c>
      <c r="U43" s="694"/>
      <c r="V43" s="607"/>
    </row>
    <row r="44" spans="2:22" outlineLevel="1" x14ac:dyDescent="0.3">
      <c r="B44" s="525">
        <v>321</v>
      </c>
      <c r="C44" s="695" t="s">
        <v>2039</v>
      </c>
      <c r="D44" s="695" t="s">
        <v>2040</v>
      </c>
      <c r="E44" s="527">
        <v>10800000</v>
      </c>
      <c r="F44" s="528" t="s">
        <v>390</v>
      </c>
      <c r="G44" s="528"/>
      <c r="H44" s="528"/>
      <c r="I44" s="528"/>
      <c r="J44" s="527">
        <v>10800000</v>
      </c>
      <c r="K44" s="577"/>
      <c r="L44" s="527"/>
      <c r="M44" s="527"/>
      <c r="N44" s="509" t="str">
        <f t="shared" si="5"/>
        <v xml:space="preserve"> </v>
      </c>
      <c r="O44" s="652" t="s">
        <v>2039</v>
      </c>
      <c r="P44" s="529">
        <v>42179</v>
      </c>
      <c r="Q44" s="526" t="s">
        <v>382</v>
      </c>
      <c r="R44" s="524">
        <f>IF(ISERROR(VLOOKUP(B44,'Base de Datos'!$C$7:$N$4077,10,0))=TRUE," ",(VLOOKUP(B44,'Base de Datos'!$C$7:$N$4077,11,0)))</f>
        <v>42186</v>
      </c>
      <c r="S44" s="524">
        <f>IF(ISERROR(VLOOKUP(B44,'Base de Datos'!$C$7:$N$4077,11,0))=TRUE," ",(VLOOKUP(B44,'Base de Datos'!$C$7:$N$4077,12,0)))</f>
        <v>42370</v>
      </c>
      <c r="T44" s="506" t="str">
        <f>VLOOKUP(C44,'Base de Datos'!$E$7:$AU$382,39,0)</f>
        <v>LIQUIDADO</v>
      </c>
      <c r="U44" s="694"/>
      <c r="V44" s="607"/>
    </row>
    <row r="45" spans="2:22" outlineLevel="1" x14ac:dyDescent="0.3">
      <c r="B45" s="525">
        <v>321</v>
      </c>
      <c r="C45" s="695" t="s">
        <v>2045</v>
      </c>
      <c r="D45" s="695" t="s">
        <v>2046</v>
      </c>
      <c r="E45" s="527">
        <v>10800000</v>
      </c>
      <c r="F45" s="528" t="s">
        <v>390</v>
      </c>
      <c r="G45" s="528"/>
      <c r="H45" s="528"/>
      <c r="I45" s="528"/>
      <c r="J45" s="527">
        <v>10800000</v>
      </c>
      <c r="K45" s="577"/>
      <c r="L45" s="527"/>
      <c r="M45" s="527"/>
      <c r="N45" s="509" t="str">
        <f t="shared" si="5"/>
        <v xml:space="preserve"> </v>
      </c>
      <c r="O45" s="652" t="s">
        <v>2045</v>
      </c>
      <c r="P45" s="529">
        <v>42179</v>
      </c>
      <c r="Q45" s="526" t="s">
        <v>382</v>
      </c>
      <c r="R45" s="524">
        <f>IF(ISERROR(VLOOKUP(B45,'Base de Datos'!$C$7:$N$4077,10,0))=TRUE," ",(VLOOKUP(B45,'Base de Datos'!$C$7:$N$4077,11,0)))</f>
        <v>42186</v>
      </c>
      <c r="S45" s="524">
        <f>IF(ISERROR(VLOOKUP(B45,'Base de Datos'!$C$7:$N$4077,11,0))=TRUE," ",(VLOOKUP(B45,'Base de Datos'!$C$7:$N$4077,12,0)))</f>
        <v>42370</v>
      </c>
      <c r="T45" s="506" t="str">
        <f>VLOOKUP(C45,'Base de Datos'!$E$7:$AU$382,39,0)</f>
        <v>LIQUIDADO</v>
      </c>
      <c r="U45" s="694"/>
      <c r="V45" s="607"/>
    </row>
    <row r="46" spans="2:22" outlineLevel="1" x14ac:dyDescent="0.3">
      <c r="B46" s="525">
        <v>321</v>
      </c>
      <c r="C46" s="695" t="s">
        <v>2065</v>
      </c>
      <c r="D46" s="695" t="s">
        <v>2064</v>
      </c>
      <c r="E46" s="527">
        <v>10800000</v>
      </c>
      <c r="F46" s="528" t="s">
        <v>390</v>
      </c>
      <c r="G46" s="528"/>
      <c r="H46" s="528"/>
      <c r="I46" s="528"/>
      <c r="J46" s="527">
        <v>10800000</v>
      </c>
      <c r="K46" s="577"/>
      <c r="L46" s="509" t="str">
        <f>IF(J46=$AA$1,E46, " ")</f>
        <v xml:space="preserve"> </v>
      </c>
      <c r="M46" s="527"/>
      <c r="N46" s="509" t="str">
        <f t="shared" si="5"/>
        <v xml:space="preserve"> </v>
      </c>
      <c r="O46" s="695" t="s">
        <v>2065</v>
      </c>
      <c r="P46" s="524">
        <v>42193</v>
      </c>
      <c r="Q46" s="526" t="s">
        <v>382</v>
      </c>
      <c r="R46" s="524">
        <v>42198</v>
      </c>
      <c r="S46" s="524">
        <v>42382</v>
      </c>
      <c r="T46" s="506" t="str">
        <f>VLOOKUP(C46,'Base de Datos'!$E$7:$AU$382,39,0)</f>
        <v>LIQUIDADO</v>
      </c>
      <c r="U46" s="694"/>
      <c r="V46" s="607"/>
    </row>
    <row r="47" spans="2:22" outlineLevel="1" x14ac:dyDescent="0.3">
      <c r="B47" s="525"/>
      <c r="C47" s="526"/>
      <c r="D47" s="526" t="s">
        <v>1934</v>
      </c>
      <c r="E47" s="527">
        <f>E37-SUM(E39:E46)</f>
        <v>0</v>
      </c>
      <c r="F47" s="528"/>
      <c r="G47" s="528"/>
      <c r="H47" s="528"/>
      <c r="I47" s="528"/>
      <c r="J47" s="509"/>
      <c r="K47" s="577"/>
      <c r="L47" s="527"/>
      <c r="M47" s="527"/>
      <c r="N47" s="527" t="str">
        <f t="shared" si="5"/>
        <v xml:space="preserve"> </v>
      </c>
      <c r="O47" s="652"/>
      <c r="P47" s="529"/>
      <c r="Q47" s="526"/>
      <c r="R47" s="529"/>
      <c r="S47" s="529"/>
      <c r="T47" s="506"/>
      <c r="U47" s="694"/>
      <c r="V47" s="607"/>
    </row>
    <row r="48" spans="2:22" ht="12" outlineLevel="1" x14ac:dyDescent="0.3">
      <c r="B48" s="1248"/>
      <c r="C48" s="1248"/>
      <c r="D48" s="1248"/>
      <c r="E48" s="509"/>
      <c r="F48" s="507"/>
      <c r="G48" s="507"/>
      <c r="H48" s="507"/>
      <c r="I48" s="507"/>
      <c r="J48" s="509"/>
      <c r="K48" s="573"/>
      <c r="L48" s="509"/>
      <c r="M48" s="509"/>
      <c r="N48" s="509"/>
      <c r="O48" s="651"/>
      <c r="P48" s="524"/>
      <c r="Q48" s="506"/>
      <c r="R48" s="524"/>
      <c r="S48" s="524"/>
      <c r="T48" s="506"/>
      <c r="U48" s="694"/>
      <c r="V48" s="607"/>
    </row>
    <row r="49" spans="2:22" ht="15" customHeight="1" x14ac:dyDescent="0.3">
      <c r="B49" s="1254" t="s">
        <v>1792</v>
      </c>
      <c r="C49" s="1254"/>
      <c r="D49" s="1254"/>
      <c r="E49" s="530">
        <v>9151221000</v>
      </c>
      <c r="F49" s="606"/>
      <c r="G49" s="531"/>
      <c r="H49" s="531"/>
      <c r="I49" s="531"/>
      <c r="J49" s="540">
        <f>J50+J90+J216</f>
        <v>8253458982</v>
      </c>
      <c r="K49" s="582">
        <f>J49/E49</f>
        <v>0.90189702357750945</v>
      </c>
      <c r="L49" s="540">
        <f>L50+L90+L216</f>
        <v>432121836</v>
      </c>
      <c r="M49" s="540">
        <f>M50+M90+M216</f>
        <v>128931594</v>
      </c>
      <c r="N49" s="540">
        <f>N50+N90+N216</f>
        <v>448843248</v>
      </c>
      <c r="O49" s="658"/>
      <c r="P49" s="540"/>
      <c r="Q49" s="547"/>
      <c r="R49" s="546" t="str">
        <f>IF(ISERROR(VLOOKUP(B49,'Base de Datos'!$C$7:$N$315,9,0))=TRUE," ",(VLOOKUP(B49,'Base de Datos'!$C$7:$N$315,9,0)))</f>
        <v xml:space="preserve"> </v>
      </c>
      <c r="S49" s="546" t="str">
        <f>IF(ISERROR(VLOOKUP(B49,'Base de Datos'!$C$7:$N$315,10,0))=TRUE," ",(VLOOKUP(B49,'Base de Datos'!$C$7:$N$315,10,0)))</f>
        <v xml:space="preserve"> </v>
      </c>
      <c r="T49" s="542"/>
      <c r="U49" s="694"/>
      <c r="V49" s="607"/>
    </row>
    <row r="50" spans="2:22" ht="15" customHeight="1" x14ac:dyDescent="0.3">
      <c r="B50" s="1240" t="s">
        <v>1646</v>
      </c>
      <c r="C50" s="1240"/>
      <c r="D50" s="1240"/>
      <c r="E50" s="512">
        <v>2089000000</v>
      </c>
      <c r="F50" s="604"/>
      <c r="G50" s="513"/>
      <c r="H50" s="513"/>
      <c r="I50" s="513"/>
      <c r="J50" s="604">
        <f>+J51+J75+J82</f>
        <v>1940688061</v>
      </c>
      <c r="K50" s="604"/>
      <c r="L50" s="604">
        <f>+L51+L75+L82</f>
        <v>54285345</v>
      </c>
      <c r="M50" s="604">
        <f>+M51+M75+M82</f>
        <v>128931594</v>
      </c>
      <c r="N50" s="604">
        <f>+N51+N75+N82</f>
        <v>94026594</v>
      </c>
      <c r="O50" s="659"/>
      <c r="P50" s="548" t="str">
        <f>IF(ISERROR(VLOOKUP(B50,'Base de Datos'!$C$7:$N$315,8,0))=TRUE," ",(VLOOKUP(B50,'Base de Datos'!$C$7:$N$315,8,0)))</f>
        <v xml:space="preserve"> </v>
      </c>
      <c r="Q50" s="542"/>
      <c r="R50" s="548" t="str">
        <f>IF(ISERROR(VLOOKUP(B50,'Base de Datos'!$C$7:$N$315,9,0))=TRUE," ",(VLOOKUP(B50,'Base de Datos'!$C$7:$N$315,9,0)))</f>
        <v xml:space="preserve"> </v>
      </c>
      <c r="S50" s="548" t="str">
        <f>IF(ISERROR(VLOOKUP(B50,'Base de Datos'!$C$7:$N$315,10,0))=TRUE," ",(VLOOKUP(B50,'Base de Datos'!$C$7:$N$315,10,0)))</f>
        <v xml:space="preserve"> </v>
      </c>
      <c r="T50" s="542"/>
      <c r="U50" s="694"/>
      <c r="V50" s="607"/>
    </row>
    <row r="51" spans="2:22" ht="15" customHeight="1" x14ac:dyDescent="0.3">
      <c r="B51" s="1239" t="s">
        <v>1647</v>
      </c>
      <c r="C51" s="1239"/>
      <c r="D51" s="1239"/>
      <c r="E51" s="554">
        <v>1414000000</v>
      </c>
      <c r="F51" s="559">
        <f>COUNTIF('Actualizada - presupuesto'!$E$7:$E$111,B51)</f>
        <v>15</v>
      </c>
      <c r="G51" s="559"/>
      <c r="H51" s="559"/>
      <c r="I51" s="559"/>
      <c r="J51" s="554">
        <f>SUM(J54:J72)</f>
        <v>1245571061</v>
      </c>
      <c r="K51" s="576">
        <f>J51/E51</f>
        <v>0.88088476732673271</v>
      </c>
      <c r="L51" s="554">
        <f>SUM(L54:L72)</f>
        <v>54285345</v>
      </c>
      <c r="M51" s="558">
        <f>+E51-(J51+L51)</f>
        <v>114143594</v>
      </c>
      <c r="N51" s="554">
        <f>+E51-J51-L51</f>
        <v>114143594</v>
      </c>
      <c r="O51" s="657"/>
      <c r="P51" s="564" t="str">
        <f>IF(ISERROR(VLOOKUP(B51,'Base de Datos'!$C$7:$N$315,8,0))=TRUE," ",(VLOOKUP(B51,'Base de Datos'!$C$7:$N$315,8,0)))</f>
        <v xml:space="preserve"> </v>
      </c>
      <c r="Q51" s="565"/>
      <c r="R51" s="564" t="str">
        <f>IF(ISERROR(VLOOKUP(B51,'Base de Datos'!$C$7:$N$315,9,0))=TRUE," ",(VLOOKUP(B51,'Base de Datos'!$C$7:$N$315,9,0)))</f>
        <v xml:space="preserve"> </v>
      </c>
      <c r="S51" s="564" t="str">
        <f>IF(ISERROR(VLOOKUP(B51,'Base de Datos'!$C$7:$N$315,10,0))=TRUE," ",(VLOOKUP(B51,'Base de Datos'!$C$7:$N$315,10,0)))</f>
        <v xml:space="preserve"> </v>
      </c>
      <c r="T51" s="565"/>
      <c r="U51" s="694"/>
      <c r="V51" s="607"/>
    </row>
    <row r="52" spans="2:22" ht="22.8" outlineLevel="1" x14ac:dyDescent="0.3">
      <c r="B52" s="510" t="s">
        <v>1692</v>
      </c>
      <c r="C52" s="510" t="s">
        <v>912</v>
      </c>
      <c r="D52" s="510" t="s">
        <v>1821</v>
      </c>
      <c r="E52" s="518" t="s">
        <v>1845</v>
      </c>
      <c r="F52" s="507" t="s">
        <v>1852</v>
      </c>
      <c r="G52" s="507"/>
      <c r="H52" s="507"/>
      <c r="I52" s="507"/>
      <c r="J52" s="510" t="s">
        <v>1844</v>
      </c>
      <c r="K52" s="625"/>
      <c r="L52" s="510" t="s">
        <v>1938</v>
      </c>
      <c r="M52" s="510"/>
      <c r="N52" s="510" t="s">
        <v>1939</v>
      </c>
      <c r="O52" s="650"/>
      <c r="P52" s="541" t="s">
        <v>1846</v>
      </c>
      <c r="Q52" s="510" t="s">
        <v>1847</v>
      </c>
      <c r="R52" s="510" t="s">
        <v>1848</v>
      </c>
      <c r="S52" s="510" t="s">
        <v>375</v>
      </c>
      <c r="T52" s="510" t="s">
        <v>1849</v>
      </c>
      <c r="U52" s="694"/>
      <c r="V52" s="607"/>
    </row>
    <row r="53" spans="2:22" outlineLevel="1" x14ac:dyDescent="0.3">
      <c r="B53" s="510">
        <v>53</v>
      </c>
      <c r="C53" s="506" t="str">
        <f>IF(ISERROR(VLOOKUP(B53,'Base de Datos'!$C$7:$F$4092,2,0))=TRUE,"",(VLOOKUP('Presupuesto - PAA 2015'!B53,'Base de Datos'!$C$7:$F$4092,3,0)))</f>
        <v>190493-0-2019</v>
      </c>
      <c r="D53" s="511" t="s">
        <v>2147</v>
      </c>
      <c r="E53" s="518" t="s">
        <v>2149</v>
      </c>
      <c r="F53" s="507"/>
      <c r="G53" s="507"/>
      <c r="H53" s="507"/>
      <c r="I53" s="507"/>
      <c r="J53" s="509">
        <f>IF(ISERROR(VLOOKUP(B53,'Base de Datos'!$C$7:$N$4092,6,0))=TRUE,"Sin Celebrar",(VLOOKUP(B53,'Base de Datos'!$C$7:$N$4092,7,0)))</f>
        <v>9868500</v>
      </c>
      <c r="K53" s="625"/>
      <c r="L53" s="510"/>
      <c r="M53" s="510"/>
      <c r="N53" s="510"/>
      <c r="O53" s="691" t="str">
        <f>IF(ISERROR(VLOOKUP(B53,'Base de Datos'!$C$7:$K$1048576,7,0))=TRUE," ",(VLOOKUP(B53,'Base de Datos'!$C$7:$K$1048576,8,0)))</f>
        <v>SDH-SMINC-61-2019</v>
      </c>
      <c r="P53" s="524">
        <f>IF(ISERROR(VLOOKUP(B53,'Base de Datos'!$C$7:$N$4077,9,0))=TRUE," ",(VLOOKUP(B53,'Base de Datos'!$C$7:$N$4077,10,0)))</f>
        <v>43796</v>
      </c>
      <c r="Q53" s="510"/>
      <c r="R53" s="524">
        <f>IF(ISERROR(VLOOKUP(B53,'Base de Datos'!$C$7:$N$4077,10,0))=TRUE," ",(VLOOKUP(B53,'Base de Datos'!$C$7:$N$4077,11,0)))</f>
        <v>43812</v>
      </c>
      <c r="S53" s="524">
        <f>IF(ISERROR(VLOOKUP(B53,'Base de Datos'!$C$7:$N$4077,11,0))=TRUE," ",(VLOOKUP(B53,'Base de Datos'!$C$7:$N$4077,12,0)))</f>
        <v>43933</v>
      </c>
      <c r="T53" s="506" t="s">
        <v>1991</v>
      </c>
      <c r="U53" s="694"/>
      <c r="V53" s="607"/>
    </row>
    <row r="54" spans="2:22" ht="12" customHeight="1" outlineLevel="1" x14ac:dyDescent="0.3">
      <c r="B54" s="510">
        <v>54</v>
      </c>
      <c r="C54" s="506" t="str">
        <f>IF(ISERROR(VLOOKUP(B54,'Base de Datos'!$C$7:$F$4092,2,0))=TRUE,"",(VLOOKUP('Presupuesto - PAA 2015'!B54,'Base de Datos'!$C$7:$F$4092,3,0)))</f>
        <v>150211-0-2015</v>
      </c>
      <c r="D54" s="506" t="str">
        <f>IF(ISERROR(VLOOKUP(B54,'Base de Datos'!$C$7:$F$4092,3,0))=TRUE,"",(VLOOKUP('Presupuesto - PAA 2015'!B54,'Base de Datos'!$C$7:$F$4092,4,0)))</f>
        <v>SEAN ELECTRONICA LIMITADA</v>
      </c>
      <c r="E54" s="509">
        <f>VLOOKUP(B54,'[6]Abr 24-2015'!$C$53:$AA$327,24,0)</f>
        <v>60000000</v>
      </c>
      <c r="F54" s="507" t="str">
        <f>VLOOKUP(B54,'Actualizada - presupuesto'!$D$7:$L$111,9,0)</f>
        <v>SI</v>
      </c>
      <c r="G54" s="507"/>
      <c r="H54" s="507"/>
      <c r="I54" s="507"/>
      <c r="J54" s="509">
        <f>IF(ISERROR(VLOOKUP(B54,'Base de Datos'!$C$7:$N$4092,6,0))=TRUE,"Sin Celebrar",(VLOOKUP(B54,'Base de Datos'!$C$7:$N$4092,7,0)))</f>
        <v>60000000</v>
      </c>
      <c r="K54" s="573"/>
      <c r="L54" s="509" t="str">
        <f t="shared" ref="L54:L67" si="6">IF(J54=$AA$1,E54, " ")</f>
        <v xml:space="preserve"> </v>
      </c>
      <c r="M54" s="509"/>
      <c r="N54" s="509" t="str">
        <f t="shared" ref="N54:N67" si="7">IF(J54&lt;E54,(E54-J54)," ")</f>
        <v xml:space="preserve"> </v>
      </c>
      <c r="O54" s="691" t="str">
        <f>IF(ISERROR(VLOOKUP(B54,'Base de Datos'!$C$7:$K$1048576,7,0))=TRUE," ",(VLOOKUP(B54,'Base de Datos'!$C$7:$K$1048576,8,0)))</f>
        <v>SDH-SIE-01-2015</v>
      </c>
      <c r="P54" s="524">
        <f>IF(ISERROR(VLOOKUP(B54,'Base de Datos'!$C$7:$N$4077,9,0))=TRUE," ",(VLOOKUP(B54,'Base de Datos'!$C$7:$N$4077,10,0)))</f>
        <v>42128</v>
      </c>
      <c r="Q54" s="506" t="s">
        <v>1850</v>
      </c>
      <c r="R54" s="524">
        <f>IF(ISERROR(VLOOKUP(B54,'Base de Datos'!$C$7:$N$4077,10,0))=TRUE," ",(VLOOKUP(B54,'Base de Datos'!$C$7:$N$4077,11,0)))</f>
        <v>42156</v>
      </c>
      <c r="S54" s="524">
        <f>IF(ISERROR(VLOOKUP(B54,'Base de Datos'!$C$7:$N$4077,11,0))=TRUE," ",(VLOOKUP(B54,'Base de Datos'!$C$7:$N$4077,12,0)))</f>
        <v>42522</v>
      </c>
      <c r="T54" s="506" t="str">
        <f>VLOOKUP(C54,'Base de Datos'!$E$7:$AU$382,39,0)</f>
        <v>LIQUIDADO</v>
      </c>
      <c r="U54" s="694"/>
      <c r="V54" s="607"/>
    </row>
    <row r="55" spans="2:22" ht="15" customHeight="1" outlineLevel="1" x14ac:dyDescent="0.3">
      <c r="B55" s="510">
        <v>55</v>
      </c>
      <c r="C55" s="506" t="str">
        <f>IF(ISERROR(VLOOKUP(B55,'Base de Datos'!$C$7:$F$4092,2,0))=TRUE,"",(VLOOKUP('Presupuesto - PAA 2015'!B55,'Base de Datos'!$C$7:$F$4092,3,0)))</f>
        <v>150189-0-2015</v>
      </c>
      <c r="D55" s="506" t="str">
        <f>IF(ISERROR(VLOOKUP(B55,'Base de Datos'!$C$7:$F$4092,3,0))=TRUE,"",(VLOOKUP('Presupuesto - PAA 2015'!B55,'Base de Datos'!$C$7:$F$4092,4,0)))</f>
        <v>UNIPLES S.A.</v>
      </c>
      <c r="E55" s="509">
        <v>10514762</v>
      </c>
      <c r="F55" s="507" t="str">
        <f>VLOOKUP(B55,'Actualizada - presupuesto'!$D$7:$L$111,9,0)</f>
        <v>SI</v>
      </c>
      <c r="G55" s="507"/>
      <c r="H55" s="507"/>
      <c r="I55" s="507"/>
      <c r="J55" s="509">
        <f>IF(ISERROR(VLOOKUP(B55,'Base de Datos'!$C$7:$N$4092,6,0))=TRUE,"Sin Celebrar",(VLOOKUP(B55,'Base de Datos'!$C$7:$N$4092,7,0)))</f>
        <v>10514762</v>
      </c>
      <c r="K55" s="573"/>
      <c r="L55" s="509" t="str">
        <f t="shared" si="6"/>
        <v xml:space="preserve"> </v>
      </c>
      <c r="M55" s="509"/>
      <c r="N55" s="509" t="str">
        <f t="shared" si="7"/>
        <v xml:space="preserve"> </v>
      </c>
      <c r="O55" s="691" t="str">
        <f>IF(ISERROR(VLOOKUP(B55,'Base de Datos'!$C$7:$K$1048576,7,0))=TRUE," ",(VLOOKUP(B55,'Base de Datos'!$C$7:$K$1048576,8,0)))</f>
        <v>SDH-SMINC-013-2015</v>
      </c>
      <c r="P55" s="524">
        <f>IF(ISERROR(VLOOKUP(B55,'Base de Datos'!$C$7:$N$4077,9,0))=TRUE," ",(VLOOKUP(B55,'Base de Datos'!$C$7:$N$4077,10,0)))</f>
        <v>42108</v>
      </c>
      <c r="Q55" s="506" t="s">
        <v>378</v>
      </c>
      <c r="R55" s="524">
        <f>IF(ISERROR(VLOOKUP(B55,'Base de Datos'!$C$7:$N$4077,10,0))=TRUE," ",(VLOOKUP(B55,'Base de Datos'!$C$7:$N$4077,11,0)))</f>
        <v>42117</v>
      </c>
      <c r="S55" s="524">
        <f>IF(ISERROR(VLOOKUP(B55,'Base de Datos'!$C$7:$N$4077,11,0))=TRUE," ",(VLOOKUP(B55,'Base de Datos'!$C$7:$N$4077,12,0)))</f>
        <v>42147</v>
      </c>
      <c r="T55" s="506" t="str">
        <f>VLOOKUP(C55,'Base de Datos'!$E$7:$AU$382,39,0)</f>
        <v>LIQUIDADO</v>
      </c>
      <c r="U55" s="694"/>
      <c r="V55" s="607"/>
    </row>
    <row r="56" spans="2:22" ht="15" customHeight="1" outlineLevel="1" x14ac:dyDescent="0.3">
      <c r="B56" s="510">
        <v>56</v>
      </c>
      <c r="C56" s="506" t="str">
        <f>IF(ISERROR(VLOOKUP(B56,'Base de Datos'!$C$7:$F$4092,2,0))=TRUE,"",(VLOOKUP('Presupuesto - PAA 2015'!B56,'Base de Datos'!$C$7:$F$4092,3,0)))</f>
        <v>180343-0-2018</v>
      </c>
      <c r="D56" s="506" t="s">
        <v>2148</v>
      </c>
      <c r="E56" s="518" t="s">
        <v>2149</v>
      </c>
      <c r="F56" s="507"/>
      <c r="G56" s="507"/>
      <c r="H56" s="507"/>
      <c r="I56" s="507"/>
      <c r="J56" s="509">
        <f>IF(ISERROR(VLOOKUP(B56,'Base de Datos'!$C$7:$N$4092,6,0))=TRUE,"Sin Celebrar",(VLOOKUP(B56,'Base de Datos'!$C$7:$N$4092,7,0)))</f>
        <v>990000</v>
      </c>
      <c r="K56" s="573"/>
      <c r="L56" s="509"/>
      <c r="M56" s="509"/>
      <c r="N56" s="509"/>
      <c r="O56" s="691" t="str">
        <f>IF(ISERROR(VLOOKUP(B56,'Base de Datos'!$C$7:$K$1048576,7,0))=TRUE," ",(VLOOKUP(B56,'Base de Datos'!$C$7:$K$1048576,8,0)))</f>
        <v>SDH-CD-55-2018</v>
      </c>
      <c r="P56" s="524">
        <f>IF(ISERROR(VLOOKUP(B56,'Base de Datos'!$C$7:$N$4077,9,0))=TRUE," ",(VLOOKUP(B56,'Base de Datos'!$C$7:$N$4077,10,0)))</f>
        <v>43381</v>
      </c>
      <c r="Q56" s="506"/>
      <c r="R56" s="524">
        <f>IF(ISERROR(VLOOKUP(B56,'Base de Datos'!$C$7:$N$4077,10,0))=TRUE," ",(VLOOKUP(B56,'Base de Datos'!$C$7:$N$4077,11,0)))</f>
        <v>43384</v>
      </c>
      <c r="S56" s="524">
        <f>IF(ISERROR(VLOOKUP(B56,'Base de Datos'!$C$7:$N$4077,11,0))=TRUE," ",(VLOOKUP(B56,'Base de Datos'!$C$7:$N$4077,12,0)))</f>
        <v>43748</v>
      </c>
      <c r="T56" s="506" t="s">
        <v>1991</v>
      </c>
      <c r="U56" s="694"/>
      <c r="V56" s="607"/>
    </row>
    <row r="57" spans="2:22" ht="15" customHeight="1" outlineLevel="1" x14ac:dyDescent="0.3">
      <c r="B57" s="510">
        <v>57</v>
      </c>
      <c r="C57" s="506" t="str">
        <f>IF(ISERROR(VLOOKUP(B57,'Base de Datos'!$C$7:$F$4092,2,0))=TRUE,"",(VLOOKUP('Presupuesto - PAA 2015'!B57,'Base de Datos'!$C$7:$F$4092,3,0)))</f>
        <v>150351-0-2015</v>
      </c>
      <c r="D57" s="506" t="str">
        <f>IF(ISERROR(VLOOKUP(B57,'Base de Datos'!$C$7:$F$4092,3,0))=TRUE,"",(VLOOKUP('Presupuesto - PAA 2015'!B57,'Base de Datos'!$C$7:$F$4092,4,0)))</f>
        <v>UNION TEMPORAL TECNOPROCESOS SAS NEGSA</v>
      </c>
      <c r="E57" s="509">
        <v>154954934</v>
      </c>
      <c r="F57" s="507">
        <f>VLOOKUP(B57,'Actualizada - presupuesto'!$D$7:$L$111,9,0)</f>
        <v>0</v>
      </c>
      <c r="G57" s="507"/>
      <c r="H57" s="507"/>
      <c r="I57" s="507"/>
      <c r="J57" s="509">
        <f>IF(ISERROR(VLOOKUP(B57,'Base de Datos'!$C$7:$N$4092,6,0))=TRUE,"Sin Celebrar",(VLOOKUP(B57,'Base de Datos'!$C$7:$N$4092,7,0)))</f>
        <v>154954934</v>
      </c>
      <c r="K57" s="573"/>
      <c r="L57" s="509" t="str">
        <f t="shared" si="6"/>
        <v xml:space="preserve"> </v>
      </c>
      <c r="M57" s="509"/>
      <c r="N57" s="509" t="str">
        <f t="shared" si="7"/>
        <v xml:space="preserve"> </v>
      </c>
      <c r="O57" s="691" t="str">
        <f>IF(ISERROR(VLOOKUP(B57,'Base de Datos'!$C$7:$K$1048576,7,0))=TRUE," ",(VLOOKUP(B57,'Base de Datos'!$C$7:$K$1048576,8,0)))</f>
        <v>SDH-SIE-10-2015</v>
      </c>
      <c r="P57" s="524">
        <f>IF(ISERROR(VLOOKUP(B57,'Base de Datos'!$C$7:$N$4077,9,0))=TRUE," ",(VLOOKUP(B57,'Base de Datos'!$C$7:$N$4077,10,0)))</f>
        <v>42258</v>
      </c>
      <c r="Q57" s="506" t="s">
        <v>1850</v>
      </c>
      <c r="R57" s="524">
        <f>IF(ISERROR(VLOOKUP(B57,'Base de Datos'!$C$7:$N$4077,10,0))=TRUE," ",(VLOOKUP(B57,'Base de Datos'!$C$7:$N$4077,11,0)))</f>
        <v>42293</v>
      </c>
      <c r="S57" s="524">
        <f>IF(ISERROR(VLOOKUP(B57,'Base de Datos'!$C$7:$N$4077,11,0))=TRUE," ",(VLOOKUP(B57,'Base de Datos'!$C$7:$N$4077,12,0)))</f>
        <v>42659</v>
      </c>
      <c r="T57" s="506" t="str">
        <f>VLOOKUP(C57,'Base de Datos'!$E$7:$AU$382,39,0)</f>
        <v>LIQUIDADO</v>
      </c>
      <c r="U57" s="694"/>
      <c r="V57" s="607"/>
    </row>
    <row r="58" spans="2:22" ht="15" customHeight="1" outlineLevel="1" x14ac:dyDescent="0.3">
      <c r="B58" s="510">
        <v>58</v>
      </c>
      <c r="C58" s="506" t="str">
        <f>IF(ISERROR(VLOOKUP(B58,'Base de Datos'!$C$7:$F$4092,2,0))=TRUE,"",(VLOOKUP('Presupuesto - PAA 2015'!B58,'Base de Datos'!$C$7:$F$4092,3,0)))</f>
        <v>150312-0-2015</v>
      </c>
      <c r="D58" s="506" t="str">
        <f>IF(ISERROR(VLOOKUP(B58,'Base de Datos'!$C$7:$F$4092,3,0))=TRUE,"",(VLOOKUP('Presupuesto - PAA 2015'!B58,'Base de Datos'!$C$7:$F$4092,4,0)))</f>
        <v xml:space="preserve">SIIGO S.A </v>
      </c>
      <c r="E58" s="509">
        <v>450880</v>
      </c>
      <c r="F58" s="507" t="str">
        <f>VLOOKUP(B58,'Actualizada - presupuesto'!$D$7:$L$111,9,0)</f>
        <v>SI</v>
      </c>
      <c r="G58" s="507"/>
      <c r="H58" s="507"/>
      <c r="I58" s="507"/>
      <c r="J58" s="509">
        <f>IF(ISERROR(VLOOKUP(B58,'Base de Datos'!$C$7:$N$4092,6,0))=TRUE,"Sin Celebrar",(VLOOKUP(B58,'Base de Datos'!$C$7:$N$4092,7,0)))</f>
        <v>450880</v>
      </c>
      <c r="K58" s="573"/>
      <c r="L58" s="509" t="str">
        <f t="shared" si="6"/>
        <v xml:space="preserve"> </v>
      </c>
      <c r="M58" s="509"/>
      <c r="N58" s="509" t="str">
        <f t="shared" si="7"/>
        <v xml:space="preserve"> </v>
      </c>
      <c r="O58" s="691" t="str">
        <f>IF(ISERROR(VLOOKUP(B58,'Base de Datos'!$C$7:$K$1048576,7,0))=TRUE," ",(VLOOKUP(B58,'Base de Datos'!$C$7:$K$1048576,8,0)))</f>
        <v>150312-0-2015</v>
      </c>
      <c r="P58" s="524">
        <f>IF(ISERROR(VLOOKUP(B58,'Base de Datos'!$C$7:$N$4077,9,0))=TRUE," ",(VLOOKUP(B58,'Base de Datos'!$C$7:$N$4077,10,0)))</f>
        <v>42194</v>
      </c>
      <c r="Q58" s="506" t="s">
        <v>1850</v>
      </c>
      <c r="R58" s="524">
        <f>IF(ISERROR(VLOOKUP(B58,'Base de Datos'!$C$7:$N$4077,10,0))=TRUE," ",(VLOOKUP(B58,'Base de Datos'!$C$7:$N$4077,11,0)))</f>
        <v>42219</v>
      </c>
      <c r="S58" s="524">
        <f>IF(ISERROR(VLOOKUP(B58,'Base de Datos'!$C$7:$N$4077,11,0))=TRUE," ",(VLOOKUP(B58,'Base de Datos'!$C$7:$N$4077,12,0)))</f>
        <v>42311</v>
      </c>
      <c r="T58" s="506" t="str">
        <f>VLOOKUP(C58,'Base de Datos'!$E$7:$AU$382,39,0)</f>
        <v>LIQUIDADO</v>
      </c>
      <c r="U58" s="694"/>
      <c r="V58" s="607"/>
    </row>
    <row r="59" spans="2:22" ht="15" customHeight="1" outlineLevel="1" x14ac:dyDescent="0.3">
      <c r="B59" s="510">
        <v>59</v>
      </c>
      <c r="C59" s="506" t="str">
        <f>IF(ISERROR(VLOOKUP(B59,'Base de Datos'!$C$7:$F$4092,2,0))=TRUE,"",(VLOOKUP('Presupuesto - PAA 2015'!B59,'Base de Datos'!$C$7:$F$4092,3,0)))</f>
        <v>150322-0-2015</v>
      </c>
      <c r="D59" s="506" t="str">
        <f>IF(ISERROR(VLOOKUP(B59,'Base de Datos'!$C$7:$F$4092,3,0))=TRUE,"",(VLOOKUP('Presupuesto - PAA 2015'!B59,'Base de Datos'!$C$7:$F$4092,4,0)))</f>
        <v>GREEN TIC S.A.S.</v>
      </c>
      <c r="E59" s="509">
        <v>20136071</v>
      </c>
      <c r="F59" s="507" t="str">
        <f>VLOOKUP(B59,'Actualizada - presupuesto'!$D$7:$L$111,9,0)</f>
        <v>SI</v>
      </c>
      <c r="G59" s="507"/>
      <c r="H59" s="507"/>
      <c r="I59" s="507"/>
      <c r="J59" s="509">
        <f>IF(ISERROR(VLOOKUP(B59,'Base de Datos'!$C$7:$N$4092,6,0))=TRUE,"Sin Celebrar",(VLOOKUP(B59,'Base de Datos'!$C$7:$N$4092,7,0)))</f>
        <v>20136071</v>
      </c>
      <c r="K59" s="573"/>
      <c r="L59" s="509" t="str">
        <f t="shared" si="6"/>
        <v xml:space="preserve"> </v>
      </c>
      <c r="M59" s="509"/>
      <c r="N59" s="509" t="str">
        <f t="shared" si="7"/>
        <v xml:space="preserve"> </v>
      </c>
      <c r="O59" s="691" t="str">
        <f>IF(ISERROR(VLOOKUP(B59,'Base de Datos'!$C$7:$K$1048576,7,0))=TRUE," ",(VLOOKUP(B59,'Base de Datos'!$C$7:$K$1048576,8,0)))</f>
        <v>SDH-SMINC-044-2015</v>
      </c>
      <c r="P59" s="524">
        <f>IF(ISERROR(VLOOKUP(B59,'Base de Datos'!$C$7:$N$4077,9,0))=TRUE," ",(VLOOKUP(B59,'Base de Datos'!$C$7:$N$4077,10,0)))</f>
        <v>42209</v>
      </c>
      <c r="Q59" s="506" t="s">
        <v>1850</v>
      </c>
      <c r="R59" s="524">
        <f>IF(ISERROR(VLOOKUP(B59,'Base de Datos'!$C$7:$N$4077,10,0))=TRUE," ",(VLOOKUP(B59,'Base de Datos'!$C$7:$N$4077,11,0)))</f>
        <v>42221</v>
      </c>
      <c r="S59" s="524">
        <f>IF(ISERROR(VLOOKUP(B59,'Base de Datos'!$C$7:$N$4077,11,0))=TRUE," ",(VLOOKUP(B59,'Base de Datos'!$C$7:$N$4077,12,0)))</f>
        <v>42587</v>
      </c>
      <c r="T59" s="506" t="str">
        <f>VLOOKUP(C59,'Base de Datos'!$E$7:$AU$382,39,0)</f>
        <v>LIQUIDADO</v>
      </c>
      <c r="U59" s="694"/>
      <c r="V59" s="607"/>
    </row>
    <row r="60" spans="2:22" ht="15" customHeight="1" outlineLevel="1" x14ac:dyDescent="0.3">
      <c r="B60" s="510">
        <v>60</v>
      </c>
      <c r="C60" s="506" t="str">
        <f>IF(ISERROR(VLOOKUP(B60,'Base de Datos'!$C$7:$F$4092,2,0))=TRUE,"",(VLOOKUP('Presupuesto - PAA 2015'!B60,'Base de Datos'!$C$7:$F$4092,3,0)))</f>
        <v>150314-0-2015</v>
      </c>
      <c r="D60" s="506" t="str">
        <f>IF(ISERROR(VLOOKUP(B60,'Base de Datos'!$C$7:$F$4092,3,0))=TRUE,"",(VLOOKUP('Presupuesto - PAA 2015'!B60,'Base de Datos'!$C$7:$F$4092,4,0)))</f>
        <v>INGEAL S.A.</v>
      </c>
      <c r="E60" s="509">
        <v>85933385</v>
      </c>
      <c r="F60" s="507" t="str">
        <f>VLOOKUP(B60,'Actualizada - presupuesto'!$D$7:$L$111,9,0)</f>
        <v>SI</v>
      </c>
      <c r="G60" s="507"/>
      <c r="H60" s="507"/>
      <c r="I60" s="507"/>
      <c r="J60" s="509">
        <f>IF(ISERROR(VLOOKUP(B60,'Base de Datos'!$C$7:$N$4092,6,0))=TRUE,"Sin Celebrar",(VLOOKUP(B60,'Base de Datos'!$C$7:$N$4092,7,0)))</f>
        <v>85933385</v>
      </c>
      <c r="K60" s="573"/>
      <c r="L60" s="509" t="str">
        <f t="shared" si="6"/>
        <v xml:space="preserve"> </v>
      </c>
      <c r="M60" s="509"/>
      <c r="N60" s="509" t="str">
        <f t="shared" si="7"/>
        <v xml:space="preserve"> </v>
      </c>
      <c r="O60" s="691" t="str">
        <f>IF(ISERROR(VLOOKUP(B60,'Base de Datos'!$C$7:$K$1048576,7,0))=TRUE," ",(VLOOKUP(B60,'Base de Datos'!$C$7:$K$1048576,8,0)))</f>
        <v>SDH-SIE-08-2015</v>
      </c>
      <c r="P60" s="524">
        <f>IF(ISERROR(VLOOKUP(B60,'Base de Datos'!$C$7:$N$4077,9,0))=TRUE," ",(VLOOKUP(B60,'Base de Datos'!$C$7:$N$4077,10,0)))</f>
        <v>42200</v>
      </c>
      <c r="Q60" s="506" t="s">
        <v>1850</v>
      </c>
      <c r="R60" s="524">
        <f>IF(ISERROR(VLOOKUP(B60,'Base de Datos'!$C$7:$N$4077,10,0))=TRUE," ",(VLOOKUP(B60,'Base de Datos'!$C$7:$N$4077,11,0)))</f>
        <v>42209</v>
      </c>
      <c r="S60" s="524">
        <f>IF(ISERROR(VLOOKUP(B60,'Base de Datos'!$C$7:$N$4077,11,0))=TRUE," ",(VLOOKUP(B60,'Base de Datos'!$C$7:$N$4077,12,0)))</f>
        <v>42575</v>
      </c>
      <c r="T60" s="506" t="str">
        <f>VLOOKUP(C60,'Base de Datos'!$E$7:$AU$382,39,0)</f>
        <v>LIQUIDADO</v>
      </c>
      <c r="U60" s="694"/>
      <c r="V60" s="607"/>
    </row>
    <row r="61" spans="2:22" ht="15" customHeight="1" outlineLevel="1" x14ac:dyDescent="0.3">
      <c r="B61" s="510">
        <v>61</v>
      </c>
      <c r="C61" s="506" t="str">
        <f>IF(ISERROR(VLOOKUP(B61,'Base de Datos'!$C$7:$F$4092,2,0))=TRUE,"",(VLOOKUP('Presupuesto - PAA 2015'!B61,'Base de Datos'!$C$7:$F$4092,3,0)))</f>
        <v>180204-0-2018</v>
      </c>
      <c r="D61" s="511" t="s">
        <v>1824</v>
      </c>
      <c r="E61" s="509">
        <f>VLOOKUP(B61,'[6]Abr 24-2015'!$C$53:$AA$327,24,0)</f>
        <v>40610000</v>
      </c>
      <c r="F61" s="507">
        <f>VLOOKUP(B61,'Actualizada - presupuesto'!$D$7:$L$111,9,0)</f>
        <v>0</v>
      </c>
      <c r="G61" s="507"/>
      <c r="H61" s="507"/>
      <c r="I61" s="507"/>
      <c r="J61" s="509">
        <f>IF(ISERROR(VLOOKUP(B61,'Base de Datos'!$C$7:$N$4092,6,0))=TRUE,"Sin Celebrar",(VLOOKUP(B61,'Base de Datos'!$C$7:$N$4092,7,0)))</f>
        <v>18450000</v>
      </c>
      <c r="K61" s="573"/>
      <c r="L61" s="509" t="str">
        <f t="shared" si="6"/>
        <v xml:space="preserve"> </v>
      </c>
      <c r="M61" s="509"/>
      <c r="N61" s="509">
        <f t="shared" si="7"/>
        <v>22160000</v>
      </c>
      <c r="O61" s="691" t="str">
        <f>IF(ISERROR(VLOOKUP(B61,'Base de Datos'!$C$7:$K$1048576,7,0))=TRUE," ",(VLOOKUP(B61,'Base de Datos'!$C$7:$K$1048576,8,0)))</f>
        <v>180204-0-2018</v>
      </c>
      <c r="P61" s="524">
        <f>IF(ISERROR(VLOOKUP(B61,'Base de Datos'!$C$7:$N$4077,9,0))=TRUE," ",(VLOOKUP(B61,'Base de Datos'!$C$7:$N$4077,10,0)))</f>
        <v>43280</v>
      </c>
      <c r="Q61" s="506" t="s">
        <v>544</v>
      </c>
      <c r="R61" s="524">
        <f>IF(ISERROR(VLOOKUP(B61,'Base de Datos'!$C$7:$N$4077,10,0))=TRUE," ",(VLOOKUP(B61,'Base de Datos'!$C$7:$N$4077,11,0)))</f>
        <v>43357</v>
      </c>
      <c r="S61" s="524">
        <f>IF(ISERROR(VLOOKUP(B61,'Base de Datos'!$C$7:$N$4077,11,0))=TRUE," ",(VLOOKUP(B61,'Base de Datos'!$C$7:$N$4077,12,0)))</f>
        <v>43721</v>
      </c>
      <c r="T61" s="506" t="s">
        <v>1991</v>
      </c>
      <c r="U61" s="694"/>
      <c r="V61" s="607"/>
    </row>
    <row r="62" spans="2:22" ht="15" customHeight="1" outlineLevel="1" x14ac:dyDescent="0.3">
      <c r="B62" s="510">
        <v>62</v>
      </c>
      <c r="C62" s="506" t="str">
        <f>IF(ISERROR(VLOOKUP(B62,'Base de Datos'!$C$7:$F$4092,2,0))=TRUE,"",(VLOOKUP('Presupuesto - PAA 2015'!B62,'Base de Datos'!$C$7:$F$4092,3,0)))</f>
        <v>150405-0-2015</v>
      </c>
      <c r="D62" s="506" t="str">
        <f>IF(ISERROR(VLOOKUP(B62,'Base de Datos'!$C$7:$F$4092,3,0))=TRUE,"",(VLOOKUP('Presupuesto - PAA 2015'!B62,'Base de Datos'!$C$7:$F$4092,4,0)))</f>
        <v>PROSEGUR TECNOLOGIA S.A.S</v>
      </c>
      <c r="E62" s="509">
        <v>194667840</v>
      </c>
      <c r="F62" s="507" t="str">
        <f>VLOOKUP(B62,'Actualizada - presupuesto'!$D$7:$L$111,9,0)</f>
        <v>SI</v>
      </c>
      <c r="G62" s="507"/>
      <c r="H62" s="507"/>
      <c r="I62" s="507"/>
      <c r="J62" s="509">
        <f>IF(ISERROR(VLOOKUP(B62,'Base de Datos'!$C$7:$N$4092,6,0))=TRUE,"Sin Celebrar",(VLOOKUP(B62,'Base de Datos'!$C$7:$N$4092,7,0)))</f>
        <v>64250000</v>
      </c>
      <c r="K62" s="573"/>
      <c r="L62" s="509" t="str">
        <f t="shared" si="6"/>
        <v xml:space="preserve"> </v>
      </c>
      <c r="M62" s="509"/>
      <c r="N62" s="509">
        <f t="shared" si="7"/>
        <v>130417840</v>
      </c>
      <c r="O62" s="691" t="str">
        <f>IF(ISERROR(VLOOKUP(B62,'Base de Datos'!$C$7:$K$1048576,7,0))=TRUE," ",(VLOOKUP(B62,'Base de Datos'!$C$7:$K$1048576,8,0)))</f>
        <v>SDH-SMINC-067-2015</v>
      </c>
      <c r="P62" s="524">
        <f>IF(ISERROR(VLOOKUP(B62,'Base de Datos'!$C$7:$N$4077,9,0))=TRUE," ",(VLOOKUP(B62,'Base de Datos'!$C$7:$N$4077,10,0)))</f>
        <v>42359</v>
      </c>
      <c r="Q62" s="506" t="s">
        <v>1853</v>
      </c>
      <c r="R62" s="524">
        <f>IF(ISERROR(VLOOKUP(B62,'Base de Datos'!$C$7:$N$4077,10,0))=TRUE," ",(VLOOKUP(B62,'Base de Datos'!$C$7:$N$4077,11,0)))</f>
        <v>42384</v>
      </c>
      <c r="S62" s="524">
        <f>IF(ISERROR(VLOOKUP(B62,'Base de Datos'!$C$7:$N$4077,11,0))=TRUE," ",(VLOOKUP(B62,'Base de Datos'!$C$7:$N$4077,12,0)))</f>
        <v>42505</v>
      </c>
      <c r="T62" s="506" t="s">
        <v>1991</v>
      </c>
      <c r="U62" s="694"/>
      <c r="V62" s="607"/>
    </row>
    <row r="63" spans="2:22" ht="15" customHeight="1" outlineLevel="1" x14ac:dyDescent="0.3">
      <c r="B63" s="510">
        <v>63</v>
      </c>
      <c r="C63" s="506" t="str">
        <f>IF(ISERROR(VLOOKUP(B63,'Base de Datos'!$C$7:$F$4092,2,0))=TRUE,"",(VLOOKUP('Presupuesto - PAA 2015'!B63,'Base de Datos'!$C$7:$F$4092,3,0)))</f>
        <v>150249-0-2015</v>
      </c>
      <c r="D63" s="506" t="str">
        <f>IF(ISERROR(VLOOKUP(B63,'Base de Datos'!$C$7:$F$4092,3,0))=TRUE,"",(VLOOKUP('Presupuesto - PAA 2015'!B63,'Base de Datos'!$C$7:$F$4092,4,0)))</f>
        <v>BRANCH OF MICROSOFT COLOMBIA INC</v>
      </c>
      <c r="E63" s="509">
        <v>213397762</v>
      </c>
      <c r="F63" s="507" t="str">
        <f>VLOOKUP(B63,'Actualizada - presupuesto'!$D$7:$L$111,9,0)</f>
        <v>SI</v>
      </c>
      <c r="G63" s="507"/>
      <c r="H63" s="507"/>
      <c r="I63" s="507"/>
      <c r="J63" s="509">
        <f>IF(ISERROR(VLOOKUP(B63,'Base de Datos'!$C$7:$N$4092,6,0))=TRUE,"Sin Celebrar",(VLOOKUP(B63,'Base de Datos'!$C$7:$N$4092,7,0)))</f>
        <v>213397762</v>
      </c>
      <c r="K63" s="573"/>
      <c r="L63" s="509" t="str">
        <f t="shared" si="6"/>
        <v xml:space="preserve"> </v>
      </c>
      <c r="M63" s="509"/>
      <c r="N63" s="509" t="str">
        <f t="shared" si="7"/>
        <v xml:space="preserve"> </v>
      </c>
      <c r="O63" s="691" t="str">
        <f>IF(ISERROR(VLOOKUP(B63,'Base de Datos'!$C$7:$K$1048576,7,0))=TRUE," ",(VLOOKUP(B63,'Base de Datos'!$C$7:$K$1048576,8,0)))</f>
        <v>150249-0-2015</v>
      </c>
      <c r="P63" s="524">
        <f>IF(ISERROR(VLOOKUP(B63,'Base de Datos'!$C$7:$N$4077,9,0))=TRUE," ",(VLOOKUP(B63,'Base de Datos'!$C$7:$N$4077,10,0)))</f>
        <v>42165</v>
      </c>
      <c r="Q63" s="506" t="s">
        <v>1850</v>
      </c>
      <c r="R63" s="524">
        <f>IF(ISERROR(VLOOKUP(B63,'Base de Datos'!$C$7:$N$4077,10,0))=TRUE," ",(VLOOKUP(B63,'Base de Datos'!$C$7:$N$4077,11,0)))</f>
        <v>42181</v>
      </c>
      <c r="S63" s="524">
        <f>IF(ISERROR(VLOOKUP(B63,'Base de Datos'!$C$7:$N$4077,11,0))=TRUE," ",(VLOOKUP(B63,'Base de Datos'!$C$7:$N$4077,12,0)))</f>
        <v>42537</v>
      </c>
      <c r="T63" s="506" t="str">
        <f>VLOOKUP(C63,'Base de Datos'!$E$7:$AU$382,39,0)</f>
        <v>LIQUIDADO</v>
      </c>
      <c r="U63" s="694"/>
      <c r="V63" s="607"/>
    </row>
    <row r="64" spans="2:22" ht="15" customHeight="1" outlineLevel="1" x14ac:dyDescent="0.3">
      <c r="B64" s="510">
        <v>64</v>
      </c>
      <c r="C64" s="506" t="str">
        <f>IF(ISERROR(VLOOKUP(B64,'Base de Datos'!$C$7:$F$4092,2,0))=TRUE,"",(VLOOKUP('Presupuesto - PAA 2015'!B64,'Base de Datos'!$C$7:$F$4092,3,0)))</f>
        <v>180336-0-2018</v>
      </c>
      <c r="D64" s="511" t="s">
        <v>1825</v>
      </c>
      <c r="E64" s="509">
        <f>VLOOKUP(B64,'[6]Abr 24-2015'!$C$53:$AA$327,24,0)</f>
        <v>8300000</v>
      </c>
      <c r="F64" s="507">
        <f>VLOOKUP(B64,'Actualizada - presupuesto'!$D$7:$L$111,9,0)</f>
        <v>0</v>
      </c>
      <c r="G64" s="507"/>
      <c r="H64" s="507"/>
      <c r="I64" s="507"/>
      <c r="J64" s="509">
        <f>IF(ISERROR(VLOOKUP(B64,'Base de Datos'!$C$7:$N$4092,6,0))=TRUE,"Sin Celebrar",(VLOOKUP(B64,'Base de Datos'!$C$7:$N$4092,7,0)))</f>
        <v>2200000</v>
      </c>
      <c r="K64" s="573"/>
      <c r="L64" s="509" t="str">
        <f t="shared" si="6"/>
        <v xml:space="preserve"> </v>
      </c>
      <c r="M64" s="509"/>
      <c r="N64" s="509">
        <f t="shared" si="7"/>
        <v>6100000</v>
      </c>
      <c r="O64" s="691" t="str">
        <f>IF(ISERROR(VLOOKUP(B64,'Base de Datos'!$C$7:$K$1048576,7,0))=TRUE," ",(VLOOKUP(B64,'Base de Datos'!$C$7:$K$1048576,8,0)))</f>
        <v>SDH-SMINC-45-2018</v>
      </c>
      <c r="P64" s="524">
        <f>IF(ISERROR(VLOOKUP(B64,'Base de Datos'!$C$7:$N$4077,9,0))=TRUE," ",(VLOOKUP(B64,'Base de Datos'!$C$7:$N$4077,10,0)))</f>
        <v>43376</v>
      </c>
      <c r="Q64" s="506" t="s">
        <v>544</v>
      </c>
      <c r="R64" s="524">
        <f>IF(ISERROR(VLOOKUP(B64,'Base de Datos'!$C$7:$N$4077,10,0))=TRUE," ",(VLOOKUP(B64,'Base de Datos'!$C$7:$N$4077,11,0)))</f>
        <v>43389</v>
      </c>
      <c r="S64" s="524">
        <f>IF(ISERROR(VLOOKUP(B64,'Base de Datos'!$C$7:$N$4077,11,0))=TRUE," ",(VLOOKUP(B64,'Base de Datos'!$C$7:$N$4077,12,0)))</f>
        <v>43511</v>
      </c>
      <c r="T64" s="506" t="e">
        <f>VLOOKUP(C64,'Base de Datos'!$E$7:$AU$382,39,0)</f>
        <v>#N/A</v>
      </c>
      <c r="U64" s="694"/>
      <c r="V64" s="607"/>
    </row>
    <row r="65" spans="2:22" ht="15" customHeight="1" outlineLevel="1" x14ac:dyDescent="0.3">
      <c r="B65" s="510">
        <v>65</v>
      </c>
      <c r="C65" s="506" t="s">
        <v>1157</v>
      </c>
      <c r="D65" s="511" t="s">
        <v>2374</v>
      </c>
      <c r="E65" s="509">
        <f>VLOOKUP(B65,'[6]Abr 24-2015'!$C$53:$AA$327,24,0)</f>
        <v>22500000</v>
      </c>
      <c r="F65" s="507">
        <f>VLOOKUP(B65,'Actualizada - presupuesto'!$D$7:$L$111,9,0)</f>
        <v>0</v>
      </c>
      <c r="G65" s="507"/>
      <c r="H65" s="507"/>
      <c r="I65" s="507"/>
      <c r="J65" s="509">
        <v>22272000</v>
      </c>
      <c r="K65" s="573"/>
      <c r="L65" s="509" t="str">
        <f t="shared" si="6"/>
        <v xml:space="preserve"> </v>
      </c>
      <c r="M65" s="509"/>
      <c r="N65" s="509">
        <f t="shared" si="7"/>
        <v>228000</v>
      </c>
      <c r="O65" s="691" t="str">
        <f>IF(ISERROR(VLOOKUP(B65,'Base de Datos'!$C$7:$K$1048576,7,0))=TRUE," ",(VLOOKUP(B65,'Base de Datos'!$C$7:$K$1048576,8,0)))</f>
        <v>SDH-LP-01-2018</v>
      </c>
      <c r="P65" s="524">
        <f>IF(ISERROR(VLOOKUP(B65,'Base de Datos'!$C$7:$N$4077,9,0))=TRUE," ",(VLOOKUP(B65,'Base de Datos'!$C$7:$N$4077,10,0)))</f>
        <v>43230</v>
      </c>
      <c r="Q65" s="506" t="s">
        <v>382</v>
      </c>
      <c r="R65" s="524">
        <f>IF(ISERROR(VLOOKUP(B65,'Base de Datos'!$C$7:$N$4077,10,0))=TRUE," ",(VLOOKUP(B65,'Base de Datos'!$C$7:$N$4077,11,0)))</f>
        <v>43232</v>
      </c>
      <c r="S65" s="524">
        <f>IF(ISERROR(VLOOKUP(B65,'Base de Datos'!$C$7:$N$4077,11,0))=TRUE," ",(VLOOKUP(B65,'Base de Datos'!$C$7:$N$4077,12,0)))</f>
        <v>43523</v>
      </c>
      <c r="T65" s="506" t="s">
        <v>1991</v>
      </c>
      <c r="U65" s="694"/>
      <c r="V65" s="607"/>
    </row>
    <row r="66" spans="2:22" ht="19.5" customHeight="1" outlineLevel="1" x14ac:dyDescent="0.3">
      <c r="B66" s="510">
        <v>277</v>
      </c>
      <c r="C66" s="506" t="str">
        <f>IF(ISERROR(VLOOKUP(B66,'Base de Datos'!$C$7:$F$4092,2,0))=TRUE,"",(VLOOKUP('Presupuesto - PAA 2015'!B66,'Base de Datos'!$C$7:$F$4092,3,0)))</f>
        <v>150200-0-2015</v>
      </c>
      <c r="D66" s="506" t="str">
        <f>IF(ISERROR(VLOOKUP(B66,'Base de Datos'!$C$7:$F$4092,3,0))=TRUE,"",(VLOOKUP('Presupuesto - PAA 2015'!B66,'Base de Datos'!$C$7:$F$4092,4,0)))</f>
        <v>INGELECTRO SAS</v>
      </c>
      <c r="E66" s="509">
        <v>12975945</v>
      </c>
      <c r="F66" s="507" t="str">
        <f>VLOOKUP(B66,'Actualizada - presupuesto'!$D$7:$L$111,9,0)</f>
        <v>SI</v>
      </c>
      <c r="G66" s="507"/>
      <c r="H66" s="507"/>
      <c r="I66" s="507"/>
      <c r="J66" s="509">
        <f>IF(ISERROR(VLOOKUP(B66,'Base de Datos'!$C$7:$N$4092,6,0))=TRUE,"Sin Celebrar",(VLOOKUP(B66,'Base de Datos'!$C$7:$N$4092,7,0)))</f>
        <v>12975945</v>
      </c>
      <c r="K66" s="573"/>
      <c r="L66" s="509" t="str">
        <f t="shared" si="6"/>
        <v xml:space="preserve"> </v>
      </c>
      <c r="M66" s="509"/>
      <c r="N66" s="509" t="str">
        <f t="shared" si="7"/>
        <v xml:space="preserve"> </v>
      </c>
      <c r="O66" s="691" t="str">
        <f>IF(ISERROR(VLOOKUP(B66,'Base de Datos'!$C$7:$K$1048576,7,0))=TRUE," ",(VLOOKUP(B66,'Base de Datos'!$C$7:$K$1048576,8,0)))</f>
        <v>SDH-SMINC-017-2015</v>
      </c>
      <c r="P66" s="524">
        <f>IF(ISERROR(VLOOKUP(B66,'Base de Datos'!$C$7:$N$4077,9,0))=TRUE," ",(VLOOKUP(B66,'Base de Datos'!$C$7:$N$4077,10,0)))</f>
        <v>42117</v>
      </c>
      <c r="Q66" s="506" t="s">
        <v>380</v>
      </c>
      <c r="R66" s="524">
        <f>IF(ISERROR(VLOOKUP(B66,'Base de Datos'!$C$7:$N$4077,10,0))=TRUE," ",(VLOOKUP(B66,'Base de Datos'!$C$7:$N$4077,11,0)))</f>
        <v>42135</v>
      </c>
      <c r="S66" s="524">
        <f>IF(ISERROR(VLOOKUP(B66,'Base de Datos'!$C$7:$N$4077,11,0))=TRUE," ",(VLOOKUP(B66,'Base de Datos'!$C$7:$N$4077,12,0)))</f>
        <v>42258</v>
      </c>
      <c r="T66" s="506" t="str">
        <f>VLOOKUP(C66,'Base de Datos'!$E$7:$AU$382,39,0)</f>
        <v>LIQUIDADO</v>
      </c>
      <c r="U66" s="694"/>
      <c r="V66" s="607"/>
    </row>
    <row r="67" spans="2:22" ht="15" customHeight="1" outlineLevel="1" x14ac:dyDescent="0.3">
      <c r="B67" s="743">
        <v>282</v>
      </c>
      <c r="C67" s="506" t="str">
        <f>IF(ISERROR(VLOOKUP(B67,'Base de Datos'!$C$7:$F$4092,2,0))=TRUE,"",(VLOOKUP('Presupuesto - PAA 2015'!B67,'Base de Datos'!$C$7:$F$4092,3,0)))</f>
        <v>150344-0-2015</v>
      </c>
      <c r="D67" s="506" t="str">
        <f>IF(ISERROR(VLOOKUP(B67,'Base de Datos'!$C$7:$F$4092,3,0))=TRUE,"",(VLOOKUP('Presupuesto - PAA 2015'!B67,'Base de Datos'!$C$7:$F$4092,4,0)))</f>
        <v>UNION TEMPORAL NEWNET - SUMIMAS</v>
      </c>
      <c r="E67" s="725">
        <v>436000000</v>
      </c>
      <c r="F67" s="507" t="str">
        <f>VLOOKUP(B67,'Actualizada - presupuesto'!$D$7:$L$111,9,0)</f>
        <v>SI</v>
      </c>
      <c r="G67" s="507"/>
      <c r="H67" s="507"/>
      <c r="I67" s="507"/>
      <c r="J67" s="509">
        <f>IF(ISERROR(VLOOKUP(B67,'Base de Datos'!$C$7:$N$4092,6,0))=TRUE,"Sin Celebrar",(VLOOKUP(B67,'Base de Datos'!$C$7:$N$4092,7,0)))</f>
        <v>382091582</v>
      </c>
      <c r="K67" s="573"/>
      <c r="L67" s="509" t="str">
        <f t="shared" si="6"/>
        <v xml:space="preserve"> </v>
      </c>
      <c r="M67" s="509"/>
      <c r="N67" s="509">
        <f t="shared" si="7"/>
        <v>53908418</v>
      </c>
      <c r="O67" s="691" t="str">
        <f>IF(ISERROR(VLOOKUP(B67,'Base de Datos'!$C$7:$K$1048576,7,0))=TRUE," ",(VLOOKUP(B67,'Base de Datos'!$C$7:$K$1048576,8,0)))</f>
        <v>SDH-LP-02-2015</v>
      </c>
      <c r="P67" s="524">
        <f>IF(ISERROR(VLOOKUP(B67,'Base de Datos'!$C$7:$N$4077,9,0))=TRUE," ",(VLOOKUP(B67,'Base de Datos'!$C$7:$N$4077,10,0)))</f>
        <v>42240</v>
      </c>
      <c r="Q67" s="506" t="s">
        <v>1853</v>
      </c>
      <c r="R67" s="524">
        <f>IF(ISERROR(VLOOKUP(B67,'Base de Datos'!$C$7:$N$4077,10,0))=TRUE," ",(VLOOKUP(B67,'Base de Datos'!$C$7:$N$4077,11,0)))</f>
        <v>42261</v>
      </c>
      <c r="S67" s="524">
        <f>IF(ISERROR(VLOOKUP(B67,'Base de Datos'!$C$7:$N$4077,11,0))=TRUE," ",(VLOOKUP(B67,'Base de Datos'!$C$7:$N$4077,12,0)))</f>
        <v>42565</v>
      </c>
      <c r="T67" s="506" t="str">
        <f>VLOOKUP(C67,'Base de Datos'!$E$7:$AU$382,39,0)</f>
        <v>LIQUIDADO</v>
      </c>
      <c r="U67" s="694"/>
      <c r="V67" s="607"/>
    </row>
    <row r="68" spans="2:22" ht="21" customHeight="1" outlineLevel="1" x14ac:dyDescent="0.3">
      <c r="B68" s="525">
        <v>284</v>
      </c>
      <c r="C68" s="506" t="s">
        <v>1355</v>
      </c>
      <c r="D68" s="526" t="s">
        <v>1826</v>
      </c>
      <c r="E68" s="527">
        <v>54285345</v>
      </c>
      <c r="F68" s="507" t="str">
        <f>VLOOKUP(B68,'Actualizada - presupuesto'!$D$7:$L$111,9,0)</f>
        <v>SI</v>
      </c>
      <c r="G68" s="528"/>
      <c r="H68" s="528"/>
      <c r="I68" s="528"/>
      <c r="J68" s="509" t="str">
        <f>IF(ISERROR(VLOOKUP(B68,'Base de Datos'!$C$7:$N$4092,6,0))=TRUE,"Sin Celebrar",(VLOOKUP(B68,'Base de Datos'!$C$7:$N$4092,7,0)))</f>
        <v>Sin Celebrar</v>
      </c>
      <c r="K68" s="577"/>
      <c r="L68" s="509">
        <f>IF(J68=$AA$1,E68, " ")</f>
        <v>54285345</v>
      </c>
      <c r="M68" s="527"/>
      <c r="N68" s="509" t="str">
        <f>IF(J68&lt;E68,(E68-J68)," ")</f>
        <v xml:space="preserve"> </v>
      </c>
      <c r="O68" s="691" t="str">
        <f>IF(ISERROR(VLOOKUP(B68,'Base de Datos'!$C$7:$K$1048576,7,0))=TRUE," ",(VLOOKUP(B68,'Base de Datos'!$C$7:$K$1048576,8,0)))</f>
        <v xml:space="preserve"> </v>
      </c>
      <c r="P68" s="524" t="str">
        <f>IF(ISERROR(VLOOKUP(B68,'Base de Datos'!$C$7:$N$4077,9,0))=TRUE," ",(VLOOKUP(B68,'Base de Datos'!$C$7:$N$4077,10,0)))</f>
        <v xml:space="preserve"> </v>
      </c>
      <c r="Q68" s="526" t="s">
        <v>379</v>
      </c>
      <c r="R68" s="524" t="str">
        <f>IF(ISERROR(VLOOKUP(B68,'Base de Datos'!$C$7:$N$4077,10,0))=TRUE," ",(VLOOKUP(B68,'Base de Datos'!$C$7:$N$4077,11,0)))</f>
        <v xml:space="preserve"> </v>
      </c>
      <c r="S68" s="524" t="str">
        <f>IF(ISERROR(VLOOKUP(B68,'Base de Datos'!$C$7:$N$4077,11,0))=TRUE," ",(VLOOKUP(B68,'Base de Datos'!$C$7:$N$4077,12,0)))</f>
        <v xml:space="preserve"> </v>
      </c>
      <c r="T68" s="506" t="str">
        <f>VLOOKUP(C68,'Base de Datos'!$E$7:$AU$382,39,0)</f>
        <v>LIQUIDADO</v>
      </c>
      <c r="U68" s="694"/>
      <c r="V68" s="607"/>
    </row>
    <row r="69" spans="2:22" ht="21" customHeight="1" outlineLevel="1" x14ac:dyDescent="0.3">
      <c r="B69" s="525">
        <v>307</v>
      </c>
      <c r="C69" s="506" t="str">
        <f>IF(ISERROR(VLOOKUP(B69,'Base de Datos'!$C$7:$F$4092,2,0))=TRUE,"",(VLOOKUP('Presupuesto - PAA 2015'!B69,'Base de Datos'!$C$7:$F$4092,3,0)))</f>
        <v>150329-0-2015</v>
      </c>
      <c r="D69" s="506" t="str">
        <f>IF(ISERROR(VLOOKUP(B69,'Base de Datos'!$C$7:$F$4092,3,0))=TRUE,"",(VLOOKUP('Presupuesto - PAA 2015'!B69,'Base de Datos'!$C$7:$F$4092,4,0)))</f>
        <v xml:space="preserve">INFORMATICA DOCUMENTAL SAS </v>
      </c>
      <c r="E69" s="527">
        <v>20880000</v>
      </c>
      <c r="F69" s="507" t="s">
        <v>390</v>
      </c>
      <c r="G69" s="528"/>
      <c r="H69" s="528"/>
      <c r="I69" s="528"/>
      <c r="J69" s="509">
        <f>IF(ISERROR(VLOOKUP(B69,'Base de Datos'!$C$7:$N$4092,6,0))=TRUE,"Sin Celebrar",(VLOOKUP(B69,'Base de Datos'!$C$7:$N$4092,7,0)))</f>
        <v>20880000</v>
      </c>
      <c r="K69" s="577"/>
      <c r="L69" s="509" t="str">
        <f>IF(J69=$AA$1,E69, " ")</f>
        <v xml:space="preserve"> </v>
      </c>
      <c r="M69" s="527"/>
      <c r="N69" s="509" t="str">
        <f>IF(J69&lt;E69,(E69-J69)," ")</f>
        <v xml:space="preserve"> </v>
      </c>
      <c r="O69" s="691" t="str">
        <f>IF(ISERROR(VLOOKUP(B69,'Base de Datos'!$C$7:$K$1048576,7,0))=TRUE," ",(VLOOKUP(B69,'Base de Datos'!$C$7:$K$1048576,8,0)))</f>
        <v>150329-0-2015</v>
      </c>
      <c r="P69" s="524">
        <f>IF(ISERROR(VLOOKUP(B69,'Base de Datos'!$C$7:$N$4077,9,0))=TRUE," ",(VLOOKUP(B69,'Base de Datos'!$C$7:$N$4077,10,0)))</f>
        <v>42219</v>
      </c>
      <c r="Q69" s="526" t="s">
        <v>1850</v>
      </c>
      <c r="R69" s="524">
        <f>IF(ISERROR(VLOOKUP(B69,'Base de Datos'!$C$7:$N$4077,10,0))=TRUE," ",(VLOOKUP(B69,'Base de Datos'!$C$7:$N$4077,11,0)))</f>
        <v>42226</v>
      </c>
      <c r="S69" s="524">
        <f>IF(ISERROR(VLOOKUP(B69,'Base de Datos'!$C$7:$N$4077,11,0))=TRUE," ",(VLOOKUP(B69,'Base de Datos'!$C$7:$N$4077,12,0)))</f>
        <v>42592</v>
      </c>
      <c r="T69" s="506" t="str">
        <f>VLOOKUP(C69,'Base de Datos'!$E$7:$AU$382,39,0)</f>
        <v>LIQUIDADO</v>
      </c>
      <c r="U69" s="694"/>
      <c r="V69" s="607"/>
    </row>
    <row r="70" spans="2:22" ht="21" customHeight="1" outlineLevel="1" x14ac:dyDescent="0.3">
      <c r="B70" s="525">
        <v>308</v>
      </c>
      <c r="C70" s="506" t="str">
        <f>IF(ISERROR(VLOOKUP(B70,'Base de Datos'!$C$7:$F$4092,2,0))=TRUE,"",(VLOOKUP('Presupuesto - PAA 2015'!B70,'Base de Datos'!$C$7:$F$4092,3,0)))</f>
        <v>150391-0-2015</v>
      </c>
      <c r="D70" s="506" t="str">
        <f>IF(ISERROR(VLOOKUP(B70,'Base de Datos'!$C$7:$F$4092,3,0))=TRUE,"",(VLOOKUP('Presupuesto - PAA 2015'!B70,'Base de Datos'!$C$7:$F$4092,4,0)))</f>
        <v>UNIÓN TEMPORAL BMIND - KOGHI</v>
      </c>
      <c r="E70" s="527">
        <v>100000000</v>
      </c>
      <c r="F70" s="507"/>
      <c r="G70" s="528"/>
      <c r="H70" s="528"/>
      <c r="I70" s="528"/>
      <c r="J70" s="509">
        <f>IF(ISERROR(VLOOKUP(B70,'Base de Datos'!$C$7:$N$4092,6,0))=TRUE,"Sin Celebrar",(VLOOKUP(B70,'Base de Datos'!$C$7:$N$4092,7,0)))</f>
        <v>96032643</v>
      </c>
      <c r="K70" s="577"/>
      <c r="L70" s="509" t="str">
        <f>IF(J70=$AA$1,E70, " ")</f>
        <v xml:space="preserve"> </v>
      </c>
      <c r="M70" s="527"/>
      <c r="N70" s="509">
        <f>IF(J70&lt;E70,(E70-J70)," ")</f>
        <v>3967357</v>
      </c>
      <c r="O70" s="691" t="str">
        <f>IF(ISERROR(VLOOKUP(B70,'Base de Datos'!$C$7:$K$1048576,7,0))=TRUE," ",(VLOOKUP(B70,'Base de Datos'!$C$7:$K$1048576,8,0)))</f>
        <v>SDH-SAMC-08-2015</v>
      </c>
      <c r="P70" s="524">
        <f>IF(ISERROR(VLOOKUP(B70,'Base de Datos'!$C$7:$N$4077,9,0))=TRUE," ",(VLOOKUP(B70,'Base de Datos'!$C$7:$N$4077,10,0)))</f>
        <v>42325</v>
      </c>
      <c r="Q70" s="526" t="s">
        <v>1850</v>
      </c>
      <c r="R70" s="524">
        <f>IF(ISERROR(VLOOKUP(B70,'Base de Datos'!$C$7:$N$4077,10,0))=TRUE," ",(VLOOKUP(B70,'Base de Datos'!$C$7:$N$4077,11,0)))</f>
        <v>42345</v>
      </c>
      <c r="S70" s="524">
        <f>IF(ISERROR(VLOOKUP(B70,'Base de Datos'!$C$7:$N$4077,11,0))=TRUE," ",(VLOOKUP(B70,'Base de Datos'!$C$7:$N$4077,12,0)))</f>
        <v>42620</v>
      </c>
      <c r="T70" s="506" t="s">
        <v>1991</v>
      </c>
      <c r="U70" s="694"/>
      <c r="V70" s="607"/>
    </row>
    <row r="71" spans="2:22" outlineLevel="1" x14ac:dyDescent="0.3">
      <c r="B71" s="525">
        <v>314</v>
      </c>
      <c r="C71" s="506" t="str">
        <f>IF(ISERROR(VLOOKUP(B71,'Base de Datos'!$C$7:$F$4092,2,0))=TRUE,"",(VLOOKUP('Presupuesto - PAA 2015'!B71,'Base de Datos'!$C$7:$F$4092,3,0)))</f>
        <v>150308-0-2015</v>
      </c>
      <c r="D71" s="506" t="str">
        <f>IF(ISERROR(VLOOKUP(B71,'Base de Datos'!$C$7:$F$4092,3,0))=TRUE,"",(VLOOKUP('Presupuesto - PAA 2015'!B71,'Base de Datos'!$C$7:$F$4092,4,0)))</f>
        <v xml:space="preserve">ARANDA SOFTWARE ANDINA SAS  </v>
      </c>
      <c r="E71" s="527">
        <v>50041097</v>
      </c>
      <c r="F71" s="507" t="s">
        <v>390</v>
      </c>
      <c r="G71" s="528"/>
      <c r="H71" s="528"/>
      <c r="I71" s="528"/>
      <c r="J71" s="509">
        <f>IF(ISERROR(VLOOKUP(B71,'Base de Datos'!$C$7:$N$4092,6,0))=TRUE,"Sin Celebrar",(VLOOKUP(B71,'Base de Datos'!$C$7:$N$4092,7,0)))</f>
        <v>80041097</v>
      </c>
      <c r="K71" s="577"/>
      <c r="L71" s="509" t="str">
        <f>IF(J71=$AA$1,E71, " ")</f>
        <v xml:space="preserve"> </v>
      </c>
      <c r="M71" s="527"/>
      <c r="N71" s="509" t="str">
        <f>IF(J71&lt;E71,(E71-J71)," ")</f>
        <v xml:space="preserve"> </v>
      </c>
      <c r="O71" s="691" t="str">
        <f>IF(ISERROR(VLOOKUP(B71,'Base de Datos'!$C$7:$K$1048576,7,0))=TRUE," ",(VLOOKUP(B71,'Base de Datos'!$C$7:$K$1048576,8,0)))</f>
        <v>150308-0-2015</v>
      </c>
      <c r="P71" s="524">
        <f>IF(ISERROR(VLOOKUP(B71,'Base de Datos'!$C$7:$N$4077,9,0))=TRUE," ",(VLOOKUP(B71,'Base de Datos'!$C$7:$N$4077,10,0)))</f>
        <v>42193</v>
      </c>
      <c r="Q71" s="526"/>
      <c r="R71" s="524">
        <f>IF(ISERROR(VLOOKUP(B71,'Base de Datos'!$C$7:$N$4077,10,0))=TRUE," ",(VLOOKUP(B71,'Base de Datos'!$C$7:$N$4077,11,0)))</f>
        <v>42199</v>
      </c>
      <c r="S71" s="524">
        <f>IF(ISERROR(VLOOKUP(B71,'Base de Datos'!$C$7:$N$4077,11,0))=TRUE," ",(VLOOKUP(B71,'Base de Datos'!$C$7:$N$4077,12,0)))</f>
        <v>42565</v>
      </c>
      <c r="T71" s="506" t="str">
        <f>VLOOKUP(C71,'Base de Datos'!$E$7:$AU$382,39,0)</f>
        <v>LIQUIDADO</v>
      </c>
      <c r="U71" s="694"/>
      <c r="V71" s="607"/>
    </row>
    <row r="72" spans="2:22" outlineLevel="1" x14ac:dyDescent="0.3">
      <c r="B72" s="525"/>
      <c r="C72" s="526"/>
      <c r="D72" s="526" t="s">
        <v>1934</v>
      </c>
      <c r="E72" s="674">
        <f>E51-SUM(E54:E71)</f>
        <v>-71648021</v>
      </c>
      <c r="F72" s="528"/>
      <c r="G72" s="528"/>
      <c r="H72" s="528"/>
      <c r="I72" s="528"/>
      <c r="J72" s="509"/>
      <c r="K72" s="577"/>
      <c r="L72" s="509"/>
      <c r="M72" s="527"/>
      <c r="N72" s="509" t="str">
        <f>IF(J72&lt;E72,(E72-J72)," ")</f>
        <v xml:space="preserve"> </v>
      </c>
      <c r="O72" s="691" t="str">
        <f>IF(ISERROR(VLOOKUP(B72,'Base de Datos'!$C$7:$K$1048576,7,0))=TRUE," ",(VLOOKUP(B72,'Base de Datos'!$C$7:$K$1048576,7,0)))</f>
        <v xml:space="preserve"> </v>
      </c>
      <c r="P72" s="524" t="str">
        <f>IF(ISERROR(VLOOKUP(B72,'Base de Datos'!$C$7:$N$4077,9,0))=TRUE," ",(VLOOKUP(B72,'Base de Datos'!$C$7:$N$4077,9,0)))</f>
        <v xml:space="preserve"> </v>
      </c>
      <c r="Q72" s="526"/>
      <c r="R72" s="529" t="str">
        <f>IF(ISERROR(VLOOKUP(B72,'Base de Datos'!$C$7:$N$315,10,0))=TRUE," ",(VLOOKUP(B72,'Base de Datos'!$C$7:$N$315,10,0)))</f>
        <v xml:space="preserve"> </v>
      </c>
      <c r="S72" s="529" t="str">
        <f>IF(ISERROR(VLOOKUP(B72,'Base de Datos'!$C$7:$N$315,11,0))=TRUE," ",(VLOOKUP(B72,'Base de Datos'!$C$7:$N$315,11,0)))</f>
        <v xml:space="preserve"> </v>
      </c>
      <c r="T72" s="506"/>
      <c r="U72" s="694"/>
      <c r="V72" s="607"/>
    </row>
    <row r="73" spans="2:22" ht="12" outlineLevel="1" x14ac:dyDescent="0.3">
      <c r="B73" s="1248"/>
      <c r="C73" s="1248"/>
      <c r="D73" s="1248"/>
      <c r="E73" s="509"/>
      <c r="F73" s="507"/>
      <c r="G73" s="507"/>
      <c r="H73" s="507"/>
      <c r="I73" s="507"/>
      <c r="J73" s="509"/>
      <c r="K73" s="573"/>
      <c r="L73" s="509"/>
      <c r="M73" s="509"/>
      <c r="N73" s="509"/>
      <c r="O73" s="651"/>
      <c r="P73" s="524"/>
      <c r="Q73" s="506"/>
      <c r="R73" s="524"/>
      <c r="S73" s="524"/>
      <c r="T73" s="506"/>
      <c r="U73" s="694"/>
      <c r="V73" s="607"/>
    </row>
    <row r="74" spans="2:22" ht="12" outlineLevel="1" x14ac:dyDescent="0.3">
      <c r="B74" s="1248"/>
      <c r="C74" s="1248"/>
      <c r="D74" s="1248"/>
      <c r="E74" s="509"/>
      <c r="F74" s="507"/>
      <c r="G74" s="507"/>
      <c r="H74" s="507"/>
      <c r="I74" s="507"/>
      <c r="J74" s="509"/>
      <c r="K74" s="573"/>
      <c r="L74" s="509"/>
      <c r="M74" s="509"/>
      <c r="N74" s="509"/>
      <c r="O74" s="651"/>
      <c r="P74" s="524"/>
      <c r="Q74" s="506"/>
      <c r="R74" s="524"/>
      <c r="S74" s="524"/>
      <c r="T74" s="506"/>
      <c r="U74" s="694"/>
      <c r="V74" s="607"/>
    </row>
    <row r="75" spans="2:22" ht="15" customHeight="1" x14ac:dyDescent="0.3">
      <c r="B75" s="1253" t="s">
        <v>1648</v>
      </c>
      <c r="C75" s="1253"/>
      <c r="D75" s="1253"/>
      <c r="E75" s="560">
        <v>452000000</v>
      </c>
      <c r="F75" s="561">
        <f>COUNTIF('Actualizada - presupuesto'!$E$7:$E$111,B75)</f>
        <v>3</v>
      </c>
      <c r="G75" s="561"/>
      <c r="H75" s="561"/>
      <c r="I75" s="561"/>
      <c r="J75" s="560">
        <f>SUM(J77:J80)</f>
        <v>486905000</v>
      </c>
      <c r="K75" s="580">
        <f>J75/E75</f>
        <v>1.0772234513274337</v>
      </c>
      <c r="L75" s="560">
        <f>SUM(L77:L80)</f>
        <v>0</v>
      </c>
      <c r="M75" s="605">
        <v>0</v>
      </c>
      <c r="N75" s="560">
        <f>+E75-J75-L75</f>
        <v>-34905000</v>
      </c>
      <c r="O75" s="655"/>
      <c r="P75" s="562" t="str">
        <f>IF(ISERROR(VLOOKUP(B75,'Base de Datos'!$C$7:$N$315,8,0))=TRUE," ",(VLOOKUP(B75,'Base de Datos'!$C$7:$N$315,8,0)))</f>
        <v xml:space="preserve"> </v>
      </c>
      <c r="Q75" s="563"/>
      <c r="R75" s="562" t="str">
        <f>IF(ISERROR(VLOOKUP(B75,'Base de Datos'!$C$7:$N$315,9,0))=TRUE," ",(VLOOKUP(B75,'Base de Datos'!$C$7:$N$315,9,0)))</f>
        <v xml:space="preserve"> </v>
      </c>
      <c r="S75" s="562" t="str">
        <f>IF(ISERROR(VLOOKUP(B75,'Base de Datos'!$C$7:$N$315,10,0))=TRUE," ",(VLOOKUP(B75,'Base de Datos'!$C$7:$N$315,10,0)))</f>
        <v xml:space="preserve"> </v>
      </c>
      <c r="T75" s="565"/>
      <c r="U75" s="694"/>
      <c r="V75" s="607"/>
    </row>
    <row r="76" spans="2:22" ht="22.8" outlineLevel="1" x14ac:dyDescent="0.3">
      <c r="B76" s="510" t="s">
        <v>1692</v>
      </c>
      <c r="C76" s="510" t="s">
        <v>912</v>
      </c>
      <c r="D76" s="510" t="s">
        <v>1821</v>
      </c>
      <c r="E76" s="518" t="s">
        <v>1845</v>
      </c>
      <c r="F76" s="507" t="s">
        <v>1852</v>
      </c>
      <c r="G76" s="507"/>
      <c r="H76" s="507"/>
      <c r="I76" s="507"/>
      <c r="J76" s="510" t="s">
        <v>1844</v>
      </c>
      <c r="K76" s="625"/>
      <c r="L76" s="510" t="s">
        <v>1938</v>
      </c>
      <c r="M76" s="510"/>
      <c r="N76" s="510" t="s">
        <v>1939</v>
      </c>
      <c r="O76" s="650"/>
      <c r="P76" s="541" t="s">
        <v>1846</v>
      </c>
      <c r="Q76" s="510" t="s">
        <v>1847</v>
      </c>
      <c r="R76" s="510" t="s">
        <v>1848</v>
      </c>
      <c r="S76" s="510" t="s">
        <v>375</v>
      </c>
      <c r="T76" s="525" t="s">
        <v>1849</v>
      </c>
      <c r="U76" s="694"/>
      <c r="V76" s="607"/>
    </row>
    <row r="77" spans="2:22" outlineLevel="1" x14ac:dyDescent="0.3">
      <c r="B77" s="510">
        <v>162</v>
      </c>
      <c r="C77" s="506" t="str">
        <f>IF(ISERROR(VLOOKUP(B77,'Base de Datos'!$C$7:$F$4092,2,0))=TRUE,"",(VLOOKUP('Presupuesto - PAA 2015'!B77,'Base de Datos'!$C$7:$F$4092,3,0)))</f>
        <v>150097-0-2015</v>
      </c>
      <c r="D77" s="506" t="str">
        <f>IF(ISERROR(VLOOKUP(B77,'Base de Datos'!$C$7:$F$4092,3,0))=TRUE,"",(VLOOKUP('Presupuesto - PAA 2015'!B77,'Base de Datos'!$C$7:$F$4092,4,0)))</f>
        <v>ORGANIZACIÓN TERPEL S.A.</v>
      </c>
      <c r="E77" s="509">
        <v>444600000</v>
      </c>
      <c r="F77" s="507" t="str">
        <f>VLOOKUP(B77,'Actualizada - presupuesto'!$D$7:$L$111,9,0)</f>
        <v>SI</v>
      </c>
      <c r="G77" s="507"/>
      <c r="H77" s="507"/>
      <c r="I77" s="507"/>
      <c r="J77" s="509">
        <f>IF(ISERROR(VLOOKUP(B77,'Base de Datos'!$C$7:$N$4092,6,0))=TRUE,"Sin Celebrar",(VLOOKUP(B77,'Base de Datos'!$C$7:$N$4092,7,0)))</f>
        <v>444600000</v>
      </c>
      <c r="K77" s="573"/>
      <c r="L77" s="509" t="str">
        <f>IF(J77=$AA$1,E77, " ")</f>
        <v xml:space="preserve"> </v>
      </c>
      <c r="M77" s="509"/>
      <c r="N77" s="509" t="str">
        <f>IF(J77&lt;E77,(E77-J77)," ")</f>
        <v xml:space="preserve"> </v>
      </c>
      <c r="O77" s="691">
        <f>IF(ISERROR(VLOOKUP(B77,'Base de Datos'!$C$7:$K$1048576,7,0))=TRUE," ",(VLOOKUP(B77,'Base de Datos'!$C$7:$K$1048576,8,0)))</f>
        <v>0</v>
      </c>
      <c r="P77" s="524">
        <f>IF(ISERROR(VLOOKUP(B77,'Base de Datos'!$C$7:$N$4077,9,0))=TRUE," ",(VLOOKUP(B77,'Base de Datos'!$C$7:$N$4077,10,0)))</f>
        <v>0</v>
      </c>
      <c r="Q77" s="506" t="s">
        <v>1850</v>
      </c>
      <c r="R77" s="524">
        <f>IF(ISERROR(VLOOKUP(B77,'Base de Datos'!$C$7:$N$4077,10,0))=TRUE," ",(VLOOKUP(B77,'Base de Datos'!$C$7:$N$4077,11,0)))</f>
        <v>42064</v>
      </c>
      <c r="S77" s="524">
        <f>IF(ISERROR(VLOOKUP(B77,'Base de Datos'!$C$7:$N$4077,11,0))=TRUE," ",(VLOOKUP(B77,'Base de Datos'!$C$7:$N$4077,12,0)))</f>
        <v>42339</v>
      </c>
      <c r="T77" s="506" t="str">
        <f>VLOOKUP(C77,'Base de Datos'!$E$7:$AU$382,39,0)</f>
        <v>LIQUIDADO</v>
      </c>
      <c r="U77" s="694"/>
      <c r="V77" s="607"/>
    </row>
    <row r="78" spans="2:22" outlineLevel="1" x14ac:dyDescent="0.3">
      <c r="B78" s="510">
        <v>163</v>
      </c>
      <c r="C78" s="506" t="str">
        <f>IF(ISERROR(VLOOKUP(B78,'Base de Datos'!$C$7:$F$4092,2,0))=TRUE,"",(VLOOKUP('Presupuesto - PAA 2015'!B78,'Base de Datos'!$C$7:$F$4092,3,0)))</f>
        <v>170139-0-2017</v>
      </c>
      <c r="D78" s="506" t="s">
        <v>1827</v>
      </c>
      <c r="E78" s="704"/>
      <c r="F78" s="507" t="str">
        <f>VLOOKUP(B78,'Actualizada - presupuesto'!$D$7:$L$111,9,0)</f>
        <v>NA</v>
      </c>
      <c r="G78" s="507"/>
      <c r="H78" s="507"/>
      <c r="I78" s="507"/>
      <c r="J78" s="509">
        <f>IF(ISERROR(VLOOKUP(B78,'Base de Datos'!$C$7:$N$4092,6,0))=TRUE,"Sin Celebrar",(VLOOKUP(B78,'Base de Datos'!$C$7:$N$4092,7,0)))</f>
        <v>13500000</v>
      </c>
      <c r="K78" s="573"/>
      <c r="L78" s="553" t="str">
        <f>IF(J78=$AA$1,E78, " ")</f>
        <v xml:space="preserve"> </v>
      </c>
      <c r="M78" s="509"/>
      <c r="N78" s="509" t="str">
        <f>IF(J78&lt;E78,(E78-J78)," ")</f>
        <v xml:space="preserve"> </v>
      </c>
      <c r="O78" s="691" t="str">
        <f>IF(ISERROR(VLOOKUP(B78,'Base de Datos'!$C$7:$K$1048576,7,0))=TRUE," ",(VLOOKUP(B78,'Base de Datos'!$C$7:$K$1048576,8,0)))</f>
        <v>170139-0-2017</v>
      </c>
      <c r="P78" s="524">
        <f>IF(ISERROR(VLOOKUP(B78,'Base de Datos'!$C$7:$N$4077,9,0))=TRUE," ",(VLOOKUP(B78,'Base de Datos'!$C$7:$N$4077,10,0)))</f>
        <v>42872</v>
      </c>
      <c r="Q78" s="506" t="s">
        <v>378</v>
      </c>
      <c r="R78" s="524">
        <f>IF(ISERROR(VLOOKUP(B78,'Base de Datos'!$C$7:$N$4077,10,0))=TRUE," ",(VLOOKUP(B78,'Base de Datos'!$C$7:$N$4077,11,0)))</f>
        <v>42887</v>
      </c>
      <c r="S78" s="524">
        <f>IF(ISERROR(VLOOKUP(B78,'Base de Datos'!$C$7:$N$4077,11,0))=TRUE," ",(VLOOKUP(B78,'Base de Datos'!$C$7:$N$4077,12,0)))</f>
        <v>43160</v>
      </c>
      <c r="T78" s="506" t="s">
        <v>1568</v>
      </c>
      <c r="U78" s="694"/>
      <c r="V78" s="607"/>
    </row>
    <row r="79" spans="2:22" ht="22.8" outlineLevel="1" x14ac:dyDescent="0.3">
      <c r="B79" s="525">
        <v>164</v>
      </c>
      <c r="C79" s="506" t="str">
        <f>IF(ISERROR(VLOOKUP(B79,'Base de Datos'!$C$7:$F$4092,2,0))=TRUE,"",(VLOOKUP('Presupuesto - PAA 2015'!B79,'Base de Datos'!$C$7:$F$4092,3,0)))</f>
        <v>150358-0-2015</v>
      </c>
      <c r="D79" s="506" t="str">
        <f>IF(ISERROR(VLOOKUP(B79,'Base de Datos'!$C$7:$F$4092,3,0))=TRUE,"",(VLOOKUP('Presupuesto - PAA 2015'!B79,'Base de Datos'!$C$7:$F$4092,4,0)))</f>
        <v>MITSU MOTORS SERVICE S.A.S.</v>
      </c>
      <c r="E79" s="527">
        <v>3415000</v>
      </c>
      <c r="F79" s="507" t="str">
        <f>VLOOKUP(B79,'Actualizada - presupuesto'!$D$7:$L$111,9,0)</f>
        <v>SI</v>
      </c>
      <c r="G79" s="528"/>
      <c r="H79" s="528"/>
      <c r="I79" s="528"/>
      <c r="J79" s="509">
        <f>IF(ISERROR(VLOOKUP(B79,'Base de Datos'!$C$7:$N$4092,6,0))=TRUE,"Sin Celebrar",(VLOOKUP(B79,'Base de Datos'!$C$7:$N$4092,7,0)))</f>
        <v>28805000</v>
      </c>
      <c r="K79" s="577"/>
      <c r="L79" s="553" t="str">
        <f>IF(J79=$AA$1,E79, " ")</f>
        <v xml:space="preserve"> </v>
      </c>
      <c r="M79" s="527"/>
      <c r="N79" s="527" t="str">
        <f>IF(J79&lt;E79,(E79-J79)," ")</f>
        <v xml:space="preserve"> </v>
      </c>
      <c r="O79" s="691" t="str">
        <f>IF(ISERROR(VLOOKUP(B79,'Base de Datos'!$C$7:$K$1048576,7,0))=TRUE," ",(VLOOKUP(B79,'Base de Datos'!$C$7:$K$1048576,8,0)))</f>
        <v>SDH-SMINC-053-2015</v>
      </c>
      <c r="P79" s="524">
        <f>IF(ISERROR(VLOOKUP(B79,'Base de Datos'!$C$7:$N$4077,9,0))=TRUE," ",(VLOOKUP(B79,'Base de Datos'!$C$7:$N$4077,10,0)))</f>
        <v>42268</v>
      </c>
      <c r="Q79" s="526" t="s">
        <v>1850</v>
      </c>
      <c r="R79" s="524">
        <f>IF(ISERROR(VLOOKUP(B79,'Base de Datos'!$C$7:$N$4077,10,0))=TRUE," ",(VLOOKUP(B79,'Base de Datos'!$C$7:$N$4077,11,0)))</f>
        <v>42296</v>
      </c>
      <c r="S79" s="524">
        <f>IF(ISERROR(VLOOKUP(B79,'Base de Datos'!$C$7:$N$4077,11,0))=TRUE," ",(VLOOKUP(B79,'Base de Datos'!$C$7:$N$4077,12,0)))</f>
        <v>42662</v>
      </c>
      <c r="T79" s="506" t="str">
        <f>VLOOKUP(C79,'Base de Datos'!$E$7:$AU$382,39,0)</f>
        <v>LIQUIDADO</v>
      </c>
      <c r="U79" s="694"/>
      <c r="V79" s="607"/>
    </row>
    <row r="80" spans="2:22" ht="12" outlineLevel="1" x14ac:dyDescent="0.3">
      <c r="B80" s="621"/>
      <c r="C80" s="621"/>
      <c r="D80" s="506" t="s">
        <v>1937</v>
      </c>
      <c r="E80" s="509">
        <f>E75-(SUM(E77:E79))</f>
        <v>3985000</v>
      </c>
      <c r="F80" s="620"/>
      <c r="G80" s="507"/>
      <c r="H80" s="507"/>
      <c r="I80" s="507"/>
      <c r="J80" s="527"/>
      <c r="K80" s="573"/>
      <c r="L80" s="527"/>
      <c r="M80" s="509"/>
      <c r="N80" s="527">
        <f>IF(J80&lt;E80,(E80-J80)," ")</f>
        <v>3985000</v>
      </c>
      <c r="O80" s="652"/>
      <c r="P80" s="524" t="str">
        <f>IF(ISERROR(VLOOKUP(B80,'Base de Datos'!$C$7:$N$315,9,0))=TRUE," ",(VLOOKUP(B80,'Base de Datos'!$C$7:$N$315,9,0)))</f>
        <v xml:space="preserve"> </v>
      </c>
      <c r="Q80" s="506"/>
      <c r="R80" s="529" t="str">
        <f>IF(ISERROR(VLOOKUP(B80,'Base de Datos'!$C$7:$N$315,10,0))=TRUE," ",(VLOOKUP(B80,'Base de Datos'!$C$7:$N$315,10,0)))</f>
        <v xml:space="preserve"> </v>
      </c>
      <c r="S80" s="529" t="str">
        <f>IF(ISERROR(VLOOKUP(B80,'Base de Datos'!$C$7:$N$315,11,0))=TRUE," ",(VLOOKUP(B80,'Base de Datos'!$C$7:$N$315,11,0)))</f>
        <v xml:space="preserve"> </v>
      </c>
      <c r="T80" s="693"/>
      <c r="U80" s="694"/>
      <c r="V80" s="607"/>
    </row>
    <row r="81" spans="2:22" ht="12" outlineLevel="1" x14ac:dyDescent="0.3">
      <c r="B81" s="621"/>
      <c r="C81" s="621"/>
      <c r="D81" s="621"/>
      <c r="E81" s="509"/>
      <c r="F81" s="620"/>
      <c r="G81" s="620"/>
      <c r="H81" s="620"/>
      <c r="I81" s="620"/>
      <c r="J81" s="509"/>
      <c r="K81" s="573"/>
      <c r="L81" s="509"/>
      <c r="M81" s="509"/>
      <c r="N81" s="509"/>
      <c r="O81" s="651"/>
      <c r="P81" s="524"/>
      <c r="Q81" s="506"/>
      <c r="R81" s="524"/>
      <c r="S81" s="524"/>
      <c r="T81" s="506"/>
      <c r="U81" s="694"/>
      <c r="V81" s="607"/>
    </row>
    <row r="82" spans="2:22" ht="15" customHeight="1" x14ac:dyDescent="0.3">
      <c r="B82" s="1253" t="s">
        <v>1649</v>
      </c>
      <c r="C82" s="1253"/>
      <c r="D82" s="1253"/>
      <c r="E82" s="560">
        <v>223000000</v>
      </c>
      <c r="F82" s="561">
        <f>COUNTIF('Actualizada - presupuesto'!$E$7:$E$111,B82)</f>
        <v>4</v>
      </c>
      <c r="G82" s="561"/>
      <c r="H82" s="561"/>
      <c r="I82" s="561"/>
      <c r="J82" s="560">
        <f>SUM(J84:J88)</f>
        <v>208212000</v>
      </c>
      <c r="K82" s="580">
        <f>J82/E82</f>
        <v>0.93368609865470853</v>
      </c>
      <c r="L82" s="560">
        <f>SUM(L84:L88)</f>
        <v>0</v>
      </c>
      <c r="M82" s="605">
        <f>+E82-(J82+L82)</f>
        <v>14788000</v>
      </c>
      <c r="N82" s="560">
        <f>+E82-J82-L82</f>
        <v>14788000</v>
      </c>
      <c r="O82" s="655"/>
      <c r="P82" s="562" t="str">
        <f>IF(ISERROR(VLOOKUP(B82,'Base de Datos'!$C$7:$N$315,8,0))=TRUE," ",(VLOOKUP(B82,'Base de Datos'!$C$7:$N$315,8,0)))</f>
        <v xml:space="preserve"> </v>
      </c>
      <c r="Q82" s="563"/>
      <c r="R82" s="562" t="str">
        <f>IF(ISERROR(VLOOKUP(B82,'Base de Datos'!$C$7:$N$315,9,0))=TRUE," ",(VLOOKUP(B82,'Base de Datos'!$C$7:$N$315,9,0)))</f>
        <v xml:space="preserve"> </v>
      </c>
      <c r="S82" s="562" t="str">
        <f>IF(ISERROR(VLOOKUP(B82,'Base de Datos'!$C$7:$N$315,10,0))=TRUE," ",(VLOOKUP(B82,'Base de Datos'!$C$7:$N$315,10,0)))</f>
        <v xml:space="preserve"> </v>
      </c>
      <c r="T82" s="565"/>
      <c r="U82" s="694"/>
      <c r="V82" s="607"/>
    </row>
    <row r="83" spans="2:22" ht="22.8" outlineLevel="1" x14ac:dyDescent="0.3">
      <c r="B83" s="510" t="s">
        <v>1692</v>
      </c>
      <c r="C83" s="510" t="s">
        <v>912</v>
      </c>
      <c r="D83" s="510" t="s">
        <v>1821</v>
      </c>
      <c r="E83" s="518" t="s">
        <v>1845</v>
      </c>
      <c r="F83" s="507" t="s">
        <v>1852</v>
      </c>
      <c r="G83" s="507"/>
      <c r="H83" s="507"/>
      <c r="I83" s="507"/>
      <c r="J83" s="510" t="s">
        <v>1844</v>
      </c>
      <c r="K83" s="625"/>
      <c r="L83" s="510" t="s">
        <v>1938</v>
      </c>
      <c r="M83" s="510"/>
      <c r="N83" s="510" t="s">
        <v>1939</v>
      </c>
      <c r="O83" s="650"/>
      <c r="P83" s="541" t="s">
        <v>1846</v>
      </c>
      <c r="Q83" s="510" t="s">
        <v>1847</v>
      </c>
      <c r="R83" s="510" t="s">
        <v>1848</v>
      </c>
      <c r="S83" s="510" t="s">
        <v>375</v>
      </c>
      <c r="T83" s="510" t="s">
        <v>1849</v>
      </c>
      <c r="U83" s="694"/>
      <c r="V83" s="607"/>
    </row>
    <row r="84" spans="2:22" outlineLevel="1" x14ac:dyDescent="0.3">
      <c r="B84" s="510">
        <v>165</v>
      </c>
      <c r="C84" s="506" t="str">
        <f>IF(ISERROR(VLOOKUP(B84,'Base de Datos'!$C$7:$F$4092,2,0))=TRUE,"",(VLOOKUP('Presupuesto - PAA 2015'!B84,'Base de Datos'!$C$7:$F$4092,3,0)))</f>
        <v>150265-0-2015</v>
      </c>
      <c r="D84" s="506" t="str">
        <f>IF(ISERROR(VLOOKUP(B84,'Base de Datos'!$C$7:$F$4092,3,0))=TRUE,"",(VLOOKUP('Presupuesto - PAA 2015'!B84,'Base de Datos'!$C$7:$F$4092,4,0)))</f>
        <v>FLOREZ &amp; ALVAREZ S.A.</v>
      </c>
      <c r="E84" s="509">
        <v>133000000</v>
      </c>
      <c r="F84" s="507" t="str">
        <f>VLOOKUP(B84,'Actualizada - presupuesto'!$D$7:$L$111,9,0)</f>
        <v>SI</v>
      </c>
      <c r="G84" s="507"/>
      <c r="H84" s="507"/>
      <c r="I84" s="507"/>
      <c r="J84" s="509">
        <v>133000000</v>
      </c>
      <c r="K84" s="573"/>
      <c r="L84" s="509" t="str">
        <f>IF(J84=$AA$1,E84, " ")</f>
        <v xml:space="preserve"> </v>
      </c>
      <c r="M84" s="509"/>
      <c r="N84" s="509" t="str">
        <f>IF(J84&lt;E84,(E84-J84)," ")</f>
        <v xml:space="preserve"> </v>
      </c>
      <c r="O84" s="691" t="str">
        <f>IF(ISERROR(VLOOKUP(B84,'Base de Datos'!$C$7:$K$1048576,7,0))=TRUE," ",(VLOOKUP(B84,'Base de Datos'!$C$7:$K$1048576,8,0)))</f>
        <v>SDH-SIE-05-2015</v>
      </c>
      <c r="P84" s="524">
        <f>IF(ISERROR(VLOOKUP(B84,'Base de Datos'!$C$7:$N$4077,9,0))=TRUE," ",(VLOOKUP(B84,'Base de Datos'!$C$7:$N$4077,10,0)))</f>
        <v>42174</v>
      </c>
      <c r="Q84" s="506" t="s">
        <v>1853</v>
      </c>
      <c r="R84" s="524">
        <f>IF(ISERROR(VLOOKUP(B84,'Base de Datos'!$C$7:$N$4077,10,0))=TRUE," ",(VLOOKUP(B84,'Base de Datos'!$C$7:$N$4077,11,0)))</f>
        <v>42187</v>
      </c>
      <c r="S84" s="524">
        <f>IF(ISERROR(VLOOKUP(B84,'Base de Datos'!$C$7:$N$4077,11,0))=TRUE," ",(VLOOKUP(B84,'Base de Datos'!$C$7:$N$4077,12,0)))</f>
        <v>42492</v>
      </c>
      <c r="T84" s="506" t="str">
        <f>VLOOKUP(C84,'Base de Datos'!$E$7:$AU$382,39,0)</f>
        <v>EN TRÁMITE</v>
      </c>
      <c r="U84" s="694"/>
      <c r="V84" s="607"/>
    </row>
    <row r="85" spans="2:22" ht="17.25" customHeight="1" outlineLevel="1" x14ac:dyDescent="0.3">
      <c r="B85" s="510">
        <v>166</v>
      </c>
      <c r="C85" s="506" t="str">
        <f>IF(ISERROR(VLOOKUP(B85,'Base de Datos'!$C$7:$F$4092,2,0))=TRUE,"",(VLOOKUP('Presupuesto - PAA 2015'!B85,'Base de Datos'!$C$7:$F$4092,3,0)))</f>
        <v>150232-0-2015</v>
      </c>
      <c r="D85" s="506" t="str">
        <f>IF(ISERROR(VLOOKUP(B85,'Base de Datos'!$C$7:$F$4092,3,0))=TRUE,"",(VLOOKUP('Presupuesto - PAA 2015'!B85,'Base de Datos'!$C$7:$F$4092,4,0)))</f>
        <v>FORMARCHIVOS Y SUMINISTROS SAS</v>
      </c>
      <c r="E85" s="509">
        <v>5000000</v>
      </c>
      <c r="F85" s="507" t="str">
        <f>VLOOKUP(B85,'Actualizada - presupuesto'!$D$7:$L$111,9,0)</f>
        <v>SI</v>
      </c>
      <c r="G85" s="507"/>
      <c r="H85" s="507"/>
      <c r="I85" s="507"/>
      <c r="J85" s="509">
        <f>IF(ISERROR(VLOOKUP(B85,'Base de Datos'!$C$7:$N$4092,6,0))=TRUE,"Sin Celebrar",(VLOOKUP(B85,'Base de Datos'!$C$7:$N$4092,7,0)))</f>
        <v>5000000</v>
      </c>
      <c r="K85" s="573"/>
      <c r="L85" s="509" t="str">
        <f>IF(J85=$AA$1,E85, " ")</f>
        <v xml:space="preserve"> </v>
      </c>
      <c r="M85" s="509"/>
      <c r="N85" s="509" t="str">
        <f>IF(J85&lt;E85,(E85-J85)," ")</f>
        <v xml:space="preserve"> </v>
      </c>
      <c r="O85" s="691" t="str">
        <f>IF(ISERROR(VLOOKUP(B85,'Base de Datos'!$C$7:$K$1048576,7,0))=TRUE," ",(VLOOKUP(B85,'Base de Datos'!$C$7:$K$1048576,8,0)))</f>
        <v>SDH-SMINC-26-2015</v>
      </c>
      <c r="P85" s="524">
        <f>IF(ISERROR(VLOOKUP(B85,'Base de Datos'!$C$7:$N$4077,9,0))=TRUE," ",(VLOOKUP(B85,'Base de Datos'!$C$7:$N$4077,10,0)))</f>
        <v>42149</v>
      </c>
      <c r="Q85" s="506" t="s">
        <v>1854</v>
      </c>
      <c r="R85" s="524">
        <f>IF(ISERROR(VLOOKUP(B85,'Base de Datos'!$C$7:$N$4077,10,0))=TRUE," ",(VLOOKUP(B85,'Base de Datos'!$C$7:$N$4077,11,0)))</f>
        <v>42160</v>
      </c>
      <c r="S85" s="524">
        <f>IF(ISERROR(VLOOKUP(B85,'Base de Datos'!$C$7:$N$4077,11,0))=TRUE," ",(VLOOKUP(B85,'Base de Datos'!$C$7:$N$4077,12,0)))</f>
        <v>42252</v>
      </c>
      <c r="T85" s="506" t="str">
        <f>VLOOKUP(C85,'Base de Datos'!$E$7:$AU$382,39,0)</f>
        <v>LIQUIDADO</v>
      </c>
      <c r="U85" s="694"/>
      <c r="V85" s="607"/>
    </row>
    <row r="86" spans="2:22" outlineLevel="1" x14ac:dyDescent="0.3">
      <c r="B86" s="510">
        <v>167</v>
      </c>
      <c r="C86" s="506" t="str">
        <f>IF(ISERROR(VLOOKUP(B86,'Base de Datos'!$C$7:$F$4092,2,0))=TRUE,"",(VLOOKUP('Presupuesto - PAA 2015'!B86,'Base de Datos'!$C$7:$F$4092,3,0)))</f>
        <v>150252-0-2015</v>
      </c>
      <c r="D86" s="506" t="str">
        <f>IF(ISERROR(VLOOKUP(B86,'Base de Datos'!$C$7:$F$4092,3,0))=TRUE,"",(VLOOKUP('Presupuesto - PAA 2015'!B86,'Base de Datos'!$C$7:$F$4092,4,0)))</f>
        <v xml:space="preserve">INSTITUCIONAL STAR SERVICES LTDA </v>
      </c>
      <c r="E86" s="509">
        <v>69400000</v>
      </c>
      <c r="F86" s="507" t="str">
        <f>VLOOKUP(B86,'Actualizada - presupuesto'!$D$7:$L$111,9,0)</f>
        <v>SI</v>
      </c>
      <c r="G86" s="507"/>
      <c r="H86" s="507"/>
      <c r="I86" s="507"/>
      <c r="J86" s="509">
        <f>IF(ISERROR(VLOOKUP(B86,'Base de Datos'!$C$7:$N$4092,6,0))=TRUE,"Sin Celebrar",(VLOOKUP(B86,'Base de Datos'!$C$7:$N$4092,7,0)))</f>
        <v>69400000</v>
      </c>
      <c r="K86" s="573"/>
      <c r="L86" s="509" t="str">
        <f>IF(J86=$AA$1,E86, " ")</f>
        <v xml:space="preserve"> </v>
      </c>
      <c r="M86" s="509"/>
      <c r="N86" s="509" t="str">
        <f>IF(J86&lt;E86,(E86-J86)," ")</f>
        <v xml:space="preserve"> </v>
      </c>
      <c r="O86" s="691" t="str">
        <f>IF(ISERROR(VLOOKUP(B86,'Base de Datos'!$C$7:$K$1048576,7,0))=TRUE," ",(VLOOKUP(B86,'Base de Datos'!$C$7:$K$1048576,8,0)))</f>
        <v>SDH-SIE-06-2015</v>
      </c>
      <c r="P86" s="524">
        <f>IF(ISERROR(VLOOKUP(B86,'Base de Datos'!$C$7:$N$4077,9,0))=TRUE," ",(VLOOKUP(B86,'Base de Datos'!$C$7:$N$4077,10,0)))</f>
        <v>42167</v>
      </c>
      <c r="Q86" s="506" t="s">
        <v>1850</v>
      </c>
      <c r="R86" s="524">
        <f>IF(ISERROR(VLOOKUP(B86,'Base de Datos'!$C$7:$N$4077,10,0))=TRUE," ",(VLOOKUP(B86,'Base de Datos'!$C$7:$N$4077,11,0)))</f>
        <v>42186</v>
      </c>
      <c r="S86" s="524">
        <f>IF(ISERROR(VLOOKUP(B86,'Base de Datos'!$C$7:$N$4077,11,0))=TRUE," ",(VLOOKUP(B86,'Base de Datos'!$C$7:$N$4077,12,0)))</f>
        <v>42491</v>
      </c>
      <c r="T86" s="506" t="str">
        <f>VLOOKUP(C86,'Base de Datos'!$E$7:$AU$382,39,0)</f>
        <v>LIQUIDADO</v>
      </c>
      <c r="U86" s="694"/>
      <c r="V86" s="607"/>
    </row>
    <row r="87" spans="2:22" ht="16.5" customHeight="1" outlineLevel="1" x14ac:dyDescent="0.3">
      <c r="B87" s="525">
        <v>266</v>
      </c>
      <c r="C87" s="506" t="str">
        <f>IF(ISERROR(VLOOKUP(B87,'Base de Datos'!$C$7:$F$4092,2,0))=TRUE,"",(VLOOKUP('Presupuesto - PAA 2015'!B87,'Base de Datos'!$C$7:$F$4092,3,0)))</f>
        <v>150331-0-2015</v>
      </c>
      <c r="D87" s="506" t="str">
        <f>IF(ISERROR(VLOOKUP(B87,'Base de Datos'!$C$7:$F$4092,3,0))=TRUE,"",(VLOOKUP('Presupuesto - PAA 2015'!B87,'Base de Datos'!$C$7:$F$4092,4,0)))</f>
        <v xml:space="preserve">VIDEO BEAMS Y LAMPARAS SAS </v>
      </c>
      <c r="E87" s="527">
        <v>812000</v>
      </c>
      <c r="F87" s="507" t="str">
        <f>VLOOKUP(B87,'Actualizada - presupuesto'!$D$7:$L$111,9,0)</f>
        <v>SI</v>
      </c>
      <c r="G87" s="528"/>
      <c r="H87" s="528"/>
      <c r="I87" s="528"/>
      <c r="J87" s="509">
        <f>IF(ISERROR(VLOOKUP(B87,'Base de Datos'!$C$7:$N$4092,6,0))=TRUE,"Sin Celebrar",(VLOOKUP(B87,'Base de Datos'!$C$7:$N$4092,7,0)))</f>
        <v>812000</v>
      </c>
      <c r="K87" s="577"/>
      <c r="L87" s="527" t="str">
        <f>IF(J87=$AA$1,E87, " ")</f>
        <v xml:space="preserve"> </v>
      </c>
      <c r="M87" s="527"/>
      <c r="N87" s="527" t="str">
        <f>IF(J87&lt;E87,(E87-J87)," ")</f>
        <v xml:space="preserve"> </v>
      </c>
      <c r="O87" s="691" t="str">
        <f>IF(ISERROR(VLOOKUP(B87,'Base de Datos'!$C$7:$K$1048576,7,0))=TRUE," ",(VLOOKUP(B87,'Base de Datos'!$C$7:$K$1048576,8,0)))</f>
        <v>SDH-SMINC-047-2015</v>
      </c>
      <c r="P87" s="524">
        <f>IF(ISERROR(VLOOKUP(B87,'Base de Datos'!$C$7:$N$4077,9,0))=TRUE," ",(VLOOKUP(B87,'Base de Datos'!$C$7:$N$4077,10,0)))</f>
        <v>42220</v>
      </c>
      <c r="Q87" s="526" t="s">
        <v>381</v>
      </c>
      <c r="R87" s="524">
        <f>IF(ISERROR(VLOOKUP(B87,'Base de Datos'!$C$7:$N$4077,10,0))=TRUE," ",(VLOOKUP(B87,'Base de Datos'!$C$7:$N$4077,11,0)))</f>
        <v>42235</v>
      </c>
      <c r="S87" s="524">
        <f>IF(ISERROR(VLOOKUP(B87,'Base de Datos'!$C$7:$N$4077,11,0))=TRUE," ",(VLOOKUP(B87,'Base de Datos'!$C$7:$N$4077,12,0)))</f>
        <v>42265</v>
      </c>
      <c r="T87" s="506" t="str">
        <f>VLOOKUP(C87,'Base de Datos'!$E$7:$AU$382,39,0)</f>
        <v>LIQUIDADO</v>
      </c>
      <c r="U87" s="694"/>
      <c r="V87" s="607"/>
    </row>
    <row r="88" spans="2:22" ht="12" outlineLevel="1" x14ac:dyDescent="0.3">
      <c r="B88" s="621"/>
      <c r="C88" s="621"/>
      <c r="D88" s="506" t="s">
        <v>1934</v>
      </c>
      <c r="E88" s="509">
        <f>E82-SUM(E84:E87)</f>
        <v>14788000</v>
      </c>
      <c r="F88" s="507"/>
      <c r="G88" s="507"/>
      <c r="H88" s="507"/>
      <c r="I88" s="507"/>
      <c r="J88" s="509"/>
      <c r="K88" s="573"/>
      <c r="L88" s="527"/>
      <c r="M88" s="509"/>
      <c r="N88" s="527">
        <f>IF(J88&lt;E88,(E88-J88)," ")</f>
        <v>14788000</v>
      </c>
      <c r="O88" s="652"/>
      <c r="P88" s="524" t="str">
        <f>IF(ISERROR(VLOOKUP(B88,'Base de Datos'!$C$7:$N$315,9,0))=TRUE," ",(VLOOKUP(B88,'Base de Datos'!$C$7:$N$315,9,0)))</f>
        <v xml:space="preserve"> </v>
      </c>
      <c r="Q88" s="506"/>
      <c r="R88" s="529" t="str">
        <f>IF(ISERROR(VLOOKUP(B88,'Base de Datos'!$C$7:$N$315,10,0))=TRUE," ",(VLOOKUP(B88,'Base de Datos'!$C$7:$N$315,10,0)))</f>
        <v xml:space="preserve"> </v>
      </c>
      <c r="S88" s="529" t="str">
        <f>IF(ISERROR(VLOOKUP(B88,'Base de Datos'!$C$7:$N$315,11,0))=TRUE," ",(VLOOKUP(B88,'Base de Datos'!$C$7:$N$315,11,0)))</f>
        <v xml:space="preserve"> </v>
      </c>
      <c r="T88" s="506"/>
      <c r="U88" s="694"/>
      <c r="V88" s="607"/>
    </row>
    <row r="89" spans="2:22" ht="12" outlineLevel="1" x14ac:dyDescent="0.3">
      <c r="B89" s="621"/>
      <c r="C89" s="621"/>
      <c r="D89" s="621"/>
      <c r="E89" s="509"/>
      <c r="F89" s="507"/>
      <c r="G89" s="507"/>
      <c r="H89" s="507"/>
      <c r="I89" s="507"/>
      <c r="J89" s="509"/>
      <c r="K89" s="573"/>
      <c r="L89" s="509"/>
      <c r="M89" s="509"/>
      <c r="N89" s="509"/>
      <c r="O89" s="651"/>
      <c r="P89" s="524"/>
      <c r="Q89" s="506"/>
      <c r="R89" s="524"/>
      <c r="S89" s="524"/>
      <c r="T89" s="506"/>
      <c r="U89" s="694"/>
      <c r="V89" s="607"/>
    </row>
    <row r="90" spans="2:22" ht="15" customHeight="1" x14ac:dyDescent="0.3">
      <c r="B90" s="1254" t="s">
        <v>1650</v>
      </c>
      <c r="C90" s="1254"/>
      <c r="D90" s="1254"/>
      <c r="E90" s="530">
        <v>7026221000</v>
      </c>
      <c r="F90" s="531">
        <f>COUNTIF('Actualizada - presupuesto'!$E$7:$E$111,B90)</f>
        <v>0</v>
      </c>
      <c r="G90" s="531"/>
      <c r="H90" s="531"/>
      <c r="I90" s="531"/>
      <c r="J90" s="540">
        <f>+J91+J100+J116+J139+J158+J175+J180+J188+J196+J204+J209</f>
        <v>6311862387</v>
      </c>
      <c r="K90" s="583">
        <f>J90/E90</f>
        <v>0.89832961231933928</v>
      </c>
      <c r="L90" s="540">
        <f>+L91+L100+L116+L139+L158+L175+L180+L188+L196+L204+L209</f>
        <v>377745025</v>
      </c>
      <c r="M90" s="626">
        <v>0</v>
      </c>
      <c r="N90" s="540">
        <f>+N91+N100+N116+N139+N158+N175+N180+N188+N196+N204+N209</f>
        <v>336613570</v>
      </c>
      <c r="O90" s="658"/>
      <c r="P90" s="540"/>
      <c r="Q90" s="547"/>
      <c r="R90" s="546" t="str">
        <f>IF(ISERROR(VLOOKUP(B90,'Base de Datos'!$C$7:$N$315,9,0))=TRUE," ",(VLOOKUP(B90,'Base de Datos'!$C$7:$N$315,9,0)))</f>
        <v xml:space="preserve"> </v>
      </c>
      <c r="S90" s="546" t="str">
        <f>IF(ISERROR(VLOOKUP(B90,'Base de Datos'!$C$7:$N$315,10,0))=TRUE," ",(VLOOKUP(B90,'Base de Datos'!$C$7:$N$315,10,0)))</f>
        <v xml:space="preserve"> </v>
      </c>
      <c r="T90" s="542"/>
      <c r="U90" s="694"/>
      <c r="V90" s="607"/>
    </row>
    <row r="91" spans="2:22" ht="15" customHeight="1" x14ac:dyDescent="0.3">
      <c r="B91" s="1239" t="s">
        <v>1651</v>
      </c>
      <c r="C91" s="1239"/>
      <c r="D91" s="1239"/>
      <c r="E91" s="554">
        <v>229000000</v>
      </c>
      <c r="F91" s="559">
        <f>COUNTIF('Actualizada - presupuesto'!$E$7:$E$111,B91)</f>
        <v>5</v>
      </c>
      <c r="G91" s="559"/>
      <c r="H91" s="559"/>
      <c r="I91" s="559"/>
      <c r="J91" s="554">
        <f>SUM(J93:J98)</f>
        <v>194508146</v>
      </c>
      <c r="K91" s="576">
        <f>J91/E91</f>
        <v>0.84938055021834058</v>
      </c>
      <c r="L91" s="554">
        <f>SUM(L93:L98)</f>
        <v>0</v>
      </c>
      <c r="M91" s="605">
        <v>0</v>
      </c>
      <c r="N91" s="554">
        <f>+E91-J91-L91</f>
        <v>34491854</v>
      </c>
      <c r="O91" s="657"/>
      <c r="P91" s="564" t="str">
        <f>IF(ISERROR(VLOOKUP(B91,'Base de Datos'!$C$7:$N$315,8,0))=TRUE," ",(VLOOKUP(B91,'Base de Datos'!$C$7:$N$315,8,0)))</f>
        <v xml:space="preserve"> </v>
      </c>
      <c r="Q91" s="565"/>
      <c r="R91" s="564" t="str">
        <f>IF(ISERROR(VLOOKUP(B91,'Base de Datos'!$C$7:$N$315,9,0))=TRUE," ",(VLOOKUP(B91,'Base de Datos'!$C$7:$N$315,9,0)))</f>
        <v xml:space="preserve"> </v>
      </c>
      <c r="S91" s="564" t="str">
        <f>IF(ISERROR(VLOOKUP(B91,'Base de Datos'!$C$7:$N$315,10,0))=TRUE," ",(VLOOKUP(B91,'Base de Datos'!$C$7:$N$315,10,0)))</f>
        <v xml:space="preserve"> </v>
      </c>
      <c r="T91" s="565"/>
      <c r="U91" s="694"/>
      <c r="V91" s="607"/>
    </row>
    <row r="92" spans="2:22" ht="22.8" outlineLevel="1" x14ac:dyDescent="0.3">
      <c r="B92" s="510" t="s">
        <v>1692</v>
      </c>
      <c r="C92" s="510" t="s">
        <v>912</v>
      </c>
      <c r="D92" s="510" t="s">
        <v>1821</v>
      </c>
      <c r="E92" s="518" t="s">
        <v>1845</v>
      </c>
      <c r="F92" s="507" t="s">
        <v>1852</v>
      </c>
      <c r="G92" s="507"/>
      <c r="H92" s="507"/>
      <c r="I92" s="507"/>
      <c r="J92" s="510" t="s">
        <v>1844</v>
      </c>
      <c r="K92" s="625"/>
      <c r="L92" s="510" t="s">
        <v>1938</v>
      </c>
      <c r="M92" s="510"/>
      <c r="N92" s="510" t="s">
        <v>1939</v>
      </c>
      <c r="O92" s="650"/>
      <c r="P92" s="541" t="s">
        <v>1846</v>
      </c>
      <c r="Q92" s="510" t="s">
        <v>1847</v>
      </c>
      <c r="R92" s="510" t="s">
        <v>1848</v>
      </c>
      <c r="S92" s="510" t="s">
        <v>375</v>
      </c>
      <c r="T92" s="510" t="s">
        <v>1849</v>
      </c>
      <c r="U92" s="694"/>
      <c r="V92" s="607"/>
    </row>
    <row r="93" spans="2:22" ht="24" customHeight="1" outlineLevel="1" x14ac:dyDescent="0.3">
      <c r="B93" s="510">
        <v>68</v>
      </c>
      <c r="C93" s="506" t="str">
        <f>IF(ISERROR(VLOOKUP(B93,'Base de Datos'!$C$7:$F$4092,2,0))=TRUE,"",(VLOOKUP('Presupuesto - PAA 2015'!B93,'Base de Datos'!$C$7:$F$4092,3,0)))</f>
        <v>150104-0-2015</v>
      </c>
      <c r="D93" s="506" t="str">
        <f>IF(ISERROR(VLOOKUP(B93,'Base de Datos'!$C$7:$F$4092,3,0))=TRUE,"",(VLOOKUP('Presupuesto - PAA 2015'!B93,'Base de Datos'!$C$7:$F$4092,4,0)))</f>
        <v>EMPRESA DE TELECOMUNICACIONES DE BOGOTA S.A.   ESP</v>
      </c>
      <c r="E93" s="509">
        <v>150000000</v>
      </c>
      <c r="F93" s="507" t="str">
        <f>VLOOKUP(B93,'Actualizada - presupuesto'!$D$7:$L$111,9,0)</f>
        <v>SI</v>
      </c>
      <c r="G93" s="507"/>
      <c r="H93" s="507"/>
      <c r="I93" s="507"/>
      <c r="J93" s="509">
        <f>IF(ISERROR(VLOOKUP(B93,'Base de Datos'!$C$7:$N$4092,6,0))=TRUE,"Sin Celebrar",(VLOOKUP(B93,'Base de Datos'!$C$7:$N$4092,7,0)))</f>
        <v>150000000</v>
      </c>
      <c r="K93" s="573"/>
      <c r="L93" s="509" t="str">
        <f>IF(J93=$AA$1,E93, " ")</f>
        <v xml:space="preserve"> </v>
      </c>
      <c r="M93" s="509"/>
      <c r="N93" s="509" t="str">
        <f t="shared" ref="N93:N98" si="8">IF(J93&lt;E93,(E93-J93)," ")</f>
        <v xml:space="preserve"> </v>
      </c>
      <c r="O93" s="691" t="str">
        <f>IF(ISERROR(VLOOKUP(B93,'Base de Datos'!$C$7:$K$1048576,7,0))=TRUE," ",(VLOOKUP(B93,'Base de Datos'!$C$7:$K$1048576,8,0)))</f>
        <v>150104-0-2015</v>
      </c>
      <c r="P93" s="524">
        <f>IF(ISERROR(VLOOKUP(B93,'Base de Datos'!$C$7:$N$4077,9,0))=TRUE," ",(VLOOKUP(B93,'Base de Datos'!$C$7:$N$4077,10,0)))</f>
        <v>42066</v>
      </c>
      <c r="Q93" s="506" t="s">
        <v>1850</v>
      </c>
      <c r="R93" s="524">
        <f>IF(ISERROR(VLOOKUP(B93,'Base de Datos'!$C$7:$N$4077,10,0))=TRUE," ",(VLOOKUP(B93,'Base de Datos'!$C$7:$N$4077,11,0)))</f>
        <v>42090</v>
      </c>
      <c r="S93" s="524">
        <f>IF(ISERROR(VLOOKUP(B93,'Base de Datos'!$C$7:$N$4077,11,0))=TRUE," ",(VLOOKUP(B93,'Base de Datos'!$C$7:$N$4077,12,0)))</f>
        <v>42456</v>
      </c>
      <c r="T93" s="506" t="str">
        <f>VLOOKUP(C93,'Base de Datos'!$E$7:$AU$382,39,0)</f>
        <v>LIQUIDADO</v>
      </c>
      <c r="U93" s="694"/>
      <c r="V93" s="607"/>
    </row>
    <row r="94" spans="2:22" outlineLevel="1" x14ac:dyDescent="0.3">
      <c r="B94" s="510">
        <v>138</v>
      </c>
      <c r="C94" s="506" t="s">
        <v>283</v>
      </c>
      <c r="D94" s="511" t="s">
        <v>1959</v>
      </c>
      <c r="E94" s="509">
        <v>5100746</v>
      </c>
      <c r="F94" s="507" t="str">
        <f>VLOOKUP(B94,'Actualizada - presupuesto'!$D$7:$L$111,9,0)</f>
        <v>SI</v>
      </c>
      <c r="G94" s="507"/>
      <c r="H94" s="507"/>
      <c r="I94" s="507"/>
      <c r="J94" s="509">
        <v>5100746</v>
      </c>
      <c r="K94" s="573"/>
      <c r="L94" s="509" t="str">
        <f>IF(J94=$AA$1,E94, " ")</f>
        <v xml:space="preserve"> </v>
      </c>
      <c r="M94" s="509"/>
      <c r="N94" s="509" t="str">
        <f t="shared" si="8"/>
        <v xml:space="preserve"> </v>
      </c>
      <c r="O94" s="691" t="str">
        <f>IF(ISERROR(VLOOKUP(B94,'Base de Datos'!$C$7:$K$1048576,7,0))=TRUE," ",(VLOOKUP(B94,'Base de Datos'!$C$7:$K$1048576,8,0)))</f>
        <v>160245-0-2016</v>
      </c>
      <c r="P94" s="524">
        <f>IF(ISERROR(VLOOKUP(B94,'Base de Datos'!$C$7:$N$4077,9,0))=TRUE," ",(VLOOKUP(B94,'Base de Datos'!$C$7:$N$4077,10,0)))</f>
        <v>42643</v>
      </c>
      <c r="Q94" s="506" t="s">
        <v>378</v>
      </c>
      <c r="R94" s="524">
        <f>IF(ISERROR(VLOOKUP(B94,'Base de Datos'!$C$7:$N$4077,10,0))=TRUE," ",(VLOOKUP(B94,'Base de Datos'!$C$7:$N$4077,11,0)))</f>
        <v>42703</v>
      </c>
      <c r="S94" s="524">
        <f>IF(ISERROR(VLOOKUP(B94,'Base de Datos'!$C$7:$N$4077,11,0))=TRUE," ",(VLOOKUP(B94,'Base de Datos'!$C$7:$N$4077,12,0)))</f>
        <v>43068</v>
      </c>
      <c r="T94" s="506" t="str">
        <f>VLOOKUP(C94,'Base de Datos'!$E$7:$AU$382,39,0)</f>
        <v>LIQUIDADO</v>
      </c>
      <c r="U94" s="694"/>
      <c r="V94" s="607"/>
    </row>
    <row r="95" spans="2:22" ht="15" customHeight="1" outlineLevel="1" x14ac:dyDescent="0.3">
      <c r="B95" s="510">
        <v>139</v>
      </c>
      <c r="C95" s="506" t="str">
        <f>IF(ISERROR(VLOOKUP(B95,'Base de Datos'!$C$7:$F$4092,2,0))=TRUE,"",(VLOOKUP('Presupuesto - PAA 2015'!B95,'Base de Datos'!$C$7:$F$4092,3,0)))</f>
        <v>150262-0-2015</v>
      </c>
      <c r="D95" s="506" t="str">
        <f>IF(ISERROR(VLOOKUP(B95,'Base de Datos'!$C$7:$F$4092,3,0))=TRUE,"",(VLOOKUP('Presupuesto - PAA 2015'!B95,'Base de Datos'!$C$7:$F$4092,4,0)))</f>
        <v xml:space="preserve">DIRECTV COLOMBIA LTDA  </v>
      </c>
      <c r="E95" s="509">
        <v>1607400</v>
      </c>
      <c r="F95" s="507" t="str">
        <f>VLOOKUP(B95,'Actualizada - presupuesto'!$D$7:$L$111,9,0)</f>
        <v>SI</v>
      </c>
      <c r="G95" s="507"/>
      <c r="H95" s="507"/>
      <c r="I95" s="507"/>
      <c r="J95" s="509">
        <f>IF(ISERROR(VLOOKUP(B95,'Base de Datos'!$C$7:$N$4092,6,0))=TRUE,"Sin Celebrar",(VLOOKUP(B95,'Base de Datos'!$C$7:$N$4092,7,0)))</f>
        <v>1607400</v>
      </c>
      <c r="K95" s="573"/>
      <c r="L95" s="509" t="str">
        <f>IF(J95=$AA$1,E95, " ")</f>
        <v xml:space="preserve"> </v>
      </c>
      <c r="M95" s="509"/>
      <c r="N95" s="509" t="str">
        <f t="shared" si="8"/>
        <v xml:space="preserve"> </v>
      </c>
      <c r="O95" s="691" t="str">
        <f>IF(ISERROR(VLOOKUP(B95,'Base de Datos'!$C$7:$K$1048576,7,0))=TRUE," ",(VLOOKUP(B95,'Base de Datos'!$C$7:$K$1048576,8,0)))</f>
        <v xml:space="preserve">    SDH-SMINC-035-2015        </v>
      </c>
      <c r="P95" s="524">
        <f>IF(ISERROR(VLOOKUP(B95,'Base de Datos'!$C$7:$N$4077,9,0))=TRUE," ",(VLOOKUP(B95,'Base de Datos'!$C$7:$N$4077,10,0)))</f>
        <v>42172</v>
      </c>
      <c r="Q95" s="506" t="s">
        <v>1850</v>
      </c>
      <c r="R95" s="524">
        <f>IF(ISERROR(VLOOKUP(B95,'Base de Datos'!$C$7:$N$4077,10,0))=TRUE," ",(VLOOKUP(B95,'Base de Datos'!$C$7:$N$4077,11,0)))</f>
        <v>42202</v>
      </c>
      <c r="S95" s="524">
        <f>IF(ISERROR(VLOOKUP(B95,'Base de Datos'!$C$7:$N$4077,11,0))=TRUE," ",(VLOOKUP(B95,'Base de Datos'!$C$7:$N$4077,12,0)))</f>
        <v>42567</v>
      </c>
      <c r="T95" s="506" t="str">
        <f>VLOOKUP(C95,'Base de Datos'!$E$7:$AU$382,39,0)</f>
        <v>DEVUELTO</v>
      </c>
      <c r="U95" s="694"/>
      <c r="V95" s="607"/>
    </row>
    <row r="96" spans="2:22" ht="13.5" customHeight="1" outlineLevel="1" x14ac:dyDescent="0.3">
      <c r="B96" s="510">
        <v>168</v>
      </c>
      <c r="C96" s="506" t="str">
        <f>IF(ISERROR(VLOOKUP(B96,'Base de Datos'!$C$7:$F$4092,2,0))=TRUE,"",(VLOOKUP('Presupuesto - PAA 2015'!B96,'Base de Datos'!$C$7:$F$4092,3,0)))</f>
        <v>150209-0-2015</v>
      </c>
      <c r="D96" s="506" t="str">
        <f>IF(ISERROR(VLOOKUP(B96,'Base de Datos'!$C$7:$F$4092,3,0))=TRUE,"",(VLOOKUP('Presupuesto - PAA 2015'!B96,'Base de Datos'!$C$7:$F$4092,4,0)))</f>
        <v>A&amp;V EXPRESS S.A.</v>
      </c>
      <c r="E96" s="509">
        <v>33500000</v>
      </c>
      <c r="F96" s="507" t="str">
        <f>VLOOKUP(B96,'Actualizada - presupuesto'!$D$7:$L$111,9,0)</f>
        <v>SI</v>
      </c>
      <c r="G96" s="507"/>
      <c r="H96" s="507"/>
      <c r="I96" s="507"/>
      <c r="J96" s="509">
        <f>IF(ISERROR(VLOOKUP(B96,'Base de Datos'!$C$7:$N$4092,6,0))=TRUE,"Sin Celebrar",(VLOOKUP(B96,'Base de Datos'!$C$7:$N$4092,7,0)))</f>
        <v>33500000</v>
      </c>
      <c r="K96" s="573"/>
      <c r="L96" s="509" t="str">
        <f>IF(J96=$AA$1,E96, " ")</f>
        <v xml:space="preserve"> </v>
      </c>
      <c r="M96" s="509"/>
      <c r="N96" s="509" t="str">
        <f t="shared" si="8"/>
        <v xml:space="preserve"> </v>
      </c>
      <c r="O96" s="691" t="str">
        <f>IF(ISERROR(VLOOKUP(B96,'Base de Datos'!$C$7:$K$1048576,7,0))=TRUE," ",(VLOOKUP(B96,'Base de Datos'!$C$7:$K$1048576,8,0)))</f>
        <v>SDH-SIE-02-2015</v>
      </c>
      <c r="P96" s="524">
        <f>IF(ISERROR(VLOOKUP(B96,'Base de Datos'!$C$7:$N$4077,9,0))=TRUE," ",(VLOOKUP(B96,'Base de Datos'!$C$7:$N$4077,10,0)))</f>
        <v>42124</v>
      </c>
      <c r="Q96" s="506" t="s">
        <v>1850</v>
      </c>
      <c r="R96" s="524">
        <f>IF(ISERROR(VLOOKUP(B96,'Base de Datos'!$C$7:$N$4077,10,0))=TRUE," ",(VLOOKUP(B96,'Base de Datos'!$C$7:$N$4077,11,0)))</f>
        <v>42130</v>
      </c>
      <c r="S96" s="524">
        <f>IF(ISERROR(VLOOKUP(B96,'Base de Datos'!$C$7:$N$4077,11,0))=TRUE," ",(VLOOKUP(B96,'Base de Datos'!$C$7:$N$4077,12,0)))</f>
        <v>42496</v>
      </c>
      <c r="T96" s="506" t="str">
        <f>VLOOKUP(C96,'Base de Datos'!$E$7:$AU$382,39,0)</f>
        <v>LIQUIDADO</v>
      </c>
      <c r="U96" s="694"/>
      <c r="V96" s="607"/>
    </row>
    <row r="97" spans="2:22" outlineLevel="1" x14ac:dyDescent="0.3">
      <c r="B97" s="525">
        <v>169</v>
      </c>
      <c r="C97" s="506" t="str">
        <f>IF(ISERROR(VLOOKUP(B97,'Base de Datos'!$C$7:$F$4092,2,0))=TRUE,"",(VLOOKUP('Presupuesto - PAA 2015'!B97,'Base de Datos'!$C$7:$F$4092,3,0)))</f>
        <v>170095-0-2017</v>
      </c>
      <c r="D97" s="526" t="s">
        <v>1828</v>
      </c>
      <c r="E97" s="527">
        <v>11000000</v>
      </c>
      <c r="F97" s="507" t="str">
        <f>VLOOKUP(B97,'Actualizada - presupuesto'!$D$7:$L$111,9,0)</f>
        <v>SI</v>
      </c>
      <c r="G97" s="528"/>
      <c r="H97" s="528"/>
      <c r="I97" s="528"/>
      <c r="J97" s="509">
        <f>IF(ISERROR(VLOOKUP(B97,'Base de Datos'!$C$7:$N$4092,6,0))=TRUE,"Sin Celebrar",(VLOOKUP(B97,'Base de Datos'!$C$7:$N$4092,7,0)))</f>
        <v>4300000</v>
      </c>
      <c r="K97" s="577"/>
      <c r="L97" s="527" t="str">
        <f>IF(J97=$AA$1,E97, " ")</f>
        <v xml:space="preserve"> </v>
      </c>
      <c r="M97" s="527"/>
      <c r="N97" s="527">
        <f t="shared" si="8"/>
        <v>6700000</v>
      </c>
      <c r="O97" s="691">
        <f>IF(ISERROR(VLOOKUP(B97,'Base de Datos'!$C$7:$K$1048576,7,0))=TRUE," ",(VLOOKUP(B97,'Base de Datos'!$C$7:$K$1048576,7,0)))</f>
        <v>4300000</v>
      </c>
      <c r="P97" s="524">
        <f>IF(ISERROR(VLOOKUP(B97,'Base de Datos'!$C$7:$N$4077,9,0))=TRUE," ",(VLOOKUP(B97,'Base de Datos'!$C$7:$N$4077,9,0)))</f>
        <v>2017</v>
      </c>
      <c r="Q97" s="526" t="s">
        <v>1850</v>
      </c>
      <c r="R97" s="524">
        <f>IF(ISERROR(VLOOKUP(B97,'Base de Datos'!$C$7:$N$4077,10,0))=TRUE," ",(VLOOKUP(B97,'Base de Datos'!$C$7:$N$4077,11,0)))</f>
        <v>42849</v>
      </c>
      <c r="S97" s="524">
        <f>IF(ISERROR(VLOOKUP(B97,'Base de Datos'!$C$7:$N$4077,11,0))=TRUE," ",(VLOOKUP(B97,'Base de Datos'!$C$7:$N$4077,12,0)))</f>
        <v>43002</v>
      </c>
      <c r="T97" s="506" t="e">
        <f>VLOOKUP(C97,'Base de Datos'!$E$7:$AU$382,39,0)</f>
        <v>#N/A</v>
      </c>
      <c r="U97" s="694"/>
      <c r="V97" s="607"/>
    </row>
    <row r="98" spans="2:22" outlineLevel="1" x14ac:dyDescent="0.3">
      <c r="B98" s="506"/>
      <c r="C98" s="506"/>
      <c r="D98" s="506" t="s">
        <v>1934</v>
      </c>
      <c r="E98" s="509">
        <f>E91-SUM(E93:E97)</f>
        <v>27791854</v>
      </c>
      <c r="F98" s="507"/>
      <c r="G98" s="507"/>
      <c r="H98" s="507"/>
      <c r="I98" s="507"/>
      <c r="J98" s="509"/>
      <c r="K98" s="573"/>
      <c r="L98" s="527"/>
      <c r="M98" s="509"/>
      <c r="N98" s="527">
        <f t="shared" si="8"/>
        <v>27791854</v>
      </c>
      <c r="O98" s="652"/>
      <c r="P98" s="524" t="str">
        <f>IF(ISERROR(VLOOKUP(B98,'Base de Datos'!$C$7:$N$315,9,0))=TRUE," ",(VLOOKUP(B98,'Base de Datos'!$C$7:$N$315,9,0)))</f>
        <v xml:space="preserve"> </v>
      </c>
      <c r="Q98" s="506"/>
      <c r="R98" s="529" t="str">
        <f>IF(ISERROR(VLOOKUP(B98,'Base de Datos'!$C$7:$N$315,10,0))=TRUE," ",(VLOOKUP(B98,'Base de Datos'!$C$7:$N$315,10,0)))</f>
        <v xml:space="preserve"> </v>
      </c>
      <c r="S98" s="529" t="str">
        <f>IF(ISERROR(VLOOKUP(B98,'Base de Datos'!$C$7:$N$315,11,0))=TRUE," ",(VLOOKUP(B98,'Base de Datos'!$C$7:$N$315,11,0)))</f>
        <v xml:space="preserve"> </v>
      </c>
      <c r="T98" s="506"/>
      <c r="U98" s="694"/>
      <c r="V98" s="607"/>
    </row>
    <row r="99" spans="2:22" outlineLevel="1" x14ac:dyDescent="0.3">
      <c r="B99" s="506"/>
      <c r="C99" s="506"/>
      <c r="D99" s="506"/>
      <c r="E99" s="509"/>
      <c r="F99" s="507"/>
      <c r="G99" s="507"/>
      <c r="H99" s="507"/>
      <c r="I99" s="507"/>
      <c r="J99" s="509"/>
      <c r="K99" s="573"/>
      <c r="L99" s="509"/>
      <c r="M99" s="509"/>
      <c r="N99" s="509"/>
      <c r="O99" s="651"/>
      <c r="P99" s="524"/>
      <c r="Q99" s="506"/>
      <c r="R99" s="524"/>
      <c r="S99" s="524"/>
      <c r="T99" s="506"/>
      <c r="U99" s="694"/>
      <c r="V99" s="607"/>
    </row>
    <row r="100" spans="2:22" ht="15" customHeight="1" x14ac:dyDescent="0.3">
      <c r="B100" s="1253" t="s">
        <v>1652</v>
      </c>
      <c r="C100" s="1253"/>
      <c r="D100" s="1253"/>
      <c r="E100" s="560">
        <v>54000000</v>
      </c>
      <c r="F100" s="561">
        <f>COUNTIF('Actualizada - presupuesto'!$E$7:$E$111,B100)</f>
        <v>11</v>
      </c>
      <c r="G100" s="561"/>
      <c r="H100" s="561"/>
      <c r="I100" s="561"/>
      <c r="J100" s="560">
        <f>SUM(J102:J114)</f>
        <v>51341594</v>
      </c>
      <c r="K100" s="580">
        <f>J100/E100</f>
        <v>0.95077025925925929</v>
      </c>
      <c r="L100" s="560">
        <f>SUM(L102:L114)</f>
        <v>0</v>
      </c>
      <c r="M100" s="605">
        <v>0</v>
      </c>
      <c r="N100" s="560">
        <f>+E100-J100-L100</f>
        <v>2658406</v>
      </c>
      <c r="O100" s="655"/>
      <c r="P100" s="562" t="str">
        <f>IF(ISERROR(VLOOKUP(B100,'Base de Datos'!$C$7:$N$315,8,0))=TRUE," ",(VLOOKUP(B100,'Base de Datos'!$C$7:$N$315,8,0)))</f>
        <v xml:space="preserve"> </v>
      </c>
      <c r="Q100" s="563"/>
      <c r="R100" s="562" t="str">
        <f>IF(ISERROR(VLOOKUP(B100,'Base de Datos'!$C$7:$N$315,9,0))=TRUE," ",(VLOOKUP(B100,'Base de Datos'!$C$7:$N$315,9,0)))</f>
        <v xml:space="preserve"> </v>
      </c>
      <c r="S100" s="562" t="str">
        <f>IF(ISERROR(VLOOKUP(B100,'Base de Datos'!$C$7:$N$315,10,0))=TRUE," ",(VLOOKUP(B100,'Base de Datos'!$C$7:$N$315,10,0)))</f>
        <v xml:space="preserve"> </v>
      </c>
      <c r="T100" s="565"/>
      <c r="U100" s="694"/>
      <c r="V100" s="607"/>
    </row>
    <row r="101" spans="2:22" ht="22.8" outlineLevel="1" x14ac:dyDescent="0.3">
      <c r="B101" s="510" t="s">
        <v>1692</v>
      </c>
      <c r="C101" s="510" t="s">
        <v>912</v>
      </c>
      <c r="D101" s="510" t="s">
        <v>1821</v>
      </c>
      <c r="E101" s="518" t="s">
        <v>1845</v>
      </c>
      <c r="F101" s="507" t="s">
        <v>1852</v>
      </c>
      <c r="G101" s="507"/>
      <c r="H101" s="507"/>
      <c r="I101" s="507"/>
      <c r="J101" s="510" t="s">
        <v>1844</v>
      </c>
      <c r="K101" s="625"/>
      <c r="L101" s="510" t="s">
        <v>1938</v>
      </c>
      <c r="M101" s="510"/>
      <c r="N101" s="510" t="s">
        <v>1939</v>
      </c>
      <c r="O101" s="650"/>
      <c r="P101" s="541" t="s">
        <v>1846</v>
      </c>
      <c r="Q101" s="510" t="s">
        <v>1847</v>
      </c>
      <c r="R101" s="510" t="s">
        <v>1848</v>
      </c>
      <c r="S101" s="510" t="s">
        <v>375</v>
      </c>
      <c r="T101" s="510" t="s">
        <v>1849</v>
      </c>
      <c r="U101" s="694"/>
      <c r="V101" s="607"/>
    </row>
    <row r="102" spans="2:22" ht="15" customHeight="1" outlineLevel="1" x14ac:dyDescent="0.3">
      <c r="B102" s="510">
        <v>140</v>
      </c>
      <c r="C102" s="506" t="str">
        <f>IF(ISERROR(VLOOKUP(B102,'Base de Datos'!$C$7:$F$4092,2,0))=TRUE,"",(VLOOKUP('Presupuesto - PAA 2015'!B102,'Base de Datos'!$C$7:$F$4092,3,0)))</f>
        <v>150320-0-2015</v>
      </c>
      <c r="D102" s="506" t="str">
        <f>IF(ISERROR(VLOOKUP(B102,'Base de Datos'!$C$7:$F$4092,3,0))=TRUE,"",(VLOOKUP('Presupuesto - PAA 2015'!B102,'Base de Datos'!$C$7:$F$4092,4,0)))</f>
        <v>GRUPO EDITORIAL NUEVA LEGISLACION S.A.S.</v>
      </c>
      <c r="E102" s="509">
        <v>715000</v>
      </c>
      <c r="F102" s="507" t="str">
        <f>VLOOKUP(B102,'Actualizada - presupuesto'!$D$7:$L$111,9,0)</f>
        <v>SI</v>
      </c>
      <c r="G102" s="507"/>
      <c r="H102" s="507"/>
      <c r="I102" s="507"/>
      <c r="J102" s="509">
        <f>IF(ISERROR(VLOOKUP(B102,'Base de Datos'!$C$7:$N$4092,6,0))=TRUE,"Sin Celebrar",(VLOOKUP(B102,'Base de Datos'!$C$7:$N$4092,7,0)))</f>
        <v>715000</v>
      </c>
      <c r="K102" s="573"/>
      <c r="L102" s="509" t="str">
        <f t="shared" ref="L102:L112" si="9">IF(J102=$AA$1,E102, " ")</f>
        <v xml:space="preserve"> </v>
      </c>
      <c r="M102" s="509"/>
      <c r="N102" s="509" t="str">
        <f t="shared" ref="N102:N114" si="10">IF(J102&lt;E102,(E102-J102)," ")</f>
        <v xml:space="preserve"> </v>
      </c>
      <c r="O102" s="691" t="str">
        <f>IF(ISERROR(VLOOKUP(B102,'Base de Datos'!$C$7:$K$1048576,7,0))=TRUE," ",(VLOOKUP(B102,'Base de Datos'!$C$7:$K$1048576,8,0)))</f>
        <v>SDH-SMINC-42-2015</v>
      </c>
      <c r="P102" s="524">
        <f>IF(ISERROR(VLOOKUP(B102,'Base de Datos'!$C$7:$N$4077,9,0))=TRUE," ",(VLOOKUP(B102,'Base de Datos'!$C$7:$N$4077,10,0)))</f>
        <v>42207</v>
      </c>
      <c r="Q102" s="506" t="s">
        <v>1850</v>
      </c>
      <c r="R102" s="524">
        <f>IF(ISERROR(VLOOKUP(B102,'Base de Datos'!$C$7:$N$4077,10,0))=TRUE," ",(VLOOKUP(B102,'Base de Datos'!$C$7:$N$4077,11,0)))</f>
        <v>42221</v>
      </c>
      <c r="S102" s="524">
        <f>IF(ISERROR(VLOOKUP(B102,'Base de Datos'!$C$7:$N$4077,11,0))=TRUE," ",(VLOOKUP(B102,'Base de Datos'!$C$7:$N$4077,12,0)))</f>
        <v>42587</v>
      </c>
      <c r="T102" s="506" t="str">
        <f>VLOOKUP(C102,'Base de Datos'!$E$7:$AU$382,39,0)</f>
        <v>LIQUIDADO</v>
      </c>
      <c r="U102" s="694"/>
      <c r="V102" s="607"/>
    </row>
    <row r="103" spans="2:22" ht="15" customHeight="1" outlineLevel="1" x14ac:dyDescent="0.3">
      <c r="B103" s="510">
        <v>141</v>
      </c>
      <c r="C103" s="506" t="str">
        <f>IF(ISERROR(VLOOKUP(B103,'Base de Datos'!$C$7:$F$4092,2,0))=TRUE,"",(VLOOKUP('Presupuesto - PAA 2015'!B103,'Base de Datos'!$C$7:$F$4092,3,0)))</f>
        <v>150123-0-2015</v>
      </c>
      <c r="D103" s="506" t="str">
        <f>IF(ISERROR(VLOOKUP(B103,'Base de Datos'!$C$7:$F$4092,3,0))=TRUE,"",(VLOOKUP('Presupuesto - PAA 2015'!B103,'Base de Datos'!$C$7:$F$4092,4,0)))</f>
        <v>CASA EDITORIAL EL TIEMPO SA</v>
      </c>
      <c r="E103" s="509">
        <v>1226994</v>
      </c>
      <c r="F103" s="507" t="str">
        <f>VLOOKUP(B103,'Actualizada - presupuesto'!$D$7:$L$111,9,0)</f>
        <v>SI</v>
      </c>
      <c r="G103" s="507"/>
      <c r="H103" s="507"/>
      <c r="I103" s="507"/>
      <c r="J103" s="509">
        <f>IF(ISERROR(VLOOKUP(B103,'Base de Datos'!$C$7:$N$4092,6,0))=TRUE,"Sin Celebrar",(VLOOKUP(B103,'Base de Datos'!$C$7:$N$4092,7,0)))</f>
        <v>1226994</v>
      </c>
      <c r="K103" s="573"/>
      <c r="L103" s="509" t="str">
        <f t="shared" si="9"/>
        <v xml:space="preserve"> </v>
      </c>
      <c r="M103" s="509"/>
      <c r="N103" s="509" t="str">
        <f t="shared" si="10"/>
        <v xml:space="preserve"> </v>
      </c>
      <c r="O103" s="691" t="str">
        <f>IF(ISERROR(VLOOKUP(B103,'Base de Datos'!$C$7:$K$1048576,7,0))=TRUE," ",(VLOOKUP(B103,'Base de Datos'!$C$7:$K$1048576,8,0)))</f>
        <v>150123-0-2015</v>
      </c>
      <c r="P103" s="524">
        <f>IF(ISERROR(VLOOKUP(B103,'Base de Datos'!$C$7:$N$4077,9,0))=TRUE," ",(VLOOKUP(B103,'Base de Datos'!$C$7:$N$4077,10,0)))</f>
        <v>42080</v>
      </c>
      <c r="Q103" s="506" t="s">
        <v>1850</v>
      </c>
      <c r="R103" s="524">
        <f>IF(ISERROR(VLOOKUP(B103,'Base de Datos'!$C$7:$N$4077,10,0))=TRUE," ",(VLOOKUP(B103,'Base de Datos'!$C$7:$N$4077,11,0)))</f>
        <v>42082</v>
      </c>
      <c r="S103" s="524">
        <f>IF(ISERROR(VLOOKUP(B103,'Base de Datos'!$C$7:$N$4077,11,0))=TRUE," ",(VLOOKUP(B103,'Base de Datos'!$C$7:$N$4077,12,0)))</f>
        <v>42447</v>
      </c>
      <c r="T103" s="506" t="str">
        <f>VLOOKUP(C103,'Base de Datos'!$E$7:$AU$382,39,0)</f>
        <v>LIQUIDADO</v>
      </c>
      <c r="U103" s="694"/>
      <c r="V103" s="607"/>
    </row>
    <row r="104" spans="2:22" ht="15" customHeight="1" outlineLevel="1" x14ac:dyDescent="0.3">
      <c r="B104" s="510">
        <v>142</v>
      </c>
      <c r="C104" s="506" t="str">
        <f>IF(ISERROR(VLOOKUP(B104,'Base de Datos'!$C$7:$F$4092,2,0))=TRUE,"",(VLOOKUP('Presupuesto - PAA 2015'!B104,'Base de Datos'!$C$7:$F$4092,3,0)))</f>
        <v>150228-0-2015</v>
      </c>
      <c r="D104" s="506" t="str">
        <f>IF(ISERROR(VLOOKUP(B104,'Base de Datos'!$C$7:$F$4092,3,0))=TRUE,"",(VLOOKUP('Presupuesto - PAA 2015'!B104,'Base de Datos'!$C$7:$F$4092,4,0)))</f>
        <v xml:space="preserve">REVISTA EL CONGRESO SIGLO XXI </v>
      </c>
      <c r="E104" s="509">
        <v>7800000</v>
      </c>
      <c r="F104" s="507" t="str">
        <f>VLOOKUP(B104,'Actualizada - presupuesto'!$D$7:$L$111,9,0)</f>
        <v>SI</v>
      </c>
      <c r="G104" s="507"/>
      <c r="H104" s="507"/>
      <c r="I104" s="507"/>
      <c r="J104" s="509">
        <f>IF(ISERROR(VLOOKUP(B104,'Base de Datos'!$C$7:$N$4092,6,0))=TRUE,"Sin Celebrar",(VLOOKUP(B104,'Base de Datos'!$C$7:$N$4092,7,0)))</f>
        <v>7800000</v>
      </c>
      <c r="K104" s="573"/>
      <c r="L104" s="509" t="str">
        <f t="shared" si="9"/>
        <v xml:space="preserve"> </v>
      </c>
      <c r="M104" s="509"/>
      <c r="N104" s="509" t="str">
        <f t="shared" si="10"/>
        <v xml:space="preserve"> </v>
      </c>
      <c r="O104" s="691" t="str">
        <f>IF(ISERROR(VLOOKUP(B104,'Base de Datos'!$C$7:$K$1048576,7,0))=TRUE," ",(VLOOKUP(B104,'Base de Datos'!$C$7:$K$1048576,8,0)))</f>
        <v>150228-0-2015</v>
      </c>
      <c r="P104" s="524">
        <f>IF(ISERROR(VLOOKUP(B104,'Base de Datos'!$C$7:$N$4077,9,0))=TRUE," ",(VLOOKUP(B104,'Base de Datos'!$C$7:$N$4077,10,0)))</f>
        <v>42139</v>
      </c>
      <c r="Q104" s="506" t="s">
        <v>1850</v>
      </c>
      <c r="R104" s="524">
        <f>IF(ISERROR(VLOOKUP(B104,'Base de Datos'!$C$7:$N$4077,10,0))=TRUE," ",(VLOOKUP(B104,'Base de Datos'!$C$7:$N$4077,11,0)))</f>
        <v>42145</v>
      </c>
      <c r="S104" s="524">
        <f>IF(ISERROR(VLOOKUP(B104,'Base de Datos'!$C$7:$N$4077,11,0))=TRUE," ",(VLOOKUP(B104,'Base de Datos'!$C$7:$N$4077,12,0)))</f>
        <v>42511</v>
      </c>
      <c r="T104" s="506" t="str">
        <f>VLOOKUP(C104,'Base de Datos'!$E$7:$AU$382,39,0)</f>
        <v>LIQUIDADO</v>
      </c>
      <c r="U104" s="694"/>
      <c r="V104" s="607"/>
    </row>
    <row r="105" spans="2:22" ht="24.75" customHeight="1" outlineLevel="1" x14ac:dyDescent="0.3">
      <c r="B105" s="510">
        <v>143</v>
      </c>
      <c r="C105" s="506" t="str">
        <f>IF(ISERROR(VLOOKUP(B105,'Base de Datos'!$C$7:$F$4092,2,0))=TRUE,"",(VLOOKUP('Presupuesto - PAA 2015'!B105,'Base de Datos'!$C$7:$F$4092,3,0)))</f>
        <v>150124-0-2015</v>
      </c>
      <c r="D105" s="506" t="str">
        <f>IF(ISERROR(VLOOKUP(B105,'Base de Datos'!$C$7:$F$4092,3,0))=TRUE,"",(VLOOKUP('Presupuesto - PAA 2015'!B105,'Base de Datos'!$C$7:$F$4092,4,0)))</f>
        <v>DPC LTDA PUBLICACIONES DESPACHOS PÚBLICOS DE COLOMBIA LTDA</v>
      </c>
      <c r="E105" s="509">
        <v>4100000</v>
      </c>
      <c r="F105" s="507" t="str">
        <f>VLOOKUP(B105,'Actualizada - presupuesto'!$D$7:$L$111,9,0)</f>
        <v>SI</v>
      </c>
      <c r="G105" s="507"/>
      <c r="H105" s="507"/>
      <c r="I105" s="507"/>
      <c r="J105" s="509">
        <f>IF(ISERROR(VLOOKUP(B105,'Base de Datos'!$C$7:$N$4092,6,0))=TRUE,"Sin Celebrar",(VLOOKUP(B105,'Base de Datos'!$C$7:$N$4092,7,0)))</f>
        <v>4100000</v>
      </c>
      <c r="K105" s="573"/>
      <c r="L105" s="509" t="str">
        <f t="shared" si="9"/>
        <v xml:space="preserve"> </v>
      </c>
      <c r="M105" s="509"/>
      <c r="N105" s="509" t="str">
        <f t="shared" si="10"/>
        <v xml:space="preserve"> </v>
      </c>
      <c r="O105" s="691" t="str">
        <f>IF(ISERROR(VLOOKUP(B105,'Base de Datos'!$C$7:$K$1048576,7,0))=TRUE," ",(VLOOKUP(B105,'Base de Datos'!$C$7:$K$1048576,8,0)))</f>
        <v>150124-0-2015</v>
      </c>
      <c r="P105" s="524">
        <f>IF(ISERROR(VLOOKUP(B105,'Base de Datos'!$C$7:$N$4077,9,0))=TRUE," ",(VLOOKUP(B105,'Base de Datos'!$C$7:$N$4077,10,0)))</f>
        <v>42080</v>
      </c>
      <c r="Q105" s="506" t="s">
        <v>1850</v>
      </c>
      <c r="R105" s="524">
        <f>IF(ISERROR(VLOOKUP(B105,'Base de Datos'!$C$7:$N$4077,10,0))=TRUE," ",(VLOOKUP(B105,'Base de Datos'!$C$7:$N$4077,11,0)))</f>
        <v>42088</v>
      </c>
      <c r="S105" s="524">
        <f>IF(ISERROR(VLOOKUP(B105,'Base de Datos'!$C$7:$N$4077,11,0))=TRUE," ",(VLOOKUP(B105,'Base de Datos'!$C$7:$N$4077,12,0)))</f>
        <v>42241</v>
      </c>
      <c r="T105" s="506" t="str">
        <f>VLOOKUP(C105,'Base de Datos'!$E$7:$AU$382,39,0)</f>
        <v>LIQUIDADO</v>
      </c>
      <c r="U105" s="694"/>
      <c r="V105" s="607"/>
    </row>
    <row r="106" spans="2:22" ht="14.25" customHeight="1" outlineLevel="1" x14ac:dyDescent="0.3">
      <c r="B106" s="510">
        <v>144</v>
      </c>
      <c r="C106" s="506" t="str">
        <f>IF(ISERROR(VLOOKUP(B106,'Base de Datos'!$C$7:$F$4092,2,0))=TRUE,"",(VLOOKUP('Presupuesto - PAA 2015'!B106,'Base de Datos'!$C$7:$F$4092,3,0)))</f>
        <v>150330-0-2015</v>
      </c>
      <c r="D106" s="506" t="str">
        <f>IF(ISERROR(VLOOKUP(B106,'Base de Datos'!$C$7:$F$4092,3,0))=TRUE,"",(VLOOKUP('Presupuesto - PAA 2015'!B106,'Base de Datos'!$C$7:$F$4092,4,0)))</f>
        <v xml:space="preserve">COMUNICAN SA </v>
      </c>
      <c r="E106" s="509">
        <v>936000</v>
      </c>
      <c r="F106" s="507" t="str">
        <f>VLOOKUP(B106,'Actualizada - presupuesto'!$D$7:$L$111,9,0)</f>
        <v>SI</v>
      </c>
      <c r="G106" s="507"/>
      <c r="H106" s="507"/>
      <c r="I106" s="507"/>
      <c r="J106" s="509">
        <f>IF(ISERROR(VLOOKUP(B106,'Base de Datos'!$C$7:$N$4092,6,0))=TRUE,"Sin Celebrar",(VLOOKUP(B106,'Base de Datos'!$C$7:$N$4092,7,0)))</f>
        <v>936000</v>
      </c>
      <c r="K106" s="573"/>
      <c r="L106" s="509" t="str">
        <f t="shared" si="9"/>
        <v xml:space="preserve"> </v>
      </c>
      <c r="M106" s="509"/>
      <c r="N106" s="509" t="str">
        <f t="shared" si="10"/>
        <v xml:space="preserve"> </v>
      </c>
      <c r="O106" s="691" t="str">
        <f>IF(ISERROR(VLOOKUP(B106,'Base de Datos'!$C$7:$K$1048576,7,0))=TRUE," ",(VLOOKUP(B106,'Base de Datos'!$C$7:$K$1048576,8,0)))</f>
        <v>150330-0-2015</v>
      </c>
      <c r="P106" s="524">
        <f>IF(ISERROR(VLOOKUP(B106,'Base de Datos'!$C$7:$N$4077,9,0))=TRUE," ",(VLOOKUP(B106,'Base de Datos'!$C$7:$N$4077,10,0)))</f>
        <v>42220</v>
      </c>
      <c r="Q106" s="506" t="s">
        <v>1850</v>
      </c>
      <c r="R106" s="524">
        <f>IF(ISERROR(VLOOKUP(B106,'Base de Datos'!$C$7:$N$4077,10,0))=TRUE," ",(VLOOKUP(B106,'Base de Datos'!$C$7:$N$4077,11,0)))</f>
        <v>42261</v>
      </c>
      <c r="S106" s="524">
        <f>IF(ISERROR(VLOOKUP(B106,'Base de Datos'!$C$7:$N$4077,11,0))=TRUE," ",(VLOOKUP(B106,'Base de Datos'!$C$7:$N$4077,12,0)))</f>
        <v>42627</v>
      </c>
      <c r="T106" s="506" t="str">
        <f>VLOOKUP(C106,'Base de Datos'!$E$7:$AU$382,39,0)</f>
        <v>LIQUIDADO</v>
      </c>
      <c r="U106" s="694"/>
      <c r="V106" s="607"/>
    </row>
    <row r="107" spans="2:22" ht="14.25" customHeight="1" outlineLevel="1" x14ac:dyDescent="0.3">
      <c r="B107" s="510">
        <v>145</v>
      </c>
      <c r="C107" s="506" t="str">
        <f>IF(ISERROR(VLOOKUP(B107,'Base de Datos'!$C$7:$F$4092,2,0))=TRUE,"",(VLOOKUP('Presupuesto - PAA 2015'!B107,'Base de Datos'!$C$7:$F$4092,3,0)))</f>
        <v>150363-0-2015</v>
      </c>
      <c r="D107" s="506" t="str">
        <f>IF(ISERROR(VLOOKUP(B107,'Base de Datos'!$C$7:$F$4092,3,0))=TRUE,"",(VLOOKUP('Presupuesto - PAA 2015'!B107,'Base de Datos'!$C$7:$F$4092,4,0)))</f>
        <v>EDITORIAL EL GLOBO S.A.</v>
      </c>
      <c r="E107" s="509">
        <v>764100</v>
      </c>
      <c r="F107" s="507" t="str">
        <f>VLOOKUP(B107,'Actualizada - presupuesto'!$D$7:$L$111,9,0)</f>
        <v>SI</v>
      </c>
      <c r="G107" s="507"/>
      <c r="H107" s="507"/>
      <c r="I107" s="507"/>
      <c r="J107" s="509">
        <f>IF(ISERROR(VLOOKUP(B107,'Base de Datos'!$C$7:$N$4092,6,0))=TRUE,"Sin Celebrar",(VLOOKUP(B107,'Base de Datos'!$C$7:$N$4092,7,0)))</f>
        <v>764100</v>
      </c>
      <c r="K107" s="573"/>
      <c r="L107" s="509" t="str">
        <f t="shared" si="9"/>
        <v xml:space="preserve"> </v>
      </c>
      <c r="M107" s="509"/>
      <c r="N107" s="509" t="str">
        <f t="shared" si="10"/>
        <v xml:space="preserve"> </v>
      </c>
      <c r="O107" s="691" t="str">
        <f>IF(ISERROR(VLOOKUP(B107,'Base de Datos'!$C$7:$K$1048576,7,0))=TRUE," ",(VLOOKUP(B107,'Base de Datos'!$C$7:$K$1048576,8,0)))</f>
        <v>150363-0-2015</v>
      </c>
      <c r="P107" s="524">
        <f>IF(ISERROR(VLOOKUP(B107,'Base de Datos'!$C$7:$N$4077,9,0))=TRUE," ",(VLOOKUP(B107,'Base de Datos'!$C$7:$N$4077,10,0)))</f>
        <v>42272</v>
      </c>
      <c r="Q107" s="506" t="s">
        <v>1850</v>
      </c>
      <c r="R107" s="524">
        <f>IF(ISERROR(VLOOKUP(B107,'Base de Datos'!$C$7:$N$4077,10,0))=TRUE," ",(VLOOKUP(B107,'Base de Datos'!$C$7:$N$4077,11,0)))</f>
        <v>42336</v>
      </c>
      <c r="S107" s="524">
        <f>IF(ISERROR(VLOOKUP(B107,'Base de Datos'!$C$7:$N$4077,11,0))=TRUE," ",(VLOOKUP(B107,'Base de Datos'!$C$7:$N$4077,12,0)))</f>
        <v>42702</v>
      </c>
      <c r="T107" s="506" t="str">
        <f>VLOOKUP(C107,'Base de Datos'!$E$7:$AU$382,39,0)</f>
        <v>LIQUIDADO</v>
      </c>
      <c r="U107" s="694"/>
      <c r="V107" s="607"/>
    </row>
    <row r="108" spans="2:22" ht="14.25" customHeight="1" outlineLevel="1" x14ac:dyDescent="0.3">
      <c r="B108" s="510">
        <v>146</v>
      </c>
      <c r="C108" s="506" t="str">
        <f>IF(ISERROR(VLOOKUP(B108,'Base de Datos'!$C$7:$F$4092,2,0))=TRUE,"",(VLOOKUP('Presupuesto - PAA 2015'!B108,'Base de Datos'!$C$7:$F$4092,3,0)))</f>
        <v>150342-0-2015</v>
      </c>
      <c r="D108" s="506" t="str">
        <f>IF(ISERROR(VLOOKUP(B108,'Base de Datos'!$C$7:$F$4092,3,0))=TRUE,"",(VLOOKUP('Presupuesto - PAA 2015'!B108,'Base de Datos'!$C$7:$F$4092,4,0)))</f>
        <v>PUBLICACIONES SEMANA S.A.</v>
      </c>
      <c r="E108" s="509">
        <v>825000</v>
      </c>
      <c r="F108" s="507" t="str">
        <f>VLOOKUP(B108,'Actualizada - presupuesto'!$D$7:$L$111,9,0)</f>
        <v>SI</v>
      </c>
      <c r="G108" s="507"/>
      <c r="H108" s="507"/>
      <c r="I108" s="507"/>
      <c r="J108" s="509">
        <f>IF(ISERROR(VLOOKUP(B108,'Base de Datos'!$C$7:$N$4092,6,0))=TRUE,"Sin Celebrar",(VLOOKUP(B108,'Base de Datos'!$C$7:$N$4092,7,0)))</f>
        <v>825000</v>
      </c>
      <c r="K108" s="573"/>
      <c r="L108" s="509" t="str">
        <f t="shared" si="9"/>
        <v xml:space="preserve"> </v>
      </c>
      <c r="M108" s="509"/>
      <c r="N108" s="509" t="str">
        <f t="shared" si="10"/>
        <v xml:space="preserve"> </v>
      </c>
      <c r="O108" s="691" t="str">
        <f>IF(ISERROR(VLOOKUP(B108,'Base de Datos'!$C$7:$K$1048576,7,0))=TRUE," ",(VLOOKUP(B108,'Base de Datos'!$C$7:$K$1048576,8,0)))</f>
        <v>150342-0-2015</v>
      </c>
      <c r="P108" s="524">
        <f>IF(ISERROR(VLOOKUP(B108,'Base de Datos'!$C$7:$N$4077,9,0))=TRUE," ",(VLOOKUP(B108,'Base de Datos'!$C$7:$N$4077,10,0)))</f>
        <v>42237</v>
      </c>
      <c r="Q108" s="506" t="s">
        <v>1853</v>
      </c>
      <c r="R108" s="524">
        <f>IF(ISERROR(VLOOKUP(B108,'Base de Datos'!$C$7:$N$4077,10,0))=TRUE," ",(VLOOKUP(B108,'Base de Datos'!$C$7:$N$4077,11,0)))</f>
        <v>42278</v>
      </c>
      <c r="S108" s="524">
        <f>IF(ISERROR(VLOOKUP(B108,'Base de Datos'!$C$7:$N$4077,11,0))=TRUE," ",(VLOOKUP(B108,'Base de Datos'!$C$7:$N$4077,12,0)))</f>
        <v>42644</v>
      </c>
      <c r="T108" s="506" t="str">
        <f>VLOOKUP(C108,'Base de Datos'!$E$7:$AU$382,39,0)</f>
        <v>LIQUIDADO</v>
      </c>
      <c r="U108" s="694"/>
      <c r="V108" s="607"/>
    </row>
    <row r="109" spans="2:22" ht="14.25" customHeight="1" outlineLevel="1" x14ac:dyDescent="0.3">
      <c r="B109" s="510">
        <v>147</v>
      </c>
      <c r="C109" s="506" t="str">
        <f>IF(ISERROR(VLOOKUP(B109,'Base de Datos'!$C$7:$F$4085,2,0))=TRUE,"",(VLOOKUP('Presupuesto - PAA 2015'!B109,'Base de Datos'!$C$7:$F$4085,2,0)))</f>
        <v>2016147</v>
      </c>
      <c r="D109" s="506" t="s">
        <v>1829</v>
      </c>
      <c r="E109" s="704"/>
      <c r="F109" s="507" t="str">
        <f>VLOOKUP(B109,'Actualizada - presupuesto'!$D$7:$L$111,9,0)</f>
        <v>NA</v>
      </c>
      <c r="G109" s="507"/>
      <c r="H109" s="507"/>
      <c r="I109" s="507"/>
      <c r="J109" s="509" t="str">
        <f>IF(ISERROR(VLOOKUP(B109,'Base de Datos'!$C$7:$N$4077,6,0))=TRUE,"Sin Celebrar",(VLOOKUP(B109,'Base de Datos'!$C$7:$N$4077,6,0)))</f>
        <v>Suministro de elementos de promoción institucional y actos protocolarios del Concejo de Bogotá, D.C., de conformidad con lo establecido en la presente invitación pública SDH-SMINC-17-2016 y la propuesta presentada por ustedes.</v>
      </c>
      <c r="K109" s="573"/>
      <c r="L109" s="509" t="str">
        <f t="shared" si="9"/>
        <v xml:space="preserve"> </v>
      </c>
      <c r="M109" s="509"/>
      <c r="N109" s="509" t="str">
        <f t="shared" si="10"/>
        <v xml:space="preserve"> </v>
      </c>
      <c r="O109" s="691" t="str">
        <f>IF(ISERROR(VLOOKUP(B109,'Base de Datos'!$C$7:$K$1048576,7,0))=TRUE," ",(VLOOKUP(B109,'Base de Datos'!$C$7:$K$1048576,8,0)))</f>
        <v>SDH-SMINC-17-2016</v>
      </c>
      <c r="P109" s="524">
        <f>IF(ISERROR(VLOOKUP(B109,'Base de Datos'!$C$7:$N$4077,9,0))=TRUE," ",(VLOOKUP(B109,'Base de Datos'!$C$7:$N$4077,10,0)))</f>
        <v>42556</v>
      </c>
      <c r="Q109" s="506" t="s">
        <v>1850</v>
      </c>
      <c r="R109" s="524">
        <f>IF(ISERROR(VLOOKUP(B109,'Base de Datos'!$C$7:$N$4077,10,0))=TRUE," ",(VLOOKUP(B109,'Base de Datos'!$C$7:$N$4077,11,0)))</f>
        <v>42579</v>
      </c>
      <c r="S109" s="524">
        <f>IF(ISERROR(VLOOKUP(B109,'Base de Datos'!$C$7:$N$4077,11,0))=TRUE," ",(VLOOKUP(B109,'Base de Datos'!$C$7:$N$4077,12,0)))</f>
        <v>42794</v>
      </c>
      <c r="T109" s="506" t="e">
        <f>VLOOKUP(C109,'Base de Datos'!$E$7:$AU$382,39,0)</f>
        <v>#N/A</v>
      </c>
      <c r="U109" s="694"/>
      <c r="V109" s="607"/>
    </row>
    <row r="110" spans="2:22" ht="28.5" customHeight="1" outlineLevel="1" x14ac:dyDescent="0.3">
      <c r="B110" s="510">
        <v>148</v>
      </c>
      <c r="C110" s="506" t="str">
        <f>IF(ISERROR(VLOOKUP(B110,'Base de Datos'!$C$7:$F$4092,2,0))=TRUE,"",(VLOOKUP('Presupuesto - PAA 2015'!B110,'Base de Datos'!$C$7:$F$4092,3,0)))</f>
        <v>150338-0-2015</v>
      </c>
      <c r="D110" s="506" t="str">
        <f>IF(ISERROR(VLOOKUP(B110,'Base de Datos'!$C$7:$F$4092,3,0))=TRUE,"",(VLOOKUP('Presupuesto - PAA 2015'!B110,'Base de Datos'!$C$7:$F$4092,4,0)))</f>
        <v>EDITORIAL LA UNIDAD S.A EN EJECUCIÓN DEL ACUERDO DE REESTRUCTURACIÓN</v>
      </c>
      <c r="E110" s="509">
        <v>880500</v>
      </c>
      <c r="F110" s="507" t="str">
        <f>VLOOKUP(B110,'Actualizada - presupuesto'!$D$7:$L$111,9,0)</f>
        <v>SI</v>
      </c>
      <c r="G110" s="507"/>
      <c r="H110" s="507"/>
      <c r="I110" s="507"/>
      <c r="J110" s="509">
        <f>IF(ISERROR(VLOOKUP(B110,'Base de Datos'!$C$7:$N$4092,6,0))=TRUE,"Sin Celebrar",(VLOOKUP(B110,'Base de Datos'!$C$7:$N$4092,7,0)))</f>
        <v>880500</v>
      </c>
      <c r="K110" s="573"/>
      <c r="L110" s="509" t="str">
        <f t="shared" si="9"/>
        <v xml:space="preserve"> </v>
      </c>
      <c r="M110" s="509"/>
      <c r="N110" s="509" t="str">
        <f t="shared" si="10"/>
        <v xml:space="preserve"> </v>
      </c>
      <c r="O110" s="691" t="str">
        <f>IF(ISERROR(VLOOKUP(B110,'Base de Datos'!$C$7:$K$1048576,7,0))=TRUE," ",(VLOOKUP(B110,'Base de Datos'!$C$7:$K$1048576,8,0)))</f>
        <v>150338-0-2015</v>
      </c>
      <c r="P110" s="524">
        <f>IF(ISERROR(VLOOKUP(B110,'Base de Datos'!$C$7:$N$4077,9,0))=TRUE," ",(VLOOKUP(B110,'Base de Datos'!$C$7:$N$4077,10,0)))</f>
        <v>42230</v>
      </c>
      <c r="Q110" s="506" t="s">
        <v>1850</v>
      </c>
      <c r="R110" s="524">
        <f>IF(ISERROR(VLOOKUP(B110,'Base de Datos'!$C$7:$N$4077,10,0))=TRUE," ",(VLOOKUP(B110,'Base de Datos'!$C$7:$N$4077,11,0)))</f>
        <v>42262</v>
      </c>
      <c r="S110" s="524">
        <f>IF(ISERROR(VLOOKUP(B110,'Base de Datos'!$C$7:$N$4077,11,0))=TRUE," ",(VLOOKUP(B110,'Base de Datos'!$C$7:$N$4077,12,0)))</f>
        <v>42628</v>
      </c>
      <c r="T110" s="506" t="str">
        <f>VLOOKUP(C110,'Base de Datos'!$E$7:$AU$382,39,0)</f>
        <v>LIQUIDADO</v>
      </c>
      <c r="U110" s="694"/>
      <c r="V110" s="607"/>
    </row>
    <row r="111" spans="2:22" ht="14.25" customHeight="1" outlineLevel="1" x14ac:dyDescent="0.3">
      <c r="B111" s="510">
        <v>170</v>
      </c>
      <c r="C111" s="506" t="str">
        <f>IF(ISERROR(VLOOKUP(B111,'Base de Datos'!$C$7:$F$4092,2,0))=TRUE,"",(VLOOKUP('Presupuesto - PAA 2015'!B111,'Base de Datos'!$C$7:$F$4092,3,0)))</f>
        <v>150241-0-2015</v>
      </c>
      <c r="D111" s="506" t="str">
        <f>IF(ISERROR(VLOOKUP(B111,'Base de Datos'!$C$7:$F$4092,3,0))=TRUE,"",(VLOOKUP('Presupuesto - PAA 2015'!B111,'Base de Datos'!$C$7:$F$4092,4,0)))</f>
        <v>SOLUTION COPY LTDA</v>
      </c>
      <c r="E111" s="509">
        <v>30552000</v>
      </c>
      <c r="F111" s="507" t="str">
        <f>VLOOKUP(B111,'Actualizada - presupuesto'!$D$7:$L$111,9,0)</f>
        <v>SI</v>
      </c>
      <c r="G111" s="507"/>
      <c r="H111" s="507"/>
      <c r="I111" s="507"/>
      <c r="J111" s="509">
        <f>IF(ISERROR(VLOOKUP(B111,'Base de Datos'!$C$7:$N$4092,6,0))=TRUE,"Sin Celebrar",(VLOOKUP(B111,'Base de Datos'!$C$7:$N$4092,7,0)))</f>
        <v>30552000</v>
      </c>
      <c r="K111" s="573"/>
      <c r="L111" s="509" t="str">
        <f t="shared" si="9"/>
        <v xml:space="preserve"> </v>
      </c>
      <c r="M111" s="509"/>
      <c r="N111" s="509" t="str">
        <f t="shared" si="10"/>
        <v xml:space="preserve"> </v>
      </c>
      <c r="O111" s="691" t="str">
        <f>IF(ISERROR(VLOOKUP(B111,'Base de Datos'!$C$7:$K$1048576,7,0))=TRUE," ",(VLOOKUP(B111,'Base de Datos'!$C$7:$K$1048576,8,0)))</f>
        <v>SDH-SIE-07-2015</v>
      </c>
      <c r="P111" s="524">
        <f>IF(ISERROR(VLOOKUP(B111,'Base de Datos'!$C$7:$N$4077,9,0))=TRUE," ",(VLOOKUP(B111,'Base de Datos'!$C$7:$N$4077,10,0)))</f>
        <v>42157</v>
      </c>
      <c r="Q111" s="506" t="s">
        <v>1853</v>
      </c>
      <c r="R111" s="524">
        <f>IF(ISERROR(VLOOKUP(B111,'Base de Datos'!$C$7:$N$4077,10,0))=TRUE," ",(VLOOKUP(B111,'Base de Datos'!$C$7:$N$4077,11,0)))</f>
        <v>42187</v>
      </c>
      <c r="S111" s="524">
        <f>IF(ISERROR(VLOOKUP(B111,'Base de Datos'!$C$7:$N$4077,11,0))=TRUE," ",(VLOOKUP(B111,'Base de Datos'!$C$7:$N$4077,12,0)))</f>
        <v>42431</v>
      </c>
      <c r="T111" s="506" t="str">
        <f>VLOOKUP(C111,'Base de Datos'!$E$7:$AU$382,39,0)</f>
        <v>LIQUIDADO</v>
      </c>
      <c r="U111" s="694"/>
      <c r="V111" s="607"/>
    </row>
    <row r="112" spans="2:22" ht="14.25" customHeight="1" outlineLevel="1" x14ac:dyDescent="0.3">
      <c r="B112" s="525">
        <v>267</v>
      </c>
      <c r="C112" s="506" t="s">
        <v>1343</v>
      </c>
      <c r="D112" s="526" t="s">
        <v>1851</v>
      </c>
      <c r="E112" s="527">
        <v>800000</v>
      </c>
      <c r="F112" s="528" t="s">
        <v>390</v>
      </c>
      <c r="G112" s="528"/>
      <c r="H112" s="528"/>
      <c r="I112" s="528"/>
      <c r="J112" s="527">
        <v>800000</v>
      </c>
      <c r="K112" s="577"/>
      <c r="L112" s="509" t="str">
        <f t="shared" si="9"/>
        <v xml:space="preserve"> </v>
      </c>
      <c r="M112" s="527"/>
      <c r="N112" s="527" t="str">
        <f t="shared" si="10"/>
        <v xml:space="preserve"> </v>
      </c>
      <c r="O112" s="691" t="str">
        <f>IF(ISERROR(VLOOKUP(B112,'Base de Datos'!$C$7:$K$1048576,7,0))=TRUE," ",(VLOOKUP(B112,'Base de Datos'!$C$7:$K$1048576,8,0)))</f>
        <v xml:space="preserve"> </v>
      </c>
      <c r="P112" s="524" t="str">
        <f>IF(ISERROR(VLOOKUP(B112,'Base de Datos'!$C$7:$N$4077,9,0))=TRUE," ",(VLOOKUP(B112,'Base de Datos'!$C$7:$N$4077,10,0)))</f>
        <v xml:space="preserve"> </v>
      </c>
      <c r="Q112" s="526"/>
      <c r="R112" s="524" t="str">
        <f>IF(ISERROR(VLOOKUP(B112,'Base de Datos'!$C$7:$N$4077,10,0))=TRUE," ",(VLOOKUP(B112,'Base de Datos'!$C$7:$N$4077,11,0)))</f>
        <v xml:space="preserve"> </v>
      </c>
      <c r="S112" s="524" t="str">
        <f>IF(ISERROR(VLOOKUP(B112,'Base de Datos'!$C$7:$N$4077,11,0))=TRUE," ",(VLOOKUP(B112,'Base de Datos'!$C$7:$N$4077,12,0)))</f>
        <v xml:space="preserve"> </v>
      </c>
      <c r="T112" s="506" t="str">
        <f>VLOOKUP(C112,'Base de Datos'!$E$7:$AU$382,39,0)</f>
        <v>LIQUIDADO</v>
      </c>
      <c r="U112" s="694"/>
      <c r="V112" s="607"/>
    </row>
    <row r="113" spans="2:22" ht="24.75" customHeight="1" outlineLevel="1" x14ac:dyDescent="0.3">
      <c r="B113" s="525">
        <v>335</v>
      </c>
      <c r="C113" s="506" t="str">
        <f>IF(ISERROR(VLOOKUP(B113,'Base de Datos'!$C$7:$F$4092,2,0))=TRUE,"",(VLOOKUP('Presupuesto - PAA 2015'!B113,'Base de Datos'!$C$7:$F$4092,3,0)))</f>
        <v>150380-0-2015</v>
      </c>
      <c r="D113" s="506" t="str">
        <f>IF(ISERROR(VLOOKUP(B113,'Base de Datos'!$C$7:$F$4092,3,0))=TRUE,"",(VLOOKUP('Presupuesto - PAA 2015'!B113,'Base de Datos'!$C$7:$F$4092,4,0)))</f>
        <v>EDITORES CONARTE SAS</v>
      </c>
      <c r="E113" s="527">
        <v>2742000</v>
      </c>
      <c r="F113" s="528"/>
      <c r="G113" s="528"/>
      <c r="H113" s="528"/>
      <c r="I113" s="528"/>
      <c r="J113" s="509">
        <f>IF(ISERROR(VLOOKUP(B113,'Base de Datos'!$C$7:$N$4092,6,0))=TRUE,"Sin Celebrar",(VLOOKUP(B113,'Base de Datos'!$C$7:$N$4092,7,0)))</f>
        <v>2742000</v>
      </c>
      <c r="K113" s="577"/>
      <c r="L113" s="509"/>
      <c r="M113" s="527"/>
      <c r="N113" s="527"/>
      <c r="O113" s="691" t="str">
        <f>IF(ISERROR(VLOOKUP(B113,'Base de Datos'!$C$7:$K$1048576,7,0))=TRUE," ",(VLOOKUP(B113,'Base de Datos'!$C$7:$K$1048576,8,0)))</f>
        <v>SDH-SMINC-60-2015</v>
      </c>
      <c r="P113" s="524">
        <f>IF(ISERROR(VLOOKUP(B113,'Base de Datos'!$C$7:$N$4077,9,0))=TRUE," ",(VLOOKUP(B113,'Base de Datos'!$C$7:$N$4077,10,0)))</f>
        <v>42305</v>
      </c>
      <c r="Q113" s="526" t="s">
        <v>544</v>
      </c>
      <c r="R113" s="524">
        <f>IF(ISERROR(VLOOKUP(B113,'Base de Datos'!$C$7:$N$4077,10,0))=TRUE," ",(VLOOKUP(B113,'Base de Datos'!$C$7:$N$4077,11,0)))</f>
        <v>42321</v>
      </c>
      <c r="S113" s="524">
        <f>IF(ISERROR(VLOOKUP(B113,'Base de Datos'!$C$7:$N$4077,11,0))=TRUE," ",(VLOOKUP(B113,'Base de Datos'!$C$7:$N$4077,12,0)))</f>
        <v>42534</v>
      </c>
      <c r="T113" s="506" t="str">
        <f>VLOOKUP(C113,'Base de Datos'!$E$7:$AU$382,39,0)</f>
        <v>LIQUIDADO</v>
      </c>
      <c r="U113" s="694"/>
      <c r="V113" s="607"/>
    </row>
    <row r="114" spans="2:22" outlineLevel="1" x14ac:dyDescent="0.3">
      <c r="B114" s="506"/>
      <c r="C114" s="506"/>
      <c r="D114" s="506" t="s">
        <v>1934</v>
      </c>
      <c r="E114" s="509">
        <f>E100-SUM(E102:E113)</f>
        <v>2658406</v>
      </c>
      <c r="F114" s="507"/>
      <c r="G114" s="507"/>
      <c r="H114" s="507"/>
      <c r="I114" s="507"/>
      <c r="J114" s="509"/>
      <c r="K114" s="573"/>
      <c r="L114" s="509"/>
      <c r="M114" s="509"/>
      <c r="N114" s="527">
        <f t="shared" si="10"/>
        <v>2658406</v>
      </c>
      <c r="O114" s="652"/>
      <c r="P114" s="524" t="str">
        <f>IF(ISERROR(VLOOKUP(B114,'Base de Datos'!$C$7:$N$4077,9,0))=TRUE," ",(VLOOKUP(B114,'Base de Datos'!$C$7:$N$4077,9,0)))</f>
        <v xml:space="preserve"> </v>
      </c>
      <c r="Q114" s="506"/>
      <c r="R114" s="529" t="str">
        <f>IF(ISERROR(VLOOKUP(B114,'Base de Datos'!$C$7:$N$4077,10,0))=TRUE," ",(VLOOKUP(B114,'Base de Datos'!$C$7:$N$4077,10,0)))</f>
        <v xml:space="preserve"> </v>
      </c>
      <c r="S114" s="529" t="str">
        <f>IF(ISERROR(VLOOKUP(B114,'Base de Datos'!$C$7:$N$4077,11,0))=TRUE," ",(VLOOKUP(B114,'Base de Datos'!$C$7:$N$4077,11,0)))</f>
        <v xml:space="preserve"> </v>
      </c>
      <c r="T114" s="506"/>
      <c r="U114" s="694"/>
      <c r="V114" s="607"/>
    </row>
    <row r="115" spans="2:22" outlineLevel="1" x14ac:dyDescent="0.3">
      <c r="B115" s="506"/>
      <c r="C115" s="506"/>
      <c r="D115" s="506"/>
      <c r="E115" s="509"/>
      <c r="F115" s="507"/>
      <c r="G115" s="507"/>
      <c r="H115" s="507"/>
      <c r="I115" s="507"/>
      <c r="J115" s="509"/>
      <c r="K115" s="573"/>
      <c r="L115" s="509"/>
      <c r="M115" s="509"/>
      <c r="N115" s="509"/>
      <c r="O115" s="651"/>
      <c r="P115" s="524"/>
      <c r="Q115" s="506"/>
      <c r="R115" s="524"/>
      <c r="S115" s="524"/>
      <c r="T115" s="506"/>
      <c r="U115" s="694"/>
      <c r="V115" s="607"/>
    </row>
    <row r="116" spans="2:22" ht="15" customHeight="1" x14ac:dyDescent="0.3">
      <c r="B116" s="1254" t="s">
        <v>1653</v>
      </c>
      <c r="C116" s="1254"/>
      <c r="D116" s="1254"/>
      <c r="E116" s="530">
        <v>1188000000</v>
      </c>
      <c r="F116" s="531">
        <f>COUNTIF('Actualizada - presupuesto'!$E$7:$E$111,B116)</f>
        <v>0</v>
      </c>
      <c r="G116" s="531"/>
      <c r="H116" s="531"/>
      <c r="I116" s="531"/>
      <c r="J116" s="540">
        <f>+J117</f>
        <v>1168456110</v>
      </c>
      <c r="K116" s="582">
        <f>J116/E116</f>
        <v>0.9835489141414141</v>
      </c>
      <c r="L116" s="540">
        <f>+L117</f>
        <v>0</v>
      </c>
      <c r="M116" s="540"/>
      <c r="N116" s="540">
        <f>+N117</f>
        <v>19543890</v>
      </c>
      <c r="O116" s="658"/>
      <c r="P116" s="546" t="str">
        <f>IF(ISERROR(VLOOKUP(B116,'Base de Datos'!$C$7:$N$315,8,0))=TRUE," ",(VLOOKUP(B116,'Base de Datos'!$C$7:$N$315,8,0)))</f>
        <v xml:space="preserve"> </v>
      </c>
      <c r="Q116" s="547"/>
      <c r="R116" s="546" t="str">
        <f>IF(ISERROR(VLOOKUP(B116,'Base de Datos'!$C$7:$N$315,9,0))=TRUE," ",(VLOOKUP(B116,'Base de Datos'!$C$7:$N$315,9,0)))</f>
        <v xml:space="preserve"> </v>
      </c>
      <c r="S116" s="546" t="str">
        <f>IF(ISERROR(VLOOKUP(B116,'Base de Datos'!$C$7:$N$315,10,0))=TRUE," ",(VLOOKUP(B116,'Base de Datos'!$C$7:$N$315,10,0)))</f>
        <v xml:space="preserve"> </v>
      </c>
      <c r="T116" s="542"/>
      <c r="U116" s="694"/>
      <c r="V116" s="607"/>
    </row>
    <row r="117" spans="2:22" ht="15" customHeight="1" x14ac:dyDescent="0.3">
      <c r="B117" s="1239" t="s">
        <v>1654</v>
      </c>
      <c r="C117" s="1239"/>
      <c r="D117" s="1239"/>
      <c r="E117" s="554">
        <v>1188000000</v>
      </c>
      <c r="F117" s="559">
        <f>COUNTIF('Actualizada - presupuesto'!$E$7:$E$111,B117)</f>
        <v>17</v>
      </c>
      <c r="G117" s="559"/>
      <c r="H117" s="559"/>
      <c r="I117" s="559"/>
      <c r="J117" s="554">
        <f>SUM(J119:J136)</f>
        <v>1168456110</v>
      </c>
      <c r="K117" s="576">
        <f>J117/E117</f>
        <v>0.9835489141414141</v>
      </c>
      <c r="L117" s="554">
        <f>SUM(L119:L136)</f>
        <v>0</v>
      </c>
      <c r="M117" s="554"/>
      <c r="N117" s="554">
        <f>+E117-J117-L117</f>
        <v>19543890</v>
      </c>
      <c r="O117" s="657"/>
      <c r="P117" s="564" t="str">
        <f>IF(ISERROR(VLOOKUP(B117,'Base de Datos'!$C$7:$N$315,8,0))=TRUE," ",(VLOOKUP(B117,'Base de Datos'!$C$7:$N$315,8,0)))</f>
        <v xml:space="preserve"> </v>
      </c>
      <c r="Q117" s="565"/>
      <c r="R117" s="564" t="str">
        <f>IF(ISERROR(VLOOKUP(B117,'Base de Datos'!$C$7:$N$315,9,0))=TRUE," ",(VLOOKUP(B117,'Base de Datos'!$C$7:$N$315,9,0)))</f>
        <v xml:space="preserve"> </v>
      </c>
      <c r="S117" s="564" t="str">
        <f>IF(ISERROR(VLOOKUP(B117,'Base de Datos'!$C$7:$N$315,10,0))=TRUE," ",(VLOOKUP(B117,'Base de Datos'!$C$7:$N$315,10,0)))</f>
        <v xml:space="preserve"> </v>
      </c>
      <c r="T117" s="565"/>
      <c r="U117" s="694"/>
      <c r="V117" s="607"/>
    </row>
    <row r="118" spans="2:22" ht="22.8" outlineLevel="1" x14ac:dyDescent="0.3">
      <c r="B118" s="510" t="s">
        <v>1692</v>
      </c>
      <c r="C118" s="510" t="s">
        <v>912</v>
      </c>
      <c r="D118" s="510" t="s">
        <v>1821</v>
      </c>
      <c r="E118" s="518" t="s">
        <v>1845</v>
      </c>
      <c r="F118" s="507" t="s">
        <v>1852</v>
      </c>
      <c r="G118" s="507"/>
      <c r="H118" s="507"/>
      <c r="I118" s="507"/>
      <c r="J118" s="510" t="s">
        <v>1844</v>
      </c>
      <c r="K118" s="625"/>
      <c r="L118" s="510" t="s">
        <v>1938</v>
      </c>
      <c r="M118" s="510"/>
      <c r="N118" s="510" t="s">
        <v>1939</v>
      </c>
      <c r="O118" s="650"/>
      <c r="P118" s="541" t="s">
        <v>1846</v>
      </c>
      <c r="Q118" s="510" t="s">
        <v>1847</v>
      </c>
      <c r="R118" s="510" t="s">
        <v>1848</v>
      </c>
      <c r="S118" s="510" t="s">
        <v>375</v>
      </c>
      <c r="T118" s="510" t="s">
        <v>1849</v>
      </c>
      <c r="U118" s="694"/>
      <c r="V118" s="607"/>
    </row>
    <row r="119" spans="2:22" ht="22.8" outlineLevel="1" x14ac:dyDescent="0.3">
      <c r="B119" s="510">
        <v>149</v>
      </c>
      <c r="C119" s="506" t="str">
        <f>IF(ISERROR(VLOOKUP(B119,'Base de Datos'!$C$7:$F$4092,2,0))=TRUE,"",(VLOOKUP('Presupuesto - PAA 2015'!B119,'Base de Datos'!$C$7:$F$4092,3,0)))</f>
        <v>150223-0-2015</v>
      </c>
      <c r="D119" s="506" t="str">
        <f>IF(ISERROR(VLOOKUP(B119,'Base de Datos'!$C$7:$F$4092,3,0))=TRUE,"",(VLOOKUP('Presupuesto - PAA 2015'!B119,'Base de Datos'!$C$7:$F$4092,4,0)))</f>
        <v>SECURITYCOM SAS</v>
      </c>
      <c r="E119" s="509">
        <v>2000000</v>
      </c>
      <c r="F119" s="507" t="str">
        <f>VLOOKUP(B119,'Actualizada - presupuesto'!$D$7:$L$111,9,0)</f>
        <v>SI</v>
      </c>
      <c r="G119" s="507"/>
      <c r="H119" s="507"/>
      <c r="I119" s="507"/>
      <c r="J119" s="509">
        <f>IF(ISERROR(VLOOKUP(B119,'Base de Datos'!$C$7:$N$4092,6,0))=TRUE,"Sin Celebrar",(VLOOKUP(B119,'Base de Datos'!$C$7:$N$4092,7,0)))</f>
        <v>2000000</v>
      </c>
      <c r="K119" s="573"/>
      <c r="L119" s="509" t="str">
        <f t="shared" ref="L119:L133" si="11">IF(J119=$AA$1,E119, " ")</f>
        <v xml:space="preserve"> </v>
      </c>
      <c r="M119" s="509"/>
      <c r="N119" s="509" t="str">
        <f t="shared" ref="N119:N133" si="12">IF(J119&lt;E119,(E119-J119)," ")</f>
        <v xml:space="preserve"> </v>
      </c>
      <c r="O119" s="691" t="str">
        <f>IF(ISERROR(VLOOKUP(B119,'Base de Datos'!$C$7:$K$1048576,7,0))=TRUE," ",(VLOOKUP(B119,'Base de Datos'!$C$7:$K$1048576,8,0)))</f>
        <v>SDH-SMINC-024-2015</v>
      </c>
      <c r="P119" s="524">
        <f>IF(ISERROR(VLOOKUP(B119,'Base de Datos'!$C$7:$N$4077,9,0))=TRUE," ",(VLOOKUP(B119,'Base de Datos'!$C$7:$N$4077,10,0)))</f>
        <v>42135</v>
      </c>
      <c r="Q119" s="506" t="s">
        <v>1853</v>
      </c>
      <c r="R119" s="524">
        <f>IF(ISERROR(VLOOKUP(B119,'Base de Datos'!$C$7:$N$4077,10,0))=TRUE," ",(VLOOKUP(B119,'Base de Datos'!$C$7:$N$4077,11,0)))</f>
        <v>42150</v>
      </c>
      <c r="S119" s="524">
        <f>IF(ISERROR(VLOOKUP(B119,'Base de Datos'!$C$7:$N$4077,11,0))=TRUE," ",(VLOOKUP(B119,'Base de Datos'!$C$7:$N$4077,12,0)))</f>
        <v>42455</v>
      </c>
      <c r="T119" s="506" t="str">
        <f>VLOOKUP(C119,'Base de Datos'!$E$7:$AU$382,39,0)</f>
        <v>LIQUIDADO</v>
      </c>
      <c r="U119" s="694"/>
      <c r="V119" s="607"/>
    </row>
    <row r="120" spans="2:22" ht="12" customHeight="1" outlineLevel="1" x14ac:dyDescent="0.3">
      <c r="B120" s="510">
        <v>150</v>
      </c>
      <c r="C120" s="506" t="str">
        <f>IF(ISERROR(VLOOKUP(B120,'Base de Datos'!$C$7:$F$4092,2,0))=TRUE,"",(VLOOKUP('Presupuesto - PAA 2015'!B120,'Base de Datos'!$C$7:$F$4092,3,0)))</f>
        <v>150168-0-2015</v>
      </c>
      <c r="D120" s="506" t="str">
        <f>IF(ISERROR(VLOOKUP(B120,'Base de Datos'!$C$7:$F$4092,3,0))=TRUE,"",(VLOOKUP('Presupuesto - PAA 2015'!B120,'Base de Datos'!$C$7:$F$4092,4,0)))</f>
        <v>MONRAK INGENIERIA LIMITADA</v>
      </c>
      <c r="E120" s="509">
        <v>4721200</v>
      </c>
      <c r="F120" s="507" t="str">
        <f>VLOOKUP(B120,'Actualizada - presupuesto'!$D$7:$L$111,9,0)</f>
        <v>SI</v>
      </c>
      <c r="G120" s="507"/>
      <c r="H120" s="507"/>
      <c r="I120" s="507"/>
      <c r="J120" s="509">
        <f>IF(ISERROR(VLOOKUP(B120,'Base de Datos'!$C$7:$N$4092,6,0))=TRUE,"Sin Celebrar",(VLOOKUP(B120,'Base de Datos'!$C$7:$N$4092,7,0)))</f>
        <v>4721200</v>
      </c>
      <c r="K120" s="573"/>
      <c r="L120" s="509" t="str">
        <f t="shared" si="11"/>
        <v xml:space="preserve"> </v>
      </c>
      <c r="M120" s="509"/>
      <c r="N120" s="509" t="str">
        <f t="shared" si="12"/>
        <v xml:space="preserve"> </v>
      </c>
      <c r="O120" s="691" t="str">
        <f>IF(ISERROR(VLOOKUP(B120,'Base de Datos'!$C$7:$K$1048576,7,0))=TRUE," ",(VLOOKUP(B120,'Base de Datos'!$C$7:$K$1048576,8,0)))</f>
        <v>SDH-SMINC-09-2015</v>
      </c>
      <c r="P120" s="524">
        <f>IF(ISERROR(VLOOKUP(B120,'Base de Datos'!$C$7:$N$4077,9,0))=TRUE," ",(VLOOKUP(B120,'Base de Datos'!$C$7:$N$4077,10,0)))</f>
        <v>42104</v>
      </c>
      <c r="Q120" s="506" t="s">
        <v>1108</v>
      </c>
      <c r="R120" s="524">
        <f>IF(ISERROR(VLOOKUP(B120,'Base de Datos'!$C$7:$N$4077,10,0))=TRUE," ",(VLOOKUP(B120,'Base de Datos'!$C$7:$N$4077,11,0)))</f>
        <v>42116</v>
      </c>
      <c r="S120" s="524">
        <f>IF(ISERROR(VLOOKUP(B120,'Base de Datos'!$C$7:$N$4077,11,0))=TRUE," ",(VLOOKUP(B120,'Base de Datos'!$C$7:$N$4077,12,0)))</f>
        <v>42451</v>
      </c>
      <c r="T120" s="506" t="str">
        <f>VLOOKUP(C120,'Base de Datos'!$E$7:$AU$382,39,0)</f>
        <v>LIQUIDADO</v>
      </c>
      <c r="U120" s="694"/>
      <c r="V120" s="607"/>
    </row>
    <row r="121" spans="2:22" ht="22.8" outlineLevel="1" x14ac:dyDescent="0.3">
      <c r="B121" s="510">
        <v>151</v>
      </c>
      <c r="C121" s="506" t="str">
        <f>IF(ISERROR(VLOOKUP(B121,'Base de Datos'!$C$7:$F$4092,2,0))=TRUE,"",(VLOOKUP('Presupuesto - PAA 2015'!B121,'Base de Datos'!$C$7:$F$4092,3,0)))</f>
        <v>150333-0-2015</v>
      </c>
      <c r="D121" s="506" t="str">
        <f>IF(ISERROR(VLOOKUP(B121,'Base de Datos'!$C$7:$F$4092,3,0))=TRUE,"",(VLOOKUP('Presupuesto - PAA 2015'!B121,'Base de Datos'!$C$7:$F$4092,4,0)))</f>
        <v>Consultoría Estructural y de Construcción SAS - CEYCO Ingeniería SAS</v>
      </c>
      <c r="E121" s="509">
        <v>14917500</v>
      </c>
      <c r="F121" s="507" t="str">
        <f>VLOOKUP(B121,'Actualizada - presupuesto'!$D$7:$L$111,9,0)</f>
        <v>SI</v>
      </c>
      <c r="G121" s="507"/>
      <c r="H121" s="507"/>
      <c r="I121" s="507"/>
      <c r="J121" s="509">
        <f>IF(ISERROR(VLOOKUP(B121,'Base de Datos'!$C$7:$N$4092,6,0))=TRUE,"Sin Celebrar",(VLOOKUP(B121,'Base de Datos'!$C$7:$N$4092,7,0)))</f>
        <v>14917500</v>
      </c>
      <c r="K121" s="573"/>
      <c r="L121" s="509" t="str">
        <f t="shared" si="11"/>
        <v xml:space="preserve"> </v>
      </c>
      <c r="M121" s="509"/>
      <c r="N121" s="509" t="str">
        <f t="shared" si="12"/>
        <v xml:space="preserve"> </v>
      </c>
      <c r="O121" s="691" t="str">
        <f>IF(ISERROR(VLOOKUP(B121,'Base de Datos'!$C$7:$K$1048576,7,0))=TRUE," ",(VLOOKUP(B121,'Base de Datos'!$C$7:$K$1048576,8,0)))</f>
        <v>SDH-SMINC-041-2015</v>
      </c>
      <c r="P121" s="524">
        <f>IF(ISERROR(VLOOKUP(B121,'Base de Datos'!$C$7:$N$4077,9,0))=TRUE," ",(VLOOKUP(B121,'Base de Datos'!$C$7:$N$4077,10,0)))</f>
        <v>42228</v>
      </c>
      <c r="Q121" s="506" t="s">
        <v>1853</v>
      </c>
      <c r="R121" s="524">
        <f>IF(ISERROR(VLOOKUP(B121,'Base de Datos'!$C$7:$N$4077,10,0))=TRUE," ",(VLOOKUP(B121,'Base de Datos'!$C$7:$N$4077,11,0)))</f>
        <v>42247</v>
      </c>
      <c r="S121" s="524">
        <f>IF(ISERROR(VLOOKUP(B121,'Base de Datos'!$C$7:$N$4077,11,0))=TRUE," ",(VLOOKUP(B121,'Base de Datos'!$C$7:$N$4077,12,0)))</f>
        <v>42551</v>
      </c>
      <c r="T121" s="506" t="str">
        <f>VLOOKUP(C121,'Base de Datos'!$E$7:$AU$382,39,0)</f>
        <v>LIQUIDADO</v>
      </c>
      <c r="U121" s="694"/>
      <c r="V121" s="607"/>
    </row>
    <row r="122" spans="2:22" ht="13.5" customHeight="1" outlineLevel="1" x14ac:dyDescent="0.3">
      <c r="B122" s="510">
        <v>152</v>
      </c>
      <c r="C122" s="506" t="str">
        <f>IF(ISERROR(VLOOKUP(B122,'Base de Datos'!$C$7:$F$4092,2,0))=TRUE,"",(VLOOKUP('Presupuesto - PAA 2015'!B122,'Base de Datos'!$C$7:$F$4092,3,0)))</f>
        <v>150129-0-2015</v>
      </c>
      <c r="D122" s="506" t="str">
        <f>IF(ISERROR(VLOOKUP(B122,'Base de Datos'!$C$7:$F$4092,3,0))=TRUE,"",(VLOOKUP('Presupuesto - PAA 2015'!B122,'Base de Datos'!$C$7:$F$4092,4,0)))</f>
        <v>DIEGO ALEJANDRO RUBIO RAMOS</v>
      </c>
      <c r="E122" s="509">
        <v>7442000</v>
      </c>
      <c r="F122" s="507" t="str">
        <f>VLOOKUP(B122,'Actualizada - presupuesto'!$D$7:$L$111,9,0)</f>
        <v>SI</v>
      </c>
      <c r="G122" s="507"/>
      <c r="H122" s="507"/>
      <c r="I122" s="507"/>
      <c r="J122" s="509">
        <f>IF(ISERROR(VLOOKUP(B122,'Base de Datos'!$C$7:$N$4092,6,0))=TRUE,"Sin Celebrar",(VLOOKUP(B122,'Base de Datos'!$C$7:$N$4092,7,0)))</f>
        <v>7442000</v>
      </c>
      <c r="K122" s="573"/>
      <c r="L122" s="509" t="str">
        <f t="shared" si="11"/>
        <v xml:space="preserve"> </v>
      </c>
      <c r="M122" s="509"/>
      <c r="N122" s="509" t="str">
        <f t="shared" si="12"/>
        <v xml:space="preserve"> </v>
      </c>
      <c r="O122" s="691" t="str">
        <f>IF(ISERROR(VLOOKUP(B122,'Base de Datos'!$C$7:$K$1048576,7,0))=TRUE," ",(VLOOKUP(B122,'Base de Datos'!$C$7:$K$1048576,8,0)))</f>
        <v>SDH-SMINC-02-2015</v>
      </c>
      <c r="P122" s="524">
        <f>IF(ISERROR(VLOOKUP(B122,'Base de Datos'!$C$7:$N$4077,9,0))=TRUE," ",(VLOOKUP(B122,'Base de Datos'!$C$7:$N$4077,10,0)))</f>
        <v>42082</v>
      </c>
      <c r="Q122" s="506" t="s">
        <v>1850</v>
      </c>
      <c r="R122" s="524">
        <f>IF(ISERROR(VLOOKUP(B122,'Base de Datos'!$C$7:$N$4077,10,0))=TRUE," ",(VLOOKUP(B122,'Base de Datos'!$C$7:$N$4077,11,0)))</f>
        <v>42111</v>
      </c>
      <c r="S122" s="524">
        <f>IF(ISERROR(VLOOKUP(B122,'Base de Datos'!$C$7:$N$4077,11,0))=TRUE," ",(VLOOKUP(B122,'Base de Datos'!$C$7:$N$4077,12,0)))</f>
        <v>42477</v>
      </c>
      <c r="T122" s="506" t="str">
        <f>VLOOKUP(C122,'Base de Datos'!$E$7:$AU$382,39,0)</f>
        <v>LIQUIDADO</v>
      </c>
      <c r="U122" s="694"/>
      <c r="V122" s="607"/>
    </row>
    <row r="123" spans="2:22" ht="10.5" customHeight="1" outlineLevel="1" x14ac:dyDescent="0.3">
      <c r="B123" s="600">
        <v>154</v>
      </c>
      <c r="C123" s="506" t="str">
        <f>IF(ISERROR(VLOOKUP(B123,'Base de Datos'!$C$7:$F$4092,2,0))=TRUE,"",(VLOOKUP('Presupuesto - PAA 2015'!B123,'Base de Datos'!$C$7:$F$4092,3,0)))</f>
        <v>150229-0-2015</v>
      </c>
      <c r="D123" s="506" t="str">
        <f>IF(ISERROR(VLOOKUP(B123,'Base de Datos'!$C$7:$F$4092,3,0))=TRUE,"",(VLOOKUP('Presupuesto - PAA 2015'!B123,'Base de Datos'!$C$7:$F$4092,4,0)))</f>
        <v xml:space="preserve">MOTORES Y MAQUINAS S.A. MOTORYSA </v>
      </c>
      <c r="E123" s="509">
        <v>28000000</v>
      </c>
      <c r="F123" s="507" t="str">
        <f>VLOOKUP(B123,'Actualizada - presupuesto'!$D$7:$L$111,9,0)</f>
        <v>SI</v>
      </c>
      <c r="G123" s="507"/>
      <c r="H123" s="507"/>
      <c r="I123" s="507"/>
      <c r="J123" s="509">
        <f>IF(ISERROR(VLOOKUP(B123,'Base de Datos'!$C$7:$N$4092,6,0))=TRUE,"Sin Celebrar",(VLOOKUP(B123,'Base de Datos'!$C$7:$N$4092,7,0)))</f>
        <v>28000000</v>
      </c>
      <c r="K123" s="573"/>
      <c r="L123" s="509" t="str">
        <f t="shared" si="11"/>
        <v xml:space="preserve"> </v>
      </c>
      <c r="M123" s="509"/>
      <c r="N123" s="509" t="str">
        <f t="shared" si="12"/>
        <v xml:space="preserve"> </v>
      </c>
      <c r="O123" s="691" t="str">
        <f>IF(ISERROR(VLOOKUP(B123,'Base de Datos'!$C$7:$K$1048576,7,0))=TRUE," ",(VLOOKUP(B123,'Base de Datos'!$C$7:$K$1048576,8,0)))</f>
        <v>150229-0-2015</v>
      </c>
      <c r="P123" s="524">
        <f>IF(ISERROR(VLOOKUP(B123,'Base de Datos'!$C$7:$N$4077,9,0))=TRUE," ",(VLOOKUP(B123,'Base de Datos'!$C$7:$N$4077,10,0)))</f>
        <v>42144</v>
      </c>
      <c r="Q123" s="506" t="s">
        <v>1108</v>
      </c>
      <c r="R123" s="524">
        <f>IF(ISERROR(VLOOKUP(B123,'Base de Datos'!$C$7:$N$4077,10,0))=TRUE," ",(VLOOKUP(B123,'Base de Datos'!$C$7:$N$4077,11,0)))</f>
        <v>42180</v>
      </c>
      <c r="S123" s="524">
        <f>IF(ISERROR(VLOOKUP(B123,'Base de Datos'!$C$7:$N$4077,11,0))=TRUE," ",(VLOOKUP(B123,'Base de Datos'!$C$7:$N$4077,12,0)))</f>
        <v>42546</v>
      </c>
      <c r="T123" s="506" t="str">
        <f>VLOOKUP(C123,'Base de Datos'!$E$7:$AU$382,39,0)</f>
        <v>LIQUIDADO</v>
      </c>
      <c r="U123" s="694"/>
      <c r="V123" s="607"/>
    </row>
    <row r="124" spans="2:22" outlineLevel="1" x14ac:dyDescent="0.3">
      <c r="B124" s="510">
        <v>155</v>
      </c>
      <c r="C124" s="506" t="str">
        <f>IF(ISERROR(VLOOKUP(B124,'Base de Datos'!$C$7:$F$4092,2,0))=TRUE,"",(VLOOKUP('Presupuesto - PAA 2015'!B124,'Base de Datos'!$C$7:$F$4092,3,0)))</f>
        <v>150341-0-2015</v>
      </c>
      <c r="D124" s="506" t="str">
        <f>IF(ISERROR(VLOOKUP(B124,'Base de Datos'!$C$7:$F$4092,3,0))=TRUE,"",(VLOOKUP('Presupuesto - PAA 2015'!B124,'Base de Datos'!$C$7:$F$4092,4,0)))</f>
        <v>INGENIERIA DE BOMBAS Y PLANTAS LIMITADA</v>
      </c>
      <c r="E124" s="509">
        <v>5000000</v>
      </c>
      <c r="F124" s="507" t="str">
        <f>VLOOKUP(B124,'Actualizada - presupuesto'!$D$7:$L$111,9,0)</f>
        <v>SI</v>
      </c>
      <c r="G124" s="507"/>
      <c r="H124" s="507"/>
      <c r="I124" s="507"/>
      <c r="J124" s="509">
        <f>IF(ISERROR(VLOOKUP(B124,'Base de Datos'!$C$7:$N$4092,6,0))=TRUE,"Sin Celebrar",(VLOOKUP(B124,'Base de Datos'!$C$7:$N$4092,7,0)))</f>
        <v>5000000</v>
      </c>
      <c r="K124" s="573"/>
      <c r="L124" s="509" t="str">
        <f t="shared" si="11"/>
        <v xml:space="preserve"> </v>
      </c>
      <c r="M124" s="509"/>
      <c r="N124" s="509" t="str">
        <f t="shared" si="12"/>
        <v xml:space="preserve"> </v>
      </c>
      <c r="O124" s="691" t="str">
        <f>IF(ISERROR(VLOOKUP(B124,'Base de Datos'!$C$7:$K$1048576,7,0))=TRUE," ",(VLOOKUP(B124,'Base de Datos'!$C$7:$K$1048576,8,0)))</f>
        <v>SDH-SMINC-49-2015</v>
      </c>
      <c r="P124" s="524">
        <f>IF(ISERROR(VLOOKUP(B124,'Base de Datos'!$C$7:$N$4077,9,0))=TRUE," ",(VLOOKUP(B124,'Base de Datos'!$C$7:$N$4077,10,0)))</f>
        <v>42236</v>
      </c>
      <c r="Q124" s="506" t="s">
        <v>1320</v>
      </c>
      <c r="R124" s="524">
        <f>IF(ISERROR(VLOOKUP(B124,'Base de Datos'!$C$7:$N$4077,10,0))=TRUE," ",(VLOOKUP(B124,'Base de Datos'!$C$7:$N$4077,11,0)))</f>
        <v>42244</v>
      </c>
      <c r="S124" s="524">
        <f>IF(ISERROR(VLOOKUP(B124,'Base de Datos'!$C$7:$N$4077,11,0))=TRUE," ",(VLOOKUP(B124,'Base de Datos'!$C$7:$N$4077,12,0)))</f>
        <v>42549</v>
      </c>
      <c r="T124" s="506" t="str">
        <f>VLOOKUP(C124,'Base de Datos'!$E$7:$AU$382,39,0)</f>
        <v>DEVUELTO</v>
      </c>
      <c r="U124" s="694"/>
      <c r="V124" s="607"/>
    </row>
    <row r="125" spans="2:22" ht="22.8" outlineLevel="1" x14ac:dyDescent="0.3">
      <c r="B125" s="510">
        <v>164</v>
      </c>
      <c r="C125" s="506" t="str">
        <f>IF(ISERROR(VLOOKUP(B125,'Base de Datos'!$C$7:$F$4092,2,0))=TRUE,"",(VLOOKUP('Presupuesto - PAA 2015'!B125,'Base de Datos'!$C$7:$F$4092,3,0)))</f>
        <v>150358-0-2015</v>
      </c>
      <c r="D125" s="506" t="str">
        <f>IF(ISERROR(VLOOKUP(B125,'Base de Datos'!$C$7:$F$4092,3,0))=TRUE,"",(VLOOKUP('Presupuesto - PAA 2015'!B125,'Base de Datos'!$C$7:$F$4092,4,0)))</f>
        <v>MITSU MOTORS SERVICE S.A.S.</v>
      </c>
      <c r="E125" s="509">
        <v>25390000</v>
      </c>
      <c r="F125" s="507" t="str">
        <f>VLOOKUP(B125,'Actualizada - presupuesto'!$D$7:$L$111,9,0)</f>
        <v>SI</v>
      </c>
      <c r="G125" s="507"/>
      <c r="H125" s="507"/>
      <c r="I125" s="507"/>
      <c r="J125" s="509">
        <v>25390000</v>
      </c>
      <c r="K125" s="573"/>
      <c r="L125" s="509" t="str">
        <f t="shared" si="11"/>
        <v xml:space="preserve"> </v>
      </c>
      <c r="M125" s="509"/>
      <c r="N125" s="509" t="str">
        <f t="shared" si="12"/>
        <v xml:space="preserve"> </v>
      </c>
      <c r="O125" s="691" t="str">
        <f>IF(ISERROR(VLOOKUP(B125,'Base de Datos'!$C$7:$K$1048576,7,0))=TRUE," ",(VLOOKUP(B125,'Base de Datos'!$C$7:$K$1048576,8,0)))</f>
        <v>SDH-SMINC-053-2015</v>
      </c>
      <c r="P125" s="524">
        <f>IF(ISERROR(VLOOKUP(B125,'Base de Datos'!$C$7:$N$4077,9,0))=TRUE," ",(VLOOKUP(B125,'Base de Datos'!$C$7:$N$4077,10,0)))</f>
        <v>42268</v>
      </c>
      <c r="Q125" s="506" t="s">
        <v>1850</v>
      </c>
      <c r="R125" s="524">
        <f>IF(ISERROR(VLOOKUP(B125,'Base de Datos'!$C$7:$N$4077,10,0))=TRUE," ",(VLOOKUP(B125,'Base de Datos'!$C$7:$N$4077,11,0)))</f>
        <v>42296</v>
      </c>
      <c r="S125" s="524">
        <f>IF(ISERROR(VLOOKUP(B125,'Base de Datos'!$C$7:$N$4077,11,0))=TRUE," ",(VLOOKUP(B125,'Base de Datos'!$C$7:$N$4077,12,0)))</f>
        <v>42662</v>
      </c>
      <c r="T125" s="506" t="str">
        <f>VLOOKUP(C125,'Base de Datos'!$E$7:$AU$382,39,0)</f>
        <v>LIQUIDADO</v>
      </c>
      <c r="U125" s="694"/>
      <c r="V125" s="607"/>
    </row>
    <row r="126" spans="2:22" ht="15" customHeight="1" outlineLevel="1" x14ac:dyDescent="0.3">
      <c r="B126" s="510">
        <v>165</v>
      </c>
      <c r="C126" s="506" t="str">
        <f>IF(ISERROR(VLOOKUP(B126,'Base de Datos'!$C$7:$F$4092,2,0))=TRUE,"",(VLOOKUP('Presupuesto - PAA 2015'!B126,'Base de Datos'!$C$7:$F$4092,3,0)))</f>
        <v>150265-0-2015</v>
      </c>
      <c r="D126" s="506" t="str">
        <f>IF(ISERROR(VLOOKUP(B126,'Base de Datos'!$C$7:$F$4092,3,0))=TRUE,"",(VLOOKUP('Presupuesto - PAA 2015'!B126,'Base de Datos'!$C$7:$F$4092,4,0)))</f>
        <v>FLOREZ &amp; ALVAREZ S.A.</v>
      </c>
      <c r="E126" s="509">
        <v>209000000</v>
      </c>
      <c r="F126" s="507" t="str">
        <f>VLOOKUP(B126,'Actualizada - presupuesto'!$D$7:$L$111,9,0)</f>
        <v>SI</v>
      </c>
      <c r="G126" s="507"/>
      <c r="H126" s="507"/>
      <c r="I126" s="507"/>
      <c r="J126" s="509">
        <v>209000000</v>
      </c>
      <c r="K126" s="573"/>
      <c r="L126" s="509" t="str">
        <f t="shared" si="11"/>
        <v xml:space="preserve"> </v>
      </c>
      <c r="M126" s="509"/>
      <c r="N126" s="509" t="str">
        <f t="shared" si="12"/>
        <v xml:space="preserve"> </v>
      </c>
      <c r="O126" s="691" t="str">
        <f>IF(ISERROR(VLOOKUP(B126,'Base de Datos'!$C$7:$K$1048576,7,0))=TRUE," ",(VLOOKUP(B126,'Base de Datos'!$C$7:$K$1048576,8,0)))</f>
        <v>SDH-SIE-05-2015</v>
      </c>
      <c r="P126" s="524">
        <f>IF(ISERROR(VLOOKUP(B126,'Base de Datos'!$C$7:$N$4077,9,0))=TRUE," ",(VLOOKUP(B126,'Base de Datos'!$C$7:$N$4077,10,0)))</f>
        <v>42174</v>
      </c>
      <c r="Q126" s="506" t="s">
        <v>1853</v>
      </c>
      <c r="R126" s="524">
        <f>IF(ISERROR(VLOOKUP(B126,'Base de Datos'!$C$7:$N$4077,10,0))=TRUE," ",(VLOOKUP(B126,'Base de Datos'!$C$7:$N$4077,11,0)))</f>
        <v>42187</v>
      </c>
      <c r="S126" s="524">
        <f>IF(ISERROR(VLOOKUP(B126,'Base de Datos'!$C$7:$N$4077,11,0))=TRUE," ",(VLOOKUP(B126,'Base de Datos'!$C$7:$N$4077,12,0)))</f>
        <v>42492</v>
      </c>
      <c r="T126" s="506" t="str">
        <f>VLOOKUP(C126,'Base de Datos'!$E$7:$AU$382,39,0)</f>
        <v>EN TRÁMITE</v>
      </c>
      <c r="U126" s="694"/>
      <c r="V126" s="607"/>
    </row>
    <row r="127" spans="2:22" outlineLevel="1" x14ac:dyDescent="0.3">
      <c r="B127" s="510">
        <v>171</v>
      </c>
      <c r="C127" s="506" t="str">
        <f>IF(ISERROR(VLOOKUP(B127,'Base de Datos'!$C$7:$F$4092,2,0))=TRUE,"",(VLOOKUP('Presupuesto - PAA 2015'!B127,'Base de Datos'!$C$7:$F$4092,3,0)))</f>
        <v>150219-0-2015</v>
      </c>
      <c r="D127" s="506" t="str">
        <f>IF(ISERROR(VLOOKUP(B127,'Base de Datos'!$C$7:$F$4092,3,0))=TRUE,"",(VLOOKUP('Presupuesto - PAA 2015'!B127,'Base de Datos'!$C$7:$F$4092,4,0)))</f>
        <v>MITSUBISHI ELECTRIC DE COLOMBIA LTDA</v>
      </c>
      <c r="E127" s="509">
        <v>14210000</v>
      </c>
      <c r="F127" s="507" t="str">
        <f>VLOOKUP(B127,'Actualizada - presupuesto'!$D$7:$L$111,9,0)</f>
        <v>SI</v>
      </c>
      <c r="G127" s="507"/>
      <c r="H127" s="507"/>
      <c r="I127" s="507"/>
      <c r="J127" s="509">
        <f>IF(ISERROR(VLOOKUP(B127,'Base de Datos'!$C$7:$N$4092,6,0))=TRUE,"Sin Celebrar",(VLOOKUP(B127,'Base de Datos'!$C$7:$N$4092,7,0)))</f>
        <v>14210000</v>
      </c>
      <c r="K127" s="573"/>
      <c r="L127" s="509" t="str">
        <f t="shared" si="11"/>
        <v xml:space="preserve"> </v>
      </c>
      <c r="M127" s="509"/>
      <c r="N127" s="509" t="str">
        <f t="shared" si="12"/>
        <v xml:space="preserve"> </v>
      </c>
      <c r="O127" s="691" t="str">
        <f>IF(ISERROR(VLOOKUP(B127,'Base de Datos'!$C$7:$K$1048576,7,0))=TRUE," ",(VLOOKUP(B127,'Base de Datos'!$C$7:$K$1048576,8,0)))</f>
        <v>150219-0-2015</v>
      </c>
      <c r="P127" s="524">
        <f>IF(ISERROR(VLOOKUP(B127,'Base de Datos'!$C$7:$N$4077,9,0))=TRUE," ",(VLOOKUP(B127,'Base de Datos'!$C$7:$N$4077,10,0)))</f>
        <v>42132</v>
      </c>
      <c r="Q127" s="506" t="s">
        <v>1853</v>
      </c>
      <c r="R127" s="524">
        <f>IF(ISERROR(VLOOKUP(B127,'Base de Datos'!$C$7:$N$4077,10,0))=TRUE," ",(VLOOKUP(B127,'Base de Datos'!$C$7:$N$4077,11,0)))</f>
        <v>42149</v>
      </c>
      <c r="S127" s="524">
        <f>IF(ISERROR(VLOOKUP(B127,'Base de Datos'!$C$7:$N$4077,11,0))=TRUE," ",(VLOOKUP(B127,'Base de Datos'!$C$7:$N$4077,12,0)))</f>
        <v>42454</v>
      </c>
      <c r="T127" s="506" t="str">
        <f>VLOOKUP(C127,'Base de Datos'!$E$7:$AU$382,39,0)</f>
        <v>LIQUIDADO</v>
      </c>
      <c r="U127" s="694"/>
      <c r="V127" s="607"/>
    </row>
    <row r="128" spans="2:22" ht="12" customHeight="1" outlineLevel="1" x14ac:dyDescent="0.3">
      <c r="B128" s="510">
        <v>172</v>
      </c>
      <c r="C128" s="506" t="str">
        <f>IF(ISERROR(VLOOKUP(B128,'Base de Datos'!$C$7:$F$4092,2,0))=TRUE,"",(VLOOKUP('Presupuesto - PAA 2015'!B128,'Base de Datos'!$C$7:$F$4092,3,0)))</f>
        <v>150215-0-2015</v>
      </c>
      <c r="D128" s="506" t="str">
        <f>IF(ISERROR(VLOOKUP(B128,'Base de Datos'!$C$7:$F$4092,3,0))=TRUE,"",(VLOOKUP('Presupuesto - PAA 2015'!B128,'Base de Datos'!$C$7:$F$4092,4,0)))</f>
        <v>MODULARES OFIMA LTDA</v>
      </c>
      <c r="E128" s="509">
        <v>5874000</v>
      </c>
      <c r="F128" s="507" t="str">
        <f>VLOOKUP(B128,'Actualizada - presupuesto'!$D$7:$L$111,9,0)</f>
        <v>SI</v>
      </c>
      <c r="G128" s="507"/>
      <c r="H128" s="507"/>
      <c r="I128" s="507"/>
      <c r="J128" s="509">
        <f>IF(ISERROR(VLOOKUP(B128,'Base de Datos'!$C$7:$N$4092,6,0))=TRUE,"Sin Celebrar",(VLOOKUP(B128,'Base de Datos'!$C$7:$N$4092,7,0)))</f>
        <v>5874000</v>
      </c>
      <c r="K128" s="573"/>
      <c r="L128" s="509" t="str">
        <f t="shared" si="11"/>
        <v xml:space="preserve"> </v>
      </c>
      <c r="M128" s="509"/>
      <c r="N128" s="509" t="str">
        <f t="shared" si="12"/>
        <v xml:space="preserve"> </v>
      </c>
      <c r="O128" s="691" t="str">
        <f>IF(ISERROR(VLOOKUP(B128,'Base de Datos'!$C$7:$K$1048576,7,0))=TRUE," ",(VLOOKUP(B128,'Base de Datos'!$C$7:$K$1048576,8,0)))</f>
        <v>SDH-SMINC-19-2015</v>
      </c>
      <c r="P128" s="524">
        <f>IF(ISERROR(VLOOKUP(B128,'Base de Datos'!$C$7:$N$4077,9,0))=TRUE," ",(VLOOKUP(B128,'Base de Datos'!$C$7:$N$4077,10,0)))</f>
        <v>42130</v>
      </c>
      <c r="Q128" s="506" t="s">
        <v>1850</v>
      </c>
      <c r="R128" s="524">
        <f>IF(ISERROR(VLOOKUP(B128,'Base de Datos'!$C$7:$N$4077,10,0))=TRUE," ",(VLOOKUP(B128,'Base de Datos'!$C$7:$N$4077,11,0)))</f>
        <v>42149</v>
      </c>
      <c r="S128" s="524">
        <f>IF(ISERROR(VLOOKUP(B128,'Base de Datos'!$C$7:$N$4077,11,0))=TRUE," ",(VLOOKUP(B128,'Base de Datos'!$C$7:$N$4077,12,0)))</f>
        <v>42515</v>
      </c>
      <c r="T128" s="506" t="str">
        <f>VLOOKUP(C128,'Base de Datos'!$E$7:$AU$382,39,0)</f>
        <v>DEVUELTO</v>
      </c>
      <c r="U128" s="694"/>
      <c r="V128" s="607"/>
    </row>
    <row r="129" spans="2:22" outlineLevel="1" x14ac:dyDescent="0.3">
      <c r="B129" s="510">
        <v>173</v>
      </c>
      <c r="C129" s="506" t="str">
        <f>IF(ISERROR(VLOOKUP(B129,'Base de Datos'!$C$7:$F$4092,2,0))=TRUE,"",(VLOOKUP('Presupuesto - PAA 2015'!B129,'Base de Datos'!$C$7:$F$4092,3,0)))</f>
        <v>150323-0-2015</v>
      </c>
      <c r="D129" s="506" t="str">
        <f>IF(ISERROR(VLOOKUP(B129,'Base de Datos'!$C$7:$F$4092,3,0))=TRUE,"",(VLOOKUP('Presupuesto - PAA 2015'!B129,'Base de Datos'!$C$7:$F$4092,4,0)))</f>
        <v>ALCALA &amp; ESPINOSA DISEÑO Y CONSTRUCCIÓN Ltda.</v>
      </c>
      <c r="E129" s="509">
        <v>213921490</v>
      </c>
      <c r="F129" s="507" t="str">
        <f>VLOOKUP(B129,'Actualizada - presupuesto'!$D$7:$L$111,9,0)</f>
        <v>SI</v>
      </c>
      <c r="G129" s="507"/>
      <c r="H129" s="507"/>
      <c r="I129" s="507"/>
      <c r="J129" s="509">
        <f>IF(ISERROR(VLOOKUP(B129,'Base de Datos'!$C$7:$N$4092,6,0))=TRUE,"Sin Celebrar",(VLOOKUP(B129,'Base de Datos'!$C$7:$N$4092,7,0)))</f>
        <v>213921490</v>
      </c>
      <c r="K129" s="573"/>
      <c r="L129" s="509" t="str">
        <f t="shared" si="11"/>
        <v xml:space="preserve"> </v>
      </c>
      <c r="M129" s="509"/>
      <c r="N129" s="509" t="str">
        <f t="shared" si="12"/>
        <v xml:space="preserve"> </v>
      </c>
      <c r="O129" s="691" t="str">
        <f>IF(ISERROR(VLOOKUP(B129,'Base de Datos'!$C$7:$K$1048576,7,0))=TRUE," ",(VLOOKUP(B129,'Base de Datos'!$C$7:$K$1048576,8,0)))</f>
        <v>SDH-SAMC-05-2015</v>
      </c>
      <c r="P129" s="524">
        <f>IF(ISERROR(VLOOKUP(B129,'Base de Datos'!$C$7:$N$4077,9,0))=TRUE," ",(VLOOKUP(B129,'Base de Datos'!$C$7:$N$4077,10,0)))</f>
        <v>42213</v>
      </c>
      <c r="Q129" s="506" t="s">
        <v>1320</v>
      </c>
      <c r="R129" s="524">
        <f>IF(ISERROR(VLOOKUP(B129,'Base de Datos'!$C$7:$N$4077,10,0))=TRUE," ",(VLOOKUP(B129,'Base de Datos'!$C$7:$N$4077,11,0)))</f>
        <v>42250</v>
      </c>
      <c r="S129" s="524">
        <f>IF(ISERROR(VLOOKUP(B129,'Base de Datos'!$C$7:$N$4077,11,0))=TRUE," ",(VLOOKUP(B129,'Base de Datos'!$C$7:$N$4077,12,0)))</f>
        <v>42524</v>
      </c>
      <c r="T129" s="506" t="str">
        <f>VLOOKUP(C129,'Base de Datos'!$E$7:$AU$382,39,0)</f>
        <v>LIQUIDADO</v>
      </c>
      <c r="U129" s="694"/>
      <c r="V129" s="607"/>
    </row>
    <row r="130" spans="2:22" outlineLevel="1" x14ac:dyDescent="0.3">
      <c r="B130" s="510">
        <v>174</v>
      </c>
      <c r="C130" s="506" t="str">
        <f>IF(ISERROR(VLOOKUP(B130,'Base de Datos'!$C$7:$F$4092,2,0))=TRUE,"",(VLOOKUP('Presupuesto - PAA 2015'!B130,'Base de Datos'!$C$7:$F$4092,3,0)))</f>
        <v>150226-0-2015</v>
      </c>
      <c r="D130" s="506" t="str">
        <f>IF(ISERROR(VLOOKUP(B130,'Base de Datos'!$C$7:$F$4092,3,0))=TRUE,"",(VLOOKUP('Presupuesto - PAA 2015'!B130,'Base de Datos'!$C$7:$F$4092,4,0)))</f>
        <v>COOPERATIVA DE VIGILANTES STARCOOP CTA</v>
      </c>
      <c r="E130" s="509">
        <v>566000000</v>
      </c>
      <c r="F130" s="507" t="str">
        <f>VLOOKUP(B130,'Actualizada - presupuesto'!$D$7:$L$111,9,0)</f>
        <v>SI</v>
      </c>
      <c r="G130" s="507"/>
      <c r="H130" s="507"/>
      <c r="I130" s="507"/>
      <c r="J130" s="509">
        <f>IF(ISERROR(VLOOKUP(B130,'Base de Datos'!$C$7:$N$4092,6,0))=TRUE,"Sin Celebrar",(VLOOKUP(B130,'Base de Datos'!$C$7:$N$4092,7,0)))</f>
        <v>566000000</v>
      </c>
      <c r="K130" s="573"/>
      <c r="L130" s="509" t="str">
        <f t="shared" si="11"/>
        <v xml:space="preserve"> </v>
      </c>
      <c r="M130" s="509"/>
      <c r="N130" s="509" t="str">
        <f t="shared" si="12"/>
        <v xml:space="preserve"> </v>
      </c>
      <c r="O130" s="691" t="str">
        <f>IF(ISERROR(VLOOKUP(B130,'Base de Datos'!$C$7:$K$1048576,7,0))=TRUE," ",(VLOOKUP(B130,'Base de Datos'!$C$7:$K$1048576,8,0)))</f>
        <v>SDH-SIE-03-2015</v>
      </c>
      <c r="P130" s="524">
        <f>IF(ISERROR(VLOOKUP(B130,'Base de Datos'!$C$7:$N$4077,9,0))=TRUE," ",(VLOOKUP(B130,'Base de Datos'!$C$7:$N$4077,10,0)))</f>
        <v>42136</v>
      </c>
      <c r="Q130" s="506" t="s">
        <v>1850</v>
      </c>
      <c r="R130" s="524">
        <f>IF(ISERROR(VLOOKUP(B130,'Base de Datos'!$C$7:$N$4077,10,0))=TRUE," ",(VLOOKUP(B130,'Base de Datos'!$C$7:$N$4077,11,0)))</f>
        <v>42141</v>
      </c>
      <c r="S130" s="524">
        <f>IF(ISERROR(VLOOKUP(B130,'Base de Datos'!$C$7:$N$4077,11,0))=TRUE," ",(VLOOKUP(B130,'Base de Datos'!$C$7:$N$4077,12,0)))</f>
        <v>42507</v>
      </c>
      <c r="T130" s="506" t="str">
        <f>VLOOKUP(C130,'Base de Datos'!$E$7:$AU$382,39,0)</f>
        <v>LIQUIDADO</v>
      </c>
      <c r="U130" s="694"/>
      <c r="V130" s="607"/>
    </row>
    <row r="131" spans="2:22" ht="9.75" customHeight="1" outlineLevel="1" x14ac:dyDescent="0.3">
      <c r="B131" s="510">
        <v>175</v>
      </c>
      <c r="C131" s="506" t="str">
        <f>IF(ISERROR(VLOOKUP(B131,'Base de Datos'!$C$7:$F$4092,2,0))=TRUE,"",(VLOOKUP('Presupuesto - PAA 2015'!B131,'Base de Datos'!$C$7:$F$4092,3,0)))</f>
        <v>150191-0-2015</v>
      </c>
      <c r="D131" s="506" t="str">
        <f>IF(ISERROR(VLOOKUP(B131,'Base de Datos'!$C$7:$F$4092,3,0))=TRUE,"",(VLOOKUP('Presupuesto - PAA 2015'!B131,'Base de Datos'!$C$7:$F$4092,4,0)))</f>
        <v>HERNANDO  BULLA ORJUELA</v>
      </c>
      <c r="E131" s="509">
        <v>27620000</v>
      </c>
      <c r="F131" s="507" t="str">
        <f>VLOOKUP(B131,'Actualizada - presupuesto'!$D$7:$L$111,9,0)</f>
        <v>SI</v>
      </c>
      <c r="G131" s="507"/>
      <c r="H131" s="507"/>
      <c r="I131" s="507"/>
      <c r="J131" s="509">
        <f>IF(ISERROR(VLOOKUP(B131,'Base de Datos'!$C$7:$N$4092,6,0))=TRUE,"Sin Celebrar",(VLOOKUP(B131,'Base de Datos'!$C$7:$N$4092,7,0)))</f>
        <v>27620000</v>
      </c>
      <c r="K131" s="573"/>
      <c r="L131" s="509" t="str">
        <f t="shared" si="11"/>
        <v xml:space="preserve"> </v>
      </c>
      <c r="M131" s="509"/>
      <c r="N131" s="509" t="str">
        <f t="shared" si="12"/>
        <v xml:space="preserve"> </v>
      </c>
      <c r="O131" s="691" t="str">
        <f>IF(ISERROR(VLOOKUP(B131,'Base de Datos'!$C$7:$K$1048576,7,0))=TRUE," ",(VLOOKUP(B131,'Base de Datos'!$C$7:$K$1048576,8,0)))</f>
        <v>SDH-SMINC-15-2015</v>
      </c>
      <c r="P131" s="524">
        <f>IF(ISERROR(VLOOKUP(B131,'Base de Datos'!$C$7:$N$4077,9,0))=TRUE," ",(VLOOKUP(B131,'Base de Datos'!$C$7:$N$4077,10,0)))</f>
        <v>42109</v>
      </c>
      <c r="Q131" s="506" t="s">
        <v>1850</v>
      </c>
      <c r="R131" s="524">
        <f>IF(ISERROR(VLOOKUP(B131,'Base de Datos'!$C$7:$N$4077,10,0))=TRUE," ",(VLOOKUP(B131,'Base de Datos'!$C$7:$N$4077,11,0)))</f>
        <v>42137</v>
      </c>
      <c r="S131" s="524">
        <f>IF(ISERROR(VLOOKUP(B131,'Base de Datos'!$C$7:$N$4077,11,0))=TRUE," ",(VLOOKUP(B131,'Base de Datos'!$C$7:$N$4077,12,0)))</f>
        <v>42503</v>
      </c>
      <c r="T131" s="506" t="str">
        <f>VLOOKUP(C131,'Base de Datos'!$E$7:$AU$382,39,0)</f>
        <v>LIQUIDADO</v>
      </c>
      <c r="U131" s="694"/>
      <c r="V131" s="607"/>
    </row>
    <row r="132" spans="2:22" ht="14.25" customHeight="1" outlineLevel="1" x14ac:dyDescent="0.3">
      <c r="B132" s="510">
        <v>176</v>
      </c>
      <c r="C132" s="506" t="str">
        <f>IF(ISERROR(VLOOKUP(B132,'Base de Datos'!$C$7:$F$4092,2,0))=TRUE,"",(VLOOKUP('Presupuesto - PAA 2015'!B132,'Base de Datos'!$C$7:$F$4092,3,0)))</f>
        <v>150141-0-2015</v>
      </c>
      <c r="D132" s="506" t="str">
        <f>IF(ISERROR(VLOOKUP(B132,'Base de Datos'!$C$7:$F$4092,3,0))=TRUE,"",(VLOOKUP('Presupuesto - PAA 2015'!B132,'Base de Datos'!$C$7:$F$4092,4,0)))</f>
        <v>MIGUEL ANDRÉS GUTIÉRREZ ROMERO</v>
      </c>
      <c r="E132" s="509">
        <v>28000000</v>
      </c>
      <c r="F132" s="507" t="str">
        <f>VLOOKUP(B132,'Actualizada - presupuesto'!$D$7:$L$111,9,0)</f>
        <v>SI</v>
      </c>
      <c r="G132" s="507"/>
      <c r="H132" s="507"/>
      <c r="I132" s="507"/>
      <c r="J132" s="509">
        <f>IF(ISERROR(VLOOKUP(B132,'Base de Datos'!$C$7:$N$4092,6,0))=TRUE,"Sin Celebrar",(VLOOKUP(B132,'Base de Datos'!$C$7:$N$4092,7,0)))</f>
        <v>28000000</v>
      </c>
      <c r="K132" s="573"/>
      <c r="L132" s="509" t="str">
        <f t="shared" si="11"/>
        <v xml:space="preserve"> </v>
      </c>
      <c r="M132" s="509"/>
      <c r="N132" s="509" t="str">
        <f t="shared" si="12"/>
        <v xml:space="preserve"> </v>
      </c>
      <c r="O132" s="691" t="str">
        <f>IF(ISERROR(VLOOKUP(B132,'Base de Datos'!$C$7:$K$1048576,7,0))=TRUE," ",(VLOOKUP(B132,'Base de Datos'!$C$7:$K$1048576,8,0)))</f>
        <v>SDH-SMINC-07-2015</v>
      </c>
      <c r="P132" s="524">
        <f>IF(ISERROR(VLOOKUP(B132,'Base de Datos'!$C$7:$N$4077,9,0))=TRUE," ",(VLOOKUP(B132,'Base de Datos'!$C$7:$N$4077,10,0)))</f>
        <v>42093</v>
      </c>
      <c r="Q132" s="506" t="s">
        <v>1850</v>
      </c>
      <c r="R132" s="524">
        <f>IF(ISERROR(VLOOKUP(B132,'Base de Datos'!$C$7:$N$4077,10,0))=TRUE," ",(VLOOKUP(B132,'Base de Datos'!$C$7:$N$4077,11,0)))</f>
        <v>42116</v>
      </c>
      <c r="S132" s="524">
        <f>IF(ISERROR(VLOOKUP(B132,'Base de Datos'!$C$7:$N$4077,11,0))=TRUE," ",(VLOOKUP(B132,'Base de Datos'!$C$7:$N$4077,12,0)))</f>
        <v>42482</v>
      </c>
      <c r="T132" s="506" t="str">
        <f>VLOOKUP(C132,'Base de Datos'!$E$7:$AU$382,39,0)</f>
        <v>LIQUIDADO</v>
      </c>
      <c r="U132" s="694"/>
      <c r="V132" s="607"/>
    </row>
    <row r="133" spans="2:22" ht="22.8" outlineLevel="1" x14ac:dyDescent="0.3">
      <c r="B133" s="510">
        <v>177</v>
      </c>
      <c r="C133" s="506" t="str">
        <f>IF(ISERROR(VLOOKUP(B133,'Base de Datos'!$C$7:$F$4092,2,0))=TRUE,"",(VLOOKUP('Presupuesto - PAA 2015'!B133,'Base de Datos'!$C$7:$F$4092,3,0)))</f>
        <v>150193-0-2015</v>
      </c>
      <c r="D133" s="506" t="str">
        <f>IF(ISERROR(VLOOKUP(B133,'Base de Datos'!$C$7:$F$4092,3,0))=TRUE,"",(VLOOKUP('Presupuesto - PAA 2015'!B133,'Base de Datos'!$C$7:$F$4092,4,0)))</f>
        <v>SOMOS LA OPTIMIZACION EMPRESARIAL A SU SERVICIO- SOPT SAS</v>
      </c>
      <c r="E133" s="509">
        <v>11000000</v>
      </c>
      <c r="F133" s="507" t="str">
        <f>VLOOKUP(B133,'Actualizada - presupuesto'!$D$7:$L$111,9,0)</f>
        <v>SI</v>
      </c>
      <c r="G133" s="507"/>
      <c r="H133" s="507"/>
      <c r="I133" s="507"/>
      <c r="J133" s="509">
        <f>IF(ISERROR(VLOOKUP(B133,'Base de Datos'!$C$7:$N$4092,6,0))=TRUE,"Sin Celebrar",(VLOOKUP(B133,'Base de Datos'!$C$7:$N$4092,7,0)))</f>
        <v>11000000</v>
      </c>
      <c r="K133" s="573"/>
      <c r="L133" s="509" t="str">
        <f t="shared" si="11"/>
        <v xml:space="preserve"> </v>
      </c>
      <c r="M133" s="509"/>
      <c r="N133" s="509" t="str">
        <f t="shared" si="12"/>
        <v xml:space="preserve"> </v>
      </c>
      <c r="O133" s="691" t="str">
        <f>IF(ISERROR(VLOOKUP(B133,'Base de Datos'!$C$7:$K$1048576,7,0))=TRUE," ",(VLOOKUP(B133,'Base de Datos'!$C$7:$K$1048576,8,0)))</f>
        <v>SDH-SMINC-010-2015</v>
      </c>
      <c r="P133" s="524">
        <f>IF(ISERROR(VLOOKUP(B133,'Base de Datos'!$C$7:$N$4077,9,0))=TRUE," ",(VLOOKUP(B133,'Base de Datos'!$C$7:$N$4077,10,0)))</f>
        <v>42109</v>
      </c>
      <c r="Q133" s="506" t="s">
        <v>1850</v>
      </c>
      <c r="R133" s="524">
        <f>IF(ISERROR(VLOOKUP(B133,'Base de Datos'!$C$7:$N$4077,10,0))=TRUE," ",(VLOOKUP(B133,'Base de Datos'!$C$7:$N$4077,11,0)))</f>
        <v>42135</v>
      </c>
      <c r="S133" s="524">
        <f>IF(ISERROR(VLOOKUP(B133,'Base de Datos'!$C$7:$N$4077,11,0))=TRUE," ",(VLOOKUP(B133,'Base de Datos'!$C$7:$N$4077,12,0)))</f>
        <v>42501</v>
      </c>
      <c r="T133" s="506" t="str">
        <f>VLOOKUP(C133,'Base de Datos'!$E$7:$AU$382,39,0)</f>
        <v>LIQUIDADO</v>
      </c>
      <c r="U133" s="694"/>
      <c r="V133" s="607"/>
    </row>
    <row r="134" spans="2:22" ht="22.8" outlineLevel="1" x14ac:dyDescent="0.3">
      <c r="B134" s="525">
        <v>178</v>
      </c>
      <c r="C134" s="506" t="str">
        <f>IF(ISERROR(VLOOKUP(B134,'Base de Datos'!$C$7:$F$4092,2,0))=TRUE,"",(VLOOKUP('Presupuesto - PAA 2015'!B134,'Base de Datos'!$C$7:$F$4092,3,0)))</f>
        <v>150152-0-2015</v>
      </c>
      <c r="D134" s="506" t="str">
        <f>IF(ISERROR(VLOOKUP(B134,'Base de Datos'!$C$7:$F$4092,3,0))=TRUE,"",(VLOOKUP('Presupuesto - PAA 2015'!B134,'Base de Datos'!$C$7:$F$4092,4,0)))</f>
        <v>REPRESENTACIONES E INVERSIONES AGUAFILTERS J F LTDA</v>
      </c>
      <c r="E134" s="527">
        <v>3035520</v>
      </c>
      <c r="F134" s="507" t="str">
        <f>VLOOKUP(B134,'Actualizada - presupuesto'!$D$7:$L$111,9,0)</f>
        <v>SI</v>
      </c>
      <c r="G134" s="528"/>
      <c r="H134" s="528"/>
      <c r="I134" s="528"/>
      <c r="J134" s="509">
        <f>IF(ISERROR(VLOOKUP(B134,'Base de Datos'!$C$7:$N$4092,6,0))=TRUE,"Sin Celebrar",(VLOOKUP(B134,'Base de Datos'!$C$7:$N$4092,7,0)))</f>
        <v>3035520</v>
      </c>
      <c r="K134" s="577"/>
      <c r="L134" s="509" t="str">
        <f>IF(J134=$AA$1,E134, " ")</f>
        <v xml:space="preserve"> </v>
      </c>
      <c r="M134" s="527"/>
      <c r="N134" s="509" t="str">
        <f>IF(J134&lt;E134,(E134-J134)," ")</f>
        <v xml:space="preserve"> </v>
      </c>
      <c r="O134" s="691" t="str">
        <f>IF(ISERROR(VLOOKUP(B134,'Base de Datos'!$C$7:$K$1048576,7,0))=TRUE," ",(VLOOKUP(B134,'Base de Datos'!$C$7:$K$1048576,8,0)))</f>
        <v>SDH-SMINC-05-2015</v>
      </c>
      <c r="P134" s="524">
        <f>IF(ISERROR(VLOOKUP(B134,'Base de Datos'!$C$7:$N$4077,9,0))=TRUE," ",(VLOOKUP(B134,'Base de Datos'!$C$7:$N$4077,10,0)))</f>
        <v>42100</v>
      </c>
      <c r="Q134" s="526" t="s">
        <v>1850</v>
      </c>
      <c r="R134" s="524">
        <f>IF(ISERROR(VLOOKUP(B134,'Base de Datos'!$C$7:$N$4077,10,0))=TRUE," ",(VLOOKUP(B134,'Base de Datos'!$C$7:$N$4077,11,0)))</f>
        <v>42121</v>
      </c>
      <c r="S134" s="524">
        <f>IF(ISERROR(VLOOKUP(B134,'Base de Datos'!$C$7:$N$4077,11,0))=TRUE," ",(VLOOKUP(B134,'Base de Datos'!$C$7:$N$4077,12,0)))</f>
        <v>42487</v>
      </c>
      <c r="T134" s="506" t="str">
        <f>VLOOKUP(C134,'Base de Datos'!$E$7:$AU$382,39,0)</f>
        <v>LIQUIDADO</v>
      </c>
      <c r="U134" s="694"/>
      <c r="V134" s="607"/>
    </row>
    <row r="135" spans="2:22" outlineLevel="1" x14ac:dyDescent="0.3">
      <c r="B135" s="525">
        <v>327</v>
      </c>
      <c r="C135" s="506" t="s">
        <v>292</v>
      </c>
      <c r="D135" s="526" t="s">
        <v>2105</v>
      </c>
      <c r="E135" s="527">
        <v>2324400</v>
      </c>
      <c r="F135" s="528" t="s">
        <v>390</v>
      </c>
      <c r="G135" s="528"/>
      <c r="H135" s="528"/>
      <c r="I135" s="528"/>
      <c r="J135" s="527">
        <v>2324400</v>
      </c>
      <c r="K135" s="577"/>
      <c r="L135" s="509" t="str">
        <f>IF(J135=$AA$1,E135, " ")</f>
        <v xml:space="preserve"> </v>
      </c>
      <c r="M135" s="527"/>
      <c r="N135" s="509" t="str">
        <f>IF(J135&lt;E135,(E135-J135)," ")</f>
        <v xml:space="preserve"> </v>
      </c>
      <c r="O135" s="691" t="str">
        <f>IF(ISERROR(VLOOKUP(B135,'Base de Datos'!$C$7:$K$1048576,7,0))=TRUE," ",(VLOOKUP(B135,'Base de Datos'!$C$7:$K$1048576,8,0)))</f>
        <v xml:space="preserve"> </v>
      </c>
      <c r="P135" s="524" t="str">
        <f>IF(ISERROR(VLOOKUP(B135,'Base de Datos'!$C$7:$N$4077,9,0))=TRUE," ",(VLOOKUP(B135,'Base de Datos'!$C$7:$N$4077,10,0)))</f>
        <v xml:space="preserve"> </v>
      </c>
      <c r="Q135" s="526"/>
      <c r="R135" s="529" t="str">
        <f>IF(ISERROR(VLOOKUP(B135,'Base de Datos'!$C$7:$N$4077,10,0))=TRUE," ",(VLOOKUP(B135,'Base de Datos'!$C$7:$N$4077,10,0)))</f>
        <v xml:space="preserve"> </v>
      </c>
      <c r="S135" s="529" t="str">
        <f>IF(ISERROR(VLOOKUP(B135,'Base de Datos'!$C$7:$N$4077,11,0))=TRUE," ",(VLOOKUP(B135,'Base de Datos'!$C$7:$N$4077,11,0)))</f>
        <v xml:space="preserve"> </v>
      </c>
      <c r="T135" s="506" t="str">
        <f>VLOOKUP(C135,'Base de Datos'!$E$7:$AU$382,39,0)</f>
        <v>LIQUIDADO</v>
      </c>
      <c r="U135" s="694"/>
      <c r="V135" s="607"/>
    </row>
    <row r="136" spans="2:22" outlineLevel="1" x14ac:dyDescent="0.3">
      <c r="B136" s="525"/>
      <c r="C136" s="526"/>
      <c r="D136" s="526" t="s">
        <v>1934</v>
      </c>
      <c r="E136" s="509">
        <f>E117-SUM(E119:E135)</f>
        <v>19543890</v>
      </c>
      <c r="F136" s="528"/>
      <c r="G136" s="528"/>
      <c r="H136" s="528"/>
      <c r="I136" s="528"/>
      <c r="J136" s="527"/>
      <c r="K136" s="577"/>
      <c r="L136" s="527"/>
      <c r="M136" s="527"/>
      <c r="N136" s="527">
        <f>IF(J136&lt;E136,(E136-J136)," ")</f>
        <v>19543890</v>
      </c>
      <c r="O136" s="652"/>
      <c r="P136" s="524" t="str">
        <f>IF(ISERROR(VLOOKUP(B136,'Base de Datos'!$C$7:$N$315,9,0))=TRUE," ",(VLOOKUP(B136,'Base de Datos'!$C$7:$N$315,9,0)))</f>
        <v xml:space="preserve"> </v>
      </c>
      <c r="Q136" s="526"/>
      <c r="R136" s="529" t="str">
        <f>IF(ISERROR(VLOOKUP(B136,'Base de Datos'!$C$7:$N$4077,10,0))=TRUE," ",(VLOOKUP(B136,'Base de Datos'!$C$7:$N$4077,10,0)))</f>
        <v xml:space="preserve"> </v>
      </c>
      <c r="S136" s="529" t="str">
        <f>IF(ISERROR(VLOOKUP(B136,'Base de Datos'!$C$7:$N$4077,11,0))=TRUE," ",(VLOOKUP(B136,'Base de Datos'!$C$7:$N$4077,11,0)))</f>
        <v xml:space="preserve"> </v>
      </c>
      <c r="T136" s="506"/>
      <c r="U136" s="694"/>
      <c r="V136" s="607"/>
    </row>
    <row r="137" spans="2:22" ht="12" outlineLevel="1" x14ac:dyDescent="0.3">
      <c r="B137" s="621"/>
      <c r="C137" s="621"/>
      <c r="D137" s="621"/>
      <c r="E137" s="509"/>
      <c r="F137" s="507"/>
      <c r="G137" s="507"/>
      <c r="H137" s="507"/>
      <c r="I137" s="507"/>
      <c r="J137" s="509"/>
      <c r="K137" s="573"/>
      <c r="L137" s="509"/>
      <c r="M137" s="509"/>
      <c r="N137" s="509"/>
      <c r="O137" s="651"/>
      <c r="P137" s="524"/>
      <c r="Q137" s="506"/>
      <c r="R137" s="524"/>
      <c r="S137" s="524"/>
      <c r="T137" s="506"/>
      <c r="U137" s="694"/>
      <c r="V137" s="607"/>
    </row>
    <row r="138" spans="2:22" ht="12" outlineLevel="1" x14ac:dyDescent="0.3">
      <c r="B138" s="621"/>
      <c r="C138" s="621"/>
      <c r="D138" s="621"/>
      <c r="E138" s="509"/>
      <c r="F138" s="507"/>
      <c r="G138" s="507"/>
      <c r="H138" s="507"/>
      <c r="I138" s="507"/>
      <c r="J138" s="509"/>
      <c r="K138" s="573"/>
      <c r="L138" s="509"/>
      <c r="M138" s="509"/>
      <c r="N138" s="509"/>
      <c r="O138" s="651"/>
      <c r="P138" s="524"/>
      <c r="Q138" s="506"/>
      <c r="R138" s="524"/>
      <c r="S138" s="524"/>
      <c r="T138" s="506"/>
      <c r="U138" s="694"/>
      <c r="V138" s="607"/>
    </row>
    <row r="139" spans="2:22" ht="15" customHeight="1" x14ac:dyDescent="0.3">
      <c r="B139" s="1254" t="s">
        <v>1655</v>
      </c>
      <c r="C139" s="1254"/>
      <c r="D139" s="1254"/>
      <c r="E139" s="530">
        <v>1513500000</v>
      </c>
      <c r="F139" s="531">
        <f>COUNTIF('Actualizada - presupuesto'!$E$7:$E$111,B139)</f>
        <v>0</v>
      </c>
      <c r="G139" s="531"/>
      <c r="H139" s="531"/>
      <c r="I139" s="531"/>
      <c r="J139" s="540">
        <v>1306122735</v>
      </c>
      <c r="K139" s="582">
        <f>J139/E139</f>
        <v>0.86298165510406344</v>
      </c>
      <c r="L139" s="540">
        <f>+L140+L147+L154</f>
        <v>190346405</v>
      </c>
      <c r="M139" s="540"/>
      <c r="N139" s="540">
        <f>+N140+N147+N154</f>
        <v>17030842</v>
      </c>
      <c r="O139" s="658"/>
      <c r="P139" s="546" t="str">
        <f>IF(ISERROR(VLOOKUP(B139,'Base de Datos'!$C$7:$N$315,8,0))=TRUE," ",(VLOOKUP(B139,'Base de Datos'!$C$7:$N$315,8,0)))</f>
        <v xml:space="preserve"> </v>
      </c>
      <c r="Q139" s="547"/>
      <c r="R139" s="546" t="str">
        <f>IF(ISERROR(VLOOKUP(B139,'Base de Datos'!$C$7:$N$315,9,0))=TRUE," ",(VLOOKUP(B139,'Base de Datos'!$C$7:$N$315,9,0)))</f>
        <v xml:space="preserve"> </v>
      </c>
      <c r="S139" s="546" t="str">
        <f>IF(ISERROR(VLOOKUP(B139,'Base de Datos'!$C$7:$N$315,10,0))=TRUE," ",(VLOOKUP(B139,'Base de Datos'!$C$7:$N$315,10,0)))</f>
        <v xml:space="preserve"> </v>
      </c>
      <c r="T139" s="542"/>
      <c r="U139" s="694"/>
      <c r="V139" s="607"/>
    </row>
    <row r="140" spans="2:22" ht="15" customHeight="1" x14ac:dyDescent="0.3">
      <c r="B140" s="1239" t="s">
        <v>1656</v>
      </c>
      <c r="C140" s="1239"/>
      <c r="D140" s="1239"/>
      <c r="E140" s="554">
        <v>205193000</v>
      </c>
      <c r="F140" s="559">
        <f>COUNTIF('Actualizada - presupuesto'!$E$7:$E$111,B140)</f>
        <v>2</v>
      </c>
      <c r="G140" s="559"/>
      <c r="H140" s="559"/>
      <c r="I140" s="559"/>
      <c r="J140" s="705">
        <v>188702234</v>
      </c>
      <c r="K140" s="576">
        <f>J140/E140</f>
        <v>0.91963290170717327</v>
      </c>
      <c r="L140" s="554">
        <f>SUM(L142:L145)</f>
        <v>0</v>
      </c>
      <c r="M140" s="554"/>
      <c r="N140" s="554">
        <f>+E140-J140-L140</f>
        <v>16490766</v>
      </c>
      <c r="O140" s="657"/>
      <c r="P140" s="564" t="str">
        <f>IF(ISERROR(VLOOKUP(B140,'Base de Datos'!$C$7:$N$315,8,0))=TRUE," ",(VLOOKUP(B140,'Base de Datos'!$C$7:$N$315,8,0)))</f>
        <v xml:space="preserve"> </v>
      </c>
      <c r="Q140" s="565"/>
      <c r="R140" s="564" t="str">
        <f>IF(ISERROR(VLOOKUP(B140,'Base de Datos'!$C$7:$N$315,9,0))=TRUE," ",(VLOOKUP(B140,'Base de Datos'!$C$7:$N$315,9,0)))</f>
        <v xml:space="preserve"> </v>
      </c>
      <c r="S140" s="564" t="str">
        <f>IF(ISERROR(VLOOKUP(B140,'Base de Datos'!$C$7:$N$315,10,0))=TRUE," ",(VLOOKUP(B140,'Base de Datos'!$C$7:$N$315,10,0)))</f>
        <v xml:space="preserve"> </v>
      </c>
      <c r="T140" s="565"/>
      <c r="U140" s="694"/>
      <c r="V140" s="607"/>
    </row>
    <row r="141" spans="2:22" ht="22.8" outlineLevel="1" x14ac:dyDescent="0.3">
      <c r="B141" s="510" t="s">
        <v>1692</v>
      </c>
      <c r="C141" s="510" t="s">
        <v>912</v>
      </c>
      <c r="D141" s="510" t="s">
        <v>1821</v>
      </c>
      <c r="E141" s="518" t="s">
        <v>1845</v>
      </c>
      <c r="F141" s="507" t="s">
        <v>1852</v>
      </c>
      <c r="G141" s="507"/>
      <c r="H141" s="507"/>
      <c r="I141" s="507"/>
      <c r="J141" s="510" t="s">
        <v>1844</v>
      </c>
      <c r="K141" s="625"/>
      <c r="L141" s="510" t="s">
        <v>1938</v>
      </c>
      <c r="M141" s="510"/>
      <c r="N141" s="510" t="s">
        <v>1939</v>
      </c>
      <c r="O141" s="650"/>
      <c r="P141" s="541" t="s">
        <v>1846</v>
      </c>
      <c r="Q141" s="510" t="s">
        <v>1847</v>
      </c>
      <c r="R141" s="510" t="s">
        <v>1848</v>
      </c>
      <c r="S141" s="510" t="s">
        <v>375</v>
      </c>
      <c r="T141" s="510" t="s">
        <v>1849</v>
      </c>
      <c r="U141" s="694"/>
      <c r="V141" s="607"/>
    </row>
    <row r="142" spans="2:22" ht="20.25" customHeight="1" outlineLevel="1" x14ac:dyDescent="0.3">
      <c r="B142" s="510">
        <v>179</v>
      </c>
      <c r="C142" s="506" t="str">
        <f>IF(ISERROR(VLOOKUP(B142,'Base de Datos'!$C$7:$F$4092,2,0))=TRUE,"",(VLOOKUP('Presupuesto - PAA 2015'!B142,'Base de Datos'!$C$7:$F$4092,3,0)))</f>
        <v>150302-0-2015</v>
      </c>
      <c r="D142" s="506" t="str">
        <f>IF(ISERROR(VLOOKUP(B142,'Base de Datos'!$C$7:$F$4092,3,0))=TRUE,"",(VLOOKUP('Presupuesto - PAA 2015'!B142,'Base de Datos'!$C$7:$F$4092,4,0)))</f>
        <v xml:space="preserve">AXA COLPATRIA SEGUROS S. A. </v>
      </c>
      <c r="E142" s="509">
        <v>174490259</v>
      </c>
      <c r="F142" s="507">
        <f>VLOOKUP(B142,'Actualizada - presupuesto'!$D$7:$L$111,9,0)</f>
        <v>0</v>
      </c>
      <c r="G142" s="507"/>
      <c r="H142" s="507"/>
      <c r="I142" s="507"/>
      <c r="J142" s="527">
        <v>2324400</v>
      </c>
      <c r="K142" s="573"/>
      <c r="L142" s="509" t="str">
        <f>IF(J142=$AA$1,E142, " ")</f>
        <v xml:space="preserve"> </v>
      </c>
      <c r="M142" s="509"/>
      <c r="N142" s="509">
        <f>IF(J142&lt;E142,(E142-J142)," ")</f>
        <v>172165859</v>
      </c>
      <c r="O142" s="691" t="str">
        <f>IF(ISERROR(VLOOKUP(B142,'Base de Datos'!$C$7:$K$1048576,7,0))=TRUE," ",(VLOOKUP(B142,'Base de Datos'!$C$7:$K$1048576,8,0)))</f>
        <v>SDH-SAMC-04-2015</v>
      </c>
      <c r="P142" s="524">
        <f>IF(ISERROR(VLOOKUP(B142,'Base de Datos'!$C$7:$N$4077,9,0))=TRUE," ",(VLOOKUP(B142,'Base de Datos'!$C$7:$N$4077,10,0)))</f>
        <v>42187</v>
      </c>
      <c r="Q142" s="506" t="s">
        <v>1850</v>
      </c>
      <c r="R142" s="524">
        <f>IF(ISERROR(VLOOKUP(B142,'Base de Datos'!$C$7:$N$4077,10,0))=TRUE," ",(VLOOKUP(B142,'Base de Datos'!$C$7:$N$4077,11,0)))</f>
        <v>0</v>
      </c>
      <c r="S142" s="524">
        <f>IF(ISERROR(VLOOKUP(B142,'Base de Datos'!$C$7:$N$4077,11,0))=TRUE," ",(VLOOKUP(B142,'Base de Datos'!$C$7:$N$4077,12,0)))</f>
        <v>0</v>
      </c>
      <c r="T142" s="506" t="str">
        <f>VLOOKUP(C142,'Base de Datos'!$E$7:$AU$382,39,0)</f>
        <v>LIQUIDADO</v>
      </c>
      <c r="U142" s="694"/>
      <c r="V142" s="607"/>
    </row>
    <row r="143" spans="2:22" ht="11.25" customHeight="1" outlineLevel="1" x14ac:dyDescent="0.3">
      <c r="B143" s="525">
        <v>180</v>
      </c>
      <c r="C143" s="526"/>
      <c r="D143" s="526" t="s">
        <v>1511</v>
      </c>
      <c r="E143" s="527">
        <v>4201951</v>
      </c>
      <c r="F143" s="507">
        <f>VLOOKUP(B143,'Actualizada - presupuesto'!$D$7:$L$111,9,0)</f>
        <v>0</v>
      </c>
      <c r="G143" s="528"/>
      <c r="H143" s="528"/>
      <c r="I143" s="528"/>
      <c r="J143" s="509" t="str">
        <f>IF(ISERROR(VLOOKUP(B143,'Base de Datos'!$C$7:$N$4077,6,0))=TRUE,"Sin Celebrar",(VLOOKUP(B143,'Base de Datos'!$C$7:$N$4077,6,0)))</f>
        <v>Prestar servicios de soporte y mantenimiento para la plataforma VMware del Concejo de Bogotá.</v>
      </c>
      <c r="K143" s="577"/>
      <c r="L143" s="527" t="str">
        <f>IF(J143=$AA$1,E143, " ")</f>
        <v xml:space="preserve"> </v>
      </c>
      <c r="M143" s="527"/>
      <c r="N143" s="527" t="str">
        <f>IF(J143&lt;E143,(E143-J143)," ")</f>
        <v xml:space="preserve"> </v>
      </c>
      <c r="O143" s="691">
        <f>IF(ISERROR(VLOOKUP(B143,'Base de Datos'!$C$7:$K$1048576,7,0))=TRUE," ",(VLOOKUP(B143,'Base de Datos'!$C$7:$K$1048576,7,0)))</f>
        <v>43000000</v>
      </c>
      <c r="P143" s="524" t="str">
        <f>IF(ISERROR(VLOOKUP(B143,'Base de Datos'!$C$7:$N$315,9,0))=TRUE," ",(VLOOKUP(B143,'Base de Datos'!$C$7:$N$315,9,0)))</f>
        <v xml:space="preserve"> </v>
      </c>
      <c r="Q143" s="526" t="s">
        <v>1850</v>
      </c>
      <c r="R143" s="529" t="str">
        <f>IF(ISERROR(VLOOKUP(B143,'Base de Datos'!$C$7:$N$315,10,0))=TRUE," ",(VLOOKUP(B143,'Base de Datos'!$C$7:$N$315,10,0)))</f>
        <v xml:space="preserve"> </v>
      </c>
      <c r="S143" s="529" t="str">
        <f>IF(ISERROR(VLOOKUP(B143,'Base de Datos'!$C$7:$N$315,11,0))=TRUE," ",(VLOOKUP(B143,'Base de Datos'!$C$7:$N$315,11,0)))</f>
        <v xml:space="preserve"> </v>
      </c>
      <c r="T143" s="506" t="e">
        <f>VLOOKUP(C143,'Base de Datos'!$E$7:$AU$382,39,0)</f>
        <v>#N/A</v>
      </c>
      <c r="U143" s="694"/>
      <c r="V143" s="607"/>
    </row>
    <row r="144" spans="2:22" outlineLevel="1" x14ac:dyDescent="0.3">
      <c r="B144" s="525">
        <v>305</v>
      </c>
      <c r="C144" s="526"/>
      <c r="D144" s="526" t="s">
        <v>1978</v>
      </c>
      <c r="E144" s="527">
        <v>10010016</v>
      </c>
      <c r="F144" s="507"/>
      <c r="G144" s="528"/>
      <c r="H144" s="528"/>
      <c r="I144" s="528"/>
      <c r="J144" s="509" t="str">
        <f>IF(ISERROR(VLOOKUP(B144,'Base de Datos'!$C$7:$N$4077,6,0))=TRUE,"Sin Celebrar",(VLOOKUP(B144,'Base de Datos'!$C$7:$N$4077,6,0)))</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K144" s="577"/>
      <c r="L144" s="527" t="str">
        <f>IF(J144=$AA$1,E144, " ")</f>
        <v xml:space="preserve"> </v>
      </c>
      <c r="M144" s="527"/>
      <c r="N144" s="527" t="str">
        <f>IF(J144&lt;E144,(E144-J144)," ")</f>
        <v xml:space="preserve"> </v>
      </c>
      <c r="O144" s="651"/>
      <c r="P144" s="524"/>
      <c r="Q144" s="526" t="s">
        <v>1979</v>
      </c>
      <c r="R144" s="529"/>
      <c r="S144" s="529"/>
      <c r="T144" s="506" t="e">
        <f>VLOOKUP(C144,'Base de Datos'!$E$7:$AU$382,39,0)</f>
        <v>#N/A</v>
      </c>
      <c r="U144" s="694"/>
      <c r="V144" s="607"/>
    </row>
    <row r="145" spans="2:22" ht="12" outlineLevel="1" x14ac:dyDescent="0.3">
      <c r="B145" s="621"/>
      <c r="C145" s="621"/>
      <c r="D145" s="506" t="s">
        <v>1934</v>
      </c>
      <c r="E145" s="509">
        <f>E140-SUM(E142:E144)</f>
        <v>16490774</v>
      </c>
      <c r="F145" s="507"/>
      <c r="G145" s="507"/>
      <c r="H145" s="507"/>
      <c r="I145" s="507"/>
      <c r="J145" s="509"/>
      <c r="K145" s="573"/>
      <c r="L145" s="509"/>
      <c r="M145" s="509"/>
      <c r="N145" s="527">
        <f>IF(J145&lt;E145,(E145-J145)," ")</f>
        <v>16490774</v>
      </c>
      <c r="O145" s="651"/>
      <c r="P145" s="524" t="str">
        <f>IF(ISERROR(VLOOKUP(B145,'Base de Datos'!$C$7:$N$315,9,0))=TRUE," ",(VLOOKUP(B145,'Base de Datos'!$C$7:$N$315,9,0)))</f>
        <v xml:space="preserve"> </v>
      </c>
      <c r="Q145" s="506"/>
      <c r="R145" s="529" t="str">
        <f>IF(ISERROR(VLOOKUP(B145,'Base de Datos'!$C$7:$N$315,10,0))=TRUE," ",(VLOOKUP(B145,'Base de Datos'!$C$7:$N$315,10,0)))</f>
        <v xml:space="preserve"> </v>
      </c>
      <c r="S145" s="529" t="str">
        <f>IF(ISERROR(VLOOKUP(B145,'Base de Datos'!$C$7:$N$315,11,0))=TRUE," ",(VLOOKUP(B145,'Base de Datos'!$C$7:$N$315,11,0)))</f>
        <v xml:space="preserve"> </v>
      </c>
      <c r="T145" s="506"/>
      <c r="U145" s="694"/>
      <c r="V145" s="607"/>
    </row>
    <row r="146" spans="2:22" outlineLevel="1" x14ac:dyDescent="0.3">
      <c r="B146" s="506"/>
      <c r="C146" s="506"/>
      <c r="D146" s="506"/>
      <c r="E146" s="509"/>
      <c r="F146" s="507"/>
      <c r="G146" s="507"/>
      <c r="H146" s="507"/>
      <c r="I146" s="507"/>
      <c r="J146" s="509"/>
      <c r="K146" s="573"/>
      <c r="L146" s="509"/>
      <c r="M146" s="509"/>
      <c r="N146" s="509"/>
      <c r="O146" s="651"/>
      <c r="P146" s="524"/>
      <c r="Q146" s="506"/>
      <c r="R146" s="524"/>
      <c r="S146" s="524"/>
      <c r="T146" s="506"/>
      <c r="U146" s="694"/>
      <c r="V146" s="607"/>
    </row>
    <row r="147" spans="2:22" ht="15" customHeight="1" x14ac:dyDescent="0.3">
      <c r="B147" s="1253" t="s">
        <v>1657</v>
      </c>
      <c r="C147" s="1253"/>
      <c r="D147" s="1253"/>
      <c r="E147" s="560">
        <v>227307000</v>
      </c>
      <c r="F147" s="561">
        <f>COUNTIF('Actualizada - presupuesto'!$E$7:$E$111,B147)</f>
        <v>2</v>
      </c>
      <c r="G147" s="561"/>
      <c r="H147" s="561"/>
      <c r="I147" s="561"/>
      <c r="J147" s="560">
        <f>SUM(J149:J151)</f>
        <v>226766924</v>
      </c>
      <c r="K147" s="580">
        <f>J147/E147</f>
        <v>0.99762402389719629</v>
      </c>
      <c r="L147" s="560">
        <f>SUM(L149:L151)</f>
        <v>0</v>
      </c>
      <c r="M147" s="560"/>
      <c r="N147" s="560">
        <f>+E147-J147-L147</f>
        <v>540076</v>
      </c>
      <c r="O147" s="655"/>
      <c r="P147" s="562" t="str">
        <f>IF(ISERROR(VLOOKUP(B147,'Base de Datos'!$C$7:$N$315,8,0))=TRUE," ",(VLOOKUP(B147,'Base de Datos'!$C$7:$N$315,8,0)))</f>
        <v xml:space="preserve"> </v>
      </c>
      <c r="Q147" s="563"/>
      <c r="R147" s="562" t="str">
        <f>IF(ISERROR(VLOOKUP(B147,'Base de Datos'!$C$7:$N$315,9,0))=TRUE," ",(VLOOKUP(B147,'Base de Datos'!$C$7:$N$315,9,0)))</f>
        <v xml:space="preserve"> </v>
      </c>
      <c r="S147" s="562" t="str">
        <f>IF(ISERROR(VLOOKUP(B147,'Base de Datos'!$C$7:$N$315,10,0))=TRUE," ",(VLOOKUP(B147,'Base de Datos'!$C$7:$N$315,10,0)))</f>
        <v xml:space="preserve"> </v>
      </c>
      <c r="T147" s="565"/>
      <c r="U147" s="694"/>
      <c r="V147" s="607"/>
    </row>
    <row r="148" spans="2:22" ht="22.8" outlineLevel="1" x14ac:dyDescent="0.3">
      <c r="B148" s="510" t="s">
        <v>1692</v>
      </c>
      <c r="C148" s="510" t="s">
        <v>912</v>
      </c>
      <c r="D148" s="510" t="s">
        <v>1821</v>
      </c>
      <c r="E148" s="518" t="s">
        <v>1845</v>
      </c>
      <c r="F148" s="507" t="s">
        <v>1852</v>
      </c>
      <c r="G148" s="507"/>
      <c r="H148" s="507"/>
      <c r="I148" s="507"/>
      <c r="J148" s="510" t="s">
        <v>1844</v>
      </c>
      <c r="K148" s="625"/>
      <c r="L148" s="510" t="s">
        <v>1938</v>
      </c>
      <c r="M148" s="510"/>
      <c r="N148" s="510" t="s">
        <v>1939</v>
      </c>
      <c r="O148" s="650"/>
      <c r="P148" s="541" t="s">
        <v>1846</v>
      </c>
      <c r="Q148" s="510" t="s">
        <v>1847</v>
      </c>
      <c r="R148" s="510" t="s">
        <v>1848</v>
      </c>
      <c r="S148" s="510" t="s">
        <v>375</v>
      </c>
      <c r="T148" s="510" t="s">
        <v>1849</v>
      </c>
      <c r="U148" s="694"/>
      <c r="V148" s="607"/>
    </row>
    <row r="149" spans="2:22" ht="13.5" customHeight="1" outlineLevel="1" x14ac:dyDescent="0.3">
      <c r="B149" s="510">
        <v>156</v>
      </c>
      <c r="C149" s="506" t="s">
        <v>872</v>
      </c>
      <c r="D149" s="506" t="s">
        <v>1832</v>
      </c>
      <c r="E149" s="509">
        <v>25824000</v>
      </c>
      <c r="F149" s="507">
        <f>VLOOKUP(B149,'Actualizada - presupuesto'!$D$7:$L$111,9,0)</f>
        <v>0</v>
      </c>
      <c r="G149" s="507"/>
      <c r="H149" s="507"/>
      <c r="I149" s="507"/>
      <c r="J149" s="509">
        <v>25823237</v>
      </c>
      <c r="K149" s="573"/>
      <c r="L149" s="509" t="str">
        <f>IF(J149=$AA$1,E149, " ")</f>
        <v xml:space="preserve"> </v>
      </c>
      <c r="M149" s="509"/>
      <c r="N149" s="509">
        <f>IF(J149&lt;E149,(E149-J149)," ")</f>
        <v>763</v>
      </c>
      <c r="O149" s="691">
        <f>IF(ISERROR(VLOOKUP(B149,'Base de Datos'!$C$7:$K$1048576,7,0))=TRUE," ",(VLOOKUP(B149,'Base de Datos'!$C$7:$K$1048576,7,0)))</f>
        <v>57000000</v>
      </c>
      <c r="P149" s="524" t="str">
        <f>IF(ISERROR(VLOOKUP(B149,'Base de Datos'!$C$7:$N$315,9,0))=TRUE," ",(VLOOKUP(B149,'Base de Datos'!$C$7:$N$315,9,0)))</f>
        <v xml:space="preserve"> </v>
      </c>
      <c r="Q149" s="506"/>
      <c r="R149" s="529" t="str">
        <f>IF(ISERROR(VLOOKUP(B149,'Base de Datos'!$C$7:$N$315,10,0))=TRUE," ",(VLOOKUP(B149,'Base de Datos'!$C$7:$N$315,10,0)))</f>
        <v xml:space="preserve"> </v>
      </c>
      <c r="S149" s="529" t="str">
        <f>IF(ISERROR(VLOOKUP(B149,'Base de Datos'!$C$7:$N$315,11,0))=TRUE," ",(VLOOKUP(B149,'Base de Datos'!$C$7:$N$315,11,0)))</f>
        <v xml:space="preserve"> </v>
      </c>
      <c r="T149" s="506" t="e">
        <f>VLOOKUP(C149,'Base de Datos'!$E$7:$AU$382,39,0)</f>
        <v>#N/A</v>
      </c>
      <c r="U149" s="694"/>
      <c r="V149" s="607"/>
    </row>
    <row r="150" spans="2:22" ht="21" customHeight="1" outlineLevel="1" x14ac:dyDescent="0.3">
      <c r="B150" s="525">
        <v>179</v>
      </c>
      <c r="C150" s="506" t="str">
        <f>IF(ISERROR(VLOOKUP(B150,'Base de Datos'!$C$7:$F$4092,2,0))=TRUE,"",(VLOOKUP('Presupuesto - PAA 2015'!B150,'Base de Datos'!$C$7:$F$4092,3,0)))</f>
        <v>150302-0-2015</v>
      </c>
      <c r="D150" s="506" t="str">
        <f>IF(ISERROR(VLOOKUP(B150,'Base de Datos'!$C$7:$F$4092,3,0))=TRUE,"",(VLOOKUP('Presupuesto - PAA 2015'!B150,'Base de Datos'!$C$7:$F$4092,4,0)))</f>
        <v xml:space="preserve">AXA COLPATRIA SEGUROS S. A. </v>
      </c>
      <c r="E150" s="527">
        <v>186482674</v>
      </c>
      <c r="F150" s="507">
        <f>VLOOKUP(B150,'Actualizada - presupuesto'!$D$7:$L$111,9,0)</f>
        <v>0</v>
      </c>
      <c r="G150" s="528"/>
      <c r="H150" s="528"/>
      <c r="I150" s="528"/>
      <c r="J150" s="509">
        <f>IF(ISERROR(VLOOKUP(B150,'Base de Datos'!$C$7:$N$4092,6,0))=TRUE,"Sin Celebrar",(VLOOKUP(B150,'Base de Datos'!$C$7:$N$4092,7,0)))</f>
        <v>186482674</v>
      </c>
      <c r="K150" s="577"/>
      <c r="L150" s="527" t="str">
        <f>IF(J150=$AA$1,E150, " ")</f>
        <v xml:space="preserve"> </v>
      </c>
      <c r="M150" s="527"/>
      <c r="N150" s="527" t="str">
        <f>IF(J150&lt;E150,(E150-J150)," ")</f>
        <v xml:space="preserve"> </v>
      </c>
      <c r="O150" s="691" t="str">
        <f>IF(ISERROR(VLOOKUP(B150,'Base de Datos'!$C$7:$K$1048576,7,0))=TRUE," ",(VLOOKUP(B150,'Base de Datos'!$C$7:$K$1048576,8,0)))</f>
        <v>SDH-SAMC-04-2015</v>
      </c>
      <c r="P150" s="524">
        <f>IF(ISERROR(VLOOKUP(B150,'Base de Datos'!$C$7:$N$4077,9,0))=TRUE," ",(VLOOKUP(B150,'Base de Datos'!$C$7:$N$4077,10,0)))</f>
        <v>42187</v>
      </c>
      <c r="Q150" s="526" t="s">
        <v>1850</v>
      </c>
      <c r="R150" s="524">
        <f>IF(ISERROR(VLOOKUP(B150,'Base de Datos'!$C$7:$N$4077,10,0))=TRUE," ",(VLOOKUP(B150,'Base de Datos'!$C$7:$N$4077,11,0)))</f>
        <v>0</v>
      </c>
      <c r="S150" s="524">
        <f>IF(ISERROR(VLOOKUP(B150,'Base de Datos'!$C$7:$N$4077,11,0))=TRUE," ",(VLOOKUP(B150,'Base de Datos'!$C$7:$N$4077,12,0)))</f>
        <v>0</v>
      </c>
      <c r="T150" s="506" t="str">
        <f>VLOOKUP(C150,'Base de Datos'!$E$7:$AU$382,39,0)</f>
        <v>LIQUIDADO</v>
      </c>
      <c r="U150" s="694"/>
      <c r="V150" s="607"/>
    </row>
    <row r="151" spans="2:22" outlineLevel="1" x14ac:dyDescent="0.3">
      <c r="B151" s="510">
        <v>304</v>
      </c>
      <c r="C151" s="506" t="s">
        <v>872</v>
      </c>
      <c r="D151" s="506" t="s">
        <v>1832</v>
      </c>
      <c r="E151" s="509">
        <v>14461013</v>
      </c>
      <c r="F151" s="507"/>
      <c r="G151" s="507"/>
      <c r="H151" s="507"/>
      <c r="I151" s="507"/>
      <c r="J151" s="527">
        <v>14461013</v>
      </c>
      <c r="K151" s="573"/>
      <c r="L151" s="527" t="str">
        <f>IF(J151=$AA$1,E151, " ")</f>
        <v xml:space="preserve"> </v>
      </c>
      <c r="M151" s="509"/>
      <c r="N151" s="527" t="str">
        <f>IF(J151&lt;E151,(E151-J151)," ")</f>
        <v xml:space="preserve"> </v>
      </c>
      <c r="O151" s="691" t="str">
        <f>IF(ISERROR(VLOOKUP(B151,'Base de Datos'!$C$7:$K$1048576,7,0))=TRUE," ",(VLOOKUP(B151,'Base de Datos'!$C$7:$K$1048576,7,0)))</f>
        <v xml:space="preserve"> </v>
      </c>
      <c r="P151" s="524"/>
      <c r="Q151" s="506" t="s">
        <v>1977</v>
      </c>
      <c r="R151" s="529" t="str">
        <f>IF(ISERROR(VLOOKUP(B151,'Base de Datos'!$C$7:$N$315,10,0))=TRUE," ",(VLOOKUP(B151,'Base de Datos'!$C$7:$N$315,10,0)))</f>
        <v xml:space="preserve"> </v>
      </c>
      <c r="S151" s="529" t="str">
        <f>IF(ISERROR(VLOOKUP(B151,'Base de Datos'!$C$7:$N$315,11,0))=TRUE," ",(VLOOKUP(B151,'Base de Datos'!$C$7:$N$315,11,0)))</f>
        <v xml:space="preserve"> </v>
      </c>
      <c r="T151" s="506" t="e">
        <f>VLOOKUP(C151,'Base de Datos'!$E$7:$AU$382,39,0)</f>
        <v>#N/A</v>
      </c>
      <c r="U151" s="694"/>
      <c r="V151" s="607"/>
    </row>
    <row r="152" spans="2:22" outlineLevel="1" x14ac:dyDescent="0.3">
      <c r="B152" s="510"/>
      <c r="C152" s="506"/>
      <c r="D152" s="506" t="s">
        <v>1934</v>
      </c>
      <c r="E152" s="509">
        <f>+E147-SUM(E149:E151)</f>
        <v>539313</v>
      </c>
      <c r="F152" s="507"/>
      <c r="G152" s="507"/>
      <c r="H152" s="507"/>
      <c r="I152" s="507"/>
      <c r="J152" s="527"/>
      <c r="K152" s="573"/>
      <c r="L152" s="527"/>
      <c r="M152" s="509"/>
      <c r="N152" s="527">
        <f>IF(J152&lt;E152,(E152-J152)," ")</f>
        <v>539313</v>
      </c>
      <c r="O152" s="691"/>
      <c r="P152" s="524"/>
      <c r="Q152" s="506"/>
      <c r="R152" s="529"/>
      <c r="S152" s="529"/>
      <c r="T152" s="506"/>
      <c r="U152" s="694"/>
      <c r="V152" s="607"/>
    </row>
    <row r="153" spans="2:22" ht="12" outlineLevel="1" x14ac:dyDescent="0.3">
      <c r="B153" s="621"/>
      <c r="C153" s="621"/>
      <c r="D153" s="621"/>
      <c r="E153" s="509"/>
      <c r="F153" s="507"/>
      <c r="G153" s="507"/>
      <c r="H153" s="507"/>
      <c r="I153" s="507"/>
      <c r="J153" s="509"/>
      <c r="K153" s="573"/>
      <c r="L153" s="509"/>
      <c r="M153" s="509"/>
      <c r="N153" s="509"/>
      <c r="O153" s="651"/>
      <c r="P153" s="524"/>
      <c r="Q153" s="506"/>
      <c r="R153" s="524"/>
      <c r="S153" s="524"/>
      <c r="T153" s="506"/>
      <c r="U153" s="694"/>
      <c r="V153" s="607"/>
    </row>
    <row r="154" spans="2:22" ht="15" customHeight="1" x14ac:dyDescent="0.3">
      <c r="B154" s="1253" t="s">
        <v>1658</v>
      </c>
      <c r="C154" s="1253"/>
      <c r="D154" s="1253"/>
      <c r="E154" s="560">
        <v>1081000000</v>
      </c>
      <c r="F154" s="561"/>
      <c r="G154" s="561"/>
      <c r="H154" s="561"/>
      <c r="I154" s="561"/>
      <c r="J154" s="560">
        <f>+J156</f>
        <v>890653595</v>
      </c>
      <c r="K154" s="580">
        <f>J154/E154</f>
        <v>0.82391636910268273</v>
      </c>
      <c r="L154" s="560">
        <f>+L156</f>
        <v>190346405</v>
      </c>
      <c r="M154" s="560"/>
      <c r="N154" s="560">
        <f>+E154-J154-L154</f>
        <v>0</v>
      </c>
      <c r="O154" s="655"/>
      <c r="P154" s="562" t="str">
        <f>IF(ISERROR(VLOOKUP(B154,'Base de Datos'!$C$7:$N$315,8,0))=TRUE," ",(VLOOKUP(B154,'Base de Datos'!$C$7:$N$315,8,0)))</f>
        <v xml:space="preserve"> </v>
      </c>
      <c r="Q154" s="563"/>
      <c r="R154" s="562" t="str">
        <f>IF(ISERROR(VLOOKUP(B154,'Base de Datos'!$C$7:$N$315,9,0))=TRUE," ",(VLOOKUP(B154,'Base de Datos'!$C$7:$N$315,9,0)))</f>
        <v xml:space="preserve"> </v>
      </c>
      <c r="S154" s="562" t="str">
        <f>IF(ISERROR(VLOOKUP(B154,'Base de Datos'!$C$7:$N$315,10,0))=TRUE," ",(VLOOKUP(B154,'Base de Datos'!$C$7:$N$315,10,0)))</f>
        <v xml:space="preserve"> </v>
      </c>
      <c r="T154" s="565"/>
      <c r="U154" s="694"/>
      <c r="V154" s="607"/>
    </row>
    <row r="155" spans="2:22" ht="24" customHeight="1" outlineLevel="1" x14ac:dyDescent="0.3">
      <c r="B155" s="510" t="s">
        <v>1692</v>
      </c>
      <c r="C155" s="510" t="s">
        <v>912</v>
      </c>
      <c r="D155" s="510" t="s">
        <v>1821</v>
      </c>
      <c r="E155" s="518" t="s">
        <v>1845</v>
      </c>
      <c r="F155" s="507" t="s">
        <v>1852</v>
      </c>
      <c r="G155" s="507"/>
      <c r="H155" s="507"/>
      <c r="I155" s="507"/>
      <c r="J155" s="510" t="s">
        <v>1844</v>
      </c>
      <c r="K155" s="625"/>
      <c r="L155" s="510" t="s">
        <v>1938</v>
      </c>
      <c r="M155" s="510"/>
      <c r="N155" s="510" t="s">
        <v>1939</v>
      </c>
      <c r="O155" s="650"/>
      <c r="P155" s="541" t="s">
        <v>1846</v>
      </c>
      <c r="Q155" s="510" t="s">
        <v>1847</v>
      </c>
      <c r="R155" s="510" t="s">
        <v>1848</v>
      </c>
      <c r="S155" s="510" t="s">
        <v>375</v>
      </c>
      <c r="T155" s="510" t="s">
        <v>1849</v>
      </c>
      <c r="U155" s="694"/>
      <c r="V155" s="607"/>
    </row>
    <row r="156" spans="2:22" ht="15" customHeight="1" outlineLevel="1" x14ac:dyDescent="0.3">
      <c r="B156" s="510"/>
      <c r="C156" s="506"/>
      <c r="D156" s="740" t="s">
        <v>2262</v>
      </c>
      <c r="E156" s="507"/>
      <c r="F156" s="509"/>
      <c r="G156" s="568"/>
      <c r="H156" s="568"/>
      <c r="I156" s="568"/>
      <c r="J156" s="553">
        <v>890653595</v>
      </c>
      <c r="K156" s="616"/>
      <c r="L156" s="553">
        <f>+E154-J156</f>
        <v>190346405</v>
      </c>
      <c r="M156" s="615"/>
      <c r="N156" s="509"/>
      <c r="O156" s="660"/>
      <c r="P156" s="617"/>
      <c r="Q156" s="618"/>
      <c r="R156" s="617"/>
      <c r="S156" s="617"/>
      <c r="T156" s="587"/>
      <c r="U156" s="694"/>
      <c r="V156" s="607"/>
    </row>
    <row r="157" spans="2:22" ht="15" customHeight="1" outlineLevel="1" x14ac:dyDescent="0.3">
      <c r="B157" s="510"/>
      <c r="C157" s="506"/>
      <c r="D157" s="506"/>
      <c r="E157" s="507"/>
      <c r="F157" s="509"/>
      <c r="G157" s="568"/>
      <c r="H157" s="568"/>
      <c r="I157" s="568"/>
      <c r="J157" s="615"/>
      <c r="K157" s="616"/>
      <c r="L157" s="615"/>
      <c r="M157" s="615"/>
      <c r="N157" s="615"/>
      <c r="O157" s="661"/>
      <c r="P157" s="617"/>
      <c r="Q157" s="618"/>
      <c r="R157" s="617"/>
      <c r="S157" s="617"/>
      <c r="T157" s="587"/>
      <c r="U157" s="694"/>
      <c r="V157" s="607"/>
    </row>
    <row r="158" spans="2:22" ht="15" customHeight="1" x14ac:dyDescent="0.3">
      <c r="B158" s="1240" t="s">
        <v>1659</v>
      </c>
      <c r="C158" s="1240"/>
      <c r="D158" s="1240"/>
      <c r="E158" s="512">
        <v>430000000</v>
      </c>
      <c r="F158" s="513"/>
      <c r="G158" s="513"/>
      <c r="H158" s="513"/>
      <c r="I158" s="513"/>
      <c r="J158" s="516">
        <f>+J159+J163+J167+J171</f>
        <v>242601380</v>
      </c>
      <c r="K158" s="582">
        <f>J158/E158</f>
        <v>0.56418925581395352</v>
      </c>
      <c r="L158" s="516">
        <f>+L159+L163+L167+L171</f>
        <v>187398620</v>
      </c>
      <c r="M158" s="516"/>
      <c r="N158" s="516">
        <f>+N159+N163+N167+N171</f>
        <v>0</v>
      </c>
      <c r="O158" s="662"/>
      <c r="P158" s="548" t="str">
        <f>IF(ISERROR(VLOOKUP(B158,'Base de Datos'!$C$7:$N$315,8,0))=TRUE," ",(VLOOKUP(B158,'Base de Datos'!$C$7:$N$315,8,0)))</f>
        <v xml:space="preserve"> </v>
      </c>
      <c r="Q158" s="542"/>
      <c r="R158" s="548" t="str">
        <f>IF(ISERROR(VLOOKUP(B158,'Base de Datos'!$C$7:$N$315,9,0))=TRUE," ",(VLOOKUP(B158,'Base de Datos'!$C$7:$N$315,9,0)))</f>
        <v xml:space="preserve"> </v>
      </c>
      <c r="S158" s="548" t="str">
        <f>IF(ISERROR(VLOOKUP(B158,'Base de Datos'!$C$7:$N$315,10,0))=TRUE," ",(VLOOKUP(B158,'Base de Datos'!$C$7:$N$315,10,0)))</f>
        <v xml:space="preserve"> </v>
      </c>
      <c r="T158" s="542"/>
      <c r="U158" s="694"/>
      <c r="V158" s="607"/>
    </row>
    <row r="159" spans="2:22" ht="15" customHeight="1" x14ac:dyDescent="0.3">
      <c r="B159" s="1238" t="s">
        <v>1660</v>
      </c>
      <c r="C159" s="1238"/>
      <c r="D159" s="1238"/>
      <c r="E159" s="516">
        <v>206250000</v>
      </c>
      <c r="F159" s="513"/>
      <c r="G159" s="513"/>
      <c r="H159" s="513"/>
      <c r="I159" s="513"/>
      <c r="J159" s="516">
        <f>+J161</f>
        <v>106215940</v>
      </c>
      <c r="K159" s="582">
        <f>J159/E159</f>
        <v>0.51498637575757578</v>
      </c>
      <c r="L159" s="516">
        <f>+E159-J159</f>
        <v>100034060</v>
      </c>
      <c r="M159" s="516"/>
      <c r="N159" s="516">
        <f>+N161</f>
        <v>0</v>
      </c>
      <c r="O159" s="662"/>
      <c r="P159" s="548" t="str">
        <f>IF(ISERROR(VLOOKUP(B159,'Base de Datos'!$C$7:$N$315,8,0))=TRUE," ",(VLOOKUP(B159,'Base de Datos'!$C$7:$N$315,8,0)))</f>
        <v xml:space="preserve"> </v>
      </c>
      <c r="Q159" s="542"/>
      <c r="R159" s="548" t="str">
        <f>IF(ISERROR(VLOOKUP(B159,'Base de Datos'!$C$7:$N$315,9,0))=TRUE," ",(VLOOKUP(B159,'Base de Datos'!$C$7:$N$315,9,0)))</f>
        <v xml:space="preserve"> </v>
      </c>
      <c r="S159" s="548" t="str">
        <f>IF(ISERROR(VLOOKUP(B159,'Base de Datos'!$C$7:$N$315,10,0))=TRUE," ",(VLOOKUP(B159,'Base de Datos'!$C$7:$N$315,10,0)))</f>
        <v xml:space="preserve"> </v>
      </c>
      <c r="T159" s="542"/>
      <c r="U159" s="694"/>
      <c r="V159" s="607"/>
    </row>
    <row r="160" spans="2:22" s="588" customFormat="1" ht="22.8" outlineLevel="1" x14ac:dyDescent="0.3">
      <c r="B160" s="510" t="s">
        <v>1692</v>
      </c>
      <c r="C160" s="510" t="s">
        <v>912</v>
      </c>
      <c r="D160" s="510" t="s">
        <v>1821</v>
      </c>
      <c r="E160" s="518" t="s">
        <v>1845</v>
      </c>
      <c r="F160" s="507" t="s">
        <v>1852</v>
      </c>
      <c r="G160" s="507"/>
      <c r="H160" s="507"/>
      <c r="I160" s="507"/>
      <c r="J160" s="510" t="s">
        <v>1844</v>
      </c>
      <c r="K160" s="625"/>
      <c r="L160" s="510" t="s">
        <v>1938</v>
      </c>
      <c r="M160" s="510"/>
      <c r="N160" s="510" t="s">
        <v>1939</v>
      </c>
      <c r="O160" s="650"/>
      <c r="P160" s="541" t="s">
        <v>1846</v>
      </c>
      <c r="Q160" s="510" t="s">
        <v>1847</v>
      </c>
      <c r="R160" s="510" t="s">
        <v>1848</v>
      </c>
      <c r="S160" s="510" t="s">
        <v>375</v>
      </c>
      <c r="T160" s="510" t="s">
        <v>1849</v>
      </c>
      <c r="U160" s="694"/>
      <c r="V160" s="607"/>
    </row>
    <row r="161" spans="2:22" s="588" customFormat="1" ht="15" customHeight="1" outlineLevel="1" x14ac:dyDescent="0.3">
      <c r="B161" s="510"/>
      <c r="C161" s="506"/>
      <c r="D161" s="740" t="s">
        <v>2262</v>
      </c>
      <c r="E161" s="507"/>
      <c r="F161" s="509"/>
      <c r="G161" s="509"/>
      <c r="H161" s="509"/>
      <c r="I161" s="509"/>
      <c r="J161" s="509">
        <v>106215940</v>
      </c>
      <c r="K161" s="509"/>
      <c r="L161" s="509">
        <f>9700000*8</f>
        <v>77600000</v>
      </c>
      <c r="M161" s="553"/>
      <c r="N161" s="553"/>
      <c r="O161" s="663"/>
      <c r="P161" s="586"/>
      <c r="Q161" s="587"/>
      <c r="R161" s="586"/>
      <c r="S161" s="586"/>
      <c r="T161" s="587"/>
      <c r="U161" s="694"/>
      <c r="V161" s="607"/>
    </row>
    <row r="162" spans="2:22" s="588" customFormat="1" ht="15" customHeight="1" outlineLevel="1" x14ac:dyDescent="0.3">
      <c r="B162" s="703"/>
      <c r="C162" s="703"/>
      <c r="D162" s="703"/>
      <c r="E162" s="553"/>
      <c r="F162" s="507"/>
      <c r="G162" s="507"/>
      <c r="H162" s="507"/>
      <c r="I162" s="507"/>
      <c r="J162" s="553"/>
      <c r="K162" s="585"/>
      <c r="L162" s="553"/>
      <c r="M162" s="553"/>
      <c r="N162" s="553"/>
      <c r="O162" s="663"/>
      <c r="P162" s="586"/>
      <c r="Q162" s="587"/>
      <c r="R162" s="586"/>
      <c r="S162" s="586"/>
      <c r="T162" s="587"/>
      <c r="U162" s="694"/>
      <c r="V162" s="607"/>
    </row>
    <row r="163" spans="2:22" ht="15" customHeight="1" x14ac:dyDescent="0.3">
      <c r="B163" s="1238" t="s">
        <v>1661</v>
      </c>
      <c r="C163" s="1238"/>
      <c r="D163" s="1238"/>
      <c r="E163" s="516">
        <v>36750000</v>
      </c>
      <c r="F163" s="513"/>
      <c r="G163" s="513"/>
      <c r="H163" s="513"/>
      <c r="I163" s="513"/>
      <c r="J163" s="516">
        <f>+J165</f>
        <v>12264940</v>
      </c>
      <c r="K163" s="582">
        <f>J163/E163</f>
        <v>0.33373986394557825</v>
      </c>
      <c r="L163" s="516">
        <f>+E163-J163</f>
        <v>24485060</v>
      </c>
      <c r="M163" s="516"/>
      <c r="N163" s="516">
        <f>+N165</f>
        <v>0</v>
      </c>
      <c r="O163" s="662"/>
      <c r="P163" s="548" t="str">
        <f>IF(ISERROR(VLOOKUP(B163,'Base de Datos'!$C$7:$N$315,8,0))=TRUE," ",(VLOOKUP(B163,'Base de Datos'!$C$7:$N$315,8,0)))</f>
        <v xml:space="preserve"> </v>
      </c>
      <c r="Q163" s="542"/>
      <c r="R163" s="548" t="str">
        <f>IF(ISERROR(VLOOKUP(B163,'Base de Datos'!$C$7:$N$315,9,0))=TRUE," ",(VLOOKUP(B163,'Base de Datos'!$C$7:$N$315,9,0)))</f>
        <v xml:space="preserve"> </v>
      </c>
      <c r="S163" s="548" t="str">
        <f>IF(ISERROR(VLOOKUP(B163,'Base de Datos'!$C$7:$N$315,10,0))=TRUE," ",(VLOOKUP(B163,'Base de Datos'!$C$7:$N$315,10,0)))</f>
        <v xml:space="preserve"> </v>
      </c>
      <c r="T163" s="542"/>
      <c r="U163" s="694"/>
      <c r="V163" s="607"/>
    </row>
    <row r="164" spans="2:22" ht="24.75" customHeight="1" outlineLevel="1" x14ac:dyDescent="0.3">
      <c r="B164" s="510" t="s">
        <v>1692</v>
      </c>
      <c r="C164" s="510" t="s">
        <v>912</v>
      </c>
      <c r="D164" s="510" t="s">
        <v>1821</v>
      </c>
      <c r="E164" s="518" t="s">
        <v>1845</v>
      </c>
      <c r="F164" s="507" t="s">
        <v>1852</v>
      </c>
      <c r="G164" s="507"/>
      <c r="H164" s="507"/>
      <c r="I164" s="507"/>
      <c r="J164" s="510" t="s">
        <v>1844</v>
      </c>
      <c r="K164" s="625"/>
      <c r="L164" s="510" t="s">
        <v>1938</v>
      </c>
      <c r="M164" s="510"/>
      <c r="N164" s="510" t="s">
        <v>1939</v>
      </c>
      <c r="O164" s="650"/>
      <c r="P164" s="541" t="s">
        <v>1846</v>
      </c>
      <c r="Q164" s="510" t="s">
        <v>1847</v>
      </c>
      <c r="R164" s="510" t="s">
        <v>1848</v>
      </c>
      <c r="S164" s="510" t="s">
        <v>375</v>
      </c>
      <c r="T164" s="510" t="s">
        <v>1849</v>
      </c>
      <c r="U164" s="694"/>
      <c r="V164" s="607"/>
    </row>
    <row r="165" spans="2:22" ht="15" customHeight="1" outlineLevel="1" x14ac:dyDescent="0.3">
      <c r="B165" s="510"/>
      <c r="C165" s="506"/>
      <c r="D165" s="742" t="s">
        <v>2262</v>
      </c>
      <c r="E165" s="507"/>
      <c r="F165" s="509"/>
      <c r="G165" s="509"/>
      <c r="H165" s="509"/>
      <c r="I165" s="509"/>
      <c r="J165" s="509">
        <v>12264940</v>
      </c>
      <c r="K165" s="509"/>
      <c r="L165" s="509">
        <f>3200000*4</f>
        <v>12800000</v>
      </c>
      <c r="M165" s="553"/>
      <c r="N165" s="553"/>
      <c r="O165" s="663"/>
      <c r="P165" s="586"/>
      <c r="Q165" s="587"/>
      <c r="R165" s="586"/>
      <c r="S165" s="586"/>
      <c r="T165" s="587"/>
      <c r="U165" s="694"/>
      <c r="V165" s="607"/>
    </row>
    <row r="166" spans="2:22" s="588" customFormat="1" ht="15" customHeight="1" outlineLevel="1" x14ac:dyDescent="0.3">
      <c r="B166" s="703"/>
      <c r="C166" s="703"/>
      <c r="D166" s="703"/>
      <c r="E166" s="553"/>
      <c r="F166" s="507"/>
      <c r="G166" s="507"/>
      <c r="H166" s="507"/>
      <c r="I166" s="507"/>
      <c r="J166" s="553"/>
      <c r="K166" s="585"/>
      <c r="L166" s="553"/>
      <c r="M166" s="553"/>
      <c r="N166" s="553"/>
      <c r="O166" s="663"/>
      <c r="P166" s="586"/>
      <c r="Q166" s="587"/>
      <c r="R166" s="586"/>
      <c r="S166" s="586"/>
      <c r="T166" s="587"/>
      <c r="U166" s="694"/>
      <c r="V166" s="607"/>
    </row>
    <row r="167" spans="2:22" ht="15" customHeight="1" x14ac:dyDescent="0.3">
      <c r="B167" s="1238" t="s">
        <v>1662</v>
      </c>
      <c r="C167" s="1238"/>
      <c r="D167" s="1238"/>
      <c r="E167" s="516">
        <v>58000000</v>
      </c>
      <c r="F167" s="513"/>
      <c r="G167" s="513"/>
      <c r="H167" s="513"/>
      <c r="I167" s="513"/>
      <c r="J167" s="516">
        <f>+J169</f>
        <v>5462970</v>
      </c>
      <c r="K167" s="582">
        <f>J167/E167</f>
        <v>9.4189137931034478E-2</v>
      </c>
      <c r="L167" s="516">
        <f>+E167-J167</f>
        <v>52537030</v>
      </c>
      <c r="M167" s="516"/>
      <c r="N167" s="516">
        <f>+N169</f>
        <v>0</v>
      </c>
      <c r="O167" s="662"/>
      <c r="P167" s="548" t="str">
        <f>IF(ISERROR(VLOOKUP(B167,'Base de Datos'!$C$7:$N$315,8,0))=TRUE," ",(VLOOKUP(B167,'Base de Datos'!$C$7:$N$315,8,0)))</f>
        <v xml:space="preserve"> </v>
      </c>
      <c r="Q167" s="542"/>
      <c r="R167" s="548" t="str">
        <f>IF(ISERROR(VLOOKUP(B167,'Base de Datos'!$C$7:$N$315,9,0))=TRUE," ",(VLOOKUP(B167,'Base de Datos'!$C$7:$N$315,9,0)))</f>
        <v xml:space="preserve"> </v>
      </c>
      <c r="S167" s="548" t="str">
        <f>IF(ISERROR(VLOOKUP(B167,'Base de Datos'!$C$7:$N$315,10,0))=TRUE," ",(VLOOKUP(B167,'Base de Datos'!$C$7:$N$315,10,0)))</f>
        <v xml:space="preserve"> </v>
      </c>
      <c r="T167" s="542"/>
      <c r="U167" s="694"/>
      <c r="V167" s="607"/>
    </row>
    <row r="168" spans="2:22" ht="23.25" customHeight="1" outlineLevel="1" x14ac:dyDescent="0.3">
      <c r="B168" s="510" t="s">
        <v>1692</v>
      </c>
      <c r="C168" s="510" t="s">
        <v>912</v>
      </c>
      <c r="D168" s="510" t="s">
        <v>1821</v>
      </c>
      <c r="E168" s="518" t="s">
        <v>1845</v>
      </c>
      <c r="F168" s="507" t="s">
        <v>1852</v>
      </c>
      <c r="G168" s="507"/>
      <c r="H168" s="507"/>
      <c r="I168" s="507"/>
      <c r="J168" s="510" t="s">
        <v>1844</v>
      </c>
      <c r="K168" s="625"/>
      <c r="L168" s="510" t="s">
        <v>1938</v>
      </c>
      <c r="M168" s="510"/>
      <c r="N168" s="510" t="s">
        <v>1939</v>
      </c>
      <c r="O168" s="650"/>
      <c r="P168" s="541" t="s">
        <v>1846</v>
      </c>
      <c r="Q168" s="510" t="s">
        <v>1847</v>
      </c>
      <c r="R168" s="510" t="s">
        <v>1848</v>
      </c>
      <c r="S168" s="510" t="s">
        <v>375</v>
      </c>
      <c r="T168" s="510" t="s">
        <v>1849</v>
      </c>
      <c r="U168" s="694"/>
      <c r="V168" s="607"/>
    </row>
    <row r="169" spans="2:22" ht="15" customHeight="1" outlineLevel="1" x14ac:dyDescent="0.3">
      <c r="B169" s="510"/>
      <c r="C169" s="506"/>
      <c r="D169" s="742" t="s">
        <v>2262</v>
      </c>
      <c r="E169" s="507"/>
      <c r="F169" s="509"/>
      <c r="G169" s="509"/>
      <c r="H169" s="509"/>
      <c r="I169" s="509"/>
      <c r="J169" s="509">
        <v>5462970</v>
      </c>
      <c r="K169" s="509"/>
      <c r="L169" s="509">
        <f>1200000*4</f>
        <v>4800000</v>
      </c>
      <c r="M169" s="553"/>
      <c r="N169" s="553"/>
      <c r="O169" s="663"/>
      <c r="P169" s="586"/>
      <c r="Q169" s="587"/>
      <c r="R169" s="586"/>
      <c r="S169" s="586"/>
      <c r="T169" s="587"/>
      <c r="U169" s="694"/>
      <c r="V169" s="607"/>
    </row>
    <row r="170" spans="2:22" s="588" customFormat="1" ht="15" customHeight="1" outlineLevel="1" x14ac:dyDescent="0.3">
      <c r="B170" s="703"/>
      <c r="C170" s="703"/>
      <c r="D170" s="703"/>
      <c r="E170" s="553"/>
      <c r="F170" s="507"/>
      <c r="G170" s="507"/>
      <c r="H170" s="507"/>
      <c r="I170" s="507"/>
      <c r="J170" s="553"/>
      <c r="K170" s="585"/>
      <c r="L170" s="553"/>
      <c r="M170" s="553"/>
      <c r="N170" s="553"/>
      <c r="O170" s="663"/>
      <c r="P170" s="586"/>
      <c r="Q170" s="587"/>
      <c r="R170" s="586"/>
      <c r="S170" s="586"/>
      <c r="T170" s="587"/>
      <c r="U170" s="694"/>
      <c r="V170" s="607"/>
    </row>
    <row r="171" spans="2:22" ht="15" customHeight="1" x14ac:dyDescent="0.3">
      <c r="B171" s="1238" t="s">
        <v>1663</v>
      </c>
      <c r="C171" s="1238"/>
      <c r="D171" s="1238"/>
      <c r="E171" s="516">
        <v>129000000</v>
      </c>
      <c r="F171" s="513"/>
      <c r="G171" s="513"/>
      <c r="H171" s="513"/>
      <c r="I171" s="513"/>
      <c r="J171" s="516">
        <f>+J173</f>
        <v>118657530</v>
      </c>
      <c r="K171" s="582">
        <f>J171/E171</f>
        <v>0.91982581395348839</v>
      </c>
      <c r="L171" s="516">
        <f>+L173</f>
        <v>10342470</v>
      </c>
      <c r="M171" s="516"/>
      <c r="N171" s="516">
        <f>+N173</f>
        <v>0</v>
      </c>
      <c r="O171" s="662"/>
      <c r="P171" s="548" t="str">
        <f>IF(ISERROR(VLOOKUP(B171,'Base de Datos'!$C$7:$N$315,8,0))=TRUE," ",(VLOOKUP(B171,'Base de Datos'!$C$7:$N$315,8,0)))</f>
        <v xml:space="preserve"> </v>
      </c>
      <c r="Q171" s="542"/>
      <c r="R171" s="548" t="str">
        <f>IF(ISERROR(VLOOKUP(B171,'Base de Datos'!$C$7:$N$315,9,0))=TRUE," ",(VLOOKUP(B171,'Base de Datos'!$C$7:$N$315,9,0)))</f>
        <v xml:space="preserve"> </v>
      </c>
      <c r="S171" s="548" t="str">
        <f>IF(ISERROR(VLOOKUP(B171,'Base de Datos'!$C$7:$N$315,10,0))=TRUE," ",(VLOOKUP(B171,'Base de Datos'!$C$7:$N$315,10,0)))</f>
        <v xml:space="preserve"> </v>
      </c>
      <c r="T171" s="542"/>
      <c r="U171" s="694"/>
      <c r="V171" s="607"/>
    </row>
    <row r="172" spans="2:22" s="588" customFormat="1" ht="21.75" customHeight="1" outlineLevel="1" x14ac:dyDescent="0.3">
      <c r="B172" s="510" t="s">
        <v>1692</v>
      </c>
      <c r="C172" s="510" t="s">
        <v>912</v>
      </c>
      <c r="D172" s="510" t="s">
        <v>1821</v>
      </c>
      <c r="E172" s="518" t="s">
        <v>1845</v>
      </c>
      <c r="F172" s="507" t="s">
        <v>1852</v>
      </c>
      <c r="G172" s="507"/>
      <c r="H172" s="507"/>
      <c r="I172" s="507"/>
      <c r="J172" s="510" t="s">
        <v>1844</v>
      </c>
      <c r="K172" s="625"/>
      <c r="L172" s="510" t="s">
        <v>1938</v>
      </c>
      <c r="M172" s="510"/>
      <c r="N172" s="510" t="s">
        <v>1939</v>
      </c>
      <c r="O172" s="650"/>
      <c r="P172" s="541" t="s">
        <v>1846</v>
      </c>
      <c r="Q172" s="510" t="s">
        <v>1847</v>
      </c>
      <c r="R172" s="510" t="s">
        <v>1848</v>
      </c>
      <c r="S172" s="510" t="s">
        <v>375</v>
      </c>
      <c r="T172" s="510" t="s">
        <v>1849</v>
      </c>
      <c r="U172" s="694"/>
      <c r="V172" s="607"/>
    </row>
    <row r="173" spans="2:22" s="588" customFormat="1" ht="15" customHeight="1" outlineLevel="1" x14ac:dyDescent="0.3">
      <c r="B173" s="600"/>
      <c r="C173" s="587"/>
      <c r="D173" s="742" t="s">
        <v>2262</v>
      </c>
      <c r="E173" s="507"/>
      <c r="F173" s="553"/>
      <c r="G173" s="553"/>
      <c r="H173" s="553"/>
      <c r="I173" s="553"/>
      <c r="J173" s="553">
        <v>118657530</v>
      </c>
      <c r="K173" s="553"/>
      <c r="L173" s="553">
        <f>+E171-J173</f>
        <v>10342470</v>
      </c>
      <c r="M173" s="553"/>
      <c r="N173" s="553"/>
      <c r="O173" s="663"/>
      <c r="P173" s="586"/>
      <c r="Q173" s="587"/>
      <c r="R173" s="586"/>
      <c r="S173" s="586"/>
      <c r="T173" s="587"/>
      <c r="U173" s="694"/>
      <c r="V173" s="607"/>
    </row>
    <row r="174" spans="2:22" s="588" customFormat="1" ht="15" customHeight="1" outlineLevel="1" x14ac:dyDescent="0.3">
      <c r="B174" s="703"/>
      <c r="C174" s="703"/>
      <c r="D174" s="703"/>
      <c r="E174" s="553"/>
      <c r="F174" s="507"/>
      <c r="G174" s="507"/>
      <c r="H174" s="507"/>
      <c r="I174" s="507"/>
      <c r="J174" s="553"/>
      <c r="K174" s="585"/>
      <c r="L174" s="553"/>
      <c r="M174" s="553"/>
      <c r="N174" s="553"/>
      <c r="O174" s="663"/>
      <c r="P174" s="586"/>
      <c r="Q174" s="587"/>
      <c r="R174" s="586"/>
      <c r="S174" s="586"/>
      <c r="T174" s="587"/>
      <c r="U174" s="694"/>
      <c r="V174" s="607"/>
    </row>
    <row r="175" spans="2:22" ht="15" customHeight="1" x14ac:dyDescent="0.3">
      <c r="B175" s="1240" t="s">
        <v>1664</v>
      </c>
      <c r="C175" s="1240"/>
      <c r="D175" s="1240"/>
      <c r="E175" s="512">
        <v>478000000</v>
      </c>
      <c r="F175" s="513"/>
      <c r="G175" s="513"/>
      <c r="H175" s="513"/>
      <c r="I175" s="513"/>
      <c r="J175" s="516">
        <f>+J176</f>
        <v>436914000</v>
      </c>
      <c r="K175" s="583"/>
      <c r="L175" s="516">
        <f>+L176</f>
        <v>0</v>
      </c>
      <c r="M175" s="516"/>
      <c r="N175" s="516">
        <f>+N176</f>
        <v>41086000</v>
      </c>
      <c r="O175" s="662"/>
      <c r="P175" s="548" t="str">
        <f>IF(ISERROR(VLOOKUP(B175,'Base de Datos'!$C$7:$N$315,8,0))=TRUE," ",(VLOOKUP(B175,'Base de Datos'!$C$7:$N$315,8,0)))</f>
        <v xml:space="preserve"> </v>
      </c>
      <c r="Q175" s="542"/>
      <c r="R175" s="548" t="str">
        <f>IF(ISERROR(VLOOKUP(B175,'Base de Datos'!$C$7:$N$315,9,0))=TRUE," ",(VLOOKUP(B175,'Base de Datos'!$C$7:$N$315,9,0)))</f>
        <v xml:space="preserve"> </v>
      </c>
      <c r="S175" s="548" t="str">
        <f>IF(ISERROR(VLOOKUP(B175,'Base de Datos'!$C$7:$N$315,10,0))=TRUE," ",(VLOOKUP(B175,'Base de Datos'!$C$7:$N$315,10,0)))</f>
        <v xml:space="preserve"> </v>
      </c>
      <c r="T175" s="542"/>
      <c r="U175" s="694"/>
      <c r="V175" s="607"/>
    </row>
    <row r="176" spans="2:22" ht="15" customHeight="1" x14ac:dyDescent="0.3">
      <c r="B176" s="1239" t="s">
        <v>1665</v>
      </c>
      <c r="C176" s="1239"/>
      <c r="D176" s="1239"/>
      <c r="E176" s="554">
        <v>478000000</v>
      </c>
      <c r="F176" s="559">
        <f>COUNTIF('Actualizada - presupuesto'!$E$7:$E$111,B176)</f>
        <v>1</v>
      </c>
      <c r="G176" s="559"/>
      <c r="H176" s="559"/>
      <c r="I176" s="559"/>
      <c r="J176" s="554">
        <f>SUM(J178)</f>
        <v>436914000</v>
      </c>
      <c r="K176" s="576">
        <f>J176/E176</f>
        <v>0.91404602510460253</v>
      </c>
      <c r="L176" s="554">
        <f>SUM(L178)</f>
        <v>0</v>
      </c>
      <c r="M176" s="554"/>
      <c r="N176" s="554">
        <f>+E176-J176-L176</f>
        <v>41086000</v>
      </c>
      <c r="O176" s="657"/>
      <c r="P176" s="564" t="str">
        <f>IF(ISERROR(VLOOKUP(B176,'Base de Datos'!$C$7:$N$315,8,0))=TRUE," ",(VLOOKUP(B176,'Base de Datos'!$C$7:$N$315,8,0)))</f>
        <v xml:space="preserve"> </v>
      </c>
      <c r="Q176" s="565"/>
      <c r="R176" s="564" t="str">
        <f>IF(ISERROR(VLOOKUP(B176,'Base de Datos'!$C$7:$N$315,9,0))=TRUE," ",(VLOOKUP(B176,'Base de Datos'!$C$7:$N$315,9,0)))</f>
        <v xml:space="preserve"> </v>
      </c>
      <c r="S176" s="564" t="str">
        <f>IF(ISERROR(VLOOKUP(B176,'Base de Datos'!$C$7:$N$315,10,0))=TRUE," ",(VLOOKUP(B176,'Base de Datos'!$C$7:$N$315,10,0)))</f>
        <v xml:space="preserve"> </v>
      </c>
      <c r="T176" s="565"/>
      <c r="U176" s="694"/>
      <c r="V176" s="607"/>
    </row>
    <row r="177" spans="2:22" ht="22.8" outlineLevel="1" x14ac:dyDescent="0.3">
      <c r="B177" s="510" t="s">
        <v>1692</v>
      </c>
      <c r="C177" s="510" t="s">
        <v>912</v>
      </c>
      <c r="D177" s="510" t="s">
        <v>1821</v>
      </c>
      <c r="E177" s="518" t="s">
        <v>1845</v>
      </c>
      <c r="F177" s="507" t="s">
        <v>1852</v>
      </c>
      <c r="G177" s="507"/>
      <c r="H177" s="507"/>
      <c r="I177" s="507"/>
      <c r="J177" s="510" t="s">
        <v>1844</v>
      </c>
      <c r="K177" s="625"/>
      <c r="L177" s="510" t="s">
        <v>1938</v>
      </c>
      <c r="M177" s="510"/>
      <c r="N177" s="510" t="s">
        <v>1939</v>
      </c>
      <c r="O177" s="650"/>
      <c r="P177" s="541" t="s">
        <v>1846</v>
      </c>
      <c r="Q177" s="510" t="s">
        <v>1847</v>
      </c>
      <c r="R177" s="510" t="s">
        <v>1848</v>
      </c>
      <c r="S177" s="510" t="s">
        <v>375</v>
      </c>
      <c r="T177" s="510" t="s">
        <v>1849</v>
      </c>
      <c r="U177" s="694"/>
      <c r="V177" s="607"/>
    </row>
    <row r="178" spans="2:22" s="588" customFormat="1" ht="24" customHeight="1" outlineLevel="1" x14ac:dyDescent="0.3">
      <c r="B178" s="679">
        <v>181</v>
      </c>
      <c r="C178" s="506" t="str">
        <f>IF(ISERROR(VLOOKUP(B178,'Base de Datos'!$C$7:$F$4092,2,0))=TRUE,"",(VLOOKUP('Presupuesto - PAA 2015'!B178,'Base de Datos'!$C$7:$F$4092,3,0)))</f>
        <v>150373-0-2015</v>
      </c>
      <c r="D178" s="506" t="str">
        <f>IF(ISERROR(VLOOKUP(B178,'Base de Datos'!$C$7:$F$4092,3,0))=TRUE,"",(VLOOKUP('Presupuesto - PAA 2015'!B178,'Base de Datos'!$C$7:$F$4092,4,0)))</f>
        <v>CENTRO DE RECURSOS EDUCATIVOS PARA LA COMPETITIVIDAD EMPRESARIAL LTDA. CRECE LTDA.</v>
      </c>
      <c r="E178" s="681">
        <v>478000000</v>
      </c>
      <c r="F178" s="507" t="str">
        <f>VLOOKUP(B178,'Actualizada - presupuesto'!$D$7:$L$111,9,0)</f>
        <v>SI</v>
      </c>
      <c r="G178" s="528"/>
      <c r="H178" s="528"/>
      <c r="I178" s="528"/>
      <c r="J178" s="509">
        <f>IF(ISERROR(VLOOKUP(B178,'Base de Datos'!$C$7:$N$4092,6,0))=TRUE,"Sin Celebrar",(VLOOKUP(B178,'Base de Datos'!$C$7:$N$4092,7,0)))</f>
        <v>436914000</v>
      </c>
      <c r="K178" s="682"/>
      <c r="L178" s="681" t="str">
        <f>IF(J178=$AA$1,E178, " ")</f>
        <v xml:space="preserve"> </v>
      </c>
      <c r="M178" s="681"/>
      <c r="N178" s="681">
        <f>IF(J178&lt;E178,(E178-J178)," ")</f>
        <v>41086000</v>
      </c>
      <c r="O178" s="691" t="str">
        <f>IF(ISERROR(VLOOKUP(B178,'Base de Datos'!$C$7:$K$1048576,7,0))=TRUE," ",(VLOOKUP(B178,'Base de Datos'!$C$7:$K$1048576,8,0)))</f>
        <v>SDH-LP-04-2015</v>
      </c>
      <c r="P178" s="524">
        <f>IF(ISERROR(VLOOKUP(B178,'Base de Datos'!$C$7:$N$4077,9,0))=TRUE," ",(VLOOKUP(B178,'Base de Datos'!$C$7:$N$4077,10,0)))</f>
        <v>42293</v>
      </c>
      <c r="Q178" s="680" t="s">
        <v>1320</v>
      </c>
      <c r="R178" s="524">
        <f>IF(ISERROR(VLOOKUP(B178,'Base de Datos'!$C$7:$N$4077,10,0))=TRUE," ",(VLOOKUP(B178,'Base de Datos'!$C$7:$N$4077,11,0)))</f>
        <v>42362</v>
      </c>
      <c r="S178" s="524">
        <f>IF(ISERROR(VLOOKUP(B178,'Base de Datos'!$C$7:$N$4077,11,0))=TRUE," ",(VLOOKUP(B178,'Base de Datos'!$C$7:$N$4077,12,0)))</f>
        <v>42605</v>
      </c>
      <c r="T178" s="506" t="str">
        <f>VLOOKUP(C178,'Base de Datos'!$E$7:$AU$382,39,0)</f>
        <v>LIQUIDADO</v>
      </c>
      <c r="U178" s="694"/>
      <c r="V178" s="607"/>
    </row>
    <row r="179" spans="2:22" ht="12" outlineLevel="1" x14ac:dyDescent="0.3">
      <c r="B179" s="621"/>
      <c r="C179" s="621"/>
      <c r="D179" s="621"/>
      <c r="E179" s="509"/>
      <c r="F179" s="507"/>
      <c r="G179" s="507"/>
      <c r="H179" s="507"/>
      <c r="I179" s="507"/>
      <c r="J179" s="509"/>
      <c r="K179" s="573"/>
      <c r="L179" s="509"/>
      <c r="M179" s="509"/>
      <c r="N179" s="509"/>
      <c r="O179" s="651"/>
      <c r="P179" s="524"/>
      <c r="Q179" s="506"/>
      <c r="R179" s="524"/>
      <c r="S179" s="524"/>
      <c r="T179" s="506"/>
      <c r="U179" s="694"/>
      <c r="V179" s="607"/>
    </row>
    <row r="180" spans="2:22" ht="15" customHeight="1" x14ac:dyDescent="0.3">
      <c r="B180" s="1253" t="s">
        <v>1666</v>
      </c>
      <c r="C180" s="1253"/>
      <c r="D180" s="1253"/>
      <c r="E180" s="560">
        <v>834000000</v>
      </c>
      <c r="F180" s="561">
        <f>COUNTIF('Actualizada - presupuesto'!$E$7:$E$111,B180)</f>
        <v>3</v>
      </c>
      <c r="G180" s="561"/>
      <c r="H180" s="561"/>
      <c r="I180" s="561"/>
      <c r="J180" s="560">
        <f>SUM(J182:J186)</f>
        <v>750240969</v>
      </c>
      <c r="K180" s="580">
        <f>J180/E180</f>
        <v>0.89956950719424456</v>
      </c>
      <c r="L180" s="560">
        <f>SUM(L182:L186)</f>
        <v>0</v>
      </c>
      <c r="M180" s="560"/>
      <c r="N180" s="560">
        <f>+E180-J180-L180</f>
        <v>83759031</v>
      </c>
      <c r="O180" s="655"/>
      <c r="P180" s="562" t="str">
        <f>IF(ISERROR(VLOOKUP(B180,'Base de Datos'!$C$7:$N$315,8,0))=TRUE," ",(VLOOKUP(B180,'Base de Datos'!$C$7:$N$315,8,0)))</f>
        <v xml:space="preserve"> </v>
      </c>
      <c r="Q180" s="563"/>
      <c r="R180" s="562" t="str">
        <f>IF(ISERROR(VLOOKUP(B180,'Base de Datos'!$C$7:$N$315,9,0))=TRUE," ",(VLOOKUP(B180,'Base de Datos'!$C$7:$N$315,9,0)))</f>
        <v xml:space="preserve"> </v>
      </c>
      <c r="S180" s="562" t="str">
        <f>IF(ISERROR(VLOOKUP(B180,'Base de Datos'!$C$7:$N$315,10,0))=TRUE," ",(VLOOKUP(B180,'Base de Datos'!$C$7:$N$315,10,0)))</f>
        <v xml:space="preserve"> </v>
      </c>
      <c r="T180" s="565"/>
      <c r="U180" s="694"/>
      <c r="V180" s="607"/>
    </row>
    <row r="181" spans="2:22" ht="22.8" outlineLevel="1" x14ac:dyDescent="0.3">
      <c r="B181" s="510" t="s">
        <v>1692</v>
      </c>
      <c r="C181" s="510" t="s">
        <v>912</v>
      </c>
      <c r="D181" s="510" t="s">
        <v>1821</v>
      </c>
      <c r="E181" s="518" t="s">
        <v>1845</v>
      </c>
      <c r="F181" s="507" t="s">
        <v>1852</v>
      </c>
      <c r="G181" s="507"/>
      <c r="H181" s="507"/>
      <c r="I181" s="507"/>
      <c r="J181" s="510" t="s">
        <v>1844</v>
      </c>
      <c r="K181" s="625"/>
      <c r="L181" s="510" t="s">
        <v>1938</v>
      </c>
      <c r="M181" s="510"/>
      <c r="N181" s="510" t="s">
        <v>1939</v>
      </c>
      <c r="O181" s="650"/>
      <c r="P181" s="541" t="s">
        <v>1846</v>
      </c>
      <c r="Q181" s="510" t="s">
        <v>1847</v>
      </c>
      <c r="R181" s="510" t="s">
        <v>1848</v>
      </c>
      <c r="S181" s="510" t="s">
        <v>375</v>
      </c>
      <c r="T181" s="510" t="s">
        <v>1849</v>
      </c>
      <c r="U181" s="694"/>
      <c r="V181" s="607"/>
    </row>
    <row r="182" spans="2:22" ht="12.75" customHeight="1" outlineLevel="1" x14ac:dyDescent="0.3">
      <c r="B182" s="510">
        <v>184</v>
      </c>
      <c r="C182" s="506" t="str">
        <f>IF(ISERROR(VLOOKUP(B182,'Base de Datos'!$C$7:$F$4092,2,0))=TRUE,"",(VLOOKUP('Presupuesto - PAA 2015'!B182,'Base de Datos'!$C$7:$F$4092,3,0)))</f>
        <v>150386-0-2015</v>
      </c>
      <c r="D182" s="506" t="str">
        <f>IF(ISERROR(VLOOKUP(B182,'Base de Datos'!$C$7:$F$4092,3,0))=TRUE,"",(VLOOKUP('Presupuesto - PAA 2015'!B182,'Base de Datos'!$C$7:$F$4092,4,0)))</f>
        <v>ALMACENES EXITO S.A</v>
      </c>
      <c r="E182" s="509">
        <v>40000000</v>
      </c>
      <c r="F182" s="507" t="str">
        <f>VLOOKUP(B182,'Actualizada - presupuesto'!$D$7:$L$111,9,0)</f>
        <v>SI</v>
      </c>
      <c r="G182" s="507"/>
      <c r="H182" s="507"/>
      <c r="I182" s="507"/>
      <c r="J182" s="509">
        <f>IF(ISERROR(VLOOKUP(B182,'Base de Datos'!$C$7:$N$4092,6,0))=TRUE,"Sin Celebrar",(VLOOKUP(B182,'Base de Datos'!$C$7:$N$4092,7,0)))</f>
        <v>37372300</v>
      </c>
      <c r="K182" s="573"/>
      <c r="L182" s="509" t="str">
        <f>IF(J182=$AA$1,E182, " ")</f>
        <v xml:space="preserve"> </v>
      </c>
      <c r="M182" s="509"/>
      <c r="N182" s="509">
        <f>IF(J182&lt;E182,(E182-J182)," ")</f>
        <v>2627700</v>
      </c>
      <c r="O182" s="691" t="str">
        <f>IF(ISERROR(VLOOKUP(B182,'Base de Datos'!$C$7:$K$1048576,7,0))=TRUE," ",(VLOOKUP(B182,'Base de Datos'!$C$7:$K$1048576,8,0)))</f>
        <v>SDH-SAMC-06-2015</v>
      </c>
      <c r="P182" s="524">
        <f>IF(ISERROR(VLOOKUP(B182,'Base de Datos'!$C$7:$N$4077,9,0))=TRUE," ",(VLOOKUP(B182,'Base de Datos'!$C$7:$N$4077,10,0)))</f>
        <v>42314</v>
      </c>
      <c r="Q182" s="506" t="s">
        <v>381</v>
      </c>
      <c r="R182" s="524">
        <f>IF(ISERROR(VLOOKUP(B182,'Base de Datos'!$C$7:$N$4077,10,0))=TRUE," ",(VLOOKUP(B182,'Base de Datos'!$C$7:$N$4077,11,0)))</f>
        <v>42331</v>
      </c>
      <c r="S182" s="524">
        <f>IF(ISERROR(VLOOKUP(B182,'Base de Datos'!$C$7:$N$4077,11,0))=TRUE," ",(VLOOKUP(B182,'Base de Datos'!$C$7:$N$4077,12,0)))</f>
        <v>42392</v>
      </c>
      <c r="T182" s="506" t="str">
        <f>VLOOKUP(C182,'Base de Datos'!$E$7:$AU$382,39,0)</f>
        <v>LIQUIDADO</v>
      </c>
      <c r="U182" s="694"/>
      <c r="V182" s="607"/>
    </row>
    <row r="183" spans="2:22" outlineLevel="1" x14ac:dyDescent="0.3">
      <c r="B183" s="510">
        <v>185</v>
      </c>
      <c r="C183" s="506" t="str">
        <f>IF(ISERROR(VLOOKUP(B183,'Base de Datos'!$C$7:$F$4092,2,0))=TRUE,"",(VLOOKUP('Presupuesto - PAA 2015'!B183,'Base de Datos'!$C$7:$F$4092,3,0)))</f>
        <v>150377-0-2015</v>
      </c>
      <c r="D183" s="506" t="str">
        <f>IF(ISERROR(VLOOKUP(B183,'Base de Datos'!$C$7:$F$4092,3,0))=TRUE,"",(VLOOKUP('Presupuesto - PAA 2015'!B183,'Base de Datos'!$C$7:$F$4092,4,0)))</f>
        <v>CAJA DE COMPENSACION FAMILIAR COMPENSAR</v>
      </c>
      <c r="E183" s="509">
        <v>550762000</v>
      </c>
      <c r="F183" s="507" t="str">
        <f>VLOOKUP(B183,'Actualizada - presupuesto'!$D$7:$L$111,9,0)</f>
        <v>SI</v>
      </c>
      <c r="G183" s="507"/>
      <c r="H183" s="507"/>
      <c r="I183" s="507"/>
      <c r="J183" s="509">
        <f>IF(ISERROR(VLOOKUP(B183,'Base de Datos'!$C$7:$N$4092,6,0))=TRUE,"Sin Celebrar",(VLOOKUP(B183,'Base de Datos'!$C$7:$N$4092,7,0)))</f>
        <v>550762000</v>
      </c>
      <c r="K183" s="573"/>
      <c r="L183" s="509" t="str">
        <f>IF(J183=$AA$1,E183, " ")</f>
        <v xml:space="preserve"> </v>
      </c>
      <c r="M183" s="509"/>
      <c r="N183" s="509" t="str">
        <f>IF(J183&lt;E183,(E183-J183)," ")</f>
        <v xml:space="preserve"> </v>
      </c>
      <c r="O183" s="691" t="str">
        <f>IF(ISERROR(VLOOKUP(B183,'Base de Datos'!$C$7:$K$1048576,7,0))=TRUE," ",(VLOOKUP(B183,'Base de Datos'!$C$7:$K$1048576,8,0)))</f>
        <v>SDH-LP-03-2015</v>
      </c>
      <c r="P183" s="524">
        <f>IF(ISERROR(VLOOKUP(B183,'Base de Datos'!$C$7:$N$4077,9,0))=TRUE," ",(VLOOKUP(B183,'Base de Datos'!$C$7:$N$4077,10,0)))</f>
        <v>42297</v>
      </c>
      <c r="Q183" s="506" t="s">
        <v>1320</v>
      </c>
      <c r="R183" s="524">
        <f>IF(ISERROR(VLOOKUP(B183,'Base de Datos'!$C$7:$N$4077,10,0))=TRUE," ",(VLOOKUP(B183,'Base de Datos'!$C$7:$N$4077,11,0)))</f>
        <v>42305</v>
      </c>
      <c r="S183" s="524">
        <f>IF(ISERROR(VLOOKUP(B183,'Base de Datos'!$C$7:$N$4077,11,0))=TRUE," ",(VLOOKUP(B183,'Base de Datos'!$C$7:$N$4077,12,0)))</f>
        <v>42579</v>
      </c>
      <c r="T183" s="506" t="str">
        <f>VLOOKUP(C183,'Base de Datos'!$E$7:$AU$382,39,0)</f>
        <v>LIQUIDADO</v>
      </c>
      <c r="U183" s="694"/>
      <c r="V183" s="607"/>
    </row>
    <row r="184" spans="2:22" outlineLevel="1" x14ac:dyDescent="0.3">
      <c r="B184" s="525">
        <v>289</v>
      </c>
      <c r="C184" s="526" t="s">
        <v>1423</v>
      </c>
      <c r="D184" s="526" t="s">
        <v>1833</v>
      </c>
      <c r="E184" s="527">
        <v>15868800</v>
      </c>
      <c r="F184" s="507" t="str">
        <f>VLOOKUP(B184,'Actualizada - presupuesto'!$D$7:$L$111,9,0)</f>
        <v>SI</v>
      </c>
      <c r="G184" s="528"/>
      <c r="H184" s="528"/>
      <c r="I184" s="528"/>
      <c r="J184" s="527">
        <v>15868800</v>
      </c>
      <c r="K184" s="577"/>
      <c r="L184" s="527" t="str">
        <f>IF(J184=$AA$1,E184, " ")</f>
        <v xml:space="preserve"> </v>
      </c>
      <c r="M184" s="527"/>
      <c r="N184" s="509" t="str">
        <f>IF(J184&lt;E184,(E184-J184)," ")</f>
        <v xml:space="preserve"> </v>
      </c>
      <c r="O184" s="691" t="str">
        <f>IF(ISERROR(VLOOKUP(B184,'Base de Datos'!$C$7:$K$1048576,7,0))=TRUE," ",(VLOOKUP(B184,'Base de Datos'!$C$7:$K$1048576,7,0)))</f>
        <v xml:space="preserve"> </v>
      </c>
      <c r="P184" s="524" t="str">
        <f>IF(ISERROR(VLOOKUP(B184,'Base de Datos'!$C$7:$N$315,9,0))=TRUE," ",(VLOOKUP(B184,'Base de Datos'!$C$7:$N$315,9,0)))</f>
        <v xml:space="preserve"> </v>
      </c>
      <c r="Q184" s="526"/>
      <c r="R184" s="683" t="str">
        <f>IF(ISERROR(VLOOKUP(B184,'Base de Datos'!$C$7:$N$4077,10,0))=TRUE," ",(VLOOKUP(B184,'Base de Datos'!$C$7:$N$4077,10,0)))</f>
        <v xml:space="preserve"> </v>
      </c>
      <c r="S184" s="683" t="str">
        <f>IF(ISERROR(VLOOKUP(B184,'Base de Datos'!$C$7:$N$4077,11,0))=TRUE," ",(VLOOKUP(B184,'Base de Datos'!$C$7:$N$4077,11,0)))</f>
        <v xml:space="preserve"> </v>
      </c>
      <c r="T184" s="506" t="str">
        <f>VLOOKUP(C184,'Base de Datos'!$E$7:$AU$382,39,0)</f>
        <v>LIQUIDADO</v>
      </c>
      <c r="U184" s="694"/>
      <c r="V184" s="607"/>
    </row>
    <row r="185" spans="2:22" outlineLevel="1" x14ac:dyDescent="0.3">
      <c r="B185" s="525">
        <v>309</v>
      </c>
      <c r="C185" s="526" t="s">
        <v>1423</v>
      </c>
      <c r="D185" s="526" t="s">
        <v>1833</v>
      </c>
      <c r="E185" s="527">
        <v>146237869</v>
      </c>
      <c r="F185" s="507" t="s">
        <v>390</v>
      </c>
      <c r="G185" s="528"/>
      <c r="H185" s="528"/>
      <c r="I185" s="528"/>
      <c r="J185" s="509">
        <v>146237869</v>
      </c>
      <c r="K185" s="577"/>
      <c r="L185" s="527" t="str">
        <f>IF(J185=$AA$1,E185, " ")</f>
        <v xml:space="preserve"> </v>
      </c>
      <c r="M185" s="527"/>
      <c r="N185" s="509" t="str">
        <f>IF(J185&lt;E185,(E185-J185)," ")</f>
        <v xml:space="preserve"> </v>
      </c>
      <c r="O185" s="691">
        <f>IF(ISERROR(VLOOKUP(B185,'Base de Datos'!$C$7:$K$1048576,7,0))=TRUE," ",(VLOOKUP(B185,'Base de Datos'!$C$7:$K$1048576,7,0)))</f>
        <v>53864000</v>
      </c>
      <c r="P185" s="524"/>
      <c r="Q185" s="526"/>
      <c r="R185" s="683">
        <f>IF(ISERROR(VLOOKUP(B185,'Base de Datos'!$C$7:$N$4077,10,0))=TRUE," ",(VLOOKUP(B185,'Base de Datos'!$C$7:$N$4077,10,0)))</f>
        <v>43612</v>
      </c>
      <c r="S185" s="683">
        <f>IF(ISERROR(VLOOKUP(B185,'Base de Datos'!$C$7:$N$4077,11,0))=TRUE," ",(VLOOKUP(B185,'Base de Datos'!$C$7:$N$4077,11,0)))</f>
        <v>43614</v>
      </c>
      <c r="T185" s="506" t="str">
        <f>VLOOKUP(C185,'Base de Datos'!$E$7:$AU$382,39,0)</f>
        <v>LIQUIDADO</v>
      </c>
      <c r="U185" s="694"/>
      <c r="V185" s="607"/>
    </row>
    <row r="186" spans="2:22" outlineLevel="1" x14ac:dyDescent="0.3">
      <c r="B186" s="506"/>
      <c r="C186" s="506"/>
      <c r="D186" s="506" t="s">
        <v>1934</v>
      </c>
      <c r="E186" s="509">
        <f>E180-SUM(E182:E185)</f>
        <v>81131331</v>
      </c>
      <c r="F186" s="507"/>
      <c r="G186" s="507"/>
      <c r="H186" s="507"/>
      <c r="I186" s="507"/>
      <c r="J186" s="509"/>
      <c r="K186" s="573"/>
      <c r="L186" s="527"/>
      <c r="M186" s="527"/>
      <c r="N186" s="509">
        <f>IF(J186&lt;E186,(E186-J186)," ")</f>
        <v>81131331</v>
      </c>
      <c r="O186" s="652"/>
      <c r="P186" s="524" t="str">
        <f>IF(ISERROR(VLOOKUP(B186,'Base de Datos'!$C$7:$N$315,9,0))=TRUE," ",(VLOOKUP(B186,'Base de Datos'!$C$7:$N$315,9,0)))</f>
        <v xml:space="preserve"> </v>
      </c>
      <c r="Q186" s="506"/>
      <c r="R186" s="683" t="str">
        <f>IF(ISERROR(VLOOKUP(B186,'Base de Datos'!$C$7:$N$4077,10,0))=TRUE," ",(VLOOKUP(B186,'Base de Datos'!$C$7:$N$4077,10,0)))</f>
        <v xml:space="preserve"> </v>
      </c>
      <c r="S186" s="683" t="str">
        <f>IF(ISERROR(VLOOKUP(B186,'Base de Datos'!$C$7:$N$4077,11,0))=TRUE," ",(VLOOKUP(B186,'Base de Datos'!$C$7:$N$4077,11,0)))</f>
        <v xml:space="preserve"> </v>
      </c>
      <c r="T186" s="506"/>
      <c r="U186" s="694"/>
      <c r="V186" s="607"/>
    </row>
    <row r="187" spans="2:22" outlineLevel="1" x14ac:dyDescent="0.3">
      <c r="B187" s="506"/>
      <c r="C187" s="506"/>
      <c r="D187" s="506"/>
      <c r="E187" s="509"/>
      <c r="F187" s="507"/>
      <c r="G187" s="507"/>
      <c r="H187" s="507"/>
      <c r="I187" s="507"/>
      <c r="J187" s="509"/>
      <c r="K187" s="573"/>
      <c r="L187" s="509"/>
      <c r="M187" s="509"/>
      <c r="N187" s="509"/>
      <c r="O187" s="651"/>
      <c r="P187" s="524"/>
      <c r="Q187" s="506"/>
      <c r="R187" s="524"/>
      <c r="S187" s="524"/>
      <c r="T187" s="506"/>
      <c r="U187" s="694"/>
      <c r="V187" s="607"/>
    </row>
    <row r="188" spans="2:22" ht="15" customHeight="1" x14ac:dyDescent="0.3">
      <c r="B188" s="1257" t="s">
        <v>1667</v>
      </c>
      <c r="C188" s="1257"/>
      <c r="D188" s="1257"/>
      <c r="E188" s="560">
        <v>351721000</v>
      </c>
      <c r="F188" s="561">
        <f>COUNTIF('Actualizada - presupuesto'!$E$7:$E$111,B188)</f>
        <v>4</v>
      </c>
      <c r="G188" s="561"/>
      <c r="H188" s="561"/>
      <c r="I188" s="561"/>
      <c r="J188" s="560">
        <f>SUM(J190:J194)</f>
        <v>343600000</v>
      </c>
      <c r="K188" s="580">
        <f>J188/E188</f>
        <v>0.97691067635995577</v>
      </c>
      <c r="L188" s="560">
        <f>SUM(L190:L194)</f>
        <v>0</v>
      </c>
      <c r="M188" s="560"/>
      <c r="N188" s="560">
        <f>+E188-J188-L188</f>
        <v>8121000</v>
      </c>
      <c r="O188" s="655"/>
      <c r="P188" s="562" t="str">
        <f>IF(ISERROR(VLOOKUP(B188,'Base de Datos'!$C$7:$N$315,8,0))=TRUE," ",(VLOOKUP(B188,'Base de Datos'!$C$7:$N$315,8,0)))</f>
        <v xml:space="preserve"> </v>
      </c>
      <c r="Q188" s="563"/>
      <c r="R188" s="562" t="str">
        <f>IF(ISERROR(VLOOKUP(B188,'Base de Datos'!$C$7:$N$315,9,0))=TRUE," ",(VLOOKUP(B188,'Base de Datos'!$C$7:$N$315,9,0)))</f>
        <v xml:space="preserve"> </v>
      </c>
      <c r="S188" s="562" t="str">
        <f>IF(ISERROR(VLOOKUP(B188,'Base de Datos'!$C$7:$N$315,10,0))=TRUE," ",(VLOOKUP(B188,'Base de Datos'!$C$7:$N$315,10,0)))</f>
        <v xml:space="preserve"> </v>
      </c>
      <c r="T188" s="565"/>
      <c r="U188" s="694"/>
      <c r="V188" s="607"/>
    </row>
    <row r="189" spans="2:22" ht="22.8" outlineLevel="1" x14ac:dyDescent="0.3">
      <c r="B189" s="510" t="s">
        <v>1692</v>
      </c>
      <c r="C189" s="510" t="s">
        <v>912</v>
      </c>
      <c r="D189" s="510" t="s">
        <v>1821</v>
      </c>
      <c r="E189" s="518" t="s">
        <v>1845</v>
      </c>
      <c r="F189" s="507" t="s">
        <v>1852</v>
      </c>
      <c r="G189" s="507"/>
      <c r="H189" s="507"/>
      <c r="I189" s="507"/>
      <c r="J189" s="510" t="s">
        <v>1844</v>
      </c>
      <c r="K189" s="625"/>
      <c r="L189" s="510" t="s">
        <v>1938</v>
      </c>
      <c r="M189" s="510"/>
      <c r="N189" s="510" t="s">
        <v>1939</v>
      </c>
      <c r="O189" s="650"/>
      <c r="P189" s="541" t="s">
        <v>1846</v>
      </c>
      <c r="Q189" s="510" t="s">
        <v>1847</v>
      </c>
      <c r="R189" s="510" t="s">
        <v>1848</v>
      </c>
      <c r="S189" s="510" t="s">
        <v>375</v>
      </c>
      <c r="T189" s="510" t="s">
        <v>1849</v>
      </c>
      <c r="U189" s="694"/>
      <c r="V189" s="607"/>
    </row>
    <row r="190" spans="2:22" ht="16.5" customHeight="1" outlineLevel="1" x14ac:dyDescent="0.3">
      <c r="B190" s="510">
        <v>157</v>
      </c>
      <c r="C190" s="506" t="str">
        <f>IF(ISERROR(VLOOKUP(B190,'Base de Datos'!$C$7:$F$4092,2,0))=TRUE,"",(VLOOKUP('Presupuesto - PAA 2015'!B190,'Base de Datos'!$C$7:$F$4092,3,0)))</f>
        <v>150255-0-2015</v>
      </c>
      <c r="D190" s="506" t="str">
        <f>IF(ISERROR(VLOOKUP(B190,'Base de Datos'!$C$7:$F$4092,3,0))=TRUE,"",(VLOOKUP('Presupuesto - PAA 2015'!B190,'Base de Datos'!$C$7:$F$4092,4,0)))</f>
        <v>MEDALLAS COLOMBIANAS S.A.S</v>
      </c>
      <c r="E190" s="509">
        <v>29000000</v>
      </c>
      <c r="F190" s="507" t="str">
        <f>VLOOKUP(B190,'Actualizada - presupuesto'!$D$7:$L$111,9,0)</f>
        <v>SI</v>
      </c>
      <c r="G190" s="507"/>
      <c r="H190" s="507"/>
      <c r="I190" s="507"/>
      <c r="J190" s="509">
        <f>IF(ISERROR(VLOOKUP(B190,'Base de Datos'!$C$7:$N$4092,6,0))=TRUE,"Sin Celebrar",(VLOOKUP(B190,'Base de Datos'!$C$7:$N$4092,7,0)))</f>
        <v>29000000</v>
      </c>
      <c r="K190" s="573"/>
      <c r="L190" s="509" t="str">
        <f>IF(J190=$AA$1,E190, " ")</f>
        <v xml:space="preserve"> </v>
      </c>
      <c r="M190" s="509"/>
      <c r="N190" s="509" t="str">
        <f>IF(J190&lt;E190,(E190-J190)," ")</f>
        <v xml:space="preserve"> </v>
      </c>
      <c r="O190" s="691" t="str">
        <f>IF(ISERROR(VLOOKUP(B190,'Base de Datos'!$C$7:$K$1048576,7,0))=TRUE," ",(VLOOKUP(B190,'Base de Datos'!$C$7:$K$1048576,8,0)))</f>
        <v>SDH-SMINC-31-2015</v>
      </c>
      <c r="P190" s="524">
        <f>IF(ISERROR(VLOOKUP(B190,'Base de Datos'!$C$7:$N$4077,9,0))=TRUE," ",(VLOOKUP(B190,'Base de Datos'!$C$7:$N$4077,10,0)))</f>
        <v>42167</v>
      </c>
      <c r="Q190" s="506" t="s">
        <v>1853</v>
      </c>
      <c r="R190" s="524">
        <f>IF(ISERROR(VLOOKUP(B190,'Base de Datos'!$C$7:$N$4077,10,0))=TRUE," ",(VLOOKUP(B190,'Base de Datos'!$C$7:$N$4077,11,0)))</f>
        <v>42179</v>
      </c>
      <c r="S190" s="524">
        <f>IF(ISERROR(VLOOKUP(B190,'Base de Datos'!$C$7:$N$4077,11,0))=TRUE," ",(VLOOKUP(B190,'Base de Datos'!$C$7:$N$4077,12,0)))</f>
        <v>42484</v>
      </c>
      <c r="T190" s="506" t="str">
        <f>VLOOKUP(C190,'Base de Datos'!$E$7:$AU$382,39,0)</f>
        <v>LIQUIDADO</v>
      </c>
      <c r="U190" s="694"/>
      <c r="V190" s="607"/>
    </row>
    <row r="191" spans="2:22" ht="18" customHeight="1" outlineLevel="1" x14ac:dyDescent="0.3">
      <c r="B191" s="510">
        <v>158</v>
      </c>
      <c r="C191" s="506" t="str">
        <f>IF(ISERROR(VLOOKUP(B191,'Base de Datos'!$C$7:$F$4092,2,0))=TRUE,"",(VLOOKUP('Presupuesto - PAA 2015'!B191,'Base de Datos'!$C$7:$F$4092,3,0)))</f>
        <v>150271-0-2015</v>
      </c>
      <c r="D191" s="506" t="str">
        <f>IF(ISERROR(VLOOKUP(B191,'Base de Datos'!$C$7:$F$4092,3,0))=TRUE,"",(VLOOKUP('Presupuesto - PAA 2015'!B191,'Base de Datos'!$C$7:$F$4092,4,0)))</f>
        <v>INSTITUTO DISTRITAL DEL PATRIMONIO CULTURAL - IDPC</v>
      </c>
      <c r="E191" s="509">
        <v>180000000</v>
      </c>
      <c r="F191" s="507" t="s">
        <v>390</v>
      </c>
      <c r="G191" s="507"/>
      <c r="H191" s="507"/>
      <c r="I191" s="507"/>
      <c r="J191" s="509">
        <f>IF(ISERROR(VLOOKUP(B191,'Base de Datos'!$C$7:$N$4092,6,0))=TRUE,"Sin Celebrar",(VLOOKUP(B191,'Base de Datos'!$C$7:$N$4092,7,0)))</f>
        <v>180000000</v>
      </c>
      <c r="K191" s="573"/>
      <c r="L191" s="509" t="str">
        <f>IF(J191=$AA$1,E191, " ")</f>
        <v xml:space="preserve"> </v>
      </c>
      <c r="M191" s="509"/>
      <c r="N191" s="509" t="str">
        <f>IF(J191&lt;E191,(E191-J191)," ")</f>
        <v xml:space="preserve"> </v>
      </c>
      <c r="O191" s="691" t="str">
        <f>IF(ISERROR(VLOOKUP(B191,'Base de Datos'!$C$7:$K$1048576,7,0))=TRUE," ",(VLOOKUP(B191,'Base de Datos'!$C$7:$K$1048576,8,0)))</f>
        <v>150271-0-2015</v>
      </c>
      <c r="P191" s="524">
        <f>IF(ISERROR(VLOOKUP(B191,'Base de Datos'!$C$7:$N$4077,9,0))=TRUE," ",(VLOOKUP(B191,'Base de Datos'!$C$7:$N$4077,10,0)))</f>
        <v>42179</v>
      </c>
      <c r="Q191" s="506" t="s">
        <v>380</v>
      </c>
      <c r="R191" s="524">
        <f>IF(ISERROR(VLOOKUP(B191,'Base de Datos'!$C$7:$N$4077,10,0))=TRUE," ",(VLOOKUP(B191,'Base de Datos'!$C$7:$N$4077,11,0)))</f>
        <v>42219</v>
      </c>
      <c r="S191" s="524">
        <f>IF(ISERROR(VLOOKUP(B191,'Base de Datos'!$C$7:$N$4077,11,0))=TRUE," ",(VLOOKUP(B191,'Base de Datos'!$C$7:$N$4077,12,0)))</f>
        <v>42492</v>
      </c>
      <c r="T191" s="506" t="str">
        <f>VLOOKUP(C191,'Base de Datos'!$E$7:$AU$382,39,0)</f>
        <v>LIQUIDADO</v>
      </c>
      <c r="U191" s="694"/>
      <c r="V191" s="607"/>
    </row>
    <row r="192" spans="2:22" ht="15" customHeight="1" outlineLevel="1" x14ac:dyDescent="0.3">
      <c r="B192" s="510">
        <v>182</v>
      </c>
      <c r="C192" s="506" t="str">
        <f>IF(ISERROR(VLOOKUP(B192,'Base de Datos'!$C$7:$F$4092,2,0))=TRUE,"",(VLOOKUP('Presupuesto - PAA 2015'!B192,'Base de Datos'!$C$7:$F$4092,3,0)))</f>
        <v>150260-0-2015</v>
      </c>
      <c r="D192" s="506" t="str">
        <f>IF(ISERROR(VLOOKUP(B192,'Base de Datos'!$C$7:$F$4092,3,0))=TRUE,"",(VLOOKUP('Presupuesto - PAA 2015'!B192,'Base de Datos'!$C$7:$F$4092,4,0)))</f>
        <v>CAJA DE COMPENSACION FAMILIAR COMPENSAR</v>
      </c>
      <c r="E192" s="509">
        <v>102000000</v>
      </c>
      <c r="F192" s="507" t="str">
        <f>VLOOKUP(B192,'Actualizada - presupuesto'!$D$7:$L$111,9,0)</f>
        <v>SI</v>
      </c>
      <c r="G192" s="507"/>
      <c r="H192" s="507"/>
      <c r="I192" s="507"/>
      <c r="J192" s="509">
        <f>IF(ISERROR(VLOOKUP(B192,'Base de Datos'!$C$7:$N$4092,6,0))=TRUE,"Sin Celebrar",(VLOOKUP(B192,'Base de Datos'!$C$7:$N$4092,7,0)))</f>
        <v>102000000</v>
      </c>
      <c r="K192" s="573"/>
      <c r="L192" s="509" t="str">
        <f>IF(J192=$AA$1,E192, " ")</f>
        <v xml:space="preserve"> </v>
      </c>
      <c r="M192" s="509"/>
      <c r="N192" s="509" t="str">
        <f>IF(J192&lt;E192,(E192-J192)," ")</f>
        <v xml:space="preserve"> </v>
      </c>
      <c r="O192" s="691" t="str">
        <f>IF(ISERROR(VLOOKUP(B192,'Base de Datos'!$C$7:$K$1048576,7,0))=TRUE," ",(VLOOKUP(B192,'Base de Datos'!$C$7:$K$1048576,8,0)))</f>
        <v>SDH-SAMC-01-2015</v>
      </c>
      <c r="P192" s="524">
        <f>IF(ISERROR(VLOOKUP(B192,'Base de Datos'!$C$7:$N$4077,9,0))=TRUE," ",(VLOOKUP(B192,'Base de Datos'!$C$7:$N$4077,10,0)))</f>
        <v>42171</v>
      </c>
      <c r="Q192" s="506" t="s">
        <v>1853</v>
      </c>
      <c r="R192" s="524">
        <f>IF(ISERROR(VLOOKUP(B192,'Base de Datos'!$C$7:$N$4077,10,0))=TRUE," ",(VLOOKUP(B192,'Base de Datos'!$C$7:$N$4077,11,0)))</f>
        <v>42186</v>
      </c>
      <c r="S192" s="524">
        <f>IF(ISERROR(VLOOKUP(B192,'Base de Datos'!$C$7:$N$4077,11,0))=TRUE," ",(VLOOKUP(B192,'Base de Datos'!$C$7:$N$4077,12,0)))</f>
        <v>42519</v>
      </c>
      <c r="T192" s="506" t="str">
        <f>VLOOKUP(C192,'Base de Datos'!$E$7:$AU$382,39,0)</f>
        <v>LIQUIDADO</v>
      </c>
      <c r="U192" s="694"/>
      <c r="V192" s="607"/>
    </row>
    <row r="193" spans="2:22" outlineLevel="1" x14ac:dyDescent="0.3">
      <c r="B193" s="525">
        <v>275</v>
      </c>
      <c r="C193" s="526" t="s">
        <v>297</v>
      </c>
      <c r="D193" s="526" t="s">
        <v>1834</v>
      </c>
      <c r="E193" s="527">
        <v>32600000</v>
      </c>
      <c r="F193" s="507" t="str">
        <f>VLOOKUP(B193,'Actualizada - presupuesto'!$D$7:$L$111,9,0)</f>
        <v>SI</v>
      </c>
      <c r="G193" s="528"/>
      <c r="H193" s="528"/>
      <c r="I193" s="528"/>
      <c r="J193" s="527">
        <v>32600000</v>
      </c>
      <c r="K193" s="577"/>
      <c r="L193" s="527" t="str">
        <f>IF(J193=$AA$1,E193, " ")</f>
        <v xml:space="preserve"> </v>
      </c>
      <c r="M193" s="527"/>
      <c r="N193" s="527" t="str">
        <f>IF(J193&lt;E193,(E193-J193)," ")</f>
        <v xml:space="preserve"> </v>
      </c>
      <c r="O193" s="691">
        <f>IF(ISERROR(VLOOKUP(B193,'Base de Datos'!$C$7:$K$1048576,7,0))=TRUE," ",(VLOOKUP(B193,'Base de Datos'!$C$7:$K$1048576,7,0)))</f>
        <v>299772000</v>
      </c>
      <c r="P193" s="524" t="str">
        <f>IF(ISERROR(VLOOKUP(B193,'Base de Datos'!$C$7:$N$315,9,0))=TRUE," ",(VLOOKUP(B193,'Base de Datos'!$C$7:$N$315,9,0)))</f>
        <v xml:space="preserve"> </v>
      </c>
      <c r="Q193" s="526"/>
      <c r="R193" s="529" t="str">
        <f>IF(ISERROR(VLOOKUP(B193,'Base de Datos'!$C$7:$N$315,10,0))=TRUE," ",(VLOOKUP(B193,'Base de Datos'!$C$7:$N$315,10,0)))</f>
        <v xml:space="preserve"> </v>
      </c>
      <c r="S193" s="529" t="str">
        <f>IF(ISERROR(VLOOKUP(B193,'Base de Datos'!$C$7:$N$315,11,0))=TRUE," ",(VLOOKUP(B193,'Base de Datos'!$C$7:$N$315,11,0)))</f>
        <v xml:space="preserve"> </v>
      </c>
      <c r="T193" s="506" t="str">
        <f>VLOOKUP(C193,'Base de Datos'!$E$7:$AU$382,39,0)</f>
        <v>LIQUIDADO</v>
      </c>
      <c r="U193" s="694"/>
      <c r="V193" s="607"/>
    </row>
    <row r="194" spans="2:22" outlineLevel="1" x14ac:dyDescent="0.3">
      <c r="B194" s="506"/>
      <c r="C194" s="506"/>
      <c r="D194" s="506" t="s">
        <v>1934</v>
      </c>
      <c r="E194" s="509">
        <f>+E188-SUM(E190:E193)</f>
        <v>8121000</v>
      </c>
      <c r="F194" s="507"/>
      <c r="G194" s="507"/>
      <c r="H194" s="507"/>
      <c r="I194" s="507"/>
      <c r="J194" s="509"/>
      <c r="K194" s="573"/>
      <c r="L194" s="527"/>
      <c r="M194" s="527"/>
      <c r="N194" s="527">
        <f>IF(J194&lt;E194,(E194-J194)," ")</f>
        <v>8121000</v>
      </c>
      <c r="O194" s="652"/>
      <c r="P194" s="524" t="str">
        <f>IF(ISERROR(VLOOKUP(B194,'Base de Datos'!$C$7:$N$315,9,0))=TRUE," ",(VLOOKUP(B194,'Base de Datos'!$C$7:$N$315,9,0)))</f>
        <v xml:space="preserve"> </v>
      </c>
      <c r="Q194" s="506"/>
      <c r="R194" s="529" t="str">
        <f>IF(ISERROR(VLOOKUP(B194,'Base de Datos'!$C$7:$N$315,10,0))=TRUE," ",(VLOOKUP(B194,'Base de Datos'!$C$7:$N$315,10,0)))</f>
        <v xml:space="preserve"> </v>
      </c>
      <c r="S194" s="529" t="str">
        <f>IF(ISERROR(VLOOKUP(B194,'Base de Datos'!$C$7:$N$315,11,0))=TRUE," ",(VLOOKUP(B194,'Base de Datos'!$C$7:$N$315,11,0)))</f>
        <v xml:space="preserve"> </v>
      </c>
      <c r="T194" s="506"/>
      <c r="U194" s="694"/>
      <c r="V194" s="607"/>
    </row>
    <row r="195" spans="2:22" outlineLevel="1" x14ac:dyDescent="0.3">
      <c r="B195" s="506"/>
      <c r="C195" s="506"/>
      <c r="D195" s="506"/>
      <c r="E195" s="509"/>
      <c r="F195" s="507"/>
      <c r="G195" s="507"/>
      <c r="H195" s="507"/>
      <c r="I195" s="507"/>
      <c r="J195" s="509"/>
      <c r="K195" s="573"/>
      <c r="L195" s="509"/>
      <c r="M195" s="509"/>
      <c r="N195" s="509"/>
      <c r="O195" s="651"/>
      <c r="P195" s="524"/>
      <c r="Q195" s="506"/>
      <c r="R195" s="524"/>
      <c r="S195" s="524"/>
      <c r="T195" s="506"/>
      <c r="U195" s="694"/>
      <c r="V195" s="607"/>
    </row>
    <row r="196" spans="2:22" ht="15" customHeight="1" x14ac:dyDescent="0.3">
      <c r="B196" s="1253" t="s">
        <v>1668</v>
      </c>
      <c r="C196" s="1253"/>
      <c r="D196" s="1253"/>
      <c r="E196" s="560">
        <v>108000000</v>
      </c>
      <c r="F196" s="561">
        <f>COUNTIF('Actualizada - presupuesto'!$E$7:$E$111,B196)</f>
        <v>3</v>
      </c>
      <c r="G196" s="561"/>
      <c r="H196" s="561"/>
      <c r="I196" s="561"/>
      <c r="J196" s="560">
        <f>SUM(J198:J202)</f>
        <v>81139000</v>
      </c>
      <c r="K196" s="580">
        <f>J196/E196</f>
        <v>0.75128703703703703</v>
      </c>
      <c r="L196" s="560">
        <f>SUM(L198:L202)</f>
        <v>0</v>
      </c>
      <c r="M196" s="560"/>
      <c r="N196" s="560">
        <f>+E196-J196-L196</f>
        <v>26861000</v>
      </c>
      <c r="O196" s="655"/>
      <c r="P196" s="562" t="str">
        <f>IF(ISERROR(VLOOKUP(B196,'Base de Datos'!$C$7:$N$315,8,0))=TRUE," ",(VLOOKUP(B196,'Base de Datos'!$C$7:$N$315,8,0)))</f>
        <v xml:space="preserve"> </v>
      </c>
      <c r="Q196" s="563"/>
      <c r="R196" s="562" t="str">
        <f>IF(ISERROR(VLOOKUP(B196,'Base de Datos'!$C$7:$N$315,9,0))=TRUE," ",(VLOOKUP(B196,'Base de Datos'!$C$7:$N$315,9,0)))</f>
        <v xml:space="preserve"> </v>
      </c>
      <c r="S196" s="562" t="str">
        <f>IF(ISERROR(VLOOKUP(B196,'Base de Datos'!$C$7:$N$315,10,0))=TRUE," ",(VLOOKUP(B196,'Base de Datos'!$C$7:$N$315,10,0)))</f>
        <v xml:space="preserve"> </v>
      </c>
      <c r="T196" s="565"/>
      <c r="U196" s="694"/>
      <c r="V196" s="607"/>
    </row>
    <row r="197" spans="2:22" ht="22.8" outlineLevel="1" x14ac:dyDescent="0.3">
      <c r="B197" s="510" t="s">
        <v>1692</v>
      </c>
      <c r="C197" s="510" t="s">
        <v>912</v>
      </c>
      <c r="D197" s="510" t="s">
        <v>1821</v>
      </c>
      <c r="E197" s="518" t="s">
        <v>1845</v>
      </c>
      <c r="F197" s="507" t="s">
        <v>1852</v>
      </c>
      <c r="G197" s="507"/>
      <c r="H197" s="507"/>
      <c r="I197" s="507"/>
      <c r="J197" s="510" t="s">
        <v>1844</v>
      </c>
      <c r="K197" s="625"/>
      <c r="L197" s="510" t="s">
        <v>1938</v>
      </c>
      <c r="M197" s="510"/>
      <c r="N197" s="510" t="s">
        <v>1939</v>
      </c>
      <c r="O197" s="650"/>
      <c r="P197" s="541" t="s">
        <v>1846</v>
      </c>
      <c r="Q197" s="510" t="s">
        <v>1847</v>
      </c>
      <c r="R197" s="510" t="s">
        <v>1848</v>
      </c>
      <c r="S197" s="510" t="s">
        <v>375</v>
      </c>
      <c r="T197" s="510" t="s">
        <v>1849</v>
      </c>
      <c r="U197" s="694"/>
      <c r="V197" s="607"/>
    </row>
    <row r="198" spans="2:22" ht="22.8" outlineLevel="1" x14ac:dyDescent="0.3">
      <c r="B198" s="510">
        <v>186</v>
      </c>
      <c r="C198" s="506" t="str">
        <f>IF(ISERROR(VLOOKUP(B198,'Base de Datos'!$C$7:$F$4092,2,0))=TRUE,"",(VLOOKUP('Presupuesto - PAA 2015'!B198,'Base de Datos'!$C$7:$F$4092,3,0)))</f>
        <v>150353-0-2015</v>
      </c>
      <c r="D198" s="506" t="str">
        <f>IF(ISERROR(VLOOKUP(B198,'Base de Datos'!$C$7:$F$4092,3,0))=TRUE,"",(VLOOKUP('Presupuesto - PAA 2015'!B198,'Base de Datos'!$C$7:$F$4092,4,0)))</f>
        <v>PRODUCTORA Y COMERCIALIZADORA ODONTOLÓGICA NEW STETIC S.A.</v>
      </c>
      <c r="E198" s="509">
        <v>6000000</v>
      </c>
      <c r="F198" s="507" t="str">
        <f>VLOOKUP(B198,'Actualizada - presupuesto'!$D$7:$L$111,9,0)</f>
        <v>SI</v>
      </c>
      <c r="G198" s="507"/>
      <c r="H198" s="507"/>
      <c r="I198" s="507"/>
      <c r="J198" s="509">
        <f>IF(ISERROR(VLOOKUP(B198,'Base de Datos'!$C$7:$N$4092,6,0))=TRUE,"Sin Celebrar",(VLOOKUP(B198,'Base de Datos'!$C$7:$N$4092,7,0)))</f>
        <v>6000000</v>
      </c>
      <c r="K198" s="573"/>
      <c r="L198" s="509" t="str">
        <f>IF(J198=$AA$1,E198, " ")</f>
        <v xml:space="preserve"> </v>
      </c>
      <c r="M198" s="509"/>
      <c r="N198" s="509" t="str">
        <f>IF(J198&lt;E198,(E198-J198)," ")</f>
        <v xml:space="preserve"> </v>
      </c>
      <c r="O198" s="691" t="str">
        <f>IF(ISERROR(VLOOKUP(B198,'Base de Datos'!$C$7:$K$1048576,7,0))=TRUE," ",(VLOOKUP(B198,'Base de Datos'!$C$7:$K$1048576,8,0)))</f>
        <v>SDH-SMINC-052-2015</v>
      </c>
      <c r="P198" s="524">
        <f>IF(ISERROR(VLOOKUP(B198,'Base de Datos'!$C$7:$N$4077,9,0))=TRUE," ",(VLOOKUP(B198,'Base de Datos'!$C$7:$N$4077,10,0)))</f>
        <v>42261</v>
      </c>
      <c r="Q198" s="506" t="s">
        <v>378</v>
      </c>
      <c r="R198" s="524">
        <f>IF(ISERROR(VLOOKUP(B198,'Base de Datos'!$C$7:$N$4077,10,0))=TRUE," ",(VLOOKUP(B198,'Base de Datos'!$C$7:$N$4077,11,0)))</f>
        <v>42291</v>
      </c>
      <c r="S198" s="524">
        <f>IF(ISERROR(VLOOKUP(B198,'Base de Datos'!$C$7:$N$4077,11,0))=TRUE," ",(VLOOKUP(B198,'Base de Datos'!$C$7:$N$4077,12,0)))</f>
        <v>42352</v>
      </c>
      <c r="T198" s="506" t="str">
        <f>VLOOKUP(C198,'Base de Datos'!$E$7:$AU$382,39,0)</f>
        <v>LIQUIDADO</v>
      </c>
      <c r="U198" s="694"/>
      <c r="V198" s="607"/>
    </row>
    <row r="199" spans="2:22" outlineLevel="1" x14ac:dyDescent="0.3">
      <c r="B199" s="510">
        <v>187</v>
      </c>
      <c r="C199" s="506" t="str">
        <f>IF(ISERROR(VLOOKUP(B199,'Base de Datos'!$C$7:$F$4092,2,0))=TRUE,"",(VLOOKUP('Presupuesto - PAA 2015'!B199,'Base de Datos'!$C$7:$F$4092,3,0)))</f>
        <v>150348-0-2015</v>
      </c>
      <c r="D199" s="506" t="str">
        <f>IF(ISERROR(VLOOKUP(B199,'Base de Datos'!$C$7:$F$4092,3,0))=TRUE,"",(VLOOKUP('Presupuesto - PAA 2015'!B199,'Base de Datos'!$C$7:$F$4092,4,0)))</f>
        <v>ORION CONIC S.A.S</v>
      </c>
      <c r="E199" s="509">
        <v>19141000</v>
      </c>
      <c r="F199" s="507" t="str">
        <f>VLOOKUP(B199,'Actualizada - presupuesto'!$D$7:$L$111,9,0)</f>
        <v>SI</v>
      </c>
      <c r="G199" s="507"/>
      <c r="H199" s="507"/>
      <c r="I199" s="507"/>
      <c r="J199" s="509">
        <f>IF(ISERROR(VLOOKUP(B199,'Base de Datos'!$C$7:$N$4092,6,0))=TRUE,"Sin Celebrar",(VLOOKUP(B199,'Base de Datos'!$C$7:$N$4092,7,0)))</f>
        <v>19141000</v>
      </c>
      <c r="K199" s="573"/>
      <c r="L199" s="509" t="str">
        <f>IF(J199=$AA$1,E199, " ")</f>
        <v xml:space="preserve"> </v>
      </c>
      <c r="M199" s="509"/>
      <c r="N199" s="509" t="str">
        <f>IF(J199&lt;E199,(E199-J199)," ")</f>
        <v xml:space="preserve"> </v>
      </c>
      <c r="O199" s="691" t="str">
        <f>IF(ISERROR(VLOOKUP(B199,'Base de Datos'!$C$7:$K$1048576,7,0))=TRUE," ",(VLOOKUP(B199,'Base de Datos'!$C$7:$K$1048576,8,0)))</f>
        <v>SDH-SMINC-50-2015</v>
      </c>
      <c r="P199" s="524">
        <f>IF(ISERROR(VLOOKUP(B199,'Base de Datos'!$C$7:$N$4077,9,0))=TRUE," ",(VLOOKUP(B199,'Base de Datos'!$C$7:$N$4077,10,0)))</f>
        <v>42248</v>
      </c>
      <c r="Q199" s="506" t="s">
        <v>380</v>
      </c>
      <c r="R199" s="524">
        <f>IF(ISERROR(VLOOKUP(B199,'Base de Datos'!$C$7:$N$4077,10,0))=TRUE," ",(VLOOKUP(B199,'Base de Datos'!$C$7:$N$4077,11,0)))</f>
        <v>42262</v>
      </c>
      <c r="S199" s="524">
        <f>IF(ISERROR(VLOOKUP(B199,'Base de Datos'!$C$7:$N$4077,11,0))=TRUE," ",(VLOOKUP(B199,'Base de Datos'!$C$7:$N$4077,12,0)))</f>
        <v>42384</v>
      </c>
      <c r="T199" s="506" t="str">
        <f>VLOOKUP(C199,'Base de Datos'!$E$7:$AU$382,39,0)</f>
        <v>LIQUIDADO</v>
      </c>
      <c r="U199" s="694"/>
      <c r="V199" s="607"/>
    </row>
    <row r="200" spans="2:22" ht="22.8" outlineLevel="1" x14ac:dyDescent="0.3">
      <c r="B200" s="525">
        <v>188</v>
      </c>
      <c r="C200" s="506" t="str">
        <f>IF(ISERROR(VLOOKUP(B200,'Base de Datos'!$C$7:$F$4092,2,0))=TRUE,"",(VLOOKUP('Presupuesto - PAA 2015'!B200,'Base de Datos'!$C$7:$F$4092,3,0)))</f>
        <v>150300-0-2015</v>
      </c>
      <c r="D200" s="506" t="str">
        <f>IF(ISERROR(VLOOKUP(B200,'Base de Datos'!$C$7:$F$4092,3,0))=TRUE,"",(VLOOKUP('Presupuesto - PAA 2015'!B200,'Base de Datos'!$C$7:$F$4092,4,0)))</f>
        <v>GERIZIM CENTRO MEDICO ESPECIALIZADO EN SALUD OCUPACIONAL EU</v>
      </c>
      <c r="E200" s="527">
        <v>52390000</v>
      </c>
      <c r="F200" s="507" t="str">
        <f>VLOOKUP(B200,'Actualizada - presupuesto'!$D$7:$L$111,9,0)</f>
        <v>SI</v>
      </c>
      <c r="G200" s="528"/>
      <c r="H200" s="528"/>
      <c r="I200" s="528"/>
      <c r="J200" s="509">
        <f>IF(ISERROR(VLOOKUP(B200,'Base de Datos'!$C$7:$N$4092,6,0))=TRUE,"Sin Celebrar",(VLOOKUP(B200,'Base de Datos'!$C$7:$N$4092,7,0)))</f>
        <v>52390000</v>
      </c>
      <c r="K200" s="577"/>
      <c r="L200" s="527" t="str">
        <f>IF(J200=$AA$1,E200, " ")</f>
        <v xml:space="preserve"> </v>
      </c>
      <c r="M200" s="527"/>
      <c r="N200" s="527" t="str">
        <f>IF(J200&lt;E200,(E200-J200)," ")</f>
        <v xml:space="preserve"> </v>
      </c>
      <c r="O200" s="691" t="str">
        <f>IF(ISERROR(VLOOKUP(B200,'Base de Datos'!$C$7:$K$1048576,7,0))=TRUE," ",(VLOOKUP(B200,'Base de Datos'!$C$7:$K$1048576,8,0)))</f>
        <v>SDH-SAMC-02-2015</v>
      </c>
      <c r="P200" s="524">
        <f>IF(ISERROR(VLOOKUP(B200,'Base de Datos'!$C$7:$N$4077,9,0))=TRUE," ",(VLOOKUP(B200,'Base de Datos'!$C$7:$N$4077,10,0)))</f>
        <v>42181</v>
      </c>
      <c r="Q200" s="526" t="s">
        <v>1320</v>
      </c>
      <c r="R200" s="524">
        <f>IF(ISERROR(VLOOKUP(B200,'Base de Datos'!$C$7:$N$4077,10,0))=TRUE," ",(VLOOKUP(B200,'Base de Datos'!$C$7:$N$4077,11,0)))</f>
        <v>42200</v>
      </c>
      <c r="S200" s="524">
        <f>IF(ISERROR(VLOOKUP(B200,'Base de Datos'!$C$7:$N$4077,11,0))=TRUE," ",(VLOOKUP(B200,'Base de Datos'!$C$7:$N$4077,12,0)))</f>
        <v>42475</v>
      </c>
      <c r="T200" s="506" t="str">
        <f>VLOOKUP(C200,'Base de Datos'!$E$7:$AU$382,39,0)</f>
        <v>LIQUIDADO</v>
      </c>
      <c r="U200" s="694"/>
      <c r="V200" s="607"/>
    </row>
    <row r="201" spans="2:22" ht="14.25" customHeight="1" outlineLevel="1" x14ac:dyDescent="0.3">
      <c r="B201" s="525">
        <v>189</v>
      </c>
      <c r="C201" s="506" t="str">
        <f>IF(ISERROR(VLOOKUP(B201,'Base de Datos'!$C$7:$F$4092,2,0))=TRUE,"",(VLOOKUP('Presupuesto - PAA 2015'!B201,'Base de Datos'!$C$7:$F$4092,3,0)))</f>
        <v>150316-0-2015</v>
      </c>
      <c r="D201" s="506" t="str">
        <f>IF(ISERROR(VLOOKUP(B201,'Base de Datos'!$C$7:$F$4092,3,0))=TRUE,"",(VLOOKUP('Presupuesto - PAA 2015'!B201,'Base de Datos'!$C$7:$F$4092,4,0)))</f>
        <v>PROCOLDEXT LTDA</v>
      </c>
      <c r="E201" s="527">
        <v>3608000</v>
      </c>
      <c r="F201" s="528" t="s">
        <v>390</v>
      </c>
      <c r="G201" s="528"/>
      <c r="H201" s="528"/>
      <c r="I201" s="528"/>
      <c r="J201" s="509">
        <f>IF(ISERROR(VLOOKUP(B201,'Base de Datos'!$C$7:$N$4092,6,0))=TRUE,"Sin Celebrar",(VLOOKUP(B201,'Base de Datos'!$C$7:$N$4092,7,0)))</f>
        <v>3608000</v>
      </c>
      <c r="K201" s="577"/>
      <c r="L201" s="527" t="str">
        <f>IF(J201=$AA$1,E201, " ")</f>
        <v xml:space="preserve"> </v>
      </c>
      <c r="M201" s="527"/>
      <c r="N201" s="527" t="str">
        <f>IF(J201&lt;E201,(E201-J201)," ")</f>
        <v xml:space="preserve"> </v>
      </c>
      <c r="O201" s="691" t="str">
        <f>IF(ISERROR(VLOOKUP(B201,'Base de Datos'!$C$7:$K$1048576,7,0))=TRUE," ",(VLOOKUP(B201,'Base de Datos'!$C$7:$K$1048576,8,0)))</f>
        <v>SDH-SMINC-36-2015</v>
      </c>
      <c r="P201" s="524">
        <f>IF(ISERROR(VLOOKUP(B201,'Base de Datos'!$C$7:$N$4077,9,0))=TRUE," ",(VLOOKUP(B201,'Base de Datos'!$C$7:$N$4077,10,0)))</f>
        <v>42201</v>
      </c>
      <c r="Q201" s="526" t="s">
        <v>379</v>
      </c>
      <c r="R201" s="524">
        <f>IF(ISERROR(VLOOKUP(B201,'Base de Datos'!$C$7:$N$4077,10,0))=TRUE," ",(VLOOKUP(B201,'Base de Datos'!$C$7:$N$4077,11,0)))</f>
        <v>42295</v>
      </c>
      <c r="S201" s="524">
        <f>IF(ISERROR(VLOOKUP(B201,'Base de Datos'!$C$7:$N$4077,11,0))=TRUE," ",(VLOOKUP(B201,'Base de Datos'!$C$7:$N$4077,12,0)))</f>
        <v>42387</v>
      </c>
      <c r="T201" s="506" t="str">
        <f>VLOOKUP(C201,'Base de Datos'!$E$7:$AU$382,39,0)</f>
        <v>LIQUIDADO</v>
      </c>
      <c r="U201" s="694"/>
      <c r="V201" s="607"/>
    </row>
    <row r="202" spans="2:22" ht="12" outlineLevel="1" x14ac:dyDescent="0.3">
      <c r="B202" s="621"/>
      <c r="C202" s="621"/>
      <c r="D202" s="506" t="s">
        <v>1934</v>
      </c>
      <c r="E202" s="509">
        <f>+E196-SUM(E198:E201)</f>
        <v>26861000</v>
      </c>
      <c r="F202" s="507"/>
      <c r="G202" s="507"/>
      <c r="H202" s="507"/>
      <c r="I202" s="507"/>
      <c r="J202" s="527"/>
      <c r="K202" s="573"/>
      <c r="L202" s="527"/>
      <c r="M202" s="527"/>
      <c r="N202" s="527">
        <f>IF(J202&lt;E202,(E202-J202)," ")</f>
        <v>26861000</v>
      </c>
      <c r="O202" s="691" t="str">
        <f>IF(ISERROR(VLOOKUP(B202,'Base de Datos'!$C$7:$K$1048576,7,0))=TRUE," ",(VLOOKUP(B202,'Base de Datos'!$C$7:$K$1048576,7,0)))</f>
        <v xml:space="preserve"> </v>
      </c>
      <c r="P202" s="524" t="str">
        <f>IF(ISERROR(VLOOKUP(B202,'Base de Datos'!$C$7:$N$315,9,0))=TRUE," ",(VLOOKUP(B202,'Base de Datos'!$C$7:$N$315,9,0)))</f>
        <v xml:space="preserve"> </v>
      </c>
      <c r="Q202" s="506"/>
      <c r="R202" s="529" t="str">
        <f>IF(ISERROR(VLOOKUP(B202,'Base de Datos'!$C$7:$N$315,10,0))=TRUE," ",(VLOOKUP(B202,'Base de Datos'!$C$7:$N$315,10,0)))</f>
        <v xml:space="preserve"> </v>
      </c>
      <c r="S202" s="529" t="str">
        <f>IF(ISERROR(VLOOKUP(B202,'Base de Datos'!$C$7:$N$315,11,0))=TRUE," ",(VLOOKUP(B202,'Base de Datos'!$C$7:$N$315,11,0)))</f>
        <v xml:space="preserve"> </v>
      </c>
      <c r="T202" s="506"/>
      <c r="U202" s="694"/>
      <c r="V202" s="607"/>
    </row>
    <row r="203" spans="2:22" ht="12" outlineLevel="1" x14ac:dyDescent="0.3">
      <c r="B203" s="621"/>
      <c r="C203" s="621"/>
      <c r="D203" s="621"/>
      <c r="E203" s="509"/>
      <c r="F203" s="507"/>
      <c r="G203" s="507"/>
      <c r="H203" s="507"/>
      <c r="I203" s="507"/>
      <c r="J203" s="509"/>
      <c r="K203" s="573"/>
      <c r="L203" s="509"/>
      <c r="M203" s="509"/>
      <c r="N203" s="509"/>
      <c r="O203" s="651"/>
      <c r="P203" s="524"/>
      <c r="Q203" s="506"/>
      <c r="R203" s="524"/>
      <c r="S203" s="524"/>
      <c r="T203" s="506"/>
      <c r="U203" s="694"/>
      <c r="V203" s="607"/>
    </row>
    <row r="204" spans="2:22" ht="15" customHeight="1" x14ac:dyDescent="0.3">
      <c r="B204" s="1254" t="s">
        <v>1669</v>
      </c>
      <c r="C204" s="1254"/>
      <c r="D204" s="1254"/>
      <c r="E204" s="530">
        <v>40000000</v>
      </c>
      <c r="F204" s="531">
        <f>COUNTIF('Actualizada - presupuesto'!$E$7:$E$111,B204)</f>
        <v>0</v>
      </c>
      <c r="G204" s="531"/>
      <c r="H204" s="531"/>
      <c r="I204" s="531"/>
      <c r="J204" s="540">
        <f>+J205</f>
        <v>40000000</v>
      </c>
      <c r="K204" s="582">
        <f>J204/E204</f>
        <v>1</v>
      </c>
      <c r="L204" s="540"/>
      <c r="M204" s="540"/>
      <c r="N204" s="540">
        <f>SUM(N205)</f>
        <v>0</v>
      </c>
      <c r="O204" s="658"/>
      <c r="P204" s="546" t="str">
        <f>IF(ISERROR(VLOOKUP(B204,'Base de Datos'!$C$7:$N$315,8,0))=TRUE," ",(VLOOKUP(B204,'Base de Datos'!$C$7:$N$315,8,0)))</f>
        <v xml:space="preserve"> </v>
      </c>
      <c r="Q204" s="547"/>
      <c r="R204" s="546" t="str">
        <f>IF(ISERROR(VLOOKUP(B204,'Base de Datos'!$C$7:$N$315,9,0))=TRUE," ",(VLOOKUP(B204,'Base de Datos'!$C$7:$N$315,9,0)))</f>
        <v xml:space="preserve"> </v>
      </c>
      <c r="S204" s="546" t="str">
        <f>IF(ISERROR(VLOOKUP(B204,'Base de Datos'!$C$7:$N$315,10,0))=TRUE," ",(VLOOKUP(B204,'Base de Datos'!$C$7:$N$315,10,0)))</f>
        <v xml:space="preserve"> </v>
      </c>
      <c r="T204" s="542"/>
      <c r="U204" s="694"/>
      <c r="V204" s="607"/>
    </row>
    <row r="205" spans="2:22" ht="15" customHeight="1" x14ac:dyDescent="0.3">
      <c r="B205" s="1238" t="s">
        <v>1838</v>
      </c>
      <c r="C205" s="1238"/>
      <c r="D205" s="1238"/>
      <c r="E205" s="516">
        <v>40000000</v>
      </c>
      <c r="F205" s="513">
        <f>COUNTIF('Actualizada - presupuesto'!$E$7:$E$111,B205)</f>
        <v>0</v>
      </c>
      <c r="G205" s="513"/>
      <c r="H205" s="513"/>
      <c r="I205" s="513"/>
      <c r="J205" s="516">
        <f>+J207</f>
        <v>40000000</v>
      </c>
      <c r="K205" s="583"/>
      <c r="L205" s="516"/>
      <c r="M205" s="516"/>
      <c r="N205" s="516"/>
      <c r="O205" s="662"/>
      <c r="P205" s="548" t="str">
        <f>IF(ISERROR(VLOOKUP(B205,'Base de Datos'!$C$7:$N$315,8,0))=TRUE," ",(VLOOKUP(B205,'Base de Datos'!$C$7:$N$315,8,0)))</f>
        <v xml:space="preserve"> </v>
      </c>
      <c r="Q205" s="542"/>
      <c r="R205" s="548" t="str">
        <f>IF(ISERROR(VLOOKUP(B205,'Base de Datos'!$C$7:$N$315,9,0))=TRUE," ",(VLOOKUP(B205,'Base de Datos'!$C$7:$N$315,9,0)))</f>
        <v xml:space="preserve"> </v>
      </c>
      <c r="S205" s="548" t="str">
        <f>IF(ISERROR(VLOOKUP(B205,'Base de Datos'!$C$7:$N$315,10,0))=TRUE," ",(VLOOKUP(B205,'Base de Datos'!$C$7:$N$315,10,0)))</f>
        <v xml:space="preserve"> </v>
      </c>
      <c r="T205" s="542"/>
      <c r="U205" s="694"/>
      <c r="V205" s="607"/>
    </row>
    <row r="206" spans="2:22" s="588" customFormat="1" ht="23.25" customHeight="1" outlineLevel="1" x14ac:dyDescent="0.3">
      <c r="B206" s="510" t="s">
        <v>1822</v>
      </c>
      <c r="C206" s="510" t="s">
        <v>912</v>
      </c>
      <c r="D206" s="510" t="s">
        <v>1821</v>
      </c>
      <c r="E206" s="507" t="s">
        <v>1852</v>
      </c>
      <c r="F206" s="518" t="s">
        <v>1845</v>
      </c>
      <c r="G206" s="518"/>
      <c r="H206" s="518"/>
      <c r="I206" s="518"/>
      <c r="J206" s="506" t="s">
        <v>1844</v>
      </c>
      <c r="K206" s="585"/>
      <c r="L206" s="553"/>
      <c r="M206" s="553"/>
      <c r="N206" s="553"/>
      <c r="O206" s="663"/>
      <c r="P206" s="586"/>
      <c r="Q206" s="587"/>
      <c r="R206" s="586"/>
      <c r="S206" s="586"/>
      <c r="T206" s="587"/>
      <c r="U206" s="694"/>
      <c r="V206" s="607"/>
    </row>
    <row r="207" spans="2:22" s="588" customFormat="1" ht="15" customHeight="1" outlineLevel="1" x14ac:dyDescent="0.3">
      <c r="B207" s="510"/>
      <c r="C207" s="506"/>
      <c r="D207" s="506"/>
      <c r="E207" s="507"/>
      <c r="F207" s="509">
        <v>40000000</v>
      </c>
      <c r="G207" s="509"/>
      <c r="H207" s="509"/>
      <c r="I207" s="509"/>
      <c r="J207" s="509">
        <v>40000000</v>
      </c>
      <c r="K207" s="585"/>
      <c r="L207" s="553"/>
      <c r="M207" s="553"/>
      <c r="N207" s="553"/>
      <c r="O207" s="663"/>
      <c r="P207" s="586"/>
      <c r="Q207" s="587"/>
      <c r="R207" s="586"/>
      <c r="S207" s="586"/>
      <c r="T207" s="587"/>
      <c r="U207" s="694"/>
      <c r="V207" s="607"/>
    </row>
    <row r="208" spans="2:22" s="588" customFormat="1" ht="15" customHeight="1" outlineLevel="1" x14ac:dyDescent="0.3">
      <c r="B208" s="703"/>
      <c r="C208" s="703"/>
      <c r="D208" s="703"/>
      <c r="E208" s="553"/>
      <c r="F208" s="507"/>
      <c r="G208" s="507"/>
      <c r="H208" s="507"/>
      <c r="I208" s="507"/>
      <c r="J208" s="553"/>
      <c r="K208" s="585"/>
      <c r="L208" s="553"/>
      <c r="M208" s="553"/>
      <c r="N208" s="553"/>
      <c r="O208" s="663"/>
      <c r="P208" s="586"/>
      <c r="Q208" s="587"/>
      <c r="R208" s="586"/>
      <c r="S208" s="586"/>
      <c r="T208" s="587"/>
      <c r="U208" s="694"/>
      <c r="V208" s="607"/>
    </row>
    <row r="209" spans="2:22" ht="15" customHeight="1" x14ac:dyDescent="0.3">
      <c r="B209" s="1239" t="s">
        <v>1671</v>
      </c>
      <c r="C209" s="1239"/>
      <c r="D209" s="1239"/>
      <c r="E209" s="554">
        <v>1800000000</v>
      </c>
      <c r="F209" s="559">
        <f>COUNTIF('Actualizada - presupuesto'!$E$7:$E$111,B209)</f>
        <v>2</v>
      </c>
      <c r="G209" s="559"/>
      <c r="H209" s="559"/>
      <c r="I209" s="559"/>
      <c r="J209" s="554">
        <f>SUM(J211:J213)</f>
        <v>1696938453</v>
      </c>
      <c r="K209" s="576">
        <f>J209/E209</f>
        <v>0.942743585</v>
      </c>
      <c r="L209" s="554">
        <f>SUM(L211:L213)</f>
        <v>0</v>
      </c>
      <c r="M209" s="554"/>
      <c r="N209" s="554">
        <f>+E209-J209-L209</f>
        <v>103061547</v>
      </c>
      <c r="O209" s="657"/>
      <c r="P209" s="564" t="str">
        <f>IF(ISERROR(VLOOKUP(B209,'Base de Datos'!$C$7:$N$315,8,0))=TRUE," ",(VLOOKUP(B209,'Base de Datos'!$C$7:$N$315,8,0)))</f>
        <v xml:space="preserve"> </v>
      </c>
      <c r="Q209" s="565"/>
      <c r="R209" s="564" t="str">
        <f>IF(ISERROR(VLOOKUP(B209,'Base de Datos'!$C$7:$N$315,9,0))=TRUE," ",(VLOOKUP(B209,'Base de Datos'!$C$7:$N$315,9,0)))</f>
        <v xml:space="preserve"> </v>
      </c>
      <c r="S209" s="564" t="str">
        <f>IF(ISERROR(VLOOKUP(B209,'Base de Datos'!$C$7:$N$315,10,0))=TRUE," ",(VLOOKUP(B209,'Base de Datos'!$C$7:$N$315,10,0)))</f>
        <v xml:space="preserve"> </v>
      </c>
      <c r="T209" s="565"/>
      <c r="U209" s="694"/>
      <c r="V209" s="607"/>
    </row>
    <row r="210" spans="2:22" ht="22.8" outlineLevel="1" x14ac:dyDescent="0.3">
      <c r="B210" s="510" t="s">
        <v>1692</v>
      </c>
      <c r="C210" s="510" t="s">
        <v>912</v>
      </c>
      <c r="D210" s="510" t="s">
        <v>1821</v>
      </c>
      <c r="E210" s="518" t="s">
        <v>1845</v>
      </c>
      <c r="F210" s="507" t="s">
        <v>1852</v>
      </c>
      <c r="G210" s="507"/>
      <c r="H210" s="507"/>
      <c r="I210" s="507"/>
      <c r="J210" s="510" t="s">
        <v>1844</v>
      </c>
      <c r="K210" s="625"/>
      <c r="L210" s="510" t="s">
        <v>1938</v>
      </c>
      <c r="M210" s="510"/>
      <c r="N210" s="510" t="s">
        <v>1939</v>
      </c>
      <c r="O210" s="650"/>
      <c r="P210" s="541" t="s">
        <v>1846</v>
      </c>
      <c r="Q210" s="510" t="s">
        <v>1847</v>
      </c>
      <c r="R210" s="510" t="s">
        <v>1848</v>
      </c>
      <c r="S210" s="510" t="s">
        <v>375</v>
      </c>
      <c r="T210" s="510" t="s">
        <v>1849</v>
      </c>
      <c r="U210" s="694"/>
      <c r="V210" s="607"/>
    </row>
    <row r="211" spans="2:22" outlineLevel="1" x14ac:dyDescent="0.3">
      <c r="B211" s="510">
        <v>160</v>
      </c>
      <c r="C211" s="506" t="str">
        <f>IF(ISERROR(VLOOKUP(B211,'Base de Datos'!$C$7:$F$4092,2,0))=TRUE,"",(VLOOKUP('Presupuesto - PAA 2015'!B211,'Base de Datos'!$C$7:$F$4092,3,0)))</f>
        <v>150400-0-2015</v>
      </c>
      <c r="D211" s="506" t="str">
        <f>IF(ISERROR(VLOOKUP(B211,'Base de Datos'!$C$7:$F$4092,3,0))=TRUE,"",(VLOOKUP('Presupuesto - PAA 2015'!B211,'Base de Datos'!$C$7:$F$4092,4,0)))</f>
        <v>CENTURY MEDIA S A S</v>
      </c>
      <c r="E211" s="509">
        <v>436000000</v>
      </c>
      <c r="F211" s="507" t="str">
        <f>VLOOKUP(B211,'Actualizada - presupuesto'!$D$7:$L$111,9,0)</f>
        <v>SI</v>
      </c>
      <c r="G211" s="507"/>
      <c r="H211" s="507"/>
      <c r="I211" s="507"/>
      <c r="J211" s="509">
        <f>IF(ISERROR(VLOOKUP(B211,'Base de Datos'!$C$7:$N$4092,6,0))=TRUE,"Sin Celebrar",(VLOOKUP(B211,'Base de Datos'!$C$7:$N$4092,7,0)))</f>
        <v>345000000</v>
      </c>
      <c r="K211" s="573"/>
      <c r="L211" s="509" t="str">
        <f>IF(J211=$AA$1,E211, " ")</f>
        <v xml:space="preserve"> </v>
      </c>
      <c r="M211" s="509"/>
      <c r="N211" s="509">
        <f>IF(J211&lt;E211,(E211-J211)," ")</f>
        <v>91000000</v>
      </c>
      <c r="O211" s="691" t="str">
        <f>IF(ISERROR(VLOOKUP(B211,'Base de Datos'!$C$7:$K$1048576,7,0))=TRUE," ",(VLOOKUP(B211,'Base de Datos'!$C$7:$K$1048576,8,0)))</f>
        <v>SDH-SIE-17-2015</v>
      </c>
      <c r="P211" s="524">
        <f>IF(ISERROR(VLOOKUP(B211,'Base de Datos'!$C$7:$N$4077,9,0))=TRUE," ",(VLOOKUP(B211,'Base de Datos'!$C$7:$N$4077,10,0)))</f>
        <v>42349</v>
      </c>
      <c r="Q211" s="506" t="s">
        <v>1320</v>
      </c>
      <c r="R211" s="524">
        <f>IF(ISERROR(VLOOKUP(B211,'Base de Datos'!$C$7:$N$4077,10,0))=TRUE," ",(VLOOKUP(B211,'Base de Datos'!$C$7:$N$4077,11,0)))</f>
        <v>42383</v>
      </c>
      <c r="S211" s="524">
        <f>IF(ISERROR(VLOOKUP(B211,'Base de Datos'!$C$7:$N$4077,11,0))=TRUE," ",(VLOOKUP(B211,'Base de Datos'!$C$7:$N$4077,12,0)))</f>
        <v>42627</v>
      </c>
      <c r="T211" s="506" t="str">
        <f>VLOOKUP(C211,'Base de Datos'!$E$7:$AU$382,39,0)</f>
        <v>LIQUIDADO</v>
      </c>
      <c r="U211" s="694"/>
      <c r="V211" s="607"/>
    </row>
    <row r="212" spans="2:22" ht="25.5" customHeight="1" outlineLevel="1" x14ac:dyDescent="0.3">
      <c r="B212" s="525">
        <v>161</v>
      </c>
      <c r="C212" s="506" t="str">
        <f>IF(ISERROR(VLOOKUP(B212,'Base de Datos'!$C$7:$F$4092,2,0))=TRUE,"",(VLOOKUP('Presupuesto - PAA 2015'!B212,'Base de Datos'!$C$7:$F$4092,3,0)))</f>
        <v>150225-0-2015</v>
      </c>
      <c r="D212" s="506" t="str">
        <f>IF(ISERROR(VLOOKUP(B212,'Base de Datos'!$C$7:$F$4092,3,0))=TRUE,"",(VLOOKUP('Presupuesto - PAA 2015'!B212,'Base de Datos'!$C$7:$F$4092,4,0)))</f>
        <v>CANAL REGIONAL DE TELEVISION TEVEANDINA LTDA - TEVEANDINA LTDA</v>
      </c>
      <c r="E212" s="527">
        <v>1291938453</v>
      </c>
      <c r="F212" s="507" t="str">
        <f>VLOOKUP(B212,'Actualizada - presupuesto'!$D$7:$L$111,9,0)</f>
        <v>SI</v>
      </c>
      <c r="G212" s="528"/>
      <c r="H212" s="528"/>
      <c r="I212" s="528"/>
      <c r="J212" s="509">
        <f>IF(ISERROR(VLOOKUP(B212,'Base de Datos'!$C$7:$N$4092,6,0))=TRUE,"Sin Celebrar",(VLOOKUP(B212,'Base de Datos'!$C$7:$N$4092,7,0)))</f>
        <v>1291938453</v>
      </c>
      <c r="K212" s="577"/>
      <c r="L212" s="527" t="str">
        <f>IF(J212=$AA$1,E212, " ")</f>
        <v xml:space="preserve"> </v>
      </c>
      <c r="M212" s="527"/>
      <c r="N212" s="527" t="str">
        <f>IF(J212&lt;E212,(E212-J212)," ")</f>
        <v xml:space="preserve"> </v>
      </c>
      <c r="O212" s="691" t="str">
        <f>IF(ISERROR(VLOOKUP(B212,'Base de Datos'!$C$7:$K$1048576,7,0))=TRUE," ",(VLOOKUP(B212,'Base de Datos'!$C$7:$K$1048576,8,0)))</f>
        <v>150225-0-2015</v>
      </c>
      <c r="P212" s="524">
        <f>IF(ISERROR(VLOOKUP(B212,'Base de Datos'!$C$7:$N$4077,9,0))=TRUE," ",(VLOOKUP(B212,'Base de Datos'!$C$7:$N$4077,10,0)))</f>
        <v>42135</v>
      </c>
      <c r="Q212" s="526" t="s">
        <v>1890</v>
      </c>
      <c r="R212" s="524">
        <f>IF(ISERROR(VLOOKUP(B212,'Base de Datos'!$C$7:$N$4077,10,0))=TRUE," ",(VLOOKUP(B212,'Base de Datos'!$C$7:$N$4077,11,0)))</f>
        <v>42139</v>
      </c>
      <c r="S212" s="524">
        <f>IF(ISERROR(VLOOKUP(B212,'Base de Datos'!$C$7:$N$4077,11,0))=TRUE," ",(VLOOKUP(B212,'Base de Datos'!$C$7:$N$4077,12,0)))</f>
        <v>42421</v>
      </c>
      <c r="T212" s="506" t="str">
        <f>VLOOKUP(C212,'Base de Datos'!$E$7:$AU$382,39,0)</f>
        <v>LIQUIDADO</v>
      </c>
      <c r="U212" s="694"/>
      <c r="V212" s="607"/>
    </row>
    <row r="213" spans="2:22" outlineLevel="1" x14ac:dyDescent="0.3">
      <c r="B213" s="510">
        <v>310</v>
      </c>
      <c r="C213" s="506" t="s">
        <v>1528</v>
      </c>
      <c r="D213" s="506" t="s">
        <v>1980</v>
      </c>
      <c r="E213" s="509">
        <v>60000000</v>
      </c>
      <c r="F213" s="507" t="s">
        <v>390</v>
      </c>
      <c r="G213" s="507"/>
      <c r="H213" s="507"/>
      <c r="I213" s="507"/>
      <c r="J213" s="509">
        <v>60000000</v>
      </c>
      <c r="K213" s="573"/>
      <c r="L213" s="527" t="str">
        <f>IF(J213=$AA$1,E213, " ")</f>
        <v xml:space="preserve"> </v>
      </c>
      <c r="M213" s="509"/>
      <c r="N213" s="509"/>
      <c r="O213" s="691">
        <f>IF(ISERROR(VLOOKUP(B213,'Base de Datos'!$C$7:$K$1048576,7,0))=TRUE," ",(VLOOKUP(B213,'Base de Datos'!$C$7:$K$1048576,7,0)))</f>
        <v>12426000</v>
      </c>
      <c r="P213" s="524"/>
      <c r="Q213" s="506"/>
      <c r="R213" s="529" t="str">
        <f>IF(ISERROR(VLOOKUP(B213,'Base de Datos'!$C$7:$N$315,10,0))=TRUE," ",(VLOOKUP(B213,'Base de Datos'!$C$7:$N$315,10,0)))</f>
        <v xml:space="preserve"> </v>
      </c>
      <c r="S213" s="529" t="str">
        <f>IF(ISERROR(VLOOKUP(B213,'Base de Datos'!$C$7:$N$315,11,0))=TRUE," ",(VLOOKUP(B213,'Base de Datos'!$C$7:$N$315,11,0)))</f>
        <v xml:space="preserve"> </v>
      </c>
      <c r="T213" s="506" t="str">
        <f>VLOOKUP(C213,'Base de Datos'!$E$7:$AU$382,39,0)</f>
        <v>LIQUIDADO</v>
      </c>
      <c r="U213" s="694"/>
      <c r="V213" s="607"/>
    </row>
    <row r="214" spans="2:22" ht="12" outlineLevel="1" x14ac:dyDescent="0.3">
      <c r="B214" s="510"/>
      <c r="C214" s="621"/>
      <c r="D214" s="506" t="s">
        <v>1934</v>
      </c>
      <c r="E214" s="509">
        <f>+E209-(SUM(E211:E213))</f>
        <v>12061547</v>
      </c>
      <c r="F214" s="507"/>
      <c r="G214" s="507"/>
      <c r="H214" s="507"/>
      <c r="I214" s="507"/>
      <c r="J214" s="509"/>
      <c r="K214" s="573"/>
      <c r="L214" s="527"/>
      <c r="M214" s="509"/>
      <c r="N214" s="509"/>
      <c r="O214" s="691" t="str">
        <f>IF(ISERROR(VLOOKUP(B214,'Base de Datos'!$C$7:$K$1048576,7,0))=TRUE," ",(VLOOKUP(B214,'Base de Datos'!$C$7:$K$1048576,7,0)))</f>
        <v xml:space="preserve"> </v>
      </c>
      <c r="P214" s="524"/>
      <c r="Q214" s="506"/>
      <c r="R214" s="529"/>
      <c r="S214" s="529"/>
      <c r="T214" s="506"/>
      <c r="U214" s="694"/>
      <c r="V214" s="607"/>
    </row>
    <row r="215" spans="2:22" ht="12" outlineLevel="1" x14ac:dyDescent="0.3">
      <c r="B215" s="621"/>
      <c r="C215" s="621"/>
      <c r="D215" s="621"/>
      <c r="E215" s="509"/>
      <c r="F215" s="507"/>
      <c r="G215" s="507"/>
      <c r="H215" s="507"/>
      <c r="I215" s="507"/>
      <c r="J215" s="509"/>
      <c r="K215" s="573"/>
      <c r="L215" s="509"/>
      <c r="M215" s="509"/>
      <c r="N215" s="509"/>
      <c r="O215" s="651"/>
      <c r="P215" s="524"/>
      <c r="Q215" s="506"/>
      <c r="R215" s="524"/>
      <c r="S215" s="524"/>
      <c r="T215" s="506"/>
      <c r="U215" s="694"/>
      <c r="V215" s="607"/>
    </row>
    <row r="216" spans="2:22" ht="15" customHeight="1" x14ac:dyDescent="0.3">
      <c r="B216" s="1254" t="s">
        <v>1672</v>
      </c>
      <c r="C216" s="1254"/>
      <c r="D216" s="1254"/>
      <c r="E216" s="530">
        <v>36000000</v>
      </c>
      <c r="F216" s="531"/>
      <c r="G216" s="531"/>
      <c r="H216" s="531"/>
      <c r="I216" s="531"/>
      <c r="J216" s="540">
        <f>+J217</f>
        <v>908534</v>
      </c>
      <c r="K216" s="582">
        <f>J216/E216</f>
        <v>2.5237055555555554E-2</v>
      </c>
      <c r="L216" s="540">
        <f>+L217</f>
        <v>91466</v>
      </c>
      <c r="M216" s="540"/>
      <c r="N216" s="540">
        <f>SUM(N217)</f>
        <v>18203084</v>
      </c>
      <c r="O216" s="658"/>
      <c r="P216" s="546" t="str">
        <f>IF(ISERROR(VLOOKUP(B216,'Base de Datos'!$C$7:$N$315,8,0))=TRUE," ",(VLOOKUP(B216,'Base de Datos'!$C$7:$N$315,8,0)))</f>
        <v xml:space="preserve"> </v>
      </c>
      <c r="Q216" s="547"/>
      <c r="R216" s="546" t="str">
        <f>IF(ISERROR(VLOOKUP(B216,'Base de Datos'!$C$7:$N$315,9,0))=TRUE," ",(VLOOKUP(B216,'Base de Datos'!$C$7:$N$315,9,0)))</f>
        <v xml:space="preserve"> </v>
      </c>
      <c r="S216" s="546" t="str">
        <f>IF(ISERROR(VLOOKUP(B216,'Base de Datos'!$C$7:$N$315,10,0))=TRUE," ",(VLOOKUP(B216,'Base de Datos'!$C$7:$N$315,10,0)))</f>
        <v xml:space="preserve"> </v>
      </c>
      <c r="T216" s="542"/>
      <c r="U216" s="694"/>
      <c r="V216" s="607"/>
    </row>
    <row r="217" spans="2:22" ht="15" customHeight="1" x14ac:dyDescent="0.3">
      <c r="B217" s="1238" t="s">
        <v>1837</v>
      </c>
      <c r="C217" s="1238"/>
      <c r="D217" s="1238"/>
      <c r="E217" s="516">
        <v>1000000</v>
      </c>
      <c r="F217" s="513"/>
      <c r="G217" s="513"/>
      <c r="H217" s="513"/>
      <c r="I217" s="513"/>
      <c r="J217" s="516">
        <f>+J219</f>
        <v>908534</v>
      </c>
      <c r="K217" s="583">
        <f>J217/E217</f>
        <v>0.90853399999999995</v>
      </c>
      <c r="L217" s="516">
        <f>+L219</f>
        <v>91466</v>
      </c>
      <c r="M217" s="516"/>
      <c r="N217" s="516">
        <f>SUM(N219:N225)</f>
        <v>18203084</v>
      </c>
      <c r="O217" s="662"/>
      <c r="P217" s="548" t="str">
        <f>IF(ISERROR(VLOOKUP(B217,'Base de Datos'!$C$7:$N$315,8,0))=TRUE," ",(VLOOKUP(B217,'Base de Datos'!$C$7:$N$315,8,0)))</f>
        <v xml:space="preserve"> </v>
      </c>
      <c r="Q217" s="542"/>
      <c r="R217" s="548" t="str">
        <f>IF(ISERROR(VLOOKUP(B217,'Base de Datos'!$C$7:$N$315,9,0))=TRUE," ",(VLOOKUP(B217,'Base de Datos'!$C$7:$N$315,9,0)))</f>
        <v xml:space="preserve"> </v>
      </c>
      <c r="S217" s="548" t="str">
        <f>IF(ISERROR(VLOOKUP(B217,'Base de Datos'!$C$7:$N$315,10,0))=TRUE," ",(VLOOKUP(B217,'Base de Datos'!$C$7:$N$315,10,0)))</f>
        <v xml:space="preserve"> </v>
      </c>
      <c r="T217" s="542"/>
      <c r="U217" s="694"/>
      <c r="V217" s="607"/>
    </row>
    <row r="218" spans="2:22" s="588" customFormat="1" ht="21.75" customHeight="1" outlineLevel="1" x14ac:dyDescent="0.3">
      <c r="B218" s="510" t="s">
        <v>1692</v>
      </c>
      <c r="C218" s="510" t="s">
        <v>912</v>
      </c>
      <c r="D218" s="510" t="s">
        <v>1821</v>
      </c>
      <c r="E218" s="518" t="s">
        <v>1845</v>
      </c>
      <c r="F218" s="507" t="s">
        <v>1852</v>
      </c>
      <c r="G218" s="507"/>
      <c r="H218" s="507"/>
      <c r="I218" s="507"/>
      <c r="J218" s="510" t="s">
        <v>1844</v>
      </c>
      <c r="K218" s="625"/>
      <c r="L218" s="510" t="s">
        <v>1938</v>
      </c>
      <c r="M218" s="510"/>
      <c r="N218" s="510" t="s">
        <v>1939</v>
      </c>
      <c r="O218" s="650"/>
      <c r="P218" s="541" t="s">
        <v>1846</v>
      </c>
      <c r="Q218" s="510" t="s">
        <v>1847</v>
      </c>
      <c r="R218" s="510" t="s">
        <v>1848</v>
      </c>
      <c r="S218" s="510" t="s">
        <v>375</v>
      </c>
      <c r="T218" s="510" t="s">
        <v>1849</v>
      </c>
      <c r="U218" s="694"/>
      <c r="V218" s="607"/>
    </row>
    <row r="219" spans="2:22" s="588" customFormat="1" ht="15" customHeight="1" outlineLevel="1" x14ac:dyDescent="0.3">
      <c r="B219" s="510"/>
      <c r="C219" s="506"/>
      <c r="D219" s="506" t="s">
        <v>2264</v>
      </c>
      <c r="E219" s="553">
        <v>1000000</v>
      </c>
      <c r="F219" s="509"/>
      <c r="G219" s="509"/>
      <c r="H219" s="509"/>
      <c r="I219" s="509"/>
      <c r="J219" s="509">
        <v>908534</v>
      </c>
      <c r="K219" s="585"/>
      <c r="L219" s="509">
        <f>E219-J219</f>
        <v>91466</v>
      </c>
      <c r="M219" s="553"/>
      <c r="N219" s="506"/>
      <c r="O219" s="664"/>
      <c r="P219" s="586"/>
      <c r="Q219" s="587"/>
      <c r="R219" s="586"/>
      <c r="S219" s="586"/>
      <c r="T219" s="587"/>
      <c r="U219" s="694"/>
      <c r="V219" s="607"/>
    </row>
    <row r="220" spans="2:22" s="588" customFormat="1" ht="15" customHeight="1" outlineLevel="1" x14ac:dyDescent="0.3">
      <c r="B220" s="510"/>
      <c r="C220" s="506"/>
      <c r="D220" s="506"/>
      <c r="E220" s="553"/>
      <c r="F220" s="509"/>
      <c r="G220" s="509"/>
      <c r="H220" s="509"/>
      <c r="I220" s="509"/>
      <c r="J220" s="509"/>
      <c r="K220" s="585"/>
      <c r="L220" s="509"/>
      <c r="M220" s="553"/>
      <c r="N220" s="506"/>
      <c r="O220" s="664"/>
      <c r="P220" s="586"/>
      <c r="Q220" s="587"/>
      <c r="R220" s="586"/>
      <c r="S220" s="586"/>
      <c r="T220" s="587"/>
      <c r="U220" s="694"/>
      <c r="V220" s="607"/>
    </row>
    <row r="221" spans="2:22" s="588" customFormat="1" ht="15" customHeight="1" x14ac:dyDescent="0.3">
      <c r="B221" s="1238" t="s">
        <v>2126</v>
      </c>
      <c r="C221" s="1238"/>
      <c r="D221" s="1238"/>
      <c r="E221" s="516">
        <v>35000000</v>
      </c>
      <c r="F221" s="513"/>
      <c r="G221" s="513"/>
      <c r="H221" s="513"/>
      <c r="I221" s="513"/>
      <c r="J221" s="516">
        <f>SUM(J223:J224)</f>
        <v>25744458</v>
      </c>
      <c r="K221" s="583"/>
      <c r="L221" s="516">
        <f>SUM(L223:L224)</f>
        <v>0</v>
      </c>
      <c r="M221" s="516"/>
      <c r="N221" s="516">
        <f>+E221-J221-L221</f>
        <v>9255542</v>
      </c>
      <c r="O221" s="662"/>
      <c r="P221" s="548" t="str">
        <f>IF(ISERROR(VLOOKUP(B221,'Base de Datos'!$C$7:$N$315,8,0))=TRUE," ",(VLOOKUP(B221,'Base de Datos'!$C$7:$N$315,8,0)))</f>
        <v xml:space="preserve"> </v>
      </c>
      <c r="Q221" s="542"/>
      <c r="R221" s="548" t="str">
        <f>IF(ISERROR(VLOOKUP(B221,'Base de Datos'!$C$7:$N$315,9,0))=TRUE," ",(VLOOKUP(B221,'Base de Datos'!$C$7:$N$315,9,0)))</f>
        <v xml:space="preserve"> </v>
      </c>
      <c r="S221" s="548" t="str">
        <f>IF(ISERROR(VLOOKUP(B221,'Base de Datos'!$C$7:$N$315,10,0))=TRUE," ",(VLOOKUP(B221,'Base de Datos'!$C$7:$N$315,10,0)))</f>
        <v xml:space="preserve"> </v>
      </c>
      <c r="T221" s="542"/>
      <c r="U221" s="694"/>
      <c r="V221" s="607"/>
    </row>
    <row r="222" spans="2:22" s="588" customFormat="1" ht="24" customHeight="1" outlineLevel="1" x14ac:dyDescent="0.3">
      <c r="B222" s="510" t="s">
        <v>1692</v>
      </c>
      <c r="C222" s="510" t="s">
        <v>912</v>
      </c>
      <c r="D222" s="510" t="s">
        <v>1821</v>
      </c>
      <c r="E222" s="518" t="s">
        <v>1845</v>
      </c>
      <c r="F222" s="507" t="s">
        <v>1852</v>
      </c>
      <c r="G222" s="507"/>
      <c r="H222" s="507"/>
      <c r="I222" s="507"/>
      <c r="J222" s="510" t="s">
        <v>1844</v>
      </c>
      <c r="K222" s="625"/>
      <c r="L222" s="510" t="s">
        <v>1938</v>
      </c>
      <c r="M222" s="510"/>
      <c r="N222" s="510" t="s">
        <v>1939</v>
      </c>
      <c r="O222" s="650"/>
      <c r="P222" s="541" t="s">
        <v>1846</v>
      </c>
      <c r="Q222" s="510" t="s">
        <v>1847</v>
      </c>
      <c r="R222" s="510" t="s">
        <v>1848</v>
      </c>
      <c r="S222" s="510" t="s">
        <v>375</v>
      </c>
      <c r="T222" s="510" t="s">
        <v>1849</v>
      </c>
      <c r="U222" s="694"/>
      <c r="V222" s="607"/>
    </row>
    <row r="223" spans="2:22" s="588" customFormat="1" ht="15" customHeight="1" outlineLevel="1" x14ac:dyDescent="0.3">
      <c r="B223" s="600">
        <v>367</v>
      </c>
      <c r="C223" s="506" t="str">
        <f>IF(ISERROR(VLOOKUP(B223,'Base de Datos'!$C$7:$F$4092,2,0))=TRUE,"",(VLOOKUP('Presupuesto - PAA 2015'!B223,'Base de Datos'!$C$7:$F$4092,3,0)))</f>
        <v>150394-0-2015</v>
      </c>
      <c r="D223" s="506" t="str">
        <f>IF(ISERROR(VLOOKUP(B223,'Base de Datos'!$C$7:$F$4092,3,0))=TRUE,"",(VLOOKUP('Presupuesto - PAA 2015'!B223,'Base de Datos'!$C$7:$F$4092,4,0)))</f>
        <v>SOLUCIONES H&amp;S SAS</v>
      </c>
      <c r="E223" s="553">
        <v>23860000</v>
      </c>
      <c r="F223" s="518" t="s">
        <v>390</v>
      </c>
      <c r="G223" s="509"/>
      <c r="H223" s="509"/>
      <c r="I223" s="509"/>
      <c r="J223" s="509">
        <f>IF(ISERROR(VLOOKUP(B223,'Base de Datos'!$C$7:$N$4092,6,0))=TRUE,"Sin Celebrar",(VLOOKUP(B223,'Base de Datos'!$C$7:$N$4092,7,0)))</f>
        <v>17340258</v>
      </c>
      <c r="K223" s="585"/>
      <c r="L223" s="527" t="str">
        <f>IF(J223=$AA$1,E223, " ")</f>
        <v xml:space="preserve"> </v>
      </c>
      <c r="M223" s="527"/>
      <c r="N223" s="527">
        <f>IF(J223&lt;E223,(E223-J223)," ")</f>
        <v>6519742</v>
      </c>
      <c r="O223" s="691" t="str">
        <f>IF(ISERROR(VLOOKUP(B223,'Base de Datos'!$C$7:$K$1048576,7,0))=TRUE," ",(VLOOKUP(B223,'Base de Datos'!$C$7:$K$1048576,8,0)))</f>
        <v>SDH-SMINC-063-2015</v>
      </c>
      <c r="P223" s="524">
        <f>IF(ISERROR(VLOOKUP(B223,'Base de Datos'!$C$7:$N$4077,9,0))=TRUE," ",(VLOOKUP(B223,'Base de Datos'!$C$7:$N$4077,10,0)))</f>
        <v>42332</v>
      </c>
      <c r="Q223" s="526" t="s">
        <v>378</v>
      </c>
      <c r="R223" s="524">
        <f>IF(ISERROR(VLOOKUP(B223,'Base de Datos'!$C$7:$N$4077,10,0))=TRUE," ",(VLOOKUP(B223,'Base de Datos'!$C$7:$N$4077,11,0)))</f>
        <v>42338</v>
      </c>
      <c r="S223" s="524">
        <f>IF(ISERROR(VLOOKUP(B223,'Base de Datos'!$C$7:$N$4077,11,0))=TRUE," ",(VLOOKUP(B223,'Base de Datos'!$C$7:$N$4077,12,0)))</f>
        <v>42399</v>
      </c>
      <c r="T223" s="506" t="s">
        <v>981</v>
      </c>
      <c r="U223" s="694"/>
      <c r="V223" s="607"/>
    </row>
    <row r="224" spans="2:22" s="588" customFormat="1" ht="15" customHeight="1" outlineLevel="1" x14ac:dyDescent="0.3">
      <c r="B224" s="600">
        <v>368</v>
      </c>
      <c r="C224" s="506" t="str">
        <f>IF(ISERROR(VLOOKUP(B224,'Base de Datos'!$C$7:$F$4092,2,0))=TRUE,"",(VLOOKUP('Presupuesto - PAA 2015'!B224,'Base de Datos'!$C$7:$F$4092,3,0)))</f>
        <v>150404-0-2015</v>
      </c>
      <c r="D224" s="506" t="str">
        <f>IF(ISERROR(VLOOKUP(B224,'Base de Datos'!$C$7:$F$4092,3,0))=TRUE,"",(VLOOKUP('Presupuesto - PAA 2015'!B224,'Base de Datos'!$C$7:$F$4092,4,0)))</f>
        <v>PUBLIDRUGS LTDA</v>
      </c>
      <c r="E224" s="553">
        <v>10832000</v>
      </c>
      <c r="F224" s="518" t="s">
        <v>390</v>
      </c>
      <c r="G224" s="509"/>
      <c r="H224" s="509"/>
      <c r="I224" s="509"/>
      <c r="J224" s="509">
        <f>IF(ISERROR(VLOOKUP(B224,'Base de Datos'!$C$7:$N$4092,6,0))=TRUE,"Sin Celebrar",(VLOOKUP(B224,'Base de Datos'!$C$7:$N$4092,7,0)))</f>
        <v>8404200</v>
      </c>
      <c r="K224" s="585"/>
      <c r="L224" s="527" t="str">
        <f>IF(J224=$AA$1,E224, " ")</f>
        <v xml:space="preserve"> </v>
      </c>
      <c r="M224" s="527"/>
      <c r="N224" s="527">
        <f>IF(J224&lt;E224,(E224-J224)," ")</f>
        <v>2427800</v>
      </c>
      <c r="O224" s="691" t="str">
        <f>IF(ISERROR(VLOOKUP(B224,'Base de Datos'!$C$7:$K$1048576,7,0))=TRUE," ",(VLOOKUP(B224,'Base de Datos'!$C$7:$K$1048576,8,0)))</f>
        <v>SDH-SMINC-064-2015</v>
      </c>
      <c r="P224" s="524">
        <f>IF(ISERROR(VLOOKUP(B224,'Base de Datos'!$C$7:$N$4077,9,0))=TRUE," ",(VLOOKUP(B224,'Base de Datos'!$C$7:$N$4077,10,0)))</f>
        <v>42352</v>
      </c>
      <c r="Q224" s="526" t="s">
        <v>378</v>
      </c>
      <c r="R224" s="524">
        <f>IF(ISERROR(VLOOKUP(B224,'Base de Datos'!$C$7:$N$4077,10,0))=TRUE," ",(VLOOKUP(B224,'Base de Datos'!$C$7:$N$4077,11,0)))</f>
        <v>42383</v>
      </c>
      <c r="S224" s="524">
        <f>IF(ISERROR(VLOOKUP(B224,'Base de Datos'!$C$7:$N$4077,11,0))=TRUE," ",(VLOOKUP(B224,'Base de Datos'!$C$7:$N$4077,12,0)))</f>
        <v>42443</v>
      </c>
      <c r="T224" s="506"/>
      <c r="U224" s="694"/>
      <c r="V224" s="607"/>
    </row>
    <row r="225" spans="2:22" s="588" customFormat="1" ht="15" customHeight="1" outlineLevel="1" x14ac:dyDescent="0.3">
      <c r="B225" s="703"/>
      <c r="C225" s="703"/>
      <c r="D225" s="703"/>
      <c r="E225" s="553"/>
      <c r="F225" s="507"/>
      <c r="G225" s="507"/>
      <c r="H225" s="507"/>
      <c r="I225" s="507"/>
      <c r="J225" s="553"/>
      <c r="K225" s="585"/>
      <c r="L225" s="553"/>
      <c r="M225" s="553"/>
      <c r="N225" s="553"/>
      <c r="O225" s="663"/>
      <c r="P225" s="586"/>
      <c r="Q225" s="587"/>
      <c r="R225" s="586"/>
      <c r="S225" s="586"/>
      <c r="T225" s="587"/>
      <c r="U225" s="694"/>
      <c r="V225" s="607"/>
    </row>
    <row r="226" spans="2:22" ht="15" customHeight="1" x14ac:dyDescent="0.3">
      <c r="B226" s="1241" t="s">
        <v>1687</v>
      </c>
      <c r="C226" s="1241"/>
      <c r="D226" s="1241"/>
      <c r="E226" s="514">
        <v>8242477000</v>
      </c>
      <c r="F226" s="515"/>
      <c r="G226" s="514">
        <f t="shared" ref="G226:N230" si="13">+G227</f>
        <v>7542477000</v>
      </c>
      <c r="H226" s="514">
        <f t="shared" si="13"/>
        <v>0</v>
      </c>
      <c r="I226" s="514">
        <f t="shared" si="13"/>
        <v>7542477000</v>
      </c>
      <c r="J226" s="514">
        <f t="shared" si="13"/>
        <v>7657910202.1999998</v>
      </c>
      <c r="K226" s="556">
        <f t="shared" si="13"/>
        <v>0.92907874686213865</v>
      </c>
      <c r="L226" s="514">
        <f t="shared" si="13"/>
        <v>450477000</v>
      </c>
      <c r="M226" s="549"/>
      <c r="N226" s="514">
        <f t="shared" si="13"/>
        <v>134089797.80000019</v>
      </c>
      <c r="O226" s="647"/>
      <c r="P226" s="549"/>
      <c r="Q226" s="544"/>
      <c r="R226" s="550" t="str">
        <f>IF(ISERROR(VLOOKUP(B226,'Base de Datos'!$C$7:$N$315,9,0))=TRUE," ",(VLOOKUP(B226,'Base de Datos'!$C$7:$N$315,9,0)))</f>
        <v xml:space="preserve"> </v>
      </c>
      <c r="S226" s="550" t="str">
        <f>IF(ISERROR(VLOOKUP(B226,'Base de Datos'!$C$7:$N$315,10,0))=TRUE," ",(VLOOKUP(B226,'Base de Datos'!$C$7:$N$315,10,0)))</f>
        <v xml:space="preserve"> </v>
      </c>
      <c r="T226" s="544"/>
      <c r="U226" s="694"/>
      <c r="V226" s="607"/>
    </row>
    <row r="227" spans="2:22" ht="15" customHeight="1" x14ac:dyDescent="0.3">
      <c r="B227" s="1240" t="s">
        <v>1686</v>
      </c>
      <c r="C227" s="1240"/>
      <c r="D227" s="1240"/>
      <c r="E227" s="512">
        <v>8242477000</v>
      </c>
      <c r="F227" s="513"/>
      <c r="G227" s="516">
        <f t="shared" si="13"/>
        <v>7542477000</v>
      </c>
      <c r="H227" s="516">
        <f t="shared" si="13"/>
        <v>0</v>
      </c>
      <c r="I227" s="516">
        <f t="shared" si="13"/>
        <v>7542477000</v>
      </c>
      <c r="J227" s="516">
        <f t="shared" si="13"/>
        <v>7657910202.1999998</v>
      </c>
      <c r="K227" s="574">
        <f t="shared" si="13"/>
        <v>0.92907874686213865</v>
      </c>
      <c r="L227" s="516">
        <f t="shared" si="13"/>
        <v>450477000</v>
      </c>
      <c r="M227" s="516"/>
      <c r="N227" s="516">
        <f t="shared" si="13"/>
        <v>134089797.80000019</v>
      </c>
      <c r="O227" s="662"/>
      <c r="P227" s="548" t="str">
        <f>IF(ISERROR(VLOOKUP(B227,'Base de Datos'!$C$7:$N$315,8,0))=TRUE," ",(VLOOKUP(B227,'Base de Datos'!$C$7:$N$315,8,0)))</f>
        <v xml:space="preserve"> </v>
      </c>
      <c r="Q227" s="542"/>
      <c r="R227" s="548" t="str">
        <f>IF(ISERROR(VLOOKUP(B227,'Base de Datos'!$C$7:$N$315,9,0))=TRUE," ",(VLOOKUP(B227,'Base de Datos'!$C$7:$N$315,9,0)))</f>
        <v xml:space="preserve"> </v>
      </c>
      <c r="S227" s="548" t="str">
        <f>IF(ISERROR(VLOOKUP(B227,'Base de Datos'!$C$7:$N$315,10,0))=TRUE," ",(VLOOKUP(B227,'Base de Datos'!$C$7:$N$315,10,0)))</f>
        <v xml:space="preserve"> </v>
      </c>
      <c r="T227" s="542"/>
      <c r="U227" s="694"/>
      <c r="V227" s="607"/>
    </row>
    <row r="228" spans="2:22" ht="15" customHeight="1" x14ac:dyDescent="0.3">
      <c r="B228" s="1238" t="s">
        <v>1675</v>
      </c>
      <c r="C228" s="1238"/>
      <c r="D228" s="1238"/>
      <c r="E228" s="516">
        <v>8242477000</v>
      </c>
      <c r="F228" s="513"/>
      <c r="G228" s="516">
        <f t="shared" si="13"/>
        <v>7542477000</v>
      </c>
      <c r="H228" s="516">
        <f t="shared" si="13"/>
        <v>0</v>
      </c>
      <c r="I228" s="516">
        <f t="shared" si="13"/>
        <v>7542477000</v>
      </c>
      <c r="J228" s="516">
        <f t="shared" si="13"/>
        <v>7657910202.1999998</v>
      </c>
      <c r="K228" s="574">
        <f t="shared" si="13"/>
        <v>0.92907874686213865</v>
      </c>
      <c r="L228" s="516">
        <f t="shared" si="13"/>
        <v>450477000</v>
      </c>
      <c r="M228" s="516"/>
      <c r="N228" s="516">
        <f t="shared" si="13"/>
        <v>134089797.80000019</v>
      </c>
      <c r="O228" s="662"/>
      <c r="P228" s="548" t="str">
        <f>IF(ISERROR(VLOOKUP(B228,'Base de Datos'!$C$7:$N$315,8,0))=TRUE," ",(VLOOKUP(B228,'Base de Datos'!$C$7:$N$315,8,0)))</f>
        <v xml:space="preserve"> </v>
      </c>
      <c r="Q228" s="542"/>
      <c r="R228" s="548" t="str">
        <f>IF(ISERROR(VLOOKUP(B228,'Base de Datos'!$C$7:$N$315,9,0))=TRUE," ",(VLOOKUP(B228,'Base de Datos'!$C$7:$N$315,9,0)))</f>
        <v xml:space="preserve"> </v>
      </c>
      <c r="S228" s="548" t="str">
        <f>IF(ISERROR(VLOOKUP(B228,'Base de Datos'!$C$7:$N$315,10,0))=TRUE," ",(VLOOKUP(B228,'Base de Datos'!$C$7:$N$315,10,0)))</f>
        <v xml:space="preserve"> </v>
      </c>
      <c r="T228" s="542"/>
      <c r="U228" s="694"/>
      <c r="V228" s="607"/>
    </row>
    <row r="229" spans="2:22" ht="15" customHeight="1" x14ac:dyDescent="0.3">
      <c r="B229" s="1238" t="s">
        <v>1836</v>
      </c>
      <c r="C229" s="1238"/>
      <c r="D229" s="1238"/>
      <c r="E229" s="516">
        <v>8242477000</v>
      </c>
      <c r="F229" s="513"/>
      <c r="G229" s="516">
        <f t="shared" si="13"/>
        <v>7542477000</v>
      </c>
      <c r="H229" s="516">
        <f t="shared" si="13"/>
        <v>0</v>
      </c>
      <c r="I229" s="516">
        <f t="shared" si="13"/>
        <v>7542477000</v>
      </c>
      <c r="J229" s="516">
        <f t="shared" si="13"/>
        <v>7657910202.1999998</v>
      </c>
      <c r="K229" s="574">
        <f t="shared" si="13"/>
        <v>0.92907874686213865</v>
      </c>
      <c r="L229" s="516">
        <f t="shared" si="13"/>
        <v>450477000</v>
      </c>
      <c r="M229" s="516"/>
      <c r="N229" s="516">
        <f t="shared" si="13"/>
        <v>134089797.80000019</v>
      </c>
      <c r="O229" s="662"/>
      <c r="P229" s="548" t="str">
        <f>IF(ISERROR(VLOOKUP(B229,'Base de Datos'!$C$7:$N$315,8,0))=TRUE," ",(VLOOKUP(B229,'Base de Datos'!$C$7:$N$315,8,0)))</f>
        <v xml:space="preserve"> </v>
      </c>
      <c r="Q229" s="542"/>
      <c r="R229" s="548" t="str">
        <f>IF(ISERROR(VLOOKUP(B229,'Base de Datos'!$C$7:$N$315,9,0))=TRUE," ",(VLOOKUP(B229,'Base de Datos'!$C$7:$N$315,9,0)))</f>
        <v xml:space="preserve"> </v>
      </c>
      <c r="S229" s="548" t="str">
        <f>IF(ISERROR(VLOOKUP(B229,'Base de Datos'!$C$7:$N$315,10,0))=TRUE," ",(VLOOKUP(B229,'Base de Datos'!$C$7:$N$315,10,0)))</f>
        <v xml:space="preserve"> </v>
      </c>
      <c r="T229" s="542"/>
      <c r="U229" s="694"/>
      <c r="V229" s="607"/>
    </row>
    <row r="230" spans="2:22" ht="15" customHeight="1" x14ac:dyDescent="0.3">
      <c r="B230" s="1238" t="s">
        <v>1835</v>
      </c>
      <c r="C230" s="1238"/>
      <c r="D230" s="1238"/>
      <c r="E230" s="516">
        <v>8242477000</v>
      </c>
      <c r="F230" s="513"/>
      <c r="G230" s="516">
        <f t="shared" si="13"/>
        <v>7542477000</v>
      </c>
      <c r="H230" s="516">
        <f t="shared" si="13"/>
        <v>0</v>
      </c>
      <c r="I230" s="516">
        <f t="shared" si="13"/>
        <v>7542477000</v>
      </c>
      <c r="J230" s="516">
        <f t="shared" si="13"/>
        <v>7657910202.1999998</v>
      </c>
      <c r="K230" s="574">
        <f t="shared" si="13"/>
        <v>0.92907874686213865</v>
      </c>
      <c r="L230" s="516">
        <f t="shared" si="13"/>
        <v>450477000</v>
      </c>
      <c r="M230" s="516"/>
      <c r="N230" s="516">
        <f t="shared" si="13"/>
        <v>134089797.80000019</v>
      </c>
      <c r="O230" s="662"/>
      <c r="P230" s="548" t="str">
        <f>IF(ISERROR(VLOOKUP(B230,'Base de Datos'!$C$7:$N$315,8,0))=TRUE," ",(VLOOKUP(B230,'Base de Datos'!$C$7:$N$315,8,0)))</f>
        <v xml:space="preserve"> </v>
      </c>
      <c r="Q230" s="542"/>
      <c r="R230" s="548" t="str">
        <f>IF(ISERROR(VLOOKUP(B230,'Base de Datos'!$C$7:$N$315,9,0))=TRUE," ",(VLOOKUP(B230,'Base de Datos'!$C$7:$N$315,9,0)))</f>
        <v xml:space="preserve"> </v>
      </c>
      <c r="S230" s="548" t="str">
        <f>IF(ISERROR(VLOOKUP(B230,'Base de Datos'!$C$7:$N$315,10,0))=TRUE," ",(VLOOKUP(B230,'Base de Datos'!$C$7:$N$315,10,0)))</f>
        <v xml:space="preserve"> </v>
      </c>
      <c r="T230" s="542"/>
      <c r="U230" s="694"/>
      <c r="V230" s="607"/>
    </row>
    <row r="231" spans="2:22" ht="15" customHeight="1" x14ac:dyDescent="0.3">
      <c r="B231" s="1239" t="s">
        <v>1873</v>
      </c>
      <c r="C231" s="1239"/>
      <c r="D231" s="1239"/>
      <c r="E231" s="554">
        <v>8242477000</v>
      </c>
      <c r="F231" s="559">
        <f>COUNTIF('Actualizada - presupuesto'!$E$7:$E$111,B231)</f>
        <v>0</v>
      </c>
      <c r="G231" s="554">
        <v>7542477000</v>
      </c>
      <c r="H231" s="559"/>
      <c r="I231" s="554">
        <v>7542477000</v>
      </c>
      <c r="J231" s="554">
        <f>+J233+J241</f>
        <v>7657910202.1999998</v>
      </c>
      <c r="K231" s="576">
        <f>J231/E231</f>
        <v>0.92907874686213865</v>
      </c>
      <c r="L231" s="554">
        <f>+L233+L241</f>
        <v>450477000</v>
      </c>
      <c r="M231" s="554"/>
      <c r="N231" s="554">
        <f>+E231-J231-L231</f>
        <v>134089797.80000019</v>
      </c>
      <c r="O231" s="657"/>
      <c r="P231" s="564" t="str">
        <f>IF(ISERROR(VLOOKUP(B231,'Base de Datos'!$C$7:$N$315,8,0))=TRUE," ",(VLOOKUP(B231,'Base de Datos'!$C$7:$N$315,8,0)))</f>
        <v xml:space="preserve"> </v>
      </c>
      <c r="Q231" s="565"/>
      <c r="R231" s="564" t="str">
        <f>IF(ISERROR(VLOOKUP(B231,'Base de Datos'!$C$7:$N$315,9,0))=TRUE," ",(VLOOKUP(B231,'Base de Datos'!$C$7:$N$315,9,0)))</f>
        <v xml:space="preserve"> </v>
      </c>
      <c r="S231" s="564" t="str">
        <f>IF(ISERROR(VLOOKUP(B231,'Base de Datos'!$C$7:$N$315,10,0))=TRUE," ",(VLOOKUP(B231,'Base de Datos'!$C$7:$N$315,10,0)))</f>
        <v xml:space="preserve"> </v>
      </c>
      <c r="T231" s="565"/>
      <c r="U231" s="694"/>
      <c r="V231" s="607"/>
    </row>
    <row r="232" spans="2:22" ht="22.8" outlineLevel="1" x14ac:dyDescent="0.3">
      <c r="B232" s="510" t="s">
        <v>1692</v>
      </c>
      <c r="C232" s="510" t="s">
        <v>912</v>
      </c>
      <c r="D232" s="510" t="s">
        <v>1821</v>
      </c>
      <c r="E232" s="518" t="s">
        <v>1845</v>
      </c>
      <c r="F232" s="507" t="s">
        <v>1852</v>
      </c>
      <c r="G232" s="507"/>
      <c r="H232" s="507"/>
      <c r="I232" s="507"/>
      <c r="J232" s="510" t="s">
        <v>1844</v>
      </c>
      <c r="K232" s="625"/>
      <c r="L232" s="510" t="s">
        <v>1938</v>
      </c>
      <c r="M232" s="510"/>
      <c r="N232" s="510" t="s">
        <v>1939</v>
      </c>
      <c r="O232" s="650"/>
      <c r="P232" s="541" t="s">
        <v>1846</v>
      </c>
      <c r="Q232" s="510" t="s">
        <v>1847</v>
      </c>
      <c r="R232" s="510" t="s">
        <v>1848</v>
      </c>
      <c r="S232" s="510" t="s">
        <v>375</v>
      </c>
      <c r="T232" s="510" t="s">
        <v>1849</v>
      </c>
      <c r="U232" s="694"/>
      <c r="V232" s="607"/>
    </row>
    <row r="233" spans="2:22" ht="12" outlineLevel="1" x14ac:dyDescent="0.3">
      <c r="B233" s="589"/>
      <c r="C233" s="1240" t="s">
        <v>1909</v>
      </c>
      <c r="D233" s="1240"/>
      <c r="E233" s="591">
        <f>+E234</f>
        <v>400000000</v>
      </c>
      <c r="F233" s="513"/>
      <c r="G233" s="513"/>
      <c r="H233" s="513"/>
      <c r="I233" s="591">
        <v>400000000</v>
      </c>
      <c r="J233" s="595">
        <f>+J234</f>
        <v>398880000</v>
      </c>
      <c r="K233" s="574">
        <f>+J233/I233</f>
        <v>0.99719999999999998</v>
      </c>
      <c r="L233" s="595">
        <f>+L234</f>
        <v>0</v>
      </c>
      <c r="M233" s="516"/>
      <c r="N233" s="595">
        <f>+N234</f>
        <v>1120000</v>
      </c>
      <c r="O233" s="665"/>
      <c r="P233" s="548" t="str">
        <f>IF(ISERROR(VLOOKUP(B233,'Base de Datos'!$C$7:$N$315,8,0))=TRUE," ",(VLOOKUP(B233,'Base de Datos'!$C$7:$N$315,8,0)))</f>
        <v xml:space="preserve"> </v>
      </c>
      <c r="Q233" s="542"/>
      <c r="R233" s="548" t="str">
        <f>IF(ISERROR(VLOOKUP(B233,'Base de Datos'!$C$7:$N$315,9,0))=TRUE," ",(VLOOKUP(B233,'Base de Datos'!$C$7:$N$315,9,0)))</f>
        <v xml:space="preserve"> </v>
      </c>
      <c r="S233" s="548" t="str">
        <f>IF(ISERROR(VLOOKUP(B233,'Base de Datos'!$C$7:$N$315,10,0))=TRUE," ",(VLOOKUP(B233,'Base de Datos'!$C$7:$N$315,10,0)))</f>
        <v xml:space="preserve"> </v>
      </c>
      <c r="T233" s="542"/>
      <c r="U233" s="694"/>
      <c r="V233" s="607"/>
    </row>
    <row r="234" spans="2:22" ht="31.5" customHeight="1" outlineLevel="1" x14ac:dyDescent="0.3">
      <c r="B234" s="510"/>
      <c r="C234" s="1255" t="s">
        <v>1910</v>
      </c>
      <c r="D234" s="1256"/>
      <c r="E234" s="610">
        <v>400000000</v>
      </c>
      <c r="F234" s="609"/>
      <c r="G234" s="609"/>
      <c r="H234" s="609"/>
      <c r="I234" s="609"/>
      <c r="J234" s="611">
        <f>SUM(J235:J239)</f>
        <v>398880000</v>
      </c>
      <c r="K234" s="610"/>
      <c r="L234" s="611">
        <f>SUM(L235:L239)</f>
        <v>0</v>
      </c>
      <c r="M234" s="612"/>
      <c r="N234" s="611">
        <f>+E234-J234-L234</f>
        <v>1120000</v>
      </c>
      <c r="O234" s="666"/>
      <c r="P234" s="613" t="str">
        <f>IF(ISERROR(VLOOKUP(B234,'Base de Datos'!$C$7:$N$315,8,0))=TRUE," ",(VLOOKUP(B234,'Base de Datos'!$C$7:$N$315,8,0)))</f>
        <v xml:space="preserve"> </v>
      </c>
      <c r="Q234" s="614"/>
      <c r="R234" s="613" t="str">
        <f>IF(ISERROR(VLOOKUP(B234,'Base de Datos'!$C$7:$N$315,9,0))=TRUE," ",(VLOOKUP(B234,'Base de Datos'!$C$7:$N$315,9,0)))</f>
        <v xml:space="preserve"> </v>
      </c>
      <c r="S234" s="613" t="str">
        <f>IF(ISERROR(VLOOKUP(B234,'Base de Datos'!$C$7:$N$315,10,0))=TRUE," ",(VLOOKUP(B234,'Base de Datos'!$C$7:$N$315,10,0)))</f>
        <v xml:space="preserve"> </v>
      </c>
      <c r="T234" s="614"/>
      <c r="U234" s="694"/>
      <c r="V234" s="607"/>
    </row>
    <row r="235" spans="2:22" ht="13.5" customHeight="1" outlineLevel="1" x14ac:dyDescent="0.3">
      <c r="B235" s="600">
        <v>298</v>
      </c>
      <c r="C235" s="506" t="str">
        <f>IF(ISERROR(VLOOKUP(B235,'Base de Datos'!$C$7:$F$4092,2,0))=TRUE,"",(VLOOKUP('Presupuesto - PAA 2015'!B235,'Base de Datos'!$C$7:$F$4092,3,0)))</f>
        <v>150245-0-2015</v>
      </c>
      <c r="D235" s="506" t="str">
        <f>IF(ISERROR(VLOOKUP(B235,'Base de Datos'!$C$7:$F$4092,3,0))=TRUE,"",(VLOOKUP('Presupuesto - PAA 2015'!B235,'Base de Datos'!$C$7:$F$4092,4,0)))</f>
        <v>SANDRA MARCELA ROJAS MACIAS</v>
      </c>
      <c r="E235" s="509">
        <v>40800000</v>
      </c>
      <c r="F235" s="507" t="s">
        <v>390</v>
      </c>
      <c r="G235" s="507"/>
      <c r="H235" s="507"/>
      <c r="I235" s="507"/>
      <c r="J235" s="509">
        <f>IF(ISERROR(VLOOKUP(B235,'Base de Datos'!$C$7:$N$4092,6,0))=TRUE,"Sin Celebrar",(VLOOKUP(B235,'Base de Datos'!$C$7:$N$4092,7,0)))</f>
        <v>40800000</v>
      </c>
      <c r="K235" s="509"/>
      <c r="L235" s="509" t="str">
        <f>IF(J235=$AA$1,E235, " ")</f>
        <v xml:space="preserve"> </v>
      </c>
      <c r="M235" s="509"/>
      <c r="N235" s="509" t="str">
        <f>IF(J235&lt;E235,(E235-J235)," ")</f>
        <v xml:space="preserve"> </v>
      </c>
      <c r="O235" s="691" t="str">
        <f>IF(ISERROR(VLOOKUP(B235,'Base de Datos'!$C$7:$K$1048576,7,0))=TRUE," ",(VLOOKUP(B235,'Base de Datos'!$C$7:$K$1048576,8,0)))</f>
        <v>150245-0-2015</v>
      </c>
      <c r="P235" s="524">
        <f>IF(ISERROR(VLOOKUP(B235,'Base de Datos'!$C$7:$N$4077,9,0))=TRUE," ",(VLOOKUP(B235,'Base de Datos'!$C$7:$N$4077,10,0)))</f>
        <v>42158</v>
      </c>
      <c r="Q235" s="506" t="s">
        <v>382</v>
      </c>
      <c r="R235" s="524">
        <f>IF(ISERROR(VLOOKUP(B235,'Base de Datos'!$C$7:$N$4077,10,0))=TRUE," ",(VLOOKUP(B235,'Base de Datos'!$C$7:$N$4077,11,0)))</f>
        <v>42160</v>
      </c>
      <c r="S235" s="524">
        <f>IF(ISERROR(VLOOKUP(B235,'Base de Datos'!$C$7:$N$4077,11,0))=TRUE," ",(VLOOKUP(B235,'Base de Datos'!$C$7:$N$4077,12,0)))</f>
        <v>42343</v>
      </c>
      <c r="T235" s="506" t="str">
        <f>VLOOKUP(C235,'Base de Datos'!$E$7:$AU$382,39,0)</f>
        <v>LIQUIDADO</v>
      </c>
      <c r="U235" s="694"/>
      <c r="V235" s="607"/>
    </row>
    <row r="236" spans="2:22" outlineLevel="1" x14ac:dyDescent="0.3">
      <c r="B236" s="600">
        <v>299</v>
      </c>
      <c r="C236" s="506" t="str">
        <f>IF(ISERROR(VLOOKUP(B236,'Base de Datos'!$C$7:$F$4092,2,0))=TRUE,"",(VLOOKUP('Presupuesto - PAA 2015'!B236,'Base de Datos'!$C$7:$F$4092,3,0)))</f>
        <v>150250-0-2015</v>
      </c>
      <c r="D236" s="506" t="str">
        <f>IF(ISERROR(VLOOKUP(B236,'Base de Datos'!$C$7:$F$4092,3,0))=TRUE,"",(VLOOKUP('Presupuesto - PAA 2015'!B236,'Base de Datos'!$C$7:$F$4092,4,0)))</f>
        <v>CRISTIAN CAMILO RAMOS MARTINEZ</v>
      </c>
      <c r="E236" s="509">
        <v>12000000</v>
      </c>
      <c r="F236" s="507" t="s">
        <v>390</v>
      </c>
      <c r="G236" s="507"/>
      <c r="H236" s="507"/>
      <c r="I236" s="507"/>
      <c r="J236" s="509">
        <f>IF(ISERROR(VLOOKUP(B236,'Base de Datos'!$C$7:$N$4092,6,0))=TRUE,"Sin Celebrar",(VLOOKUP(B236,'Base de Datos'!$C$7:$N$4092,7,0)))</f>
        <v>12000000</v>
      </c>
      <c r="K236" s="509"/>
      <c r="L236" s="509" t="str">
        <f>IF(J236=$AA$1,E236, " ")</f>
        <v xml:space="preserve"> </v>
      </c>
      <c r="M236" s="509"/>
      <c r="N236" s="509" t="str">
        <f>IF(J236&lt;E236,(E236-J236)," ")</f>
        <v xml:space="preserve"> </v>
      </c>
      <c r="O236" s="691" t="str">
        <f>IF(ISERROR(VLOOKUP(B236,'Base de Datos'!$C$7:$K$1048576,7,0))=TRUE," ",(VLOOKUP(B236,'Base de Datos'!$C$7:$K$1048576,8,0)))</f>
        <v>150250-0-2015</v>
      </c>
      <c r="P236" s="524">
        <f>IF(ISERROR(VLOOKUP(B236,'Base de Datos'!$C$7:$N$4077,9,0))=TRUE," ",(VLOOKUP(B236,'Base de Datos'!$C$7:$N$4077,10,0)))</f>
        <v>42166</v>
      </c>
      <c r="Q236" s="506" t="s">
        <v>382</v>
      </c>
      <c r="R236" s="524">
        <f>IF(ISERROR(VLOOKUP(B236,'Base de Datos'!$C$7:$N$4077,10,0))=TRUE," ",(VLOOKUP(B236,'Base de Datos'!$C$7:$N$4077,11,0)))</f>
        <v>42173</v>
      </c>
      <c r="S236" s="524">
        <f>IF(ISERROR(VLOOKUP(B236,'Base de Datos'!$C$7:$N$4077,11,0))=TRUE," ",(VLOOKUP(B236,'Base de Datos'!$C$7:$N$4077,12,0)))</f>
        <v>42356</v>
      </c>
      <c r="T236" s="506" t="str">
        <f>VLOOKUP(C236,'Base de Datos'!$E$7:$AU$382,39,0)</f>
        <v>LIQUIDADO</v>
      </c>
      <c r="U236" s="694"/>
      <c r="V236" s="607"/>
    </row>
    <row r="237" spans="2:22" outlineLevel="1" x14ac:dyDescent="0.3">
      <c r="B237" s="600">
        <v>300</v>
      </c>
      <c r="C237" s="506" t="str">
        <f>IF(ISERROR(VLOOKUP(B237,'Base de Datos'!$C$7:$F$4092,2,0))=TRUE,"",(VLOOKUP('Presupuesto - PAA 2015'!B237,'Base de Datos'!$C$7:$F$4092,3,0)))</f>
        <v>150256-0-2015</v>
      </c>
      <c r="D237" s="506" t="str">
        <f>IF(ISERROR(VLOOKUP(B237,'Base de Datos'!$C$7:$F$4092,3,0))=TRUE,"",(VLOOKUP('Presupuesto - PAA 2015'!B237,'Base de Datos'!$C$7:$F$4092,4,0)))</f>
        <v>DAYANNA STEPHANY FERNANDEZ CARRILLO</v>
      </c>
      <c r="E237" s="509">
        <v>12000000</v>
      </c>
      <c r="F237" s="507" t="s">
        <v>390</v>
      </c>
      <c r="G237" s="507"/>
      <c r="H237" s="507"/>
      <c r="I237" s="507"/>
      <c r="J237" s="509">
        <f>IF(ISERROR(VLOOKUP(B237,'Base de Datos'!$C$7:$N$4092,6,0))=TRUE,"Sin Celebrar",(VLOOKUP(B237,'Base de Datos'!$C$7:$N$4092,7,0)))</f>
        <v>12000000</v>
      </c>
      <c r="K237" s="509"/>
      <c r="L237" s="509" t="str">
        <f>IF(J237=$AA$1,E237, " ")</f>
        <v xml:space="preserve"> </v>
      </c>
      <c r="M237" s="509"/>
      <c r="N237" s="509" t="str">
        <f>IF(J237&lt;E237,(E237-J237)," ")</f>
        <v xml:space="preserve"> </v>
      </c>
      <c r="O237" s="691" t="str">
        <f>IF(ISERROR(VLOOKUP(B237,'Base de Datos'!$C$7:$K$1048576,7,0))=TRUE," ",(VLOOKUP(B237,'Base de Datos'!$C$7:$K$1048576,8,0)))</f>
        <v>150256-0-2015</v>
      </c>
      <c r="P237" s="524">
        <f>IF(ISERROR(VLOOKUP(B237,'Base de Datos'!$C$7:$N$4077,9,0))=TRUE," ",(VLOOKUP(B237,'Base de Datos'!$C$7:$N$4077,10,0)))</f>
        <v>42171</v>
      </c>
      <c r="Q237" s="506" t="s">
        <v>382</v>
      </c>
      <c r="R237" s="524">
        <f>IF(ISERROR(VLOOKUP(B237,'Base de Datos'!$C$7:$N$4077,10,0))=TRUE," ",(VLOOKUP(B237,'Base de Datos'!$C$7:$N$4077,11,0)))</f>
        <v>42174</v>
      </c>
      <c r="S237" s="524">
        <f>IF(ISERROR(VLOOKUP(B237,'Base de Datos'!$C$7:$N$4077,11,0))=TRUE," ",(VLOOKUP(B237,'Base de Datos'!$C$7:$N$4077,12,0)))</f>
        <v>42357</v>
      </c>
      <c r="T237" s="506" t="str">
        <f>VLOOKUP(C237,'Base de Datos'!$E$7:$AU$382,39,0)</f>
        <v>LIQUIDADO</v>
      </c>
      <c r="U237" s="694"/>
      <c r="V237" s="607"/>
    </row>
    <row r="238" spans="2:22" outlineLevel="1" x14ac:dyDescent="0.3">
      <c r="B238" s="510"/>
      <c r="C238" s="506" t="s">
        <v>1597</v>
      </c>
      <c r="D238" s="590" t="s">
        <v>1598</v>
      </c>
      <c r="E238" s="509">
        <v>334080000</v>
      </c>
      <c r="F238" s="507" t="s">
        <v>590</v>
      </c>
      <c r="G238" s="507"/>
      <c r="H238" s="507"/>
      <c r="I238" s="507"/>
      <c r="J238" s="509">
        <v>334080000</v>
      </c>
      <c r="K238" s="509"/>
      <c r="L238" s="509" t="str">
        <f>IF(J238=$AA$1,E238, " ")</f>
        <v xml:space="preserve"> </v>
      </c>
      <c r="M238" s="509"/>
      <c r="N238" s="509" t="str">
        <f t="shared" ref="N238:N259" si="14">IF(J238&lt;E238,(E238-J238)," ")</f>
        <v xml:space="preserve"> </v>
      </c>
      <c r="O238" s="691" t="s">
        <v>1976</v>
      </c>
      <c r="P238" s="524">
        <v>42082</v>
      </c>
      <c r="Q238" s="506" t="s">
        <v>382</v>
      </c>
      <c r="R238" s="529">
        <v>42104</v>
      </c>
      <c r="S238" s="529">
        <v>42287</v>
      </c>
      <c r="T238" s="506" t="str">
        <f>VLOOKUP(C238,'Base de Datos'!$E$7:$AU$382,39,0)</f>
        <v>EN TRÁMITE</v>
      </c>
      <c r="U238" s="694"/>
      <c r="V238" s="607"/>
    </row>
    <row r="239" spans="2:22" outlineLevel="1" x14ac:dyDescent="0.3">
      <c r="B239" s="510"/>
      <c r="C239" s="506"/>
      <c r="D239" s="590" t="s">
        <v>1934</v>
      </c>
      <c r="E239" s="509">
        <f>+E234-SUM(E235:E238)</f>
        <v>1120000</v>
      </c>
      <c r="F239" s="507"/>
      <c r="G239" s="507"/>
      <c r="H239" s="507"/>
      <c r="I239" s="507"/>
      <c r="J239" s="509"/>
      <c r="K239" s="509"/>
      <c r="L239" s="509"/>
      <c r="M239" s="509"/>
      <c r="N239" s="509">
        <f t="shared" si="14"/>
        <v>1120000</v>
      </c>
      <c r="O239" s="651"/>
      <c r="P239" s="524" t="str">
        <f>IF(ISERROR(VLOOKUP(B239,'Base de Datos'!$C$7:$N$315,8,0))=TRUE," ",(VLOOKUP(B239,'Base de Datos'!$C$7:$N$315,8,0)))</f>
        <v xml:space="preserve"> </v>
      </c>
      <c r="Q239" s="506"/>
      <c r="R239" s="524" t="str">
        <f>IF(ISERROR(VLOOKUP(B239,'Base de Datos'!$C$7:$N$315,9,0))=TRUE," ",(VLOOKUP(B239,'Base de Datos'!$C$7:$N$315,9,0)))</f>
        <v xml:space="preserve"> </v>
      </c>
      <c r="S239" s="524" t="str">
        <f>IF(ISERROR(VLOOKUP(B239,'Base de Datos'!$C$7:$N$315,10,0))=TRUE," ",(VLOOKUP(B239,'Base de Datos'!$C$7:$N$315,10,0)))</f>
        <v xml:space="preserve"> </v>
      </c>
      <c r="T239" s="506"/>
      <c r="U239" s="694"/>
      <c r="V239" s="607"/>
    </row>
    <row r="240" spans="2:22" outlineLevel="1" x14ac:dyDescent="0.3">
      <c r="B240" s="510"/>
      <c r="C240" s="506"/>
      <c r="D240" s="590"/>
      <c r="E240" s="509"/>
      <c r="F240" s="507"/>
      <c r="G240" s="507"/>
      <c r="H240" s="507"/>
      <c r="I240" s="507"/>
      <c r="J240" s="509"/>
      <c r="K240" s="509"/>
      <c r="L240" s="509"/>
      <c r="M240" s="509"/>
      <c r="N240" s="509" t="str">
        <f t="shared" si="14"/>
        <v xml:space="preserve"> </v>
      </c>
      <c r="O240" s="651"/>
      <c r="P240" s="524" t="str">
        <f>IF(ISERROR(VLOOKUP(B240,'Base de Datos'!$C$7:$N$315,8,0))=TRUE," ",(VLOOKUP(B240,'Base de Datos'!$C$7:$N$315,8,0)))</f>
        <v xml:space="preserve"> </v>
      </c>
      <c r="Q240" s="506"/>
      <c r="R240" s="524" t="str">
        <f>IF(ISERROR(VLOOKUP(B240,'Base de Datos'!$C$7:$N$315,9,0))=TRUE," ",(VLOOKUP(B240,'Base de Datos'!$C$7:$N$315,9,0)))</f>
        <v xml:space="preserve"> </v>
      </c>
      <c r="S240" s="524" t="str">
        <f>IF(ISERROR(VLOOKUP(B240,'Base de Datos'!$C$7:$N$315,10,0))=TRUE," ",(VLOOKUP(B240,'Base de Datos'!$C$7:$N$315,10,0)))</f>
        <v xml:space="preserve"> </v>
      </c>
      <c r="T240" s="506"/>
      <c r="U240" s="694"/>
      <c r="V240" s="607"/>
    </row>
    <row r="241" spans="2:22" ht="24" customHeight="1" outlineLevel="1" x14ac:dyDescent="0.3">
      <c r="B241" s="589"/>
      <c r="C241" s="1240" t="s">
        <v>1913</v>
      </c>
      <c r="D241" s="1240"/>
      <c r="E241" s="516">
        <f>+E242+E244+E249+E251+E264</f>
        <v>7722182796</v>
      </c>
      <c r="F241" s="604"/>
      <c r="G241" s="513"/>
      <c r="H241" s="513"/>
      <c r="I241" s="513"/>
      <c r="J241" s="516">
        <f>+J242+J244+J249+J251+J264</f>
        <v>7259030202.1999998</v>
      </c>
      <c r="K241" s="574">
        <f>+J241/E241</f>
        <v>0.94002309890411972</v>
      </c>
      <c r="L241" s="516">
        <f>+L242+L244+L249+L251+L264</f>
        <v>450477000</v>
      </c>
      <c r="M241" s="509"/>
      <c r="N241" s="516">
        <f>+E241-J241-L241</f>
        <v>12675593.800000191</v>
      </c>
      <c r="O241" s="662"/>
      <c r="P241" s="548" t="str">
        <f>IF(ISERROR(VLOOKUP(B241,'Base de Datos'!$C$7:$N$315,8,0))=TRUE," ",(VLOOKUP(B241,'Base de Datos'!$C$7:$N$315,8,0)))</f>
        <v xml:space="preserve"> </v>
      </c>
      <c r="Q241" s="542"/>
      <c r="R241" s="548" t="str">
        <f>IF(ISERROR(VLOOKUP(B241,'Base de Datos'!$C$7:$N$315,9,0))=TRUE," ",(VLOOKUP(B241,'Base de Datos'!$C$7:$N$315,9,0)))</f>
        <v xml:space="preserve"> </v>
      </c>
      <c r="S241" s="548" t="str">
        <f>IF(ISERROR(VLOOKUP(B241,'Base de Datos'!$C$7:$N$315,10,0))=TRUE," ",(VLOOKUP(B241,'Base de Datos'!$C$7:$N$315,10,0)))</f>
        <v xml:space="preserve"> </v>
      </c>
      <c r="T241" s="542"/>
      <c r="U241" s="694"/>
      <c r="V241" s="607"/>
    </row>
    <row r="242" spans="2:22" ht="24.75" customHeight="1" outlineLevel="1" x14ac:dyDescent="0.3">
      <c r="B242" s="510"/>
      <c r="C242" s="1259" t="s">
        <v>1914</v>
      </c>
      <c r="D242" s="1259"/>
      <c r="E242" s="592">
        <v>450477000</v>
      </c>
      <c r="F242" s="702"/>
      <c r="G242" s="594"/>
      <c r="H242" s="594"/>
      <c r="I242" s="594"/>
      <c r="J242" s="593">
        <f>SUM(J243)</f>
        <v>0</v>
      </c>
      <c r="K242" s="596">
        <f>+J242/E242</f>
        <v>0</v>
      </c>
      <c r="L242" s="593">
        <f>SUM(L243)</f>
        <v>450477000</v>
      </c>
      <c r="M242" s="592"/>
      <c r="N242" s="622">
        <f>SUM(N243)</f>
        <v>0</v>
      </c>
      <c r="O242" s="667"/>
      <c r="P242" s="598" t="str">
        <f>IF(ISERROR(VLOOKUP(B242,'Base de Datos'!$C$7:$N$315,8,0))=TRUE," ",(VLOOKUP(B242,'Base de Datos'!$C$7:$N$315,8,0)))</f>
        <v xml:space="preserve"> </v>
      </c>
      <c r="Q242" s="702"/>
      <c r="R242" s="598" t="str">
        <f>IF(ISERROR(VLOOKUP(B242,'Base de Datos'!$C$7:$N$315,9,0))=TRUE," ",(VLOOKUP(B242,'Base de Datos'!$C$7:$N$315,9,0)))</f>
        <v xml:space="preserve"> </v>
      </c>
      <c r="S242" s="598" t="str">
        <f>IF(ISERROR(VLOOKUP(B242,'Base de Datos'!$C$7:$N$315,10,0))=TRUE," ",(VLOOKUP(B242,'Base de Datos'!$C$7:$N$315,10,0)))</f>
        <v xml:space="preserve"> </v>
      </c>
      <c r="T242" s="702"/>
      <c r="U242" s="694"/>
      <c r="V242" s="607"/>
    </row>
    <row r="243" spans="2:22" ht="15" customHeight="1" outlineLevel="1" x14ac:dyDescent="0.3">
      <c r="B243" s="510">
        <v>213</v>
      </c>
      <c r="C243" s="590"/>
      <c r="D243" s="590" t="s">
        <v>1915</v>
      </c>
      <c r="E243" s="553">
        <v>450477000</v>
      </c>
      <c r="F243" s="507" t="str">
        <f>VLOOKUP(B243,'Actualizada - presupuesto'!$D$7:$L$111,9,0)</f>
        <v>SI</v>
      </c>
      <c r="G243" s="507"/>
      <c r="H243" s="507"/>
      <c r="I243" s="507"/>
      <c r="J243" s="509" t="str">
        <f>IF(ISERROR(VLOOKUP(B243,'Base de Datos'!$C$7:$N$315,6,0))=TRUE,"Sin Celebrar",(VLOOKUP(B243,'Base de Datos'!$C$7:$N$315,6,0)))</f>
        <v>Sin Celebrar</v>
      </c>
      <c r="K243" s="509"/>
      <c r="L243" s="509">
        <f>IF(J243=$AA$1,E243, " ")</f>
        <v>450477000</v>
      </c>
      <c r="M243" s="509"/>
      <c r="N243" s="527" t="str">
        <f>IF(J243&lt;E243,(E243-J243)," ")</f>
        <v xml:space="preserve"> </v>
      </c>
      <c r="O243" s="652"/>
      <c r="P243" s="524" t="str">
        <f>IF(ISERROR(VLOOKUP(B243,'Base de Datos'!$C$7:$N$315,8,0))=TRUE," ",(VLOOKUP(B243,'Base de Datos'!$C$7:$N$315,8,0)))</f>
        <v xml:space="preserve"> </v>
      </c>
      <c r="Q243" s="506"/>
      <c r="R243" s="524" t="str">
        <f>IF(ISERROR(VLOOKUP(B243,'Base de Datos'!$C$7:$N$315,9,0))=TRUE," ",(VLOOKUP(B243,'Base de Datos'!$C$7:$N$315,9,0)))</f>
        <v xml:space="preserve"> </v>
      </c>
      <c r="S243" s="524" t="str">
        <f>IF(ISERROR(VLOOKUP(B243,'Base de Datos'!$C$7:$N$315,10,0))=TRUE," ",(VLOOKUP(B243,'Base de Datos'!$C$7:$N$315,10,0)))</f>
        <v xml:space="preserve"> </v>
      </c>
      <c r="T243" s="506" t="e">
        <f>VLOOKUP(C243,'Base de Datos'!$E$7:$AU$382,39,0)</f>
        <v>#N/A</v>
      </c>
      <c r="U243" s="694"/>
      <c r="V243" s="607"/>
    </row>
    <row r="244" spans="2:22" ht="27" customHeight="1" outlineLevel="1" x14ac:dyDescent="0.3">
      <c r="B244" s="510"/>
      <c r="C244" s="1259" t="s">
        <v>1916</v>
      </c>
      <c r="D244" s="1259"/>
      <c r="E244" s="592">
        <f>SUM(E245:E248)</f>
        <v>466869877</v>
      </c>
      <c r="F244" s="594"/>
      <c r="G244" s="594"/>
      <c r="H244" s="594"/>
      <c r="I244" s="594"/>
      <c r="J244" s="592">
        <f>SUM(J245:J248)</f>
        <v>466869877</v>
      </c>
      <c r="K244" s="596">
        <f>+J244/E244</f>
        <v>1</v>
      </c>
      <c r="L244" s="592">
        <f>SUM(L245:L248)</f>
        <v>0</v>
      </c>
      <c r="M244" s="592"/>
      <c r="N244" s="592">
        <f>+E244-J244-L244</f>
        <v>0</v>
      </c>
      <c r="O244" s="667"/>
      <c r="P244" s="598" t="str">
        <f>IF(ISERROR(VLOOKUP(B244,'Base de Datos'!$C$7:$N$315,8,0))=TRUE," ",(VLOOKUP(B244,'Base de Datos'!$C$7:$N$315,8,0)))</f>
        <v xml:space="preserve"> </v>
      </c>
      <c r="Q244" s="702"/>
      <c r="R244" s="598" t="str">
        <f>IF(ISERROR(VLOOKUP(B244,'Base de Datos'!$C$7:$N$315,9,0))=TRUE," ",(VLOOKUP(B244,'Base de Datos'!$C$7:$N$315,9,0)))</f>
        <v xml:space="preserve"> </v>
      </c>
      <c r="S244" s="598" t="str">
        <f>IF(ISERROR(VLOOKUP(B244,'Base de Datos'!$C$7:$N$315,10,0))=TRUE," ",(VLOOKUP(B244,'Base de Datos'!$C$7:$N$315,10,0)))</f>
        <v xml:space="preserve"> </v>
      </c>
      <c r="T244" s="702"/>
      <c r="U244" s="694"/>
      <c r="V244" s="607"/>
    </row>
    <row r="245" spans="2:22" outlineLevel="1" x14ac:dyDescent="0.3">
      <c r="B245" s="510">
        <v>208</v>
      </c>
      <c r="C245" s="506" t="str">
        <f>IF(ISERROR(VLOOKUP(B245,'Base de Datos'!$C$7:$F$4092,2,0))=TRUE,"",(VLOOKUP('Presupuesto - PAA 2015'!B245,'Base de Datos'!$C$7:$F$4092,3,0)))</f>
        <v>150192-0-2015</v>
      </c>
      <c r="D245" s="506" t="str">
        <f>IF(ISERROR(VLOOKUP(B245,'Base de Datos'!$C$7:$F$4092,3,0))=TRUE,"",(VLOOKUP('Presupuesto - PAA 2015'!B245,'Base de Datos'!$C$7:$F$4092,4,0)))</f>
        <v>INVERSIONES MATAY SAS</v>
      </c>
      <c r="E245" s="509">
        <v>379200000</v>
      </c>
      <c r="F245" s="507" t="str">
        <f>VLOOKUP(B245,'Actualizada - presupuesto'!$D$7:$L$111,9,0)</f>
        <v>SI</v>
      </c>
      <c r="G245" s="507"/>
      <c r="H245" s="507"/>
      <c r="I245" s="507"/>
      <c r="J245" s="509">
        <f>IF(ISERROR(VLOOKUP(B245,'Base de Datos'!$C$7:$N$4092,6,0))=TRUE,"Sin Celebrar",(VLOOKUP(B245,'Base de Datos'!$C$7:$N$4092,7,0)))</f>
        <v>379200000</v>
      </c>
      <c r="K245" s="509"/>
      <c r="L245" s="509" t="str">
        <f t="shared" ref="L245:L259" si="15">IF(J245=$AA$1,E245, " ")</f>
        <v xml:space="preserve"> </v>
      </c>
      <c r="M245" s="509"/>
      <c r="N245" s="509" t="str">
        <f t="shared" si="14"/>
        <v xml:space="preserve"> </v>
      </c>
      <c r="O245" s="691" t="str">
        <f>IF(ISERROR(VLOOKUP(B245,'Base de Datos'!$C$7:$K$1048576,7,0))=TRUE," ",(VLOOKUP(B245,'Base de Datos'!$C$7:$K$1048576,8,0)))</f>
        <v>150192-0-2015</v>
      </c>
      <c r="P245" s="524">
        <f>IF(ISERROR(VLOOKUP(B245,'Base de Datos'!$C$7:$N$4077,9,0))=TRUE," ",(VLOOKUP(B245,'Base de Datos'!$C$7:$N$4077,10,0)))</f>
        <v>42109</v>
      </c>
      <c r="Q245" s="506" t="s">
        <v>1853</v>
      </c>
      <c r="R245" s="524">
        <f>IF(ISERROR(VLOOKUP(B245,'Base de Datos'!$C$7:$N$4077,10,0))=TRUE," ",(VLOOKUP(B245,'Base de Datos'!$C$7:$N$4077,11,0)))</f>
        <v>42109</v>
      </c>
      <c r="S245" s="524">
        <f>IF(ISERROR(VLOOKUP(B245,'Base de Datos'!$C$7:$N$4077,11,0))=TRUE," ",(VLOOKUP(B245,'Base de Datos'!$C$7:$N$4077,12,0)))</f>
        <v>42429</v>
      </c>
      <c r="T245" s="506" t="str">
        <f>VLOOKUP(C245,'Base de Datos'!$E$7:$AU$382,39,0)</f>
        <v>LIQUIDADO</v>
      </c>
      <c r="U245" s="694"/>
      <c r="V245" s="607"/>
    </row>
    <row r="246" spans="2:22" outlineLevel="1" x14ac:dyDescent="0.3">
      <c r="B246" s="510">
        <v>263</v>
      </c>
      <c r="C246" s="506" t="s">
        <v>307</v>
      </c>
      <c r="D246" s="590" t="s">
        <v>1919</v>
      </c>
      <c r="E246" s="509">
        <v>87669877</v>
      </c>
      <c r="F246" s="507" t="str">
        <f>VLOOKUP(B246,'Actualizada - presupuesto'!$D$7:$L$111,9,0)</f>
        <v>SI</v>
      </c>
      <c r="G246" s="507"/>
      <c r="H246" s="507"/>
      <c r="I246" s="507"/>
      <c r="J246" s="509">
        <v>87669877</v>
      </c>
      <c r="K246" s="509"/>
      <c r="L246" s="509" t="str">
        <f t="shared" si="15"/>
        <v xml:space="preserve"> </v>
      </c>
      <c r="M246" s="509"/>
      <c r="N246" s="509" t="str">
        <f t="shared" si="14"/>
        <v xml:space="preserve"> </v>
      </c>
      <c r="O246" s="691">
        <f>IF(ISERROR(VLOOKUP(B246,'Base de Datos'!$C$7:$K$1048576,7,0))=TRUE," ",(VLOOKUP(B246,'Base de Datos'!$C$7:$K$1048576,7,0)))</f>
        <v>44000000</v>
      </c>
      <c r="P246" s="524" t="str">
        <f>IF(ISERROR(VLOOKUP(B246,'Base de Datos'!$C$7:$N$315,9,0))=TRUE," ",(VLOOKUP(B246,'Base de Datos'!$C$7:$N$315,9,0)))</f>
        <v xml:space="preserve"> </v>
      </c>
      <c r="Q246" s="506"/>
      <c r="R246" s="529" t="str">
        <f>IF(ISERROR(VLOOKUP(B246,'Base de Datos'!$C$7:$N$315,10,0))=TRUE," ",(VLOOKUP(B246,'Base de Datos'!$C$7:$N$315,10,0)))</f>
        <v xml:space="preserve"> </v>
      </c>
      <c r="S246" s="529" t="str">
        <f>IF(ISERROR(VLOOKUP(B246,'Base de Datos'!$C$7:$N$315,11,0))=TRUE," ",(VLOOKUP(B246,'Base de Datos'!$C$7:$N$315,11,0)))</f>
        <v xml:space="preserve"> </v>
      </c>
      <c r="T246" s="506" t="str">
        <f>VLOOKUP(C246,'Base de Datos'!$E$7:$AU$382,39,0)</f>
        <v>LIQUIDADO</v>
      </c>
      <c r="U246" s="694"/>
      <c r="V246" s="607"/>
    </row>
    <row r="247" spans="2:22" ht="22.8" outlineLevel="1" x14ac:dyDescent="0.3">
      <c r="B247" s="510">
        <v>209</v>
      </c>
      <c r="C247" s="526" t="str">
        <f>IF(ISERROR(VLOOKUP(B247,'Base de Datos'!$C$7:$F$4085,2,0))=TRUE,"",(VLOOKUP('Presupuesto - PAA 2015'!B247,'Base de Datos'!$C$7:$F$4085,2,0)))</f>
        <v>2016209</v>
      </c>
      <c r="D247" s="590" t="s">
        <v>1920</v>
      </c>
      <c r="E247" s="704"/>
      <c r="F247" s="507">
        <f>VLOOKUP(B247,'Actualizada - presupuesto'!$D$7:$L$111,9,0)</f>
        <v>0</v>
      </c>
      <c r="G247" s="507"/>
      <c r="H247" s="507"/>
      <c r="I247" s="507"/>
      <c r="J247" s="509" t="str">
        <f>IF(ISERROR(VLOOKUP(B247,'Base de Datos'!$C$7:$N$315,6,0))=TRUE,"Sin Celebrar",(VLOOKUP(B247,'Base de Datos'!$C$7:$N$315,6,0)))</f>
        <v>Sin Celebrar</v>
      </c>
      <c r="K247" s="509"/>
      <c r="L247" s="509"/>
      <c r="M247" s="509"/>
      <c r="N247" s="509" t="str">
        <f t="shared" si="14"/>
        <v xml:space="preserve"> </v>
      </c>
      <c r="O247" s="691">
        <f>IF(ISERROR(VLOOKUP(B247,'Base de Datos'!$C$7:$K$1048576,7,0))=TRUE," ",(VLOOKUP(B247,'Base de Datos'!$C$7:$K$1048576,7,0)))</f>
        <v>3000000</v>
      </c>
      <c r="P247" s="524" t="str">
        <f>IF(ISERROR(VLOOKUP(B247,'Base de Datos'!$C$7:$N$315,9,0))=TRUE," ",(VLOOKUP(B247,'Base de Datos'!$C$7:$N$315,9,0)))</f>
        <v xml:space="preserve"> </v>
      </c>
      <c r="Q247" s="506"/>
      <c r="R247" s="529" t="str">
        <f>IF(ISERROR(VLOOKUP(B247,'Base de Datos'!$C$7:$N$315,10,0))=TRUE," ",(VLOOKUP(B247,'Base de Datos'!$C$7:$N$315,10,0)))</f>
        <v xml:space="preserve"> </v>
      </c>
      <c r="S247" s="529" t="str">
        <f>IF(ISERROR(VLOOKUP(B247,'Base de Datos'!$C$7:$N$315,11,0))=TRUE," ",(VLOOKUP(B247,'Base de Datos'!$C$7:$N$315,11,0)))</f>
        <v xml:space="preserve"> </v>
      </c>
      <c r="T247" s="506" t="e">
        <f>VLOOKUP(C247,'Base de Datos'!$E$7:$AU$382,39,0)</f>
        <v>#N/A</v>
      </c>
      <c r="U247" s="694"/>
      <c r="V247" s="607"/>
    </row>
    <row r="248" spans="2:22" outlineLevel="1" x14ac:dyDescent="0.3">
      <c r="B248" s="510">
        <v>211</v>
      </c>
      <c r="C248" s="526" t="str">
        <f>IF(ISERROR(VLOOKUP(B248,'Base de Datos'!$C$7:$F$4085,2,0))=TRUE,"",(VLOOKUP('Presupuesto - PAA 2015'!B248,'Base de Datos'!$C$7:$F$4085,2,0)))</f>
        <v>2016211</v>
      </c>
      <c r="D248" s="590" t="s">
        <v>1921</v>
      </c>
      <c r="E248" s="704"/>
      <c r="F248" s="507">
        <f>VLOOKUP(B248,'Actualizada - presupuesto'!$D$7:$L$111,9,0)</f>
        <v>0</v>
      </c>
      <c r="G248" s="507"/>
      <c r="H248" s="507"/>
      <c r="I248" s="507"/>
      <c r="J248" s="509" t="str">
        <f>IF(ISERROR(VLOOKUP(B248,'Base de Datos'!$C$7:$N$315,6,0))=TRUE,"Sin Celebrar",(VLOOKUP(B248,'Base de Datos'!$C$7:$N$315,6,0)))</f>
        <v>Sin Celebrar</v>
      </c>
      <c r="K248" s="509"/>
      <c r="L248" s="509"/>
      <c r="M248" s="509"/>
      <c r="N248" s="509" t="str">
        <f t="shared" si="14"/>
        <v xml:space="preserve"> </v>
      </c>
      <c r="O248" s="691">
        <f>IF(ISERROR(VLOOKUP(B248,'Base de Datos'!$C$7:$K$1048576,7,0))=TRUE," ",(VLOOKUP(B248,'Base de Datos'!$C$7:$K$1048576,7,0)))</f>
        <v>12928000</v>
      </c>
      <c r="P248" s="524" t="str">
        <f>IF(ISERROR(VLOOKUP(B248,'Base de Datos'!$C$7:$N$315,9,0))=TRUE," ",(VLOOKUP(B248,'Base de Datos'!$C$7:$N$315,9,0)))</f>
        <v xml:space="preserve"> </v>
      </c>
      <c r="Q248" s="506"/>
      <c r="R248" s="529" t="str">
        <f>IF(ISERROR(VLOOKUP(B248,'Base de Datos'!$C$7:$N$315,10,0))=TRUE," ",(VLOOKUP(B248,'Base de Datos'!$C$7:$N$315,10,0)))</f>
        <v xml:space="preserve"> </v>
      </c>
      <c r="S248" s="529" t="str">
        <f>IF(ISERROR(VLOOKUP(B248,'Base de Datos'!$C$7:$N$315,11,0))=TRUE," ",(VLOOKUP(B248,'Base de Datos'!$C$7:$N$315,11,0)))</f>
        <v xml:space="preserve"> </v>
      </c>
      <c r="T248" s="506" t="e">
        <f>VLOOKUP(C248,'Base de Datos'!$E$7:$AU$382,39,0)</f>
        <v>#N/A</v>
      </c>
      <c r="U248" s="694"/>
      <c r="V248" s="607"/>
    </row>
    <row r="249" spans="2:22" ht="24.75" customHeight="1" outlineLevel="1" x14ac:dyDescent="0.3">
      <c r="B249" s="510"/>
      <c r="C249" s="1259" t="s">
        <v>1922</v>
      </c>
      <c r="D249" s="1259"/>
      <c r="E249" s="592">
        <f>+E250</f>
        <v>0</v>
      </c>
      <c r="F249" s="594"/>
      <c r="G249" s="597"/>
      <c r="H249" s="597"/>
      <c r="I249" s="597"/>
      <c r="J249" s="592">
        <f>SUM(J250)</f>
        <v>0</v>
      </c>
      <c r="K249" s="596" t="e">
        <f>+J249/E249</f>
        <v>#DIV/0!</v>
      </c>
      <c r="L249" s="592">
        <f>SUM(L250)</f>
        <v>0</v>
      </c>
      <c r="M249" s="592"/>
      <c r="N249" s="592">
        <f>+E249-J249-L249</f>
        <v>0</v>
      </c>
      <c r="O249" s="667"/>
      <c r="P249" s="598" t="str">
        <f>IF(ISERROR(VLOOKUP(B249,'Base de Datos'!$C$7:$N$315,8,0))=TRUE," ",(VLOOKUP(B249,'Base de Datos'!$C$7:$N$315,8,0)))</f>
        <v xml:space="preserve"> </v>
      </c>
      <c r="Q249" s="702"/>
      <c r="R249" s="598" t="str">
        <f>IF(ISERROR(VLOOKUP(B249,'Base de Datos'!$C$7:$N$315,9,0))=TRUE," ",(VLOOKUP(B249,'Base de Datos'!$C$7:$N$315,9,0)))</f>
        <v xml:space="preserve"> </v>
      </c>
      <c r="S249" s="598" t="str">
        <f>IF(ISERROR(VLOOKUP(B249,'Base de Datos'!$C$7:$N$315,10,0))=TRUE," ",(VLOOKUP(B249,'Base de Datos'!$C$7:$N$315,10,0)))</f>
        <v xml:space="preserve"> </v>
      </c>
      <c r="T249" s="702"/>
      <c r="U249" s="694"/>
      <c r="V249" s="607"/>
    </row>
    <row r="250" spans="2:22" ht="34.200000000000003" outlineLevel="1" x14ac:dyDescent="0.3">
      <c r="B250" s="510">
        <v>212</v>
      </c>
      <c r="C250" s="526">
        <f>IF(ISERROR(VLOOKUP(B250,'Base de Datos'!$C$7:$F$4085,2,0))=TRUE,"",(VLOOKUP('Presupuesto - PAA 2015'!B250,'Base de Datos'!$C$7:$F$4085,2,0)))</f>
        <v>0</v>
      </c>
      <c r="D250" s="590" t="s">
        <v>1923</v>
      </c>
      <c r="E250" s="704"/>
      <c r="F250" s="507">
        <f>VLOOKUP(B250,'Actualizada - presupuesto'!$D$7:$L$111,9,0)</f>
        <v>0</v>
      </c>
      <c r="G250" s="507"/>
      <c r="H250" s="507"/>
      <c r="I250" s="507"/>
      <c r="J250" s="509" t="str">
        <f>IF(ISERROR(VLOOKUP(B250,'Base de Datos'!$C$7:$N$315,6,0))=TRUE,"Sin Celebrar",(VLOOKUP(B250,'Base de Datos'!$C$7:$N$315,6,0)))</f>
        <v>Sin Celebrar</v>
      </c>
      <c r="K250" s="509"/>
      <c r="L250" s="509"/>
      <c r="M250" s="509"/>
      <c r="N250" s="509" t="str">
        <f t="shared" si="14"/>
        <v xml:space="preserve"> </v>
      </c>
      <c r="O250" s="691">
        <f>IF(ISERROR(VLOOKUP(B250,'Base de Datos'!$C$7:$K$1048576,7,0))=TRUE," ",(VLOOKUP(B250,'Base de Datos'!$C$7:$K$1048576,7,0)))</f>
        <v>480000000</v>
      </c>
      <c r="P250" s="524" t="str">
        <f>IF(ISERROR(VLOOKUP(B250,'Base de Datos'!$C$7:$N$315,9,0))=TRUE," ",(VLOOKUP(B250,'Base de Datos'!$C$7:$N$315,9,0)))</f>
        <v xml:space="preserve"> </v>
      </c>
      <c r="Q250" s="506"/>
      <c r="R250" s="529" t="str">
        <f>IF(ISERROR(VLOOKUP(B250,'Base de Datos'!$C$7:$N$315,10,0))=TRUE," ",(VLOOKUP(B250,'Base de Datos'!$C$7:$N$315,10,0)))</f>
        <v xml:space="preserve"> </v>
      </c>
      <c r="S250" s="529" t="str">
        <f>IF(ISERROR(VLOOKUP(B250,'Base de Datos'!$C$7:$N$315,11,0))=TRUE," ",(VLOOKUP(B250,'Base de Datos'!$C$7:$N$315,11,0)))</f>
        <v xml:space="preserve"> </v>
      </c>
      <c r="T250" s="506" t="e">
        <f>VLOOKUP(C250,'Base de Datos'!$E$7:$AU$382,39,0)</f>
        <v>#N/A</v>
      </c>
      <c r="U250" s="694"/>
      <c r="V250" s="607"/>
    </row>
    <row r="251" spans="2:22" outlineLevel="1" x14ac:dyDescent="0.3">
      <c r="B251" s="510"/>
      <c r="C251" s="1258" t="s">
        <v>1924</v>
      </c>
      <c r="D251" s="1258"/>
      <c r="E251" s="592">
        <f>SUM(E252:E260)</f>
        <v>2630558934</v>
      </c>
      <c r="F251" s="594"/>
      <c r="G251" s="594"/>
      <c r="H251" s="594"/>
      <c r="I251" s="594"/>
      <c r="J251" s="592">
        <f>SUM(J252:J260)</f>
        <v>2617883340.1999998</v>
      </c>
      <c r="K251" s="596">
        <f>+J251/E251</f>
        <v>0.99518140664473698</v>
      </c>
      <c r="L251" s="592">
        <f>SUM(L252:L260)</f>
        <v>0</v>
      </c>
      <c r="M251" s="592"/>
      <c r="N251" s="592">
        <f>+E251-J251-L251</f>
        <v>12675593.800000191</v>
      </c>
      <c r="O251" s="667"/>
      <c r="P251" s="598" t="str">
        <f>IF(ISERROR(VLOOKUP(B251,'Base de Datos'!$C$7:$N$315,8,0))=TRUE," ",(VLOOKUP(B251,'Base de Datos'!$C$7:$N$315,8,0)))</f>
        <v xml:space="preserve"> </v>
      </c>
      <c r="Q251" s="702"/>
      <c r="R251" s="598" t="str">
        <f>IF(ISERROR(VLOOKUP(B251,'Base de Datos'!$C$7:$N$315,9,0))=TRUE," ",(VLOOKUP(B251,'Base de Datos'!$C$7:$N$315,9,0)))</f>
        <v xml:space="preserve"> </v>
      </c>
      <c r="S251" s="598" t="str">
        <f>IF(ISERROR(VLOOKUP(B251,'Base de Datos'!$C$7:$N$315,10,0))=TRUE," ",(VLOOKUP(B251,'Base de Datos'!$C$7:$N$315,10,0)))</f>
        <v xml:space="preserve"> </v>
      </c>
      <c r="T251" s="702"/>
      <c r="U251" s="694"/>
      <c r="V251" s="607"/>
    </row>
    <row r="252" spans="2:22" s="588" customFormat="1" ht="15" customHeight="1" outlineLevel="1" x14ac:dyDescent="0.3">
      <c r="B252" s="600">
        <v>70</v>
      </c>
      <c r="C252" s="506" t="str">
        <f>IF(ISERROR(VLOOKUP(B252,'Base de Datos'!$C$7:$F$4092,2,0))=TRUE,"",(VLOOKUP('Presupuesto - PAA 2015'!B252,'Base de Datos'!$C$7:$F$4092,3,0)))</f>
        <v>150321-0-2015</v>
      </c>
      <c r="D252" s="506" t="str">
        <f>IF(ISERROR(VLOOKUP(B252,'Base de Datos'!$C$7:$F$4092,3,0))=TRUE,"",(VLOOKUP('Presupuesto - PAA 2015'!B252,'Base de Datos'!$C$7:$F$4092,4,0)))</f>
        <v>BUSINESSMIND COLOMBIA SA</v>
      </c>
      <c r="E252" s="553">
        <v>31577404</v>
      </c>
      <c r="F252" s="507" t="str">
        <f>VLOOKUP(B252,'Actualizada - presupuesto'!$D$7:$L$111,9,0)</f>
        <v>SI</v>
      </c>
      <c r="G252" s="507"/>
      <c r="H252" s="507"/>
      <c r="I252" s="507"/>
      <c r="J252" s="509">
        <f>IF(ISERROR(VLOOKUP(B252,'Base de Datos'!$C$7:$N$4092,6,0))=TRUE,"Sin Celebrar",(VLOOKUP(B252,'Base de Datos'!$C$7:$N$4092,7,0)))</f>
        <v>31577404</v>
      </c>
      <c r="K252" s="553"/>
      <c r="L252" s="553" t="str">
        <f t="shared" si="15"/>
        <v xml:space="preserve"> </v>
      </c>
      <c r="M252" s="553"/>
      <c r="N252" s="553" t="str">
        <f t="shared" si="14"/>
        <v xml:space="preserve"> </v>
      </c>
      <c r="O252" s="691" t="str">
        <f>IF(ISERROR(VLOOKUP(B252,'Base de Datos'!$C$7:$K$1048576,7,0))=TRUE," ",(VLOOKUP(B252,'Base de Datos'!$C$7:$K$1048576,8,0)))</f>
        <v>SDH-SMINC-043-2015</v>
      </c>
      <c r="P252" s="524">
        <f>IF(ISERROR(VLOOKUP(B252,'Base de Datos'!$C$7:$N$4077,9,0))=TRUE," ",(VLOOKUP(B252,'Base de Datos'!$C$7:$N$4077,10,0)))</f>
        <v>42208</v>
      </c>
      <c r="Q252" s="587" t="s">
        <v>378</v>
      </c>
      <c r="R252" s="524">
        <f>IF(ISERROR(VLOOKUP(B252,'Base de Datos'!$C$7:$N$4077,10,0))=TRUE," ",(VLOOKUP(B252,'Base de Datos'!$C$7:$N$4077,11,0)))</f>
        <v>42221</v>
      </c>
      <c r="S252" s="524">
        <f>IF(ISERROR(VLOOKUP(B252,'Base de Datos'!$C$7:$N$4077,11,0))=TRUE," ",(VLOOKUP(B252,'Base de Datos'!$C$7:$N$4077,12,0)))</f>
        <v>42282</v>
      </c>
      <c r="T252" s="506" t="str">
        <f>VLOOKUP(C252,'Base de Datos'!$E$7:$AU$382,39,0)</f>
        <v>LIQUIDADO</v>
      </c>
      <c r="U252" s="694"/>
      <c r="V252" s="607"/>
    </row>
    <row r="253" spans="2:22" s="588" customFormat="1" ht="14.25" customHeight="1" outlineLevel="1" x14ac:dyDescent="0.3">
      <c r="B253" s="600">
        <v>71</v>
      </c>
      <c r="C253" s="506" t="str">
        <f>IF(ISERROR(VLOOKUP(B253,'Base de Datos'!$C$7:$F$4092,2,0))=TRUE,"",(VLOOKUP('Presupuesto - PAA 2015'!B253,'Base de Datos'!$C$7:$F$4092,3,0)))</f>
        <v>150254-0-2015</v>
      </c>
      <c r="D253" s="506" t="str">
        <f>IF(ISERROR(VLOOKUP(B253,'Base de Datos'!$C$7:$F$4092,3,0))=TRUE,"",(VLOOKUP('Presupuesto - PAA 2015'!B253,'Base de Datos'!$C$7:$F$4092,4,0)))</f>
        <v>OFICOMCO SAS</v>
      </c>
      <c r="E253" s="553">
        <v>11167296</v>
      </c>
      <c r="F253" s="507" t="str">
        <f>VLOOKUP(B253,'Actualizada - presupuesto'!$D$7:$L$111,9,0)</f>
        <v>SI</v>
      </c>
      <c r="G253" s="507"/>
      <c r="H253" s="507"/>
      <c r="I253" s="507"/>
      <c r="J253" s="509">
        <f>IF(ISERROR(VLOOKUP(B253,'Base de Datos'!$C$7:$N$4092,6,0))=TRUE,"Sin Celebrar",(VLOOKUP(B253,'Base de Datos'!$C$7:$N$4092,7,0)))</f>
        <v>11167296</v>
      </c>
      <c r="K253" s="553"/>
      <c r="L253" s="553" t="str">
        <f t="shared" si="15"/>
        <v xml:space="preserve"> </v>
      </c>
      <c r="M253" s="553"/>
      <c r="N253" s="553" t="str">
        <f t="shared" si="14"/>
        <v xml:space="preserve"> </v>
      </c>
      <c r="O253" s="691" t="str">
        <f>IF(ISERROR(VLOOKUP(B253,'Base de Datos'!$C$7:$K$1048576,7,0))=TRUE," ",(VLOOKUP(B253,'Base de Datos'!$C$7:$K$1048576,8,0)))</f>
        <v>SDH-SMINC-32-2015</v>
      </c>
      <c r="P253" s="524">
        <f>IF(ISERROR(VLOOKUP(B253,'Base de Datos'!$C$7:$N$4077,9,0))=TRUE," ",(VLOOKUP(B253,'Base de Datos'!$C$7:$N$4077,10,0)))</f>
        <v>42167</v>
      </c>
      <c r="Q253" s="587" t="s">
        <v>378</v>
      </c>
      <c r="R253" s="524">
        <f>IF(ISERROR(VLOOKUP(B253,'Base de Datos'!$C$7:$N$4077,10,0))=TRUE," ",(VLOOKUP(B253,'Base de Datos'!$C$7:$N$4077,11,0)))</f>
        <v>42188</v>
      </c>
      <c r="S253" s="524">
        <f>IF(ISERROR(VLOOKUP(B253,'Base de Datos'!$C$7:$N$4077,11,0))=TRUE," ",(VLOOKUP(B253,'Base de Datos'!$C$7:$N$4077,12,0)))</f>
        <v>42250</v>
      </c>
      <c r="T253" s="506" t="str">
        <f>VLOOKUP(C253,'Base de Datos'!$E$7:$AU$382,39,0)</f>
        <v>LIQUIDADO</v>
      </c>
      <c r="U253" s="694"/>
      <c r="V253" s="607"/>
    </row>
    <row r="254" spans="2:22" s="588" customFormat="1" outlineLevel="1" x14ac:dyDescent="0.3">
      <c r="B254" s="600">
        <v>73</v>
      </c>
      <c r="C254" s="526">
        <f>IF(ISERROR(VLOOKUP(B254,'Base de Datos'!$C$7:$F$4085,2,0))=TRUE,"",(VLOOKUP('Presupuesto - PAA 2015'!B254,'Base de Datos'!$C$7:$F$4085,2,0)))</f>
        <v>0</v>
      </c>
      <c r="D254" s="601" t="s">
        <v>1927</v>
      </c>
      <c r="E254" s="704"/>
      <c r="F254" s="507" t="str">
        <f>VLOOKUP(B254,'Actualizada - presupuesto'!$D$7:$L$111,9,0)</f>
        <v>SI</v>
      </c>
      <c r="G254" s="587"/>
      <c r="H254" s="587"/>
      <c r="I254" s="587"/>
      <c r="J254" s="509">
        <f>IF(ISERROR(VLOOKUP(B254,'Base de Datos'!$C$7:$N$4092,6,0))=TRUE,"Sin Celebrar",(VLOOKUP(B254,'Base de Datos'!$C$7:$N$4092,7,0)))</f>
        <v>8320000</v>
      </c>
      <c r="K254" s="553"/>
      <c r="L254" s="553" t="str">
        <f t="shared" si="15"/>
        <v xml:space="preserve"> </v>
      </c>
      <c r="M254" s="587"/>
      <c r="N254" s="553" t="str">
        <f t="shared" si="14"/>
        <v xml:space="preserve"> </v>
      </c>
      <c r="O254" s="691" t="str">
        <f>IF(ISERROR(VLOOKUP(B254,'Base de Datos'!$C$7:$K$1048576,7,0))=TRUE," ",(VLOOKUP(B254,'Base de Datos'!$C$7:$K$1048576,8,0)))</f>
        <v>170186-0-2017</v>
      </c>
      <c r="P254" s="524">
        <f>IF(ISERROR(VLOOKUP(B254,'Base de Datos'!$C$7:$N$4077,9,0))=TRUE," ",(VLOOKUP(B254,'Base de Datos'!$C$7:$N$4077,10,0)))</f>
        <v>42934</v>
      </c>
      <c r="Q254" s="587"/>
      <c r="R254" s="524">
        <f>IF(ISERROR(VLOOKUP(B254,'Base de Datos'!$C$7:$N$4077,10,0))=TRUE," ",(VLOOKUP(B254,'Base de Datos'!$C$7:$N$4077,11,0)))</f>
        <v>42941</v>
      </c>
      <c r="S254" s="524">
        <f>IF(ISERROR(VLOOKUP(B254,'Base de Datos'!$C$7:$N$4077,11,0))=TRUE," ",(VLOOKUP(B254,'Base de Datos'!$C$7:$N$4077,12,0)))</f>
        <v>43215</v>
      </c>
      <c r="T254" s="506" t="e">
        <f>VLOOKUP(C254,'Base de Datos'!$E$7:$AU$382,39,0)</f>
        <v>#N/A</v>
      </c>
      <c r="U254" s="694"/>
      <c r="V254" s="607"/>
    </row>
    <row r="255" spans="2:22" s="588" customFormat="1" outlineLevel="1" x14ac:dyDescent="0.3">
      <c r="B255" s="600">
        <v>74</v>
      </c>
      <c r="C255" s="506" t="str">
        <f>IF(ISERROR(VLOOKUP(B255,'Base de Datos'!$C$7:$F$4092,2,0))=TRUE,"",(VLOOKUP('Presupuesto - PAA 2015'!B255,'Base de Datos'!$C$7:$F$4092,3,0)))</f>
        <v>150382-0-2015</v>
      </c>
      <c r="D255" s="506" t="str">
        <f>IF(ISERROR(VLOOKUP(B255,'Base de Datos'!$C$7:$F$4092,3,0))=TRUE,"",(VLOOKUP('Presupuesto - PAA 2015'!B255,'Base de Datos'!$C$7:$F$4092,4,0)))</f>
        <v>OPENLINK SISTEMAS DE REDES DE DATOS S A S</v>
      </c>
      <c r="E255" s="553">
        <v>1544000000</v>
      </c>
      <c r="F255" s="507" t="s">
        <v>390</v>
      </c>
      <c r="G255" s="587"/>
      <c r="H255" s="587"/>
      <c r="I255" s="587"/>
      <c r="J255" s="509">
        <f>IF(ISERROR(VLOOKUP(B255,'Base de Datos'!$C$7:$N$4092,6,0))=TRUE,"Sin Celebrar",(VLOOKUP(B255,'Base de Datos'!$C$7:$N$4092,7,0)))</f>
        <v>1512217703</v>
      </c>
      <c r="K255" s="553"/>
      <c r="L255" s="553" t="str">
        <f t="shared" si="15"/>
        <v xml:space="preserve"> </v>
      </c>
      <c r="M255" s="587"/>
      <c r="N255" s="553">
        <f t="shared" si="14"/>
        <v>31782297</v>
      </c>
      <c r="O255" s="691" t="str">
        <f>IF(ISERROR(VLOOKUP(B255,'Base de Datos'!$C$7:$K$1048576,7,0))=TRUE," ",(VLOOKUP(B255,'Base de Datos'!$C$7:$K$1048576,8,0)))</f>
        <v>SDH-SIE-14-2015</v>
      </c>
      <c r="P255" s="524">
        <f>IF(ISERROR(VLOOKUP(B255,'Base de Datos'!$C$7:$N$4077,9,0))=TRUE," ",(VLOOKUP(B255,'Base de Datos'!$C$7:$N$4077,10,0)))</f>
        <v>42311</v>
      </c>
      <c r="Q255" s="587"/>
      <c r="R255" s="524">
        <f>IF(ISERROR(VLOOKUP(B255,'Base de Datos'!$C$7:$N$4077,10,0))=TRUE," ",(VLOOKUP(B255,'Base de Datos'!$C$7:$N$4077,11,0)))</f>
        <v>42333</v>
      </c>
      <c r="S255" s="524">
        <f>IF(ISERROR(VLOOKUP(B255,'Base de Datos'!$C$7:$N$4077,11,0))=TRUE," ",(VLOOKUP(B255,'Base de Datos'!$C$7:$N$4077,12,0)))</f>
        <v>42515</v>
      </c>
      <c r="T255" s="506" t="str">
        <f>VLOOKUP(C255,'Base de Datos'!$E$7:$AU$382,39,0)</f>
        <v>LIQUIDADO</v>
      </c>
      <c r="U255" s="694"/>
      <c r="V255" s="607"/>
    </row>
    <row r="256" spans="2:22" s="588" customFormat="1" ht="17.25" customHeight="1" outlineLevel="1" x14ac:dyDescent="0.3">
      <c r="B256" s="600">
        <v>75</v>
      </c>
      <c r="C256" s="506" t="str">
        <f>IF(ISERROR(VLOOKUP(B256,'Base de Datos'!$C$7:$F$4092,2,0))=TRUE,"",(VLOOKUP('Presupuesto - PAA 2015'!B256,'Base de Datos'!$C$7:$F$4092,3,0)))</f>
        <v>150236-0-2015</v>
      </c>
      <c r="D256" s="506" t="str">
        <f>IF(ISERROR(VLOOKUP(B256,'Base de Datos'!$C$7:$F$4092,3,0))=TRUE,"",(VLOOKUP('Presupuesto - PAA 2015'!B256,'Base de Datos'!$C$7:$F$4092,4,0)))</f>
        <v>SISTEG SAS</v>
      </c>
      <c r="E256" s="553">
        <v>8086410</v>
      </c>
      <c r="F256" s="507" t="str">
        <f>VLOOKUP(B256,'Actualizada - presupuesto'!$D$7:$L$111,9,0)</f>
        <v>SI</v>
      </c>
      <c r="G256" s="587"/>
      <c r="H256" s="587"/>
      <c r="I256" s="587"/>
      <c r="J256" s="509">
        <f>IF(ISERROR(VLOOKUP(B256,'Base de Datos'!$C$7:$N$4092,6,0))=TRUE,"Sin Celebrar",(VLOOKUP(B256,'Base de Datos'!$C$7:$N$4092,7,0)))</f>
        <v>8086410</v>
      </c>
      <c r="K256" s="553"/>
      <c r="L256" s="553" t="str">
        <f t="shared" si="15"/>
        <v xml:space="preserve"> </v>
      </c>
      <c r="M256" s="587"/>
      <c r="N256" s="553" t="str">
        <f t="shared" si="14"/>
        <v xml:space="preserve"> </v>
      </c>
      <c r="O256" s="691" t="str">
        <f>IF(ISERROR(VLOOKUP(B256,'Base de Datos'!$C$7:$K$1048576,7,0))=TRUE," ",(VLOOKUP(B256,'Base de Datos'!$C$7:$K$1048576,8,0)))</f>
        <v>SDH-SMINC-30-2015</v>
      </c>
      <c r="P256" s="524">
        <f>IF(ISERROR(VLOOKUP(B256,'Base de Datos'!$C$7:$N$4077,9,0))=TRUE," ",(VLOOKUP(B256,'Base de Datos'!$C$7:$N$4077,10,0)))</f>
        <v>42152</v>
      </c>
      <c r="Q256" s="506" t="s">
        <v>378</v>
      </c>
      <c r="R256" s="524">
        <f>IF(ISERROR(VLOOKUP(B256,'Base de Datos'!$C$7:$N$4077,10,0))=TRUE," ",(VLOOKUP(B256,'Base de Datos'!$C$7:$N$4077,11,0)))</f>
        <v>42165</v>
      </c>
      <c r="S256" s="524">
        <f>IF(ISERROR(VLOOKUP(B256,'Base de Datos'!$C$7:$N$4077,11,0))=TRUE," ",(VLOOKUP(B256,'Base de Datos'!$C$7:$N$4077,12,0)))</f>
        <v>42226</v>
      </c>
      <c r="T256" s="506" t="str">
        <f>VLOOKUP(C256,'Base de Datos'!$E$7:$AU$382,39,0)</f>
        <v>EN TRÁMITE</v>
      </c>
      <c r="U256" s="694"/>
      <c r="V256" s="607"/>
    </row>
    <row r="257" spans="2:22" s="588" customFormat="1" outlineLevel="1" x14ac:dyDescent="0.3">
      <c r="B257" s="600">
        <v>314</v>
      </c>
      <c r="C257" s="506" t="str">
        <f>IF(ISERROR(VLOOKUP(B257,'Base de Datos'!$C$7:$F$4092,2,0))=TRUE,"",(VLOOKUP('Presupuesto - PAA 2015'!B257,'Base de Datos'!$C$7:$F$4092,3,0)))</f>
        <v>150308-0-2015</v>
      </c>
      <c r="D257" s="506" t="str">
        <f>IF(ISERROR(VLOOKUP(B257,'Base de Datos'!$C$7:$F$4092,3,0))=TRUE,"",(VLOOKUP('Presupuesto - PAA 2015'!B257,'Base de Datos'!$C$7:$F$4092,4,0)))</f>
        <v xml:space="preserve">ARANDA SOFTWARE ANDINA SAS  </v>
      </c>
      <c r="E257" s="603">
        <v>30000000</v>
      </c>
      <c r="F257" s="507" t="s">
        <v>390</v>
      </c>
      <c r="G257" s="587"/>
      <c r="H257" s="587"/>
      <c r="I257" s="587"/>
      <c r="J257" s="553">
        <v>30000000</v>
      </c>
      <c r="K257" s="587"/>
      <c r="L257" s="553" t="str">
        <f t="shared" si="15"/>
        <v xml:space="preserve"> </v>
      </c>
      <c r="M257" s="587"/>
      <c r="N257" s="553" t="str">
        <f t="shared" si="14"/>
        <v xml:space="preserve"> </v>
      </c>
      <c r="O257" s="691" t="str">
        <f>IF(ISERROR(VLOOKUP(B257,'Base de Datos'!$C$7:$K$1048576,7,0))=TRUE," ",(VLOOKUP(B257,'Base de Datos'!$C$7:$K$1048576,8,0)))</f>
        <v>150308-0-2015</v>
      </c>
      <c r="P257" s="524">
        <f>IF(ISERROR(VLOOKUP(B257,'Base de Datos'!$C$7:$N$4077,9,0))=TRUE," ",(VLOOKUP(B257,'Base de Datos'!$C$7:$N$4077,10,0)))</f>
        <v>42193</v>
      </c>
      <c r="Q257" s="587"/>
      <c r="R257" s="524">
        <f>IF(ISERROR(VLOOKUP(B257,'Base de Datos'!$C$7:$N$4077,10,0))=TRUE," ",(VLOOKUP(B257,'Base de Datos'!$C$7:$N$4077,11,0)))</f>
        <v>42199</v>
      </c>
      <c r="S257" s="524">
        <f>IF(ISERROR(VLOOKUP(B257,'Base de Datos'!$C$7:$N$4077,11,0))=TRUE," ",(VLOOKUP(B257,'Base de Datos'!$C$7:$N$4077,12,0)))</f>
        <v>42565</v>
      </c>
      <c r="T257" s="506" t="str">
        <f>VLOOKUP(C257,'Base de Datos'!$E$7:$AU$382,39,0)</f>
        <v>LIQUIDADO</v>
      </c>
      <c r="U257" s="694"/>
      <c r="V257" s="607"/>
    </row>
    <row r="258" spans="2:22" s="588" customFormat="1" outlineLevel="1" x14ac:dyDescent="0.3">
      <c r="B258" s="600">
        <v>325</v>
      </c>
      <c r="C258" s="506" t="str">
        <f>IF(ISERROR(VLOOKUP(B258,'Base de Datos'!$C$7:$F$4092,2,0))=TRUE,"",(VLOOKUP('Presupuesto - PAA 2015'!B258,'Base de Datos'!$C$7:$F$4092,3,0)))</f>
        <v>150346-0-2015</v>
      </c>
      <c r="D258" s="506" t="str">
        <f>IF(ISERROR(VLOOKUP(B258,'Base de Datos'!$C$7:$F$4092,3,0))=TRUE,"",(VLOOKUP('Presupuesto - PAA 2015'!B258,'Base de Datos'!$C$7:$F$4092,4,0)))</f>
        <v>JOHN KENNEDY LEON CASTIBLANCO</v>
      </c>
      <c r="E258" s="603">
        <v>33000000</v>
      </c>
      <c r="F258" s="507" t="s">
        <v>390</v>
      </c>
      <c r="G258" s="587"/>
      <c r="H258" s="587"/>
      <c r="I258" s="587"/>
      <c r="J258" s="509">
        <f>IF(ISERROR(VLOOKUP(B258,'Base de Datos'!$C$7:$N$4092,6,0))=TRUE,"Sin Celebrar",(VLOOKUP(B258,'Base de Datos'!$C$7:$N$4092,7,0)))</f>
        <v>33000000</v>
      </c>
      <c r="K258" s="587"/>
      <c r="L258" s="553" t="str">
        <f t="shared" si="15"/>
        <v xml:space="preserve"> </v>
      </c>
      <c r="M258" s="587"/>
      <c r="N258" s="553" t="str">
        <f t="shared" si="14"/>
        <v xml:space="preserve"> </v>
      </c>
      <c r="O258" s="691" t="str">
        <f>IF(ISERROR(VLOOKUP(B258,'Base de Datos'!$C$7:$K$1048576,7,0))=TRUE," ",(VLOOKUP(B258,'Base de Datos'!$C$7:$K$1048576,8,0)))</f>
        <v>150346-0-2015</v>
      </c>
      <c r="P258" s="524">
        <f>IF(ISERROR(VLOOKUP(B258,'Base de Datos'!$C$7:$N$4077,9,0))=TRUE," ",(VLOOKUP(B258,'Base de Datos'!$C$7:$N$4077,10,0)))</f>
        <v>42244</v>
      </c>
      <c r="Q258" s="587"/>
      <c r="R258" s="524">
        <f>IF(ISERROR(VLOOKUP(B258,'Base de Datos'!$C$7:$N$4077,10,0))=TRUE," ",(VLOOKUP(B258,'Base de Datos'!$C$7:$N$4077,11,0)))</f>
        <v>42249</v>
      </c>
      <c r="S258" s="524">
        <f>IF(ISERROR(VLOOKUP(B258,'Base de Datos'!$C$7:$N$4077,11,0))=TRUE," ",(VLOOKUP(B258,'Base de Datos'!$C$7:$N$4077,12,0)))</f>
        <v>42431</v>
      </c>
      <c r="T258" s="506" t="str">
        <f>VLOOKUP(C258,'Base de Datos'!$E$7:$AU$382,39,0)</f>
        <v>LIQUIDADO</v>
      </c>
      <c r="U258" s="694"/>
      <c r="V258" s="607"/>
    </row>
    <row r="259" spans="2:22" s="588" customFormat="1" outlineLevel="1" x14ac:dyDescent="0.3">
      <c r="B259" s="600">
        <v>326</v>
      </c>
      <c r="C259" s="506" t="str">
        <f>IF(ISERROR(VLOOKUP(B259,'Base de Datos'!$C$7:$F$4092,2,0))=TRUE,"",(VLOOKUP('Presupuesto - PAA 2015'!B259,'Base de Datos'!$C$7:$F$4092,3,0)))</f>
        <v>150340-0-2015</v>
      </c>
      <c r="D259" s="506" t="str">
        <f>IF(ISERROR(VLOOKUP(B259,'Base de Datos'!$C$7:$F$4092,3,0))=TRUE,"",(VLOOKUP('Presupuesto - PAA 2015'!B259,'Base de Datos'!$C$7:$F$4092,4,0)))</f>
        <v>RICOH COLOMBIA S.A.</v>
      </c>
      <c r="E259" s="603">
        <v>72727824</v>
      </c>
      <c r="F259" s="507" t="s">
        <v>390</v>
      </c>
      <c r="G259" s="587"/>
      <c r="H259" s="587"/>
      <c r="I259" s="587"/>
      <c r="J259" s="509">
        <f>IF(ISERROR(VLOOKUP(B259,'Base de Datos'!$C$7:$N$4092,6,0))=TRUE,"Sin Celebrar",(VLOOKUP(B259,'Base de Datos'!$C$7:$N$4092,7,0)))</f>
        <v>72727824</v>
      </c>
      <c r="K259" s="587"/>
      <c r="L259" s="553" t="str">
        <f t="shared" si="15"/>
        <v xml:space="preserve"> </v>
      </c>
      <c r="M259" s="587"/>
      <c r="N259" s="553" t="str">
        <f t="shared" si="14"/>
        <v xml:space="preserve"> </v>
      </c>
      <c r="O259" s="691" t="str">
        <f>IF(ISERROR(VLOOKUP(B259,'Base de Datos'!$C$7:$K$1048576,7,0))=TRUE," ",(VLOOKUP(B259,'Base de Datos'!$C$7:$K$1048576,8,0)))</f>
        <v>150340-0-2015</v>
      </c>
      <c r="P259" s="524">
        <f>IF(ISERROR(VLOOKUP(B259,'Base de Datos'!$C$7:$N$4077,9,0))=TRUE," ",(VLOOKUP(B259,'Base de Datos'!$C$7:$N$4077,10,0)))</f>
        <v>42236</v>
      </c>
      <c r="Q259" s="587"/>
      <c r="R259" s="524">
        <f>IF(ISERROR(VLOOKUP(B259,'Base de Datos'!$C$7:$N$4077,10,0))=TRUE," ",(VLOOKUP(B259,'Base de Datos'!$C$7:$N$4077,11,0)))</f>
        <v>42244</v>
      </c>
      <c r="S259" s="524">
        <f>IF(ISERROR(VLOOKUP(B259,'Base de Datos'!$C$7:$N$4077,11,0))=TRUE," ",(VLOOKUP(B259,'Base de Datos'!$C$7:$N$4077,12,0)))</f>
        <v>42305</v>
      </c>
      <c r="T259" s="506" t="str">
        <f>VLOOKUP(C259,'Base de Datos'!$E$7:$AU$382,39,0)</f>
        <v>LIQUIDADO</v>
      </c>
      <c r="U259" s="694"/>
      <c r="V259" s="607"/>
    </row>
    <row r="260" spans="2:22" s="588" customFormat="1" outlineLevel="1" x14ac:dyDescent="0.3">
      <c r="B260" s="600">
        <v>365</v>
      </c>
      <c r="C260" s="506" t="str">
        <f>IF(ISERROR(VLOOKUP(B260,'Base de Datos'!$C$7:$F$4092,2,0))=TRUE,"",(VLOOKUP('Presupuesto - PAA 2015'!B260,'Base de Datos'!$C$7:$F$4092,3,0)))</f>
        <v>150397-0-2015</v>
      </c>
      <c r="D260" s="506" t="str">
        <f>IF(ISERROR(VLOOKUP(B260,'Base de Datos'!$C$7:$F$4092,3,0))=TRUE,"",(VLOOKUP('Presupuesto - PAA 2015'!B260,'Base de Datos'!$C$7:$F$4092,4,0)))</f>
        <v>ORACLE COLOMBIA LTDA</v>
      </c>
      <c r="E260" s="603">
        <v>900000000</v>
      </c>
      <c r="F260" s="507" t="s">
        <v>390</v>
      </c>
      <c r="G260" s="587"/>
      <c r="H260" s="587"/>
      <c r="I260" s="587"/>
      <c r="J260" s="509">
        <f>IF(ISERROR(VLOOKUP(B260,'Base de Datos'!$C$7:$N$4092,6,0))=TRUE,"Sin Celebrar",(VLOOKUP(B260,'Base de Datos'!$C$7:$N$4092,7,0)))</f>
        <v>910786703.20000005</v>
      </c>
      <c r="K260" s="587"/>
      <c r="L260" s="553" t="str">
        <f>IF(J260=$AA$1,E260, " ")</f>
        <v xml:space="preserve"> </v>
      </c>
      <c r="M260" s="587"/>
      <c r="N260" s="553" t="str">
        <f>IF(J260&lt;E260,(E260-J260)," ")</f>
        <v xml:space="preserve"> </v>
      </c>
      <c r="O260" s="691" t="str">
        <f>IF(ISERROR(VLOOKUP(B260,'Base de Datos'!$C$7:$K$1048576,7,0))=TRUE," ",(VLOOKUP(B260,'Base de Datos'!$C$7:$K$1048576,8,0)))</f>
        <v>CCE-211-AG-2015</v>
      </c>
      <c r="P260" s="524">
        <f>IF(ISERROR(VLOOKUP(B260,'Base de Datos'!$C$7:$N$4077,9,0))=TRUE," ",(VLOOKUP(B260,'Base de Datos'!$C$7:$N$4077,10,0)))</f>
        <v>42341</v>
      </c>
      <c r="Q260" s="587" t="s">
        <v>382</v>
      </c>
      <c r="R260" s="524">
        <f>IF(ISERROR(VLOOKUP(B260,'Base de Datos'!$C$7:$N$4077,10,0))=TRUE," ",(VLOOKUP(B260,'Base de Datos'!$C$7:$N$4077,11,0)))</f>
        <v>42341</v>
      </c>
      <c r="S260" s="524">
        <f>IF(ISERROR(VLOOKUP(B260,'Base de Datos'!$C$7:$N$4077,11,0))=TRUE," ",(VLOOKUP(B260,'Base de Datos'!$C$7:$N$4077,12,0)))</f>
        <v>42524</v>
      </c>
      <c r="T260" s="506" t="s">
        <v>1991</v>
      </c>
      <c r="U260" s="694"/>
      <c r="V260" s="607"/>
    </row>
    <row r="261" spans="2:22" s="588" customFormat="1" outlineLevel="1" x14ac:dyDescent="0.3">
      <c r="B261" s="600">
        <v>365</v>
      </c>
      <c r="C261" s="506" t="s">
        <v>2373</v>
      </c>
      <c r="D261" s="506" t="s">
        <v>2360</v>
      </c>
      <c r="E261" s="603"/>
      <c r="F261" s="507"/>
      <c r="G261" s="587"/>
      <c r="H261" s="587"/>
      <c r="I261" s="587"/>
      <c r="J261" s="509">
        <v>295840339</v>
      </c>
      <c r="K261" s="587"/>
      <c r="L261" s="553"/>
      <c r="M261" s="587"/>
      <c r="N261" s="553"/>
      <c r="O261" s="691" t="s">
        <v>2361</v>
      </c>
      <c r="P261" s="524">
        <v>42349</v>
      </c>
      <c r="Q261" s="587" t="s">
        <v>382</v>
      </c>
      <c r="R261" s="524"/>
      <c r="S261" s="524"/>
      <c r="T261" s="506"/>
      <c r="U261" s="694"/>
      <c r="V261" s="607"/>
    </row>
    <row r="262" spans="2:22" s="588" customFormat="1" outlineLevel="1" x14ac:dyDescent="0.3">
      <c r="B262" s="600">
        <v>365</v>
      </c>
      <c r="C262" s="506" t="s">
        <v>2371</v>
      </c>
      <c r="D262" s="506" t="s">
        <v>2360</v>
      </c>
      <c r="E262" s="603"/>
      <c r="F262" s="507"/>
      <c r="G262" s="587"/>
      <c r="H262" s="587"/>
      <c r="I262" s="587"/>
      <c r="J262" s="509">
        <v>188315358.83000001</v>
      </c>
      <c r="K262" s="587"/>
      <c r="L262" s="553"/>
      <c r="M262" s="587"/>
      <c r="N262" s="553"/>
      <c r="O262" s="691" t="s">
        <v>2361</v>
      </c>
      <c r="P262" s="524">
        <v>42349</v>
      </c>
      <c r="Q262" s="587" t="s">
        <v>382</v>
      </c>
      <c r="R262" s="524"/>
      <c r="S262" s="524"/>
      <c r="T262" s="506"/>
      <c r="U262" s="694"/>
      <c r="V262" s="607"/>
    </row>
    <row r="263" spans="2:22" s="588" customFormat="1" outlineLevel="1" x14ac:dyDescent="0.3">
      <c r="B263" s="587"/>
      <c r="C263" s="587"/>
      <c r="D263" s="587"/>
      <c r="E263" s="603"/>
      <c r="F263" s="587"/>
      <c r="G263" s="587"/>
      <c r="H263" s="587"/>
      <c r="I263" s="587"/>
      <c r="J263" s="587"/>
      <c r="K263" s="587"/>
      <c r="L263" s="587"/>
      <c r="M263" s="587"/>
      <c r="N263" s="603"/>
      <c r="O263" s="668"/>
      <c r="P263" s="602"/>
      <c r="Q263" s="587"/>
      <c r="R263" s="587"/>
      <c r="S263" s="587"/>
      <c r="T263" s="587"/>
      <c r="U263" s="694"/>
      <c r="V263" s="607"/>
    </row>
    <row r="264" spans="2:22" outlineLevel="1" x14ac:dyDescent="0.3">
      <c r="B264" s="506"/>
      <c r="C264" s="1258" t="s">
        <v>1932</v>
      </c>
      <c r="D264" s="1258"/>
      <c r="E264" s="593">
        <f>+E265</f>
        <v>4174276985</v>
      </c>
      <c r="F264" s="702"/>
      <c r="G264" s="702"/>
      <c r="H264" s="702"/>
      <c r="I264" s="702"/>
      <c r="J264" s="593">
        <f>SUM(J265)</f>
        <v>4174276985</v>
      </c>
      <c r="K264" s="596">
        <f>+J264/E264</f>
        <v>1</v>
      </c>
      <c r="L264" s="593">
        <f>SUM(L265)</f>
        <v>0</v>
      </c>
      <c r="M264" s="702"/>
      <c r="N264" s="593" t="str">
        <f>+N265</f>
        <v xml:space="preserve"> </v>
      </c>
      <c r="O264" s="669"/>
      <c r="P264" s="599"/>
      <c r="Q264" s="702"/>
      <c r="R264" s="702"/>
      <c r="S264" s="702"/>
      <c r="T264" s="702"/>
      <c r="U264" s="694"/>
      <c r="V264" s="607"/>
    </row>
    <row r="265" spans="2:22" ht="22.8" outlineLevel="1" x14ac:dyDescent="0.3">
      <c r="B265" s="510">
        <v>210</v>
      </c>
      <c r="C265" s="506" t="str">
        <f>IF(ISERROR(VLOOKUP(B265,'Base de Datos'!$C$7:$F$4092,2,0))=TRUE,"",(VLOOKUP('Presupuesto - PAA 2015'!B265,'Base de Datos'!$C$7:$F$4092,3,0)))</f>
        <v>150198-0-2015</v>
      </c>
      <c r="D265" s="506" t="str">
        <f>IF(ISERROR(VLOOKUP(B265,'Base de Datos'!$C$7:$F$4092,3,0))=TRUE,"",(VLOOKUP('Presupuesto - PAA 2015'!B265,'Base de Datos'!$C$7:$F$4092,4,0)))</f>
        <v>UNIDAD NACIONAL DE PROTECCIÓN UNP</v>
      </c>
      <c r="E265" s="509">
        <v>4174276985</v>
      </c>
      <c r="F265" s="507" t="str">
        <f>VLOOKUP(B265,'Actualizada - presupuesto'!$D$7:$L$111,9,0)</f>
        <v>SI</v>
      </c>
      <c r="G265" s="506"/>
      <c r="H265" s="506"/>
      <c r="I265" s="506"/>
      <c r="J265" s="509">
        <f>IF(ISERROR(VLOOKUP(B265,'Base de Datos'!$C$7:$N$4092,6,0))=TRUE,"Sin Celebrar",(VLOOKUP(B265,'Base de Datos'!$C$7:$N$4092,7,0)))</f>
        <v>4174276985</v>
      </c>
      <c r="K265" s="509"/>
      <c r="L265" s="509" t="str">
        <f>IF(J265=$AA$1,E265, " ")</f>
        <v xml:space="preserve"> </v>
      </c>
      <c r="M265" s="506"/>
      <c r="N265" s="509" t="str">
        <f>IF(J265&lt;E265,(E265-J265)," ")</f>
        <v xml:space="preserve"> </v>
      </c>
      <c r="O265" s="691" t="str">
        <f>IF(ISERROR(VLOOKUP(B265,'Base de Datos'!$C$7:$K$1048576,7,0))=TRUE," ",(VLOOKUP(B265,'Base de Datos'!$C$7:$K$1048576,8,0)))</f>
        <v>150198-0-2015</v>
      </c>
      <c r="P265" s="524">
        <f>IF(ISERROR(VLOOKUP(B265,'Base de Datos'!$C$7:$N$4077,9,0))=TRUE," ",(VLOOKUP(B265,'Base de Datos'!$C$7:$N$4077,10,0)))</f>
        <v>42117</v>
      </c>
      <c r="Q265" s="506" t="s">
        <v>2092</v>
      </c>
      <c r="R265" s="524">
        <f>IF(ISERROR(VLOOKUP(B265,'Base de Datos'!$C$7:$N$4077,10,0))=TRUE," ",(VLOOKUP(B265,'Base de Datos'!$C$7:$N$4077,11,0)))</f>
        <v>42117</v>
      </c>
      <c r="S265" s="524">
        <f>IF(ISERROR(VLOOKUP(B265,'Base de Datos'!$C$7:$N$4077,11,0))=TRUE," ",(VLOOKUP(B265,'Base de Datos'!$C$7:$N$4077,12,0)))</f>
        <v>42468</v>
      </c>
      <c r="T265" s="506" t="str">
        <f>VLOOKUP(C265,'Base de Datos'!$E$7:$AU$382,39,0)</f>
        <v>LIQUIDADO</v>
      </c>
      <c r="U265" s="694"/>
      <c r="V265" s="607"/>
    </row>
    <row r="266" spans="2:22" outlineLevel="1" x14ac:dyDescent="0.3">
      <c r="B266" s="734"/>
      <c r="C266" s="735"/>
      <c r="D266" s="735"/>
      <c r="E266" s="736"/>
      <c r="F266" s="737"/>
      <c r="G266" s="735"/>
      <c r="H266" s="735"/>
      <c r="I266" s="735"/>
      <c r="J266" s="736"/>
      <c r="K266" s="736"/>
      <c r="L266" s="736"/>
      <c r="M266" s="735"/>
      <c r="N266" s="736"/>
      <c r="O266" s="738"/>
      <c r="P266" s="739"/>
      <c r="Q266" s="735"/>
      <c r="R266" s="739"/>
      <c r="S266" s="739"/>
      <c r="T266" s="735"/>
      <c r="U266" s="694"/>
      <c r="V266" s="607"/>
    </row>
    <row r="267" spans="2:22" outlineLevel="1" x14ac:dyDescent="0.3">
      <c r="B267" s="734"/>
      <c r="C267" s="735"/>
      <c r="D267" s="735"/>
      <c r="E267" s="736"/>
      <c r="F267" s="737"/>
      <c r="G267" s="735"/>
      <c r="H267" s="735"/>
      <c r="I267" s="735"/>
      <c r="J267" s="736"/>
      <c r="K267" s="736"/>
      <c r="L267" s="736"/>
      <c r="M267" s="735"/>
      <c r="N267" s="736"/>
      <c r="O267" s="738"/>
      <c r="P267" s="739"/>
      <c r="Q267" s="735"/>
      <c r="R267" s="739"/>
      <c r="S267" s="739"/>
      <c r="T267" s="735"/>
      <c r="U267" s="694"/>
      <c r="V267" s="607"/>
    </row>
    <row r="268" spans="2:22" outlineLevel="1" x14ac:dyDescent="0.3">
      <c r="B268" s="734"/>
      <c r="C268" s="735"/>
      <c r="D268" s="735"/>
      <c r="E268" s="736"/>
      <c r="F268" s="737"/>
      <c r="G268" s="735"/>
      <c r="H268" s="735"/>
      <c r="I268" s="735"/>
      <c r="J268" s="736"/>
      <c r="K268" s="736"/>
      <c r="L268" s="736"/>
      <c r="M268" s="735"/>
      <c r="N268" s="736"/>
      <c r="O268" s="738"/>
      <c r="P268" s="739"/>
      <c r="Q268" s="735"/>
      <c r="R268" s="739"/>
      <c r="S268" s="739"/>
      <c r="T268" s="735"/>
      <c r="U268" s="694"/>
      <c r="V268" s="607"/>
    </row>
    <row r="269" spans="2:22" x14ac:dyDescent="0.3">
      <c r="R269" s="670"/>
    </row>
    <row r="270" spans="2:22" ht="36" hidden="1" x14ac:dyDescent="0.3">
      <c r="B270" s="1244" t="s">
        <v>2125</v>
      </c>
      <c r="C270" s="1244"/>
      <c r="D270" s="1244"/>
      <c r="E270" s="706"/>
      <c r="F270" s="710" t="str">
        <f>+F271</f>
        <v>Valor total con adiciones</v>
      </c>
      <c r="G270" s="706" t="str">
        <f t="shared" ref="G270:T270" si="16">+G271</f>
        <v>Presupuesto Inicial</v>
      </c>
      <c r="H270" s="706" t="str">
        <f t="shared" si="16"/>
        <v>Presupuesto Modificado</v>
      </c>
      <c r="I270" s="706" t="str">
        <f t="shared" si="16"/>
        <v>Presupuesto Disponible (04-05-15)</v>
      </c>
      <c r="J270" s="711" t="str">
        <f t="shared" si="16"/>
        <v>Valor con Autorización de Giro</v>
      </c>
      <c r="K270" s="707" t="str">
        <f t="shared" si="16"/>
        <v>% EJE</v>
      </c>
      <c r="L270" s="706" t="str">
        <f t="shared" si="16"/>
        <v xml:space="preserve">SALDOS  </v>
      </c>
      <c r="M270" s="708"/>
      <c r="N270" s="706" t="str">
        <f t="shared" si="16"/>
        <v>SALDOS A LIBERAR</v>
      </c>
      <c r="O270" s="706" t="str">
        <f t="shared" si="16"/>
        <v>Estado</v>
      </c>
      <c r="P270" s="706" t="str">
        <f t="shared" si="16"/>
        <v>Observaciones</v>
      </c>
      <c r="Q270" s="706" t="str">
        <f t="shared" si="16"/>
        <v>Plazo de ejecución</v>
      </c>
      <c r="R270" s="706" t="str">
        <f t="shared" si="16"/>
        <v>Fecha de Inicio</v>
      </c>
      <c r="S270" s="706" t="str">
        <f t="shared" si="16"/>
        <v>Fecha de terminación</v>
      </c>
      <c r="T270" s="706" t="str">
        <f t="shared" si="16"/>
        <v>Responsable FC</v>
      </c>
    </row>
    <row r="271" spans="2:22" ht="36" hidden="1" x14ac:dyDescent="0.3">
      <c r="B271" s="1243" t="s">
        <v>1782</v>
      </c>
      <c r="C271" s="1243"/>
      <c r="D271" s="1243"/>
      <c r="E271" s="701" t="s">
        <v>2128</v>
      </c>
      <c r="F271" s="701" t="s">
        <v>2129</v>
      </c>
      <c r="G271" s="701" t="s">
        <v>1896</v>
      </c>
      <c r="H271" s="701" t="s">
        <v>1897</v>
      </c>
      <c r="I271" s="701" t="s">
        <v>1839</v>
      </c>
      <c r="J271" s="701" t="s">
        <v>2130</v>
      </c>
      <c r="K271" s="688" t="s">
        <v>1899</v>
      </c>
      <c r="L271" s="701" t="s">
        <v>2134</v>
      </c>
      <c r="M271" s="701" t="s">
        <v>1901</v>
      </c>
      <c r="N271" s="701" t="s">
        <v>1903</v>
      </c>
      <c r="O271" s="689" t="s">
        <v>2133</v>
      </c>
      <c r="P271" s="690" t="s">
        <v>1817</v>
      </c>
      <c r="Q271" s="701" t="s">
        <v>1847</v>
      </c>
      <c r="R271" s="701" t="s">
        <v>1848</v>
      </c>
      <c r="S271" s="701" t="s">
        <v>375</v>
      </c>
      <c r="T271" s="701" t="s">
        <v>1849</v>
      </c>
    </row>
    <row r="272" spans="2:22" ht="12" hidden="1" x14ac:dyDescent="0.3">
      <c r="B272" s="1241" t="s">
        <v>1685</v>
      </c>
      <c r="C272" s="1241"/>
      <c r="D272" s="1241"/>
      <c r="E272" s="514">
        <f>+E273+E383</f>
        <v>16001697633</v>
      </c>
      <c r="F272" s="514" t="e">
        <f>+F273+F383</f>
        <v>#VALUE!</v>
      </c>
      <c r="G272" s="514"/>
      <c r="H272" s="514"/>
      <c r="I272" s="514">
        <f>+I273+I496</f>
        <v>730500000</v>
      </c>
      <c r="J272" s="514" t="e">
        <f>+J273+J383</f>
        <v>#VALUE!</v>
      </c>
      <c r="K272" s="619" t="e">
        <f>+J272/E272</f>
        <v>#VALUE!</v>
      </c>
      <c r="L272" s="514">
        <f>+L273+L383</f>
        <v>65689090</v>
      </c>
      <c r="M272" s="514">
        <f>+M273+M521</f>
        <v>239389927</v>
      </c>
      <c r="N272" s="514">
        <f>+N273+N383</f>
        <v>0</v>
      </c>
      <c r="O272" s="647"/>
      <c r="P272" s="624"/>
      <c r="Q272" s="544"/>
      <c r="R272" s="544"/>
      <c r="S272" s="544"/>
      <c r="T272" s="544"/>
    </row>
    <row r="273" spans="2:20" ht="12" hidden="1" x14ac:dyDescent="0.3">
      <c r="B273" s="1241" t="s">
        <v>1683</v>
      </c>
      <c r="C273" s="1241"/>
      <c r="D273" s="1241"/>
      <c r="E273" s="514">
        <f>+E274+E289</f>
        <v>12961700936</v>
      </c>
      <c r="F273" s="514" t="e">
        <f>+F274+F289</f>
        <v>#VALUE!</v>
      </c>
      <c r="G273" s="514">
        <f>+G274+G332</f>
        <v>858500000</v>
      </c>
      <c r="H273" s="514">
        <f>+H274+H332</f>
        <v>128000000</v>
      </c>
      <c r="I273" s="514">
        <f>+I274+I332</f>
        <v>730500000</v>
      </c>
      <c r="J273" s="514" t="e">
        <f>+J274+J289</f>
        <v>#VALUE!</v>
      </c>
      <c r="K273" s="619" t="e">
        <f>+J273/E273</f>
        <v>#VALUE!</v>
      </c>
      <c r="L273" s="514">
        <f>+L274+L289</f>
        <v>65350825</v>
      </c>
      <c r="M273" s="514">
        <f>+M274+M325</f>
        <v>239389927</v>
      </c>
      <c r="N273" s="514">
        <f>+N274+N289</f>
        <v>0</v>
      </c>
      <c r="O273" s="647"/>
      <c r="P273" s="545"/>
      <c r="Q273" s="544"/>
      <c r="R273" s="544"/>
      <c r="S273" s="544"/>
      <c r="T273" s="544"/>
    </row>
    <row r="274" spans="2:20" ht="12" hidden="1" x14ac:dyDescent="0.3">
      <c r="B274" s="1240" t="s">
        <v>1682</v>
      </c>
      <c r="C274" s="1240"/>
      <c r="D274" s="1240"/>
      <c r="E274" s="512">
        <f>+E275</f>
        <v>256100000</v>
      </c>
      <c r="F274" s="604" t="e">
        <f>+F275</f>
        <v>#VALUE!</v>
      </c>
      <c r="G274" s="512">
        <f t="shared" ref="G274:I275" si="17">+G275</f>
        <v>858500000</v>
      </c>
      <c r="H274" s="512">
        <f t="shared" si="17"/>
        <v>128000000</v>
      </c>
      <c r="I274" s="512">
        <f t="shared" si="17"/>
        <v>730500000</v>
      </c>
      <c r="J274" s="512" t="e">
        <f>+J275</f>
        <v>#VALUE!</v>
      </c>
      <c r="K274" s="575" t="e">
        <f>+J274/E274</f>
        <v>#VALUE!</v>
      </c>
      <c r="L274" s="512">
        <f t="shared" ref="L274:N275" si="18">+L275</f>
        <v>252081</v>
      </c>
      <c r="M274" s="512">
        <f t="shared" si="18"/>
        <v>239389927</v>
      </c>
      <c r="N274" s="512">
        <f t="shared" si="18"/>
        <v>0</v>
      </c>
      <c r="O274" s="648"/>
      <c r="P274" s="543"/>
      <c r="Q274" s="542"/>
      <c r="R274" s="542"/>
      <c r="S274" s="542"/>
      <c r="T274" s="542"/>
    </row>
    <row r="275" spans="2:20" ht="12" hidden="1" x14ac:dyDescent="0.3">
      <c r="B275" s="1240" t="s">
        <v>1681</v>
      </c>
      <c r="C275" s="1240"/>
      <c r="D275" s="1240"/>
      <c r="E275" s="512">
        <f>+E276+E285</f>
        <v>256100000</v>
      </c>
      <c r="F275" s="512" t="e">
        <f>+F276+F285</f>
        <v>#VALUE!</v>
      </c>
      <c r="G275" s="512">
        <f t="shared" si="17"/>
        <v>858500000</v>
      </c>
      <c r="H275" s="512">
        <f t="shared" si="17"/>
        <v>128000000</v>
      </c>
      <c r="I275" s="512">
        <f t="shared" si="17"/>
        <v>730500000</v>
      </c>
      <c r="J275" s="512" t="e">
        <f>+J276+J285</f>
        <v>#VALUE!</v>
      </c>
      <c r="K275" s="575" t="e">
        <f>+J275/E275</f>
        <v>#VALUE!</v>
      </c>
      <c r="L275" s="512">
        <f>+L276+L285</f>
        <v>252081</v>
      </c>
      <c r="M275" s="512">
        <f t="shared" si="18"/>
        <v>239389927</v>
      </c>
      <c r="N275" s="512">
        <f>+N276+N285</f>
        <v>0</v>
      </c>
      <c r="O275" s="648"/>
      <c r="P275" s="543"/>
      <c r="Q275" s="542"/>
      <c r="R275" s="542"/>
      <c r="S275" s="542"/>
      <c r="T275" s="542"/>
    </row>
    <row r="276" spans="2:20" ht="12" hidden="1" x14ac:dyDescent="0.3">
      <c r="B276" s="1240" t="s">
        <v>1680</v>
      </c>
      <c r="C276" s="1240"/>
      <c r="D276" s="1240"/>
      <c r="E276" s="512">
        <f>+E277</f>
        <v>239600000</v>
      </c>
      <c r="F276" s="604">
        <f>+F277</f>
        <v>0</v>
      </c>
      <c r="G276" s="512">
        <f>+G277+G325+G328</f>
        <v>858500000</v>
      </c>
      <c r="H276" s="512">
        <f>+H277+H325+H328</f>
        <v>128000000</v>
      </c>
      <c r="I276" s="512">
        <f>+I277+I325+I328</f>
        <v>730500000</v>
      </c>
      <c r="J276" s="512">
        <f>+J277</f>
        <v>0</v>
      </c>
      <c r="K276" s="575">
        <f>+J276/E276</f>
        <v>0</v>
      </c>
      <c r="L276" s="512">
        <f>+L277</f>
        <v>210073</v>
      </c>
      <c r="M276" s="512">
        <f>+M277+M305+M309</f>
        <v>239389927</v>
      </c>
      <c r="N276" s="512">
        <f>+N277</f>
        <v>0</v>
      </c>
      <c r="O276" s="648"/>
      <c r="P276" s="543"/>
      <c r="Q276" s="542"/>
      <c r="R276" s="542"/>
      <c r="S276" s="542"/>
      <c r="T276" s="542"/>
    </row>
    <row r="277" spans="2:20" ht="12" hidden="1" x14ac:dyDescent="0.3">
      <c r="B277" s="1239" t="s">
        <v>1642</v>
      </c>
      <c r="C277" s="1239"/>
      <c r="D277" s="1239"/>
      <c r="E277" s="557">
        <f>SUM(E279:E283)</f>
        <v>239600000</v>
      </c>
      <c r="F277" s="557">
        <f>SUM(F279:F283)</f>
        <v>0</v>
      </c>
      <c r="G277" s="554">
        <v>858500000</v>
      </c>
      <c r="H277" s="555">
        <v>128000000</v>
      </c>
      <c r="I277" s="554">
        <f>+G277-H277</f>
        <v>730500000</v>
      </c>
      <c r="J277" s="557">
        <f>SUM(J279:J283)</f>
        <v>0</v>
      </c>
      <c r="K277" s="576" t="e">
        <f>+J277/F277</f>
        <v>#DIV/0!</v>
      </c>
      <c r="L277" s="557">
        <f>SUM(L279:L283)</f>
        <v>210073</v>
      </c>
      <c r="M277" s="558">
        <f>+E277-(J277+L277)</f>
        <v>239389927</v>
      </c>
      <c r="N277" s="557">
        <f>SUM(N279:N283)</f>
        <v>0</v>
      </c>
      <c r="O277" s="649"/>
      <c r="P277" s="557"/>
      <c r="Q277" s="565"/>
      <c r="R277" s="565"/>
      <c r="S277" s="565"/>
      <c r="T277" s="565"/>
    </row>
    <row r="278" spans="2:20" ht="22.8" hidden="1" x14ac:dyDescent="0.3">
      <c r="B278" s="510" t="s">
        <v>2127</v>
      </c>
      <c r="C278" s="510" t="s">
        <v>912</v>
      </c>
      <c r="D278" s="510" t="s">
        <v>1821</v>
      </c>
      <c r="E278" s="518" t="s">
        <v>1844</v>
      </c>
      <c r="F278" s="507" t="s">
        <v>2129</v>
      </c>
      <c r="G278" s="507"/>
      <c r="H278" s="507"/>
      <c r="I278" s="507"/>
      <c r="J278" s="510" t="s">
        <v>2130</v>
      </c>
      <c r="K278" s="625"/>
      <c r="L278" s="510" t="s">
        <v>1939</v>
      </c>
      <c r="M278" s="510"/>
      <c r="N278" s="510" t="s">
        <v>2136</v>
      </c>
      <c r="O278" s="650" t="s">
        <v>2133</v>
      </c>
      <c r="P278" s="541" t="s">
        <v>1817</v>
      </c>
      <c r="Q278" s="510" t="s">
        <v>1847</v>
      </c>
      <c r="R278" s="510" t="s">
        <v>1848</v>
      </c>
      <c r="S278" s="510" t="s">
        <v>375</v>
      </c>
      <c r="T278" s="510" t="s">
        <v>1849</v>
      </c>
    </row>
    <row r="279" spans="2:20" ht="22.5" hidden="1" customHeight="1" x14ac:dyDescent="0.3">
      <c r="B279" s="506"/>
      <c r="C279" s="506" t="s">
        <v>256</v>
      </c>
      <c r="D279" s="506" t="str">
        <f>VLOOKUP(C279,'Base de Datos'!$E$7:$AU$390,2,0)</f>
        <v>MATILDE NIETO CONTRERAS (Cesionaria) / antes ELIS ALEXANDER MORENO SALAMANCA</v>
      </c>
      <c r="E279" s="509">
        <f>VLOOKUP(C279,'Base de Datos'!$E$7:$AU$390,5,0)</f>
        <v>51500000</v>
      </c>
      <c r="F279" s="509" t="str">
        <f>VLOOKUP(C279,'Base de Datos'!$E$7:$AU$390,17,0)</f>
        <v/>
      </c>
      <c r="G279" s="509" t="e">
        <f>VLOOKUP(D279,'Base de Datos'!$E$7:$AU$390,17,0)</f>
        <v>#N/A</v>
      </c>
      <c r="H279" s="509" t="e">
        <f>VLOOKUP(E279,'Base de Datos'!$E$7:$AU$390,17,0)</f>
        <v>#N/A</v>
      </c>
      <c r="I279" s="509" t="e">
        <f>VLOOKUP(F279,'Base de Datos'!$E$7:$AU$390,17,0)</f>
        <v>#N/A</v>
      </c>
      <c r="J279" s="509" t="str">
        <f>VLOOKUP(C279,'Base de Datos'!$E$7:$AU$390,18,0)</f>
        <v/>
      </c>
      <c r="K279" s="573"/>
      <c r="L279" s="509">
        <f>VLOOKUP(C279,'Base de Datos'!$E$7:$AU$390,19,0)</f>
        <v>42041</v>
      </c>
      <c r="M279" s="506"/>
      <c r="N279" s="509" t="str">
        <f>IF(OR(O279=Hoja1!$D$17,'Presupuesto - PAA 2015'!O279=Hoja1!$D$18),'Presupuesto - PAA 2015'!L279," ")</f>
        <v xml:space="preserve"> </v>
      </c>
      <c r="O279" s="651" t="str">
        <f>VLOOKUP(C279,'Base de Datos'!$E$7:$AU$390,33,0)</f>
        <v>Dirección Financiera</v>
      </c>
      <c r="P279" s="709"/>
      <c r="Q279" s="506"/>
      <c r="R279" s="715">
        <f>VLOOKUP(C279,'Base de Datos'!$E$7:$AU$390,9,0)</f>
        <v>41677</v>
      </c>
      <c r="S279" s="715">
        <f>VLOOKUP(C279,'Base de Datos'!$E$7:$AU$390,16,0)</f>
        <v>42041</v>
      </c>
      <c r="T279" s="651">
        <f>VLOOKUP(C279,'Base de Datos'!$E$7:$AU$390,40,0)</f>
        <v>0</v>
      </c>
    </row>
    <row r="280" spans="2:20" ht="22.8" hidden="1" x14ac:dyDescent="0.3">
      <c r="B280" s="506"/>
      <c r="C280" s="506" t="s">
        <v>247</v>
      </c>
      <c r="D280" s="506" t="str">
        <f>VLOOKUP(C280,'Base de Datos'!$E$7:$AU$390,2,0)</f>
        <v>LORENZA SANTOS BARBOSA (Cesionaria) - Antes VICTOR MANUEL ARMELLA VELASQUEZ</v>
      </c>
      <c r="E280" s="509">
        <f>VLOOKUP(C280,'Base de Datos'!$E$7:$AU$390,5,0)</f>
        <v>55000000</v>
      </c>
      <c r="F280" s="509" t="str">
        <f>VLOOKUP(C280,'Base de Datos'!$E$7:$AU$390,17,0)</f>
        <v/>
      </c>
      <c r="G280" s="506"/>
      <c r="H280" s="506"/>
      <c r="I280" s="506"/>
      <c r="J280" s="509" t="str">
        <f>VLOOKUP(C280,'Base de Datos'!$E$7:$AU$390,18,0)</f>
        <v/>
      </c>
      <c r="K280" s="573"/>
      <c r="L280" s="509">
        <f>VLOOKUP(C280,'Base de Datos'!$E$7:$AU$390,19,0)</f>
        <v>42008</v>
      </c>
      <c r="M280" s="506"/>
      <c r="N280" s="509" t="str">
        <f>IF(OR(O280=Hoja1!$D$17,'Presupuesto - PAA 2015'!O280=Hoja1!$D$18),'Presupuesto - PAA 2015'!L280," ")</f>
        <v xml:space="preserve"> </v>
      </c>
      <c r="O280" s="723" t="str">
        <f>VLOOKUP(C280,'Base de Datos'!$E$7:$AU$390,33,0)</f>
        <v>Dirección Financiera</v>
      </c>
      <c r="P280" s="709" t="s">
        <v>2135</v>
      </c>
      <c r="Q280" s="506"/>
      <c r="R280" s="715">
        <f>VLOOKUP(C280,'Base de Datos'!$E$7:$AU$390,9,0)</f>
        <v>41675</v>
      </c>
      <c r="S280" s="715" t="str">
        <f>VLOOKUP(C280,'Base de Datos'!$E$7:$AU$390,16,0)</f>
        <v/>
      </c>
      <c r="T280" s="651">
        <f>VLOOKUP(C280,'Base de Datos'!$E$7:$AU$390,40,0)</f>
        <v>0</v>
      </c>
    </row>
    <row r="281" spans="2:20" hidden="1" x14ac:dyDescent="0.3">
      <c r="B281" s="506"/>
      <c r="C281" s="506" t="s">
        <v>249</v>
      </c>
      <c r="D281" s="506" t="str">
        <f>VLOOKUP(C281,'Base de Datos'!$E$7:$AU$390,2,0)</f>
        <v>NORMA CONSTANZA MEZA GÓMEZ</v>
      </c>
      <c r="E281" s="509">
        <f>VLOOKUP(C281,'Base de Datos'!$E$7:$AU$390,5,0)</f>
        <v>38500000</v>
      </c>
      <c r="F281" s="509" t="str">
        <f>VLOOKUP(C281,'Base de Datos'!$E$7:$AU$390,17,0)</f>
        <v/>
      </c>
      <c r="G281" s="506"/>
      <c r="H281" s="506"/>
      <c r="I281" s="506"/>
      <c r="J281" s="509" t="str">
        <f>VLOOKUP(C281,'Base de Datos'!$E$7:$AU$390,18,0)</f>
        <v/>
      </c>
      <c r="K281" s="573"/>
      <c r="L281" s="509">
        <f>VLOOKUP(C281,'Base de Datos'!$E$7:$AU$390,19,0)</f>
        <v>42008</v>
      </c>
      <c r="M281" s="506"/>
      <c r="N281" s="509" t="str">
        <f>IF(OR(O281=Hoja1!$D$17,'Presupuesto - PAA 2015'!O281=Hoja1!$D$18),'Presupuesto - PAA 2015'!L281," ")</f>
        <v xml:space="preserve"> </v>
      </c>
      <c r="O281" s="651" t="str">
        <f>VLOOKUP(C281,'Base de Datos'!$E$7:$AU$390,33,0)</f>
        <v>Dirección Financiera</v>
      </c>
      <c r="P281" s="709"/>
      <c r="Q281" s="506"/>
      <c r="R281" s="715">
        <f>VLOOKUP(C281,'Base de Datos'!$E$7:$AU$390,9,0)</f>
        <v>41675</v>
      </c>
      <c r="S281" s="715" t="str">
        <f>VLOOKUP(C281,'Base de Datos'!$E$7:$AU$390,16,0)</f>
        <v/>
      </c>
      <c r="T281" s="651">
        <f>VLOOKUP(C281,'Base de Datos'!$E$7:$AU$390,40,0)</f>
        <v>0</v>
      </c>
    </row>
    <row r="282" spans="2:20" hidden="1" x14ac:dyDescent="0.3">
      <c r="B282" s="506"/>
      <c r="C282" s="506" t="s">
        <v>245</v>
      </c>
      <c r="D282" s="506" t="str">
        <f>VLOOKUP(C282,'Base de Datos'!$E$7:$AU$390,2,0)</f>
        <v>FERNANDO SOTOMONTE AMAYA</v>
      </c>
      <c r="E282" s="509">
        <f>VLOOKUP(C282,'Base de Datos'!$E$7:$AU$390,5,0)</f>
        <v>55000000</v>
      </c>
      <c r="F282" s="509" t="str">
        <f>VLOOKUP(C282,'Base de Datos'!$E$7:$AU$390,17,0)</f>
        <v/>
      </c>
      <c r="G282" s="506"/>
      <c r="H282" s="506"/>
      <c r="I282" s="506"/>
      <c r="J282" s="509" t="str">
        <f>VLOOKUP(C282,'Base de Datos'!$E$7:$AU$390,18,0)</f>
        <v/>
      </c>
      <c r="K282" s="573"/>
      <c r="L282" s="509">
        <f>VLOOKUP(C282,'Base de Datos'!$E$7:$AU$390,19,0)</f>
        <v>42008</v>
      </c>
      <c r="M282" s="506"/>
      <c r="N282" s="509" t="str">
        <f>IF(OR(O282=Hoja1!$D$17,'Presupuesto - PAA 2015'!O282=Hoja1!$D$18),'Presupuesto - PAA 2015'!L282," ")</f>
        <v xml:space="preserve"> </v>
      </c>
      <c r="O282" s="651" t="str">
        <f>VLOOKUP(C282,'Base de Datos'!$E$7:$AU$390,33,0)</f>
        <v>Dirección Financiera</v>
      </c>
      <c r="P282" s="709"/>
      <c r="Q282" s="506"/>
      <c r="R282" s="715">
        <f>VLOOKUP(C282,'Base de Datos'!$E$7:$AU$390,9,0)</f>
        <v>41675</v>
      </c>
      <c r="S282" s="715" t="str">
        <f>VLOOKUP(C282,'Base de Datos'!$E$7:$AU$390,16,0)</f>
        <v/>
      </c>
      <c r="T282" s="651">
        <f>VLOOKUP(C282,'Base de Datos'!$E$7:$AU$390,40,0)</f>
        <v>0</v>
      </c>
    </row>
    <row r="283" spans="2:20" hidden="1" x14ac:dyDescent="0.3">
      <c r="B283" s="506"/>
      <c r="C283" s="506" t="s">
        <v>253</v>
      </c>
      <c r="D283" s="506" t="str">
        <f>VLOOKUP(C283,'Base de Datos'!$E$7:$AU$390,2,0)</f>
        <v>EDELMIRA ATARA GIL</v>
      </c>
      <c r="E283" s="509">
        <f>VLOOKUP(C283,'Base de Datos'!$E$7:$AU$390,5,0)</f>
        <v>39600000</v>
      </c>
      <c r="F283" s="509" t="str">
        <f>VLOOKUP(C283,'Base de Datos'!$E$7:$AU$390,17,0)</f>
        <v/>
      </c>
      <c r="G283" s="506"/>
      <c r="H283" s="506"/>
      <c r="I283" s="506"/>
      <c r="J283" s="509" t="str">
        <f>VLOOKUP(C283,'Base de Datos'!$E$7:$AU$390,18,0)</f>
        <v/>
      </c>
      <c r="K283" s="573"/>
      <c r="L283" s="509">
        <f>VLOOKUP(C283,'Base de Datos'!$E$7:$AU$390,19,0)</f>
        <v>42008</v>
      </c>
      <c r="M283" s="506"/>
      <c r="N283" s="509" t="str">
        <f>IF(OR(O283=Hoja1!$D$17,'Presupuesto - PAA 2015'!O283=Hoja1!$D$18),'Presupuesto - PAA 2015'!L283," ")</f>
        <v xml:space="preserve"> </v>
      </c>
      <c r="O283" s="651">
        <f>VLOOKUP(C283,'Base de Datos'!$E$7:$AU$390,33,0)</f>
        <v>0</v>
      </c>
      <c r="P283" s="709"/>
      <c r="Q283" s="506"/>
      <c r="R283" s="715">
        <f>VLOOKUP(C283,'Base de Datos'!$E$7:$AU$390,9,0)</f>
        <v>41675</v>
      </c>
      <c r="S283" s="715" t="str">
        <f>VLOOKUP(C283,'Base de Datos'!$E$7:$AU$390,16,0)</f>
        <v/>
      </c>
      <c r="T283" s="651">
        <f>VLOOKUP(C283,'Base de Datos'!$E$7:$AU$390,40,0)</f>
        <v>0</v>
      </c>
    </row>
    <row r="284" spans="2:20" hidden="1" x14ac:dyDescent="0.3">
      <c r="B284" s="506"/>
      <c r="C284" s="506"/>
      <c r="D284" s="506"/>
      <c r="E284" s="506"/>
      <c r="F284" s="506"/>
      <c r="G284" s="506"/>
      <c r="H284" s="506"/>
      <c r="I284" s="506"/>
      <c r="J284" s="506"/>
      <c r="K284" s="573"/>
      <c r="L284" s="506"/>
      <c r="M284" s="506"/>
      <c r="N284" s="506"/>
      <c r="O284" s="664"/>
      <c r="P284" s="709"/>
      <c r="Q284" s="506"/>
      <c r="R284" s="716"/>
      <c r="S284" s="716"/>
      <c r="T284" s="506"/>
    </row>
    <row r="285" spans="2:20" ht="12" hidden="1" x14ac:dyDescent="0.3">
      <c r="B285" s="1239" t="s">
        <v>1644</v>
      </c>
      <c r="C285" s="1239"/>
      <c r="D285" s="1239"/>
      <c r="E285" s="554">
        <f>+E287</f>
        <v>16500000</v>
      </c>
      <c r="F285" s="554" t="str">
        <f>+F287</f>
        <v/>
      </c>
      <c r="G285" s="559"/>
      <c r="H285" s="559"/>
      <c r="I285" s="559"/>
      <c r="J285" s="554" t="str">
        <f>+J287</f>
        <v/>
      </c>
      <c r="K285" s="576" t="e">
        <f>+J285/F285</f>
        <v>#VALUE!</v>
      </c>
      <c r="L285" s="554">
        <f>+L287</f>
        <v>42008</v>
      </c>
      <c r="M285" s="605">
        <v>0</v>
      </c>
      <c r="N285" s="554">
        <f>SUM(N287)</f>
        <v>0</v>
      </c>
      <c r="O285" s="657"/>
      <c r="P285" s="564" t="str">
        <f>IF(ISERROR(VLOOKUP(B285,'Base de Datos'!$C$7:$N$315,8,0))=TRUE," ",(VLOOKUP(B285,'Base de Datos'!$C$7:$N$315,8,0)))</f>
        <v xml:space="preserve"> </v>
      </c>
      <c r="Q285" s="565"/>
      <c r="R285" s="717" t="str">
        <f>IF(ISERROR(VLOOKUP(B285,'Base de Datos'!$C$7:$N$315,9,0))=TRUE," ",(VLOOKUP(B285,'Base de Datos'!$C$7:$N$315,9,0)))</f>
        <v xml:space="preserve"> </v>
      </c>
      <c r="S285" s="717" t="str">
        <f>IF(ISERROR(VLOOKUP(B285,'Base de Datos'!$C$7:$N$315,10,0))=TRUE," ",(VLOOKUP(B285,'Base de Datos'!$C$7:$N$315,10,0)))</f>
        <v xml:space="preserve"> </v>
      </c>
      <c r="T285" s="565"/>
    </row>
    <row r="286" spans="2:20" ht="22.8" hidden="1" x14ac:dyDescent="0.3">
      <c r="B286" s="510" t="s">
        <v>2127</v>
      </c>
      <c r="C286" s="510" t="s">
        <v>912</v>
      </c>
      <c r="D286" s="510" t="s">
        <v>1821</v>
      </c>
      <c r="E286" s="518" t="s">
        <v>1844</v>
      </c>
      <c r="F286" s="507" t="s">
        <v>2129</v>
      </c>
      <c r="G286" s="507"/>
      <c r="H286" s="507"/>
      <c r="I286" s="507"/>
      <c r="J286" s="510" t="s">
        <v>2130</v>
      </c>
      <c r="K286" s="625"/>
      <c r="L286" s="510" t="s">
        <v>1939</v>
      </c>
      <c r="M286" s="510"/>
      <c r="N286" s="510" t="s">
        <v>2136</v>
      </c>
      <c r="O286" s="650" t="s">
        <v>2133</v>
      </c>
      <c r="P286" s="541" t="s">
        <v>1817</v>
      </c>
      <c r="Q286" s="510" t="s">
        <v>1847</v>
      </c>
      <c r="R286" s="718" t="s">
        <v>1848</v>
      </c>
      <c r="S286" s="718" t="s">
        <v>375</v>
      </c>
      <c r="T286" s="510" t="s">
        <v>1849</v>
      </c>
    </row>
    <row r="287" spans="2:20" hidden="1" x14ac:dyDescent="0.3">
      <c r="B287" s="506"/>
      <c r="C287" s="506" t="s">
        <v>250</v>
      </c>
      <c r="D287" s="506" t="str">
        <f>VLOOKUP(C287,'Base de Datos'!$E$7:$AU$390,2,0)</f>
        <v>JORGE LUIS TRUJILLO VERA</v>
      </c>
      <c r="E287" s="509">
        <f>VLOOKUP(C287,'Base de Datos'!$E$7:$AU$390,5,0)</f>
        <v>16500000</v>
      </c>
      <c r="F287" s="509" t="str">
        <f>VLOOKUP(C287,'Base de Datos'!$E$7:$AU$390,17,0)</f>
        <v/>
      </c>
      <c r="G287" s="506"/>
      <c r="H287" s="506"/>
      <c r="I287" s="506"/>
      <c r="J287" s="509" t="str">
        <f>VLOOKUP(C287,'Base de Datos'!$E$7:$AU$390,18,0)</f>
        <v/>
      </c>
      <c r="K287" s="573"/>
      <c r="L287" s="509">
        <f>VLOOKUP(C287,'Base de Datos'!$E$7:$AU$390,19,0)</f>
        <v>42008</v>
      </c>
      <c r="M287" s="506"/>
      <c r="N287" s="509" t="str">
        <f>IF(OR(O287=Hoja1!$D$17,'Presupuesto - PAA 2015'!O287=Hoja1!$D$18),'Presupuesto - PAA 2015'!L287," ")</f>
        <v xml:space="preserve"> </v>
      </c>
      <c r="O287" s="651" t="str">
        <f>VLOOKUP(C287,'Base de Datos'!$E$7:$AU$390,33,0)</f>
        <v>Dirección Financiera</v>
      </c>
      <c r="P287" s="709"/>
      <c r="Q287" s="506"/>
      <c r="R287" s="715">
        <f>VLOOKUP(C287,'Base de Datos'!$E$7:$AU$390,9,0)</f>
        <v>41675</v>
      </c>
      <c r="S287" s="715" t="str">
        <f>VLOOKUP(C287,'Base de Datos'!$E$7:$AU$390,16,0)</f>
        <v/>
      </c>
      <c r="T287" s="651">
        <f>VLOOKUP(C287,'Base de Datos'!$E$7:$AU$390,40,0)</f>
        <v>0</v>
      </c>
    </row>
    <row r="288" spans="2:20" hidden="1" x14ac:dyDescent="0.3">
      <c r="B288" s="506"/>
      <c r="C288" s="506"/>
      <c r="D288" s="506"/>
      <c r="E288" s="506"/>
      <c r="F288" s="506"/>
      <c r="G288" s="506"/>
      <c r="H288" s="506"/>
      <c r="I288" s="506"/>
      <c r="J288" s="506"/>
      <c r="K288" s="573"/>
      <c r="L288" s="506"/>
      <c r="M288" s="506"/>
      <c r="N288" s="506"/>
      <c r="O288" s="664"/>
      <c r="P288" s="709"/>
      <c r="Q288" s="506"/>
      <c r="R288" s="716"/>
      <c r="S288" s="716"/>
      <c r="T288" s="506"/>
    </row>
    <row r="289" spans="2:22" ht="15" hidden="1" customHeight="1" x14ac:dyDescent="0.3">
      <c r="B289" s="1240" t="s">
        <v>1792</v>
      </c>
      <c r="C289" s="1240"/>
      <c r="D289" s="1240"/>
      <c r="E289" s="512">
        <f>+E290+E312+E378</f>
        <v>12705600936</v>
      </c>
      <c r="F289" s="512" t="e">
        <f>+F290+F312+F378</f>
        <v>#VALUE!</v>
      </c>
      <c r="G289" s="513"/>
      <c r="H289" s="513"/>
      <c r="I289" s="513"/>
      <c r="J289" s="512" t="e">
        <f>+J290+J312+J378</f>
        <v>#VALUE!</v>
      </c>
      <c r="K289" s="583" t="e">
        <f>+J289/F289</f>
        <v>#VALUE!</v>
      </c>
      <c r="L289" s="512">
        <f>+L290+L312+L378</f>
        <v>65098744</v>
      </c>
      <c r="M289" s="516">
        <f>M290+M334+M461</f>
        <v>235435779</v>
      </c>
      <c r="N289" s="512">
        <f>+N290+N312+N378</f>
        <v>0</v>
      </c>
      <c r="O289" s="662"/>
      <c r="P289" s="516"/>
      <c r="Q289" s="542"/>
      <c r="R289" s="719" t="str">
        <f>IF(ISERROR(VLOOKUP(B289,'Base de Datos'!$C$7:$N$315,9,0))=TRUE," ",(VLOOKUP(B289,'Base de Datos'!$C$7:$N$315,9,0)))</f>
        <v xml:space="preserve"> </v>
      </c>
      <c r="S289" s="719" t="str">
        <f>IF(ISERROR(VLOOKUP(B289,'Base de Datos'!$C$7:$N$315,10,0))=TRUE," ",(VLOOKUP(B289,'Base de Datos'!$C$7:$N$315,10,0)))</f>
        <v xml:space="preserve"> </v>
      </c>
      <c r="T289" s="542"/>
      <c r="U289" s="694"/>
      <c r="V289" s="607"/>
    </row>
    <row r="290" spans="2:22" ht="15" hidden="1" customHeight="1" x14ac:dyDescent="0.3">
      <c r="B290" s="1240" t="s">
        <v>1646</v>
      </c>
      <c r="C290" s="1240"/>
      <c r="D290" s="1240"/>
      <c r="E290" s="512">
        <f>+E291+E300+E307</f>
        <v>1397807908</v>
      </c>
      <c r="F290" s="512">
        <f>+F291+F300+F307</f>
        <v>0</v>
      </c>
      <c r="G290" s="513"/>
      <c r="H290" s="513"/>
      <c r="I290" s="513"/>
      <c r="J290" s="512">
        <f>+J291+J300+J307</f>
        <v>0</v>
      </c>
      <c r="K290" s="604"/>
      <c r="L290" s="512">
        <f>+L291+L300+L307</f>
        <v>44311050</v>
      </c>
      <c r="M290" s="604">
        <f>+M291+M319+M326</f>
        <v>235435779</v>
      </c>
      <c r="N290" s="512">
        <f>+N291+N300+N307</f>
        <v>0</v>
      </c>
      <c r="O290" s="659"/>
      <c r="P290" s="548" t="str">
        <f>IF(ISERROR(VLOOKUP(B290,'Base de Datos'!$C$7:$N$315,8,0))=TRUE," ",(VLOOKUP(B290,'Base de Datos'!$C$7:$N$315,8,0)))</f>
        <v xml:space="preserve"> </v>
      </c>
      <c r="Q290" s="542"/>
      <c r="R290" s="719" t="str">
        <f>IF(ISERROR(VLOOKUP(B290,'Base de Datos'!$C$7:$N$315,9,0))=TRUE," ",(VLOOKUP(B290,'Base de Datos'!$C$7:$N$315,9,0)))</f>
        <v xml:space="preserve"> </v>
      </c>
      <c r="S290" s="719" t="str">
        <f>IF(ISERROR(VLOOKUP(B290,'Base de Datos'!$C$7:$N$315,10,0))=TRUE," ",(VLOOKUP(B290,'Base de Datos'!$C$7:$N$315,10,0)))</f>
        <v xml:space="preserve"> </v>
      </c>
      <c r="T290" s="542"/>
      <c r="U290" s="694"/>
      <c r="V290" s="607"/>
    </row>
    <row r="291" spans="2:22" ht="12" hidden="1" x14ac:dyDescent="0.3">
      <c r="B291" s="1239" t="s">
        <v>1647</v>
      </c>
      <c r="C291" s="1239"/>
      <c r="D291" s="1239"/>
      <c r="E291" s="554">
        <f>SUM(E293:E298)</f>
        <v>264468575</v>
      </c>
      <c r="F291" s="554">
        <f>SUM(F293:F298)</f>
        <v>0</v>
      </c>
      <c r="G291" s="559"/>
      <c r="H291" s="559"/>
      <c r="I291" s="559"/>
      <c r="J291" s="554">
        <f>SUM(J293:J298)</f>
        <v>0</v>
      </c>
      <c r="K291" s="576" t="e">
        <f>+J291/F291</f>
        <v>#DIV/0!</v>
      </c>
      <c r="L291" s="554">
        <f>SUM(L293:L298)</f>
        <v>29032796</v>
      </c>
      <c r="M291" s="558">
        <f>+E291-(J291+L291)</f>
        <v>235435779</v>
      </c>
      <c r="N291" s="554">
        <f>SUM(N293:N298)</f>
        <v>0</v>
      </c>
      <c r="O291" s="657"/>
      <c r="P291" s="564" t="str">
        <f>IF(ISERROR(VLOOKUP(B291,'Base de Datos'!$C$7:$N$315,8,0))=TRUE," ",(VLOOKUP(B291,'Base de Datos'!$C$7:$N$315,8,0)))</f>
        <v xml:space="preserve"> </v>
      </c>
      <c r="Q291" s="565"/>
      <c r="R291" s="717" t="str">
        <f>IF(ISERROR(VLOOKUP(B291,'Base de Datos'!$C$7:$N$315,9,0))=TRUE," ",(VLOOKUP(B291,'Base de Datos'!$C$7:$N$315,9,0)))</f>
        <v xml:space="preserve"> </v>
      </c>
      <c r="S291" s="717" t="str">
        <f>IF(ISERROR(VLOOKUP(B291,'Base de Datos'!$C$7:$N$315,10,0))=TRUE," ",(VLOOKUP(B291,'Base de Datos'!$C$7:$N$315,10,0)))</f>
        <v xml:space="preserve"> </v>
      </c>
      <c r="T291" s="565"/>
      <c r="U291" s="508"/>
    </row>
    <row r="292" spans="2:22" ht="22.8" hidden="1" x14ac:dyDescent="0.3">
      <c r="B292" s="510" t="s">
        <v>2127</v>
      </c>
      <c r="C292" s="510" t="s">
        <v>912</v>
      </c>
      <c r="D292" s="510" t="s">
        <v>1821</v>
      </c>
      <c r="E292" s="518" t="s">
        <v>1844</v>
      </c>
      <c r="F292" s="507" t="s">
        <v>2129</v>
      </c>
      <c r="G292" s="507"/>
      <c r="H292" s="507"/>
      <c r="I292" s="507"/>
      <c r="J292" s="510" t="s">
        <v>2130</v>
      </c>
      <c r="K292" s="625"/>
      <c r="L292" s="510" t="s">
        <v>1939</v>
      </c>
      <c r="M292" s="510"/>
      <c r="N292" s="510" t="s">
        <v>2136</v>
      </c>
      <c r="O292" s="650" t="s">
        <v>2133</v>
      </c>
      <c r="P292" s="541" t="s">
        <v>1817</v>
      </c>
      <c r="Q292" s="510" t="s">
        <v>1847</v>
      </c>
      <c r="R292" s="718" t="s">
        <v>1848</v>
      </c>
      <c r="S292" s="718" t="s">
        <v>375</v>
      </c>
      <c r="T292" s="510" t="s">
        <v>1849</v>
      </c>
      <c r="U292" s="508"/>
    </row>
    <row r="293" spans="2:22" ht="22.8" hidden="1" x14ac:dyDescent="0.3">
      <c r="B293" s="506"/>
      <c r="C293" s="506" t="s">
        <v>1157</v>
      </c>
      <c r="D293" s="506" t="str">
        <f>VLOOKUP(C293,'Base de Datos'!$E$7:$AU$390,2,0)</f>
        <v>FACTOR VISUAL EAT</v>
      </c>
      <c r="E293" s="509">
        <f>VLOOKUP(C293,'Base de Datos'!$E$7:$AU$390,5,0)</f>
        <v>44544000</v>
      </c>
      <c r="F293" s="509" t="str">
        <f>VLOOKUP(C293,'Base de Datos'!$E$7:$AU$390,17,0)</f>
        <v/>
      </c>
      <c r="G293" s="506"/>
      <c r="H293" s="506"/>
      <c r="I293" s="506"/>
      <c r="J293" s="712" t="str">
        <f>VLOOKUP(C293,'Base de Datos'!$E$7:$AU$390,18,0)</f>
        <v/>
      </c>
      <c r="K293" s="573"/>
      <c r="L293" s="725">
        <v>26912000</v>
      </c>
      <c r="M293" s="506"/>
      <c r="N293" s="509" t="str">
        <f>IF(OR(O293=Hoja1!$D$17,'Presupuesto - PAA 2015'!O293=Hoja1!$D$18),'Presupuesto - PAA 2015'!L293," ")</f>
        <v xml:space="preserve"> </v>
      </c>
      <c r="O293" s="651" t="str">
        <f>VLOOKUP(C293,'Base de Datos'!$E$7:$AU$390,33,0)</f>
        <v>Dirección Administrativa</v>
      </c>
      <c r="P293" s="709"/>
      <c r="Q293" s="506"/>
      <c r="R293" s="715">
        <f>VLOOKUP(C293,'Base de Datos'!$E$7:$AU$390,9,0)</f>
        <v>41929</v>
      </c>
      <c r="S293" s="715">
        <f>VLOOKUP(C293,'Base de Datos'!$E$7:$AU$390,16,0)</f>
        <v>42477</v>
      </c>
      <c r="T293" s="651">
        <f>VLOOKUP(C293,'Base de Datos'!$E$7:$AU$390,40,0)</f>
        <v>0</v>
      </c>
      <c r="U293" s="508"/>
    </row>
    <row r="294" spans="2:22" ht="22.8" hidden="1" x14ac:dyDescent="0.3">
      <c r="B294" s="506"/>
      <c r="C294" s="506" t="s">
        <v>289</v>
      </c>
      <c r="D294" s="506" t="str">
        <f>VLOOKUP(C294,'Base de Datos'!$E$7:$AU$390,2,0)</f>
        <v>UNIPLES S.A.</v>
      </c>
      <c r="E294" s="509">
        <f>VLOOKUP(C294,'Base de Datos'!$E$7:$AU$390,5,0)</f>
        <v>9998117</v>
      </c>
      <c r="F294" s="509" t="str">
        <f>VLOOKUP(C294,'Base de Datos'!$E$7:$AU$390,17,0)</f>
        <v/>
      </c>
      <c r="G294" s="506"/>
      <c r="H294" s="506"/>
      <c r="I294" s="506"/>
      <c r="J294" s="509" t="str">
        <f>VLOOKUP(C294,'Base de Datos'!$E$7:$AU$390,18,0)</f>
        <v/>
      </c>
      <c r="K294" s="573"/>
      <c r="L294" s="509">
        <f>VLOOKUP(C294,'Base de Datos'!$E$7:$AU$390,19,0)</f>
        <v>41855</v>
      </c>
      <c r="M294" s="506"/>
      <c r="N294" s="509" t="str">
        <f>IF(OR(O294=Hoja1!$D$17,'Presupuesto - PAA 2015'!O294=Hoja1!$D$18),'Presupuesto - PAA 2015'!L294," ")</f>
        <v xml:space="preserve"> </v>
      </c>
      <c r="O294" s="651" t="str">
        <f>VLOOKUP(C294,'Base de Datos'!$E$7:$AU$390,33,0)</f>
        <v>Dirección Administrativa</v>
      </c>
      <c r="P294" s="709"/>
      <c r="Q294" s="506"/>
      <c r="R294" s="715">
        <f>VLOOKUP(C294,'Base de Datos'!$E$7:$AU$390,9,0)</f>
        <v>41794</v>
      </c>
      <c r="S294" s="715" t="str">
        <f>VLOOKUP(C294,'Base de Datos'!$E$7:$AU$390,16,0)</f>
        <v/>
      </c>
      <c r="T294" s="651">
        <f>VLOOKUP(C294,'Base de Datos'!$E$7:$AU$390,40,0)</f>
        <v>0</v>
      </c>
      <c r="U294" s="508"/>
    </row>
    <row r="295" spans="2:22" ht="22.8" hidden="1" x14ac:dyDescent="0.3">
      <c r="B295" s="506"/>
      <c r="C295" s="506" t="s">
        <v>240</v>
      </c>
      <c r="D295" s="506" t="str">
        <f>VLOOKUP(C295,'Base de Datos'!$E$7:$AU$390,2,0)</f>
        <v>UNIPLES S.A.</v>
      </c>
      <c r="E295" s="509">
        <f>VLOOKUP(C295,'Base de Datos'!$E$7:$AU$390,5,0)</f>
        <v>60000000</v>
      </c>
      <c r="F295" s="509" t="str">
        <f>VLOOKUP(C295,'Base de Datos'!$E$7:$AU$390,17,0)</f>
        <v/>
      </c>
      <c r="G295" s="506"/>
      <c r="H295" s="506"/>
      <c r="I295" s="506"/>
      <c r="J295" s="509" t="str">
        <f>VLOOKUP(C295,'Base de Datos'!$E$7:$AU$390,18,0)</f>
        <v/>
      </c>
      <c r="K295" s="573"/>
      <c r="L295" s="725">
        <v>146147</v>
      </c>
      <c r="M295" s="506"/>
      <c r="N295" s="509" t="str">
        <f>IF(OR(O295=Hoja1!$D$17,'Presupuesto - PAA 2015'!O295=Hoja1!$D$18),'Presupuesto - PAA 2015'!L295," ")</f>
        <v xml:space="preserve"> </v>
      </c>
      <c r="O295" s="651" t="str">
        <f>VLOOKUP(C295,'Base de Datos'!$E$7:$AU$390,33,0)</f>
        <v>Dirección Administrativa</v>
      </c>
      <c r="P295" s="709"/>
      <c r="Q295" s="506"/>
      <c r="R295" s="715">
        <f>VLOOKUP(C295,'Base de Datos'!$E$7:$AU$390,9,0)</f>
        <v>41655</v>
      </c>
      <c r="S295" s="715" t="str">
        <f>VLOOKUP(C295,'Base de Datos'!$E$7:$AU$390,16,0)</f>
        <v/>
      </c>
      <c r="T295" s="651">
        <f>VLOOKUP(C295,'Base de Datos'!$E$7:$AU$390,40,0)</f>
        <v>0</v>
      </c>
      <c r="U295" s="508"/>
    </row>
    <row r="296" spans="2:22" ht="22.8" hidden="1" x14ac:dyDescent="0.3">
      <c r="B296" s="506"/>
      <c r="C296" s="506" t="s">
        <v>183</v>
      </c>
      <c r="D296" s="506" t="str">
        <f>VLOOKUP(C296,'Base de Datos'!$E$7:$AU$390,2,0)</f>
        <v>CONTRONET LTDA</v>
      </c>
      <c r="E296" s="509">
        <f>VLOOKUP(C296,'Base de Datos'!$E$7:$AU$390,5,0)</f>
        <v>86923131</v>
      </c>
      <c r="F296" s="509" t="str">
        <f>VLOOKUP(C296,'Base de Datos'!$E$7:$AU$390,17,0)</f>
        <v/>
      </c>
      <c r="G296" s="506"/>
      <c r="H296" s="506"/>
      <c r="I296" s="506"/>
      <c r="J296" s="509" t="str">
        <f>VLOOKUP(C296,'Base de Datos'!$E$7:$AU$390,18,0)</f>
        <v/>
      </c>
      <c r="K296" s="573"/>
      <c r="L296" s="725">
        <v>231698</v>
      </c>
      <c r="M296" s="506"/>
      <c r="N296" s="509" t="str">
        <f>IF(OR(O296=Hoja1!$D$17,'Presupuesto - PAA 2015'!O296=Hoja1!$D$18),'Presupuesto - PAA 2015'!L296," ")</f>
        <v xml:space="preserve"> </v>
      </c>
      <c r="O296" s="651" t="str">
        <f>VLOOKUP(C296,'Base de Datos'!$E$7:$AU$390,33,0)</f>
        <v>Dirección Administrativa</v>
      </c>
      <c r="P296" s="709"/>
      <c r="Q296" s="506"/>
      <c r="R296" s="715">
        <f>VLOOKUP(C296,'Base de Datos'!$E$7:$AU$390,9,0)</f>
        <v>41506</v>
      </c>
      <c r="S296" s="715">
        <f>VLOOKUP(C296,'Base de Datos'!$E$7:$AU$390,16,0)</f>
        <v>42055</v>
      </c>
      <c r="T296" s="651">
        <f>VLOOKUP(C296,'Base de Datos'!$E$7:$AU$390,40,0)</f>
        <v>0</v>
      </c>
      <c r="U296" s="508"/>
    </row>
    <row r="297" spans="2:22" ht="22.8" hidden="1" x14ac:dyDescent="0.3">
      <c r="B297" s="506"/>
      <c r="C297" s="506" t="s">
        <v>1161</v>
      </c>
      <c r="D297" s="506" t="str">
        <f>VLOOKUP(C297,'Base de Datos'!$E$7:$AU$390,2,0)</f>
        <v>LINALCA INFORMATICA</v>
      </c>
      <c r="E297" s="509">
        <f>VLOOKUP(C297,'Base de Datos'!$E$7:$AU$390,5,0)</f>
        <v>16592327</v>
      </c>
      <c r="F297" s="509" t="str">
        <f>VLOOKUP(C297,'Base de Datos'!$E$7:$AU$390,17,0)</f>
        <v/>
      </c>
      <c r="G297" s="506"/>
      <c r="H297" s="506"/>
      <c r="I297" s="506"/>
      <c r="J297" s="509" t="str">
        <f>VLOOKUP(C297,'Base de Datos'!$E$7:$AU$390,18,0)</f>
        <v/>
      </c>
      <c r="K297" s="573"/>
      <c r="L297" s="725">
        <v>1659232</v>
      </c>
      <c r="M297" s="506"/>
      <c r="N297" s="509" t="str">
        <f>IF(OR(O297=Hoja1!$D$17,'Presupuesto - PAA 2015'!O297=Hoja1!$D$18),'Presupuesto - PAA 2015'!L297," ")</f>
        <v xml:space="preserve"> </v>
      </c>
      <c r="O297" s="651" t="str">
        <f>VLOOKUP(C297,'Base de Datos'!$E$7:$AU$390,33,0)</f>
        <v>Dirección Administrativa</v>
      </c>
      <c r="P297" s="709"/>
      <c r="Q297" s="506"/>
      <c r="R297" s="715">
        <f>VLOOKUP(C297,'Base de Datos'!$E$7:$AU$390,9,0)</f>
        <v>41936</v>
      </c>
      <c r="S297" s="715" t="str">
        <f>VLOOKUP(C297,'Base de Datos'!$E$7:$AU$390,16,0)</f>
        <v/>
      </c>
      <c r="T297" s="651">
        <f>VLOOKUP(C297,'Base de Datos'!$E$7:$AU$390,40,0)</f>
        <v>0</v>
      </c>
      <c r="U297" s="508"/>
    </row>
    <row r="298" spans="2:22" ht="22.8" hidden="1" x14ac:dyDescent="0.3">
      <c r="B298" s="506"/>
      <c r="C298" s="506" t="s">
        <v>172</v>
      </c>
      <c r="D298" s="506" t="str">
        <f>VLOOKUP(C298,'Base de Datos'!$E$7:$AU$390,2,0)</f>
        <v>COLOMBIANA DE SOFTWARE Y HARDWARE COLSOF S.A.</v>
      </c>
      <c r="E298" s="509">
        <f>VLOOKUP(C298,'Base de Datos'!$E$7:$AU$390,5,0)</f>
        <v>46411000</v>
      </c>
      <c r="F298" s="509" t="str">
        <f>VLOOKUP(C298,'Base de Datos'!$E$7:$AU$390,17,0)</f>
        <v/>
      </c>
      <c r="G298" s="506"/>
      <c r="H298" s="506"/>
      <c r="I298" s="506"/>
      <c r="J298" s="509" t="str">
        <f>VLOOKUP(C298,'Base de Datos'!$E$7:$AU$390,18,0)</f>
        <v/>
      </c>
      <c r="K298" s="573"/>
      <c r="L298" s="509">
        <f>VLOOKUP(C298,'Base de Datos'!$E$7:$AU$390,19,0)</f>
        <v>41864</v>
      </c>
      <c r="M298" s="506"/>
      <c r="N298" s="509" t="str">
        <f>IF(OR(O298=Hoja1!$D$17,'Presupuesto - PAA 2015'!O298=Hoja1!$D$18),'Presupuesto - PAA 2015'!L298," ")</f>
        <v xml:space="preserve"> </v>
      </c>
      <c r="O298" s="651" t="str">
        <f>VLOOKUP(C298,'Base de Datos'!$E$7:$AU$390,33,0)</f>
        <v>Dirección Administrativa</v>
      </c>
      <c r="P298" s="709"/>
      <c r="Q298" s="506"/>
      <c r="R298" s="715">
        <f>VLOOKUP(C298,'Base de Datos'!$E$7:$AU$390,9,0)</f>
        <v>41500</v>
      </c>
      <c r="S298" s="715">
        <f>VLOOKUP(C298,'Base de Datos'!$E$7:$AU$390,16,0)</f>
        <v>41864</v>
      </c>
      <c r="T298" s="651" t="str">
        <f>VLOOKUP(C298,'Base de Datos'!$E$7:$AU$390,40,0)</f>
        <v/>
      </c>
      <c r="U298" s="508"/>
    </row>
    <row r="299" spans="2:22" hidden="1" x14ac:dyDescent="0.3">
      <c r="B299" s="506"/>
      <c r="C299" s="506"/>
      <c r="D299" s="506"/>
      <c r="E299" s="506"/>
      <c r="F299" s="506"/>
      <c r="G299" s="506"/>
      <c r="H299" s="506"/>
      <c r="I299" s="506"/>
      <c r="J299" s="506"/>
      <c r="K299" s="573"/>
      <c r="L299" s="506"/>
      <c r="M299" s="506"/>
      <c r="N299" s="506"/>
      <c r="O299" s="664"/>
      <c r="P299" s="709"/>
      <c r="Q299" s="506"/>
      <c r="R299" s="716"/>
      <c r="S299" s="716"/>
      <c r="T299" s="506"/>
      <c r="U299" s="508"/>
    </row>
    <row r="300" spans="2:22" ht="12" hidden="1" x14ac:dyDescent="0.3">
      <c r="B300" s="1239" t="s">
        <v>1648</v>
      </c>
      <c r="C300" s="1239"/>
      <c r="D300" s="1239"/>
      <c r="E300" s="554">
        <f>SUM(E302:E305)</f>
        <v>791102333</v>
      </c>
      <c r="F300" s="554">
        <f>SUM(F302:F305)</f>
        <v>0</v>
      </c>
      <c r="G300" s="559"/>
      <c r="H300" s="559"/>
      <c r="I300" s="559"/>
      <c r="J300" s="554">
        <f>SUM(J302:J305)</f>
        <v>0</v>
      </c>
      <c r="K300" s="576" t="e">
        <f>+J300/F300</f>
        <v>#DIV/0!</v>
      </c>
      <c r="L300" s="554">
        <f>SUM(L302:L305)</f>
        <v>167941</v>
      </c>
      <c r="M300" s="605">
        <v>0</v>
      </c>
      <c r="N300" s="554">
        <f>SUM(N302:N305)</f>
        <v>0</v>
      </c>
      <c r="O300" s="657"/>
      <c r="P300" s="564" t="str">
        <f>IF(ISERROR(VLOOKUP(B300,'Base de Datos'!$C$7:$N$315,8,0))=TRUE," ",(VLOOKUP(B300,'Base de Datos'!$C$7:$N$315,8,0)))</f>
        <v xml:space="preserve"> </v>
      </c>
      <c r="Q300" s="565"/>
      <c r="R300" s="717" t="str">
        <f>IF(ISERROR(VLOOKUP(B300,'Base de Datos'!$C$7:$N$315,9,0))=TRUE," ",(VLOOKUP(B300,'Base de Datos'!$C$7:$N$315,9,0)))</f>
        <v xml:space="preserve"> </v>
      </c>
      <c r="S300" s="717" t="str">
        <f>IF(ISERROR(VLOOKUP(B300,'Base de Datos'!$C$7:$N$315,10,0))=TRUE," ",(VLOOKUP(B300,'Base de Datos'!$C$7:$N$315,10,0)))</f>
        <v xml:space="preserve"> </v>
      </c>
      <c r="T300" s="565"/>
      <c r="U300" s="508"/>
    </row>
    <row r="301" spans="2:22" ht="22.8" hidden="1" x14ac:dyDescent="0.3">
      <c r="B301" s="510" t="s">
        <v>2127</v>
      </c>
      <c r="C301" s="510" t="s">
        <v>912</v>
      </c>
      <c r="D301" s="510" t="s">
        <v>1821</v>
      </c>
      <c r="E301" s="518" t="s">
        <v>1844</v>
      </c>
      <c r="F301" s="507" t="s">
        <v>2129</v>
      </c>
      <c r="G301" s="507"/>
      <c r="H301" s="507"/>
      <c r="I301" s="507"/>
      <c r="J301" s="510" t="s">
        <v>2130</v>
      </c>
      <c r="K301" s="625"/>
      <c r="L301" s="510" t="s">
        <v>1939</v>
      </c>
      <c r="M301" s="510"/>
      <c r="N301" s="510" t="s">
        <v>2136</v>
      </c>
      <c r="O301" s="650" t="s">
        <v>2133</v>
      </c>
      <c r="P301" s="541" t="s">
        <v>1817</v>
      </c>
      <c r="Q301" s="510" t="s">
        <v>1847</v>
      </c>
      <c r="R301" s="718" t="s">
        <v>1848</v>
      </c>
      <c r="S301" s="718" t="s">
        <v>375</v>
      </c>
      <c r="T301" s="510" t="s">
        <v>1849</v>
      </c>
      <c r="U301" s="508"/>
    </row>
    <row r="302" spans="2:22" ht="22.8" hidden="1" x14ac:dyDescent="0.3">
      <c r="B302" s="506"/>
      <c r="C302" s="506" t="s">
        <v>1476</v>
      </c>
      <c r="D302" s="506" t="str">
        <f>VLOOKUP(C302,'Base de Datos'!$E$7:$AU$390,2,0)</f>
        <v>ORGANIZACIÓN TERPEL S.A.</v>
      </c>
      <c r="E302" s="509">
        <f>VLOOKUP(C302,'Base de Datos'!$E$7:$AU$390,5,0)</f>
        <v>171253333</v>
      </c>
      <c r="F302" s="509" t="str">
        <f>VLOOKUP(C302,'Base de Datos'!$E$7:$AU$390,17,0)</f>
        <v/>
      </c>
      <c r="G302" s="506"/>
      <c r="H302" s="506"/>
      <c r="I302" s="506"/>
      <c r="J302" s="509" t="str">
        <f>VLOOKUP(C302,'Base de Datos'!$E$7:$AU$390,18,0)</f>
        <v/>
      </c>
      <c r="K302" s="713"/>
      <c r="L302" s="714">
        <f>VLOOKUP(C302,'Base de Datos'!$E$7:$AU$390,19,0)</f>
        <v>42063</v>
      </c>
      <c r="M302" s="506"/>
      <c r="N302" s="509" t="str">
        <f>IF(OR(O302=Hoja1!$D$17,'Presupuesto - PAA 2015'!O302=Hoja1!$D$18),'Presupuesto - PAA 2015'!L302," ")</f>
        <v xml:space="preserve"> </v>
      </c>
      <c r="O302" s="651" t="str">
        <f>VLOOKUP(C302,'Base de Datos'!$E$7:$AU$390,33,0)</f>
        <v>Dirección Administrativa</v>
      </c>
      <c r="P302" s="709"/>
      <c r="Q302" s="506"/>
      <c r="R302" s="715">
        <f>VLOOKUP(C302,'Base de Datos'!$E$7:$AU$390,9,0)</f>
        <v>41961</v>
      </c>
      <c r="S302" s="715" t="str">
        <f>VLOOKUP(C302,'Base de Datos'!$E$7:$AU$390,16,0)</f>
        <v/>
      </c>
      <c r="T302" s="651" t="str">
        <f>VLOOKUP(C302,'Base de Datos'!$E$7:$AU$390,40,0)</f>
        <v>JULIETH ANGARITA</v>
      </c>
      <c r="U302" s="508"/>
    </row>
    <row r="303" spans="2:22" ht="22.8" hidden="1" x14ac:dyDescent="0.3">
      <c r="B303" s="506"/>
      <c r="C303" s="506" t="s">
        <v>96</v>
      </c>
      <c r="D303" s="506" t="str">
        <f>VLOOKUP(C303,'Base de Datos'!$E$7:$AU$390,2,0)</f>
        <v>ORGANIZACIÓN TERPEL S.A.</v>
      </c>
      <c r="E303" s="509">
        <f>VLOOKUP(C303,'Base de Datos'!$E$7:$AU$390,5,0)</f>
        <v>351295000</v>
      </c>
      <c r="F303" s="509" t="str">
        <f>VLOOKUP(C303,'Base de Datos'!$E$7:$AU$390,17,0)</f>
        <v/>
      </c>
      <c r="G303" s="506"/>
      <c r="H303" s="506"/>
      <c r="I303" s="506"/>
      <c r="J303" s="509" t="str">
        <f>VLOOKUP(C303,'Base de Datos'!$E$7:$AU$390,18,0)</f>
        <v/>
      </c>
      <c r="K303" s="573"/>
      <c r="L303" s="714">
        <f>VLOOKUP(C303,'Base de Datos'!$E$7:$AU$390,19,0)</f>
        <v>41820</v>
      </c>
      <c r="M303" s="506"/>
      <c r="N303" s="509" t="str">
        <f>IF(OR(O303=Hoja1!$D$17,'Presupuesto - PAA 2015'!O303=Hoja1!$D$18),'Presupuesto - PAA 2015'!L303," ")</f>
        <v xml:space="preserve"> </v>
      </c>
      <c r="O303" s="651" t="str">
        <f>VLOOKUP(C303,'Base de Datos'!$E$7:$AU$390,33,0)</f>
        <v>Dirección Administrativa</v>
      </c>
      <c r="P303" s="709"/>
      <c r="Q303" s="506"/>
      <c r="R303" s="715">
        <f>VLOOKUP(C303,'Base de Datos'!$E$7:$AU$390,9,0)</f>
        <v>41426</v>
      </c>
      <c r="S303" s="715">
        <f>VLOOKUP(C303,'Base de Datos'!$E$7:$AU$390,16,0)</f>
        <v>41820</v>
      </c>
      <c r="T303" s="651">
        <f>VLOOKUP(C303,'Base de Datos'!$E$7:$AU$390,40,0)</f>
        <v>0</v>
      </c>
      <c r="U303" s="508"/>
    </row>
    <row r="304" spans="2:22" ht="22.8" hidden="1" x14ac:dyDescent="0.3">
      <c r="B304" s="506"/>
      <c r="C304" s="506" t="s">
        <v>187</v>
      </c>
      <c r="D304" s="506" t="str">
        <f>VLOOKUP(C304,'Base de Datos'!$E$7:$AU$390,2,0)</f>
        <v>INVERSIONES LIGOL - INVERLIGOL LTD A</v>
      </c>
      <c r="E304" s="509">
        <f>VLOOKUP(C304,'Base de Datos'!$E$7:$AU$390,5,0)</f>
        <v>16804000</v>
      </c>
      <c r="F304" s="509" t="str">
        <f>VLOOKUP(C304,'Base de Datos'!$E$7:$AU$390,17,0)</f>
        <v/>
      </c>
      <c r="G304" s="506"/>
      <c r="H304" s="506"/>
      <c r="I304" s="506"/>
      <c r="J304" s="509" t="str">
        <f>VLOOKUP(C304,'Base de Datos'!$E$7:$AU$390,18,0)</f>
        <v/>
      </c>
      <c r="K304" s="573"/>
      <c r="L304" s="714">
        <f>VLOOKUP(C304,'Base de Datos'!$E$7:$AU$390,19,0)</f>
        <v>42099</v>
      </c>
      <c r="M304" s="506"/>
      <c r="N304" s="509" t="str">
        <f>IF(OR(O304=Hoja1!$D$17,'Presupuesto - PAA 2015'!O304=Hoja1!$D$18),'Presupuesto - PAA 2015'!L304," ")</f>
        <v xml:space="preserve"> </v>
      </c>
      <c r="O304" s="651" t="str">
        <f>VLOOKUP(C304,'Base de Datos'!$E$7:$AU$390,33,0)</f>
        <v>Dirección Administrativa</v>
      </c>
      <c r="P304" s="709"/>
      <c r="Q304" s="506"/>
      <c r="R304" s="715">
        <f>VLOOKUP(C304,'Base de Datos'!$E$7:$AU$390,9,0)</f>
        <v>41523</v>
      </c>
      <c r="S304" s="715">
        <f>VLOOKUP(C304,'Base de Datos'!$E$7:$AU$390,16,0)</f>
        <v>42099</v>
      </c>
      <c r="T304" s="651">
        <f>VLOOKUP(C304,'Base de Datos'!$E$7:$AU$390,40,0)</f>
        <v>0</v>
      </c>
      <c r="U304" s="508"/>
    </row>
    <row r="305" spans="2:21" ht="22.8" hidden="1" x14ac:dyDescent="0.3">
      <c r="B305" s="506"/>
      <c r="C305" s="506" t="s">
        <v>285</v>
      </c>
      <c r="D305" s="506" t="str">
        <f>VLOOKUP(C305,'Base de Datos'!$E$7:$AU$390,2,0)</f>
        <v>ORGANIZACIÓN TERPEL S.A.</v>
      </c>
      <c r="E305" s="509">
        <f>VLOOKUP(C305,'Base de Datos'!$E$7:$AU$390,5,0)</f>
        <v>251750000</v>
      </c>
      <c r="F305" s="509" t="str">
        <f>VLOOKUP(C305,'Base de Datos'!$E$7:$AU$390,17,0)</f>
        <v/>
      </c>
      <c r="G305" s="506"/>
      <c r="H305" s="506"/>
      <c r="I305" s="506"/>
      <c r="J305" s="509" t="str">
        <f>VLOOKUP(C305,'Base de Datos'!$E$7:$AU$390,18,0)</f>
        <v/>
      </c>
      <c r="K305" s="573"/>
      <c r="L305" s="714">
        <f>VLOOKUP(C305,'Base de Datos'!$E$7:$AU$390,19,0)</f>
        <v>41959</v>
      </c>
      <c r="M305" s="506"/>
      <c r="N305" s="509" t="str">
        <f>IF(OR(O305=Hoja1!$D$17,'Presupuesto - PAA 2015'!O305=Hoja1!$D$18),'Presupuesto - PAA 2015'!L305," ")</f>
        <v xml:space="preserve"> </v>
      </c>
      <c r="O305" s="651" t="str">
        <f>VLOOKUP(C305,'Base de Datos'!$E$7:$AU$390,33,0)</f>
        <v>Dirección Administrativa</v>
      </c>
      <c r="P305" s="709"/>
      <c r="Q305" s="506"/>
      <c r="R305" s="715">
        <f>VLOOKUP(C305,'Base de Datos'!$E$7:$AU$390,9,0)</f>
        <v>41806</v>
      </c>
      <c r="S305" s="715" t="str">
        <f>VLOOKUP(C305,'Base de Datos'!$E$7:$AU$390,16,0)</f>
        <v/>
      </c>
      <c r="T305" s="651">
        <f>VLOOKUP(C305,'Base de Datos'!$E$7:$AU$390,40,0)</f>
        <v>0</v>
      </c>
      <c r="U305" s="508"/>
    </row>
    <row r="306" spans="2:21" hidden="1" x14ac:dyDescent="0.3">
      <c r="B306" s="506"/>
      <c r="C306" s="506"/>
      <c r="D306" s="506"/>
      <c r="E306" s="506"/>
      <c r="F306" s="506"/>
      <c r="G306" s="506"/>
      <c r="H306" s="506"/>
      <c r="I306" s="506"/>
      <c r="J306" s="506"/>
      <c r="K306" s="573"/>
      <c r="L306" s="506"/>
      <c r="M306" s="506"/>
      <c r="N306" s="506"/>
      <c r="O306" s="664"/>
      <c r="P306" s="709"/>
      <c r="Q306" s="506"/>
      <c r="R306" s="716"/>
      <c r="S306" s="716"/>
      <c r="T306" s="506"/>
      <c r="U306" s="508"/>
    </row>
    <row r="307" spans="2:21" ht="12" hidden="1" x14ac:dyDescent="0.3">
      <c r="B307" s="1239" t="s">
        <v>1649</v>
      </c>
      <c r="C307" s="1239"/>
      <c r="D307" s="1239"/>
      <c r="E307" s="554">
        <f>SUM(E309:E310)</f>
        <v>342237000</v>
      </c>
      <c r="F307" s="554">
        <f>SUM(F309:F310)</f>
        <v>0</v>
      </c>
      <c r="G307" s="559"/>
      <c r="H307" s="559"/>
      <c r="I307" s="559"/>
      <c r="J307" s="554">
        <f>SUM(J309:J310)</f>
        <v>0</v>
      </c>
      <c r="K307" s="576" t="e">
        <f>+J307/F307</f>
        <v>#DIV/0!</v>
      </c>
      <c r="L307" s="554">
        <f>SUM(L309:L310)</f>
        <v>15110313</v>
      </c>
      <c r="M307" s="605">
        <f>+E307-(J307+L307)</f>
        <v>327126687</v>
      </c>
      <c r="N307" s="554">
        <f>SUM(N309:N310)</f>
        <v>0</v>
      </c>
      <c r="O307" s="657"/>
      <c r="P307" s="564" t="str">
        <f>IF(ISERROR(VLOOKUP(B307,'Base de Datos'!$C$7:$N$315,8,0))=TRUE," ",(VLOOKUP(B307,'Base de Datos'!$C$7:$N$315,8,0)))</f>
        <v xml:space="preserve"> </v>
      </c>
      <c r="Q307" s="565"/>
      <c r="R307" s="717" t="str">
        <f>IF(ISERROR(VLOOKUP(B307,'Base de Datos'!$C$7:$N$315,9,0))=TRUE," ",(VLOOKUP(B307,'Base de Datos'!$C$7:$N$315,9,0)))</f>
        <v xml:space="preserve"> </v>
      </c>
      <c r="S307" s="717" t="str">
        <f>IF(ISERROR(VLOOKUP(B307,'Base de Datos'!$C$7:$N$315,10,0))=TRUE," ",(VLOOKUP(B307,'Base de Datos'!$C$7:$N$315,10,0)))</f>
        <v xml:space="preserve"> </v>
      </c>
      <c r="T307" s="565"/>
    </row>
    <row r="308" spans="2:21" ht="22.8" hidden="1" x14ac:dyDescent="0.3">
      <c r="B308" s="510" t="s">
        <v>2127</v>
      </c>
      <c r="C308" s="510" t="s">
        <v>912</v>
      </c>
      <c r="D308" s="510" t="s">
        <v>1821</v>
      </c>
      <c r="E308" s="518" t="s">
        <v>1844</v>
      </c>
      <c r="F308" s="507" t="s">
        <v>2129</v>
      </c>
      <c r="G308" s="507"/>
      <c r="H308" s="507"/>
      <c r="I308" s="507"/>
      <c r="J308" s="510" t="s">
        <v>2130</v>
      </c>
      <c r="K308" s="625"/>
      <c r="L308" s="510" t="s">
        <v>1939</v>
      </c>
      <c r="M308" s="510"/>
      <c r="N308" s="510" t="s">
        <v>2136</v>
      </c>
      <c r="O308" s="650" t="s">
        <v>2133</v>
      </c>
      <c r="P308" s="541" t="s">
        <v>1817</v>
      </c>
      <c r="Q308" s="510" t="s">
        <v>1847</v>
      </c>
      <c r="R308" s="718" t="s">
        <v>1848</v>
      </c>
      <c r="S308" s="718" t="s">
        <v>375</v>
      </c>
      <c r="T308" s="510" t="s">
        <v>1849</v>
      </c>
    </row>
    <row r="309" spans="2:21" ht="21" hidden="1" customHeight="1" x14ac:dyDescent="0.3">
      <c r="B309" s="506"/>
      <c r="C309" s="506" t="s">
        <v>1418</v>
      </c>
      <c r="D309" s="506" t="str">
        <f>VLOOKUP(C309,'Base de Datos'!$E$7:$AU$390,2,0)</f>
        <v>S.O.S. SOLUCIONES DE OFICINA &amp; SUMINISTROS S.A.S.</v>
      </c>
      <c r="E309" s="509">
        <f>VLOOKUP(C309,'Base de Datos'!$E$7:$AU$390,5,0)</f>
        <v>4750000</v>
      </c>
      <c r="F309" s="509" t="str">
        <f>VLOOKUP(C309,'Base de Datos'!$E$7:$AU$390,17,0)</f>
        <v/>
      </c>
      <c r="G309" s="506"/>
      <c r="H309" s="506"/>
      <c r="I309" s="506"/>
      <c r="J309" s="509" t="str">
        <f>VLOOKUP(C309,'Base de Datos'!$E$7:$AU$390,18,0)</f>
        <v/>
      </c>
      <c r="K309" s="573"/>
      <c r="L309" s="714">
        <f>VLOOKUP(C309,'Base de Datos'!$E$7:$AU$390,19,0)</f>
        <v>42060</v>
      </c>
      <c r="M309" s="506"/>
      <c r="N309" s="509" t="str">
        <f>IF(OR(O309=Hoja1!$D$17,'Presupuesto - PAA 2015'!O309=Hoja1!$D$18),'Presupuesto - PAA 2015'!L309," ")</f>
        <v xml:space="preserve"> </v>
      </c>
      <c r="O309" s="651" t="str">
        <f>VLOOKUP(C309,'Base de Datos'!$E$7:$AU$390,33,0)</f>
        <v>Dirección Administrativa</v>
      </c>
      <c r="P309" s="709"/>
      <c r="Q309" s="506"/>
      <c r="R309" s="715">
        <f>VLOOKUP(C309,'Base de Datos'!$E$7:$AU$390,9,0)</f>
        <v>41968</v>
      </c>
      <c r="S309" s="715" t="str">
        <f>VLOOKUP(C309,'Base de Datos'!$E$7:$AU$390,16,0)</f>
        <v/>
      </c>
      <c r="T309" s="651">
        <f>VLOOKUP(C309,'Base de Datos'!$E$7:$AU$390,40,0)</f>
        <v>0</v>
      </c>
    </row>
    <row r="310" spans="2:21" ht="22.8" hidden="1" x14ac:dyDescent="0.3">
      <c r="B310" s="506"/>
      <c r="C310" s="506" t="s">
        <v>287</v>
      </c>
      <c r="D310" s="506" t="str">
        <f>VLOOKUP(C310,'Base de Datos'!$E$7:$AU$390,2,0)</f>
        <v xml:space="preserve">UNIÓN TEMPORAL EMINSER-SOLOASEO </v>
      </c>
      <c r="E310" s="509">
        <f>VLOOKUP(C310,'Base de Datos'!$E$7:$AU$390,5,0)</f>
        <v>337487000</v>
      </c>
      <c r="F310" s="509" t="str">
        <f>VLOOKUP(C310,'Base de Datos'!$E$7:$AU$390,17,0)</f>
        <v/>
      </c>
      <c r="G310" s="506"/>
      <c r="H310" s="506"/>
      <c r="I310" s="506"/>
      <c r="J310" s="509" t="str">
        <f>VLOOKUP(C310,'Base de Datos'!$E$7:$AU$390,18,0)</f>
        <v/>
      </c>
      <c r="K310" s="573"/>
      <c r="L310" s="714">
        <v>15068253</v>
      </c>
      <c r="M310" s="506"/>
      <c r="N310" s="509" t="str">
        <f>IF(OR(O310=Hoja1!$D$17,'Presupuesto - PAA 2015'!O310=Hoja1!$D$18),'Presupuesto - PAA 2015'!L310," ")</f>
        <v xml:space="preserve"> </v>
      </c>
      <c r="O310" s="651" t="str">
        <f>VLOOKUP(C310,'Base de Datos'!$E$7:$AU$390,33,0)</f>
        <v>Dirección Administrativa</v>
      </c>
      <c r="P310" s="709"/>
      <c r="Q310" s="506"/>
      <c r="R310" s="715">
        <f>VLOOKUP(C310,'Base de Datos'!$E$7:$AU$390,9,0)</f>
        <v>41811</v>
      </c>
      <c r="S310" s="715">
        <f>VLOOKUP(C310,'Base de Datos'!$E$7:$AU$390,16,0)</f>
        <v>42186</v>
      </c>
      <c r="T310" s="651" t="str">
        <f>VLOOKUP(C310,'Base de Datos'!$E$7:$AU$390,40,0)</f>
        <v>MANUEL ROJAS</v>
      </c>
    </row>
    <row r="311" spans="2:21" hidden="1" x14ac:dyDescent="0.3">
      <c r="B311" s="506"/>
      <c r="C311" s="506"/>
      <c r="D311" s="506"/>
      <c r="E311" s="506"/>
      <c r="F311" s="506"/>
      <c r="G311" s="506"/>
      <c r="H311" s="506"/>
      <c r="I311" s="506"/>
      <c r="J311" s="506"/>
      <c r="K311" s="573"/>
      <c r="L311" s="506"/>
      <c r="M311" s="506"/>
      <c r="N311" s="506"/>
      <c r="O311" s="664"/>
      <c r="P311" s="709"/>
      <c r="Q311" s="506"/>
      <c r="R311" s="716"/>
      <c r="S311" s="716"/>
      <c r="T311" s="506"/>
    </row>
    <row r="312" spans="2:21" ht="12" hidden="1" x14ac:dyDescent="0.3">
      <c r="B312" s="1240" t="s">
        <v>1650</v>
      </c>
      <c r="C312" s="1240"/>
      <c r="D312" s="1240"/>
      <c r="E312" s="512">
        <f>+E317+E323+E327+E347+E353+E359+E363+E368+E373+E313</f>
        <v>11295093028</v>
      </c>
      <c r="F312" s="512" t="e">
        <f>+F317+F323+F327+F347+F353+F359+F363+F368+F373+F313</f>
        <v>#VALUE!</v>
      </c>
      <c r="G312" s="513"/>
      <c r="H312" s="513"/>
      <c r="I312" s="513"/>
      <c r="J312" s="512" t="e">
        <f>+J317+J323+J327+J347+J353+J359+J363+J368+J373+J313</f>
        <v>#VALUE!</v>
      </c>
      <c r="K312" s="583" t="e">
        <f>+J312/F312</f>
        <v>#VALUE!</v>
      </c>
      <c r="L312" s="512">
        <f>+L317+L323+L327+L347+L353+L359+L363+L368+L373+L313</f>
        <v>20745650</v>
      </c>
      <c r="M312" s="626">
        <v>0</v>
      </c>
      <c r="N312" s="512">
        <f>+N317+N323+N327+N347+N353+N359+N363+N368+N373</f>
        <v>0</v>
      </c>
      <c r="O312" s="662"/>
      <c r="P312" s="516"/>
      <c r="Q312" s="542"/>
      <c r="R312" s="719" t="str">
        <f>IF(ISERROR(VLOOKUP(B312,'Base de Datos'!$C$7:$N$315,9,0))=TRUE," ",(VLOOKUP(B312,'Base de Datos'!$C$7:$N$315,9,0)))</f>
        <v xml:space="preserve"> </v>
      </c>
      <c r="S312" s="719" t="str">
        <f>IF(ISERROR(VLOOKUP(B312,'Base de Datos'!$C$7:$N$315,10,0))=TRUE," ",(VLOOKUP(B312,'Base de Datos'!$C$7:$N$315,10,0)))</f>
        <v xml:space="preserve"> </v>
      </c>
      <c r="T312" s="542"/>
    </row>
    <row r="313" spans="2:21" s="588" customFormat="1" ht="12" hidden="1" x14ac:dyDescent="0.3">
      <c r="B313" s="1239" t="s">
        <v>2138</v>
      </c>
      <c r="C313" s="1239"/>
      <c r="D313" s="1239"/>
      <c r="E313" s="554">
        <f>SUM(E315:E317)</f>
        <v>7365169309</v>
      </c>
      <c r="F313" s="554">
        <f>SUM(F315:F317)</f>
        <v>0</v>
      </c>
      <c r="G313" s="559"/>
      <c r="H313" s="559"/>
      <c r="I313" s="559"/>
      <c r="J313" s="554">
        <f>SUM(J315:J317)</f>
        <v>0</v>
      </c>
      <c r="K313" s="576" t="e">
        <f>+J313/F313</f>
        <v>#DIV/0!</v>
      </c>
      <c r="L313" s="554">
        <f>SUM(L315:L317)</f>
        <v>762175</v>
      </c>
      <c r="M313" s="605">
        <v>0</v>
      </c>
      <c r="N313" s="554">
        <f>SUM(N315:N317)</f>
        <v>0</v>
      </c>
      <c r="O313" s="657"/>
      <c r="P313" s="564" t="str">
        <f>IF(ISERROR(VLOOKUP(B313,'Base de Datos'!$C$7:$N$315,8,0))=TRUE," ",(VLOOKUP(B313,'Base de Datos'!$C$7:$N$315,8,0)))</f>
        <v xml:space="preserve"> </v>
      </c>
      <c r="Q313" s="565"/>
      <c r="R313" s="717" t="str">
        <f>IF(ISERROR(VLOOKUP(B313,'Base de Datos'!$C$7:$N$315,9,0))=TRUE," ",(VLOOKUP(B313,'Base de Datos'!$C$7:$N$315,9,0)))</f>
        <v xml:space="preserve"> </v>
      </c>
      <c r="S313" s="717" t="str">
        <f>IF(ISERROR(VLOOKUP(B313,'Base de Datos'!$C$7:$N$315,10,0))=TRUE," ",(VLOOKUP(B313,'Base de Datos'!$C$7:$N$315,10,0)))</f>
        <v xml:space="preserve"> </v>
      </c>
      <c r="T313" s="565"/>
      <c r="U313" s="629"/>
    </row>
    <row r="314" spans="2:21" s="588" customFormat="1" ht="22.8" hidden="1" x14ac:dyDescent="0.3">
      <c r="B314" s="510" t="s">
        <v>2127</v>
      </c>
      <c r="C314" s="510" t="s">
        <v>912</v>
      </c>
      <c r="D314" s="510" t="s">
        <v>1821</v>
      </c>
      <c r="E314" s="518" t="s">
        <v>1844</v>
      </c>
      <c r="F314" s="507" t="s">
        <v>2129</v>
      </c>
      <c r="G314" s="507"/>
      <c r="H314" s="507"/>
      <c r="I314" s="507"/>
      <c r="J314" s="510" t="s">
        <v>2130</v>
      </c>
      <c r="K314" s="625"/>
      <c r="L314" s="510" t="s">
        <v>1939</v>
      </c>
      <c r="M314" s="510"/>
      <c r="N314" s="510" t="s">
        <v>2136</v>
      </c>
      <c r="O314" s="650" t="s">
        <v>2133</v>
      </c>
      <c r="P314" s="541" t="s">
        <v>1817</v>
      </c>
      <c r="Q314" s="510" t="s">
        <v>1847</v>
      </c>
      <c r="R314" s="718" t="s">
        <v>1848</v>
      </c>
      <c r="S314" s="718" t="s">
        <v>375</v>
      </c>
      <c r="T314" s="510" t="s">
        <v>1849</v>
      </c>
      <c r="U314" s="629"/>
    </row>
    <row r="315" spans="2:21" s="588" customFormat="1" hidden="1" x14ac:dyDescent="0.3">
      <c r="B315" s="506"/>
      <c r="C315" s="729" t="s">
        <v>92</v>
      </c>
      <c r="D315" s="506" t="str">
        <f>VLOOKUP(C315,'Base de Datos'!$E$7:$AU$390,2,0)</f>
        <v>FONDO DE VIGILANCIA Y SEGURIDAD DE BOGOTÁ</v>
      </c>
      <c r="E315" s="509">
        <f>VLOOKUP(C315,'Base de Datos'!$E$7:$AU$390,5,0)</f>
        <v>7329236109</v>
      </c>
      <c r="F315" s="509" t="str">
        <f>VLOOKUP(C315,'Base de Datos'!$E$7:$AU$390,17,0)</f>
        <v/>
      </c>
      <c r="G315" s="506"/>
      <c r="H315" s="506"/>
      <c r="I315" s="506"/>
      <c r="J315" s="509" t="str">
        <f>VLOOKUP(C315,'Base de Datos'!$E$7:$AU$390,18,0)</f>
        <v/>
      </c>
      <c r="K315" s="573"/>
      <c r="L315" s="726">
        <v>613019</v>
      </c>
      <c r="M315" s="506"/>
      <c r="N315" s="509" t="str">
        <f>IF(OR(O315=Hoja1!$D$17,'Presupuesto - PAA 2015'!O315=Hoja1!$D$18),'Presupuesto - PAA 2015'!L315," ")</f>
        <v xml:space="preserve"> </v>
      </c>
      <c r="O315" s="651">
        <f>VLOOKUP(C315,'Base de Datos'!$E$7:$AU$390,32,0)</f>
        <v>0</v>
      </c>
      <c r="P315" s="709"/>
      <c r="Q315" s="506"/>
      <c r="R315" s="715">
        <f>VLOOKUP(C315,'Base de Datos'!$E$7:$AU$390,9,0)</f>
        <v>39724</v>
      </c>
      <c r="S315" s="715" t="str">
        <f>VLOOKUP(C315,'Base de Datos'!$E$7:$AU$390,16,0)</f>
        <v/>
      </c>
      <c r="T315" s="651" t="str">
        <f>VLOOKUP(C315,'Base de Datos'!$E$7:$AU$390,40,0)</f>
        <v/>
      </c>
      <c r="U315" s="629"/>
    </row>
    <row r="316" spans="2:21" s="588" customFormat="1" ht="12" hidden="1" x14ac:dyDescent="0.3">
      <c r="B316" s="722"/>
      <c r="C316" s="722"/>
      <c r="D316" s="722"/>
      <c r="E316" s="639"/>
      <c r="F316" s="639"/>
      <c r="G316" s="507"/>
      <c r="H316" s="507"/>
      <c r="I316" s="507"/>
      <c r="J316" s="639"/>
      <c r="K316" s="585"/>
      <c r="L316" s="639"/>
      <c r="M316" s="727"/>
      <c r="N316" s="639"/>
      <c r="O316" s="663"/>
      <c r="P316" s="553"/>
      <c r="Q316" s="587"/>
      <c r="R316" s="728"/>
      <c r="S316" s="728"/>
      <c r="T316" s="587"/>
      <c r="U316" s="629"/>
    </row>
    <row r="317" spans="2:21" ht="12" hidden="1" x14ac:dyDescent="0.3">
      <c r="B317" s="1239" t="s">
        <v>1651</v>
      </c>
      <c r="C317" s="1239"/>
      <c r="D317" s="1239"/>
      <c r="E317" s="554">
        <f>SUM(E319:E321)</f>
        <v>35933200</v>
      </c>
      <c r="F317" s="554">
        <f>SUM(F319:F321)</f>
        <v>0</v>
      </c>
      <c r="G317" s="559"/>
      <c r="H317" s="559"/>
      <c r="I317" s="559"/>
      <c r="J317" s="554">
        <f>SUM(J319:J321)</f>
        <v>0</v>
      </c>
      <c r="K317" s="576" t="e">
        <f>+J317/F317</f>
        <v>#DIV/0!</v>
      </c>
      <c r="L317" s="554">
        <f>SUM(L319:L321)</f>
        <v>149156</v>
      </c>
      <c r="M317" s="605">
        <v>0</v>
      </c>
      <c r="N317" s="554">
        <f>SUM(N319:N321)</f>
        <v>0</v>
      </c>
      <c r="O317" s="657"/>
      <c r="P317" s="564" t="str">
        <f>IF(ISERROR(VLOOKUP(B317,'Base de Datos'!$C$7:$N$315,8,0))=TRUE," ",(VLOOKUP(B317,'Base de Datos'!$C$7:$N$315,8,0)))</f>
        <v xml:space="preserve"> </v>
      </c>
      <c r="Q317" s="565"/>
      <c r="R317" s="717" t="str">
        <f>IF(ISERROR(VLOOKUP(B317,'Base de Datos'!$C$7:$N$315,9,0))=TRUE," ",(VLOOKUP(B317,'Base de Datos'!$C$7:$N$315,9,0)))</f>
        <v xml:space="preserve"> </v>
      </c>
      <c r="S317" s="717" t="str">
        <f>IF(ISERROR(VLOOKUP(B317,'Base de Datos'!$C$7:$N$315,10,0))=TRUE," ",(VLOOKUP(B317,'Base de Datos'!$C$7:$N$315,10,0)))</f>
        <v xml:space="preserve"> </v>
      </c>
      <c r="T317" s="565"/>
    </row>
    <row r="318" spans="2:21" ht="22.8" hidden="1" x14ac:dyDescent="0.3">
      <c r="B318" s="510" t="s">
        <v>2127</v>
      </c>
      <c r="C318" s="510" t="s">
        <v>912</v>
      </c>
      <c r="D318" s="510" t="s">
        <v>1821</v>
      </c>
      <c r="E318" s="518" t="s">
        <v>1844</v>
      </c>
      <c r="F318" s="507" t="s">
        <v>2129</v>
      </c>
      <c r="G318" s="507"/>
      <c r="H318" s="507"/>
      <c r="I318" s="507"/>
      <c r="J318" s="510" t="s">
        <v>2130</v>
      </c>
      <c r="K318" s="625"/>
      <c r="L318" s="510" t="s">
        <v>1939</v>
      </c>
      <c r="M318" s="510"/>
      <c r="N318" s="510" t="s">
        <v>2136</v>
      </c>
      <c r="O318" s="650" t="s">
        <v>2133</v>
      </c>
      <c r="P318" s="541" t="s">
        <v>1817</v>
      </c>
      <c r="Q318" s="510" t="s">
        <v>1847</v>
      </c>
      <c r="R318" s="718" t="s">
        <v>1848</v>
      </c>
      <c r="S318" s="718" t="s">
        <v>375</v>
      </c>
      <c r="T318" s="510" t="s">
        <v>1849</v>
      </c>
    </row>
    <row r="319" spans="2:21" ht="22.8" hidden="1" x14ac:dyDescent="0.3">
      <c r="B319" s="506"/>
      <c r="C319" s="506" t="s">
        <v>11</v>
      </c>
      <c r="D319" s="506" t="str">
        <f>VLOOKUP(C319,'Base de Datos'!$E$7:$AU$390,2,0)</f>
        <v>DIRECTV COLOMBIA LTDA</v>
      </c>
      <c r="E319" s="509">
        <f>VLOOKUP(C319,'Base de Datos'!$E$7:$AU$390,5,0)</f>
        <v>1633200</v>
      </c>
      <c r="F319" s="509" t="str">
        <f>VLOOKUP(C319,'Base de Datos'!$E$7:$AU$390,17,0)</f>
        <v/>
      </c>
      <c r="G319" s="506"/>
      <c r="H319" s="506"/>
      <c r="I319" s="506"/>
      <c r="J319" s="509" t="str">
        <f>VLOOKUP(C319,'Base de Datos'!$E$7:$AU$390,18,0)</f>
        <v/>
      </c>
      <c r="K319" s="573"/>
      <c r="L319" s="726">
        <v>65038</v>
      </c>
      <c r="M319" s="506"/>
      <c r="N319" s="509" t="str">
        <f>IF(OR(O319=Hoja1!$D$17,'Presupuesto - PAA 2015'!O319=Hoja1!$D$18),'Presupuesto - PAA 2015'!L319," ")</f>
        <v xml:space="preserve"> </v>
      </c>
      <c r="O319" s="651" t="str">
        <f>VLOOKUP(C319,'Base de Datos'!$E$7:$AU$390,33,0)</f>
        <v>Dirección Administrativa</v>
      </c>
      <c r="P319" s="709"/>
      <c r="Q319" s="506"/>
      <c r="R319" s="715">
        <f>VLOOKUP(C319,'Base de Datos'!$E$7:$AU$390,9,0)</f>
        <v>41288</v>
      </c>
      <c r="S319" s="715">
        <f>VLOOKUP(C319,'Base de Datos'!$E$7:$AU$390,16,0)</f>
        <v>41711</v>
      </c>
      <c r="T319" s="651" t="str">
        <f>VLOOKUP(C319,'Base de Datos'!$E$7:$AU$390,40,0)</f>
        <v/>
      </c>
    </row>
    <row r="320" spans="2:21" hidden="1" x14ac:dyDescent="0.3">
      <c r="B320" s="506"/>
      <c r="C320" s="506" t="s">
        <v>129</v>
      </c>
      <c r="D320" s="506" t="str">
        <f>VLOOKUP(C320,'Base de Datos'!$E$7:$AU$390,2,0)</f>
        <v>UNIÓN TEMPORAL INTERPOSTAL URBANEX</v>
      </c>
      <c r="E320" s="509">
        <f>VLOOKUP(C320,'Base de Datos'!$E$7:$AU$390,5,0)</f>
        <v>22300000</v>
      </c>
      <c r="F320" s="509" t="str">
        <f>VLOOKUP(C320,'Base de Datos'!$E$7:$AU$390,17,0)</f>
        <v/>
      </c>
      <c r="G320" s="506"/>
      <c r="H320" s="506"/>
      <c r="I320" s="506"/>
      <c r="J320" s="509" t="str">
        <f>VLOOKUP(C320,'Base de Datos'!$E$7:$AU$390,18,0)</f>
        <v/>
      </c>
      <c r="K320" s="573"/>
      <c r="L320" s="714">
        <f>VLOOKUP(C320,'Base de Datos'!$E$7:$AU$390,19,0)</f>
        <v>41806</v>
      </c>
      <c r="M320" s="506"/>
      <c r="N320" s="509" t="str">
        <f>IF(OR(O320=Hoja1!$D$17,'Presupuesto - PAA 2015'!O320=Hoja1!$D$18),'Presupuesto - PAA 2015'!L320," ")</f>
        <v xml:space="preserve"> </v>
      </c>
      <c r="O320" s="723" t="s">
        <v>2132</v>
      </c>
      <c r="P320" s="709" t="s">
        <v>2135</v>
      </c>
      <c r="Q320" s="506"/>
      <c r="R320" s="715">
        <f>VLOOKUP(C320,'Base de Datos'!$E$7:$AU$390,9,0)</f>
        <v>41410</v>
      </c>
      <c r="S320" s="715">
        <f>VLOOKUP(C320,'Base de Datos'!$E$7:$AU$390,16,0)</f>
        <v>41806</v>
      </c>
      <c r="T320" s="651">
        <f>VLOOKUP(C320,'Base de Datos'!$E$7:$AU$390,40,0)</f>
        <v>0</v>
      </c>
    </row>
    <row r="321" spans="2:21" ht="22.8" hidden="1" x14ac:dyDescent="0.3">
      <c r="B321" s="506"/>
      <c r="C321" s="506" t="s">
        <v>300</v>
      </c>
      <c r="D321" s="506" t="str">
        <f>VLOOKUP(C321,'Base de Datos'!$E$7:$AU$390,2,0)</f>
        <v>MUDANZAS EL NOGAL SAS</v>
      </c>
      <c r="E321" s="509">
        <f>VLOOKUP(C321,'Base de Datos'!$E$7:$AU$390,5,0)</f>
        <v>12000000</v>
      </c>
      <c r="F321" s="509" t="str">
        <f>VLOOKUP(C321,'Base de Datos'!$E$7:$AU$390,17,0)</f>
        <v/>
      </c>
      <c r="G321" s="506"/>
      <c r="H321" s="506"/>
      <c r="I321" s="506"/>
      <c r="J321" s="509" t="str">
        <f>VLOOKUP(C321,'Base de Datos'!$E$7:$AU$390,18,0)</f>
        <v/>
      </c>
      <c r="K321" s="573"/>
      <c r="L321" s="714">
        <f>VLOOKUP(C321,'Base de Datos'!$E$7:$AU$390,19,0)</f>
        <v>42312</v>
      </c>
      <c r="M321" s="506"/>
      <c r="N321" s="509" t="str">
        <f>IF(OR(O321=Hoja1!$D$17,'Presupuesto - PAA 2015'!O321=Hoja1!$D$18),'Presupuesto - PAA 2015'!L321," ")</f>
        <v xml:space="preserve"> </v>
      </c>
      <c r="O321" s="651" t="str">
        <f>VLOOKUP(C321,'Base de Datos'!$E$7:$AU$390,33,0)</f>
        <v>Dirección Administrativa</v>
      </c>
      <c r="P321" s="709"/>
      <c r="Q321" s="506"/>
      <c r="R321" s="715">
        <f>VLOOKUP(C321,'Base de Datos'!$E$7:$AU$390,9,0)</f>
        <v>41824</v>
      </c>
      <c r="S321" s="715">
        <f>VLOOKUP(C321,'Base de Datos'!$E$7:$AU$390,16,0)</f>
        <v>42312</v>
      </c>
      <c r="T321" s="651">
        <f>VLOOKUP(C321,'Base de Datos'!$E$7:$AU$390,40,0)</f>
        <v>0</v>
      </c>
    </row>
    <row r="322" spans="2:21" hidden="1" x14ac:dyDescent="0.3">
      <c r="B322" s="506"/>
      <c r="C322" s="506"/>
      <c r="D322" s="506"/>
      <c r="E322" s="506"/>
      <c r="F322" s="506"/>
      <c r="G322" s="506"/>
      <c r="H322" s="506"/>
      <c r="I322" s="506"/>
      <c r="J322" s="506"/>
      <c r="K322" s="573"/>
      <c r="L322" s="506"/>
      <c r="M322" s="506"/>
      <c r="N322" s="506"/>
      <c r="O322" s="664"/>
      <c r="P322" s="709"/>
      <c r="Q322" s="506"/>
      <c r="R322" s="716"/>
      <c r="S322" s="716"/>
      <c r="T322" s="506"/>
    </row>
    <row r="323" spans="2:21" ht="12" hidden="1" x14ac:dyDescent="0.3">
      <c r="B323" s="1239" t="s">
        <v>1652</v>
      </c>
      <c r="C323" s="1239"/>
      <c r="D323" s="1239"/>
      <c r="E323" s="554">
        <f>+E325</f>
        <v>36581760</v>
      </c>
      <c r="F323" s="554" t="str">
        <f>+F325</f>
        <v/>
      </c>
      <c r="G323" s="559"/>
      <c r="H323" s="559"/>
      <c r="I323" s="559"/>
      <c r="J323" s="554" t="str">
        <f>+J325</f>
        <v/>
      </c>
      <c r="K323" s="576" t="e">
        <f>+J323/F323</f>
        <v>#VALUE!</v>
      </c>
      <c r="L323" s="554">
        <f>+L325</f>
        <v>42186</v>
      </c>
      <c r="M323" s="605">
        <v>0</v>
      </c>
      <c r="N323" s="724">
        <f>SUM(N325:N326)</f>
        <v>0</v>
      </c>
      <c r="O323" s="657"/>
      <c r="P323" s="564" t="str">
        <f>IF(ISERROR(VLOOKUP(B323,'Base de Datos'!$C$7:$N$315,8,0))=TRUE," ",(VLOOKUP(B323,'Base de Datos'!$C$7:$N$315,8,0)))</f>
        <v xml:space="preserve"> </v>
      </c>
      <c r="Q323" s="565"/>
      <c r="R323" s="717" t="str">
        <f>IF(ISERROR(VLOOKUP(B323,'Base de Datos'!$C$7:$N$315,9,0))=TRUE," ",(VLOOKUP(B323,'Base de Datos'!$C$7:$N$315,9,0)))</f>
        <v xml:space="preserve"> </v>
      </c>
      <c r="S323" s="717" t="str">
        <f>IF(ISERROR(VLOOKUP(B323,'Base de Datos'!$C$7:$N$315,10,0))=TRUE," ",(VLOOKUP(B323,'Base de Datos'!$C$7:$N$315,10,0)))</f>
        <v xml:space="preserve"> </v>
      </c>
      <c r="T323" s="565"/>
      <c r="U323" s="508"/>
    </row>
    <row r="324" spans="2:21" ht="22.8" hidden="1" x14ac:dyDescent="0.3">
      <c r="B324" s="510" t="s">
        <v>2127</v>
      </c>
      <c r="C324" s="510" t="s">
        <v>912</v>
      </c>
      <c r="D324" s="510" t="s">
        <v>1821</v>
      </c>
      <c r="E324" s="518" t="s">
        <v>1844</v>
      </c>
      <c r="F324" s="507" t="s">
        <v>2129</v>
      </c>
      <c r="G324" s="507"/>
      <c r="H324" s="507"/>
      <c r="I324" s="507"/>
      <c r="J324" s="510" t="s">
        <v>2130</v>
      </c>
      <c r="K324" s="625"/>
      <c r="L324" s="510" t="s">
        <v>1939</v>
      </c>
      <c r="M324" s="510"/>
      <c r="N324" s="510" t="s">
        <v>2136</v>
      </c>
      <c r="O324" s="650" t="s">
        <v>2133</v>
      </c>
      <c r="P324" s="541" t="s">
        <v>1817</v>
      </c>
      <c r="Q324" s="510" t="s">
        <v>1847</v>
      </c>
      <c r="R324" s="718" t="s">
        <v>1848</v>
      </c>
      <c r="S324" s="718" t="s">
        <v>375</v>
      </c>
      <c r="T324" s="510" t="s">
        <v>1849</v>
      </c>
      <c r="U324" s="508"/>
    </row>
    <row r="325" spans="2:21" ht="22.8" hidden="1" x14ac:dyDescent="0.3">
      <c r="B325" s="506"/>
      <c r="C325" s="506" t="s">
        <v>294</v>
      </c>
      <c r="D325" s="506" t="str">
        <f>VLOOKUP(C325,'Base de Datos'!$E$7:$AU$390,2,0)</f>
        <v>T Y G MINOLTA</v>
      </c>
      <c r="E325" s="509">
        <f>VLOOKUP(C325,'Base de Datos'!$E$7:$AU$390,5,0)</f>
        <v>36581760</v>
      </c>
      <c r="F325" s="509" t="str">
        <f>VLOOKUP(C325,'Base de Datos'!$E$7:$AU$390,17,0)</f>
        <v/>
      </c>
      <c r="G325" s="506"/>
      <c r="H325" s="506"/>
      <c r="I325" s="506"/>
      <c r="J325" s="509" t="str">
        <f>VLOOKUP(C325,'Base de Datos'!$E$7:$AU$390,18,0)</f>
        <v/>
      </c>
      <c r="K325" s="573"/>
      <c r="L325" s="714">
        <f>VLOOKUP(C325,'Base de Datos'!$E$7:$AU$390,19,0)</f>
        <v>42186</v>
      </c>
      <c r="M325" s="506"/>
      <c r="N325" s="509" t="str">
        <f>IF(OR(O325=Hoja1!$D$17,'Presupuesto - PAA 2015'!O325=Hoja1!$D$18),'Presupuesto - PAA 2015'!L325," ")</f>
        <v xml:space="preserve"> </v>
      </c>
      <c r="O325" s="651" t="str">
        <f>VLOOKUP(C325,'Base de Datos'!$E$7:$AU$390,33,0)</f>
        <v>Dirección Administrativa</v>
      </c>
      <c r="P325" s="709"/>
      <c r="Q325" s="506"/>
      <c r="R325" s="715">
        <f>VLOOKUP(C325,'Base de Datos'!$E$7:$AU$390,9,0)</f>
        <v>41821</v>
      </c>
      <c r="S325" s="715">
        <f>VLOOKUP(C325,'Base de Datos'!$E$7:$AU$390,16,0)</f>
        <v>42186</v>
      </c>
      <c r="T325" s="651">
        <f>VLOOKUP(C325,'Base de Datos'!$E$7:$AU$390,40,0)</f>
        <v>0</v>
      </c>
      <c r="U325" s="508"/>
    </row>
    <row r="326" spans="2:21" hidden="1" x14ac:dyDescent="0.3">
      <c r="B326" s="506"/>
      <c r="C326" s="506"/>
      <c r="D326" s="506"/>
      <c r="E326" s="506"/>
      <c r="F326" s="506"/>
      <c r="G326" s="506"/>
      <c r="H326" s="506"/>
      <c r="I326" s="506"/>
      <c r="J326" s="506"/>
      <c r="K326" s="573"/>
      <c r="L326" s="506"/>
      <c r="M326" s="506"/>
      <c r="N326" s="506"/>
      <c r="O326" s="664"/>
      <c r="P326" s="709"/>
      <c r="Q326" s="506"/>
      <c r="R326" s="716"/>
      <c r="S326" s="716"/>
      <c r="T326" s="506"/>
      <c r="U326" s="508"/>
    </row>
    <row r="327" spans="2:21" ht="12" hidden="1" x14ac:dyDescent="0.3">
      <c r="B327" s="1240" t="s">
        <v>1653</v>
      </c>
      <c r="C327" s="1240"/>
      <c r="D327" s="1240"/>
      <c r="E327" s="512">
        <f>+E328</f>
        <v>1888405314</v>
      </c>
      <c r="F327" s="604">
        <f>+F328</f>
        <v>0</v>
      </c>
      <c r="G327" s="513"/>
      <c r="H327" s="513"/>
      <c r="I327" s="513"/>
      <c r="J327" s="604">
        <f>+J328</f>
        <v>0</v>
      </c>
      <c r="K327" s="583"/>
      <c r="L327" s="604">
        <f>+L328</f>
        <v>17734225</v>
      </c>
      <c r="M327" s="516"/>
      <c r="N327" s="604">
        <f>+N328</f>
        <v>0</v>
      </c>
      <c r="O327" s="662"/>
      <c r="P327" s="548" t="str">
        <f>IF(ISERROR(VLOOKUP(B327,'Base de Datos'!$C$7:$N$315,8,0))=TRUE," ",(VLOOKUP(B327,'Base de Datos'!$C$7:$N$315,8,0)))</f>
        <v xml:space="preserve"> </v>
      </c>
      <c r="Q327" s="542"/>
      <c r="R327" s="719" t="str">
        <f>IF(ISERROR(VLOOKUP(B327,'Base de Datos'!$C$7:$N$315,9,0))=TRUE," ",(VLOOKUP(B327,'Base de Datos'!$C$7:$N$315,9,0)))</f>
        <v xml:space="preserve"> </v>
      </c>
      <c r="S327" s="719" t="str">
        <f>IF(ISERROR(VLOOKUP(B327,'Base de Datos'!$C$7:$N$315,10,0))=TRUE," ",(VLOOKUP(B327,'Base de Datos'!$C$7:$N$315,10,0)))</f>
        <v xml:space="preserve"> </v>
      </c>
      <c r="T327" s="542"/>
      <c r="U327" s="508"/>
    </row>
    <row r="328" spans="2:21" hidden="1" x14ac:dyDescent="0.3">
      <c r="B328" s="1239" t="s">
        <v>1654</v>
      </c>
      <c r="C328" s="1239"/>
      <c r="D328" s="1239"/>
      <c r="E328" s="554">
        <f>SUM(E330:E345)</f>
        <v>1888405314</v>
      </c>
      <c r="F328" s="554">
        <f>SUM(F330:F345)</f>
        <v>0</v>
      </c>
      <c r="G328" s="559"/>
      <c r="H328" s="559"/>
      <c r="I328" s="559"/>
      <c r="J328" s="554">
        <f>SUM(J330:J345)</f>
        <v>0</v>
      </c>
      <c r="K328" s="576" t="e">
        <f>+J328/F328</f>
        <v>#DIV/0!</v>
      </c>
      <c r="L328" s="554">
        <f>SUM(L330:L345)</f>
        <v>17734225</v>
      </c>
      <c r="M328" s="554"/>
      <c r="N328" s="554">
        <f>SUM(N330:N345)</f>
        <v>0</v>
      </c>
      <c r="O328" s="657"/>
      <c r="P328" s="564" t="str">
        <f>IF(ISERROR(VLOOKUP(B328,'Base de Datos'!$C$7:$N$315,8,0))=TRUE," ",(VLOOKUP(B328,'Base de Datos'!$C$7:$N$315,8,0)))</f>
        <v xml:space="preserve"> </v>
      </c>
      <c r="Q328" s="565"/>
      <c r="R328" s="717" t="str">
        <f>IF(ISERROR(VLOOKUP(B328,'Base de Datos'!$C$7:$N$315,9,0))=TRUE," ",(VLOOKUP(B328,'Base de Datos'!$C$7:$N$315,9,0)))</f>
        <v xml:space="preserve"> </v>
      </c>
      <c r="S328" s="717" t="str">
        <f>IF(ISERROR(VLOOKUP(B328,'Base de Datos'!$C$7:$N$315,10,0))=TRUE," ",(VLOOKUP(B328,'Base de Datos'!$C$7:$N$315,10,0)))</f>
        <v xml:space="preserve"> </v>
      </c>
      <c r="T328" s="565"/>
      <c r="U328" s="508"/>
    </row>
    <row r="329" spans="2:21" ht="22.8" hidden="1" x14ac:dyDescent="0.3">
      <c r="B329" s="510" t="s">
        <v>2127</v>
      </c>
      <c r="C329" s="510" t="s">
        <v>912</v>
      </c>
      <c r="D329" s="510" t="s">
        <v>1821</v>
      </c>
      <c r="E329" s="518" t="s">
        <v>1844</v>
      </c>
      <c r="F329" s="507" t="s">
        <v>2129</v>
      </c>
      <c r="G329" s="507"/>
      <c r="H329" s="507"/>
      <c r="I329" s="507"/>
      <c r="J329" s="510" t="s">
        <v>2130</v>
      </c>
      <c r="K329" s="625"/>
      <c r="L329" s="510" t="s">
        <v>1939</v>
      </c>
      <c r="M329" s="510"/>
      <c r="N329" s="510" t="s">
        <v>2136</v>
      </c>
      <c r="O329" s="650" t="s">
        <v>2133</v>
      </c>
      <c r="P329" s="541" t="s">
        <v>1817</v>
      </c>
      <c r="Q329" s="510" t="s">
        <v>1847</v>
      </c>
      <c r="R329" s="718" t="s">
        <v>1848</v>
      </c>
      <c r="S329" s="718" t="s">
        <v>375</v>
      </c>
      <c r="T329" s="510" t="s">
        <v>1849</v>
      </c>
      <c r="U329" s="508"/>
    </row>
    <row r="330" spans="2:21" hidden="1" x14ac:dyDescent="0.3">
      <c r="B330" s="506"/>
      <c r="C330" s="506" t="s">
        <v>302</v>
      </c>
      <c r="D330" s="506" t="str">
        <f>VLOOKUP(C330,'Base de Datos'!$E$7:$AU$390,2,0)</f>
        <v>DIVIEXPORT EU</v>
      </c>
      <c r="E330" s="509">
        <f>VLOOKUP(C330,'Base de Datos'!$E$7:$AU$390,5,0)</f>
        <v>4672000</v>
      </c>
      <c r="F330" s="509" t="str">
        <f>VLOOKUP(C330,'Base de Datos'!$E$7:$AU$390,17,0)</f>
        <v/>
      </c>
      <c r="G330" s="506"/>
      <c r="H330" s="506"/>
      <c r="I330" s="506"/>
      <c r="J330" s="509" t="str">
        <f>VLOOKUP(C330,'Base de Datos'!$E$7:$AU$390,18,0)</f>
        <v/>
      </c>
      <c r="K330" s="573"/>
      <c r="L330" s="714">
        <f>VLOOKUP(C330,'Base de Datos'!$E$7:$AU$390,19,0)</f>
        <v>42050</v>
      </c>
      <c r="M330" s="506"/>
      <c r="N330" s="509" t="str">
        <f>IF(OR(O330=Hoja1!$D$17,'Presupuesto - PAA 2015'!O330=Hoja1!$D$18),'Presupuesto - PAA 2015'!L330," ")</f>
        <v xml:space="preserve"> </v>
      </c>
      <c r="O330" s="723" t="s">
        <v>2132</v>
      </c>
      <c r="P330" s="709" t="s">
        <v>2135</v>
      </c>
      <c r="Q330" s="506"/>
      <c r="R330" s="715">
        <f>VLOOKUP(C330,'Base de Datos'!$E$7:$AU$390,9,0)</f>
        <v>41835</v>
      </c>
      <c r="S330" s="715" t="str">
        <f>VLOOKUP(C330,'Base de Datos'!$E$7:$AU$390,16,0)</f>
        <v/>
      </c>
      <c r="T330" s="651">
        <f>VLOOKUP(C330,'Base de Datos'!$E$7:$AU$390,40,0)</f>
        <v>0</v>
      </c>
      <c r="U330" s="508"/>
    </row>
    <row r="331" spans="2:21" ht="22.8" hidden="1" x14ac:dyDescent="0.3">
      <c r="B331" s="506"/>
      <c r="C331" s="506" t="s">
        <v>271</v>
      </c>
      <c r="D331" s="506" t="str">
        <f>VLOOKUP(C331,'Base de Datos'!$E$7:$AU$390,2,0)</f>
        <v>MODULARES OFIMA LTDA</v>
      </c>
      <c r="E331" s="509">
        <f>VLOOKUP(C331,'Base de Datos'!$E$7:$AU$390,5,0)</f>
        <v>28000000</v>
      </c>
      <c r="F331" s="509" t="str">
        <f>VLOOKUP(C331,'Base de Datos'!$E$7:$AU$390,17,0)</f>
        <v/>
      </c>
      <c r="G331" s="506"/>
      <c r="H331" s="506"/>
      <c r="I331" s="506"/>
      <c r="J331" s="509" t="str">
        <f>VLOOKUP(C331,'Base de Datos'!$E$7:$AU$390,18,0)</f>
        <v/>
      </c>
      <c r="K331" s="573"/>
      <c r="L331" s="714">
        <f>VLOOKUP(C331,'Base de Datos'!$E$7:$AU$390,19,0)</f>
        <v>41951</v>
      </c>
      <c r="M331" s="506"/>
      <c r="N331" s="509" t="str">
        <f>IF(OR(O331=Hoja1!$D$17,'Presupuesto - PAA 2015'!O331=Hoja1!$D$18),'Presupuesto - PAA 2015'!L331," ")</f>
        <v xml:space="preserve"> </v>
      </c>
      <c r="O331" s="723" t="str">
        <f>VLOOKUP(C331,'Base de Datos'!$E$7:$AU$390,33,0)</f>
        <v>Dirección Administrativa</v>
      </c>
      <c r="P331" s="709" t="s">
        <v>2135</v>
      </c>
      <c r="Q331" s="506"/>
      <c r="R331" s="715">
        <f>VLOOKUP(C331,'Base de Datos'!$E$7:$AU$390,9,0)</f>
        <v>41738</v>
      </c>
      <c r="S331" s="715" t="str">
        <f>VLOOKUP(C331,'Base de Datos'!$E$7:$AU$390,16,0)</f>
        <v/>
      </c>
      <c r="T331" s="651">
        <f>VLOOKUP(C331,'Base de Datos'!$E$7:$AU$390,40,0)</f>
        <v>0</v>
      </c>
      <c r="U331" s="508"/>
    </row>
    <row r="332" spans="2:21" ht="22.8" hidden="1" x14ac:dyDescent="0.3">
      <c r="B332" s="506"/>
      <c r="C332" s="506" t="s">
        <v>279</v>
      </c>
      <c r="D332" s="506" t="str">
        <f>VLOOKUP(C332,'Base de Datos'!$E$7:$AU$390,2,0)</f>
        <v>HERNANDO  BULLA ORJUELA</v>
      </c>
      <c r="E332" s="509">
        <f>VLOOKUP(C332,'Base de Datos'!$E$7:$AU$390,5,0)</f>
        <v>20872000</v>
      </c>
      <c r="F332" s="509" t="str">
        <f>VLOOKUP(C332,'Base de Datos'!$E$7:$AU$390,17,0)</f>
        <v/>
      </c>
      <c r="G332" s="506"/>
      <c r="H332" s="506"/>
      <c r="I332" s="506"/>
      <c r="J332" s="509" t="str">
        <f>VLOOKUP(C332,'Base de Datos'!$E$7:$AU$390,18,0)</f>
        <v/>
      </c>
      <c r="K332" s="573"/>
      <c r="L332" s="714">
        <f>VLOOKUP(C332,'Base de Datos'!$E$7:$AU$390,19,0)</f>
        <v>42091</v>
      </c>
      <c r="M332" s="506"/>
      <c r="N332" s="509" t="str">
        <f>IF(OR(O332=Hoja1!$D$17,'Presupuesto - PAA 2015'!O332=Hoja1!$D$18),'Presupuesto - PAA 2015'!L332," ")</f>
        <v xml:space="preserve"> </v>
      </c>
      <c r="O332" s="723" t="str">
        <f>VLOOKUP(C332,'Base de Datos'!$E$7:$AU$390,33,0)</f>
        <v>Dirección Administrativa</v>
      </c>
      <c r="P332" s="709" t="s">
        <v>2135</v>
      </c>
      <c r="Q332" s="506"/>
      <c r="R332" s="715">
        <f>VLOOKUP(C332,'Base de Datos'!$E$7:$AU$390,9,0)</f>
        <v>41757</v>
      </c>
      <c r="S332" s="715">
        <f>VLOOKUP(C332,'Base de Datos'!$E$7:$AU$390,16,0)</f>
        <v>42091</v>
      </c>
      <c r="T332" s="651">
        <f>VLOOKUP(C332,'Base de Datos'!$E$7:$AU$390,40,0)</f>
        <v>0</v>
      </c>
      <c r="U332" s="508"/>
    </row>
    <row r="333" spans="2:21" ht="22.8" hidden="1" x14ac:dyDescent="0.3">
      <c r="B333" s="506"/>
      <c r="C333" s="506" t="s">
        <v>268</v>
      </c>
      <c r="D333" s="506" t="str">
        <f>VLOOKUP(C333,'Base de Datos'!$E$7:$AU$390,2,0)</f>
        <v>MITSUBISHIS ELECTRIC DE COLOMBIA LTDA</v>
      </c>
      <c r="E333" s="509">
        <f>VLOOKUP(C333,'Base de Datos'!$E$7:$AU$390,5,0)</f>
        <v>16555000</v>
      </c>
      <c r="F333" s="509" t="str">
        <f>VLOOKUP(C333,'Base de Datos'!$E$7:$AU$390,17,0)</f>
        <v/>
      </c>
      <c r="G333" s="506"/>
      <c r="H333" s="506"/>
      <c r="I333" s="506"/>
      <c r="J333" s="509" t="str">
        <f>VLOOKUP(C333,'Base de Datos'!$E$7:$AU$390,18,0)</f>
        <v/>
      </c>
      <c r="K333" s="573"/>
      <c r="L333" s="714">
        <f>VLOOKUP(C333,'Base de Datos'!$E$7:$AU$390,19,0)</f>
        <v>42096</v>
      </c>
      <c r="M333" s="506"/>
      <c r="N333" s="509" t="str">
        <f>IF(OR(O333=Hoja1!$D$17,'Presupuesto - PAA 2015'!O333=Hoja1!$D$18),'Presupuesto - PAA 2015'!L333," ")</f>
        <v xml:space="preserve"> </v>
      </c>
      <c r="O333" s="651" t="str">
        <f>VLOOKUP(C333,'Base de Datos'!$E$7:$AU$390,33,0)</f>
        <v>Dirección Administrativa</v>
      </c>
      <c r="P333" s="709"/>
      <c r="Q333" s="506"/>
      <c r="R333" s="715">
        <f>VLOOKUP(C333,'Base de Datos'!$E$7:$AU$390,9,0)</f>
        <v>41732</v>
      </c>
      <c r="S333" s="715" t="str">
        <f>VLOOKUP(C333,'Base de Datos'!$E$7:$AU$390,16,0)</f>
        <v/>
      </c>
      <c r="T333" s="651">
        <f>VLOOKUP(C333,'Base de Datos'!$E$7:$AU$390,40,0)</f>
        <v>0</v>
      </c>
      <c r="U333" s="508"/>
    </row>
    <row r="334" spans="2:21" ht="22.8" hidden="1" x14ac:dyDescent="0.3">
      <c r="B334" s="506"/>
      <c r="C334" s="506" t="s">
        <v>1490</v>
      </c>
      <c r="D334" s="506" t="str">
        <f>VLOOKUP(C334,'Base de Datos'!$E$7:$AU$390,2,0)</f>
        <v>VIGILANCIA ACOSTA LIMITADA</v>
      </c>
      <c r="E334" s="509">
        <f>VLOOKUP(C334,'Base de Datos'!$E$7:$AU$390,5,0)</f>
        <v>300000000</v>
      </c>
      <c r="F334" s="509" t="str">
        <f>VLOOKUP(C334,'Base de Datos'!$E$7:$AU$390,17,0)</f>
        <v/>
      </c>
      <c r="G334" s="506"/>
      <c r="H334" s="506"/>
      <c r="I334" s="506"/>
      <c r="J334" s="509" t="str">
        <f>VLOOKUP(C334,'Base de Datos'!$E$7:$AU$390,18,0)</f>
        <v/>
      </c>
      <c r="K334" s="573"/>
      <c r="L334" s="714">
        <f>VLOOKUP(C334,'Base de Datos'!$E$7:$AU$390,19,0)</f>
        <v>42140</v>
      </c>
      <c r="M334" s="506"/>
      <c r="N334" s="509" t="str">
        <f>IF(OR(O334=Hoja1!$D$17,'Presupuesto - PAA 2015'!O334=Hoja1!$D$18),'Presupuesto - PAA 2015'!L334," ")</f>
        <v xml:space="preserve"> </v>
      </c>
      <c r="O334" s="651" t="str">
        <f>VLOOKUP(C334,'Base de Datos'!$E$7:$AU$390,33,0)</f>
        <v>Dirección Administrativa</v>
      </c>
      <c r="P334" s="709"/>
      <c r="Q334" s="506"/>
      <c r="R334" s="715">
        <f>VLOOKUP(C334,'Base de Datos'!$E$7:$AU$390,9,0)</f>
        <v>41989</v>
      </c>
      <c r="S334" s="715" t="str">
        <f>VLOOKUP(C334,'Base de Datos'!$E$7:$AU$390,16,0)</f>
        <v/>
      </c>
      <c r="T334" s="651">
        <f>VLOOKUP(C334,'Base de Datos'!$E$7:$AU$390,40,0)</f>
        <v>0</v>
      </c>
      <c r="U334" s="508"/>
    </row>
    <row r="335" spans="2:21" ht="22.8" hidden="1" x14ac:dyDescent="0.3">
      <c r="B335" s="506"/>
      <c r="C335" s="506" t="s">
        <v>292</v>
      </c>
      <c r="D335" s="506" t="str">
        <f>VLOOKUP(C335,'Base de Datos'!$E$7:$AU$390,2,0)</f>
        <v>ELKIN MAURICIO DIMAS MONTAYA</v>
      </c>
      <c r="E335" s="509">
        <f>VLOOKUP(C335,'Base de Datos'!$E$7:$AU$390,5,0)</f>
        <v>16390000</v>
      </c>
      <c r="F335" s="509" t="str">
        <f>VLOOKUP(C335,'Base de Datos'!$E$7:$AU$390,17,0)</f>
        <v/>
      </c>
      <c r="G335" s="506"/>
      <c r="H335" s="506"/>
      <c r="I335" s="506"/>
      <c r="J335" s="509" t="str">
        <f>VLOOKUP(C335,'Base de Datos'!$E$7:$AU$390,18,0)</f>
        <v/>
      </c>
      <c r="K335" s="573"/>
      <c r="L335" s="714">
        <f>VLOOKUP(C335,'Base de Datos'!$E$7:$AU$390,19,0)</f>
        <v>42247</v>
      </c>
      <c r="M335" s="506"/>
      <c r="N335" s="509" t="str">
        <f>IF(OR(O335=Hoja1!$D$17,'Presupuesto - PAA 2015'!O335=Hoja1!$D$18),'Presupuesto - PAA 2015'!L335," ")</f>
        <v xml:space="preserve"> </v>
      </c>
      <c r="O335" s="651" t="str">
        <f>VLOOKUP(C335,'Base de Datos'!$E$7:$AU$390,33,0)</f>
        <v>Dirección Administrativa</v>
      </c>
      <c r="P335" s="709"/>
      <c r="Q335" s="506"/>
      <c r="R335" s="715">
        <f>VLOOKUP(C335,'Base de Datos'!$E$7:$AU$390,9,0)</f>
        <v>41799</v>
      </c>
      <c r="S335" s="715">
        <f>VLOOKUP(C335,'Base de Datos'!$E$7:$AU$390,16,0)</f>
        <v>42247</v>
      </c>
      <c r="T335" s="651">
        <f>VLOOKUP(C335,'Base de Datos'!$E$7:$AU$390,40,0)</f>
        <v>0</v>
      </c>
      <c r="U335" s="508"/>
    </row>
    <row r="336" spans="2:21" ht="22.8" hidden="1" x14ac:dyDescent="0.3">
      <c r="B336" s="506"/>
      <c r="C336" s="506" t="s">
        <v>401</v>
      </c>
      <c r="D336" s="506" t="str">
        <f>VLOOKUP(C336,'Base de Datos'!$E$7:$AU$390,2,0)</f>
        <v>H &amp; D OFIMAGEN</v>
      </c>
      <c r="E336" s="509">
        <f>VLOOKUP(C336,'Base de Datos'!$E$7:$AU$390,5,0)</f>
        <v>249991314</v>
      </c>
      <c r="F336" s="509" t="str">
        <f>VLOOKUP(C336,'Base de Datos'!$E$7:$AU$390,17,0)</f>
        <v/>
      </c>
      <c r="G336" s="506"/>
      <c r="H336" s="506"/>
      <c r="I336" s="506"/>
      <c r="J336" s="509" t="str">
        <f>VLOOKUP(C336,'Base de Datos'!$E$7:$AU$390,18,0)</f>
        <v/>
      </c>
      <c r="K336" s="573"/>
      <c r="L336" s="714">
        <f>VLOOKUP(C336,'Base de Datos'!$E$7:$AU$390,19,0)</f>
        <v>42216</v>
      </c>
      <c r="M336" s="506"/>
      <c r="N336" s="509" t="str">
        <f>IF(OR(O336=Hoja1!$D$17,'Presupuesto - PAA 2015'!O336=Hoja1!$D$18),'Presupuesto - PAA 2015'!L336," ")</f>
        <v xml:space="preserve"> </v>
      </c>
      <c r="O336" s="651" t="str">
        <f>VLOOKUP(C336,'Base de Datos'!$E$7:$AU$390,33,0)</f>
        <v>Dirección Administrativa</v>
      </c>
      <c r="P336" s="709"/>
      <c r="Q336" s="506"/>
      <c r="R336" s="715">
        <f>VLOOKUP(C336,'Base de Datos'!$E$7:$AU$390,9,0)</f>
        <v>41837</v>
      </c>
      <c r="S336" s="715">
        <f>VLOOKUP(C336,'Base de Datos'!$E$7:$AU$390,16,0)</f>
        <v>42216</v>
      </c>
      <c r="T336" s="651">
        <f>VLOOKUP(C336,'Base de Datos'!$E$7:$AU$390,40,0)</f>
        <v>0</v>
      </c>
      <c r="U336" s="508"/>
    </row>
    <row r="337" spans="2:21" ht="22.8" hidden="1" x14ac:dyDescent="0.3">
      <c r="B337" s="506"/>
      <c r="C337" s="506" t="s">
        <v>146</v>
      </c>
      <c r="D337" s="506" t="str">
        <f>VLOOKUP(C337,'Base de Datos'!$E$7:$AU$390,2,0)</f>
        <v xml:space="preserve">UNIÓN TEMPORAL EMINSER-SOLOASEO </v>
      </c>
      <c r="E337" s="509">
        <f>VLOOKUP(C337,'Base de Datos'!$E$7:$AU$390,5,0)</f>
        <v>301200000</v>
      </c>
      <c r="F337" s="509" t="str">
        <f>VLOOKUP(C337,'Base de Datos'!$E$7:$AU$390,17,0)</f>
        <v/>
      </c>
      <c r="G337" s="506"/>
      <c r="H337" s="506"/>
      <c r="I337" s="506"/>
      <c r="J337" s="509" t="str">
        <f>VLOOKUP(C337,'Base de Datos'!$E$7:$AU$390,18,0)</f>
        <v/>
      </c>
      <c r="K337" s="573"/>
      <c r="L337" s="726">
        <v>1021877</v>
      </c>
      <c r="M337" s="506"/>
      <c r="N337" s="509" t="str">
        <f>IF(OR(O337=Hoja1!$D$17,'Presupuesto - PAA 2015'!O337=Hoja1!$D$18),'Presupuesto - PAA 2015'!L337," ")</f>
        <v xml:space="preserve"> </v>
      </c>
      <c r="O337" s="723" t="str">
        <f>VLOOKUP(C337,'Base de Datos'!$E$7:$AU$390,33,0)</f>
        <v>Dirección Administrativa</v>
      </c>
      <c r="P337" s="709" t="s">
        <v>2135</v>
      </c>
      <c r="Q337" s="506"/>
      <c r="R337" s="715">
        <f>VLOOKUP(C337,'Base de Datos'!$E$7:$AU$390,9,0)</f>
        <v>41446</v>
      </c>
      <c r="S337" s="715">
        <f>VLOOKUP(C337,'Base de Datos'!$E$7:$AU$390,16,0)</f>
        <v>41810</v>
      </c>
      <c r="T337" s="651">
        <f>VLOOKUP(C337,'Base de Datos'!$E$7:$AU$390,40,0)</f>
        <v>0</v>
      </c>
      <c r="U337" s="508"/>
    </row>
    <row r="338" spans="2:21" ht="18.75" hidden="1" customHeight="1" x14ac:dyDescent="0.3">
      <c r="B338" s="506"/>
      <c r="C338" s="506" t="s">
        <v>400</v>
      </c>
      <c r="D338" s="506" t="str">
        <f>VLOOKUP(C338,'Base de Datos'!$E$7:$AU$390,2,0)</f>
        <v>SODINLEC LTDA</v>
      </c>
      <c r="E338" s="509">
        <f>VLOOKUP(C338,'Base de Datos'!$E$7:$AU$390,5,0)</f>
        <v>10564000</v>
      </c>
      <c r="F338" s="509" t="str">
        <f>VLOOKUP(C338,'Base de Datos'!$E$7:$AU$390,17,0)</f>
        <v/>
      </c>
      <c r="G338" s="506"/>
      <c r="H338" s="506"/>
      <c r="I338" s="506"/>
      <c r="J338" s="509" t="str">
        <f>VLOOKUP(C338,'Base de Datos'!$E$7:$AU$390,18,0)</f>
        <v/>
      </c>
      <c r="K338" s="573"/>
      <c r="L338" s="714">
        <f>VLOOKUP(C338,'Base de Datos'!$E$7:$AU$390,19,0)</f>
        <v>42096</v>
      </c>
      <c r="M338" s="506"/>
      <c r="N338" s="509" t="str">
        <f>IF(OR(O338=Hoja1!$D$17,'Presupuesto - PAA 2015'!O338=Hoja1!$D$18),'Presupuesto - PAA 2015'!L338," ")</f>
        <v xml:space="preserve"> </v>
      </c>
      <c r="O338" s="651" t="str">
        <f>VLOOKUP(C338,'Base de Datos'!$E$7:$AU$390,33,0)</f>
        <v>Dirección Administrativa</v>
      </c>
      <c r="P338" s="709"/>
      <c r="Q338" s="506"/>
      <c r="R338" s="715">
        <f>VLOOKUP(C338,'Base de Datos'!$E$7:$AU$390,9,0)</f>
        <v>41793</v>
      </c>
      <c r="S338" s="715" t="str">
        <f>VLOOKUP(C338,'Base de Datos'!$E$7:$AU$390,16,0)</f>
        <v/>
      </c>
      <c r="T338" s="651">
        <f>VLOOKUP(C338,'Base de Datos'!$E$7:$AU$390,40,0)</f>
        <v>0</v>
      </c>
      <c r="U338" s="508"/>
    </row>
    <row r="339" spans="2:21" ht="22.8" hidden="1" x14ac:dyDescent="0.3">
      <c r="B339" s="506"/>
      <c r="C339" s="506" t="s">
        <v>213</v>
      </c>
      <c r="D339" s="506" t="str">
        <f>VLOOKUP(C339,'Base de Datos'!$E$7:$AU$390,2,0)</f>
        <v>UNIÓN TEMPORAL VIGILANCIA ACOSTA LTDA  - RUMBO ASOCIADOS</v>
      </c>
      <c r="E339" s="509">
        <f>VLOOKUP(C339,'Base de Datos'!$E$7:$AU$390,5,0)</f>
        <v>533636000</v>
      </c>
      <c r="F339" s="509" t="str">
        <f>VLOOKUP(C339,'Base de Datos'!$E$7:$AU$390,17,0)</f>
        <v/>
      </c>
      <c r="G339" s="506"/>
      <c r="H339" s="506"/>
      <c r="I339" s="506"/>
      <c r="J339" s="509" t="str">
        <f>VLOOKUP(C339,'Base de Datos'!$E$7:$AU$390,18,0)</f>
        <v/>
      </c>
      <c r="K339" s="573"/>
      <c r="L339" s="714">
        <f>VLOOKUP(C339,'Base de Datos'!$E$7:$AU$390,19,0)</f>
        <v>41975</v>
      </c>
      <c r="M339" s="506"/>
      <c r="N339" s="509" t="str">
        <f>IF(OR(O339=Hoja1!$D$17,'Presupuesto - PAA 2015'!O339=Hoja1!$D$18),'Presupuesto - PAA 2015'!L339," ")</f>
        <v xml:space="preserve"> </v>
      </c>
      <c r="O339" s="723" t="str">
        <f>VLOOKUP(C339,'Base de Datos'!$E$7:$AU$390,33,0)</f>
        <v>Dirección Administrativa</v>
      </c>
      <c r="P339" s="709" t="s">
        <v>2135</v>
      </c>
      <c r="Q339" s="506"/>
      <c r="R339" s="715"/>
      <c r="S339" s="715"/>
      <c r="T339" s="651">
        <f>VLOOKUP(C339,'Base de Datos'!$E$7:$AU$390,40,0)</f>
        <v>0</v>
      </c>
      <c r="U339" s="508"/>
    </row>
    <row r="340" spans="2:21" ht="22.8" hidden="1" x14ac:dyDescent="0.3">
      <c r="B340" s="506"/>
      <c r="C340" s="506" t="s">
        <v>287</v>
      </c>
      <c r="D340" s="506" t="str">
        <f>VLOOKUP(C340,'Base de Datos'!$E$7:$AU$390,2,0)</f>
        <v xml:space="preserve">UNIÓN TEMPORAL EMINSER-SOLOASEO </v>
      </c>
      <c r="E340" s="509">
        <f>VLOOKUP(C340,'Base de Datos'!$E$7:$AU$390,5,0)</f>
        <v>337487000</v>
      </c>
      <c r="F340" s="509" t="str">
        <f>VLOOKUP(C340,'Base de Datos'!$E$7:$AU$390,17,0)</f>
        <v/>
      </c>
      <c r="G340" s="506"/>
      <c r="H340" s="506"/>
      <c r="I340" s="506"/>
      <c r="J340" s="509" t="str">
        <f>VLOOKUP(C340,'Base de Datos'!$E$7:$AU$390,18,0)</f>
        <v/>
      </c>
      <c r="K340" s="573"/>
      <c r="L340" s="714">
        <v>16123070</v>
      </c>
      <c r="M340" s="506"/>
      <c r="N340" s="509" t="str">
        <f>IF(OR(O340=Hoja1!$D$17,'Presupuesto - PAA 2015'!O340=Hoja1!$D$18),'Presupuesto - PAA 2015'!L340," ")</f>
        <v xml:space="preserve"> </v>
      </c>
      <c r="O340" s="651" t="str">
        <f>VLOOKUP(C340,'Base de Datos'!$E$7:$AU$390,33,0)</f>
        <v>Dirección Administrativa</v>
      </c>
      <c r="P340" s="709"/>
      <c r="Q340" s="506"/>
      <c r="R340" s="715">
        <f>VLOOKUP(C340,'Base de Datos'!$E$7:$AU$390,9,0)</f>
        <v>41811</v>
      </c>
      <c r="S340" s="715">
        <f>VLOOKUP(C340,'Base de Datos'!$E$7:$AU$390,16,0)</f>
        <v>42186</v>
      </c>
      <c r="T340" s="651" t="str">
        <f>VLOOKUP(C340,'Base de Datos'!$E$7:$AU$390,40,0)</f>
        <v>MANUEL ROJAS</v>
      </c>
      <c r="U340" s="508"/>
    </row>
    <row r="341" spans="2:21" ht="22.8" hidden="1" x14ac:dyDescent="0.3">
      <c r="B341" s="506"/>
      <c r="C341" s="506" t="s">
        <v>266</v>
      </c>
      <c r="D341" s="506" t="str">
        <f>VLOOKUP(C341,'Base de Datos'!$E$7:$AU$390,2,0)</f>
        <v>SYSTEM NET INGENIERÍA LTDA</v>
      </c>
      <c r="E341" s="509">
        <f>VLOOKUP(C341,'Base de Datos'!$E$7:$AU$390,5,0)</f>
        <v>4982000</v>
      </c>
      <c r="F341" s="509" t="str">
        <f>VLOOKUP(C341,'Base de Datos'!$E$7:$AU$390,17,0)</f>
        <v/>
      </c>
      <c r="G341" s="506"/>
      <c r="H341" s="506"/>
      <c r="I341" s="506"/>
      <c r="J341" s="509" t="str">
        <f>VLOOKUP(C341,'Base de Datos'!$E$7:$AU$390,18,0)</f>
        <v/>
      </c>
      <c r="K341" s="573"/>
      <c r="L341" s="714">
        <f>VLOOKUP(C341,'Base de Datos'!$E$7:$AU$390,19,0)</f>
        <v>41969</v>
      </c>
      <c r="M341" s="506"/>
      <c r="N341" s="509" t="str">
        <f>IF(OR(O341=Hoja1!$D$17,'Presupuesto - PAA 2015'!O341=Hoja1!$D$18),'Presupuesto - PAA 2015'!L341," ")</f>
        <v xml:space="preserve"> </v>
      </c>
      <c r="O341" s="651" t="str">
        <f>VLOOKUP(C341,'Base de Datos'!$E$7:$AU$390,33,0)</f>
        <v>Dirección Administrativa</v>
      </c>
      <c r="P341" s="709"/>
      <c r="Q341" s="506"/>
      <c r="R341" s="715">
        <f>VLOOKUP(C341,'Base de Datos'!$E$7:$AU$390,9,0)</f>
        <v>41725</v>
      </c>
      <c r="S341" s="715" t="str">
        <f>VLOOKUP(C341,'Base de Datos'!$E$7:$AU$390,16,0)</f>
        <v/>
      </c>
      <c r="T341" s="651">
        <f>VLOOKUP(C341,'Base de Datos'!$E$7:$AU$390,40,0)</f>
        <v>0</v>
      </c>
      <c r="U341" s="508"/>
    </row>
    <row r="342" spans="2:21" ht="22.8" hidden="1" x14ac:dyDescent="0.3">
      <c r="B342" s="506"/>
      <c r="C342" s="506" t="s">
        <v>1105</v>
      </c>
      <c r="D342" s="506" t="str">
        <f>VLOOKUP(C342,'Base de Datos'!$E$7:$AU$390,2,0)</f>
        <v>MOTORES Y MAQUINAS MOTORYSA</v>
      </c>
      <c r="E342" s="509">
        <f>VLOOKUP(C342,'Base de Datos'!$E$7:$AU$390,5,0)</f>
        <v>30000000</v>
      </c>
      <c r="F342" s="509" t="str">
        <f>VLOOKUP(C342,'Base de Datos'!$E$7:$AU$390,17,0)</f>
        <v/>
      </c>
      <c r="G342" s="506"/>
      <c r="H342" s="506"/>
      <c r="I342" s="506"/>
      <c r="J342" s="509" t="str">
        <f>VLOOKUP(C342,'Base de Datos'!$E$7:$AU$390,18,0)</f>
        <v/>
      </c>
      <c r="K342" s="573"/>
      <c r="L342" s="714">
        <f>VLOOKUP(C342,'Base de Datos'!$E$7:$AU$390,19,0)</f>
        <v>42129</v>
      </c>
      <c r="M342" s="506"/>
      <c r="N342" s="509" t="str">
        <f>IF(OR(O342=Hoja1!$D$17,'Presupuesto - PAA 2015'!O342=Hoja1!$D$18),'Presupuesto - PAA 2015'!L342," ")</f>
        <v xml:space="preserve"> </v>
      </c>
      <c r="O342" s="651" t="str">
        <f>VLOOKUP(C342,'Base de Datos'!$E$7:$AU$390,33,0)</f>
        <v>Dirección Administrativa</v>
      </c>
      <c r="P342" s="709"/>
      <c r="Q342" s="506"/>
      <c r="R342" s="715">
        <f>VLOOKUP(C342,'Base de Datos'!$E$7:$AU$390,9,0)</f>
        <v>41703</v>
      </c>
      <c r="S342" s="715">
        <f>VLOOKUP(C342,'Base de Datos'!$E$7:$AU$390,16,0)</f>
        <v>42129</v>
      </c>
      <c r="T342" s="651">
        <f>VLOOKUP(C342,'Base de Datos'!$E$7:$AU$390,40,0)</f>
        <v>0</v>
      </c>
      <c r="U342" s="508"/>
    </row>
    <row r="343" spans="2:21" ht="22.8" hidden="1" x14ac:dyDescent="0.3">
      <c r="B343" s="506"/>
      <c r="C343" s="506" t="s">
        <v>187</v>
      </c>
      <c r="D343" s="506" t="str">
        <f>VLOOKUP(C343,'Base de Datos'!$E$7:$AU$390,2,0)</f>
        <v>INVERSIONES LIGOL - INVERLIGOL LTD A</v>
      </c>
      <c r="E343" s="509">
        <f>VLOOKUP(C343,'Base de Datos'!$E$7:$AU$390,5,0)</f>
        <v>16804000</v>
      </c>
      <c r="F343" s="509" t="str">
        <f>VLOOKUP(C343,'Base de Datos'!$E$7:$AU$390,17,0)</f>
        <v/>
      </c>
      <c r="G343" s="506"/>
      <c r="H343" s="506"/>
      <c r="I343" s="506"/>
      <c r="J343" s="509" t="str">
        <f>VLOOKUP(C343,'Base de Datos'!$E$7:$AU$390,18,0)</f>
        <v/>
      </c>
      <c r="K343" s="573"/>
      <c r="L343" s="714">
        <f>VLOOKUP(C343,'Base de Datos'!$E$7:$AU$390,19,0)</f>
        <v>42099</v>
      </c>
      <c r="M343" s="506"/>
      <c r="N343" s="509" t="str">
        <f>IF(OR(O343=Hoja1!$D$17,'Presupuesto - PAA 2015'!O343=Hoja1!$D$18),'Presupuesto - PAA 2015'!L343," ")</f>
        <v xml:space="preserve"> </v>
      </c>
      <c r="O343" s="651" t="str">
        <f>VLOOKUP(C343,'Base de Datos'!$E$7:$AU$390,33,0)</f>
        <v>Dirección Administrativa</v>
      </c>
      <c r="P343" s="709"/>
      <c r="Q343" s="506"/>
      <c r="R343" s="715">
        <f>VLOOKUP(C343,'Base de Datos'!$E$7:$AU$390,9,0)</f>
        <v>41523</v>
      </c>
      <c r="S343" s="715">
        <f>VLOOKUP(C343,'Base de Datos'!$E$7:$AU$390,16,0)</f>
        <v>42099</v>
      </c>
      <c r="T343" s="651">
        <f>VLOOKUP(C343,'Base de Datos'!$E$7:$AU$390,40,0)</f>
        <v>0</v>
      </c>
      <c r="U343" s="508"/>
    </row>
    <row r="344" spans="2:21" ht="22.8" hidden="1" x14ac:dyDescent="0.3">
      <c r="B344" s="506"/>
      <c r="C344" s="506" t="s">
        <v>1100</v>
      </c>
      <c r="D344" s="506" t="str">
        <f>VLOOKUP(C344,'Base de Datos'!$E$7:$AU$390,2,0)</f>
        <v>INGENIERÍA DE BOMBAS Y PLANTAS LIMITADA</v>
      </c>
      <c r="E344" s="509">
        <f>VLOOKUP(C344,'Base de Datos'!$E$7:$AU$390,5,0)</f>
        <v>6252000</v>
      </c>
      <c r="F344" s="509" t="str">
        <f>VLOOKUP(C344,'Base de Datos'!$E$7:$AU$390,17,0)</f>
        <v/>
      </c>
      <c r="G344" s="506"/>
      <c r="H344" s="506"/>
      <c r="I344" s="506"/>
      <c r="J344" s="509" t="str">
        <f>VLOOKUP(C344,'Base de Datos'!$E$7:$AU$390,18,0)</f>
        <v/>
      </c>
      <c r="K344" s="573"/>
      <c r="L344" s="714">
        <f>VLOOKUP(C344,'Base de Datos'!$E$7:$AU$390,19,0)</f>
        <v>42207</v>
      </c>
      <c r="M344" s="506"/>
      <c r="N344" s="509" t="str">
        <f>IF(OR(O344=Hoja1!$D$17,'Presupuesto - PAA 2015'!O344=Hoja1!$D$18),'Presupuesto - PAA 2015'!L344," ")</f>
        <v xml:space="preserve"> </v>
      </c>
      <c r="O344" s="651" t="str">
        <f>VLOOKUP(C344,'Base de Datos'!$E$7:$AU$390,33,0)</f>
        <v>Dirección Administrativa</v>
      </c>
      <c r="P344" s="709"/>
      <c r="Q344" s="506"/>
      <c r="R344" s="715">
        <f>VLOOKUP(C344,'Base de Datos'!$E$7:$AU$390,9,0)</f>
        <v>41842</v>
      </c>
      <c r="S344" s="715" t="str">
        <f>VLOOKUP(C344,'Base de Datos'!$E$7:$AU$390,16,0)</f>
        <v/>
      </c>
      <c r="T344" s="651">
        <f>VLOOKUP(C344,'Base de Datos'!$E$7:$AU$390,40,0)</f>
        <v>0</v>
      </c>
      <c r="U344" s="508"/>
    </row>
    <row r="345" spans="2:21" ht="22.8" hidden="1" x14ac:dyDescent="0.3">
      <c r="B345" s="506"/>
      <c r="C345" s="506" t="s">
        <v>273</v>
      </c>
      <c r="D345" s="506" t="str">
        <f>VLOOKUP(C345,'Base de Datos'!$E$7:$AU$390,2,0)</f>
        <v>AGR SOLUCIONES S.A.S.</v>
      </c>
      <c r="E345" s="509">
        <f>VLOOKUP(C345,'Base de Datos'!$E$7:$AU$390,5,0)</f>
        <v>11000000</v>
      </c>
      <c r="F345" s="509" t="str">
        <f>VLOOKUP(C345,'Base de Datos'!$E$7:$AU$390,17,0)</f>
        <v/>
      </c>
      <c r="G345" s="506"/>
      <c r="H345" s="506"/>
      <c r="I345" s="506"/>
      <c r="J345" s="509" t="str">
        <f>VLOOKUP(C345,'Base de Datos'!$E$7:$AU$390,18,0)</f>
        <v/>
      </c>
      <c r="K345" s="573"/>
      <c r="L345" s="714">
        <f>VLOOKUP(C345,'Base de Datos'!$E$7:$AU$390,19,0)</f>
        <v>42012</v>
      </c>
      <c r="M345" s="506"/>
      <c r="N345" s="509" t="str">
        <f>IF(OR(O345=Hoja1!$D$17,'Presupuesto - PAA 2015'!O345=Hoja1!$D$18),'Presupuesto - PAA 2015'!L345," ")</f>
        <v xml:space="preserve"> </v>
      </c>
      <c r="O345" s="651" t="str">
        <f>VLOOKUP(C345,'Base de Datos'!$E$7:$AU$390,33,0)</f>
        <v>Dirección Administrativa</v>
      </c>
      <c r="P345" s="709"/>
      <c r="Q345" s="506"/>
      <c r="R345" s="715">
        <f>VLOOKUP(C345,'Base de Datos'!$E$7:$AU$390,9,0)</f>
        <v>41738</v>
      </c>
      <c r="S345" s="715" t="str">
        <f>VLOOKUP(C345,'Base de Datos'!$E$7:$AU$390,16,0)</f>
        <v/>
      </c>
      <c r="T345" s="651">
        <f>VLOOKUP(C345,'Base de Datos'!$E$7:$AU$390,40,0)</f>
        <v>0</v>
      </c>
      <c r="U345" s="508"/>
    </row>
    <row r="346" spans="2:21" hidden="1" x14ac:dyDescent="0.3">
      <c r="B346" s="506"/>
      <c r="C346" s="506"/>
      <c r="D346" s="506"/>
      <c r="E346" s="506"/>
      <c r="F346" s="506"/>
      <c r="G346" s="506"/>
      <c r="H346" s="506"/>
      <c r="I346" s="506"/>
      <c r="J346" s="506"/>
      <c r="K346" s="573"/>
      <c r="L346" s="506"/>
      <c r="M346" s="506"/>
      <c r="N346" s="506"/>
      <c r="O346" s="664"/>
      <c r="P346" s="709"/>
      <c r="Q346" s="506"/>
      <c r="R346" s="716"/>
      <c r="S346" s="716"/>
      <c r="T346" s="506"/>
      <c r="U346" s="508"/>
    </row>
    <row r="347" spans="2:21" ht="12" hidden="1" x14ac:dyDescent="0.3">
      <c r="B347" s="1240" t="s">
        <v>1655</v>
      </c>
      <c r="C347" s="1240"/>
      <c r="D347" s="1240"/>
      <c r="E347" s="512">
        <f>+E348</f>
        <v>3846133</v>
      </c>
      <c r="F347" s="512">
        <f>+F348</f>
        <v>0</v>
      </c>
      <c r="G347" s="513"/>
      <c r="H347" s="513"/>
      <c r="I347" s="513"/>
      <c r="J347" s="512">
        <f>+J348</f>
        <v>674854</v>
      </c>
      <c r="K347" s="583" t="e">
        <f>+J347/F347</f>
        <v>#DIV/0!</v>
      </c>
      <c r="L347" s="512">
        <f>+L348</f>
        <v>1678818</v>
      </c>
      <c r="M347" s="516"/>
      <c r="N347" s="512">
        <f>+N348</f>
        <v>0</v>
      </c>
      <c r="O347" s="662"/>
      <c r="P347" s="548" t="str">
        <f>IF(ISERROR(VLOOKUP(B347,'Base de Datos'!$C$7:$N$315,8,0))=TRUE," ",(VLOOKUP(B347,'Base de Datos'!$C$7:$N$315,8,0)))</f>
        <v xml:space="preserve"> </v>
      </c>
      <c r="Q347" s="542"/>
      <c r="R347" s="719" t="str">
        <f>IF(ISERROR(VLOOKUP(B347,'Base de Datos'!$C$7:$N$315,9,0))=TRUE," ",(VLOOKUP(B347,'Base de Datos'!$C$7:$N$315,9,0)))</f>
        <v xml:space="preserve"> </v>
      </c>
      <c r="S347" s="719" t="str">
        <f>IF(ISERROR(VLOOKUP(B347,'Base de Datos'!$C$7:$N$315,10,0))=TRUE," ",(VLOOKUP(B347,'Base de Datos'!$C$7:$N$315,10,0)))</f>
        <v xml:space="preserve"> </v>
      </c>
      <c r="T347" s="542"/>
      <c r="U347" s="508"/>
    </row>
    <row r="348" spans="2:21" hidden="1" x14ac:dyDescent="0.3">
      <c r="B348" s="1239" t="s">
        <v>1656</v>
      </c>
      <c r="C348" s="1239"/>
      <c r="D348" s="1239"/>
      <c r="E348" s="554">
        <f>SUM(E350:E351)</f>
        <v>3846133</v>
      </c>
      <c r="F348" s="554">
        <f>SUM(F350:F351)</f>
        <v>0</v>
      </c>
      <c r="G348" s="559"/>
      <c r="H348" s="559"/>
      <c r="I348" s="559"/>
      <c r="J348" s="554">
        <f>SUM(J350:J351)</f>
        <v>674854</v>
      </c>
      <c r="K348" s="576" t="e">
        <f>+J348/F348</f>
        <v>#DIV/0!</v>
      </c>
      <c r="L348" s="554">
        <f>SUM(L350:L351)</f>
        <v>1678818</v>
      </c>
      <c r="M348" s="554"/>
      <c r="N348" s="554">
        <f>SUM(N350:N351)</f>
        <v>0</v>
      </c>
      <c r="O348" s="657"/>
      <c r="P348" s="564" t="str">
        <f>IF(ISERROR(VLOOKUP(B348,'Base de Datos'!$C$7:$N$315,8,0))=TRUE," ",(VLOOKUP(B348,'Base de Datos'!$C$7:$N$315,8,0)))</f>
        <v xml:space="preserve"> </v>
      </c>
      <c r="Q348" s="565"/>
      <c r="R348" s="717" t="str">
        <f>IF(ISERROR(VLOOKUP(B348,'Base de Datos'!$C$7:$N$315,9,0))=TRUE," ",(VLOOKUP(B348,'Base de Datos'!$C$7:$N$315,9,0)))</f>
        <v xml:space="preserve"> </v>
      </c>
      <c r="S348" s="717" t="str">
        <f>IF(ISERROR(VLOOKUP(B348,'Base de Datos'!$C$7:$N$315,10,0))=TRUE," ",(VLOOKUP(B348,'Base de Datos'!$C$7:$N$315,10,0)))</f>
        <v xml:space="preserve"> </v>
      </c>
      <c r="T348" s="565"/>
      <c r="U348" s="508"/>
    </row>
    <row r="349" spans="2:21" ht="22.8" hidden="1" x14ac:dyDescent="0.3">
      <c r="B349" s="510" t="s">
        <v>2127</v>
      </c>
      <c r="C349" s="510" t="s">
        <v>912</v>
      </c>
      <c r="D349" s="510" t="s">
        <v>1821</v>
      </c>
      <c r="E349" s="518" t="s">
        <v>1844</v>
      </c>
      <c r="F349" s="507" t="s">
        <v>2129</v>
      </c>
      <c r="G349" s="507"/>
      <c r="H349" s="507"/>
      <c r="I349" s="507"/>
      <c r="J349" s="510" t="s">
        <v>2130</v>
      </c>
      <c r="K349" s="625"/>
      <c r="L349" s="510" t="s">
        <v>1939</v>
      </c>
      <c r="M349" s="510"/>
      <c r="N349" s="510" t="s">
        <v>2136</v>
      </c>
      <c r="O349" s="650" t="s">
        <v>2133</v>
      </c>
      <c r="P349" s="541" t="s">
        <v>1817</v>
      </c>
      <c r="Q349" s="510" t="s">
        <v>1847</v>
      </c>
      <c r="R349" s="718" t="s">
        <v>1848</v>
      </c>
      <c r="S349" s="718" t="s">
        <v>375</v>
      </c>
      <c r="T349" s="510" t="s">
        <v>1849</v>
      </c>
      <c r="U349" s="508"/>
    </row>
    <row r="350" spans="2:21" ht="34.200000000000003" hidden="1" x14ac:dyDescent="0.3">
      <c r="B350" s="506"/>
      <c r="C350" s="506" t="s">
        <v>878</v>
      </c>
      <c r="D350" s="506" t="s">
        <v>2137</v>
      </c>
      <c r="E350" s="509"/>
      <c r="F350" s="509"/>
      <c r="G350" s="506"/>
      <c r="H350" s="506"/>
      <c r="I350" s="506"/>
      <c r="J350" s="509">
        <v>674854</v>
      </c>
      <c r="K350" s="573"/>
      <c r="L350" s="714">
        <v>1636616</v>
      </c>
      <c r="M350" s="506"/>
      <c r="N350" s="509"/>
      <c r="O350" s="651"/>
      <c r="P350" s="709"/>
      <c r="Q350" s="506"/>
      <c r="R350" s="715" t="e">
        <f>VLOOKUP(C350,'Base de Datos'!$E$7:$AU$390,9,0)</f>
        <v>#N/A</v>
      </c>
      <c r="S350" s="715" t="e">
        <f>VLOOKUP(C350,'Base de Datos'!$E$7:$AU$390,16,0)</f>
        <v>#N/A</v>
      </c>
      <c r="T350" s="651"/>
      <c r="U350" s="508"/>
    </row>
    <row r="351" spans="2:21" hidden="1" x14ac:dyDescent="0.3">
      <c r="B351" s="506"/>
      <c r="C351" s="506" t="s">
        <v>919</v>
      </c>
      <c r="D351" s="506" t="str">
        <f>VLOOKUP(C351,'Base de Datos'!$E$7:$AU$390,2,0)</f>
        <v>SEGUROS GENERALES SURAMERICANA</v>
      </c>
      <c r="E351" s="509">
        <f>VLOOKUP(C351,'Base de Datos'!$E$7:$AU$390,5,0)</f>
        <v>3846133</v>
      </c>
      <c r="F351" s="509" t="str">
        <f>VLOOKUP(C351,'Base de Datos'!$E$7:$AU$390,17,0)</f>
        <v/>
      </c>
      <c r="G351" s="506"/>
      <c r="H351" s="506"/>
      <c r="I351" s="506"/>
      <c r="J351" s="509" t="str">
        <f>VLOOKUP(C351,'Base de Datos'!$E$7:$AU$390,18,0)</f>
        <v/>
      </c>
      <c r="K351" s="573"/>
      <c r="L351" s="714">
        <f>VLOOKUP(C351,'Base de Datos'!$E$7:$AU$390,19,0)</f>
        <v>42202</v>
      </c>
      <c r="M351" s="506"/>
      <c r="N351" s="509" t="str">
        <f>IF(OR(O351=Hoja1!$D$17,'Presupuesto - PAA 2015'!O351=Hoja1!$D$18),'Presupuesto - PAA 2015'!L351," ")</f>
        <v xml:space="preserve"> </v>
      </c>
      <c r="O351" s="651">
        <f>VLOOKUP(C351,'Base de Datos'!$E$7:$AU$390,32,0)</f>
        <v>0</v>
      </c>
      <c r="P351" s="709"/>
      <c r="Q351" s="506"/>
      <c r="R351" s="715">
        <f>VLOOKUP(C351,'Base de Datos'!$E$7:$AU$390,9,0)</f>
        <v>41837</v>
      </c>
      <c r="S351" s="715" t="str">
        <f>VLOOKUP(C351,'Base de Datos'!$E$7:$AU$390,16,0)</f>
        <v/>
      </c>
      <c r="T351" s="651"/>
      <c r="U351" s="508"/>
    </row>
    <row r="352" spans="2:21" hidden="1" x14ac:dyDescent="0.3">
      <c r="B352" s="506"/>
      <c r="C352" s="506"/>
      <c r="D352" s="506"/>
      <c r="E352" s="506"/>
      <c r="F352" s="506"/>
      <c r="G352" s="506"/>
      <c r="H352" s="506"/>
      <c r="I352" s="506"/>
      <c r="J352" s="506"/>
      <c r="K352" s="573"/>
      <c r="L352" s="506"/>
      <c r="M352" s="506"/>
      <c r="N352" s="506"/>
      <c r="O352" s="664"/>
      <c r="P352" s="709"/>
      <c r="Q352" s="506"/>
      <c r="R352" s="716"/>
      <c r="S352" s="716"/>
      <c r="T352" s="506"/>
      <c r="U352" s="508"/>
    </row>
    <row r="353" spans="2:21" ht="12" hidden="1" x14ac:dyDescent="0.3">
      <c r="B353" s="1240" t="s">
        <v>1664</v>
      </c>
      <c r="C353" s="1240"/>
      <c r="D353" s="1240"/>
      <c r="E353" s="512">
        <f>+E354</f>
        <v>406019488</v>
      </c>
      <c r="F353" s="604">
        <f>+F354</f>
        <v>0</v>
      </c>
      <c r="G353" s="513"/>
      <c r="H353" s="513"/>
      <c r="I353" s="513"/>
      <c r="J353" s="516">
        <f>+J354</f>
        <v>0</v>
      </c>
      <c r="K353" s="583" t="e">
        <f>+J353/F353</f>
        <v>#DIV/0!</v>
      </c>
      <c r="L353" s="516">
        <f>+L354</f>
        <v>84758</v>
      </c>
      <c r="M353" s="516"/>
      <c r="N353" s="516">
        <f>+N354</f>
        <v>0</v>
      </c>
      <c r="O353" s="662"/>
      <c r="P353" s="548" t="str">
        <f>IF(ISERROR(VLOOKUP(B353,'Base de Datos'!$C$7:$N$315,8,0))=TRUE," ",(VLOOKUP(B353,'Base de Datos'!$C$7:$N$315,8,0)))</f>
        <v xml:space="preserve"> </v>
      </c>
      <c r="Q353" s="542"/>
      <c r="R353" s="719" t="str">
        <f>IF(ISERROR(VLOOKUP(B353,'Base de Datos'!$C$7:$N$315,9,0))=TRUE," ",(VLOOKUP(B353,'Base de Datos'!$C$7:$N$315,9,0)))</f>
        <v xml:space="preserve"> </v>
      </c>
      <c r="S353" s="719" t="str">
        <f>IF(ISERROR(VLOOKUP(B353,'Base de Datos'!$C$7:$N$315,10,0))=TRUE," ",(VLOOKUP(B353,'Base de Datos'!$C$7:$N$315,10,0)))</f>
        <v xml:space="preserve"> </v>
      </c>
      <c r="T353" s="542"/>
      <c r="U353" s="508"/>
    </row>
    <row r="354" spans="2:21" hidden="1" x14ac:dyDescent="0.3">
      <c r="B354" s="1239" t="s">
        <v>1665</v>
      </c>
      <c r="C354" s="1239"/>
      <c r="D354" s="1239"/>
      <c r="E354" s="554">
        <f>SUM(E356:E357)</f>
        <v>406019488</v>
      </c>
      <c r="F354" s="554">
        <f>SUM(F356:F357)</f>
        <v>0</v>
      </c>
      <c r="G354" s="559"/>
      <c r="H354" s="559"/>
      <c r="I354" s="559"/>
      <c r="J354" s="554">
        <f>SUM(J356:J357)</f>
        <v>0</v>
      </c>
      <c r="K354" s="576" t="e">
        <f>+J354/F354</f>
        <v>#DIV/0!</v>
      </c>
      <c r="L354" s="554">
        <f>SUM(L356:L357)</f>
        <v>84758</v>
      </c>
      <c r="M354" s="554"/>
      <c r="N354" s="554">
        <f>SUM(N356:N357)</f>
        <v>0</v>
      </c>
      <c r="O354" s="657"/>
      <c r="P354" s="564" t="str">
        <f>IF(ISERROR(VLOOKUP(B354,'Base de Datos'!$C$7:$N$315,8,0))=TRUE," ",(VLOOKUP(B354,'Base de Datos'!$C$7:$N$315,8,0)))</f>
        <v xml:space="preserve"> </v>
      </c>
      <c r="Q354" s="565"/>
      <c r="R354" s="717" t="str">
        <f>IF(ISERROR(VLOOKUP(B354,'Base de Datos'!$C$7:$N$315,9,0))=TRUE," ",(VLOOKUP(B354,'Base de Datos'!$C$7:$N$315,9,0)))</f>
        <v xml:space="preserve"> </v>
      </c>
      <c r="S354" s="717" t="str">
        <f>IF(ISERROR(VLOOKUP(B354,'Base de Datos'!$C$7:$N$315,10,0))=TRUE," ",(VLOOKUP(B354,'Base de Datos'!$C$7:$N$315,10,0)))</f>
        <v xml:space="preserve"> </v>
      </c>
      <c r="T354" s="565"/>
      <c r="U354" s="508"/>
    </row>
    <row r="355" spans="2:21" ht="22.8" hidden="1" x14ac:dyDescent="0.3">
      <c r="B355" s="510" t="s">
        <v>2127</v>
      </c>
      <c r="C355" s="510" t="s">
        <v>912</v>
      </c>
      <c r="D355" s="510" t="s">
        <v>1821</v>
      </c>
      <c r="E355" s="518" t="s">
        <v>1844</v>
      </c>
      <c r="F355" s="507" t="s">
        <v>2129</v>
      </c>
      <c r="G355" s="507"/>
      <c r="H355" s="507"/>
      <c r="I355" s="507"/>
      <c r="J355" s="510" t="s">
        <v>2130</v>
      </c>
      <c r="K355" s="625"/>
      <c r="L355" s="510" t="s">
        <v>1939</v>
      </c>
      <c r="M355" s="510"/>
      <c r="N355" s="510" t="s">
        <v>2136</v>
      </c>
      <c r="O355" s="650" t="s">
        <v>2133</v>
      </c>
      <c r="P355" s="541" t="s">
        <v>1817</v>
      </c>
      <c r="Q355" s="510" t="s">
        <v>1847</v>
      </c>
      <c r="R355" s="718" t="s">
        <v>1848</v>
      </c>
      <c r="S355" s="718" t="s">
        <v>375</v>
      </c>
      <c r="T355" s="510" t="s">
        <v>1849</v>
      </c>
      <c r="U355" s="508"/>
    </row>
    <row r="356" spans="2:21" ht="22.8" hidden="1" x14ac:dyDescent="0.3">
      <c r="B356" s="506"/>
      <c r="C356" s="506" t="s">
        <v>1536</v>
      </c>
      <c r="D356" s="506" t="str">
        <f>VLOOKUP(C356,'Base de Datos'!$E$7:$AU$390,2,0)</f>
        <v>INSTITUTO COLOMBIANO DE NORMAS TÉCNICAS Y CERTIFICACIÓN ICONTEC</v>
      </c>
      <c r="E356" s="509">
        <f>VLOOKUP(C356,'Base de Datos'!$E$7:$AU$390,5,0)</f>
        <v>4961088</v>
      </c>
      <c r="F356" s="509" t="str">
        <f>VLOOKUP(C356,'Base de Datos'!$E$7:$AU$390,17,0)</f>
        <v/>
      </c>
      <c r="G356" s="506"/>
      <c r="H356" s="506"/>
      <c r="I356" s="506"/>
      <c r="J356" s="509" t="str">
        <f>VLOOKUP(C356,'Base de Datos'!$E$7:$AU$390,18,0)</f>
        <v/>
      </c>
      <c r="K356" s="573"/>
      <c r="L356" s="714">
        <f>VLOOKUP(C356,'Base de Datos'!$E$7:$AU$390,19,0)</f>
        <v>42423</v>
      </c>
      <c r="M356" s="506"/>
      <c r="N356" s="509" t="str">
        <f>IF(OR(O356=Hoja1!$D$17,'Presupuesto - PAA 2015'!O356=Hoja1!$D$18),'Presupuesto - PAA 2015'!L356," ")</f>
        <v xml:space="preserve"> </v>
      </c>
      <c r="O356" s="651" t="str">
        <f>VLOOKUP(C356,'Base de Datos'!$E$7:$AU$390,33,0)</f>
        <v>Dirección Administrativa</v>
      </c>
      <c r="P356" s="709"/>
      <c r="Q356" s="506"/>
      <c r="R356" s="715">
        <f>VLOOKUP(C356,'Base de Datos'!$E$7:$AU$390,9,0)</f>
        <v>42178</v>
      </c>
      <c r="S356" s="715" t="str">
        <f>VLOOKUP(C356,'Base de Datos'!$E$7:$AU$390,16,0)</f>
        <v/>
      </c>
      <c r="T356" s="651">
        <f>VLOOKUP(C356,'Base de Datos'!$E$7:$AU$390,40,0)</f>
        <v>0</v>
      </c>
      <c r="U356" s="508"/>
    </row>
    <row r="357" spans="2:21" ht="22.8" hidden="1" x14ac:dyDescent="0.3">
      <c r="B357" s="506"/>
      <c r="C357" s="506" t="s">
        <v>1473</v>
      </c>
      <c r="D357" s="506" t="str">
        <f>VLOOKUP(C357,'Base de Datos'!$E$7:$AU$390,2,0)</f>
        <v>CENTRO DE RECURSOS EDUCATIVOS PARA LA COMPETITIVIDAD EMPRESARIAL LTDA - CRECE</v>
      </c>
      <c r="E357" s="509">
        <f>VLOOKUP(C357,'Base de Datos'!$E$7:$AU$390,5,0)</f>
        <v>401058400</v>
      </c>
      <c r="F357" s="509" t="str">
        <f>VLOOKUP(C357,'Base de Datos'!$E$7:$AU$390,17,0)</f>
        <v/>
      </c>
      <c r="G357" s="506"/>
      <c r="H357" s="506"/>
      <c r="I357" s="506"/>
      <c r="J357" s="509" t="str">
        <f>VLOOKUP(C357,'Base de Datos'!$E$7:$AU$390,18,0)</f>
        <v/>
      </c>
      <c r="K357" s="573"/>
      <c r="L357" s="714">
        <f>VLOOKUP(C357,'Base de Datos'!$E$7:$AU$390,19,0)</f>
        <v>42335</v>
      </c>
      <c r="M357" s="506"/>
      <c r="N357" s="509" t="str">
        <f>IF(OR(O357=Hoja1!$D$17,'Presupuesto - PAA 2015'!O357=Hoja1!$D$18),'Presupuesto - PAA 2015'!L357," ")</f>
        <v xml:space="preserve"> </v>
      </c>
      <c r="O357" s="651" t="str">
        <f>VLOOKUP(C357,'Base de Datos'!$E$7:$AU$390,33,0)</f>
        <v>Dirección Administrativa</v>
      </c>
      <c r="P357" s="709"/>
      <c r="Q357" s="506"/>
      <c r="R357" s="715">
        <f>VLOOKUP(C357,'Base de Datos'!$E$7:$AU$390,9,0)</f>
        <v>42031</v>
      </c>
      <c r="S357" s="715">
        <f>VLOOKUP(C357,'Base de Datos'!$E$7:$AU$390,16,0)</f>
        <v>42335</v>
      </c>
      <c r="T357" s="651" t="str">
        <f>VLOOKUP(C357,'Base de Datos'!$E$7:$AU$390,40,0)</f>
        <v>LEIDY RIVERA</v>
      </c>
      <c r="U357" s="508"/>
    </row>
    <row r="358" spans="2:21" hidden="1" x14ac:dyDescent="0.3">
      <c r="B358" s="506"/>
      <c r="C358" s="506"/>
      <c r="D358" s="506"/>
      <c r="E358" s="506"/>
      <c r="F358" s="506"/>
      <c r="G358" s="506"/>
      <c r="H358" s="506"/>
      <c r="I358" s="506"/>
      <c r="J358" s="506"/>
      <c r="K358" s="573"/>
      <c r="L358" s="506"/>
      <c r="M358" s="506"/>
      <c r="N358" s="506"/>
      <c r="O358" s="664"/>
      <c r="P358" s="709"/>
      <c r="Q358" s="506"/>
      <c r="R358" s="716"/>
      <c r="S358" s="716"/>
      <c r="T358" s="506"/>
      <c r="U358" s="508"/>
    </row>
    <row r="359" spans="2:21" hidden="1" x14ac:dyDescent="0.3">
      <c r="B359" s="1239" t="s">
        <v>1666</v>
      </c>
      <c r="C359" s="1239"/>
      <c r="D359" s="1239"/>
      <c r="E359" s="554">
        <f>+E361</f>
        <v>336560000</v>
      </c>
      <c r="F359" s="554" t="str">
        <f>+F361</f>
        <v/>
      </c>
      <c r="G359" s="559"/>
      <c r="H359" s="559"/>
      <c r="I359" s="559"/>
      <c r="J359" s="554" t="str">
        <f>+J361</f>
        <v/>
      </c>
      <c r="K359" s="576" t="e">
        <f>+J359/F359</f>
        <v>#VALUE!</v>
      </c>
      <c r="L359" s="554">
        <f>+L361</f>
        <v>41814</v>
      </c>
      <c r="M359" s="554"/>
      <c r="N359" s="554">
        <f>SUM(N361)</f>
        <v>0</v>
      </c>
      <c r="O359" s="657"/>
      <c r="P359" s="564" t="str">
        <f>IF(ISERROR(VLOOKUP(B359,'Base de Datos'!$C$7:$N$315,8,0))=TRUE," ",(VLOOKUP(B359,'Base de Datos'!$C$7:$N$315,8,0)))</f>
        <v xml:space="preserve"> </v>
      </c>
      <c r="Q359" s="565"/>
      <c r="R359" s="717" t="str">
        <f>IF(ISERROR(VLOOKUP(B359,'Base de Datos'!$C$7:$N$315,9,0))=TRUE," ",(VLOOKUP(B359,'Base de Datos'!$C$7:$N$315,9,0)))</f>
        <v xml:space="preserve"> </v>
      </c>
      <c r="S359" s="717" t="str">
        <f>IF(ISERROR(VLOOKUP(B359,'Base de Datos'!$C$7:$N$315,10,0))=TRUE," ",(VLOOKUP(B359,'Base de Datos'!$C$7:$N$315,10,0)))</f>
        <v xml:space="preserve"> </v>
      </c>
      <c r="T359" s="565"/>
      <c r="U359" s="508"/>
    </row>
    <row r="360" spans="2:21" ht="22.8" hidden="1" x14ac:dyDescent="0.3">
      <c r="B360" s="510" t="s">
        <v>2127</v>
      </c>
      <c r="C360" s="510" t="s">
        <v>912</v>
      </c>
      <c r="D360" s="510" t="s">
        <v>1821</v>
      </c>
      <c r="E360" s="518" t="s">
        <v>1844</v>
      </c>
      <c r="F360" s="507" t="s">
        <v>2129</v>
      </c>
      <c r="G360" s="507"/>
      <c r="H360" s="507"/>
      <c r="I360" s="507"/>
      <c r="J360" s="510" t="s">
        <v>2130</v>
      </c>
      <c r="K360" s="625"/>
      <c r="L360" s="510" t="s">
        <v>1939</v>
      </c>
      <c r="M360" s="510"/>
      <c r="N360" s="510" t="s">
        <v>2136</v>
      </c>
      <c r="O360" s="650" t="s">
        <v>2133</v>
      </c>
      <c r="P360" s="541" t="s">
        <v>1817</v>
      </c>
      <c r="Q360" s="510" t="s">
        <v>1847</v>
      </c>
      <c r="R360" s="718" t="s">
        <v>1848</v>
      </c>
      <c r="S360" s="718" t="s">
        <v>375</v>
      </c>
      <c r="T360" s="510" t="s">
        <v>1849</v>
      </c>
      <c r="U360" s="508"/>
    </row>
    <row r="361" spans="2:21" ht="22.8" hidden="1" x14ac:dyDescent="0.3">
      <c r="B361" s="506"/>
      <c r="C361" s="506" t="s">
        <v>207</v>
      </c>
      <c r="D361" s="506" t="str">
        <f>VLOOKUP(C361,'Base de Datos'!$E$7:$AU$390,2,0)</f>
        <v>COMPENSAR BIENESTAR</v>
      </c>
      <c r="E361" s="509">
        <f>VLOOKUP(C361,'Base de Datos'!$E$7:$AU$390,5,0)</f>
        <v>336560000</v>
      </c>
      <c r="F361" s="509" t="str">
        <f>VLOOKUP(C361,'Base de Datos'!$E$7:$AU$390,17,0)</f>
        <v/>
      </c>
      <c r="G361" s="506"/>
      <c r="H361" s="506"/>
      <c r="I361" s="506"/>
      <c r="J361" s="509" t="str">
        <f>VLOOKUP(C361,'Base de Datos'!$E$7:$AU$390,18,0)</f>
        <v/>
      </c>
      <c r="K361" s="573"/>
      <c r="L361" s="714">
        <f>VLOOKUP(C361,'Base de Datos'!$E$7:$AU$390,19,0)</f>
        <v>41814</v>
      </c>
      <c r="M361" s="506"/>
      <c r="N361" s="509" t="str">
        <f>IF(OR(O361=Hoja1!$D$17,'Presupuesto - PAA 2015'!O361=Hoja1!$D$18),'Presupuesto - PAA 2015'!L361," ")</f>
        <v xml:space="preserve"> </v>
      </c>
      <c r="O361" s="723" t="str">
        <f>VLOOKUP(C361,'Base de Datos'!$E$7:$AU$390,33,0)</f>
        <v>Dirección Administrativa</v>
      </c>
      <c r="P361" s="709" t="s">
        <v>2135</v>
      </c>
      <c r="Q361" s="506"/>
      <c r="R361" s="715">
        <f>VLOOKUP(C361,'Base de Datos'!$E$7:$AU$390,9,0)</f>
        <v>41572</v>
      </c>
      <c r="S361" s="715" t="str">
        <f>VLOOKUP(C361,'Base de Datos'!$E$7:$AU$390,16,0)</f>
        <v/>
      </c>
      <c r="T361" s="651">
        <f>VLOOKUP(C361,'Base de Datos'!$E$7:$AU$390,40,0)</f>
        <v>0</v>
      </c>
      <c r="U361" s="508"/>
    </row>
    <row r="362" spans="2:21" hidden="1" x14ac:dyDescent="0.3">
      <c r="B362" s="506"/>
      <c r="C362" s="506"/>
      <c r="D362" s="506"/>
      <c r="E362" s="506"/>
      <c r="F362" s="506"/>
      <c r="G362" s="506"/>
      <c r="H362" s="506"/>
      <c r="I362" s="506"/>
      <c r="J362" s="506"/>
      <c r="K362" s="573"/>
      <c r="L362" s="506"/>
      <c r="M362" s="506"/>
      <c r="N362" s="506"/>
      <c r="O362" s="664"/>
      <c r="P362" s="709"/>
      <c r="Q362" s="506"/>
      <c r="R362" s="716"/>
      <c r="S362" s="716"/>
      <c r="T362" s="506"/>
      <c r="U362" s="508"/>
    </row>
    <row r="363" spans="2:21" ht="12" hidden="1" x14ac:dyDescent="0.3">
      <c r="B363" s="1242" t="s">
        <v>1667</v>
      </c>
      <c r="C363" s="1242"/>
      <c r="D363" s="1242"/>
      <c r="E363" s="554">
        <f>SUM(E365:E366)</f>
        <v>108854000</v>
      </c>
      <c r="F363" s="554">
        <f>SUM(F365:F366)</f>
        <v>0</v>
      </c>
      <c r="G363" s="559"/>
      <c r="H363" s="559"/>
      <c r="I363" s="559"/>
      <c r="J363" s="554">
        <f>SUM(J365:J366)</f>
        <v>0</v>
      </c>
      <c r="K363" s="576" t="e">
        <f>+J363/F363</f>
        <v>#DIV/0!</v>
      </c>
      <c r="L363" s="554">
        <f>SUM(L365:L366)</f>
        <v>83899</v>
      </c>
      <c r="M363" s="554"/>
      <c r="N363" s="554">
        <f>SUM(N365:N366)</f>
        <v>0</v>
      </c>
      <c r="O363" s="657"/>
      <c r="P363" s="564" t="str">
        <f>IF(ISERROR(VLOOKUP(B363,'Base de Datos'!$C$7:$N$315,8,0))=TRUE," ",(VLOOKUP(B363,'Base de Datos'!$C$7:$N$315,8,0)))</f>
        <v xml:space="preserve"> </v>
      </c>
      <c r="Q363" s="565"/>
      <c r="R363" s="717" t="str">
        <f>IF(ISERROR(VLOOKUP(B363,'Base de Datos'!$C$7:$N$315,9,0))=TRUE," ",(VLOOKUP(B363,'Base de Datos'!$C$7:$N$315,9,0)))</f>
        <v xml:space="preserve"> </v>
      </c>
      <c r="S363" s="717" t="str">
        <f>IF(ISERROR(VLOOKUP(B363,'Base de Datos'!$C$7:$N$315,10,0))=TRUE," ",(VLOOKUP(B363,'Base de Datos'!$C$7:$N$315,10,0)))</f>
        <v xml:space="preserve"> </v>
      </c>
      <c r="T363" s="565"/>
      <c r="U363" s="508"/>
    </row>
    <row r="364" spans="2:21" ht="22.8" hidden="1" x14ac:dyDescent="0.3">
      <c r="B364" s="510" t="s">
        <v>2127</v>
      </c>
      <c r="C364" s="510" t="s">
        <v>912</v>
      </c>
      <c r="D364" s="510" t="s">
        <v>1821</v>
      </c>
      <c r="E364" s="518" t="s">
        <v>1844</v>
      </c>
      <c r="F364" s="507" t="s">
        <v>2129</v>
      </c>
      <c r="G364" s="507"/>
      <c r="H364" s="507"/>
      <c r="I364" s="507"/>
      <c r="J364" s="510" t="s">
        <v>2130</v>
      </c>
      <c r="K364" s="625"/>
      <c r="L364" s="510" t="s">
        <v>1939</v>
      </c>
      <c r="M364" s="510"/>
      <c r="N364" s="510" t="s">
        <v>2136</v>
      </c>
      <c r="O364" s="650" t="s">
        <v>2133</v>
      </c>
      <c r="P364" s="541" t="s">
        <v>1817</v>
      </c>
      <c r="Q364" s="510" t="s">
        <v>1847</v>
      </c>
      <c r="R364" s="718" t="s">
        <v>1848</v>
      </c>
      <c r="S364" s="718" t="s">
        <v>375</v>
      </c>
      <c r="T364" s="510" t="s">
        <v>1849</v>
      </c>
      <c r="U364" s="508"/>
    </row>
    <row r="365" spans="2:21" ht="22.8" hidden="1" x14ac:dyDescent="0.3">
      <c r="B365" s="506"/>
      <c r="C365" s="506" t="s">
        <v>195</v>
      </c>
      <c r="D365" s="506" t="str">
        <f>VLOOKUP(C365,'Base de Datos'!$E$7:$AU$390,2,0)</f>
        <v>CAJA DE COMPENSACIÓN FAMILIAR COMPENSAR SALONES</v>
      </c>
      <c r="E365" s="509">
        <f>VLOOKUP(C365,'Base de Datos'!$E$7:$AU$390,5,0)</f>
        <v>76223000</v>
      </c>
      <c r="F365" s="509" t="str">
        <f>VLOOKUP(C365,'Base de Datos'!$E$7:$AU$390,17,0)</f>
        <v/>
      </c>
      <c r="G365" s="506"/>
      <c r="H365" s="506"/>
      <c r="I365" s="506"/>
      <c r="J365" s="509" t="str">
        <f>VLOOKUP(C365,'Base de Datos'!$E$7:$AU$390,18,0)</f>
        <v/>
      </c>
      <c r="K365" s="573"/>
      <c r="L365" s="714">
        <f>VLOOKUP(C365,'Base de Datos'!$E$7:$AU$390,19,0)</f>
        <v>41782</v>
      </c>
      <c r="M365" s="506"/>
      <c r="N365" s="509" t="str">
        <f>IF(OR(O365=Hoja1!$D$17,'Presupuesto - PAA 2015'!O365=Hoja1!$D$18),'Presupuesto - PAA 2015'!L365," ")</f>
        <v xml:space="preserve"> </v>
      </c>
      <c r="O365" s="651" t="str">
        <f>VLOOKUP(C365,'Base de Datos'!$E$7:$AU$390,33,0)</f>
        <v>Dirección Administrativa</v>
      </c>
      <c r="P365" s="709"/>
      <c r="Q365" s="506"/>
      <c r="R365" s="715">
        <f>VLOOKUP(C365,'Base de Datos'!$E$7:$AU$390,9,0)</f>
        <v>41541</v>
      </c>
      <c r="S365" s="715">
        <f>VLOOKUP(C365,'Base de Datos'!$E$7:$AU$390,16,0)</f>
        <v>41782</v>
      </c>
      <c r="T365" s="651">
        <f>VLOOKUP(C365,'Base de Datos'!$E$7:$AU$390,40,0)</f>
        <v>0</v>
      </c>
      <c r="U365" s="508"/>
    </row>
    <row r="366" spans="2:21" hidden="1" x14ac:dyDescent="0.3">
      <c r="B366" s="506"/>
      <c r="C366" s="506" t="s">
        <v>276</v>
      </c>
      <c r="D366" s="506" t="str">
        <f>VLOOKUP(C366,'Base de Datos'!$E$7:$AU$390,2,0)</f>
        <v>GRANADOS Y CONDECORACIONES</v>
      </c>
      <c r="E366" s="509">
        <f>VLOOKUP(C366,'Base de Datos'!$E$7:$AU$390,5,0)</f>
        <v>32631000</v>
      </c>
      <c r="F366" s="509" t="str">
        <f>VLOOKUP(C366,'Base de Datos'!$E$7:$AU$390,17,0)</f>
        <v/>
      </c>
      <c r="G366" s="506"/>
      <c r="H366" s="506"/>
      <c r="I366" s="506"/>
      <c r="J366" s="509" t="str">
        <f>VLOOKUP(C366,'Base de Datos'!$E$7:$AU$390,18,0)</f>
        <v/>
      </c>
      <c r="K366" s="573"/>
      <c r="L366" s="714">
        <f>VLOOKUP(C366,'Base de Datos'!$E$7:$AU$390,19,0)</f>
        <v>42117</v>
      </c>
      <c r="M366" s="506"/>
      <c r="N366" s="509" t="str">
        <f>IF(OR(O366=Hoja1!$D$17,'Presupuesto - PAA 2015'!O366=Hoja1!$D$18),'Presupuesto - PAA 2015'!L366," ")</f>
        <v xml:space="preserve"> </v>
      </c>
      <c r="O366" s="651" t="str">
        <f>VLOOKUP(C366,'Base de Datos'!$E$7:$AU$390,33,0)</f>
        <v>Secretaría General</v>
      </c>
      <c r="P366" s="709"/>
      <c r="Q366" s="506"/>
      <c r="R366" s="715">
        <f>VLOOKUP(C366,'Base de Datos'!$E$7:$AU$390,9,0)</f>
        <v>41753</v>
      </c>
      <c r="S366" s="715" t="str">
        <f>VLOOKUP(C366,'Base de Datos'!$E$7:$AU$390,16,0)</f>
        <v/>
      </c>
      <c r="T366" s="651">
        <f>VLOOKUP(C366,'Base de Datos'!$E$7:$AU$390,40,0)</f>
        <v>0</v>
      </c>
      <c r="U366" s="508"/>
    </row>
    <row r="367" spans="2:21" hidden="1" x14ac:dyDescent="0.3">
      <c r="B367" s="506"/>
      <c r="C367" s="506"/>
      <c r="D367" s="506"/>
      <c r="E367" s="506"/>
      <c r="F367" s="506"/>
      <c r="G367" s="506"/>
      <c r="H367" s="506"/>
      <c r="I367" s="506"/>
      <c r="J367" s="506"/>
      <c r="K367" s="573"/>
      <c r="L367" s="506"/>
      <c r="M367" s="506"/>
      <c r="N367" s="506"/>
      <c r="O367" s="664"/>
      <c r="P367" s="709"/>
      <c r="Q367" s="506"/>
      <c r="R367" s="716"/>
      <c r="S367" s="716"/>
      <c r="T367" s="506"/>
      <c r="U367" s="508"/>
    </row>
    <row r="368" spans="2:21" hidden="1" x14ac:dyDescent="0.3">
      <c r="B368" s="1239" t="s">
        <v>1668</v>
      </c>
      <c r="C368" s="1239"/>
      <c r="D368" s="1239"/>
      <c r="E368" s="554">
        <f>SUM(E370:E371)</f>
        <v>45986000</v>
      </c>
      <c r="F368" s="554">
        <f>SUM(F370:F371)</f>
        <v>0</v>
      </c>
      <c r="G368" s="559"/>
      <c r="H368" s="559"/>
      <c r="I368" s="559"/>
      <c r="J368" s="554">
        <f>SUM(J370:J371)</f>
        <v>0</v>
      </c>
      <c r="K368" s="576" t="e">
        <f>+J368/F368</f>
        <v>#DIV/0!</v>
      </c>
      <c r="L368" s="554">
        <f>SUM(L370:L371)</f>
        <v>84165</v>
      </c>
      <c r="M368" s="554"/>
      <c r="N368" s="554">
        <f>SUM(N370:N371)</f>
        <v>0</v>
      </c>
      <c r="O368" s="657"/>
      <c r="P368" s="564" t="str">
        <f>IF(ISERROR(VLOOKUP(B368,'Base de Datos'!$C$7:$N$315,8,0))=TRUE," ",(VLOOKUP(B368,'Base de Datos'!$C$7:$N$315,8,0)))</f>
        <v xml:space="preserve"> </v>
      </c>
      <c r="Q368" s="565"/>
      <c r="R368" s="717" t="str">
        <f>IF(ISERROR(VLOOKUP(B368,'Base de Datos'!$C$7:$N$315,9,0))=TRUE," ",(VLOOKUP(B368,'Base de Datos'!$C$7:$N$315,9,0)))</f>
        <v xml:space="preserve"> </v>
      </c>
      <c r="S368" s="717" t="str">
        <f>IF(ISERROR(VLOOKUP(B368,'Base de Datos'!$C$7:$N$315,10,0))=TRUE," ",(VLOOKUP(B368,'Base de Datos'!$C$7:$N$315,10,0)))</f>
        <v xml:space="preserve"> </v>
      </c>
      <c r="T368" s="565"/>
      <c r="U368" s="508"/>
    </row>
    <row r="369" spans="2:22" ht="22.8" hidden="1" x14ac:dyDescent="0.3">
      <c r="B369" s="510" t="s">
        <v>2127</v>
      </c>
      <c r="C369" s="510" t="s">
        <v>912</v>
      </c>
      <c r="D369" s="510" t="s">
        <v>1821</v>
      </c>
      <c r="E369" s="518" t="s">
        <v>1844</v>
      </c>
      <c r="F369" s="507" t="s">
        <v>2129</v>
      </c>
      <c r="G369" s="507"/>
      <c r="H369" s="507"/>
      <c r="I369" s="507"/>
      <c r="J369" s="510" t="s">
        <v>2130</v>
      </c>
      <c r="K369" s="625"/>
      <c r="L369" s="510" t="s">
        <v>1939</v>
      </c>
      <c r="M369" s="510"/>
      <c r="N369" s="510" t="s">
        <v>2136</v>
      </c>
      <c r="O369" s="650" t="s">
        <v>2133</v>
      </c>
      <c r="P369" s="541" t="s">
        <v>1817</v>
      </c>
      <c r="Q369" s="510" t="s">
        <v>1847</v>
      </c>
      <c r="R369" s="718" t="s">
        <v>1848</v>
      </c>
      <c r="S369" s="718" t="s">
        <v>375</v>
      </c>
      <c r="T369" s="510" t="s">
        <v>1849</v>
      </c>
      <c r="U369" s="508"/>
    </row>
    <row r="370" spans="2:22" ht="14.25" hidden="1" customHeight="1" x14ac:dyDescent="0.3">
      <c r="B370" s="506"/>
      <c r="C370" s="506" t="s">
        <v>1332</v>
      </c>
      <c r="D370" s="506" t="str">
        <f>VLOOKUP(C370,'Base de Datos'!$E$7:$AU$390,2,0)</f>
        <v>SISTEMA Y SEGURIDAD INDUSTRIAL COLOMBIANA E.U.</v>
      </c>
      <c r="E370" s="509">
        <f>VLOOKUP(C370,'Base de Datos'!$E$7:$AU$390,5,0)</f>
        <v>4136000</v>
      </c>
      <c r="F370" s="509" t="str">
        <f>VLOOKUP(C370,'Base de Datos'!$E$7:$AU$390,17,0)</f>
        <v/>
      </c>
      <c r="G370" s="506"/>
      <c r="H370" s="506"/>
      <c r="I370" s="506"/>
      <c r="J370" s="509" t="str">
        <f>VLOOKUP(C370,'Base de Datos'!$E$7:$AU$390,18,0)</f>
        <v/>
      </c>
      <c r="K370" s="573"/>
      <c r="L370" s="714">
        <f>VLOOKUP(C370,'Base de Datos'!$E$7:$AU$390,19,0)</f>
        <v>42027</v>
      </c>
      <c r="M370" s="506"/>
      <c r="N370" s="509" t="str">
        <f>IF(OR(O370=Hoja1!$D$17,'Presupuesto - PAA 2015'!O370=Hoja1!$D$18),'Presupuesto - PAA 2015'!L370," ")</f>
        <v xml:space="preserve"> </v>
      </c>
      <c r="O370" s="651" t="str">
        <f>VLOOKUP(C370,'Base de Datos'!$E$7:$AU$390,33,0)</f>
        <v>Dirección Administrativa</v>
      </c>
      <c r="P370" s="709"/>
      <c r="Q370" s="506"/>
      <c r="R370" s="715">
        <f>VLOOKUP(C370,'Base de Datos'!$E$7:$AU$390,9,0)</f>
        <v>41935</v>
      </c>
      <c r="S370" s="715" t="str">
        <f>VLOOKUP(C370,'Base de Datos'!$E$7:$AU$390,16,0)</f>
        <v/>
      </c>
      <c r="T370" s="651">
        <f>VLOOKUP(C370,'Base de Datos'!$E$7:$AU$390,40,0)</f>
        <v>0</v>
      </c>
      <c r="U370" s="508"/>
    </row>
    <row r="371" spans="2:22" ht="22.8" hidden="1" x14ac:dyDescent="0.3">
      <c r="B371" s="506"/>
      <c r="C371" s="506" t="s">
        <v>1159</v>
      </c>
      <c r="D371" s="506" t="str">
        <f>VLOOKUP(C371,'Base de Datos'!$E$7:$AU$390,2,0)</f>
        <v>CENTRO DE DIAGNOSTICO Y TRATAMIENTO CENDIATRA LTDA</v>
      </c>
      <c r="E371" s="509">
        <f>VLOOKUP(C371,'Base de Datos'!$E$7:$AU$390,5,0)</f>
        <v>41850000</v>
      </c>
      <c r="F371" s="509" t="str">
        <f>VLOOKUP(C371,'Base de Datos'!$E$7:$AU$390,17,0)</f>
        <v/>
      </c>
      <c r="G371" s="506"/>
      <c r="H371" s="506"/>
      <c r="I371" s="506"/>
      <c r="J371" s="509" t="str">
        <f>VLOOKUP(C371,'Base de Datos'!$E$7:$AU$390,18,0)</f>
        <v/>
      </c>
      <c r="K371" s="573"/>
      <c r="L371" s="714">
        <f>VLOOKUP(C371,'Base de Datos'!$E$7:$AU$390,19,0)</f>
        <v>42138</v>
      </c>
      <c r="M371" s="506"/>
      <c r="N371" s="509" t="str">
        <f>IF(OR(O371=Hoja1!$D$17,'Presupuesto - PAA 2015'!O371=Hoja1!$D$18),'Presupuesto - PAA 2015'!L371," ")</f>
        <v xml:space="preserve"> </v>
      </c>
      <c r="O371" s="651" t="str">
        <f>VLOOKUP(C371,'Base de Datos'!$E$7:$AU$390,33,0)</f>
        <v>Dirección Administrativa</v>
      </c>
      <c r="P371" s="709"/>
      <c r="Q371" s="506"/>
      <c r="R371" s="715">
        <f>VLOOKUP(C371,'Base de Datos'!$E$7:$AU$390,9,0)</f>
        <v>41926</v>
      </c>
      <c r="S371" s="715" t="str">
        <f>VLOOKUP(C371,'Base de Datos'!$E$7:$AU$390,16,0)</f>
        <v/>
      </c>
      <c r="T371" s="651">
        <f>VLOOKUP(C371,'Base de Datos'!$E$7:$AU$390,40,0)</f>
        <v>0</v>
      </c>
    </row>
    <row r="372" spans="2:22" hidden="1" x14ac:dyDescent="0.3">
      <c r="B372" s="506"/>
      <c r="C372" s="506"/>
      <c r="D372" s="506"/>
      <c r="E372" s="506"/>
      <c r="F372" s="506"/>
      <c r="G372" s="506"/>
      <c r="H372" s="506"/>
      <c r="I372" s="506"/>
      <c r="J372" s="506"/>
      <c r="K372" s="573"/>
      <c r="L372" s="506"/>
      <c r="M372" s="506"/>
      <c r="N372" s="506"/>
      <c r="O372" s="664"/>
      <c r="P372" s="709"/>
      <c r="Q372" s="506"/>
      <c r="R372" s="716"/>
      <c r="S372" s="716"/>
      <c r="T372" s="506"/>
    </row>
    <row r="373" spans="2:22" hidden="1" x14ac:dyDescent="0.3">
      <c r="B373" s="1239" t="s">
        <v>1671</v>
      </c>
      <c r="C373" s="1239"/>
      <c r="D373" s="1239"/>
      <c r="E373" s="554">
        <f>SUM(E375:E377)</f>
        <v>1067737824</v>
      </c>
      <c r="F373" s="554">
        <f>SUM(F375:F377)</f>
        <v>0</v>
      </c>
      <c r="G373" s="559"/>
      <c r="H373" s="559"/>
      <c r="I373" s="559"/>
      <c r="J373" s="554">
        <f>SUM(J375:J377)</f>
        <v>0</v>
      </c>
      <c r="K373" s="576" t="e">
        <f>+J373/F373</f>
        <v>#DIV/0!</v>
      </c>
      <c r="L373" s="554">
        <f>SUM(L375:L377)</f>
        <v>84454</v>
      </c>
      <c r="M373" s="554"/>
      <c r="N373" s="554">
        <f>SUM(N375:N377)</f>
        <v>0</v>
      </c>
      <c r="O373" s="657"/>
      <c r="P373" s="564" t="str">
        <f>IF(ISERROR(VLOOKUP(B373,'Base de Datos'!$C$7:$N$315,8,0))=TRUE," ",(VLOOKUP(B373,'Base de Datos'!$C$7:$N$315,8,0)))</f>
        <v xml:space="preserve"> </v>
      </c>
      <c r="Q373" s="565"/>
      <c r="R373" s="717" t="str">
        <f>IF(ISERROR(VLOOKUP(B373,'Base de Datos'!$C$7:$N$315,9,0))=TRUE," ",(VLOOKUP(B373,'Base de Datos'!$C$7:$N$315,9,0)))</f>
        <v xml:space="preserve"> </v>
      </c>
      <c r="S373" s="717" t="str">
        <f>IF(ISERROR(VLOOKUP(B373,'Base de Datos'!$C$7:$N$315,10,0))=TRUE," ",(VLOOKUP(B373,'Base de Datos'!$C$7:$N$315,10,0)))</f>
        <v xml:space="preserve"> </v>
      </c>
      <c r="T373" s="565"/>
    </row>
    <row r="374" spans="2:22" ht="22.8" hidden="1" x14ac:dyDescent="0.3">
      <c r="B374" s="510" t="s">
        <v>2127</v>
      </c>
      <c r="C374" s="510" t="s">
        <v>912</v>
      </c>
      <c r="D374" s="510" t="s">
        <v>1821</v>
      </c>
      <c r="E374" s="518" t="s">
        <v>1844</v>
      </c>
      <c r="F374" s="507" t="s">
        <v>2129</v>
      </c>
      <c r="G374" s="507"/>
      <c r="H374" s="507"/>
      <c r="I374" s="507"/>
      <c r="J374" s="510" t="s">
        <v>2130</v>
      </c>
      <c r="K374" s="625"/>
      <c r="L374" s="510" t="s">
        <v>1939</v>
      </c>
      <c r="M374" s="510"/>
      <c r="N374" s="510" t="s">
        <v>2136</v>
      </c>
      <c r="O374" s="650" t="s">
        <v>2133</v>
      </c>
      <c r="P374" s="541" t="s">
        <v>1817</v>
      </c>
      <c r="Q374" s="510" t="s">
        <v>1847</v>
      </c>
      <c r="R374" s="718" t="s">
        <v>1848</v>
      </c>
      <c r="S374" s="718" t="s">
        <v>375</v>
      </c>
      <c r="T374" s="510" t="s">
        <v>1849</v>
      </c>
    </row>
    <row r="375" spans="2:22" ht="22.8" hidden="1" x14ac:dyDescent="0.3">
      <c r="B375" s="506"/>
      <c r="C375" s="506" t="s">
        <v>1109</v>
      </c>
      <c r="D375" s="506" t="str">
        <f>VLOOKUP(C375,'Base de Datos'!$E$7:$AU$390,2,0)</f>
        <v>CANAL REGIONAL DE TELEVISION TEVEANDINA LTDA - TEVEANDINA LTDA</v>
      </c>
      <c r="E375" s="509">
        <f>VLOOKUP(C375,'Base de Datos'!$E$7:$AU$390,5,0)</f>
        <v>818527824</v>
      </c>
      <c r="F375" s="509" t="str">
        <f>VLOOKUP(C375,'Base de Datos'!$E$7:$AU$390,17,0)</f>
        <v/>
      </c>
      <c r="G375" s="506"/>
      <c r="H375" s="506"/>
      <c r="I375" s="506"/>
      <c r="J375" s="509" t="str">
        <f>VLOOKUP(C375,'Base de Datos'!$E$7:$AU$390,18,0)</f>
        <v/>
      </c>
      <c r="K375" s="573"/>
      <c r="L375" s="714">
        <f>VLOOKUP(C375,'Base de Datos'!$E$7:$AU$390,19,0)</f>
        <v>42116</v>
      </c>
      <c r="M375" s="506"/>
      <c r="N375" s="509" t="str">
        <f>IF(OR(O375=Hoja1!$D$17,'Presupuesto - PAA 2015'!O375=Hoja1!$D$18),'Presupuesto - PAA 2015'!L375," ")</f>
        <v xml:space="preserve"> </v>
      </c>
      <c r="O375" s="651" t="str">
        <f>VLOOKUP(C375,'Base de Datos'!$E$7:$AU$390,33,0)</f>
        <v>Oficina Asesora de Comunicaciones</v>
      </c>
      <c r="P375" s="709"/>
      <c r="Q375" s="506"/>
      <c r="R375" s="715">
        <f>VLOOKUP(C375,'Base de Datos'!$E$7:$AU$390,9,0)</f>
        <v>41921</v>
      </c>
      <c r="S375" s="715">
        <f>VLOOKUP(C375,'Base de Datos'!$E$7:$AU$390,16,0)</f>
        <v>42116</v>
      </c>
      <c r="T375" s="651">
        <f>VLOOKUP(C375,'Base de Datos'!$E$7:$AU$390,40,0)</f>
        <v>0</v>
      </c>
    </row>
    <row r="376" spans="2:22" ht="22.8" hidden="1" x14ac:dyDescent="0.3">
      <c r="B376" s="506"/>
      <c r="C376" s="506" t="s">
        <v>1528</v>
      </c>
      <c r="D376" s="506" t="str">
        <f>VLOOKUP(C376,'Base de Datos'!$E$7:$AU$390,2,0)</f>
        <v>CENTURY MEDIA SAS</v>
      </c>
      <c r="E376" s="509">
        <f>VLOOKUP(C376,'Base de Datos'!$E$7:$AU$390,5,0)</f>
        <v>249210000</v>
      </c>
      <c r="F376" s="509" t="str">
        <f>VLOOKUP(C376,'Base de Datos'!$E$7:$AU$390,17,0)</f>
        <v/>
      </c>
      <c r="G376" s="506"/>
      <c r="H376" s="506"/>
      <c r="I376" s="506"/>
      <c r="J376" s="509" t="str">
        <f>VLOOKUP(C376,'Base de Datos'!$E$7:$AU$390,18,0)</f>
        <v/>
      </c>
      <c r="K376" s="573"/>
      <c r="L376" s="714">
        <f>VLOOKUP(C376,'Base de Datos'!$E$7:$AU$390,19,0)</f>
        <v>42338</v>
      </c>
      <c r="M376" s="506"/>
      <c r="N376" s="509" t="str">
        <f>IF(OR(O376=Hoja1!$D$17,'Presupuesto - PAA 2015'!O376=Hoja1!$D$18),'Presupuesto - PAA 2015'!L376," ")</f>
        <v xml:space="preserve"> </v>
      </c>
      <c r="O376" s="651" t="str">
        <f>VLOOKUP(C376,'Base de Datos'!$E$7:$AU$390,33,0)</f>
        <v>Oficina Asesora de Comunicaciones</v>
      </c>
      <c r="P376" s="709"/>
      <c r="Q376" s="506"/>
      <c r="R376" s="715">
        <f>VLOOKUP(C376,'Base de Datos'!$E$7:$AU$390,9,0)</f>
        <v>42017</v>
      </c>
      <c r="S376" s="715">
        <f>VLOOKUP(C376,'Base de Datos'!$E$7:$AU$390,16,0)</f>
        <v>42338</v>
      </c>
      <c r="T376" s="651">
        <f>VLOOKUP(C376,'Base de Datos'!$E$7:$AU$390,40,0)</f>
        <v>0</v>
      </c>
    </row>
    <row r="377" spans="2:22" hidden="1" x14ac:dyDescent="0.3">
      <c r="B377" s="506"/>
      <c r="C377" s="506"/>
      <c r="D377" s="506"/>
      <c r="E377" s="506"/>
      <c r="F377" s="506"/>
      <c r="G377" s="506"/>
      <c r="H377" s="506"/>
      <c r="I377" s="506"/>
      <c r="J377" s="506"/>
      <c r="K377" s="573"/>
      <c r="L377" s="506"/>
      <c r="M377" s="506"/>
      <c r="N377" s="506"/>
      <c r="O377" s="664"/>
      <c r="P377" s="709"/>
      <c r="Q377" s="506"/>
      <c r="R377" s="716"/>
      <c r="S377" s="716"/>
      <c r="T377" s="506"/>
    </row>
    <row r="378" spans="2:22" ht="15" hidden="1" customHeight="1" x14ac:dyDescent="0.3">
      <c r="B378" s="1240" t="s">
        <v>1672</v>
      </c>
      <c r="C378" s="1240"/>
      <c r="D378" s="1240"/>
      <c r="E378" s="512">
        <f>+E379</f>
        <v>12700000</v>
      </c>
      <c r="F378" s="604" t="str">
        <f>+F379</f>
        <v/>
      </c>
      <c r="G378" s="513"/>
      <c r="H378" s="513"/>
      <c r="I378" s="513"/>
      <c r="J378" s="516" t="str">
        <f>+J379</f>
        <v/>
      </c>
      <c r="K378" s="583" t="e">
        <f>+J378/F378</f>
        <v>#VALUE!</v>
      </c>
      <c r="L378" s="516">
        <f>+L379</f>
        <v>42044</v>
      </c>
      <c r="M378" s="516"/>
      <c r="N378" s="516">
        <f>SUM(N379)</f>
        <v>0</v>
      </c>
      <c r="O378" s="662"/>
      <c r="P378" s="548" t="str">
        <f>IF(ISERROR(VLOOKUP(B378,'Base de Datos'!$C$7:$N$315,8,0))=TRUE," ",(VLOOKUP(B378,'Base de Datos'!$C$7:$N$315,8,0)))</f>
        <v xml:space="preserve"> </v>
      </c>
      <c r="Q378" s="542"/>
      <c r="R378" s="719" t="str">
        <f>IF(ISERROR(VLOOKUP(B378,'Base de Datos'!$C$7:$N$315,9,0))=TRUE," ",(VLOOKUP(B378,'Base de Datos'!$C$7:$N$315,9,0)))</f>
        <v xml:space="preserve"> </v>
      </c>
      <c r="S378" s="719" t="str">
        <f>IF(ISERROR(VLOOKUP(B378,'Base de Datos'!$C$7:$N$315,10,0))=TRUE," ",(VLOOKUP(B378,'Base de Datos'!$C$7:$N$315,10,0)))</f>
        <v xml:space="preserve"> </v>
      </c>
      <c r="T378" s="542"/>
      <c r="U378" s="694"/>
      <c r="V378" s="607"/>
    </row>
    <row r="379" spans="2:22" hidden="1" x14ac:dyDescent="0.3">
      <c r="B379" s="1239" t="s">
        <v>2126</v>
      </c>
      <c r="C379" s="1239"/>
      <c r="D379" s="1239"/>
      <c r="E379" s="554">
        <f>+E381</f>
        <v>12700000</v>
      </c>
      <c r="F379" s="554" t="str">
        <f>+F381</f>
        <v/>
      </c>
      <c r="G379" s="559"/>
      <c r="H379" s="559"/>
      <c r="I379" s="559"/>
      <c r="J379" s="554" t="str">
        <f>+J381</f>
        <v/>
      </c>
      <c r="K379" s="576" t="e">
        <f>+J379/F379</f>
        <v>#VALUE!</v>
      </c>
      <c r="L379" s="554">
        <f>+L381</f>
        <v>42044</v>
      </c>
      <c r="M379" s="554"/>
      <c r="N379" s="554">
        <f>+N381</f>
        <v>0</v>
      </c>
      <c r="O379" s="657"/>
      <c r="P379" s="564" t="str">
        <f>IF(ISERROR(VLOOKUP(B379,'Base de Datos'!$C$7:$N$315,8,0))=TRUE," ",(VLOOKUP(B379,'Base de Datos'!$C$7:$N$315,8,0)))</f>
        <v xml:space="preserve"> </v>
      </c>
      <c r="Q379" s="565"/>
      <c r="R379" s="717" t="str">
        <f>IF(ISERROR(VLOOKUP(B379,'Base de Datos'!$C$7:$N$315,9,0))=TRUE," ",(VLOOKUP(B379,'Base de Datos'!$C$7:$N$315,9,0)))</f>
        <v xml:space="preserve"> </v>
      </c>
      <c r="S379" s="717" t="str">
        <f>IF(ISERROR(VLOOKUP(B379,'Base de Datos'!$C$7:$N$315,10,0))=TRUE," ",(VLOOKUP(B379,'Base de Datos'!$C$7:$N$315,10,0)))</f>
        <v xml:space="preserve"> </v>
      </c>
      <c r="T379" s="565"/>
    </row>
    <row r="380" spans="2:22" ht="22.8" hidden="1" x14ac:dyDescent="0.3">
      <c r="B380" s="510" t="s">
        <v>2127</v>
      </c>
      <c r="C380" s="510" t="s">
        <v>912</v>
      </c>
      <c r="D380" s="510" t="s">
        <v>1821</v>
      </c>
      <c r="E380" s="518" t="s">
        <v>1844</v>
      </c>
      <c r="F380" s="507" t="s">
        <v>2129</v>
      </c>
      <c r="G380" s="507"/>
      <c r="H380" s="507"/>
      <c r="I380" s="507"/>
      <c r="J380" s="510" t="s">
        <v>2130</v>
      </c>
      <c r="K380" s="625"/>
      <c r="L380" s="510" t="s">
        <v>1939</v>
      </c>
      <c r="M380" s="510"/>
      <c r="N380" s="510" t="s">
        <v>2136</v>
      </c>
      <c r="O380" s="650" t="s">
        <v>2133</v>
      </c>
      <c r="P380" s="541" t="s">
        <v>1817</v>
      </c>
      <c r="Q380" s="510" t="s">
        <v>1847</v>
      </c>
      <c r="R380" s="718" t="s">
        <v>1848</v>
      </c>
      <c r="S380" s="718" t="s">
        <v>375</v>
      </c>
      <c r="T380" s="510" t="s">
        <v>1849</v>
      </c>
    </row>
    <row r="381" spans="2:22" ht="22.8" hidden="1" x14ac:dyDescent="0.3">
      <c r="B381" s="506"/>
      <c r="C381" s="506" t="s">
        <v>1484</v>
      </c>
      <c r="D381" s="506" t="str">
        <f>VLOOKUP(C381,'Base de Datos'!$E$7:$AU$390,2,0)</f>
        <v>RIGOBERTO GÓMEZ JAIMES</v>
      </c>
      <c r="E381" s="509">
        <f>VLOOKUP(C381,'Base de Datos'!$E$7:$AU$390,5,0)</f>
        <v>12700000</v>
      </c>
      <c r="F381" s="509" t="str">
        <f>VLOOKUP(C381,'Base de Datos'!$E$7:$AU$390,17,0)</f>
        <v/>
      </c>
      <c r="G381" s="506"/>
      <c r="H381" s="506"/>
      <c r="I381" s="506"/>
      <c r="J381" s="509" t="str">
        <f>VLOOKUP(C381,'Base de Datos'!$E$7:$AU$390,18,0)</f>
        <v/>
      </c>
      <c r="K381" s="573"/>
      <c r="L381" s="509">
        <f>VLOOKUP(C381,'Base de Datos'!$E$7:$AU$390,19,0)</f>
        <v>42044</v>
      </c>
      <c r="M381" s="506"/>
      <c r="N381" s="509"/>
      <c r="O381" s="723" t="str">
        <f>VLOOKUP(C381,'Base de Datos'!$E$7:$AU$390,33,0)</f>
        <v>Dirección Administrativa</v>
      </c>
      <c r="P381" s="709" t="s">
        <v>2135</v>
      </c>
      <c r="Q381" s="506"/>
      <c r="R381" s="715">
        <f>VLOOKUP(C381,'Base de Datos'!$E$7:$AU$390,9,0)</f>
        <v>41982</v>
      </c>
      <c r="S381" s="715" t="str">
        <f>VLOOKUP(C381,'Base de Datos'!$E$7:$AU$390,16,0)</f>
        <v/>
      </c>
      <c r="T381" s="651">
        <f>VLOOKUP(C381,'Base de Datos'!$E$7:$AU$390,40,0)</f>
        <v>0</v>
      </c>
    </row>
    <row r="382" spans="2:22" hidden="1" x14ac:dyDescent="0.3">
      <c r="B382" s="506"/>
      <c r="C382" s="506"/>
      <c r="D382" s="506"/>
      <c r="E382" s="506"/>
      <c r="F382" s="506"/>
      <c r="G382" s="506"/>
      <c r="H382" s="506"/>
      <c r="I382" s="506"/>
      <c r="J382" s="506"/>
      <c r="K382" s="573"/>
      <c r="L382" s="506"/>
      <c r="M382" s="506"/>
      <c r="N382" s="506"/>
      <c r="O382" s="664"/>
      <c r="P382" s="709"/>
      <c r="Q382" s="506"/>
      <c r="R382" s="716"/>
      <c r="S382" s="716"/>
      <c r="T382" s="506"/>
    </row>
    <row r="383" spans="2:22" ht="12" hidden="1" x14ac:dyDescent="0.3">
      <c r="B383" s="1241" t="s">
        <v>1687</v>
      </c>
      <c r="C383" s="1241"/>
      <c r="D383" s="1241"/>
      <c r="E383" s="514">
        <f t="shared" ref="E383:F387" si="19">+E384</f>
        <v>3039996697</v>
      </c>
      <c r="F383" s="514">
        <f t="shared" si="19"/>
        <v>0</v>
      </c>
      <c r="G383" s="514">
        <f t="shared" ref="G383:N387" si="20">+G384</f>
        <v>7542477000</v>
      </c>
      <c r="H383" s="514">
        <f t="shared" si="20"/>
        <v>0</v>
      </c>
      <c r="I383" s="514">
        <f t="shared" si="20"/>
        <v>7542477000</v>
      </c>
      <c r="J383" s="514">
        <f t="shared" si="20"/>
        <v>0</v>
      </c>
      <c r="K383" s="556" t="e">
        <f t="shared" si="20"/>
        <v>#DIV/0!</v>
      </c>
      <c r="L383" s="514">
        <f t="shared" si="20"/>
        <v>338265</v>
      </c>
      <c r="M383" s="549"/>
      <c r="N383" s="514">
        <f t="shared" si="20"/>
        <v>0</v>
      </c>
      <c r="O383" s="647"/>
      <c r="P383" s="549"/>
      <c r="Q383" s="544"/>
      <c r="R383" s="720" t="str">
        <f>IF(ISERROR(VLOOKUP(B383,'Base de Datos'!$C$7:$N$315,9,0))=TRUE," ",(VLOOKUP(B383,'Base de Datos'!$C$7:$N$315,9,0)))</f>
        <v xml:space="preserve"> </v>
      </c>
      <c r="S383" s="720" t="str">
        <f>IF(ISERROR(VLOOKUP(B383,'Base de Datos'!$C$7:$N$315,10,0))=TRUE," ",(VLOOKUP(B383,'Base de Datos'!$C$7:$N$315,10,0)))</f>
        <v xml:space="preserve"> </v>
      </c>
      <c r="T383" s="544"/>
    </row>
    <row r="384" spans="2:22" ht="12" hidden="1" x14ac:dyDescent="0.3">
      <c r="B384" s="1240" t="s">
        <v>1686</v>
      </c>
      <c r="C384" s="1240"/>
      <c r="D384" s="1240"/>
      <c r="E384" s="512">
        <f t="shared" si="19"/>
        <v>3039996697</v>
      </c>
      <c r="F384" s="512">
        <f t="shared" si="19"/>
        <v>0</v>
      </c>
      <c r="G384" s="516">
        <f t="shared" si="20"/>
        <v>7542477000</v>
      </c>
      <c r="H384" s="516">
        <f t="shared" si="20"/>
        <v>0</v>
      </c>
      <c r="I384" s="516">
        <f t="shared" si="20"/>
        <v>7542477000</v>
      </c>
      <c r="J384" s="516">
        <f t="shared" si="20"/>
        <v>0</v>
      </c>
      <c r="K384" s="574" t="e">
        <f t="shared" si="20"/>
        <v>#DIV/0!</v>
      </c>
      <c r="L384" s="516">
        <f t="shared" si="20"/>
        <v>338265</v>
      </c>
      <c r="M384" s="516"/>
      <c r="N384" s="516">
        <f t="shared" si="20"/>
        <v>0</v>
      </c>
      <c r="O384" s="662"/>
      <c r="P384" s="548" t="str">
        <f>IF(ISERROR(VLOOKUP(B384,'Base de Datos'!$C$7:$N$315,8,0))=TRUE," ",(VLOOKUP(B384,'Base de Datos'!$C$7:$N$315,8,0)))</f>
        <v xml:space="preserve"> </v>
      </c>
      <c r="Q384" s="542"/>
      <c r="R384" s="719" t="str">
        <f>IF(ISERROR(VLOOKUP(B384,'Base de Datos'!$C$7:$N$315,9,0))=TRUE," ",(VLOOKUP(B384,'Base de Datos'!$C$7:$N$315,9,0)))</f>
        <v xml:space="preserve"> </v>
      </c>
      <c r="S384" s="719" t="str">
        <f>IF(ISERROR(VLOOKUP(B384,'Base de Datos'!$C$7:$N$315,10,0))=TRUE," ",(VLOOKUP(B384,'Base de Datos'!$C$7:$N$315,10,0)))</f>
        <v xml:space="preserve"> </v>
      </c>
      <c r="T384" s="542"/>
    </row>
    <row r="385" spans="2:21" hidden="1" x14ac:dyDescent="0.3">
      <c r="B385" s="1238" t="s">
        <v>1675</v>
      </c>
      <c r="C385" s="1238"/>
      <c r="D385" s="1238"/>
      <c r="E385" s="516">
        <f t="shared" si="19"/>
        <v>3039996697</v>
      </c>
      <c r="F385" s="516">
        <f t="shared" si="19"/>
        <v>0</v>
      </c>
      <c r="G385" s="516">
        <f t="shared" si="20"/>
        <v>7542477000</v>
      </c>
      <c r="H385" s="516">
        <f t="shared" si="20"/>
        <v>0</v>
      </c>
      <c r="I385" s="516">
        <f t="shared" si="20"/>
        <v>7542477000</v>
      </c>
      <c r="J385" s="516">
        <f t="shared" si="20"/>
        <v>0</v>
      </c>
      <c r="K385" s="574" t="e">
        <f t="shared" si="20"/>
        <v>#DIV/0!</v>
      </c>
      <c r="L385" s="516">
        <f t="shared" si="20"/>
        <v>338265</v>
      </c>
      <c r="M385" s="516"/>
      <c r="N385" s="516">
        <f t="shared" si="20"/>
        <v>0</v>
      </c>
      <c r="O385" s="662"/>
      <c r="P385" s="548" t="str">
        <f>IF(ISERROR(VLOOKUP(B385,'Base de Datos'!$C$7:$N$315,8,0))=TRUE," ",(VLOOKUP(B385,'Base de Datos'!$C$7:$N$315,8,0)))</f>
        <v xml:space="preserve"> </v>
      </c>
      <c r="Q385" s="542"/>
      <c r="R385" s="719" t="str">
        <f>IF(ISERROR(VLOOKUP(B385,'Base de Datos'!$C$7:$N$315,9,0))=TRUE," ",(VLOOKUP(B385,'Base de Datos'!$C$7:$N$315,9,0)))</f>
        <v xml:space="preserve"> </v>
      </c>
      <c r="S385" s="719" t="str">
        <f>IF(ISERROR(VLOOKUP(B385,'Base de Datos'!$C$7:$N$315,10,0))=TRUE," ",(VLOOKUP(B385,'Base de Datos'!$C$7:$N$315,10,0)))</f>
        <v xml:space="preserve"> </v>
      </c>
      <c r="T385" s="542"/>
    </row>
    <row r="386" spans="2:21" hidden="1" x14ac:dyDescent="0.3">
      <c r="B386" s="1238" t="s">
        <v>1836</v>
      </c>
      <c r="C386" s="1238"/>
      <c r="D386" s="1238"/>
      <c r="E386" s="516">
        <f t="shared" si="19"/>
        <v>3039996697</v>
      </c>
      <c r="F386" s="516">
        <f t="shared" si="19"/>
        <v>0</v>
      </c>
      <c r="G386" s="516">
        <f t="shared" si="20"/>
        <v>7542477000</v>
      </c>
      <c r="H386" s="516">
        <f t="shared" si="20"/>
        <v>0</v>
      </c>
      <c r="I386" s="516">
        <f t="shared" si="20"/>
        <v>7542477000</v>
      </c>
      <c r="J386" s="516">
        <f t="shared" si="20"/>
        <v>0</v>
      </c>
      <c r="K386" s="574" t="e">
        <f t="shared" si="20"/>
        <v>#DIV/0!</v>
      </c>
      <c r="L386" s="516">
        <f t="shared" si="20"/>
        <v>338265</v>
      </c>
      <c r="M386" s="516"/>
      <c r="N386" s="516">
        <f t="shared" si="20"/>
        <v>0</v>
      </c>
      <c r="O386" s="662"/>
      <c r="P386" s="548" t="str">
        <f>IF(ISERROR(VLOOKUP(B386,'Base de Datos'!$C$7:$N$315,8,0))=TRUE," ",(VLOOKUP(B386,'Base de Datos'!$C$7:$N$315,8,0)))</f>
        <v xml:space="preserve"> </v>
      </c>
      <c r="Q386" s="542"/>
      <c r="R386" s="719" t="str">
        <f>IF(ISERROR(VLOOKUP(B386,'Base de Datos'!$C$7:$N$315,9,0))=TRUE," ",(VLOOKUP(B386,'Base de Datos'!$C$7:$N$315,9,0)))</f>
        <v xml:space="preserve"> </v>
      </c>
      <c r="S386" s="719" t="str">
        <f>IF(ISERROR(VLOOKUP(B386,'Base de Datos'!$C$7:$N$315,10,0))=TRUE," ",(VLOOKUP(B386,'Base de Datos'!$C$7:$N$315,10,0)))</f>
        <v xml:space="preserve"> </v>
      </c>
      <c r="T386" s="542"/>
    </row>
    <row r="387" spans="2:21" hidden="1" x14ac:dyDescent="0.3">
      <c r="B387" s="1238" t="s">
        <v>1835</v>
      </c>
      <c r="C387" s="1238"/>
      <c r="D387" s="1238"/>
      <c r="E387" s="516">
        <f t="shared" si="19"/>
        <v>3039996697</v>
      </c>
      <c r="F387" s="516">
        <f t="shared" si="19"/>
        <v>0</v>
      </c>
      <c r="G387" s="516">
        <f t="shared" si="20"/>
        <v>7542477000</v>
      </c>
      <c r="H387" s="516">
        <f t="shared" si="20"/>
        <v>0</v>
      </c>
      <c r="I387" s="516">
        <f t="shared" si="20"/>
        <v>7542477000</v>
      </c>
      <c r="J387" s="516">
        <f t="shared" si="20"/>
        <v>0</v>
      </c>
      <c r="K387" s="574" t="e">
        <f t="shared" si="20"/>
        <v>#DIV/0!</v>
      </c>
      <c r="L387" s="516">
        <f t="shared" si="20"/>
        <v>338265</v>
      </c>
      <c r="M387" s="516"/>
      <c r="N387" s="516">
        <f t="shared" si="20"/>
        <v>0</v>
      </c>
      <c r="O387" s="662"/>
      <c r="P387" s="548" t="str">
        <f>IF(ISERROR(VLOOKUP(B387,'Base de Datos'!$C$7:$N$315,8,0))=TRUE," ",(VLOOKUP(B387,'Base de Datos'!$C$7:$N$315,8,0)))</f>
        <v xml:space="preserve"> </v>
      </c>
      <c r="Q387" s="542"/>
      <c r="R387" s="719" t="str">
        <f>IF(ISERROR(VLOOKUP(B387,'Base de Datos'!$C$7:$N$315,9,0))=TRUE," ",(VLOOKUP(B387,'Base de Datos'!$C$7:$N$315,9,0)))</f>
        <v xml:space="preserve"> </v>
      </c>
      <c r="S387" s="719" t="str">
        <f>IF(ISERROR(VLOOKUP(B387,'Base de Datos'!$C$7:$N$315,10,0))=TRUE," ",(VLOOKUP(B387,'Base de Datos'!$C$7:$N$315,10,0)))</f>
        <v xml:space="preserve"> </v>
      </c>
      <c r="T387" s="542"/>
      <c r="U387" s="508"/>
    </row>
    <row r="388" spans="2:21" hidden="1" x14ac:dyDescent="0.3">
      <c r="B388" s="1239" t="s">
        <v>1873</v>
      </c>
      <c r="C388" s="1239"/>
      <c r="D388" s="1239"/>
      <c r="E388" s="554">
        <f>SUM(E390:E397)</f>
        <v>3039996697</v>
      </c>
      <c r="F388" s="554">
        <f>SUM(F390:F397)</f>
        <v>0</v>
      </c>
      <c r="G388" s="554">
        <v>7542477000</v>
      </c>
      <c r="H388" s="559"/>
      <c r="I388" s="554">
        <v>7542477000</v>
      </c>
      <c r="J388" s="554">
        <f>SUM(J390:J397)</f>
        <v>0</v>
      </c>
      <c r="K388" s="576" t="e">
        <f>+J388/F388</f>
        <v>#DIV/0!</v>
      </c>
      <c r="L388" s="554">
        <f>SUM(L390:L397)</f>
        <v>338265</v>
      </c>
      <c r="M388" s="554"/>
      <c r="N388" s="554">
        <f>SUM(N390:N397)</f>
        <v>0</v>
      </c>
      <c r="O388" s="657"/>
      <c r="P388" s="564" t="str">
        <f>IF(ISERROR(VLOOKUP(B388,'Base de Datos'!$C$7:$N$315,8,0))=TRUE," ",(VLOOKUP(B388,'Base de Datos'!$C$7:$N$315,8,0)))</f>
        <v xml:space="preserve"> </v>
      </c>
      <c r="Q388" s="565"/>
      <c r="R388" s="717" t="str">
        <f>IF(ISERROR(VLOOKUP(B388,'Base de Datos'!$C$7:$N$315,9,0))=TRUE," ",(VLOOKUP(B388,'Base de Datos'!$C$7:$N$315,9,0)))</f>
        <v xml:space="preserve"> </v>
      </c>
      <c r="S388" s="717" t="str">
        <f>IF(ISERROR(VLOOKUP(B388,'Base de Datos'!$C$7:$N$315,10,0))=TRUE," ",(VLOOKUP(B388,'Base de Datos'!$C$7:$N$315,10,0)))</f>
        <v xml:space="preserve"> </v>
      </c>
      <c r="T388" s="565"/>
      <c r="U388" s="508"/>
    </row>
    <row r="389" spans="2:21" ht="22.8" hidden="1" x14ac:dyDescent="0.3">
      <c r="B389" s="510" t="s">
        <v>2127</v>
      </c>
      <c r="C389" s="510" t="s">
        <v>912</v>
      </c>
      <c r="D389" s="510" t="s">
        <v>1821</v>
      </c>
      <c r="E389" s="518" t="s">
        <v>1844</v>
      </c>
      <c r="F389" s="507" t="s">
        <v>2129</v>
      </c>
      <c r="G389" s="507"/>
      <c r="H389" s="507"/>
      <c r="I389" s="507"/>
      <c r="J389" s="510" t="s">
        <v>2130</v>
      </c>
      <c r="K389" s="625"/>
      <c r="L389" s="510" t="s">
        <v>1939</v>
      </c>
      <c r="M389" s="510"/>
      <c r="N389" s="510" t="s">
        <v>2136</v>
      </c>
      <c r="O389" s="650" t="s">
        <v>2133</v>
      </c>
      <c r="P389" s="541" t="s">
        <v>1817</v>
      </c>
      <c r="Q389" s="510" t="s">
        <v>1847</v>
      </c>
      <c r="R389" s="718" t="s">
        <v>1848</v>
      </c>
      <c r="S389" s="718" t="s">
        <v>375</v>
      </c>
      <c r="T389" s="510" t="s">
        <v>1849</v>
      </c>
      <c r="U389" s="508"/>
    </row>
    <row r="390" spans="2:21" ht="22.8" hidden="1" x14ac:dyDescent="0.3">
      <c r="B390" s="506"/>
      <c r="C390" s="506" t="s">
        <v>1524</v>
      </c>
      <c r="D390" s="506" t="str">
        <f>VLOOKUP(C390,'Base de Datos'!$E$7:$AU$390,2,0)</f>
        <v>M@ICROTEL LTDA</v>
      </c>
      <c r="E390" s="509">
        <f>VLOOKUP(C390,'Base de Datos'!$E$7:$AU$390,5,0)</f>
        <v>137450000</v>
      </c>
      <c r="F390" s="509" t="str">
        <f>VLOOKUP(C390,'Base de Datos'!$E$7:$AU$390,17,0)</f>
        <v/>
      </c>
      <c r="G390" s="506"/>
      <c r="H390" s="506"/>
      <c r="I390" s="506"/>
      <c r="J390" s="509" t="str">
        <f>VLOOKUP(C390,'Base de Datos'!$E$7:$AU$390,18,0)</f>
        <v/>
      </c>
      <c r="K390" s="573"/>
      <c r="L390" s="714">
        <f>VLOOKUP(C390,'Base de Datos'!$E$7:$AU$390,19,0)</f>
        <v>42383</v>
      </c>
      <c r="M390" s="506"/>
      <c r="N390" s="509" t="str">
        <f>IF(OR(O390=Hoja1!$D$17,'Presupuesto - PAA 2015'!O390=Hoja1!$D$18),'Presupuesto - PAA 2015'!L390," ")</f>
        <v xml:space="preserve"> </v>
      </c>
      <c r="O390" s="651" t="str">
        <f>VLOOKUP(C390,'Base de Datos'!$E$7:$AU$390,33,0)</f>
        <v>Dirección Administrativa</v>
      </c>
      <c r="P390" s="709"/>
      <c r="Q390" s="506"/>
      <c r="R390" s="715">
        <f>VLOOKUP(C390,'Base de Datos'!$E$7:$AU$390,9,0)</f>
        <v>42018</v>
      </c>
      <c r="S390" s="715" t="str">
        <f>VLOOKUP(C390,'Base de Datos'!$E$7:$AU$390,16,0)</f>
        <v/>
      </c>
      <c r="T390" s="651">
        <f>VLOOKUP(C390,'Base de Datos'!$E$7:$AU$390,40,0)</f>
        <v>0</v>
      </c>
      <c r="U390" s="508"/>
    </row>
    <row r="391" spans="2:21" ht="22.8" hidden="1" x14ac:dyDescent="0.3">
      <c r="B391" s="506"/>
      <c r="C391" s="506" t="s">
        <v>1115</v>
      </c>
      <c r="D391" s="506" t="str">
        <f>VLOOKUP(C391,'Base de Datos'!$E$7:$AU$390,2,0)</f>
        <v>SUMIMAS SAS</v>
      </c>
      <c r="E391" s="509">
        <f>VLOOKUP(C391,'Base de Datos'!$E$7:$AU$390,5,0)</f>
        <v>75520000</v>
      </c>
      <c r="F391" s="509" t="str">
        <f>VLOOKUP(C391,'Base de Datos'!$E$7:$AU$390,17,0)</f>
        <v/>
      </c>
      <c r="G391" s="506"/>
      <c r="H391" s="506"/>
      <c r="I391" s="506"/>
      <c r="J391" s="509" t="str">
        <f>VLOOKUP(C391,'Base de Datos'!$E$7:$AU$390,18,0)</f>
        <v/>
      </c>
      <c r="K391" s="573"/>
      <c r="L391" s="714">
        <f>VLOOKUP(C391,'Base de Datos'!$E$7:$AU$390,19,0)</f>
        <v>42294</v>
      </c>
      <c r="M391" s="506"/>
      <c r="N391" s="509" t="str">
        <f>IF(OR(O391=Hoja1!$D$17,'Presupuesto - PAA 2015'!O391=Hoja1!$D$18),'Presupuesto - PAA 2015'!L391," ")</f>
        <v xml:space="preserve"> </v>
      </c>
      <c r="O391" s="651" t="str">
        <f>VLOOKUP(C391,'Base de Datos'!$E$7:$AU$390,33,0)</f>
        <v>Dirección Administrativa</v>
      </c>
      <c r="P391" s="709"/>
      <c r="Q391" s="506"/>
      <c r="R391" s="715">
        <f>VLOOKUP(C391,'Base de Datos'!$E$7:$AU$390,9,0)</f>
        <v>41929</v>
      </c>
      <c r="S391" s="715" t="str">
        <f>VLOOKUP(C391,'Base de Datos'!$E$7:$AU$390,16,0)</f>
        <v/>
      </c>
      <c r="T391" s="651">
        <f>VLOOKUP(C391,'Base de Datos'!$E$7:$AU$390,40,0)</f>
        <v>0</v>
      </c>
      <c r="U391" s="508"/>
    </row>
    <row r="392" spans="2:21" ht="22.8" hidden="1" x14ac:dyDescent="0.3">
      <c r="B392" s="506"/>
      <c r="C392" s="506" t="s">
        <v>1358</v>
      </c>
      <c r="D392" s="506" t="str">
        <f>VLOOKUP(C392,'Base de Datos'!$E$7:$AU$390,2,0)</f>
        <v>M@ICROTEL LTDA</v>
      </c>
      <c r="E392" s="509">
        <f>VLOOKUP(C392,'Base de Datos'!$E$7:$AU$390,5,0)</f>
        <v>27235640</v>
      </c>
      <c r="F392" s="509" t="str">
        <f>VLOOKUP(C392,'Base de Datos'!$E$7:$AU$390,17,0)</f>
        <v/>
      </c>
      <c r="G392" s="506"/>
      <c r="H392" s="506"/>
      <c r="I392" s="506"/>
      <c r="J392" s="509" t="str">
        <f>VLOOKUP(C392,'Base de Datos'!$E$7:$AU$390,18,0)</f>
        <v/>
      </c>
      <c r="K392" s="573"/>
      <c r="L392" s="714">
        <f>VLOOKUP(C392,'Base de Datos'!$E$7:$AU$390,19,0)</f>
        <v>42334</v>
      </c>
      <c r="M392" s="506"/>
      <c r="N392" s="509" t="str">
        <f>IF(OR(O392=Hoja1!$D$17,'Presupuesto - PAA 2015'!O392=Hoja1!$D$18),'Presupuesto - PAA 2015'!L392," ")</f>
        <v xml:space="preserve"> </v>
      </c>
      <c r="O392" s="651" t="str">
        <f>VLOOKUP(C392,'Base de Datos'!$E$7:$AU$390,33,0)</f>
        <v>Dirección Administrativa</v>
      </c>
      <c r="P392" s="709"/>
      <c r="Q392" s="506"/>
      <c r="R392" s="715">
        <f>VLOOKUP(C392,'Base de Datos'!$E$7:$AU$390,9,0)</f>
        <v>41969</v>
      </c>
      <c r="S392" s="715" t="str">
        <f>VLOOKUP(C392,'Base de Datos'!$E$7:$AU$390,16,0)</f>
        <v/>
      </c>
      <c r="T392" s="651">
        <f>VLOOKUP(C392,'Base de Datos'!$E$7:$AU$390,40,0)</f>
        <v>0</v>
      </c>
      <c r="U392" s="508"/>
    </row>
    <row r="393" spans="2:21" ht="22.8" hidden="1" x14ac:dyDescent="0.3">
      <c r="B393" s="506"/>
      <c r="C393" s="506" t="s">
        <v>1365</v>
      </c>
      <c r="D393" s="506" t="str">
        <f>VLOOKUP(C393,'Base de Datos'!$E$7:$AU$390,2,0)</f>
        <v>CARLOS ALBERTO CASTELLANOS MEDINA</v>
      </c>
      <c r="E393" s="509">
        <f>VLOOKUP(C393,'Base de Datos'!$E$7:$AU$390,5,0)</f>
        <v>39999999</v>
      </c>
      <c r="F393" s="509" t="str">
        <f>VLOOKUP(C393,'Base de Datos'!$E$7:$AU$390,17,0)</f>
        <v/>
      </c>
      <c r="G393" s="506"/>
      <c r="H393" s="506"/>
      <c r="I393" s="506"/>
      <c r="J393" s="509" t="str">
        <f>VLOOKUP(C393,'Base de Datos'!$E$7:$AU$390,18,0)</f>
        <v/>
      </c>
      <c r="K393" s="573"/>
      <c r="L393" s="714">
        <f>VLOOKUP(C393,'Base de Datos'!$E$7:$AU$390,19,0)</f>
        <v>42504</v>
      </c>
      <c r="M393" s="506"/>
      <c r="N393" s="509" t="str">
        <f>IF(OR(O393=Hoja1!$D$17,'Presupuesto - PAA 2015'!O393=Hoja1!$D$18),'Presupuesto - PAA 2015'!L393," ")</f>
        <v xml:space="preserve"> </v>
      </c>
      <c r="O393" s="651" t="str">
        <f>VLOOKUP(C393,'Base de Datos'!$E$7:$AU$390,33,0)</f>
        <v>Dirección Administrativa</v>
      </c>
      <c r="P393" s="709"/>
      <c r="Q393" s="506"/>
      <c r="R393" s="715">
        <f>VLOOKUP(C393,'Base de Datos'!$E$7:$AU$390,9,0)</f>
        <v>41957</v>
      </c>
      <c r="S393" s="715" t="str">
        <f>VLOOKUP(C393,'Base de Datos'!$E$7:$AU$390,16,0)</f>
        <v/>
      </c>
      <c r="T393" s="651">
        <f>VLOOKUP(C393,'Base de Datos'!$E$7:$AU$390,40,0)</f>
        <v>0</v>
      </c>
      <c r="U393" s="508"/>
    </row>
    <row r="394" spans="2:21" ht="22.8" hidden="1" x14ac:dyDescent="0.3">
      <c r="B394" s="506"/>
      <c r="C394" s="506" t="s">
        <v>291</v>
      </c>
      <c r="D394" s="506" t="str">
        <f>VLOOKUP(C394,'Base de Datos'!$E$7:$AU$390,2,0)</f>
        <v>UNIDAD NACIONAL DE PROTECCIÓN</v>
      </c>
      <c r="E394" s="509">
        <f>VLOOKUP(C394,'Base de Datos'!$E$7:$AU$390,5,0)</f>
        <v>2447846100</v>
      </c>
      <c r="F394" s="509" t="str">
        <f>VLOOKUP(C394,'Base de Datos'!$E$7:$AU$390,17,0)</f>
        <v/>
      </c>
      <c r="G394" s="506"/>
      <c r="H394" s="506"/>
      <c r="I394" s="506"/>
      <c r="J394" s="509" t="str">
        <f>VLOOKUP(C394,'Base de Datos'!$E$7:$AU$390,18,0)</f>
        <v/>
      </c>
      <c r="K394" s="573"/>
      <c r="L394" s="714">
        <f>VLOOKUP(C394,'Base de Datos'!$E$7:$AU$390,19,0)</f>
        <v>42116</v>
      </c>
      <c r="M394" s="506"/>
      <c r="N394" s="509" t="str">
        <f>IF(OR(O394=Hoja1!$D$17,'Presupuesto - PAA 2015'!O394=Hoja1!$D$18),'Presupuesto - PAA 2015'!L394," ")</f>
        <v xml:space="preserve"> </v>
      </c>
      <c r="O394" s="651" t="str">
        <f>VLOOKUP(C394,'Base de Datos'!$E$7:$AU$390,33,0)</f>
        <v>Dirección Administrativa</v>
      </c>
      <c r="P394" s="709"/>
      <c r="Q394" s="506"/>
      <c r="R394" s="715">
        <f>VLOOKUP(C394,'Base de Datos'!$E$7:$AU$390,9,0)</f>
        <v>41808</v>
      </c>
      <c r="S394" s="715">
        <f>VLOOKUP(C394,'Base de Datos'!$E$7:$AU$390,16,0)</f>
        <v>42116</v>
      </c>
      <c r="T394" s="651">
        <f>VLOOKUP(C394,'Base de Datos'!$E$7:$AU$390,40,0)</f>
        <v>0</v>
      </c>
      <c r="U394" s="508"/>
    </row>
    <row r="395" spans="2:21" ht="22.8" hidden="1" x14ac:dyDescent="0.3">
      <c r="B395" s="506"/>
      <c r="C395" s="506" t="s">
        <v>1515</v>
      </c>
      <c r="D395" s="506" t="str">
        <f>VLOOKUP(C395,'Base de Datos'!$E$7:$AU$390,2,0)</f>
        <v>KAWAK SAS</v>
      </c>
      <c r="E395" s="509">
        <f>VLOOKUP(C395,'Base de Datos'!$E$7:$AU$390,5,0)</f>
        <v>64621280</v>
      </c>
      <c r="F395" s="509" t="str">
        <f>VLOOKUP(C395,'Base de Datos'!$E$7:$AU$390,17,0)</f>
        <v/>
      </c>
      <c r="G395" s="506"/>
      <c r="H395" s="506"/>
      <c r="I395" s="506"/>
      <c r="J395" s="509" t="str">
        <f>VLOOKUP(C395,'Base de Datos'!$E$7:$AU$390,18,0)</f>
        <v/>
      </c>
      <c r="K395" s="573"/>
      <c r="L395" s="714">
        <f>VLOOKUP(C395,'Base de Datos'!$E$7:$AU$390,19,0)</f>
        <v>42348</v>
      </c>
      <c r="M395" s="506"/>
      <c r="N395" s="509" t="str">
        <f>IF(OR(O395=Hoja1!$D$17,'Presupuesto - PAA 2015'!O395=Hoja1!$D$18),'Presupuesto - PAA 2015'!L395," ")</f>
        <v xml:space="preserve"> </v>
      </c>
      <c r="O395" s="651" t="str">
        <f>VLOOKUP(C395,'Base de Datos'!$E$7:$AU$390,33,0)</f>
        <v>Dirección Administrativa</v>
      </c>
      <c r="P395" s="709"/>
      <c r="Q395" s="506"/>
      <c r="R395" s="715">
        <f>VLOOKUP(C395,'Base de Datos'!$E$7:$AU$390,9,0)</f>
        <v>42045</v>
      </c>
      <c r="S395" s="715">
        <f>VLOOKUP(C395,'Base de Datos'!$E$7:$AU$390,16,0)</f>
        <v>42348</v>
      </c>
      <c r="T395" s="651">
        <f>VLOOKUP(C395,'Base de Datos'!$E$7:$AU$390,40,0)</f>
        <v>0</v>
      </c>
      <c r="U395" s="508"/>
    </row>
    <row r="396" spans="2:21" ht="22.8" hidden="1" x14ac:dyDescent="0.3">
      <c r="B396" s="506"/>
      <c r="C396" s="506" t="s">
        <v>1496</v>
      </c>
      <c r="D396" s="506" t="str">
        <f>VLOOKUP(C396,'Base de Datos'!$E$7:$AU$390,2,0)</f>
        <v>GAMMA INGENIEROS S A</v>
      </c>
      <c r="E396" s="509">
        <f>VLOOKUP(C396,'Base de Datos'!$E$7:$AU$390,5,0)</f>
        <v>187940000</v>
      </c>
      <c r="F396" s="509" t="str">
        <f>VLOOKUP(C396,'Base de Datos'!$E$7:$AU$390,17,0)</f>
        <v/>
      </c>
      <c r="G396" s="506"/>
      <c r="H396" s="506"/>
      <c r="I396" s="506"/>
      <c r="J396" s="509" t="str">
        <f>VLOOKUP(C396,'Base de Datos'!$E$7:$AU$390,18,0)</f>
        <v/>
      </c>
      <c r="K396" s="573"/>
      <c r="L396" s="714">
        <f>VLOOKUP(C396,'Base de Datos'!$E$7:$AU$390,19,0)</f>
        <v>42102</v>
      </c>
      <c r="M396" s="506"/>
      <c r="N396" s="509" t="str">
        <f>IF(OR(O396=Hoja1!$D$17,'Presupuesto - PAA 2015'!O396=Hoja1!$D$18),'Presupuesto - PAA 2015'!L396," ")</f>
        <v xml:space="preserve"> </v>
      </c>
      <c r="O396" s="651" t="str">
        <f>VLOOKUP(C396,'Base de Datos'!$E$7:$AU$390,33,0)</f>
        <v>Dirección Administrativa</v>
      </c>
      <c r="P396" s="709"/>
      <c r="Q396" s="506"/>
      <c r="R396" s="715">
        <f>VLOOKUP(C396,'Base de Datos'!$E$7:$AU$390,9,0)</f>
        <v>42023</v>
      </c>
      <c r="S396" s="715" t="str">
        <f>VLOOKUP(C396,'Base de Datos'!$E$7:$AU$390,16,0)</f>
        <v/>
      </c>
      <c r="T396" s="651">
        <f>VLOOKUP(C396,'Base de Datos'!$E$7:$AU$390,40,0)</f>
        <v>0</v>
      </c>
      <c r="U396" s="508"/>
    </row>
    <row r="397" spans="2:21" ht="22.8" hidden="1" x14ac:dyDescent="0.3">
      <c r="B397" s="506"/>
      <c r="C397" s="506" t="s">
        <v>1350</v>
      </c>
      <c r="D397" s="506" t="str">
        <f>VLOOKUP(C397,'Base de Datos'!$E$7:$AU$390,2,0)</f>
        <v>PROSEGUR TECNOLOGÍA S.A.S.</v>
      </c>
      <c r="E397" s="509">
        <f>VLOOKUP(C397,'Base de Datos'!$E$7:$AU$390,5,0)</f>
        <v>59383678</v>
      </c>
      <c r="F397" s="509" t="str">
        <f>VLOOKUP(C397,'Base de Datos'!$E$7:$AU$390,17,0)</f>
        <v/>
      </c>
      <c r="G397" s="506"/>
      <c r="H397" s="506"/>
      <c r="I397" s="506"/>
      <c r="J397" s="509" t="str">
        <f>VLOOKUP(C397,'Base de Datos'!$E$7:$AU$390,18,0)</f>
        <v/>
      </c>
      <c r="K397" s="573"/>
      <c r="L397" s="714">
        <f>VLOOKUP(C397,'Base de Datos'!$E$7:$AU$390,19,0)</f>
        <v>42184</v>
      </c>
      <c r="M397" s="506"/>
      <c r="N397" s="509" t="str">
        <f>IF(OR(O397=Hoja1!$D$17,'Presupuesto - PAA 2015'!O397=Hoja1!$D$18),'Presupuesto - PAA 2015'!L397," ")</f>
        <v xml:space="preserve"> </v>
      </c>
      <c r="O397" s="651" t="str">
        <f>VLOOKUP(C397,'Base de Datos'!$E$7:$AU$390,33,0)</f>
        <v>Dirección Administrativa</v>
      </c>
      <c r="P397" s="709"/>
      <c r="Q397" s="506"/>
      <c r="R397" s="715">
        <f>VLOOKUP(C397,'Base de Datos'!$E$7:$AU$390,9,0)</f>
        <v>41941</v>
      </c>
      <c r="S397" s="715">
        <f>VLOOKUP(C397,'Base de Datos'!$E$7:$AU$390,16,0)</f>
        <v>42184</v>
      </c>
      <c r="T397" s="651">
        <f>VLOOKUP(C397,'Base de Datos'!$E$7:$AU$390,40,0)</f>
        <v>0</v>
      </c>
      <c r="U397" s="508"/>
    </row>
    <row r="398" spans="2:21" x14ac:dyDescent="0.3">
      <c r="R398" s="721"/>
      <c r="S398" s="721"/>
      <c r="U398" s="508"/>
    </row>
  </sheetData>
  <mergeCells count="95">
    <mergeCell ref="B209:D209"/>
    <mergeCell ref="B205:D205"/>
    <mergeCell ref="B51:D51"/>
    <mergeCell ref="B73:D73"/>
    <mergeCell ref="B74:D74"/>
    <mergeCell ref="B176:D176"/>
    <mergeCell ref="B175:D175"/>
    <mergeCell ref="B91:D91"/>
    <mergeCell ref="B90:D90"/>
    <mergeCell ref="B75:D75"/>
    <mergeCell ref="B82:D82"/>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B271:D271"/>
    <mergeCell ref="B272:D272"/>
    <mergeCell ref="B273:D273"/>
    <mergeCell ref="B274:D274"/>
    <mergeCell ref="B275:D275"/>
    <mergeCell ref="B276:D276"/>
    <mergeCell ref="B277:D277"/>
    <mergeCell ref="B285:D285"/>
    <mergeCell ref="B291:D291"/>
    <mergeCell ref="B289:D289"/>
    <mergeCell ref="B290:D290"/>
    <mergeCell ref="B347:D347"/>
    <mergeCell ref="B348:D348"/>
    <mergeCell ref="B353:D353"/>
    <mergeCell ref="B300:D300"/>
    <mergeCell ref="B307:D307"/>
    <mergeCell ref="B312:D312"/>
    <mergeCell ref="B317:D317"/>
    <mergeCell ref="B323:D323"/>
    <mergeCell ref="B313:D313"/>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06"/>
  <sheetViews>
    <sheetView workbookViewId="0">
      <selection activeCell="B3" sqref="B3:D3"/>
    </sheetView>
  </sheetViews>
  <sheetFormatPr baseColWidth="10" defaultColWidth="11.44140625" defaultRowHeight="14.4" x14ac:dyDescent="0.3"/>
  <cols>
    <col min="1" max="1" width="2.44140625" style="629" customWidth="1"/>
    <col min="2" max="3" width="11.44140625" style="628"/>
    <col min="4" max="4" width="48.109375" style="628" customWidth="1"/>
    <col min="5" max="5" width="0" style="628" hidden="1" customWidth="1"/>
    <col min="6" max="6" width="15.109375" style="628" bestFit="1" customWidth="1"/>
    <col min="7" max="7" width="15.109375" style="628" hidden="1" customWidth="1"/>
    <col min="8" max="8" width="12.6640625" style="628" hidden="1" customWidth="1"/>
    <col min="9" max="9" width="15.109375" style="628" hidden="1" customWidth="1"/>
    <col min="10" max="10" width="15.109375" style="628" bestFit="1" customWidth="1"/>
    <col min="11" max="11" width="11.44140625" style="646"/>
    <col min="12" max="12" width="15.109375" style="628" bestFit="1" customWidth="1"/>
    <col min="13" max="13" width="12.88671875" style="628" hidden="1" customWidth="1"/>
    <col min="14" max="14" width="14.109375" style="628" bestFit="1" customWidth="1"/>
    <col min="15" max="16384" width="11.44140625" style="628"/>
  </cols>
  <sheetData>
    <row r="1" spans="1:14" ht="18" x14ac:dyDescent="0.3">
      <c r="A1" s="627"/>
      <c r="B1" s="1261" t="s">
        <v>1940</v>
      </c>
      <c r="C1" s="1261"/>
      <c r="D1" s="1261"/>
      <c r="E1" s="1261"/>
      <c r="F1" s="1261"/>
      <c r="G1" s="1261"/>
      <c r="H1" s="1261"/>
      <c r="I1" s="1261"/>
      <c r="J1" s="1261"/>
      <c r="K1" s="1261"/>
      <c r="L1" s="1261"/>
      <c r="M1" s="1261"/>
      <c r="N1" s="1261"/>
    </row>
    <row r="2" spans="1:14" ht="42.75" customHeight="1" x14ac:dyDescent="0.3">
      <c r="A2" s="627"/>
      <c r="B2" s="1262" t="s">
        <v>1782</v>
      </c>
      <c r="C2" s="1262"/>
      <c r="D2" s="1262"/>
      <c r="E2" s="517" t="s">
        <v>1841</v>
      </c>
      <c r="F2" s="517" t="s">
        <v>2158</v>
      </c>
      <c r="G2" s="517" t="s">
        <v>1896</v>
      </c>
      <c r="H2" s="517" t="s">
        <v>1897</v>
      </c>
      <c r="I2" s="517" t="s">
        <v>1839</v>
      </c>
      <c r="J2" s="517" t="s">
        <v>2184</v>
      </c>
      <c r="K2" s="572" t="s">
        <v>1899</v>
      </c>
      <c r="L2" s="517" t="s">
        <v>1900</v>
      </c>
      <c r="M2" s="517" t="s">
        <v>1901</v>
      </c>
      <c r="N2" s="517" t="s">
        <v>1903</v>
      </c>
    </row>
    <row r="3" spans="1:14" x14ac:dyDescent="0.3">
      <c r="A3" s="627"/>
      <c r="B3" s="1241" t="s">
        <v>1685</v>
      </c>
      <c r="C3" s="1241"/>
      <c r="D3" s="1241"/>
      <c r="E3" s="515"/>
      <c r="F3" s="514">
        <f>VLOOKUP(B3,'Presupuesto - PAA 2015'!$B$3:$N$265,4,0)</f>
        <v>31035477000</v>
      </c>
      <c r="G3" s="514">
        <v>29809977000</v>
      </c>
      <c r="H3" s="514"/>
      <c r="I3" s="514">
        <v>29809977000</v>
      </c>
      <c r="J3" s="514">
        <f>VLOOKUP(B3,'Presupuesto - PAA 2015'!$B$3:$N$265,9,0)</f>
        <v>27324734236.200001</v>
      </c>
      <c r="K3" s="619">
        <f>VLOOKUP(B3,'Presupuesto - PAA 2015'!$B$3:$N$265,10,0)</f>
        <v>0.88043545250488664</v>
      </c>
      <c r="L3" s="514">
        <f>VLOOKUP(B3,'Presupuesto - PAA 2015'!$B$3:$N$265,11,0)</f>
        <v>3107763756</v>
      </c>
      <c r="M3" s="514">
        <f>VLOOKUP(B3,'Presupuesto - PAA 2015'!$B$3:$N$265,12,0)</f>
        <v>132180622</v>
      </c>
      <c r="N3" s="514">
        <f>VLOOKUP(B3,'Presupuesto - PAA 2015'!$B$3:$N$265,13,0)</f>
        <v>586182073.80000019</v>
      </c>
    </row>
    <row r="4" spans="1:14" x14ac:dyDescent="0.3">
      <c r="A4" s="627"/>
      <c r="B4" s="1242" t="s">
        <v>1683</v>
      </c>
      <c r="C4" s="1242"/>
      <c r="D4" s="1242"/>
      <c r="E4" s="559"/>
      <c r="F4" s="630">
        <f>VLOOKUP(B4,'Presupuesto - PAA 2015'!$B$3:$N$265,4,0)</f>
        <v>22793000000</v>
      </c>
      <c r="G4" s="630">
        <v>22267500000</v>
      </c>
      <c r="H4" s="630">
        <v>288614000</v>
      </c>
      <c r="I4" s="630">
        <v>22267500000</v>
      </c>
      <c r="J4" s="630">
        <f>VLOOKUP(B4,'Presupuesto - PAA 2015'!$B$3:$N$265,9,0)</f>
        <v>19666824034</v>
      </c>
      <c r="K4" s="638">
        <f>VLOOKUP(B4,'Presupuesto - PAA 2015'!$B$3:$N$265,10,0)</f>
        <v>0.86284491001623309</v>
      </c>
      <c r="L4" s="630">
        <f>VLOOKUP(B4,'Presupuesto - PAA 2015'!$B$3:$N$265,11,0)</f>
        <v>2657286756</v>
      </c>
      <c r="M4" s="630">
        <f>VLOOKUP(B4,'Presupuesto - PAA 2015'!$B$3:$N$265,12,0)</f>
        <v>132180622</v>
      </c>
      <c r="N4" s="630">
        <f>VLOOKUP(B4,'Presupuesto - PAA 2015'!$B$3:$N$265,13,0)</f>
        <v>452092276</v>
      </c>
    </row>
    <row r="5" spans="1:14" x14ac:dyDescent="0.3">
      <c r="A5" s="627"/>
      <c r="B5" s="1260" t="s">
        <v>1682</v>
      </c>
      <c r="C5" s="1260"/>
      <c r="D5" s="1260"/>
      <c r="E5" s="507"/>
      <c r="F5" s="639">
        <f>VLOOKUP(B5,'Presupuesto - PAA 2015'!$B$3:$N$265,4,0)</f>
        <v>13641779000</v>
      </c>
      <c r="G5" s="639">
        <v>13603500000</v>
      </c>
      <c r="H5" s="639">
        <v>148000000</v>
      </c>
      <c r="I5" s="639">
        <v>13495500000</v>
      </c>
      <c r="J5" s="639">
        <f>VLOOKUP(B5,'Presupuesto - PAA 2015'!$B$3:$N$265,9,0)</f>
        <v>11413365052</v>
      </c>
      <c r="K5" s="640">
        <f>VLOOKUP(B5,'Presupuesto - PAA 2015'!$B$3:$N$265,10,0)</f>
        <v>0.83664784864202824</v>
      </c>
      <c r="L5" s="639">
        <f>VLOOKUP(B5,'Presupuesto - PAA 2015'!$B$3:$N$265,11,0)</f>
        <v>2225164920</v>
      </c>
      <c r="M5" s="639">
        <f>VLOOKUP(B5,'Presupuesto - PAA 2015'!$B$3:$N$265,12,0)</f>
        <v>3249028</v>
      </c>
      <c r="N5" s="639">
        <f>VLOOKUP(B5,'Presupuesto - PAA 2015'!$B$3:$N$265,13,0)</f>
        <v>3249028</v>
      </c>
    </row>
    <row r="6" spans="1:14" ht="21" customHeight="1" x14ac:dyDescent="0.3">
      <c r="A6" s="627"/>
      <c r="B6" s="1260" t="s">
        <v>1681</v>
      </c>
      <c r="C6" s="1260"/>
      <c r="D6" s="1260"/>
      <c r="E6" s="507"/>
      <c r="F6" s="639">
        <f>VLOOKUP(B6,'Presupuesto - PAA 2015'!$B$3:$N$265,4,0)</f>
        <v>13641779000</v>
      </c>
      <c r="G6" s="639">
        <v>13603500000</v>
      </c>
      <c r="H6" s="639">
        <v>148000000</v>
      </c>
      <c r="I6" s="639">
        <v>13495500000</v>
      </c>
      <c r="J6" s="639">
        <f>VLOOKUP(B6,'Presupuesto - PAA 2015'!$B$3:$N$265,9,0)</f>
        <v>11413365052</v>
      </c>
      <c r="K6" s="640">
        <f>VLOOKUP(B6,'Presupuesto - PAA 2015'!$B$3:$N$265,10,0)</f>
        <v>0.83664784864202824</v>
      </c>
      <c r="L6" s="639">
        <f>VLOOKUP(B6,'Presupuesto - PAA 2015'!$B$3:$N$265,11,0)</f>
        <v>2225164920</v>
      </c>
      <c r="M6" s="639">
        <f>VLOOKUP(B6,'Presupuesto - PAA 2015'!$B$3:$N$265,12,0)</f>
        <v>3249028</v>
      </c>
      <c r="N6" s="639">
        <f>VLOOKUP(B6,'Presupuesto - PAA 2015'!$B$3:$N$265,13,0)</f>
        <v>3249028</v>
      </c>
    </row>
    <row r="7" spans="1:14" x14ac:dyDescent="0.3">
      <c r="A7" s="627"/>
      <c r="B7" s="1263" t="s">
        <v>1680</v>
      </c>
      <c r="C7" s="1263"/>
      <c r="D7" s="1263"/>
      <c r="E7" s="631"/>
      <c r="F7" s="632">
        <f>VLOOKUP(B7,'Presupuesto - PAA 2015'!$B$3:$N$265,4,0)</f>
        <v>13548179000</v>
      </c>
      <c r="G7" s="632">
        <v>13603500000</v>
      </c>
      <c r="H7" s="632">
        <v>148000000</v>
      </c>
      <c r="I7" s="632">
        <v>13495500000</v>
      </c>
      <c r="J7" s="632">
        <f>VLOOKUP(B7,'Presupuesto - PAA 2015'!$B$3:$N$265,9,0)</f>
        <v>11413365052</v>
      </c>
      <c r="K7" s="642">
        <f>VLOOKUP(B7,'Presupuesto - PAA 2015'!$B$3:$N$265,10,0)</f>
        <v>0.84242797884497989</v>
      </c>
      <c r="L7" s="632">
        <f>VLOOKUP(B7,'Presupuesto - PAA 2015'!$B$3:$N$265,11,0)</f>
        <v>2225164920</v>
      </c>
      <c r="M7" s="632">
        <f>VLOOKUP(B7,'Presupuesto - PAA 2015'!$B$3:$N$265,12,0)</f>
        <v>3249028</v>
      </c>
      <c r="N7" s="632">
        <f>VLOOKUP(B7,'Presupuesto - PAA 2015'!$B$3:$N$265,13,0)</f>
        <v>3249028</v>
      </c>
    </row>
    <row r="8" spans="1:14" x14ac:dyDescent="0.3">
      <c r="A8" s="627"/>
      <c r="B8" s="1264" t="s">
        <v>1642</v>
      </c>
      <c r="C8" s="1264"/>
      <c r="D8" s="1264"/>
      <c r="E8" s="459">
        <f>COUNTIF('Actualizada - presupuesto'!$E$7:$E$111,B8)</f>
        <v>16</v>
      </c>
      <c r="F8" s="639">
        <f>VLOOKUP(B8,'Presupuesto - PAA 2015'!$B$3:$N$265,4,0)</f>
        <v>843179000</v>
      </c>
      <c r="G8" s="553">
        <v>858500000</v>
      </c>
      <c r="H8" s="684">
        <v>128000000</v>
      </c>
      <c r="I8" s="553">
        <v>730500000</v>
      </c>
      <c r="J8" s="639">
        <f>VLOOKUP(B8,'Presupuesto - PAA 2015'!$B$3:$N$265,9,0)</f>
        <v>839929972</v>
      </c>
      <c r="K8" s="640">
        <f>VLOOKUP(B8,'Presupuesto - PAA 2015'!$B$3:$N$265,10,0)</f>
        <v>0.99614669245794785</v>
      </c>
      <c r="L8" s="639">
        <f>VLOOKUP(B8,'Presupuesto - PAA 2015'!$B$3:$N$265,11,0)</f>
        <v>0</v>
      </c>
      <c r="M8" s="639">
        <f>VLOOKUP(B8,'Presupuesto - PAA 2015'!$B$3:$N$265,12,0)</f>
        <v>3249028</v>
      </c>
      <c r="N8" s="639">
        <f>VLOOKUP(B8,'Presupuesto - PAA 2015'!$B$3:$N$265,13,0)</f>
        <v>3249028</v>
      </c>
    </row>
    <row r="9" spans="1:14" x14ac:dyDescent="0.3">
      <c r="A9" s="627"/>
      <c r="B9" s="1264" t="s">
        <v>1643</v>
      </c>
      <c r="C9" s="1264"/>
      <c r="D9" s="1264"/>
      <c r="E9" s="459">
        <f>COUNTIF('Actualizada - presupuesto'!$E$7:$E$111,B9)</f>
        <v>0</v>
      </c>
      <c r="F9" s="639">
        <f>VLOOKUP(B9,'Presupuesto - PAA 2015'!$B$3:$N$265,4,0)</f>
        <v>12705000000</v>
      </c>
      <c r="G9" s="553">
        <v>12745000000</v>
      </c>
      <c r="H9" s="553"/>
      <c r="I9" s="553">
        <v>12745000000</v>
      </c>
      <c r="J9" s="639">
        <f>VLOOKUP(B9,'Presupuesto - PAA 2015'!$B$3:$N$265,9,0)</f>
        <v>10479835080</v>
      </c>
      <c r="K9" s="640">
        <f>VLOOKUP(B9,'Presupuesto - PAA 2015'!$B$3:$N$265,10,0)</f>
        <v>0.82227030835621817</v>
      </c>
      <c r="L9" s="639">
        <f>VLOOKUP(B9,'Presupuesto - PAA 2015'!$B$3:$N$265,11,0)</f>
        <v>2225164920</v>
      </c>
      <c r="M9" s="639">
        <f>VLOOKUP(B9,'Presupuesto - PAA 2015'!$B$3:$N$265,12,0)</f>
        <v>0</v>
      </c>
      <c r="N9" s="639">
        <f>VLOOKUP(B9,'Presupuesto - PAA 2015'!$B$3:$N$265,13,0)</f>
        <v>0</v>
      </c>
    </row>
    <row r="10" spans="1:14" ht="25.5" customHeight="1" x14ac:dyDescent="0.3">
      <c r="A10" s="627"/>
      <c r="B10" s="1264" t="s">
        <v>1644</v>
      </c>
      <c r="C10" s="1264"/>
      <c r="D10" s="1264"/>
      <c r="E10" s="459">
        <f>COUNTIF('Actualizada - presupuesto'!$E$7:$E$111,B10)</f>
        <v>1</v>
      </c>
      <c r="F10" s="639">
        <f>VLOOKUP(B10,'Presupuesto - PAA 2015'!$B$3:$N$265,4,0)</f>
        <v>93600000</v>
      </c>
      <c r="G10" s="553">
        <v>0</v>
      </c>
      <c r="H10" s="553">
        <v>20000000</v>
      </c>
      <c r="I10" s="553">
        <v>20000000</v>
      </c>
      <c r="J10" s="639">
        <f>VLOOKUP(B10,'Presupuesto - PAA 2015'!$B$3:$N$265,9,0)</f>
        <v>93600000</v>
      </c>
      <c r="K10" s="640">
        <f>VLOOKUP(B10,'Presupuesto - PAA 2015'!$B$3:$N$265,10,0)</f>
        <v>1</v>
      </c>
      <c r="L10" s="639">
        <f>VLOOKUP(B10,'Presupuesto - PAA 2015'!$B$3:$N$265,11,0)</f>
        <v>0</v>
      </c>
      <c r="M10" s="639">
        <f>VLOOKUP(B10,'Presupuesto - PAA 2015'!$B$3:$N$265,12,0)</f>
        <v>0</v>
      </c>
      <c r="N10" s="639">
        <f>VLOOKUP(B10,'Presupuesto - PAA 2015'!$B$3:$N$265,13,0)</f>
        <v>0</v>
      </c>
    </row>
    <row r="11" spans="1:14" x14ac:dyDescent="0.3">
      <c r="A11" s="627"/>
      <c r="B11" s="1263" t="s">
        <v>1792</v>
      </c>
      <c r="C11" s="1263"/>
      <c r="D11" s="1263"/>
      <c r="E11" s="631"/>
      <c r="F11" s="632">
        <f>VLOOKUP(B11,'Presupuesto - PAA 2015'!$B$3:$N$265,4,0)</f>
        <v>9151221000</v>
      </c>
      <c r="G11" s="632">
        <v>8664000000</v>
      </c>
      <c r="H11" s="632">
        <v>140614000</v>
      </c>
      <c r="I11" s="632">
        <v>8772000000</v>
      </c>
      <c r="J11" s="632">
        <f>VLOOKUP(B11,'Presupuesto - PAA 2015'!$B$3:$N$265,9,0)</f>
        <v>8253458982</v>
      </c>
      <c r="K11" s="642">
        <f>VLOOKUP(B11,'Presupuesto - PAA 2015'!$B$3:$N$265,10,0)</f>
        <v>0.90189702357750945</v>
      </c>
      <c r="L11" s="632">
        <f>VLOOKUP(B11,'Presupuesto - PAA 2015'!$B$3:$N$265,11,0)</f>
        <v>432121836</v>
      </c>
      <c r="M11" s="632">
        <f>VLOOKUP(B11,'Presupuesto - PAA 2015'!$B$3:$N$265,12,0)</f>
        <v>128931594</v>
      </c>
      <c r="N11" s="632">
        <f>VLOOKUP(B11,'Presupuesto - PAA 2015'!$B$3:$N$265,13,0)</f>
        <v>448843248</v>
      </c>
    </row>
    <row r="12" spans="1:14" x14ac:dyDescent="0.3">
      <c r="A12" s="627"/>
      <c r="B12" s="1265" t="s">
        <v>1646</v>
      </c>
      <c r="C12" s="1265"/>
      <c r="D12" s="1265"/>
      <c r="E12" s="633"/>
      <c r="F12" s="634">
        <f>VLOOKUP(B12,'Presupuesto - PAA 2015'!$B$3:$N$265,4,0)</f>
        <v>2089000000</v>
      </c>
      <c r="G12" s="634">
        <v>1589000000</v>
      </c>
      <c r="H12" s="634">
        <v>0</v>
      </c>
      <c r="I12" s="634">
        <v>1589000000</v>
      </c>
      <c r="J12" s="634">
        <f>VLOOKUP(B12,'Presupuesto - PAA 2015'!$B$3:$N$265,9,0)</f>
        <v>1940688061</v>
      </c>
      <c r="K12" s="645">
        <f>VLOOKUP(B12,'Presupuesto - PAA 2015'!$B$3:$N$265,10,0)</f>
        <v>0</v>
      </c>
      <c r="L12" s="634">
        <f>VLOOKUP(B12,'Presupuesto - PAA 2015'!$B$3:$N$265,11,0)</f>
        <v>54285345</v>
      </c>
      <c r="M12" s="634">
        <f>VLOOKUP(B12,'Presupuesto - PAA 2015'!$B$3:$N$265,12,0)</f>
        <v>128931594</v>
      </c>
      <c r="N12" s="634">
        <f>VLOOKUP(B12,'Presupuesto - PAA 2015'!$B$3:$N$265,13,0)</f>
        <v>94026594</v>
      </c>
    </row>
    <row r="13" spans="1:14" x14ac:dyDescent="0.3">
      <c r="A13" s="627"/>
      <c r="B13" s="1264" t="s">
        <v>1647</v>
      </c>
      <c r="C13" s="1264"/>
      <c r="D13" s="1264"/>
      <c r="E13" s="459">
        <f>COUNTIF('Actualizada - presupuesto'!$E$7:$E$111,B13)</f>
        <v>15</v>
      </c>
      <c r="F13" s="639">
        <f>VLOOKUP(B13,'Presupuesto - PAA 2015'!$B$3:$N$265,4,0)</f>
        <v>1414000000</v>
      </c>
      <c r="G13" s="553">
        <v>914000000</v>
      </c>
      <c r="H13" s="553"/>
      <c r="I13" s="553">
        <v>914000000</v>
      </c>
      <c r="J13" s="639">
        <f>VLOOKUP(B13,'Presupuesto - PAA 2015'!$B$3:$N$265,9,0)</f>
        <v>1245571061</v>
      </c>
      <c r="K13" s="640">
        <f>VLOOKUP(B13,'Presupuesto - PAA 2015'!$B$3:$N$265,10,0)</f>
        <v>0.88088476732673271</v>
      </c>
      <c r="L13" s="639">
        <f>VLOOKUP(B13,'Presupuesto - PAA 2015'!$B$3:$N$265,11,0)</f>
        <v>54285345</v>
      </c>
      <c r="M13" s="639">
        <f>VLOOKUP(B13,'Presupuesto - PAA 2015'!$B$3:$N$265,12,0)</f>
        <v>114143594</v>
      </c>
      <c r="N13" s="639">
        <f>VLOOKUP(B13,'Presupuesto - PAA 2015'!$B$3:$N$265,13,0)</f>
        <v>114143594</v>
      </c>
    </row>
    <row r="14" spans="1:14" x14ac:dyDescent="0.3">
      <c r="A14" s="627"/>
      <c r="B14" s="1264" t="s">
        <v>1648</v>
      </c>
      <c r="C14" s="1264"/>
      <c r="D14" s="1264"/>
      <c r="E14" s="459">
        <f>COUNTIF('Actualizada - presupuesto'!$E$7:$E$111,B14)</f>
        <v>3</v>
      </c>
      <c r="F14" s="639">
        <f>VLOOKUP(B14,'Presupuesto - PAA 2015'!$B$3:$N$265,4,0)</f>
        <v>452000000</v>
      </c>
      <c r="G14" s="553">
        <v>452000000</v>
      </c>
      <c r="H14" s="553"/>
      <c r="I14" s="553">
        <v>452000000</v>
      </c>
      <c r="J14" s="639">
        <f>VLOOKUP(B14,'Presupuesto - PAA 2015'!$B$3:$N$265,9,0)</f>
        <v>486905000</v>
      </c>
      <c r="K14" s="640">
        <f>VLOOKUP(B14,'Presupuesto - PAA 2015'!$B$3:$N$265,10,0)</f>
        <v>1.0772234513274337</v>
      </c>
      <c r="L14" s="639">
        <f>VLOOKUP(B14,'Presupuesto - PAA 2015'!$B$3:$N$265,11,0)</f>
        <v>0</v>
      </c>
      <c r="M14" s="639">
        <f>VLOOKUP(B14,'Presupuesto - PAA 2015'!$B$3:$N$265,12,0)</f>
        <v>0</v>
      </c>
      <c r="N14" s="639">
        <f>VLOOKUP(B14,'Presupuesto - PAA 2015'!$B$3:$N$265,13,0)</f>
        <v>-34905000</v>
      </c>
    </row>
    <row r="15" spans="1:14" x14ac:dyDescent="0.3">
      <c r="A15" s="627"/>
      <c r="B15" s="1264" t="s">
        <v>1649</v>
      </c>
      <c r="C15" s="1264"/>
      <c r="D15" s="1264"/>
      <c r="E15" s="459">
        <f>COUNTIF('Actualizada - presupuesto'!$E$7:$E$111,B15)</f>
        <v>4</v>
      </c>
      <c r="F15" s="639">
        <f>VLOOKUP(B15,'Presupuesto - PAA 2015'!$B$3:$N$265,4,0)</f>
        <v>223000000</v>
      </c>
      <c r="G15" s="553">
        <v>223000000</v>
      </c>
      <c r="H15" s="553"/>
      <c r="I15" s="553">
        <v>223000000</v>
      </c>
      <c r="J15" s="639">
        <f>VLOOKUP(B15,'Presupuesto - PAA 2015'!$B$3:$N$265,9,0)</f>
        <v>208212000</v>
      </c>
      <c r="K15" s="640">
        <f>VLOOKUP(B15,'Presupuesto - PAA 2015'!$B$3:$N$265,10,0)</f>
        <v>0.93368609865470853</v>
      </c>
      <c r="L15" s="639">
        <f>VLOOKUP(B15,'Presupuesto - PAA 2015'!$B$3:$N$265,11,0)</f>
        <v>0</v>
      </c>
      <c r="M15" s="639">
        <f>VLOOKUP(B15,'Presupuesto - PAA 2015'!$B$3:$N$265,12,0)</f>
        <v>14788000</v>
      </c>
      <c r="N15" s="639">
        <f>VLOOKUP(B15,'Presupuesto - PAA 2015'!$B$3:$N$265,13,0)</f>
        <v>14788000</v>
      </c>
    </row>
    <row r="16" spans="1:14" x14ac:dyDescent="0.3">
      <c r="A16" s="627"/>
      <c r="B16" s="1265" t="s">
        <v>1650</v>
      </c>
      <c r="C16" s="1265"/>
      <c r="D16" s="1265"/>
      <c r="E16" s="635">
        <v>0</v>
      </c>
      <c r="F16" s="634">
        <f>VLOOKUP(B16,'Presupuesto - PAA 2015'!$B$3:$N$265,4,0)</f>
        <v>7026221000</v>
      </c>
      <c r="G16" s="634">
        <v>7074000000</v>
      </c>
      <c r="H16" s="634">
        <v>140614000</v>
      </c>
      <c r="I16" s="634">
        <v>7182000000</v>
      </c>
      <c r="J16" s="634">
        <f>VLOOKUP(B16,'Presupuesto - PAA 2015'!$B$3:$N$265,9,0)</f>
        <v>6311862387</v>
      </c>
      <c r="K16" s="645">
        <f>VLOOKUP(B16,'Presupuesto - PAA 2015'!$B$3:$N$265,10,0)</f>
        <v>0.89832961231933928</v>
      </c>
      <c r="L16" s="634">
        <f>VLOOKUP(B16,'Presupuesto - PAA 2015'!$B$3:$N$265,11,0)</f>
        <v>377745025</v>
      </c>
      <c r="M16" s="634">
        <f>VLOOKUP(B16,'Presupuesto - PAA 2015'!$B$3:$N$265,12,0)</f>
        <v>0</v>
      </c>
      <c r="N16" s="634">
        <f>VLOOKUP(B16,'Presupuesto - PAA 2015'!$B$3:$N$265,13,0)</f>
        <v>336613570</v>
      </c>
    </row>
    <row r="17" spans="1:14" x14ac:dyDescent="0.3">
      <c r="A17" s="627"/>
      <c r="B17" s="1238" t="s">
        <v>1651</v>
      </c>
      <c r="C17" s="1238"/>
      <c r="D17" s="1238"/>
      <c r="E17" s="459">
        <f>COUNTIF('Actualizada - presupuesto'!$E$7:$E$111,B17)</f>
        <v>5</v>
      </c>
      <c r="F17" s="512">
        <f>VLOOKUP(B17,'Presupuesto - PAA 2015'!$B$3:$N$265,4,0)</f>
        <v>229000000</v>
      </c>
      <c r="G17" s="516">
        <v>229000000</v>
      </c>
      <c r="H17" s="516"/>
      <c r="I17" s="516">
        <v>229000000</v>
      </c>
      <c r="J17" s="512">
        <f>VLOOKUP(B17,'Presupuesto - PAA 2015'!$B$3:$N$265,9,0)</f>
        <v>194508146</v>
      </c>
      <c r="K17" s="575">
        <f>VLOOKUP(B17,'Presupuesto - PAA 2015'!$B$3:$N$265,10,0)</f>
        <v>0.84938055021834058</v>
      </c>
      <c r="L17" s="512">
        <f>VLOOKUP(B17,'Presupuesto - PAA 2015'!$B$3:$N$265,11,0)</f>
        <v>0</v>
      </c>
      <c r="M17" s="512">
        <f>VLOOKUP(B17,'Presupuesto - PAA 2015'!$B$3:$N$265,12,0)</f>
        <v>0</v>
      </c>
      <c r="N17" s="512">
        <f>VLOOKUP(B17,'Presupuesto - PAA 2015'!$B$3:$N$265,13,0)</f>
        <v>34491854</v>
      </c>
    </row>
    <row r="18" spans="1:14" ht="23.25" customHeight="1" x14ac:dyDescent="0.3">
      <c r="A18" s="627"/>
      <c r="B18" s="1238" t="s">
        <v>1652</v>
      </c>
      <c r="C18" s="1238"/>
      <c r="D18" s="1238"/>
      <c r="E18" s="459">
        <f>COUNTIF('Actualizada - presupuesto'!$E$7:$E$111,B18)</f>
        <v>11</v>
      </c>
      <c r="F18" s="512">
        <f>VLOOKUP(B18,'Presupuesto - PAA 2015'!$B$3:$N$265,4,0)</f>
        <v>54000000</v>
      </c>
      <c r="G18" s="516">
        <v>54000000</v>
      </c>
      <c r="H18" s="516"/>
      <c r="I18" s="516">
        <v>54000000</v>
      </c>
      <c r="J18" s="512">
        <f>VLOOKUP(B18,'Presupuesto - PAA 2015'!$B$3:$N$265,9,0)</f>
        <v>51341594</v>
      </c>
      <c r="K18" s="575">
        <f>VLOOKUP(B18,'Presupuesto - PAA 2015'!$B$3:$N$265,10,0)</f>
        <v>0.95077025925925929</v>
      </c>
      <c r="L18" s="512">
        <f>VLOOKUP(B18,'Presupuesto - PAA 2015'!$B$3:$N$265,11,0)</f>
        <v>0</v>
      </c>
      <c r="M18" s="512">
        <f>VLOOKUP(B18,'Presupuesto - PAA 2015'!$B$3:$N$265,12,0)</f>
        <v>0</v>
      </c>
      <c r="N18" s="512">
        <f>VLOOKUP(B18,'Presupuesto - PAA 2015'!$B$3:$N$265,13,0)</f>
        <v>2658406</v>
      </c>
    </row>
    <row r="19" spans="1:14" ht="23.25" customHeight="1" x14ac:dyDescent="0.3">
      <c r="A19" s="627"/>
      <c r="B19" s="1238" t="s">
        <v>1653</v>
      </c>
      <c r="C19" s="1238"/>
      <c r="D19" s="1238"/>
      <c r="E19" s="459">
        <f>COUNTIF('Actualizada - presupuesto'!$E$7:$E$111,B19)</f>
        <v>0</v>
      </c>
      <c r="F19" s="512">
        <f>VLOOKUP(B19,'Presupuesto - PAA 2015'!$B$3:$N$265,4,0)</f>
        <v>1188000000</v>
      </c>
      <c r="G19" s="516">
        <v>1243000000</v>
      </c>
      <c r="H19" s="516">
        <v>0</v>
      </c>
      <c r="I19" s="516">
        <v>1243000000</v>
      </c>
      <c r="J19" s="512">
        <f>VLOOKUP(B19,'Presupuesto - PAA 2015'!$B$3:$N$265,9,0)</f>
        <v>1168456110</v>
      </c>
      <c r="K19" s="575">
        <f>VLOOKUP(B19,'Presupuesto - PAA 2015'!$B$3:$N$265,10,0)</f>
        <v>0.9835489141414141</v>
      </c>
      <c r="L19" s="512">
        <f>VLOOKUP(B19,'Presupuesto - PAA 2015'!$B$3:$N$265,11,0)</f>
        <v>0</v>
      </c>
      <c r="M19" s="512">
        <f>VLOOKUP(B19,'Presupuesto - PAA 2015'!$B$3:$N$265,12,0)</f>
        <v>0</v>
      </c>
      <c r="N19" s="512">
        <f>VLOOKUP(B19,'Presupuesto - PAA 2015'!$B$3:$N$265,13,0)</f>
        <v>19543890</v>
      </c>
    </row>
    <row r="20" spans="1:14" ht="23.25" customHeight="1" x14ac:dyDescent="0.3">
      <c r="A20" s="627"/>
      <c r="B20" s="1264" t="s">
        <v>1654</v>
      </c>
      <c r="C20" s="1264"/>
      <c r="D20" s="1264"/>
      <c r="E20" s="459">
        <f>COUNTIF('Actualizada - presupuesto'!$E$7:$E$111,B20)</f>
        <v>17</v>
      </c>
      <c r="F20" s="639">
        <f>VLOOKUP(B20,'Presupuesto - PAA 2015'!$B$3:$N$265,4,0)</f>
        <v>1188000000</v>
      </c>
      <c r="G20" s="553">
        <v>1243000000</v>
      </c>
      <c r="H20" s="553"/>
      <c r="I20" s="553">
        <v>1243000000</v>
      </c>
      <c r="J20" s="639">
        <f>VLOOKUP(B20,'Presupuesto - PAA 2015'!$B$3:$N$265,9,0)</f>
        <v>1168456110</v>
      </c>
      <c r="K20" s="640">
        <f>VLOOKUP(B20,'Presupuesto - PAA 2015'!$B$3:$N$265,10,0)</f>
        <v>0.9835489141414141</v>
      </c>
      <c r="L20" s="639">
        <f>VLOOKUP(B20,'Presupuesto - PAA 2015'!$B$3:$N$265,11,0)</f>
        <v>0</v>
      </c>
      <c r="M20" s="639">
        <f>VLOOKUP(B20,'Presupuesto - PAA 2015'!$B$3:$N$265,12,0)</f>
        <v>0</v>
      </c>
      <c r="N20" s="639">
        <f>VLOOKUP(B20,'Presupuesto - PAA 2015'!$B$3:$N$265,13,0)</f>
        <v>19543890</v>
      </c>
    </row>
    <row r="21" spans="1:14" ht="23.25" customHeight="1" x14ac:dyDescent="0.3">
      <c r="A21" s="627"/>
      <c r="B21" s="1238" t="s">
        <v>1655</v>
      </c>
      <c r="C21" s="1238"/>
      <c r="D21" s="1238"/>
      <c r="E21" s="459">
        <f>COUNTIF('Actualizada - presupuesto'!$E$7:$E$111,B21)</f>
        <v>0</v>
      </c>
      <c r="F21" s="512">
        <f>VLOOKUP(B21,'Presupuesto - PAA 2015'!$B$3:$N$265,4,0)</f>
        <v>1513500000</v>
      </c>
      <c r="G21" s="516">
        <v>1380000000</v>
      </c>
      <c r="H21" s="516">
        <v>140614000</v>
      </c>
      <c r="I21" s="516">
        <v>1488000000</v>
      </c>
      <c r="J21" s="512">
        <f>VLOOKUP(B21,'Presupuesto - PAA 2015'!$B$3:$N$265,9,0)</f>
        <v>1306122735</v>
      </c>
      <c r="K21" s="575">
        <f>VLOOKUP(B21,'Presupuesto - PAA 2015'!$B$3:$N$265,10,0)</f>
        <v>0.86298165510406344</v>
      </c>
      <c r="L21" s="512">
        <f>VLOOKUP(B21,'Presupuesto - PAA 2015'!$B$3:$N$265,11,0)</f>
        <v>190346405</v>
      </c>
      <c r="M21" s="512">
        <f>VLOOKUP(B21,'Presupuesto - PAA 2015'!$B$3:$N$265,12,0)</f>
        <v>0</v>
      </c>
      <c r="N21" s="512">
        <f>VLOOKUP(B21,'Presupuesto - PAA 2015'!$B$3:$N$265,13,0)</f>
        <v>17030842</v>
      </c>
    </row>
    <row r="22" spans="1:14" ht="23.25" customHeight="1" x14ac:dyDescent="0.3">
      <c r="A22" s="627"/>
      <c r="B22" s="1264" t="s">
        <v>1656</v>
      </c>
      <c r="C22" s="1264"/>
      <c r="D22" s="1264"/>
      <c r="E22" s="459">
        <f>COUNTIF('Actualizada - presupuesto'!$E$7:$E$111,B22)</f>
        <v>2</v>
      </c>
      <c r="F22" s="639">
        <f>VLOOKUP(B22,'Presupuesto - PAA 2015'!$B$3:$N$265,4,0)</f>
        <v>205193000</v>
      </c>
      <c r="G22" s="553">
        <v>211000000</v>
      </c>
      <c r="H22" s="684">
        <v>16307000</v>
      </c>
      <c r="I22" s="553">
        <v>194693000</v>
      </c>
      <c r="J22" s="639">
        <f>VLOOKUP(B22,'Presupuesto - PAA 2015'!$B$3:$N$265,9,0)</f>
        <v>188702234</v>
      </c>
      <c r="K22" s="640">
        <f>VLOOKUP(B22,'Presupuesto - PAA 2015'!$B$3:$N$265,10,0)</f>
        <v>0.91963290170717327</v>
      </c>
      <c r="L22" s="639">
        <f>VLOOKUP(B22,'Presupuesto - PAA 2015'!$B$3:$N$265,11,0)</f>
        <v>0</v>
      </c>
      <c r="M22" s="639">
        <f>VLOOKUP(B22,'Presupuesto - PAA 2015'!$B$3:$N$265,12,0)</f>
        <v>0</v>
      </c>
      <c r="N22" s="639">
        <f>VLOOKUP(B22,'Presupuesto - PAA 2015'!$B$3:$N$265,13,0)</f>
        <v>16490766</v>
      </c>
    </row>
    <row r="23" spans="1:14" ht="23.25" customHeight="1" x14ac:dyDescent="0.3">
      <c r="A23" s="627"/>
      <c r="B23" s="1264" t="s">
        <v>1657</v>
      </c>
      <c r="C23" s="1264"/>
      <c r="D23" s="1264"/>
      <c r="E23" s="459">
        <f>COUNTIF('Actualizada - presupuesto'!$E$7:$E$111,B23)</f>
        <v>2</v>
      </c>
      <c r="F23" s="639">
        <f>VLOOKUP(B23,'Presupuesto - PAA 2015'!$B$3:$N$265,4,0)</f>
        <v>227307000</v>
      </c>
      <c r="G23" s="553">
        <v>88000000</v>
      </c>
      <c r="H23" s="553">
        <v>124307000</v>
      </c>
      <c r="I23" s="553">
        <v>212307000</v>
      </c>
      <c r="J23" s="639">
        <f>VLOOKUP(B23,'Presupuesto - PAA 2015'!$B$3:$N$265,9,0)</f>
        <v>226766924</v>
      </c>
      <c r="K23" s="640">
        <f>VLOOKUP(B23,'Presupuesto - PAA 2015'!$B$3:$N$265,10,0)</f>
        <v>0.99762402389719629</v>
      </c>
      <c r="L23" s="639">
        <f>VLOOKUP(B23,'Presupuesto - PAA 2015'!$B$3:$N$265,11,0)</f>
        <v>0</v>
      </c>
      <c r="M23" s="639">
        <f>VLOOKUP(B23,'Presupuesto - PAA 2015'!$B$3:$N$265,12,0)</f>
        <v>0</v>
      </c>
      <c r="N23" s="639">
        <f>VLOOKUP(B23,'Presupuesto - PAA 2015'!$B$3:$N$265,13,0)</f>
        <v>540076</v>
      </c>
    </row>
    <row r="24" spans="1:14" x14ac:dyDescent="0.3">
      <c r="A24" s="627"/>
      <c r="B24" s="1264" t="s">
        <v>1658</v>
      </c>
      <c r="C24" s="1264"/>
      <c r="D24" s="1264"/>
      <c r="E24" s="459">
        <f>COUNTIF('Actualizada - presupuesto'!$E$7:$E$111,B24)</f>
        <v>0</v>
      </c>
      <c r="F24" s="639">
        <f>VLOOKUP(B24,'Presupuesto - PAA 2015'!$B$3:$N$265,4,0)</f>
        <v>1081000000</v>
      </c>
      <c r="G24" s="553">
        <v>1081000000</v>
      </c>
      <c r="H24" s="553"/>
      <c r="I24" s="553">
        <v>1081000000</v>
      </c>
      <c r="J24" s="639">
        <f>VLOOKUP(B24,'Presupuesto - PAA 2015'!$B$3:$N$265,9,0)</f>
        <v>890653595</v>
      </c>
      <c r="K24" s="640">
        <f>VLOOKUP(B24,'Presupuesto - PAA 2015'!$B$3:$N$265,10,0)</f>
        <v>0.82391636910268273</v>
      </c>
      <c r="L24" s="639">
        <f>VLOOKUP(B24,'Presupuesto - PAA 2015'!$B$3:$N$265,11,0)</f>
        <v>190346405</v>
      </c>
      <c r="M24" s="639">
        <f>VLOOKUP(B24,'Presupuesto - PAA 2015'!$B$3:$N$265,12,0)</f>
        <v>0</v>
      </c>
      <c r="N24" s="639">
        <f>VLOOKUP(B24,'Presupuesto - PAA 2015'!$B$3:$N$265,13,0)</f>
        <v>0</v>
      </c>
    </row>
    <row r="25" spans="1:14" x14ac:dyDescent="0.3">
      <c r="A25" s="627"/>
      <c r="B25" s="1238" t="s">
        <v>1659</v>
      </c>
      <c r="C25" s="1238"/>
      <c r="D25" s="1238"/>
      <c r="E25" s="513"/>
      <c r="F25" s="512">
        <f>VLOOKUP(B25,'Presupuesto - PAA 2015'!$B$3:$N$265,4,0)</f>
        <v>430000000</v>
      </c>
      <c r="G25" s="516">
        <v>430000000</v>
      </c>
      <c r="H25" s="516">
        <v>0</v>
      </c>
      <c r="I25" s="516">
        <v>430000000</v>
      </c>
      <c r="J25" s="512">
        <f>VLOOKUP(B25,'Presupuesto - PAA 2015'!$B$3:$N$265,9,0)</f>
        <v>242601380</v>
      </c>
      <c r="K25" s="575">
        <f>VLOOKUP(B25,'Presupuesto - PAA 2015'!$B$3:$N$265,10,0)</f>
        <v>0.56418925581395352</v>
      </c>
      <c r="L25" s="512">
        <f>VLOOKUP(B25,'Presupuesto - PAA 2015'!$B$3:$N$265,11,0)</f>
        <v>187398620</v>
      </c>
      <c r="M25" s="516">
        <v>0</v>
      </c>
      <c r="N25" s="512">
        <f>VLOOKUP(B25,'Presupuesto - PAA 2015'!$B$3:$N$265,13,0)</f>
        <v>0</v>
      </c>
    </row>
    <row r="26" spans="1:14" x14ac:dyDescent="0.3">
      <c r="A26" s="627"/>
      <c r="B26" s="1264" t="s">
        <v>1660</v>
      </c>
      <c r="C26" s="1264"/>
      <c r="D26" s="1264"/>
      <c r="E26" s="507"/>
      <c r="F26" s="639">
        <f>VLOOKUP(B26,'Presupuesto - PAA 2015'!$B$3:$N$265,4,0)</f>
        <v>206250000</v>
      </c>
      <c r="G26" s="553">
        <v>206250000</v>
      </c>
      <c r="H26" s="553"/>
      <c r="I26" s="553">
        <v>206250000</v>
      </c>
      <c r="J26" s="639">
        <f>VLOOKUP(B26,'Presupuesto - PAA 2015'!$B$3:$N$265,9,0)</f>
        <v>106215940</v>
      </c>
      <c r="K26" s="640">
        <f>VLOOKUP(B26,'Presupuesto - PAA 2015'!$B$3:$N$265,10,0)</f>
        <v>0.51498637575757578</v>
      </c>
      <c r="L26" s="639">
        <f>VLOOKUP(B26,'Presupuesto - PAA 2015'!$B$3:$N$265,11,0)</f>
        <v>100034060</v>
      </c>
      <c r="M26" s="553"/>
      <c r="N26" s="639">
        <f>VLOOKUP(B26,'Presupuesto - PAA 2015'!$B$3:$N$265,13,0)</f>
        <v>0</v>
      </c>
    </row>
    <row r="27" spans="1:14" x14ac:dyDescent="0.3">
      <c r="A27" s="627"/>
      <c r="B27" s="1264" t="s">
        <v>1661</v>
      </c>
      <c r="C27" s="1264"/>
      <c r="D27" s="1264"/>
      <c r="E27" s="507"/>
      <c r="F27" s="639">
        <f>VLOOKUP(B27,'Presupuesto - PAA 2015'!$B$3:$N$265,4,0)</f>
        <v>36750000</v>
      </c>
      <c r="G27" s="553">
        <v>36750000</v>
      </c>
      <c r="H27" s="553"/>
      <c r="I27" s="553">
        <v>36750000</v>
      </c>
      <c r="J27" s="639">
        <f>VLOOKUP(B27,'Presupuesto - PAA 2015'!$B$3:$N$265,9,0)</f>
        <v>12264940</v>
      </c>
      <c r="K27" s="640">
        <f>VLOOKUP(B27,'Presupuesto - PAA 2015'!$B$3:$N$265,10,0)</f>
        <v>0.33373986394557825</v>
      </c>
      <c r="L27" s="639">
        <f>VLOOKUP(B27,'Presupuesto - PAA 2015'!$B$3:$N$265,11,0)</f>
        <v>24485060</v>
      </c>
      <c r="M27" s="553"/>
      <c r="N27" s="639">
        <f>VLOOKUP(B27,'Presupuesto - PAA 2015'!$B$3:$N$265,13,0)</f>
        <v>0</v>
      </c>
    </row>
    <row r="28" spans="1:14" x14ac:dyDescent="0.3">
      <c r="A28" s="627"/>
      <c r="B28" s="1264" t="s">
        <v>1662</v>
      </c>
      <c r="C28" s="1264"/>
      <c r="D28" s="1264"/>
      <c r="E28" s="507"/>
      <c r="F28" s="639">
        <f>VLOOKUP(B28,'Presupuesto - PAA 2015'!$B$3:$N$265,4,0)</f>
        <v>58000000</v>
      </c>
      <c r="G28" s="553">
        <v>58000000</v>
      </c>
      <c r="H28" s="553"/>
      <c r="I28" s="553">
        <v>58000000</v>
      </c>
      <c r="J28" s="639">
        <f>VLOOKUP(B28,'Presupuesto - PAA 2015'!$B$3:$N$265,9,0)</f>
        <v>5462970</v>
      </c>
      <c r="K28" s="640">
        <f>VLOOKUP(B28,'Presupuesto - PAA 2015'!$B$3:$N$265,10,0)</f>
        <v>9.4189137931034478E-2</v>
      </c>
      <c r="L28" s="639">
        <f>VLOOKUP(B28,'Presupuesto - PAA 2015'!$B$3:$N$265,11,0)</f>
        <v>52537030</v>
      </c>
      <c r="M28" s="553"/>
      <c r="N28" s="639">
        <f>VLOOKUP(B28,'Presupuesto - PAA 2015'!$B$3:$N$265,13,0)</f>
        <v>0</v>
      </c>
    </row>
    <row r="29" spans="1:14" x14ac:dyDescent="0.3">
      <c r="A29" s="627"/>
      <c r="B29" s="1264" t="s">
        <v>1663</v>
      </c>
      <c r="C29" s="1264"/>
      <c r="D29" s="1264"/>
      <c r="E29" s="507"/>
      <c r="F29" s="639">
        <f>VLOOKUP(B29,'Presupuesto - PAA 2015'!$B$3:$N$265,4,0)</f>
        <v>129000000</v>
      </c>
      <c r="G29" s="553">
        <v>129000000</v>
      </c>
      <c r="H29" s="553"/>
      <c r="I29" s="553">
        <v>129000000</v>
      </c>
      <c r="J29" s="639">
        <f>VLOOKUP(B29,'Presupuesto - PAA 2015'!$B$3:$N$265,9,0)</f>
        <v>118657530</v>
      </c>
      <c r="K29" s="640">
        <f>VLOOKUP(B29,'Presupuesto - PAA 2015'!$B$3:$N$265,10,0)</f>
        <v>0.91982581395348839</v>
      </c>
      <c r="L29" s="639">
        <f>VLOOKUP(B29,'Presupuesto - PAA 2015'!$B$3:$N$265,11,0)</f>
        <v>10342470</v>
      </c>
      <c r="M29" s="553"/>
      <c r="N29" s="639">
        <f>VLOOKUP(B29,'Presupuesto - PAA 2015'!$B$3:$N$265,13,0)</f>
        <v>0</v>
      </c>
    </row>
    <row r="30" spans="1:14" x14ac:dyDescent="0.3">
      <c r="A30" s="627"/>
      <c r="B30" s="1238" t="s">
        <v>1664</v>
      </c>
      <c r="C30" s="1238"/>
      <c r="D30" s="1238"/>
      <c r="E30" s="513"/>
      <c r="F30" s="512">
        <f>VLOOKUP(B30,'Presupuesto - PAA 2015'!$B$3:$N$265,4,0)</f>
        <v>478000000</v>
      </c>
      <c r="G30" s="516">
        <v>478000000</v>
      </c>
      <c r="H30" s="516">
        <v>0</v>
      </c>
      <c r="I30" s="516">
        <v>478000000</v>
      </c>
      <c r="J30" s="512">
        <f>VLOOKUP(B30,'Presupuesto - PAA 2015'!$B$3:$N$265,9,0)</f>
        <v>436914000</v>
      </c>
      <c r="K30" s="575">
        <f>VLOOKUP(B30,'Presupuesto - PAA 2015'!$B$3:$N$265,10,0)</f>
        <v>0</v>
      </c>
      <c r="L30" s="512">
        <f>VLOOKUP(B30,'Presupuesto - PAA 2015'!$B$3:$N$265,11,0)</f>
        <v>0</v>
      </c>
      <c r="M30" s="516">
        <v>0</v>
      </c>
      <c r="N30" s="512">
        <f>VLOOKUP(B30,'Presupuesto - PAA 2015'!$B$3:$N$265,13,0)</f>
        <v>41086000</v>
      </c>
    </row>
    <row r="31" spans="1:14" x14ac:dyDescent="0.3">
      <c r="A31" s="627"/>
      <c r="B31" s="1264" t="s">
        <v>1665</v>
      </c>
      <c r="C31" s="1264"/>
      <c r="D31" s="1264"/>
      <c r="E31" s="459">
        <f>COUNTIF('Actualizada - presupuesto'!$E$7:$E$111,B31)</f>
        <v>1</v>
      </c>
      <c r="F31" s="639">
        <f>VLOOKUP(B31,'Presupuesto - PAA 2015'!$B$3:$N$265,4,0)</f>
        <v>478000000</v>
      </c>
      <c r="G31" s="553">
        <v>478000000</v>
      </c>
      <c r="H31" s="553"/>
      <c r="I31" s="553">
        <v>478000000</v>
      </c>
      <c r="J31" s="639">
        <f>VLOOKUP(B31,'Presupuesto - PAA 2015'!$B$3:$N$265,9,0)</f>
        <v>436914000</v>
      </c>
      <c r="K31" s="640">
        <f>VLOOKUP(B31,'Presupuesto - PAA 2015'!$B$3:$N$265,10,0)</f>
        <v>0.91404602510460253</v>
      </c>
      <c r="L31" s="639">
        <f>VLOOKUP(B31,'Presupuesto - PAA 2015'!$B$3:$N$265,11,0)</f>
        <v>0</v>
      </c>
      <c r="M31" s="553"/>
      <c r="N31" s="639">
        <f>VLOOKUP(B31,'Presupuesto - PAA 2015'!$B$3:$N$265,13,0)</f>
        <v>41086000</v>
      </c>
    </row>
    <row r="32" spans="1:14" x14ac:dyDescent="0.3">
      <c r="A32" s="627"/>
      <c r="B32" s="1238" t="s">
        <v>1666</v>
      </c>
      <c r="C32" s="1238"/>
      <c r="D32" s="1238"/>
      <c r="E32" s="459">
        <f>COUNTIF('Actualizada - presupuesto'!$E$7:$E$111,B32)</f>
        <v>3</v>
      </c>
      <c r="F32" s="512">
        <f>VLOOKUP(B32,'Presupuesto - PAA 2015'!$B$3:$N$265,4,0)</f>
        <v>834000000</v>
      </c>
      <c r="G32" s="516">
        <v>834000000</v>
      </c>
      <c r="H32" s="516"/>
      <c r="I32" s="516">
        <v>834000000</v>
      </c>
      <c r="J32" s="512">
        <f>VLOOKUP(B32,'Presupuesto - PAA 2015'!$B$3:$N$265,9,0)</f>
        <v>750240969</v>
      </c>
      <c r="K32" s="575">
        <f>VLOOKUP(B32,'Presupuesto - PAA 2015'!$B$3:$N$265,10,0)</f>
        <v>0.89956950719424456</v>
      </c>
      <c r="L32" s="512">
        <f>VLOOKUP(B32,'Presupuesto - PAA 2015'!$B$3:$N$265,11,0)</f>
        <v>0</v>
      </c>
      <c r="M32" s="516"/>
      <c r="N32" s="512">
        <f>VLOOKUP(B32,'Presupuesto - PAA 2015'!$B$3:$N$265,13,0)</f>
        <v>83759031</v>
      </c>
    </row>
    <row r="33" spans="1:14" x14ac:dyDescent="0.3">
      <c r="A33" s="627"/>
      <c r="B33" s="1238" t="s">
        <v>1667</v>
      </c>
      <c r="C33" s="1238"/>
      <c r="D33" s="1238"/>
      <c r="E33" s="459">
        <f>COUNTIF('Actualizada - presupuesto'!$E$7:$E$111,B33)</f>
        <v>4</v>
      </c>
      <c r="F33" s="512">
        <f>VLOOKUP(B33,'Presupuesto - PAA 2015'!$B$3:$N$265,4,0)</f>
        <v>351721000</v>
      </c>
      <c r="G33" s="516">
        <v>478000000</v>
      </c>
      <c r="H33" s="516"/>
      <c r="I33" s="516">
        <v>478000000</v>
      </c>
      <c r="J33" s="512">
        <f>VLOOKUP(B33,'Presupuesto - PAA 2015'!$B$3:$N$265,9,0)</f>
        <v>343600000</v>
      </c>
      <c r="K33" s="575">
        <f>VLOOKUP(B33,'Presupuesto - PAA 2015'!$B$3:$N$265,10,0)</f>
        <v>0.97691067635995577</v>
      </c>
      <c r="L33" s="512">
        <f>VLOOKUP(B33,'Presupuesto - PAA 2015'!$B$3:$N$265,11,0)</f>
        <v>0</v>
      </c>
      <c r="M33" s="516"/>
      <c r="N33" s="512">
        <f>VLOOKUP(B33,'Presupuesto - PAA 2015'!$B$3:$N$265,13,0)</f>
        <v>8121000</v>
      </c>
    </row>
    <row r="34" spans="1:14" x14ac:dyDescent="0.3">
      <c r="A34" s="627"/>
      <c r="B34" s="1238" t="s">
        <v>1668</v>
      </c>
      <c r="C34" s="1238"/>
      <c r="D34" s="1238"/>
      <c r="E34" s="459">
        <f>COUNTIF('Actualizada - presupuesto'!$E$7:$E$111,B34)</f>
        <v>3</v>
      </c>
      <c r="F34" s="512">
        <f>VLOOKUP(B34,'Presupuesto - PAA 2015'!$B$3:$N$265,4,0)</f>
        <v>108000000</v>
      </c>
      <c r="G34" s="516">
        <v>108000000</v>
      </c>
      <c r="H34" s="516"/>
      <c r="I34" s="516">
        <v>108000000</v>
      </c>
      <c r="J34" s="512">
        <f>VLOOKUP(B34,'Presupuesto - PAA 2015'!$B$3:$N$265,9,0)</f>
        <v>81139000</v>
      </c>
      <c r="K34" s="575">
        <f>VLOOKUP(B34,'Presupuesto - PAA 2015'!$B$3:$N$265,10,0)</f>
        <v>0.75128703703703703</v>
      </c>
      <c r="L34" s="512">
        <f>VLOOKUP(B34,'Presupuesto - PAA 2015'!$B$3:$N$265,11,0)</f>
        <v>0</v>
      </c>
      <c r="M34" s="516"/>
      <c r="N34" s="512">
        <f>VLOOKUP(B34,'Presupuesto - PAA 2015'!$B$3:$N$265,13,0)</f>
        <v>26861000</v>
      </c>
    </row>
    <row r="35" spans="1:14" x14ac:dyDescent="0.3">
      <c r="A35" s="627"/>
      <c r="B35" s="1238" t="s">
        <v>1669</v>
      </c>
      <c r="C35" s="1238"/>
      <c r="D35" s="1238"/>
      <c r="E35" s="459">
        <f>COUNTIF('Actualizada - presupuesto'!$E$7:$E$111,B35)</f>
        <v>0</v>
      </c>
      <c r="F35" s="512">
        <f>VLOOKUP(B35,'Presupuesto - PAA 2015'!$B$3:$N$265,4,0)</f>
        <v>40000000</v>
      </c>
      <c r="G35" s="516">
        <v>40000000</v>
      </c>
      <c r="H35" s="516">
        <v>0</v>
      </c>
      <c r="I35" s="516">
        <v>40000000</v>
      </c>
      <c r="J35" s="512">
        <f>VLOOKUP(B35,'Presupuesto - PAA 2015'!$B$3:$N$265,9,0)</f>
        <v>40000000</v>
      </c>
      <c r="K35" s="575">
        <f>VLOOKUP(B35,'Presupuesto - PAA 2015'!$B$3:$N$265,10,0)</f>
        <v>1</v>
      </c>
      <c r="L35" s="512">
        <f>VLOOKUP(B35,'Presupuesto - PAA 2015'!$B$3:$N$265,11,0)</f>
        <v>0</v>
      </c>
      <c r="M35" s="516">
        <v>0</v>
      </c>
      <c r="N35" s="512">
        <f>VLOOKUP(B35,'Presupuesto - PAA 2015'!$B$3:$N$265,13,0)</f>
        <v>0</v>
      </c>
    </row>
    <row r="36" spans="1:14" x14ac:dyDescent="0.3">
      <c r="A36" s="627"/>
      <c r="B36" s="1264" t="s">
        <v>1838</v>
      </c>
      <c r="C36" s="1264"/>
      <c r="D36" s="1264"/>
      <c r="E36" s="459">
        <f>COUNTIF('Actualizada - presupuesto'!$E$7:$E$111,B36)</f>
        <v>0</v>
      </c>
      <c r="F36" s="639">
        <f>VLOOKUP(B36,'Presupuesto - PAA 2015'!$B$3:$N$265,4,0)</f>
        <v>40000000</v>
      </c>
      <c r="G36" s="553">
        <v>40000000</v>
      </c>
      <c r="H36" s="553"/>
      <c r="I36" s="553">
        <v>40000000</v>
      </c>
      <c r="J36" s="639">
        <f>VLOOKUP(B36,'Presupuesto - PAA 2015'!$B$3:$N$265,9,0)</f>
        <v>40000000</v>
      </c>
      <c r="K36" s="640">
        <f>VLOOKUP(B36,'Presupuesto - PAA 2015'!$B$3:$N$265,10,0)</f>
        <v>0</v>
      </c>
      <c r="L36" s="639">
        <f>VLOOKUP(B36,'Presupuesto - PAA 2015'!$B$3:$N$265,11,0)</f>
        <v>0</v>
      </c>
      <c r="M36" s="553"/>
      <c r="N36" s="639">
        <f>VLOOKUP(B36,'Presupuesto - PAA 2015'!$B$3:$N$265,13,0)</f>
        <v>0</v>
      </c>
    </row>
    <row r="37" spans="1:14" x14ac:dyDescent="0.3">
      <c r="A37" s="627"/>
      <c r="B37" s="1238" t="s">
        <v>1671</v>
      </c>
      <c r="C37" s="1238"/>
      <c r="D37" s="1238"/>
      <c r="E37" s="459">
        <f>COUNTIF('Actualizada - presupuesto'!$E$7:$E$111,B37)</f>
        <v>2</v>
      </c>
      <c r="F37" s="512">
        <f>VLOOKUP(B37,'Presupuesto - PAA 2015'!$B$3:$N$265,4,0)</f>
        <v>1800000000</v>
      </c>
      <c r="G37" s="516">
        <v>1800000000</v>
      </c>
      <c r="H37" s="516"/>
      <c r="I37" s="516">
        <v>1800000000</v>
      </c>
      <c r="J37" s="512">
        <f>VLOOKUP(B37,'Presupuesto - PAA 2015'!$B$3:$N$265,9,0)</f>
        <v>1696938453</v>
      </c>
      <c r="K37" s="575">
        <f>VLOOKUP(B37,'Presupuesto - PAA 2015'!$B$3:$N$265,10,0)</f>
        <v>0.942743585</v>
      </c>
      <c r="L37" s="512">
        <f>VLOOKUP(B37,'Presupuesto - PAA 2015'!$B$3:$N$265,11,0)</f>
        <v>0</v>
      </c>
      <c r="M37" s="516"/>
      <c r="N37" s="512">
        <f>VLOOKUP(B37,'Presupuesto - PAA 2015'!$B$3:$N$265,13,0)</f>
        <v>103061547</v>
      </c>
    </row>
    <row r="38" spans="1:14" x14ac:dyDescent="0.3">
      <c r="A38" s="627"/>
      <c r="B38" s="1265" t="s">
        <v>1672</v>
      </c>
      <c r="C38" s="1265"/>
      <c r="D38" s="1265"/>
      <c r="E38" s="633"/>
      <c r="F38" s="634">
        <f>VLOOKUP(B38,'Presupuesto - PAA 2015'!$B$3:$N$265,4,0)</f>
        <v>36000000</v>
      </c>
      <c r="G38" s="634">
        <v>1000000</v>
      </c>
      <c r="H38" s="634">
        <v>0</v>
      </c>
      <c r="I38" s="634">
        <v>1000000</v>
      </c>
      <c r="J38" s="634">
        <f>VLOOKUP(B38,'Presupuesto - PAA 2015'!$B$3:$N$265,9,0)</f>
        <v>908534</v>
      </c>
      <c r="K38" s="645">
        <f>VLOOKUP(B38,'Presupuesto - PAA 2015'!$B$3:$N$265,10,0)</f>
        <v>2.5237055555555554E-2</v>
      </c>
      <c r="L38" s="634">
        <f>VLOOKUP(B38,'Presupuesto - PAA 2015'!$B$3:$N$265,11,0)</f>
        <v>91466</v>
      </c>
      <c r="M38" s="634">
        <v>0</v>
      </c>
      <c r="N38" s="634">
        <f>VLOOKUP(B38,'Presupuesto - PAA 2015'!$B$3:$N$265,13,0)</f>
        <v>18203084</v>
      </c>
    </row>
    <row r="39" spans="1:14" x14ac:dyDescent="0.3">
      <c r="A39" s="627"/>
      <c r="B39" s="1264" t="s">
        <v>1837</v>
      </c>
      <c r="C39" s="1264"/>
      <c r="D39" s="1264"/>
      <c r="E39" s="507"/>
      <c r="F39" s="639">
        <f>VLOOKUP(B39,'Presupuesto - PAA 2015'!$B$3:$N$265,4,0)</f>
        <v>1000000</v>
      </c>
      <c r="G39" s="553">
        <v>1000000</v>
      </c>
      <c r="H39" s="553"/>
      <c r="I39" s="553">
        <v>1000000</v>
      </c>
      <c r="J39" s="639">
        <f>VLOOKUP(B39,'Presupuesto - PAA 2015'!$B$3:$N$265,9,0)</f>
        <v>908534</v>
      </c>
      <c r="K39" s="640">
        <f>VLOOKUP(B39,'Presupuesto - PAA 2015'!$B$3:$N$265,10,0)</f>
        <v>0.90853399999999995</v>
      </c>
      <c r="L39" s="639">
        <f>VLOOKUP(B39,'Presupuesto - PAA 2015'!$B$3:$N$265,11,0)</f>
        <v>91466</v>
      </c>
      <c r="M39" s="553"/>
      <c r="N39" s="639">
        <f>VLOOKUP(B39,'Presupuesto - PAA 2015'!$B$3:$N$265,13,0)</f>
        <v>18203084</v>
      </c>
    </row>
    <row r="40" spans="1:14" x14ac:dyDescent="0.3">
      <c r="A40" s="627"/>
      <c r="B40" s="1242" t="s">
        <v>1687</v>
      </c>
      <c r="C40" s="1242"/>
      <c r="D40" s="1242"/>
      <c r="E40" s="636"/>
      <c r="F40" s="630">
        <f>VLOOKUP(B40,'Presupuesto - PAA 2015'!$B$3:$N$265,4,0)</f>
        <v>8242477000</v>
      </c>
      <c r="G40" s="630">
        <v>7542477000</v>
      </c>
      <c r="H40" s="630">
        <v>0</v>
      </c>
      <c r="I40" s="630">
        <v>7542477000</v>
      </c>
      <c r="J40" s="630">
        <f>VLOOKUP(B40,'Presupuesto - PAA 2015'!$B$3:$N$265,9,0)</f>
        <v>7657910202.1999998</v>
      </c>
      <c r="K40" s="638">
        <f>VLOOKUP(B40,'Presupuesto - PAA 2015'!$B$3:$N$265,10,0)</f>
        <v>0.92907874686213865</v>
      </c>
      <c r="L40" s="630">
        <f>VLOOKUP(B40,'Presupuesto - PAA 2015'!$B$3:$N$265,11,0)</f>
        <v>450477000</v>
      </c>
      <c r="M40" s="630">
        <v>0</v>
      </c>
      <c r="N40" s="630">
        <f>VLOOKUP(B40,'Presupuesto - PAA 2015'!$B$3:$N$265,13,0)</f>
        <v>134089797.80000019</v>
      </c>
    </row>
    <row r="41" spans="1:14" x14ac:dyDescent="0.3">
      <c r="A41" s="627"/>
      <c r="B41" s="1240" t="s">
        <v>1686</v>
      </c>
      <c r="C41" s="1240"/>
      <c r="D41" s="1240"/>
      <c r="E41" s="513"/>
      <c r="F41" s="512">
        <f>VLOOKUP(B41,'Presupuesto - PAA 2015'!$B$3:$N$265,4,0)</f>
        <v>8242477000</v>
      </c>
      <c r="G41" s="516">
        <v>7542477000</v>
      </c>
      <c r="H41" s="516">
        <v>0</v>
      </c>
      <c r="I41" s="516">
        <v>7542477000</v>
      </c>
      <c r="J41" s="512">
        <f>VLOOKUP(B41,'Presupuesto - PAA 2015'!$B$3:$N$265,9,0)</f>
        <v>7657910202.1999998</v>
      </c>
      <c r="K41" s="575">
        <f>VLOOKUP(B41,'Presupuesto - PAA 2015'!$B$3:$N$265,10,0)</f>
        <v>0.92907874686213865</v>
      </c>
      <c r="L41" s="512">
        <f>VLOOKUP(B41,'Presupuesto - PAA 2015'!$B$3:$N$265,11,0)</f>
        <v>450477000</v>
      </c>
      <c r="M41" s="516">
        <v>0</v>
      </c>
      <c r="N41" s="512">
        <f>VLOOKUP(B41,'Presupuesto - PAA 2015'!$B$3:$N$265,13,0)</f>
        <v>134089797.80000019</v>
      </c>
    </row>
    <row r="42" spans="1:14" x14ac:dyDescent="0.3">
      <c r="A42" s="627"/>
      <c r="B42" s="1238" t="s">
        <v>1675</v>
      </c>
      <c r="C42" s="1238"/>
      <c r="D42" s="1238"/>
      <c r="E42" s="730"/>
      <c r="F42" s="512">
        <f>+F43</f>
        <v>8242477000</v>
      </c>
      <c r="G42" s="512"/>
      <c r="H42" s="512"/>
      <c r="I42" s="512"/>
      <c r="J42" s="512">
        <f t="shared" ref="J42:L43" si="0">+J43</f>
        <v>7657910202.1999998</v>
      </c>
      <c r="K42" s="575">
        <f t="shared" si="0"/>
        <v>0.92907874686213865</v>
      </c>
      <c r="L42" s="512">
        <f t="shared" si="0"/>
        <v>450477000</v>
      </c>
      <c r="M42" s="512"/>
      <c r="N42" s="512">
        <f>+N43</f>
        <v>134089797.80000019</v>
      </c>
    </row>
    <row r="43" spans="1:14" x14ac:dyDescent="0.3">
      <c r="A43" s="627"/>
      <c r="B43" s="1238" t="s">
        <v>1836</v>
      </c>
      <c r="C43" s="1238"/>
      <c r="D43" s="1238"/>
      <c r="E43" s="730"/>
      <c r="F43" s="512">
        <f>+F44</f>
        <v>8242477000</v>
      </c>
      <c r="G43" s="512"/>
      <c r="H43" s="512"/>
      <c r="I43" s="512"/>
      <c r="J43" s="512">
        <f t="shared" si="0"/>
        <v>7657910202.1999998</v>
      </c>
      <c r="K43" s="575">
        <f t="shared" si="0"/>
        <v>0.92907874686213865</v>
      </c>
      <c r="L43" s="512">
        <f t="shared" si="0"/>
        <v>450477000</v>
      </c>
      <c r="M43" s="512"/>
      <c r="N43" s="512">
        <f>+N44</f>
        <v>134089797.80000019</v>
      </c>
    </row>
    <row r="44" spans="1:14" x14ac:dyDescent="0.3">
      <c r="A44" s="627"/>
      <c r="B44" s="1238" t="s">
        <v>1835</v>
      </c>
      <c r="C44" s="1238"/>
      <c r="D44" s="1238"/>
      <c r="E44" s="730"/>
      <c r="F44" s="512">
        <f>+F41</f>
        <v>8242477000</v>
      </c>
      <c r="G44" s="512"/>
      <c r="H44" s="512"/>
      <c r="I44" s="512"/>
      <c r="J44" s="512">
        <f>+J41</f>
        <v>7657910202.1999998</v>
      </c>
      <c r="K44" s="575">
        <f>+K41</f>
        <v>0.92907874686213865</v>
      </c>
      <c r="L44" s="512">
        <f>+L41</f>
        <v>450477000</v>
      </c>
      <c r="M44" s="512"/>
      <c r="N44" s="512">
        <f>+N41</f>
        <v>134089797.80000019</v>
      </c>
    </row>
    <row r="45" spans="1:14" ht="22.5" customHeight="1" x14ac:dyDescent="0.3">
      <c r="A45" s="627"/>
      <c r="B45" s="1266" t="s">
        <v>1873</v>
      </c>
      <c r="C45" s="1266"/>
      <c r="D45" s="1266"/>
      <c r="E45" s="459">
        <f>COUNTIF('Actualizada - presupuesto'!$E$7:$E$111,B45)</f>
        <v>0</v>
      </c>
      <c r="F45" s="512">
        <f>VLOOKUP(B45,'Presupuesto - PAA 2015'!$B$3:$N$265,4,0)</f>
        <v>8242477000</v>
      </c>
      <c r="G45" s="516">
        <v>7542477000</v>
      </c>
      <c r="H45" s="516"/>
      <c r="I45" s="516">
        <v>7542477000</v>
      </c>
      <c r="J45" s="512">
        <f>VLOOKUP(B45,'Presupuesto - PAA 2015'!$B$3:$N$265,9,0)</f>
        <v>7657910202.1999998</v>
      </c>
      <c r="K45" s="575">
        <f>VLOOKUP(B45,'Presupuesto - PAA 2015'!$B$3:$N$265,10,0)</f>
        <v>0.92907874686213865</v>
      </c>
      <c r="L45" s="512">
        <f>VLOOKUP(B45,'Presupuesto - PAA 2015'!$B$3:$N$265,11,0)</f>
        <v>450477000</v>
      </c>
      <c r="M45" s="516">
        <v>0</v>
      </c>
      <c r="N45" s="512">
        <f>VLOOKUP(B45,'Presupuesto - PAA 2015'!$B$3:$N$265,13,0)</f>
        <v>134089797.80000019</v>
      </c>
    </row>
    <row r="46" spans="1:14" ht="44.25" customHeight="1" x14ac:dyDescent="0.3">
      <c r="A46" s="627"/>
      <c r="B46" s="589"/>
      <c r="C46" s="1240" t="s">
        <v>1909</v>
      </c>
      <c r="D46" s="1240"/>
      <c r="E46" s="513"/>
      <c r="F46" s="512">
        <f>+'Presupuesto - PAA 2015'!E233</f>
        <v>400000000</v>
      </c>
      <c r="G46" s="591">
        <v>400000000</v>
      </c>
      <c r="H46" s="591"/>
      <c r="I46" s="591">
        <v>400000000</v>
      </c>
      <c r="J46" s="512">
        <f>+'Presupuesto - PAA 2015'!J233</f>
        <v>398880000</v>
      </c>
      <c r="K46" s="575">
        <f>+'Presupuesto - PAA 2015'!K233</f>
        <v>0.99719999999999998</v>
      </c>
      <c r="L46" s="512">
        <f>+'Presupuesto - PAA 2015'!L233</f>
        <v>0</v>
      </c>
      <c r="M46" s="512">
        <f>+'Presupuesto - PAA 2015'!M233</f>
        <v>0</v>
      </c>
      <c r="N46" s="512">
        <f>+'Presupuesto - PAA 2015'!N233</f>
        <v>1120000</v>
      </c>
    </row>
    <row r="47" spans="1:14" ht="34.5" customHeight="1" x14ac:dyDescent="0.3">
      <c r="A47" s="627"/>
      <c r="B47" s="510"/>
      <c r="C47" s="1267" t="s">
        <v>1910</v>
      </c>
      <c r="D47" s="1268"/>
      <c r="E47" s="594"/>
      <c r="F47" s="643">
        <f>+'Presupuesto - PAA 2015'!E234</f>
        <v>400000000</v>
      </c>
      <c r="G47" s="637">
        <v>400000000</v>
      </c>
      <c r="H47" s="637"/>
      <c r="I47" s="637">
        <v>400000000</v>
      </c>
      <c r="J47" s="643">
        <f>+'Presupuesto - PAA 2015'!J234</f>
        <v>398880000</v>
      </c>
      <c r="K47" s="644">
        <f>+'Presupuesto - PAA 2015'!K234</f>
        <v>0</v>
      </c>
      <c r="L47" s="643">
        <f>+'Presupuesto - PAA 2015'!L234</f>
        <v>0</v>
      </c>
      <c r="M47" s="643">
        <f>+'Presupuesto - PAA 2015'!M234</f>
        <v>0</v>
      </c>
      <c r="N47" s="643">
        <f>+'Presupuesto - PAA 2015'!N234</f>
        <v>1120000</v>
      </c>
    </row>
    <row r="48" spans="1:14" ht="30.6" x14ac:dyDescent="0.3">
      <c r="A48" s="627"/>
      <c r="B48" s="600">
        <v>214</v>
      </c>
      <c r="C48" s="587" t="s">
        <v>1087</v>
      </c>
      <c r="D48" s="641" t="s">
        <v>1941</v>
      </c>
      <c r="E48" s="507">
        <v>1</v>
      </c>
      <c r="F48" s="512">
        <f>+'Presupuesto - PAA 2015'!E235</f>
        <v>40800000</v>
      </c>
      <c r="G48" s="553">
        <v>65040000</v>
      </c>
      <c r="H48" s="553"/>
      <c r="I48" s="553">
        <v>65040000</v>
      </c>
      <c r="J48" s="512">
        <f>+'Presupuesto - PAA 2015'!J235</f>
        <v>40800000</v>
      </c>
      <c r="K48" s="575">
        <f>+'Presupuesto - PAA 2015'!K235</f>
        <v>0</v>
      </c>
      <c r="L48" s="512" t="str">
        <f>+'Presupuesto - PAA 2015'!L235</f>
        <v xml:space="preserve"> </v>
      </c>
      <c r="M48" s="512">
        <f>+'Presupuesto - PAA 2015'!M235</f>
        <v>0</v>
      </c>
      <c r="N48" s="512" t="str">
        <f>+'Presupuesto - PAA 2015'!N235</f>
        <v xml:space="preserve"> </v>
      </c>
    </row>
    <row r="49" spans="1:14" ht="20.399999999999999" x14ac:dyDescent="0.3">
      <c r="A49" s="627"/>
      <c r="B49" s="600"/>
      <c r="C49" s="587" t="s">
        <v>1911</v>
      </c>
      <c r="D49" s="641" t="s">
        <v>1912</v>
      </c>
      <c r="E49" s="507"/>
      <c r="F49" s="512">
        <f>+'Presupuesto - PAA 2015'!E236</f>
        <v>12000000</v>
      </c>
      <c r="G49" s="553">
        <v>334080000</v>
      </c>
      <c r="H49" s="553"/>
      <c r="I49" s="553">
        <v>334080000</v>
      </c>
      <c r="J49" s="512">
        <f>+'Presupuesto - PAA 2015'!J236</f>
        <v>12000000</v>
      </c>
      <c r="K49" s="575">
        <f>+'Presupuesto - PAA 2015'!K236</f>
        <v>0</v>
      </c>
      <c r="L49" s="512" t="str">
        <f>+'Presupuesto - PAA 2015'!L236</f>
        <v xml:space="preserve"> </v>
      </c>
      <c r="M49" s="512">
        <f>+'Presupuesto - PAA 2015'!M236</f>
        <v>0</v>
      </c>
      <c r="N49" s="512" t="str">
        <f>+'Presupuesto - PAA 2015'!N236</f>
        <v xml:space="preserve"> </v>
      </c>
    </row>
    <row r="50" spans="1:14" ht="25.5" customHeight="1" x14ac:dyDescent="0.3">
      <c r="A50" s="627"/>
      <c r="B50" s="589"/>
      <c r="C50" s="1240" t="s">
        <v>1913</v>
      </c>
      <c r="D50" s="1240"/>
      <c r="E50" s="513"/>
      <c r="F50" s="512">
        <f>+'Presupuesto - PAA 2015'!E237</f>
        <v>12000000</v>
      </c>
      <c r="G50" s="516">
        <v>7142477000</v>
      </c>
      <c r="H50" s="516"/>
      <c r="I50" s="516">
        <v>7142477000</v>
      </c>
      <c r="J50" s="512">
        <f>+'Presupuesto - PAA 2015'!J237</f>
        <v>12000000</v>
      </c>
      <c r="K50" s="575">
        <f>+'Presupuesto - PAA 2015'!K237</f>
        <v>0</v>
      </c>
      <c r="L50" s="512" t="str">
        <f>+'Presupuesto - PAA 2015'!L237</f>
        <v xml:space="preserve"> </v>
      </c>
      <c r="M50" s="512">
        <f>+'Presupuesto - PAA 2015'!M237</f>
        <v>0</v>
      </c>
      <c r="N50" s="512" t="str">
        <f>+'Presupuesto - PAA 2015'!N237</f>
        <v xml:space="preserve"> </v>
      </c>
    </row>
    <row r="51" spans="1:14" ht="23.25" customHeight="1" x14ac:dyDescent="0.3">
      <c r="A51" s="627"/>
      <c r="B51" s="510">
        <v>213</v>
      </c>
      <c r="C51" s="1259" t="s">
        <v>1914</v>
      </c>
      <c r="D51" s="1259"/>
      <c r="E51" s="608"/>
      <c r="F51" s="643">
        <f>+'Presupuesto - PAA 2015'!E238</f>
        <v>334080000</v>
      </c>
      <c r="G51" s="592">
        <v>450477000</v>
      </c>
      <c r="H51" s="592"/>
      <c r="I51" s="592">
        <v>450477000</v>
      </c>
      <c r="J51" s="643">
        <f>+'Presupuesto - PAA 2015'!J238</f>
        <v>334080000</v>
      </c>
      <c r="K51" s="644">
        <f>+'Presupuesto - PAA 2015'!K238</f>
        <v>0</v>
      </c>
      <c r="L51" s="643" t="str">
        <f>+'Presupuesto - PAA 2015'!L238</f>
        <v xml:space="preserve"> </v>
      </c>
      <c r="M51" s="643">
        <f>+'Presupuesto - PAA 2015'!M238</f>
        <v>0</v>
      </c>
      <c r="N51" s="643" t="str">
        <f>+'Presupuesto - PAA 2015'!N238</f>
        <v xml:space="preserve"> </v>
      </c>
    </row>
    <row r="52" spans="1:14" x14ac:dyDescent="0.3">
      <c r="A52" s="627"/>
      <c r="B52" s="600"/>
      <c r="C52" s="601"/>
      <c r="D52" s="601" t="s">
        <v>1915</v>
      </c>
      <c r="E52" s="507" t="s">
        <v>390</v>
      </c>
      <c r="F52" s="639">
        <f>+'Presupuesto - PAA 2015'!E239</f>
        <v>1120000</v>
      </c>
      <c r="G52" s="553">
        <v>450477000</v>
      </c>
      <c r="H52" s="553"/>
      <c r="I52" s="553">
        <v>450477000</v>
      </c>
      <c r="J52" s="639">
        <f>+'Presupuesto - PAA 2015'!J239</f>
        <v>0</v>
      </c>
      <c r="K52" s="640">
        <f>+'Presupuesto - PAA 2015'!K239</f>
        <v>0</v>
      </c>
      <c r="L52" s="639">
        <f>+'Presupuesto - PAA 2015'!L239</f>
        <v>0</v>
      </c>
      <c r="M52" s="639">
        <f>+'Presupuesto - PAA 2015'!M239</f>
        <v>0</v>
      </c>
      <c r="N52" s="639">
        <f>+'Presupuesto - PAA 2015'!N239</f>
        <v>1120000</v>
      </c>
    </row>
    <row r="53" spans="1:14" ht="27.75" customHeight="1" x14ac:dyDescent="0.3">
      <c r="A53" s="627"/>
      <c r="B53" s="510"/>
      <c r="C53" s="1259" t="s">
        <v>1916</v>
      </c>
      <c r="D53" s="1259"/>
      <c r="E53" s="594"/>
      <c r="F53" s="512">
        <f>+'Presupuesto - PAA 2015'!E240</f>
        <v>0</v>
      </c>
      <c r="G53" s="592">
        <v>1775400000</v>
      </c>
      <c r="H53" s="592"/>
      <c r="I53" s="592">
        <v>1775400000</v>
      </c>
      <c r="J53" s="512">
        <f>+'Presupuesto - PAA 2015'!J240</f>
        <v>0</v>
      </c>
      <c r="K53" s="575">
        <f>+'Presupuesto - PAA 2015'!K240</f>
        <v>0</v>
      </c>
      <c r="L53" s="512">
        <f>+'Presupuesto - PAA 2015'!L240</f>
        <v>0</v>
      </c>
      <c r="M53" s="512">
        <f>+'Presupuesto - PAA 2015'!M240</f>
        <v>0</v>
      </c>
      <c r="N53" s="512" t="str">
        <f>+'Presupuesto - PAA 2015'!N240</f>
        <v xml:space="preserve"> </v>
      </c>
    </row>
    <row r="54" spans="1:14" ht="34.200000000000003" x14ac:dyDescent="0.3">
      <c r="A54" s="627"/>
      <c r="B54" s="600">
        <v>208</v>
      </c>
      <c r="C54" s="587" t="s">
        <v>1614</v>
      </c>
      <c r="D54" s="601" t="s">
        <v>1917</v>
      </c>
      <c r="E54" s="507" t="s">
        <v>390</v>
      </c>
      <c r="F54" s="639">
        <f>+'Presupuesto - PAA 2015'!E241</f>
        <v>7722182796</v>
      </c>
      <c r="G54" s="553">
        <v>389910657</v>
      </c>
      <c r="H54" s="553"/>
      <c r="I54" s="553">
        <v>389910657</v>
      </c>
      <c r="J54" s="639">
        <f>+'Presupuesto - PAA 2015'!J241</f>
        <v>7259030202.1999998</v>
      </c>
      <c r="K54" s="640">
        <f>+'Presupuesto - PAA 2015'!K241</f>
        <v>0.94002309890411972</v>
      </c>
      <c r="L54" s="639">
        <f>+'Presupuesto - PAA 2015'!L241</f>
        <v>450477000</v>
      </c>
      <c r="M54" s="639">
        <f>+'Presupuesto - PAA 2015'!M241</f>
        <v>0</v>
      </c>
      <c r="N54" s="639">
        <f>+'Presupuesto - PAA 2015'!N241</f>
        <v>12675593.800000191</v>
      </c>
    </row>
    <row r="55" spans="1:14" ht="22.8" x14ac:dyDescent="0.3">
      <c r="A55" s="627"/>
      <c r="B55" s="600">
        <v>263</v>
      </c>
      <c r="C55" s="587" t="s">
        <v>1918</v>
      </c>
      <c r="D55" s="601" t="s">
        <v>1919</v>
      </c>
      <c r="E55" s="507" t="s">
        <v>390</v>
      </c>
      <c r="F55" s="639">
        <f>+'Presupuesto - PAA 2015'!E242</f>
        <v>450477000</v>
      </c>
      <c r="G55" s="553">
        <v>101489343</v>
      </c>
      <c r="H55" s="553"/>
      <c r="I55" s="553">
        <v>101489343</v>
      </c>
      <c r="J55" s="639">
        <f>+'Presupuesto - PAA 2015'!J242</f>
        <v>0</v>
      </c>
      <c r="K55" s="640">
        <f>+'Presupuesto - PAA 2015'!K242</f>
        <v>0</v>
      </c>
      <c r="L55" s="639">
        <f>+'Presupuesto - PAA 2015'!L242</f>
        <v>450477000</v>
      </c>
      <c r="M55" s="639">
        <f>+'Presupuesto - PAA 2015'!M242</f>
        <v>0</v>
      </c>
      <c r="N55" s="639">
        <f>+'Presupuesto - PAA 2015'!N242</f>
        <v>0</v>
      </c>
    </row>
    <row r="56" spans="1:14" ht="22.8" x14ac:dyDescent="0.3">
      <c r="A56" s="627"/>
      <c r="B56" s="600">
        <v>209</v>
      </c>
      <c r="C56" s="587" t="s">
        <v>1087</v>
      </c>
      <c r="D56" s="601" t="s">
        <v>1920</v>
      </c>
      <c r="E56" s="507">
        <v>0</v>
      </c>
      <c r="F56" s="639">
        <f>+'Presupuesto - PAA 2015'!E243</f>
        <v>450477000</v>
      </c>
      <c r="G56" s="553">
        <v>24000000</v>
      </c>
      <c r="H56" s="553"/>
      <c r="I56" s="553">
        <v>24000000</v>
      </c>
      <c r="J56" s="639" t="str">
        <f>+'Presupuesto - PAA 2015'!J243</f>
        <v>Sin Celebrar</v>
      </c>
      <c r="K56" s="640">
        <f>+'Presupuesto - PAA 2015'!K243</f>
        <v>0</v>
      </c>
      <c r="L56" s="639">
        <f>+'Presupuesto - PAA 2015'!L243</f>
        <v>450477000</v>
      </c>
      <c r="M56" s="639">
        <f>+'Presupuesto - PAA 2015'!M243</f>
        <v>0</v>
      </c>
      <c r="N56" s="639" t="str">
        <f>+'Presupuesto - PAA 2015'!N243</f>
        <v xml:space="preserve"> </v>
      </c>
    </row>
    <row r="57" spans="1:14" x14ac:dyDescent="0.3">
      <c r="A57" s="627"/>
      <c r="B57" s="600">
        <v>211</v>
      </c>
      <c r="C57" s="587" t="s">
        <v>1087</v>
      </c>
      <c r="D57" s="601" t="s">
        <v>1921</v>
      </c>
      <c r="E57" s="507">
        <v>0</v>
      </c>
      <c r="F57" s="639">
        <f>+'Presupuesto - PAA 2015'!E244</f>
        <v>466869877</v>
      </c>
      <c r="G57" s="553">
        <v>1260000000</v>
      </c>
      <c r="H57" s="553"/>
      <c r="I57" s="553">
        <v>1260000000</v>
      </c>
      <c r="J57" s="639">
        <f>+'Presupuesto - PAA 2015'!J244</f>
        <v>466869877</v>
      </c>
      <c r="K57" s="640">
        <f>+'Presupuesto - PAA 2015'!K244</f>
        <v>1</v>
      </c>
      <c r="L57" s="639">
        <f>+'Presupuesto - PAA 2015'!L244</f>
        <v>0</v>
      </c>
      <c r="M57" s="639">
        <f>+'Presupuesto - PAA 2015'!M244</f>
        <v>0</v>
      </c>
      <c r="N57" s="639">
        <f>+'Presupuesto - PAA 2015'!N244</f>
        <v>0</v>
      </c>
    </row>
    <row r="58" spans="1:14" ht="38.25" customHeight="1" x14ac:dyDescent="0.3">
      <c r="A58" s="627"/>
      <c r="B58" s="510"/>
      <c r="C58" s="1259" t="s">
        <v>1922</v>
      </c>
      <c r="D58" s="1259"/>
      <c r="E58" s="594"/>
      <c r="F58" s="643">
        <f>+'Presupuesto - PAA 2015'!E245</f>
        <v>379200000</v>
      </c>
      <c r="G58" s="592">
        <v>90000000</v>
      </c>
      <c r="H58" s="592"/>
      <c r="I58" s="592">
        <v>90000000</v>
      </c>
      <c r="J58" s="643">
        <f>+'Presupuesto - PAA 2015'!J245</f>
        <v>379200000</v>
      </c>
      <c r="K58" s="644">
        <f>+'Presupuesto - PAA 2015'!K245</f>
        <v>0</v>
      </c>
      <c r="L58" s="643" t="str">
        <f>+'Presupuesto - PAA 2015'!L245</f>
        <v xml:space="preserve"> </v>
      </c>
      <c r="M58" s="643">
        <f>+'Presupuesto - PAA 2015'!M245</f>
        <v>0</v>
      </c>
      <c r="N58" s="643" t="str">
        <f>+'Presupuesto - PAA 2015'!N245</f>
        <v xml:space="preserve"> </v>
      </c>
    </row>
    <row r="59" spans="1:14" ht="34.200000000000003" x14ac:dyDescent="0.3">
      <c r="A59" s="627"/>
      <c r="B59" s="600">
        <v>212</v>
      </c>
      <c r="C59" s="587" t="s">
        <v>1087</v>
      </c>
      <c r="D59" s="601" t="s">
        <v>1923</v>
      </c>
      <c r="E59" s="507">
        <v>0</v>
      </c>
      <c r="F59" s="639">
        <f>+'Presupuesto - PAA 2015'!E246</f>
        <v>87669877</v>
      </c>
      <c r="G59" s="553">
        <v>90000000</v>
      </c>
      <c r="H59" s="553"/>
      <c r="I59" s="553">
        <v>90000000</v>
      </c>
      <c r="J59" s="639">
        <f>+'Presupuesto - PAA 2015'!J246</f>
        <v>87669877</v>
      </c>
      <c r="K59" s="640">
        <f>+'Presupuesto - PAA 2015'!K246</f>
        <v>0</v>
      </c>
      <c r="L59" s="639" t="str">
        <f>+'Presupuesto - PAA 2015'!L246</f>
        <v xml:space="preserve"> </v>
      </c>
      <c r="M59" s="639">
        <f>+'Presupuesto - PAA 2015'!M246</f>
        <v>0</v>
      </c>
      <c r="N59" s="639" t="str">
        <f>+'Presupuesto - PAA 2015'!N246</f>
        <v xml:space="preserve"> </v>
      </c>
    </row>
    <row r="60" spans="1:14" x14ac:dyDescent="0.3">
      <c r="A60" s="627"/>
      <c r="B60" s="510"/>
      <c r="C60" s="1258" t="s">
        <v>1924</v>
      </c>
      <c r="D60" s="1258"/>
      <c r="E60" s="594"/>
      <c r="F60" s="643">
        <f>+'Presupuesto - PAA 2015'!E247</f>
        <v>0</v>
      </c>
      <c r="G60" s="592">
        <v>506600000</v>
      </c>
      <c r="H60" s="592"/>
      <c r="I60" s="592">
        <v>506600000</v>
      </c>
      <c r="J60" s="643" t="str">
        <f>+'Presupuesto - PAA 2015'!J247</f>
        <v>Sin Celebrar</v>
      </c>
      <c r="K60" s="644">
        <f>+'Presupuesto - PAA 2015'!K247</f>
        <v>0</v>
      </c>
      <c r="L60" s="643">
        <f>+'Presupuesto - PAA 2015'!L247</f>
        <v>0</v>
      </c>
      <c r="M60" s="643">
        <f>+'Presupuesto - PAA 2015'!M247</f>
        <v>0</v>
      </c>
      <c r="N60" s="643" t="str">
        <f>+'Presupuesto - PAA 2015'!N247</f>
        <v xml:space="preserve"> </v>
      </c>
    </row>
    <row r="61" spans="1:14" x14ac:dyDescent="0.3">
      <c r="A61" s="627"/>
      <c r="B61" s="600">
        <v>70</v>
      </c>
      <c r="C61" s="587" t="s">
        <v>1087</v>
      </c>
      <c r="D61" s="601" t="s">
        <v>1925</v>
      </c>
      <c r="E61" s="507" t="s">
        <v>390</v>
      </c>
      <c r="F61" s="639">
        <f>+'Presupuesto - PAA 2015'!E248</f>
        <v>0</v>
      </c>
      <c r="G61" s="553">
        <v>32000000</v>
      </c>
      <c r="H61" s="553"/>
      <c r="I61" s="553">
        <v>32000000</v>
      </c>
      <c r="J61" s="639" t="str">
        <f>+'Presupuesto - PAA 2015'!J248</f>
        <v>Sin Celebrar</v>
      </c>
      <c r="K61" s="640">
        <f>+'Presupuesto - PAA 2015'!K248</f>
        <v>0</v>
      </c>
      <c r="L61" s="639">
        <f>+'Presupuesto - PAA 2015'!L248</f>
        <v>0</v>
      </c>
      <c r="M61" s="639">
        <f>+'Presupuesto - PAA 2015'!M248</f>
        <v>0</v>
      </c>
      <c r="N61" s="639" t="str">
        <f>+'Presupuesto - PAA 2015'!N248</f>
        <v xml:space="preserve"> </v>
      </c>
    </row>
    <row r="62" spans="1:14" ht="22.8" x14ac:dyDescent="0.3">
      <c r="A62" s="627"/>
      <c r="B62" s="600">
        <v>71</v>
      </c>
      <c r="C62" s="587" t="s">
        <v>1087</v>
      </c>
      <c r="D62" s="601" t="s">
        <v>1926</v>
      </c>
      <c r="E62" s="507" t="s">
        <v>390</v>
      </c>
      <c r="F62" s="639">
        <f>+'Presupuesto - PAA 2015'!E249</f>
        <v>0</v>
      </c>
      <c r="G62" s="553">
        <v>13300000</v>
      </c>
      <c r="H62" s="553"/>
      <c r="I62" s="553">
        <v>13300000</v>
      </c>
      <c r="J62" s="639">
        <f>+'Presupuesto - PAA 2015'!J249</f>
        <v>0</v>
      </c>
      <c r="K62" s="640" t="e">
        <f>+'Presupuesto - PAA 2015'!K249</f>
        <v>#DIV/0!</v>
      </c>
      <c r="L62" s="639">
        <f>+'Presupuesto - PAA 2015'!L249</f>
        <v>0</v>
      </c>
      <c r="M62" s="639">
        <f>+'Presupuesto - PAA 2015'!M249</f>
        <v>0</v>
      </c>
      <c r="N62" s="639">
        <f>+'Presupuesto - PAA 2015'!N249</f>
        <v>0</v>
      </c>
    </row>
    <row r="63" spans="1:14" x14ac:dyDescent="0.3">
      <c r="A63" s="627"/>
      <c r="B63" s="600">
        <v>73</v>
      </c>
      <c r="C63" s="587" t="s">
        <v>1087</v>
      </c>
      <c r="D63" s="601" t="s">
        <v>1927</v>
      </c>
      <c r="E63" s="507" t="s">
        <v>390</v>
      </c>
      <c r="F63" s="639">
        <f>+'Presupuesto - PAA 2015'!E250</f>
        <v>0</v>
      </c>
      <c r="G63" s="553">
        <v>201000000</v>
      </c>
      <c r="H63" s="553"/>
      <c r="I63" s="553">
        <v>201000000</v>
      </c>
      <c r="J63" s="639" t="str">
        <f>+'Presupuesto - PAA 2015'!J250</f>
        <v>Sin Celebrar</v>
      </c>
      <c r="K63" s="640">
        <f>+'Presupuesto - PAA 2015'!K250</f>
        <v>0</v>
      </c>
      <c r="L63" s="639">
        <f>+'Presupuesto - PAA 2015'!L250</f>
        <v>0</v>
      </c>
      <c r="M63" s="639">
        <f>+'Presupuesto - PAA 2015'!M250</f>
        <v>0</v>
      </c>
      <c r="N63" s="639" t="str">
        <f>+'Presupuesto - PAA 2015'!N250</f>
        <v xml:space="preserve"> </v>
      </c>
    </row>
    <row r="64" spans="1:14" ht="22.8" x14ac:dyDescent="0.3">
      <c r="A64" s="627"/>
      <c r="B64" s="600">
        <v>74</v>
      </c>
      <c r="C64" s="587" t="s">
        <v>1087</v>
      </c>
      <c r="D64" s="601" t="s">
        <v>1928</v>
      </c>
      <c r="E64" s="507">
        <v>0</v>
      </c>
      <c r="F64" s="639">
        <f>+'Presupuesto - PAA 2015'!E251</f>
        <v>2630558934</v>
      </c>
      <c r="G64" s="553">
        <v>130000000</v>
      </c>
      <c r="H64" s="553"/>
      <c r="I64" s="553">
        <v>130000000</v>
      </c>
      <c r="J64" s="639">
        <f>+'Presupuesto - PAA 2015'!J251</f>
        <v>2617883340.1999998</v>
      </c>
      <c r="K64" s="640">
        <f>+'Presupuesto - PAA 2015'!K251</f>
        <v>0.99518140664473698</v>
      </c>
      <c r="L64" s="639">
        <f>+'Presupuesto - PAA 2015'!L251</f>
        <v>0</v>
      </c>
      <c r="M64" s="639">
        <f>+'Presupuesto - PAA 2015'!M251</f>
        <v>0</v>
      </c>
      <c r="N64" s="639">
        <f>+'Presupuesto - PAA 2015'!N251</f>
        <v>12675593.800000191</v>
      </c>
    </row>
    <row r="65" spans="1:14" ht="22.8" x14ac:dyDescent="0.3">
      <c r="A65" s="627"/>
      <c r="B65" s="600">
        <v>75</v>
      </c>
      <c r="C65" s="587" t="s">
        <v>1087</v>
      </c>
      <c r="D65" s="601" t="s">
        <v>1777</v>
      </c>
      <c r="E65" s="507" t="s">
        <v>390</v>
      </c>
      <c r="F65" s="639">
        <f>+'Presupuesto - PAA 2015'!E252</f>
        <v>31577404</v>
      </c>
      <c r="G65" s="553">
        <v>22000000</v>
      </c>
      <c r="H65" s="553"/>
      <c r="I65" s="553">
        <v>22000000</v>
      </c>
      <c r="J65" s="639">
        <f>+'Presupuesto - PAA 2015'!J252</f>
        <v>31577404</v>
      </c>
      <c r="K65" s="640">
        <f>+'Presupuesto - PAA 2015'!K252</f>
        <v>0</v>
      </c>
      <c r="L65" s="639" t="str">
        <f>+'Presupuesto - PAA 2015'!L252</f>
        <v xml:space="preserve"> </v>
      </c>
      <c r="M65" s="639">
        <f>+'Presupuesto - PAA 2015'!M252</f>
        <v>0</v>
      </c>
      <c r="N65" s="639" t="str">
        <f>+'Presupuesto - PAA 2015'!N252</f>
        <v xml:space="preserve"> </v>
      </c>
    </row>
    <row r="66" spans="1:14" ht="22.8" x14ac:dyDescent="0.3">
      <c r="A66" s="627"/>
      <c r="B66" s="600">
        <v>76</v>
      </c>
      <c r="C66" s="587" t="s">
        <v>1087</v>
      </c>
      <c r="D66" s="601" t="s">
        <v>1929</v>
      </c>
      <c r="E66" s="507" t="s">
        <v>390</v>
      </c>
      <c r="F66" s="639">
        <f>+'Presupuesto - PAA 2015'!E253</f>
        <v>11167296</v>
      </c>
      <c r="G66" s="553">
        <v>65000000</v>
      </c>
      <c r="H66" s="553"/>
      <c r="I66" s="553">
        <v>65000000</v>
      </c>
      <c r="J66" s="639">
        <f>+'Presupuesto - PAA 2015'!J253</f>
        <v>11167296</v>
      </c>
      <c r="K66" s="640">
        <f>+'Presupuesto - PAA 2015'!K253</f>
        <v>0</v>
      </c>
      <c r="L66" s="639" t="str">
        <f>+'Presupuesto - PAA 2015'!L253</f>
        <v xml:space="preserve"> </v>
      </c>
      <c r="M66" s="639">
        <f>+'Presupuesto - PAA 2015'!M253</f>
        <v>0</v>
      </c>
      <c r="N66" s="639" t="str">
        <f>+'Presupuesto - PAA 2015'!N253</f>
        <v xml:space="preserve"> </v>
      </c>
    </row>
    <row r="67" spans="1:14" ht="22.8" x14ac:dyDescent="0.3">
      <c r="A67" s="627"/>
      <c r="B67" s="600">
        <v>77</v>
      </c>
      <c r="C67" s="587" t="s">
        <v>1087</v>
      </c>
      <c r="D67" s="601" t="s">
        <v>1930</v>
      </c>
      <c r="E67" s="507">
        <v>0</v>
      </c>
      <c r="F67" s="639">
        <f>+'Presupuesto - PAA 2015'!E254</f>
        <v>0</v>
      </c>
      <c r="G67" s="553">
        <v>20000000</v>
      </c>
      <c r="H67" s="553"/>
      <c r="I67" s="553">
        <v>20000000</v>
      </c>
      <c r="J67" s="639">
        <f>+'Presupuesto - PAA 2015'!J254</f>
        <v>8320000</v>
      </c>
      <c r="K67" s="640">
        <f>+'Presupuesto - PAA 2015'!K254</f>
        <v>0</v>
      </c>
      <c r="L67" s="639" t="str">
        <f>+'Presupuesto - PAA 2015'!L254</f>
        <v xml:space="preserve"> </v>
      </c>
      <c r="M67" s="639">
        <f>+'Presupuesto - PAA 2015'!M254</f>
        <v>0</v>
      </c>
      <c r="N67" s="639" t="str">
        <f>+'Presupuesto - PAA 2015'!N254</f>
        <v xml:space="preserve"> </v>
      </c>
    </row>
    <row r="68" spans="1:14" x14ac:dyDescent="0.3">
      <c r="A68" s="627"/>
      <c r="B68" s="587"/>
      <c r="C68" s="587"/>
      <c r="D68" s="587" t="s">
        <v>1931</v>
      </c>
      <c r="E68" s="587"/>
      <c r="F68" s="639">
        <f>+'Presupuesto - PAA 2015'!E255</f>
        <v>1544000000</v>
      </c>
      <c r="G68" s="603">
        <v>23300000</v>
      </c>
      <c r="H68" s="587"/>
      <c r="I68" s="603">
        <v>23300000</v>
      </c>
      <c r="J68" s="639">
        <f>+'Presupuesto - PAA 2015'!J255</f>
        <v>1512217703</v>
      </c>
      <c r="K68" s="640">
        <f>+'Presupuesto - PAA 2015'!K255</f>
        <v>0</v>
      </c>
      <c r="L68" s="639" t="str">
        <f>+'Presupuesto - PAA 2015'!L255</f>
        <v xml:space="preserve"> </v>
      </c>
      <c r="M68" s="639">
        <f>+'Presupuesto - PAA 2015'!M255</f>
        <v>0</v>
      </c>
      <c r="N68" s="639">
        <f>+'Presupuesto - PAA 2015'!N255</f>
        <v>31782297</v>
      </c>
    </row>
    <row r="69" spans="1:14" ht="42" customHeight="1" x14ac:dyDescent="0.3">
      <c r="A69" s="627"/>
      <c r="B69" s="506"/>
      <c r="C69" s="1267" t="s">
        <v>1932</v>
      </c>
      <c r="D69" s="1268"/>
      <c r="E69" s="608"/>
      <c r="F69" s="643">
        <f>+'Presupuesto - PAA 2015'!E256</f>
        <v>8086410</v>
      </c>
      <c r="G69" s="593">
        <v>4320000000</v>
      </c>
      <c r="H69" s="608"/>
      <c r="I69" s="592">
        <v>4320000000</v>
      </c>
      <c r="J69" s="643">
        <f>+'Presupuesto - PAA 2015'!J256</f>
        <v>8086410</v>
      </c>
      <c r="K69" s="644">
        <f>+'Presupuesto - PAA 2015'!K256</f>
        <v>0</v>
      </c>
      <c r="L69" s="643" t="str">
        <f>+'Presupuesto - PAA 2015'!L256</f>
        <v xml:space="preserve"> </v>
      </c>
      <c r="M69" s="643">
        <f>+'Presupuesto - PAA 2015'!M256</f>
        <v>0</v>
      </c>
      <c r="N69" s="643" t="str">
        <f>+'Presupuesto - PAA 2015'!N256</f>
        <v xml:space="preserve"> </v>
      </c>
    </row>
    <row r="70" spans="1:14" ht="68.400000000000006" x14ac:dyDescent="0.3">
      <c r="A70" s="627"/>
      <c r="B70" s="600">
        <v>210</v>
      </c>
      <c r="C70" s="587" t="s">
        <v>1635</v>
      </c>
      <c r="D70" s="601" t="s">
        <v>1933</v>
      </c>
      <c r="E70" s="507" t="s">
        <v>390</v>
      </c>
      <c r="F70" s="639">
        <f>+'Presupuesto - PAA 2015'!E265</f>
        <v>4174276985</v>
      </c>
      <c r="G70" s="553">
        <v>4320000000</v>
      </c>
      <c r="H70" s="553"/>
      <c r="I70" s="553">
        <v>4320000000</v>
      </c>
      <c r="J70" s="639">
        <f>+'Presupuesto - PAA 2015'!J265</f>
        <v>4174276985</v>
      </c>
      <c r="K70" s="639">
        <f>+'Presupuesto - PAA 2015'!K265</f>
        <v>0</v>
      </c>
      <c r="L70" s="639" t="str">
        <f>+'Presupuesto - PAA 2015'!L265</f>
        <v xml:space="preserve"> </v>
      </c>
      <c r="M70" s="639">
        <f>+'Presupuesto - PAA 2015'!M265</f>
        <v>0</v>
      </c>
      <c r="N70" s="639" t="str">
        <f>+'Presupuesto - PAA 2015'!N265</f>
        <v xml:space="preserve"> </v>
      </c>
    </row>
    <row r="71" spans="1:14" x14ac:dyDescent="0.3">
      <c r="A71" s="627"/>
    </row>
    <row r="72" spans="1:14" x14ac:dyDescent="0.3">
      <c r="A72" s="627"/>
    </row>
    <row r="73" spans="1:14" x14ac:dyDescent="0.3">
      <c r="A73" s="627"/>
    </row>
    <row r="74" spans="1:14" x14ac:dyDescent="0.3">
      <c r="A74" s="627"/>
    </row>
    <row r="75" spans="1:14" x14ac:dyDescent="0.3">
      <c r="A75" s="627"/>
    </row>
    <row r="76" spans="1:14" x14ac:dyDescent="0.3">
      <c r="A76" s="627"/>
    </row>
    <row r="77" spans="1:14" x14ac:dyDescent="0.3">
      <c r="A77" s="627"/>
    </row>
    <row r="78" spans="1:14" x14ac:dyDescent="0.3">
      <c r="A78" s="627"/>
    </row>
    <row r="79" spans="1:14" x14ac:dyDescent="0.3">
      <c r="A79" s="627"/>
    </row>
    <row r="80" spans="1:14" x14ac:dyDescent="0.3">
      <c r="A80" s="627"/>
    </row>
    <row r="81" spans="1:1" x14ac:dyDescent="0.3">
      <c r="A81" s="627"/>
    </row>
    <row r="82" spans="1:1" x14ac:dyDescent="0.3">
      <c r="A82" s="627"/>
    </row>
    <row r="83" spans="1:1" x14ac:dyDescent="0.3">
      <c r="A83" s="627"/>
    </row>
    <row r="84" spans="1:1" x14ac:dyDescent="0.3">
      <c r="A84" s="627"/>
    </row>
    <row r="85" spans="1:1" x14ac:dyDescent="0.3">
      <c r="A85" s="627"/>
    </row>
    <row r="86" spans="1:1" x14ac:dyDescent="0.3">
      <c r="A86" s="627"/>
    </row>
    <row r="87" spans="1:1" x14ac:dyDescent="0.3">
      <c r="A87" s="627"/>
    </row>
    <row r="88" spans="1:1" x14ac:dyDescent="0.3">
      <c r="A88" s="627"/>
    </row>
    <row r="89" spans="1:1" x14ac:dyDescent="0.3">
      <c r="A89" s="627"/>
    </row>
    <row r="90" spans="1:1" x14ac:dyDescent="0.3">
      <c r="A90" s="627"/>
    </row>
    <row r="91" spans="1:1" x14ac:dyDescent="0.3">
      <c r="A91" s="627"/>
    </row>
    <row r="92" spans="1:1" ht="16.5" customHeight="1" x14ac:dyDescent="0.3">
      <c r="A92" s="627"/>
    </row>
    <row r="93" spans="1:1" x14ac:dyDescent="0.3">
      <c r="A93" s="627"/>
    </row>
    <row r="94" spans="1:1" x14ac:dyDescent="0.3">
      <c r="A94" s="627"/>
    </row>
    <row r="95" spans="1:1" x14ac:dyDescent="0.3">
      <c r="A95" s="627"/>
    </row>
    <row r="96" spans="1:1" x14ac:dyDescent="0.3">
      <c r="A96" s="627"/>
    </row>
    <row r="97" spans="1:1" x14ac:dyDescent="0.3">
      <c r="A97" s="627"/>
    </row>
    <row r="98" spans="1:1" x14ac:dyDescent="0.3">
      <c r="A98" s="627"/>
    </row>
    <row r="99" spans="1:1" x14ac:dyDescent="0.3">
      <c r="A99" s="627"/>
    </row>
    <row r="100" spans="1:1" x14ac:dyDescent="0.3">
      <c r="A100" s="627"/>
    </row>
    <row r="101" spans="1:1" x14ac:dyDescent="0.3">
      <c r="A101" s="627"/>
    </row>
    <row r="102" spans="1:1" x14ac:dyDescent="0.3">
      <c r="A102" s="627"/>
    </row>
    <row r="103" spans="1:1" x14ac:dyDescent="0.3">
      <c r="A103" s="627"/>
    </row>
    <row r="104" spans="1:1" x14ac:dyDescent="0.3">
      <c r="A104" s="627"/>
    </row>
    <row r="105" spans="1:1" x14ac:dyDescent="0.3">
      <c r="A105" s="627"/>
    </row>
    <row r="106" spans="1:1" x14ac:dyDescent="0.3">
      <c r="A106" s="627"/>
    </row>
  </sheetData>
  <mergeCells count="53">
    <mergeCell ref="C60:D60"/>
    <mergeCell ref="C69:D69"/>
    <mergeCell ref="C46:D46"/>
    <mergeCell ref="C47:D47"/>
    <mergeCell ref="C50:D50"/>
    <mergeCell ref="C51:D51"/>
    <mergeCell ref="C53:D53"/>
    <mergeCell ref="C58:D58"/>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30:D30"/>
    <mergeCell ref="B19:D19"/>
    <mergeCell ref="B20:D20"/>
    <mergeCell ref="B21:D21"/>
    <mergeCell ref="B22:D22"/>
    <mergeCell ref="B23:D23"/>
    <mergeCell ref="B24:D24"/>
    <mergeCell ref="B25:D25"/>
    <mergeCell ref="B26:D26"/>
    <mergeCell ref="B27:D27"/>
    <mergeCell ref="B28:D28"/>
    <mergeCell ref="B29:D29"/>
    <mergeCell ref="B18:D18"/>
    <mergeCell ref="B7:D7"/>
    <mergeCell ref="B8:D8"/>
    <mergeCell ref="B9:D9"/>
    <mergeCell ref="B10:D10"/>
    <mergeCell ref="B11:D11"/>
    <mergeCell ref="B12:D12"/>
    <mergeCell ref="B13:D13"/>
    <mergeCell ref="B14:D14"/>
    <mergeCell ref="B15:D15"/>
    <mergeCell ref="B16:D16"/>
    <mergeCell ref="B17:D17"/>
    <mergeCell ref="B6:D6"/>
    <mergeCell ref="B1:N1"/>
    <mergeCell ref="B2:D2"/>
    <mergeCell ref="B3:D3"/>
    <mergeCell ref="B4:D4"/>
    <mergeCell ref="B5:D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ColWidth="11.44140625" defaultRowHeight="11.4" outlineLevelRow="1" x14ac:dyDescent="0.3"/>
  <cols>
    <col min="1" max="1" width="2.44140625" style="508" customWidth="1"/>
    <col min="2" max="2" width="10" style="508" customWidth="1"/>
    <col min="3" max="3" width="6.5546875" style="508" hidden="1" customWidth="1"/>
    <col min="4" max="4" width="18" style="508" customWidth="1"/>
    <col min="5" max="5" width="46.109375" style="508" customWidth="1"/>
    <col min="6" max="6" width="18.44140625" style="508" customWidth="1"/>
    <col min="7" max="7" width="14.44140625" style="792" customWidth="1"/>
    <col min="8" max="8" width="8.5546875" style="792" bestFit="1" customWidth="1"/>
    <col min="9" max="9" width="13.44140625" style="508" customWidth="1"/>
    <col min="10" max="10" width="16.6640625" style="508" customWidth="1"/>
    <col min="11" max="11" width="9" style="584" customWidth="1"/>
    <col min="12" max="13" width="16.6640625" style="508" customWidth="1"/>
    <col min="14" max="14" width="16.6640625" style="670" customWidth="1"/>
    <col min="15" max="15" width="15.109375" style="520" customWidth="1"/>
    <col min="16" max="18" width="11.44140625" style="508" customWidth="1"/>
    <col min="19" max="19" width="16.6640625" style="508" customWidth="1"/>
    <col min="20" max="20" width="17.5546875" style="629" bestFit="1" customWidth="1"/>
    <col min="21" max="21" width="17.88671875" style="508" bestFit="1" customWidth="1"/>
    <col min="22" max="22" width="11.44140625" style="508"/>
    <col min="23" max="23" width="8.33203125" style="508" hidden="1" customWidth="1"/>
    <col min="24" max="25" width="11.44140625" style="508"/>
    <col min="26" max="26" width="0" style="508" hidden="1" customWidth="1"/>
    <col min="27" max="16384" width="11.44140625" style="508"/>
  </cols>
  <sheetData>
    <row r="1" spans="2:26" ht="23.25" customHeight="1" thickBot="1" x14ac:dyDescent="0.35">
      <c r="B1" s="1245" t="s">
        <v>2275</v>
      </c>
      <c r="C1" s="1246"/>
      <c r="D1" s="1246"/>
      <c r="E1" s="1246"/>
      <c r="F1" s="1246"/>
      <c r="G1" s="1246"/>
      <c r="H1" s="1246"/>
      <c r="I1" s="1246"/>
      <c r="J1" s="1246"/>
      <c r="K1" s="1246"/>
      <c r="L1" s="1246"/>
      <c r="M1" s="1246"/>
      <c r="N1" s="1246"/>
      <c r="O1" s="1246"/>
      <c r="P1" s="1246"/>
      <c r="Q1" s="1246"/>
      <c r="R1" s="1246"/>
      <c r="S1" s="1247"/>
      <c r="Z1" s="508" t="s">
        <v>1902</v>
      </c>
    </row>
    <row r="2" spans="2:26" ht="33.75" customHeight="1" x14ac:dyDescent="0.3">
      <c r="B2" s="1243" t="s">
        <v>1782</v>
      </c>
      <c r="C2" s="1243"/>
      <c r="D2" s="1243"/>
      <c r="E2" s="1243"/>
      <c r="F2" s="745" t="s">
        <v>2409</v>
      </c>
      <c r="G2" s="690" t="s">
        <v>2342</v>
      </c>
      <c r="H2" s="1269" t="s">
        <v>1841</v>
      </c>
      <c r="I2" s="1270"/>
      <c r="J2" s="745" t="s">
        <v>1898</v>
      </c>
      <c r="K2" s="688" t="s">
        <v>1899</v>
      </c>
      <c r="L2" s="745" t="s">
        <v>1900</v>
      </c>
      <c r="M2" s="745" t="s">
        <v>1903</v>
      </c>
      <c r="N2" s="689" t="s">
        <v>1121</v>
      </c>
      <c r="O2" s="690" t="s">
        <v>1846</v>
      </c>
      <c r="P2" s="745" t="s">
        <v>1847</v>
      </c>
      <c r="Q2" s="745" t="s">
        <v>1848</v>
      </c>
      <c r="R2" s="745" t="s">
        <v>375</v>
      </c>
      <c r="S2" s="745" t="s">
        <v>1849</v>
      </c>
    </row>
    <row r="3" spans="2:26" ht="15" customHeight="1" x14ac:dyDescent="0.3">
      <c r="B3" s="1241" t="s">
        <v>1685</v>
      </c>
      <c r="C3" s="1241"/>
      <c r="D3" s="1241"/>
      <c r="E3" s="1241"/>
      <c r="F3" s="514"/>
      <c r="G3" s="801">
        <f>+G4+G190</f>
        <v>92</v>
      </c>
      <c r="H3" s="801">
        <f>+H4+H190</f>
        <v>1</v>
      </c>
      <c r="I3" s="514"/>
      <c r="J3" s="514">
        <f>+J4+J190</f>
        <v>8460919518</v>
      </c>
      <c r="K3" s="619" t="e">
        <f t="shared" ref="K3:K8" si="0">+J3/F3</f>
        <v>#DIV/0!</v>
      </c>
      <c r="L3" s="514">
        <f>+L4+L190</f>
        <v>3289793500</v>
      </c>
      <c r="M3" s="514">
        <f>+M4+M190</f>
        <v>-11750713018</v>
      </c>
      <c r="N3" s="514"/>
      <c r="O3" s="624"/>
      <c r="P3" s="544"/>
      <c r="Q3" s="544"/>
      <c r="R3" s="544"/>
      <c r="S3" s="544"/>
    </row>
    <row r="4" spans="2:26" ht="15" customHeight="1" x14ac:dyDescent="0.3">
      <c r="B4" s="1241" t="s">
        <v>1683</v>
      </c>
      <c r="C4" s="1241"/>
      <c r="D4" s="1241"/>
      <c r="E4" s="1241"/>
      <c r="F4" s="514"/>
      <c r="G4" s="801">
        <f>+G5+G39</f>
        <v>83</v>
      </c>
      <c r="H4" s="801">
        <f>+H5+H39</f>
        <v>1</v>
      </c>
      <c r="I4" s="515"/>
      <c r="J4" s="514">
        <f>+J5+J39</f>
        <v>3862728518</v>
      </c>
      <c r="K4" s="619" t="e">
        <f t="shared" si="0"/>
        <v>#DIV/0!</v>
      </c>
      <c r="L4" s="514">
        <f>+L5+L39</f>
        <v>2678833500</v>
      </c>
      <c r="M4" s="514">
        <f>+M5+M39</f>
        <v>-6541562018</v>
      </c>
      <c r="N4" s="647"/>
      <c r="O4" s="545"/>
      <c r="P4" s="544"/>
      <c r="Q4" s="544"/>
      <c r="R4" s="544"/>
      <c r="S4" s="544"/>
    </row>
    <row r="5" spans="2:26" ht="15" customHeight="1" x14ac:dyDescent="0.3">
      <c r="B5" s="1240" t="s">
        <v>1682</v>
      </c>
      <c r="C5" s="1240"/>
      <c r="D5" s="1240"/>
      <c r="E5" s="1240"/>
      <c r="F5" s="512"/>
      <c r="G5" s="802">
        <f>+G6</f>
        <v>20</v>
      </c>
      <c r="H5" s="802">
        <f>+H6</f>
        <v>0</v>
      </c>
      <c r="I5" s="513"/>
      <c r="J5" s="512">
        <f t="shared" ref="J5:M6" si="1">+J6</f>
        <v>365435500</v>
      </c>
      <c r="K5" s="575" t="e">
        <f t="shared" si="0"/>
        <v>#DIV/0!</v>
      </c>
      <c r="L5" s="512">
        <f t="shared" si="1"/>
        <v>431877500</v>
      </c>
      <c r="M5" s="512">
        <f t="shared" si="1"/>
        <v>-797313000</v>
      </c>
      <c r="N5" s="648"/>
      <c r="O5" s="543"/>
      <c r="P5" s="542"/>
      <c r="Q5" s="542"/>
      <c r="R5" s="542"/>
      <c r="S5" s="542"/>
    </row>
    <row r="6" spans="2:26" ht="15" customHeight="1" x14ac:dyDescent="0.3">
      <c r="B6" s="1242" t="s">
        <v>1681</v>
      </c>
      <c r="C6" s="1242"/>
      <c r="D6" s="1242"/>
      <c r="E6" s="1242"/>
      <c r="F6" s="630"/>
      <c r="G6" s="803">
        <f>+G7+G33</f>
        <v>20</v>
      </c>
      <c r="H6" s="803">
        <f>+H7+H33</f>
        <v>0</v>
      </c>
      <c r="I6" s="559"/>
      <c r="J6" s="630">
        <f t="shared" si="1"/>
        <v>365435500</v>
      </c>
      <c r="K6" s="638" t="e">
        <f t="shared" si="0"/>
        <v>#DIV/0!</v>
      </c>
      <c r="L6" s="630">
        <f t="shared" si="1"/>
        <v>431877500</v>
      </c>
      <c r="M6" s="630">
        <f t="shared" si="1"/>
        <v>-797313000</v>
      </c>
      <c r="N6" s="774"/>
      <c r="O6" s="775"/>
      <c r="P6" s="565"/>
      <c r="Q6" s="565"/>
      <c r="R6" s="565"/>
      <c r="S6" s="565"/>
      <c r="W6" s="508">
        <v>2016</v>
      </c>
    </row>
    <row r="7" spans="2:26" ht="15" customHeight="1" x14ac:dyDescent="0.3">
      <c r="B7" s="1273" t="s">
        <v>1680</v>
      </c>
      <c r="C7" s="1273"/>
      <c r="D7" s="1273"/>
      <c r="E7" s="1273"/>
      <c r="F7" s="773"/>
      <c r="G7" s="796">
        <f>+G8+G30</f>
        <v>18</v>
      </c>
      <c r="H7" s="796">
        <f>+H8+H30</f>
        <v>0</v>
      </c>
      <c r="I7" s="771"/>
      <c r="J7" s="773">
        <f>+J8+J30+J33</f>
        <v>365435500</v>
      </c>
      <c r="K7" s="776" t="e">
        <f t="shared" si="0"/>
        <v>#DIV/0!</v>
      </c>
      <c r="L7" s="773">
        <f>+L8+L30+L33</f>
        <v>431877500</v>
      </c>
      <c r="M7" s="773">
        <f>+M8+M30+M33</f>
        <v>-797313000</v>
      </c>
      <c r="N7" s="777"/>
      <c r="O7" s="778"/>
      <c r="P7" s="762"/>
      <c r="Q7" s="762"/>
      <c r="R7" s="762"/>
      <c r="S7" s="762"/>
      <c r="W7" s="508" t="s">
        <v>1902</v>
      </c>
    </row>
    <row r="8" spans="2:26" ht="15" customHeight="1" x14ac:dyDescent="0.3">
      <c r="B8" s="1271" t="s">
        <v>1642</v>
      </c>
      <c r="C8" s="1271"/>
      <c r="D8" s="1271"/>
      <c r="E8" s="1271"/>
      <c r="F8" s="757"/>
      <c r="G8" s="763">
        <f>COUNT(G10:G27)</f>
        <v>18</v>
      </c>
      <c r="H8" s="763">
        <f>COUNTIF(H10:H27,Hoja1!$J$2)</f>
        <v>0</v>
      </c>
      <c r="I8" s="758"/>
      <c r="J8" s="779">
        <f>SUM(J10:J28)</f>
        <v>351035500</v>
      </c>
      <c r="K8" s="759" t="e">
        <f t="shared" si="0"/>
        <v>#DIV/0!</v>
      </c>
      <c r="L8" s="779">
        <f>SUM(L10:L29)</f>
        <v>365133500</v>
      </c>
      <c r="M8" s="767">
        <f>+F8-J8-L8</f>
        <v>-716169000</v>
      </c>
      <c r="N8" s="780"/>
      <c r="O8" s="779"/>
      <c r="P8" s="762"/>
      <c r="Q8" s="762"/>
      <c r="R8" s="762"/>
      <c r="S8" s="762"/>
    </row>
    <row r="9" spans="2:26" s="588" customFormat="1" ht="22.8" outlineLevel="1" x14ac:dyDescent="0.3">
      <c r="B9" s="600" t="s">
        <v>2341</v>
      </c>
      <c r="C9" s="600" t="s">
        <v>2352</v>
      </c>
      <c r="D9" s="600" t="s">
        <v>912</v>
      </c>
      <c r="E9" s="600" t="s">
        <v>1821</v>
      </c>
      <c r="F9" s="748" t="s">
        <v>1845</v>
      </c>
      <c r="G9" s="784" t="s">
        <v>2343</v>
      </c>
      <c r="H9" s="784" t="s">
        <v>2347</v>
      </c>
      <c r="I9" s="507" t="s">
        <v>2348</v>
      </c>
      <c r="J9" s="600" t="s">
        <v>1844</v>
      </c>
      <c r="K9" s="585"/>
      <c r="L9" s="600" t="s">
        <v>1938</v>
      </c>
      <c r="M9" s="600" t="s">
        <v>1939</v>
      </c>
      <c r="N9" s="749" t="s">
        <v>1121</v>
      </c>
      <c r="O9" s="750" t="s">
        <v>1846</v>
      </c>
      <c r="P9" s="600" t="s">
        <v>1847</v>
      </c>
      <c r="Q9" s="600" t="s">
        <v>1848</v>
      </c>
      <c r="R9" s="600" t="s">
        <v>375</v>
      </c>
      <c r="S9" s="600" t="s">
        <v>1849</v>
      </c>
      <c r="T9" s="629"/>
    </row>
    <row r="10" spans="2:26" s="588" customFormat="1" ht="14.25" customHeight="1" outlineLevel="1" x14ac:dyDescent="0.3">
      <c r="B10" s="600">
        <v>117</v>
      </c>
      <c r="C10" s="600" t="str">
        <f t="shared" ref="C10:C27" si="2">$W$6&amp;B10</f>
        <v>2016117</v>
      </c>
      <c r="D10" s="506" t="str">
        <f>IF(ISERROR(VLOOKUP(C10,'Base de Datos'!$D$7:$F$4092,2,0))=TRUE,"",(VLOOKUP(C10,'Base de Datos'!$D$7:$F$4092,2,0)))</f>
        <v>160076-0-2016</v>
      </c>
      <c r="E10" s="587" t="s">
        <v>2276</v>
      </c>
      <c r="F10" s="553">
        <v>47460000</v>
      </c>
      <c r="G10" s="784">
        <v>42374</v>
      </c>
      <c r="H10" s="784"/>
      <c r="I10" s="805" t="str">
        <f ca="1">IF(H10=Hoja1!$J$2," ",(IF(MONTH(G10)=MONTH(TODAY()),IF(DAY(G10)&gt;DAY(TODAY()),"Quedan "&amp;ABS(DAY(G10)-DAY(TODAY()))&amp;" Días","Hace "&amp;ABS(DAY(G10)-DAY(TODAY()))&amp;" Días"),"")))</f>
        <v/>
      </c>
      <c r="J10" s="509">
        <f>IF(ISERROR(VLOOKUP(C10,'Base de Datos'!$D$7:$N$4092,6,0))=TRUE,"Sin Celebrar",(VLOOKUP(C10,'Base de Datos'!$D$7:$N$4092,6,0)))</f>
        <v>35595000</v>
      </c>
      <c r="K10" s="585"/>
      <c r="L10" s="509" t="str">
        <f t="shared" ref="L10:L27" si="3">IF(J10=$W$7,F10, " ")</f>
        <v xml:space="preserve"> </v>
      </c>
      <c r="M10" s="509">
        <f t="shared" ref="M10:M29" si="4">IF(J10&lt;F10,(F10-J10)," ")</f>
        <v>11865000</v>
      </c>
      <c r="N10" s="691" t="str">
        <f>IF(ISERROR(VLOOKUP(C10,'Base de Datos'!$D$7:$K$1048576,7,0))=TRUE," ",(VLOOKUP(C10,'Base de Datos'!$D$7:$K$1048576,7,0)))</f>
        <v>160076-0-2016</v>
      </c>
      <c r="O10" s="524">
        <f>IF(ISERROR(VLOOKUP(C10,'Base de Datos'!$D$7:$N$4077,9,0))=TRUE," ",(VLOOKUP(C10,'Base de Datos'!$D$7:$N$4077,9,0)))</f>
        <v>42479</v>
      </c>
      <c r="P10" s="586" t="e">
        <f>VLOOKUP(B10,#REF!,13,0)</f>
        <v>#REF!</v>
      </c>
      <c r="Q10" s="524">
        <f>IF(ISERROR(VLOOKUP(C10,'Base de Datos'!$D$7:$N$4077,10,0))=TRUE," ",(VLOOKUP(C10,'Base de Datos'!$D$7:$N$4077,10,0)))</f>
        <v>42485</v>
      </c>
      <c r="R10" s="524">
        <f>IF(ISERROR(VLOOKUP(C10,'Base de Datos'!$D$7:$N$4077,11,0))=TRUE," ",(VLOOKUP(C10,'Base de Datos'!$D$7:$N$4077,11,0)))</f>
        <v>42760</v>
      </c>
      <c r="S10" s="587" t="s">
        <v>981</v>
      </c>
      <c r="T10" s="694"/>
      <c r="U10" s="751"/>
    </row>
    <row r="11" spans="2:26" s="588" customFormat="1" ht="24.75" customHeight="1" outlineLevel="1" x14ac:dyDescent="0.3">
      <c r="B11" s="600">
        <v>153</v>
      </c>
      <c r="C11" s="600" t="str">
        <f t="shared" si="2"/>
        <v>2016153</v>
      </c>
      <c r="D11" s="506" t="str">
        <f>IF(ISERROR(VLOOKUP(C11,'Base de Datos'!$D$7:$F$4092,2,0))=TRUE,"",(VLOOKUP(C11,'Base de Datos'!$D$7:$F$4092,2,0)))</f>
        <v>160047-0-2016</v>
      </c>
      <c r="E11" s="587" t="s">
        <v>2277</v>
      </c>
      <c r="F11" s="553">
        <v>61800000</v>
      </c>
      <c r="G11" s="784">
        <v>42384</v>
      </c>
      <c r="H11" s="784"/>
      <c r="I11" s="805" t="str">
        <f ca="1">IF(H11=Hoja1!$J$2," ",(IF(MONTH(G11)=MONTH(TODAY()),IF(DAY(G11)&gt;DAY(TODAY()),"Quedan "&amp;ABS(DAY(G11)-DAY(TODAY()))&amp;" Días","Hace "&amp;ABS(DAY(G11)-DAY(TODAY()))&amp;" Días"),"")))</f>
        <v/>
      </c>
      <c r="J11" s="509">
        <f>IF(ISERROR(VLOOKUP(C11,'Base de Datos'!$D$7:$N$4092,6,0))=TRUE,"Sin Celebrar",(VLOOKUP(C11,'Base de Datos'!$D$7:$N$4092,6,0)))</f>
        <v>61800000</v>
      </c>
      <c r="K11" s="585"/>
      <c r="L11" s="509" t="str">
        <f t="shared" si="3"/>
        <v xml:space="preserve"> </v>
      </c>
      <c r="M11" s="509" t="str">
        <f t="shared" si="4"/>
        <v xml:space="preserve"> </v>
      </c>
      <c r="N11" s="691" t="str">
        <f>IF(ISERROR(VLOOKUP(C11,'Base de Datos'!$D$7:$K$1048576,7,0))=TRUE," ",(VLOOKUP(C11,'Base de Datos'!$D$7:$K$1048576,7,0)))</f>
        <v>160047-0-2016</v>
      </c>
      <c r="O11" s="524">
        <f>IF(ISERROR(VLOOKUP(C11,'Base de Datos'!$D$7:$N$4077,9,0))=TRUE," ",(VLOOKUP(C11,'Base de Datos'!$D$7:$N$4077,9,0)))</f>
        <v>42446</v>
      </c>
      <c r="P11" s="586" t="e">
        <f>VLOOKUP(B11,#REF!,13,0)</f>
        <v>#REF!</v>
      </c>
      <c r="Q11" s="524">
        <f>IF(ISERROR(VLOOKUP(C11,'Base de Datos'!$D$7:$N$4077,10,0))=TRUE," ",(VLOOKUP(C11,'Base de Datos'!$D$7:$N$4077,10,0)))</f>
        <v>42451</v>
      </c>
      <c r="R11" s="524">
        <f>IF(ISERROR(VLOOKUP(C11,'Base de Datos'!$D$7:$N$4077,11,0))=TRUE," ",(VLOOKUP(C11,'Base de Datos'!$D$7:$N$4077,11,0)))</f>
        <v>42816</v>
      </c>
      <c r="S11" s="587" t="s">
        <v>981</v>
      </c>
      <c r="T11" s="694"/>
      <c r="U11" s="751"/>
    </row>
    <row r="12" spans="2:26" s="588" customFormat="1" ht="14.25" customHeight="1" outlineLevel="1" x14ac:dyDescent="0.3">
      <c r="B12" s="600">
        <v>116</v>
      </c>
      <c r="C12" s="600" t="str">
        <f t="shared" si="2"/>
        <v>2016116</v>
      </c>
      <c r="D12" s="506" t="str">
        <f>IF(ISERROR(VLOOKUP(C12,'Base de Datos'!$D$7:$F$4092,2,0))=TRUE,"",(VLOOKUP(C12,'Base de Datos'!$D$7:$F$4092,2,0)))</f>
        <v/>
      </c>
      <c r="E12" s="587" t="s">
        <v>2278</v>
      </c>
      <c r="F12" s="553">
        <v>65564000</v>
      </c>
      <c r="G12" s="784">
        <v>42384</v>
      </c>
      <c r="H12" s="784"/>
      <c r="I12" s="805" t="str">
        <f ca="1">IF(H12=Hoja1!$J$2," ",(IF(MONTH(G12)=MONTH(TODAY()),IF(DAY(G12)&gt;DAY(TODAY()),"Quedan "&amp;ABS(DAY(G12)-DAY(TODAY()))&amp;" Días","Hace "&amp;ABS(DAY(G12)-DAY(TODAY()))&amp;" Días"),"")))</f>
        <v/>
      </c>
      <c r="J12" s="509" t="str">
        <f>IF(ISERROR(VLOOKUP(C12,'Base de Datos'!$D$7:$N$4092,6,0))=TRUE,"Sin Celebrar",(VLOOKUP(C12,'Base de Datos'!$D$7:$N$4092,6,0)))</f>
        <v>Sin Celebrar</v>
      </c>
      <c r="K12" s="585"/>
      <c r="L12" s="509">
        <f t="shared" si="3"/>
        <v>65564000</v>
      </c>
      <c r="M12" s="509" t="str">
        <f t="shared" si="4"/>
        <v xml:space="preserve"> </v>
      </c>
      <c r="N12" s="691" t="str">
        <f>IF(ISERROR(VLOOKUP(C12,'Base de Datos'!$D$7:$K$1048576,7,0))=TRUE," ",(VLOOKUP(C12,'Base de Datos'!$D$7:$K$1048576,7,0)))</f>
        <v xml:space="preserve"> </v>
      </c>
      <c r="O12" s="524" t="str">
        <f>IF(ISERROR(VLOOKUP(C12,'Base de Datos'!$D$7:$N$4077,9,0))=TRUE," ",(VLOOKUP(C12,'Base de Datos'!$D$7:$N$4077,9,0)))</f>
        <v xml:space="preserve"> </v>
      </c>
      <c r="P12" s="586" t="e">
        <f>VLOOKUP(B12,#REF!,13,0)</f>
        <v>#REF!</v>
      </c>
      <c r="Q12" s="524" t="str">
        <f>IF(ISERROR(VLOOKUP(C12,'Base de Datos'!$D$7:$N$4077,10,0))=TRUE," ",(VLOOKUP(C12,'Base de Datos'!$D$7:$N$4077,10,0)))</f>
        <v xml:space="preserve"> </v>
      </c>
      <c r="R12" s="524" t="str">
        <f>IF(ISERROR(VLOOKUP(C12,'Base de Datos'!$D$7:$N$4077,11,0))=TRUE," ",(VLOOKUP(C12,'Base de Datos'!$D$7:$N$4077,11,0)))</f>
        <v xml:space="preserve"> </v>
      </c>
      <c r="S12" s="587" t="s">
        <v>2075</v>
      </c>
      <c r="T12" s="694"/>
      <c r="U12" s="751"/>
    </row>
    <row r="13" spans="2:26" s="588" customFormat="1" ht="14.25" customHeight="1" outlineLevel="1" x14ac:dyDescent="0.3">
      <c r="B13" s="600">
        <v>118</v>
      </c>
      <c r="C13" s="600" t="str">
        <f t="shared" si="2"/>
        <v>2016118</v>
      </c>
      <c r="D13" s="506" t="str">
        <f>IF(ISERROR(VLOOKUP(C13,'Base de Datos'!$D$7:$F$4092,2,0))=TRUE,"",(VLOOKUP(C13,'Base de Datos'!$D$7:$F$4092,2,0)))</f>
        <v/>
      </c>
      <c r="E13" s="587" t="s">
        <v>2278</v>
      </c>
      <c r="F13" s="553">
        <v>61800000</v>
      </c>
      <c r="G13" s="784">
        <v>42379</v>
      </c>
      <c r="H13" s="784"/>
      <c r="I13" s="805" t="str">
        <f ca="1">IF(H13=Hoja1!$J$2," ",(IF(MONTH(G13)=MONTH(TODAY()),IF(DAY(G13)&gt;DAY(TODAY()),"Quedan "&amp;ABS(DAY(G13)-DAY(TODAY()))&amp;" Días","Hace "&amp;ABS(DAY(G13)-DAY(TODAY()))&amp;" Días"),"")))</f>
        <v/>
      </c>
      <c r="J13" s="509" t="str">
        <f>IF(ISERROR(VLOOKUP(C13,'Base de Datos'!$D$7:$N$4092,6,0))=TRUE,"Sin Celebrar",(VLOOKUP(C13,'Base de Datos'!$D$7:$N$4092,6,0)))</f>
        <v>Sin Celebrar</v>
      </c>
      <c r="K13" s="585"/>
      <c r="L13" s="509">
        <f t="shared" si="3"/>
        <v>61800000</v>
      </c>
      <c r="M13" s="509" t="str">
        <f t="shared" si="4"/>
        <v xml:space="preserve"> </v>
      </c>
      <c r="N13" s="691" t="str">
        <f>IF(ISERROR(VLOOKUP(C13,'Base de Datos'!$D$7:$K$1048576,7,0))=TRUE," ",(VLOOKUP(C13,'Base de Datos'!$D$7:$K$1048576,7,0)))</f>
        <v xml:space="preserve"> </v>
      </c>
      <c r="O13" s="524" t="str">
        <f>IF(ISERROR(VLOOKUP(C13,'Base de Datos'!$D$7:$N$4077,9,0))=TRUE," ",(VLOOKUP(C13,'Base de Datos'!$D$7:$N$4077,9,0)))</f>
        <v xml:space="preserve"> </v>
      </c>
      <c r="P13" s="586" t="e">
        <f>VLOOKUP(B13,#REF!,13,0)</f>
        <v>#REF!</v>
      </c>
      <c r="Q13" s="524" t="str">
        <f>IF(ISERROR(VLOOKUP(C13,'Base de Datos'!$D$7:$N$4077,10,0))=TRUE," ",(VLOOKUP(C13,'Base de Datos'!$D$7:$N$4077,10,0)))</f>
        <v xml:space="preserve"> </v>
      </c>
      <c r="R13" s="524" t="str">
        <f>IF(ISERROR(VLOOKUP(C13,'Base de Datos'!$D$7:$N$4077,11,0))=TRUE," ",(VLOOKUP(C13,'Base de Datos'!$D$7:$N$4077,11,0)))</f>
        <v xml:space="preserve"> </v>
      </c>
      <c r="S13" s="587" t="s">
        <v>2075</v>
      </c>
      <c r="T13" s="694"/>
      <c r="U13" s="751"/>
    </row>
    <row r="14" spans="2:26" s="588" customFormat="1" ht="14.25" customHeight="1" outlineLevel="1" x14ac:dyDescent="0.3">
      <c r="B14" s="600">
        <v>120</v>
      </c>
      <c r="C14" s="600" t="str">
        <f t="shared" si="2"/>
        <v>2016120</v>
      </c>
      <c r="D14" s="506" t="str">
        <f>IF(ISERROR(VLOOKUP(C14,'Base de Datos'!$D$7:$F$4092,2,0))=TRUE,"",(VLOOKUP(C14,'Base de Datos'!$D$7:$F$4092,2,0)))</f>
        <v/>
      </c>
      <c r="E14" s="587" t="s">
        <v>2279</v>
      </c>
      <c r="F14" s="553">
        <v>29177500</v>
      </c>
      <c r="G14" s="784">
        <v>42384</v>
      </c>
      <c r="H14" s="784"/>
      <c r="I14" s="805" t="str">
        <f ca="1">IF(H14=Hoja1!$J$2," ",(IF(MONTH(G14)=MONTH(TODAY()),IF(DAY(G14)&gt;DAY(TODAY()),"Quedan "&amp;ABS(DAY(G14)-DAY(TODAY()))&amp;" Días","Hace "&amp;ABS(DAY(G14)-DAY(TODAY()))&amp;" Días"),"")))</f>
        <v/>
      </c>
      <c r="J14" s="509" t="str">
        <f>IF(ISERROR(VLOOKUP(C14,'Base de Datos'!$D$7:$N$4092,6,0))=TRUE,"Sin Celebrar",(VLOOKUP(C14,'Base de Datos'!$D$7:$N$4092,6,0)))</f>
        <v>Sin Celebrar</v>
      </c>
      <c r="K14" s="585"/>
      <c r="L14" s="509">
        <f t="shared" si="3"/>
        <v>29177500</v>
      </c>
      <c r="M14" s="509" t="str">
        <f t="shared" si="4"/>
        <v xml:space="preserve"> </v>
      </c>
      <c r="N14" s="691" t="str">
        <f>IF(ISERROR(VLOOKUP(C14,'Base de Datos'!$D$7:$K$1048576,7,0))=TRUE," ",(VLOOKUP(C14,'Base de Datos'!$D$7:$K$1048576,7,0)))</f>
        <v xml:space="preserve"> </v>
      </c>
      <c r="O14" s="524" t="str">
        <f>IF(ISERROR(VLOOKUP(C14,'Base de Datos'!$D$7:$N$4077,9,0))=TRUE," ",(VLOOKUP(C14,'Base de Datos'!$D$7:$N$4077,9,0)))</f>
        <v xml:space="preserve"> </v>
      </c>
      <c r="P14" s="586" t="e">
        <f>VLOOKUP(B14,#REF!,13,0)</f>
        <v>#REF!</v>
      </c>
      <c r="Q14" s="524" t="str">
        <f>IF(ISERROR(VLOOKUP(C14,'Base de Datos'!$D$7:$N$4077,10,0))=TRUE," ",(VLOOKUP(C14,'Base de Datos'!$D$7:$N$4077,10,0)))</f>
        <v xml:space="preserve"> </v>
      </c>
      <c r="R14" s="524" t="str">
        <f>IF(ISERROR(VLOOKUP(C14,'Base de Datos'!$D$7:$N$4077,11,0))=TRUE," ",(VLOOKUP(C14,'Base de Datos'!$D$7:$N$4077,11,0)))</f>
        <v xml:space="preserve"> </v>
      </c>
      <c r="S14" s="587" t="s">
        <v>2075</v>
      </c>
      <c r="T14" s="694"/>
      <c r="U14" s="751"/>
    </row>
    <row r="15" spans="2:26" s="588" customFormat="1" ht="14.25" customHeight="1" outlineLevel="1" x14ac:dyDescent="0.3">
      <c r="B15" s="600">
        <v>119</v>
      </c>
      <c r="C15" s="600" t="str">
        <f t="shared" si="2"/>
        <v>2016119</v>
      </c>
      <c r="D15" s="506" t="str">
        <f>IF(ISERROR(VLOOKUP(C15,'Base de Datos'!$D$7:$F$4092,2,0))=TRUE,"",(VLOOKUP(C15,'Base de Datos'!$D$7:$F$4092,2,0)))</f>
        <v>160072-0-2016</v>
      </c>
      <c r="E15" s="587" t="s">
        <v>2280</v>
      </c>
      <c r="F15" s="553">
        <v>29177500</v>
      </c>
      <c r="G15" s="784">
        <v>42384</v>
      </c>
      <c r="H15" s="784"/>
      <c r="I15" s="805" t="str">
        <f ca="1">IF(H15=Hoja1!$J$2," ",(IF(MONTH(G15)=MONTH(TODAY()),IF(DAY(G15)&gt;DAY(TODAY()),"Quedan "&amp;ABS(DAY(G15)-DAY(TODAY()))&amp;" Días","Hace "&amp;ABS(DAY(G15)-DAY(TODAY()))&amp;" Días"),"")))</f>
        <v/>
      </c>
      <c r="J15" s="509">
        <f>IF(ISERROR(VLOOKUP(C15,'Base de Datos'!$D$7:$N$4092,6,0))=TRUE,"Sin Celebrar",(VLOOKUP(C15,'Base de Datos'!$D$7:$N$4092,6,0)))</f>
        <v>23872500</v>
      </c>
      <c r="K15" s="585"/>
      <c r="L15" s="509" t="str">
        <f t="shared" si="3"/>
        <v xml:space="preserve"> </v>
      </c>
      <c r="M15" s="509">
        <f t="shared" si="4"/>
        <v>5305000</v>
      </c>
      <c r="N15" s="691" t="str">
        <f>IF(ISERROR(VLOOKUP(C15,'Base de Datos'!$D$7:$K$1048576,7,0))=TRUE," ",(VLOOKUP(C15,'Base de Datos'!$D$7:$K$1048576,7,0)))</f>
        <v>160072-0-2016</v>
      </c>
      <c r="O15" s="524">
        <f>IF(ISERROR(VLOOKUP(C15,'Base de Datos'!$D$7:$N$4077,9,0))=TRUE," ",(VLOOKUP(C15,'Base de Datos'!$D$7:$N$4077,9,0)))</f>
        <v>42473</v>
      </c>
      <c r="P15" s="586" t="e">
        <f>VLOOKUP(B15,#REF!,13,0)</f>
        <v>#REF!</v>
      </c>
      <c r="Q15" s="524">
        <f>IF(ISERROR(VLOOKUP(C15,'Base de Datos'!$D$7:$N$4077,10,0))=TRUE," ",(VLOOKUP(C15,'Base de Datos'!$D$7:$N$4077,10,0)))</f>
        <v>42479</v>
      </c>
      <c r="R15" s="524">
        <f>IF(ISERROR(VLOOKUP(C15,'Base de Datos'!$D$7:$N$4077,11,0))=TRUE," ",(VLOOKUP(C15,'Base de Datos'!$D$7:$N$4077,11,0)))</f>
        <v>42754</v>
      </c>
      <c r="S15" s="587" t="s">
        <v>981</v>
      </c>
      <c r="T15" s="694"/>
      <c r="U15" s="751"/>
    </row>
    <row r="16" spans="2:26" s="588" customFormat="1" ht="14.25" customHeight="1" outlineLevel="1" x14ac:dyDescent="0.3">
      <c r="B16" s="600">
        <v>121</v>
      </c>
      <c r="C16" s="600" t="str">
        <f t="shared" si="2"/>
        <v>2016121</v>
      </c>
      <c r="D16" s="506" t="str">
        <f>IF(ISERROR(VLOOKUP(C16,'Base de Datos'!$D$7:$F$4092,2,0))=TRUE,"",(VLOOKUP(C16,'Base de Datos'!$D$7:$F$4092,2,0)))</f>
        <v>160134-0-2016</v>
      </c>
      <c r="E16" s="587" t="s">
        <v>2281</v>
      </c>
      <c r="F16" s="553">
        <v>65564000</v>
      </c>
      <c r="G16" s="784">
        <v>42384</v>
      </c>
      <c r="H16" s="784"/>
      <c r="I16" s="805" t="str">
        <f ca="1">IF(H16=Hoja1!$J$2," ",(IF(MONTH(G16)=MONTH(TODAY()),IF(DAY(G16)&gt;DAY(TODAY()),"Quedan "&amp;ABS(DAY(G16)-DAY(TODAY()))&amp;" Días","Hace "&amp;ABS(DAY(G16)-DAY(TODAY()))&amp;" Días"),"")))</f>
        <v/>
      </c>
      <c r="J16" s="509">
        <f>IF(ISERROR(VLOOKUP(C16,'Base de Datos'!$D$7:$N$4092,6,0))=TRUE,"Sin Celebrar",(VLOOKUP(C16,'Base de Datos'!$D$7:$N$4092,6,0)))</f>
        <v>44000000</v>
      </c>
      <c r="K16" s="585"/>
      <c r="L16" s="509" t="str">
        <f t="shared" si="3"/>
        <v xml:space="preserve"> </v>
      </c>
      <c r="M16" s="509">
        <f t="shared" si="4"/>
        <v>21564000</v>
      </c>
      <c r="N16" s="691" t="str">
        <f>IF(ISERROR(VLOOKUP(C16,'Base de Datos'!$D$7:$K$1048576,7,0))=TRUE," ",(VLOOKUP(C16,'Base de Datos'!$D$7:$K$1048576,7,0)))</f>
        <v>160134-0-2016</v>
      </c>
      <c r="O16" s="524">
        <f>IF(ISERROR(VLOOKUP(C16,'Base de Datos'!$D$7:$N$4077,9,0))=TRUE," ",(VLOOKUP(C16,'Base de Datos'!$D$7:$N$4077,9,0)))</f>
        <v>42534</v>
      </c>
      <c r="P16" s="586" t="e">
        <f>VLOOKUP(B16,#REF!,13,0)</f>
        <v>#REF!</v>
      </c>
      <c r="Q16" s="524">
        <f>IF(ISERROR(VLOOKUP(C16,'Base de Datos'!$D$7:$N$4077,10,0))=TRUE," ",(VLOOKUP(C16,'Base de Datos'!$D$7:$N$4077,10,0)))</f>
        <v>42535</v>
      </c>
      <c r="R16" s="524">
        <f>IF(ISERROR(VLOOKUP(C16,'Base de Datos'!$D$7:$N$4077,11,0))=TRUE," ",(VLOOKUP(C16,'Base de Datos'!$D$7:$N$4077,11,0)))</f>
        <v>42779</v>
      </c>
      <c r="S16" s="587" t="s">
        <v>2075</v>
      </c>
      <c r="T16" s="694"/>
      <c r="U16" s="751"/>
    </row>
    <row r="17" spans="2:21" s="588" customFormat="1" ht="22.8" outlineLevel="1" x14ac:dyDescent="0.3">
      <c r="B17" s="600">
        <v>122</v>
      </c>
      <c r="C17" s="600" t="str">
        <f t="shared" si="2"/>
        <v>2016122</v>
      </c>
      <c r="D17" s="506" t="str">
        <f>IF(ISERROR(VLOOKUP(C17,'Base de Datos'!$D$7:$F$4092,2,0))=TRUE,"",(VLOOKUP(C17,'Base de Datos'!$D$7:$F$4092,2,0)))</f>
        <v/>
      </c>
      <c r="E17" s="587" t="s">
        <v>2278</v>
      </c>
      <c r="F17" s="553">
        <v>86520000</v>
      </c>
      <c r="G17" s="784">
        <v>42374</v>
      </c>
      <c r="H17" s="784"/>
      <c r="I17" s="805" t="str">
        <f ca="1">IF(H17=Hoja1!$J$2," ",(IF(MONTH(G17)=MONTH(TODAY()),IF(DAY(G17)&gt;DAY(TODAY()),"Quedan "&amp;ABS(DAY(G17)-DAY(TODAY()))&amp;" Días","Hace "&amp;ABS(DAY(G17)-DAY(TODAY()))&amp;" Días"),"")))</f>
        <v/>
      </c>
      <c r="J17" s="509" t="str">
        <f>IF(ISERROR(VLOOKUP(C17,'Base de Datos'!$D$7:$N$4092,6,0))=TRUE,"Sin Celebrar",(VLOOKUP(C17,'Base de Datos'!$D$7:$N$4092,6,0)))</f>
        <v>Sin Celebrar</v>
      </c>
      <c r="K17" s="585"/>
      <c r="L17" s="509">
        <f t="shared" si="3"/>
        <v>86520000</v>
      </c>
      <c r="M17" s="509" t="str">
        <f t="shared" si="4"/>
        <v xml:space="preserve"> </v>
      </c>
      <c r="N17" s="691" t="str">
        <f>IF(ISERROR(VLOOKUP(C17,'Base de Datos'!$D$7:$K$1048576,7,0))=TRUE," ",(VLOOKUP(C17,'Base de Datos'!$D$7:$K$1048576,7,0)))</f>
        <v xml:space="preserve"> </v>
      </c>
      <c r="O17" s="524" t="str">
        <f>IF(ISERROR(VLOOKUP(C17,'Base de Datos'!$D$7:$N$4077,9,0))=TRUE," ",(VLOOKUP(C17,'Base de Datos'!$D$7:$N$4077,9,0)))</f>
        <v xml:space="preserve"> </v>
      </c>
      <c r="P17" s="586" t="e">
        <f>VLOOKUP(B17,#REF!,13,0)</f>
        <v>#REF!</v>
      </c>
      <c r="Q17" s="524" t="str">
        <f>IF(ISERROR(VLOOKUP(C17,'Base de Datos'!$D$7:$N$4077,10,0))=TRUE," ",(VLOOKUP(C17,'Base de Datos'!$D$7:$N$4077,10,0)))</f>
        <v xml:space="preserve"> </v>
      </c>
      <c r="R17" s="524" t="str">
        <f>IF(ISERROR(VLOOKUP(C17,'Base de Datos'!$D$7:$N$4077,11,0))=TRUE," ",(VLOOKUP(C17,'Base de Datos'!$D$7:$N$4077,11,0)))</f>
        <v xml:space="preserve"> </v>
      </c>
      <c r="S17" s="587" t="s">
        <v>981</v>
      </c>
      <c r="T17" s="694"/>
      <c r="U17" s="751"/>
    </row>
    <row r="18" spans="2:21" s="588" customFormat="1" ht="22.8" outlineLevel="1" x14ac:dyDescent="0.3">
      <c r="B18" s="600">
        <v>123</v>
      </c>
      <c r="C18" s="600" t="str">
        <f t="shared" si="2"/>
        <v>2016123</v>
      </c>
      <c r="D18" s="506" t="str">
        <f>IF(ISERROR(VLOOKUP(C18,'Base de Datos'!$D$7:$F$4092,2,0))=TRUE,"",(VLOOKUP(C18,'Base de Datos'!$D$7:$F$4092,2,0)))</f>
        <v/>
      </c>
      <c r="E18" s="587" t="s">
        <v>2282</v>
      </c>
      <c r="F18" s="553">
        <v>44562000</v>
      </c>
      <c r="G18" s="784">
        <v>42379</v>
      </c>
      <c r="H18" s="784"/>
      <c r="I18" s="805" t="str">
        <f ca="1">IF(H18=Hoja1!$J$2," ",(IF(MONTH(G18)=MONTH(TODAY()),IF(DAY(G18)&gt;DAY(TODAY()),"Quedan "&amp;ABS(DAY(G18)-DAY(TODAY()))&amp;" Días","Hace "&amp;ABS(DAY(G18)-DAY(TODAY()))&amp;" Días"),"")))</f>
        <v/>
      </c>
      <c r="J18" s="509" t="str">
        <f>IF(ISERROR(VLOOKUP(C18,'Base de Datos'!$D$7:$N$4092,6,0))=TRUE,"Sin Celebrar",(VLOOKUP(C18,'Base de Datos'!$D$7:$N$4092,6,0)))</f>
        <v>Sin Celebrar</v>
      </c>
      <c r="K18" s="585"/>
      <c r="L18" s="509">
        <f t="shared" si="3"/>
        <v>44562000</v>
      </c>
      <c r="M18" s="509" t="str">
        <f t="shared" si="4"/>
        <v xml:space="preserve"> </v>
      </c>
      <c r="N18" s="691" t="str">
        <f>IF(ISERROR(VLOOKUP(C18,'Base de Datos'!$D$7:$K$1048576,7,0))=TRUE," ",(VLOOKUP(C18,'Base de Datos'!$D$7:$K$1048576,7,0)))</f>
        <v xml:space="preserve"> </v>
      </c>
      <c r="O18" s="524" t="str">
        <f>IF(ISERROR(VLOOKUP(C18,'Base de Datos'!$D$7:$N$4077,9,0))=TRUE," ",(VLOOKUP(C18,'Base de Datos'!$D$7:$N$4077,9,0)))</f>
        <v xml:space="preserve"> </v>
      </c>
      <c r="P18" s="586" t="e">
        <f>VLOOKUP(B18,#REF!,13,0)</f>
        <v>#REF!</v>
      </c>
      <c r="Q18" s="524" t="str">
        <f>IF(ISERROR(VLOOKUP(C18,'Base de Datos'!$D$7:$N$4077,10,0))=TRUE," ",(VLOOKUP(C18,'Base de Datos'!$D$7:$N$4077,10,0)))</f>
        <v xml:space="preserve"> </v>
      </c>
      <c r="R18" s="524" t="str">
        <f>IF(ISERROR(VLOOKUP(C18,'Base de Datos'!$D$7:$N$4077,11,0))=TRUE," ",(VLOOKUP(C18,'Base de Datos'!$D$7:$N$4077,11,0)))</f>
        <v xml:space="preserve"> </v>
      </c>
      <c r="S18" s="587" t="s">
        <v>2075</v>
      </c>
      <c r="T18" s="694"/>
      <c r="U18" s="751"/>
    </row>
    <row r="19" spans="2:21" s="588" customFormat="1" ht="22.8" outlineLevel="1" x14ac:dyDescent="0.3">
      <c r="B19" s="600">
        <v>124</v>
      </c>
      <c r="C19" s="600" t="str">
        <f t="shared" si="2"/>
        <v>2016124</v>
      </c>
      <c r="D19" s="506" t="str">
        <f>IF(ISERROR(VLOOKUP(C19,'Base de Datos'!$D$7:$F$4092,2,0))=TRUE,"",(VLOOKUP(C19,'Base de Datos'!$D$7:$F$4092,2,0)))</f>
        <v>160162-0-2016</v>
      </c>
      <c r="E19" s="587" t="s">
        <v>2283</v>
      </c>
      <c r="F19" s="553">
        <v>65564000</v>
      </c>
      <c r="G19" s="784">
        <v>42358</v>
      </c>
      <c r="H19" s="784"/>
      <c r="I19" s="805" t="str">
        <f ca="1">IF(H19=Hoja1!$J$2," ",(IF(MONTH(G19)=MONTH(TODAY()),IF(DAY(G19)&gt;DAY(TODAY()),"Quedan "&amp;ABS(DAY(G19)-DAY(TODAY()))&amp;" Días","Hace "&amp;ABS(DAY(G19)-DAY(TODAY()))&amp;" Días"),"")))</f>
        <v/>
      </c>
      <c r="J19" s="509">
        <f>IF(ISERROR(VLOOKUP(C19,'Base de Datos'!$D$7:$N$4092,6,0))=TRUE,"Sin Celebrar",(VLOOKUP(C19,'Base de Datos'!$D$7:$N$4092,6,0)))</f>
        <v>38500000</v>
      </c>
      <c r="K19" s="585"/>
      <c r="L19" s="509" t="str">
        <f t="shared" si="3"/>
        <v xml:space="preserve"> </v>
      </c>
      <c r="M19" s="509">
        <f t="shared" si="4"/>
        <v>27064000</v>
      </c>
      <c r="N19" s="691" t="str">
        <f>IF(ISERROR(VLOOKUP(C19,'Base de Datos'!$D$7:$K$1048576,7,0))=TRUE," ",(VLOOKUP(C19,'Base de Datos'!$D$7:$K$1048576,7,0)))</f>
        <v>160162-0-2016</v>
      </c>
      <c r="O19" s="524">
        <f>IF(ISERROR(VLOOKUP(C19,'Base de Datos'!$D$7:$N$4077,9,0))=TRUE," ",(VLOOKUP(C19,'Base de Datos'!$D$7:$N$4077,9,0)))</f>
        <v>42558</v>
      </c>
      <c r="P19" s="586" t="e">
        <f>VLOOKUP(B19,#REF!,13,0)</f>
        <v>#REF!</v>
      </c>
      <c r="Q19" s="524">
        <f>IF(ISERROR(VLOOKUP(C19,'Base de Datos'!$D$7:$N$4077,10,0))=TRUE," ",(VLOOKUP(C19,'Base de Datos'!$D$7:$N$4077,10,0)))</f>
        <v>42563</v>
      </c>
      <c r="R19" s="524">
        <f>IF(ISERROR(VLOOKUP(C19,'Base de Datos'!$D$7:$N$4077,11,0))=TRUE," ",(VLOOKUP(C19,'Base de Datos'!$D$7:$N$4077,11,0)))</f>
        <v>42778</v>
      </c>
      <c r="S19" s="587"/>
      <c r="T19" s="694"/>
      <c r="U19" s="751"/>
    </row>
    <row r="20" spans="2:21" s="588" customFormat="1" ht="22.8" outlineLevel="1" x14ac:dyDescent="0.3">
      <c r="B20" s="600">
        <v>125</v>
      </c>
      <c r="C20" s="600" t="str">
        <f t="shared" si="2"/>
        <v>2016125</v>
      </c>
      <c r="D20" s="506" t="str">
        <f>IF(ISERROR(VLOOKUP(C20,'Base de Datos'!$D$7:$F$4092,2,0))=TRUE,"",(VLOOKUP(C20,'Base de Datos'!$D$7:$F$4092,2,0)))</f>
        <v>160092-0-2016</v>
      </c>
      <c r="E20" s="587" t="s">
        <v>2284</v>
      </c>
      <c r="F20" s="553">
        <v>44496000</v>
      </c>
      <c r="G20" s="784">
        <v>42374</v>
      </c>
      <c r="H20" s="784"/>
      <c r="I20" s="805" t="str">
        <f ca="1">IF(H20=Hoja1!$J$2," ",(IF(MONTH(G20)=MONTH(TODAY()),IF(DAY(G20)&gt;DAY(TODAY()),"Quedan "&amp;ABS(DAY(G20)-DAY(TODAY()))&amp;" Días","Hace "&amp;ABS(DAY(G20)-DAY(TODAY()))&amp;" Días"),"")))</f>
        <v/>
      </c>
      <c r="J20" s="509">
        <f>IF(ISERROR(VLOOKUP(C20,'Base de Datos'!$D$7:$N$4092,6,0))=TRUE,"Sin Celebrar",(VLOOKUP(C20,'Base de Datos'!$D$7:$N$4092,6,0)))</f>
        <v>29664000</v>
      </c>
      <c r="K20" s="585"/>
      <c r="L20" s="509" t="str">
        <f t="shared" si="3"/>
        <v xml:space="preserve"> </v>
      </c>
      <c r="M20" s="509">
        <f t="shared" si="4"/>
        <v>14832000</v>
      </c>
      <c r="N20" s="691" t="str">
        <f>IF(ISERROR(VLOOKUP(C20,'Base de Datos'!$D$7:$K$1048576,7,0))=TRUE," ",(VLOOKUP(C20,'Base de Datos'!$D$7:$K$1048576,7,0)))</f>
        <v>150092-0-2015</v>
      </c>
      <c r="O20" s="524">
        <f>IF(ISERROR(VLOOKUP(C20,'Base de Datos'!$D$7:$N$4077,9,0))=TRUE," ",(VLOOKUP(C20,'Base de Datos'!$D$7:$N$4077,9,0)))</f>
        <v>42493</v>
      </c>
      <c r="P20" s="586" t="e">
        <f>VLOOKUP(B20,#REF!,13,0)</f>
        <v>#REF!</v>
      </c>
      <c r="Q20" s="524">
        <f>IF(ISERROR(VLOOKUP(C20,'Base de Datos'!$D$7:$N$4077,10,0))=TRUE," ",(VLOOKUP(C20,'Base de Datos'!$D$7:$N$4077,10,0)))</f>
        <v>42494</v>
      </c>
      <c r="R20" s="524">
        <f>IF(ISERROR(VLOOKUP(C20,'Base de Datos'!$D$7:$N$4077,11,0))=TRUE," ",(VLOOKUP(C20,'Base de Datos'!$D$7:$N$4077,11,0)))</f>
        <v>42739</v>
      </c>
      <c r="S20" s="587" t="s">
        <v>2075</v>
      </c>
      <c r="T20" s="694"/>
      <c r="U20" s="751"/>
    </row>
    <row r="21" spans="2:21" s="588" customFormat="1" ht="22.8" outlineLevel="1" x14ac:dyDescent="0.3">
      <c r="B21" s="600">
        <v>126</v>
      </c>
      <c r="C21" s="600" t="str">
        <f t="shared" si="2"/>
        <v>2016126</v>
      </c>
      <c r="D21" s="506" t="str">
        <f>IF(ISERROR(VLOOKUP(C21,'Base de Datos'!$D$7:$F$4092,2,0))=TRUE,"",(VLOOKUP(C21,'Base de Datos'!$D$7:$F$4092,2,0)))</f>
        <v>160101-0-2016</v>
      </c>
      <c r="E21" s="587" t="s">
        <v>2285</v>
      </c>
      <c r="F21" s="553">
        <v>65564000</v>
      </c>
      <c r="G21" s="784">
        <v>42374</v>
      </c>
      <c r="H21" s="784"/>
      <c r="I21" s="805" t="str">
        <f ca="1">IF(H21=Hoja1!$J$2," ",(IF(MONTH(G21)=MONTH(TODAY()),IF(DAY(G21)&gt;DAY(TODAY()),"Quedan "&amp;ABS(DAY(G21)-DAY(TODAY()))&amp;" Días","Hace "&amp;ABS(DAY(G21)-DAY(TODAY()))&amp;" Días"),"")))</f>
        <v/>
      </c>
      <c r="J21" s="509">
        <f>IF(ISERROR(VLOOKUP(C21,'Base de Datos'!$D$7:$N$4092,6,0))=TRUE,"Sin Celebrar",(VLOOKUP(C21,'Base de Datos'!$D$7:$N$4092,6,0)))</f>
        <v>44000000</v>
      </c>
      <c r="K21" s="585"/>
      <c r="L21" s="509" t="str">
        <f t="shared" si="3"/>
        <v xml:space="preserve"> </v>
      </c>
      <c r="M21" s="509">
        <f t="shared" si="4"/>
        <v>21564000</v>
      </c>
      <c r="N21" s="691" t="str">
        <f>IF(ISERROR(VLOOKUP(C21,'Base de Datos'!$D$7:$K$1048576,7,0))=TRUE," ",(VLOOKUP(C21,'Base de Datos'!$D$7:$K$1048576,7,0)))</f>
        <v>160101-0-2016</v>
      </c>
      <c r="O21" s="524">
        <f>IF(ISERROR(VLOOKUP(C21,'Base de Datos'!$D$7:$N$4077,9,0))=TRUE," ",(VLOOKUP(C21,'Base de Datos'!$D$7:$N$4077,9,0)))</f>
        <v>42506</v>
      </c>
      <c r="P21" s="586" t="e">
        <f>VLOOKUP(B21,#REF!,13,0)</f>
        <v>#REF!</v>
      </c>
      <c r="Q21" s="524">
        <f>IF(ISERROR(VLOOKUP(C21,'Base de Datos'!$D$7:$N$4077,10,0))=TRUE," ",(VLOOKUP(C21,'Base de Datos'!$D$7:$N$4077,10,0)))</f>
        <v>42510</v>
      </c>
      <c r="R21" s="524">
        <f>IF(ISERROR(VLOOKUP(C21,'Base de Datos'!$D$7:$N$4077,11,0))=TRUE," ",(VLOOKUP(C21,'Base de Datos'!$D$7:$N$4077,11,0)))</f>
        <v>42755</v>
      </c>
      <c r="S21" s="587" t="s">
        <v>2075</v>
      </c>
      <c r="T21" s="694"/>
      <c r="U21" s="751"/>
    </row>
    <row r="22" spans="2:21" s="588" customFormat="1" ht="22.8" outlineLevel="1" x14ac:dyDescent="0.3">
      <c r="B22" s="600">
        <v>127</v>
      </c>
      <c r="C22" s="600" t="str">
        <f t="shared" si="2"/>
        <v>2016127</v>
      </c>
      <c r="D22" s="506" t="str">
        <f>IF(ISERROR(VLOOKUP(C22,'Base de Datos'!$D$7:$F$4092,2,0))=TRUE,"",(VLOOKUP(C22,'Base de Datos'!$D$7:$F$4092,2,0)))</f>
        <v/>
      </c>
      <c r="E22" s="587" t="s">
        <v>2286</v>
      </c>
      <c r="F22" s="553">
        <v>65564000</v>
      </c>
      <c r="G22" s="784">
        <v>42353</v>
      </c>
      <c r="H22" s="784"/>
      <c r="I22" s="805" t="str">
        <f ca="1">IF(H22=Hoja1!$J$2," ",(IF(MONTH(G22)=MONTH(TODAY()),IF(DAY(G22)&gt;DAY(TODAY()),"Quedan "&amp;ABS(DAY(G22)-DAY(TODAY()))&amp;" Días","Hace "&amp;ABS(DAY(G22)-DAY(TODAY()))&amp;" Días"),"")))</f>
        <v/>
      </c>
      <c r="J22" s="509" t="str">
        <f>IF(ISERROR(VLOOKUP(C22,'Base de Datos'!$D$7:$N$4092,6,0))=TRUE,"Sin Celebrar",(VLOOKUP(C22,'Base de Datos'!$D$7:$N$4092,6,0)))</f>
        <v>Sin Celebrar</v>
      </c>
      <c r="K22" s="585"/>
      <c r="L22" s="509">
        <f t="shared" si="3"/>
        <v>65564000</v>
      </c>
      <c r="M22" s="509" t="str">
        <f t="shared" si="4"/>
        <v xml:space="preserve"> </v>
      </c>
      <c r="N22" s="691" t="str">
        <f>IF(ISERROR(VLOOKUP(C22,'Base de Datos'!$D$7:$K$1048576,7,0))=TRUE," ",(VLOOKUP(C22,'Base de Datos'!$D$7:$K$1048576,7,0)))</f>
        <v xml:space="preserve"> </v>
      </c>
      <c r="O22" s="524" t="str">
        <f>IF(ISERROR(VLOOKUP(C22,'Base de Datos'!$D$7:$N$4077,9,0))=TRUE," ",(VLOOKUP(C22,'Base de Datos'!$D$7:$N$4077,9,0)))</f>
        <v xml:space="preserve"> </v>
      </c>
      <c r="P22" s="586" t="e">
        <f>VLOOKUP(B22,#REF!,13,0)</f>
        <v>#REF!</v>
      </c>
      <c r="Q22" s="524" t="str">
        <f>IF(ISERROR(VLOOKUP(C22,'Base de Datos'!$D$7:$N$4077,10,0))=TRUE," ",(VLOOKUP(C22,'Base de Datos'!$D$7:$N$4077,10,0)))</f>
        <v xml:space="preserve"> </v>
      </c>
      <c r="R22" s="524" t="str">
        <f>IF(ISERROR(VLOOKUP(C22,'Base de Datos'!$D$7:$N$4077,11,0))=TRUE," ",(VLOOKUP(C22,'Base de Datos'!$D$7:$N$4077,11,0)))</f>
        <v xml:space="preserve"> </v>
      </c>
      <c r="S22" s="587"/>
      <c r="T22" s="694"/>
      <c r="U22" s="751"/>
    </row>
    <row r="23" spans="2:21" s="588" customFormat="1" outlineLevel="1" x14ac:dyDescent="0.3">
      <c r="B23" s="600">
        <v>83</v>
      </c>
      <c r="C23" s="600" t="str">
        <f t="shared" si="2"/>
        <v>201683</v>
      </c>
      <c r="D23" s="506"/>
      <c r="E23" s="587" t="s">
        <v>2390</v>
      </c>
      <c r="F23" s="553">
        <v>39552000</v>
      </c>
      <c r="G23" s="784">
        <v>42036</v>
      </c>
      <c r="H23" s="784"/>
      <c r="I23" s="805" t="str">
        <f ca="1">IF(H23=Hoja1!$J$2," ",(IF(MONTH(G23)=MONTH(TODAY()),IF(DAY(G23)&gt;DAY(TODAY()),"Quedan "&amp;ABS(DAY(G23)-DAY(TODAY()))&amp;" Días","Hace "&amp;ABS(DAY(G23)-DAY(TODAY()))&amp;" Días"),"")))</f>
        <v>Hace 0 Días</v>
      </c>
      <c r="J23" s="509">
        <f>IF(ISERROR(VLOOKUP(C23,'Base de Datos'!$D$7:$N$4092,6,0))=TRUE,"Sin Celebrar",(VLOOKUP(C23,'Base de Datos'!$D$7:$N$4092,6,0)))</f>
        <v>29664000</v>
      </c>
      <c r="K23" s="585"/>
      <c r="L23" s="509" t="str">
        <f>IF(J23=$W$7,F23, " ")</f>
        <v xml:space="preserve"> </v>
      </c>
      <c r="M23" s="509"/>
      <c r="N23" s="691"/>
      <c r="O23" s="524">
        <f>IF(ISERROR(VLOOKUP(C23,'Base de Datos'!$D$7:$N$4077,9,0))=TRUE," ",(VLOOKUP(C23,'Base de Datos'!$D$7:$N$4077,9,0)))</f>
        <v>42514</v>
      </c>
      <c r="P23" s="586" t="e">
        <f>VLOOKUP(B23,#REF!,13,0)</f>
        <v>#REF!</v>
      </c>
      <c r="Q23" s="524"/>
      <c r="R23" s="524"/>
      <c r="S23" s="587"/>
      <c r="T23" s="694"/>
      <c r="U23" s="751"/>
    </row>
    <row r="24" spans="2:21" s="588" customFormat="1" outlineLevel="1" x14ac:dyDescent="0.3">
      <c r="B24" s="600">
        <v>82</v>
      </c>
      <c r="C24" s="600" t="str">
        <f t="shared" si="2"/>
        <v>201682</v>
      </c>
      <c r="D24" s="506"/>
      <c r="E24" s="587" t="s">
        <v>2389</v>
      </c>
      <c r="F24" s="553">
        <v>49440000</v>
      </c>
      <c r="G24" s="784">
        <v>42387</v>
      </c>
      <c r="H24" s="784"/>
      <c r="I24" s="805" t="str">
        <f ca="1">IF(H24=Hoja1!$J$2," ",(IF(MONTH(G24)=MONTH(TODAY()),IF(DAY(G24)&gt;DAY(TODAY()),"Quedan "&amp;ABS(DAY(G24)-DAY(TODAY()))&amp;" Días","Hace "&amp;ABS(DAY(G24)-DAY(TODAY()))&amp;" Días"),"")))</f>
        <v/>
      </c>
      <c r="J24" s="509">
        <f>IF(ISERROR(VLOOKUP(C24,'Base de Datos'!$D$7:$N$4092,6,0))=TRUE,"Sin Celebrar",(VLOOKUP(C24,'Base de Datos'!$D$7:$N$4092,6,0)))</f>
        <v>37080000</v>
      </c>
      <c r="K24" s="585"/>
      <c r="L24" s="509" t="str">
        <f t="shared" si="3"/>
        <v xml:space="preserve"> </v>
      </c>
      <c r="M24" s="509"/>
      <c r="N24" s="691"/>
      <c r="O24" s="524">
        <f>IF(ISERROR(VLOOKUP(C24,'Base de Datos'!$D$7:$N$4077,9,0))=TRUE," ",(VLOOKUP(C24,'Base de Datos'!$D$7:$N$4077,9,0)))</f>
        <v>42514</v>
      </c>
      <c r="P24" s="586" t="e">
        <f>VLOOKUP(B24,#REF!,13,0)</f>
        <v>#REF!</v>
      </c>
      <c r="Q24" s="524"/>
      <c r="R24" s="524"/>
      <c r="S24" s="587" t="s">
        <v>981</v>
      </c>
      <c r="T24" s="694"/>
      <c r="U24" s="751"/>
    </row>
    <row r="25" spans="2:21" s="588" customFormat="1" ht="22.8" outlineLevel="1" x14ac:dyDescent="0.3">
      <c r="B25" s="600">
        <v>128</v>
      </c>
      <c r="C25" s="600" t="str">
        <f t="shared" si="2"/>
        <v>2016128</v>
      </c>
      <c r="D25" s="506"/>
      <c r="E25" s="587" t="s">
        <v>2391</v>
      </c>
      <c r="F25" s="553">
        <v>6860000</v>
      </c>
      <c r="G25" s="784">
        <v>42583</v>
      </c>
      <c r="H25" s="784"/>
      <c r="I25" s="805" t="str">
        <f ca="1">IF(H25=Hoja1!$J$2," ",(IF(MONTH(G25)=MONTH(TODAY()),IF(DAY(G25)&gt;DAY(TODAY()),"Quedan "&amp;ABS(DAY(G25)-DAY(TODAY()))&amp;" Días","Hace "&amp;ABS(DAY(G25)-DAY(TODAY()))&amp;" Días"),"")))</f>
        <v/>
      </c>
      <c r="J25" s="509">
        <f>IF(ISERROR(VLOOKUP(C25,'Base de Datos'!$D$7:$N$4092,6,0))=TRUE,"Sin Celebrar",(VLOOKUP(C25,'Base de Datos'!$D$7:$N$4092,6,0)))</f>
        <v>6860000</v>
      </c>
      <c r="K25" s="585"/>
      <c r="L25" s="509" t="str">
        <f>IF(J25=$W$7,F25, " ")</f>
        <v xml:space="preserve"> </v>
      </c>
      <c r="M25" s="509"/>
      <c r="N25" s="691"/>
      <c r="O25" s="524">
        <f>IF(ISERROR(VLOOKUP(C25,'Base de Datos'!$D$7:$N$4077,9,0))=TRUE," ",(VLOOKUP(C25,'Base de Datos'!$D$7:$N$4077,9,0)))</f>
        <v>42710</v>
      </c>
      <c r="P25" s="586" t="e">
        <f>VLOOKUP(B25,#REF!,13,0)</f>
        <v>#REF!</v>
      </c>
      <c r="Q25" s="524"/>
      <c r="R25" s="524"/>
      <c r="S25" s="587"/>
      <c r="T25" s="694"/>
      <c r="U25" s="751"/>
    </row>
    <row r="26" spans="2:21" s="588" customFormat="1" ht="22.8" outlineLevel="1" x14ac:dyDescent="0.3">
      <c r="B26" s="600">
        <v>129</v>
      </c>
      <c r="C26" s="600" t="str">
        <f t="shared" si="2"/>
        <v>2016129</v>
      </c>
      <c r="D26" s="506" t="str">
        <f>IF(ISERROR(VLOOKUP(C26,'Base de Datos'!$D$7:$F$4092,2,0))=TRUE,"",(VLOOKUP(C26,'Base de Datos'!$D$7:$F$4092,2,0)))</f>
        <v/>
      </c>
      <c r="E26" s="587" t="s">
        <v>2287</v>
      </c>
      <c r="F26" s="553">
        <v>7946000</v>
      </c>
      <c r="G26" s="784">
        <v>42449</v>
      </c>
      <c r="H26" s="784"/>
      <c r="I26" s="805" t="str">
        <f ca="1">IF(H26=Hoja1!$J$2," ",(IF(MONTH(G26)=MONTH(TODAY()),IF(DAY(G26)&gt;DAY(TODAY()),"Quedan "&amp;ABS(DAY(G26)-DAY(TODAY()))&amp;" Días","Hace "&amp;ABS(DAY(G26)-DAY(TODAY()))&amp;" Días"),"")))</f>
        <v/>
      </c>
      <c r="J26" s="509" t="str">
        <f>IF(ISERROR(VLOOKUP(C26,'Base de Datos'!$D$7:$N$4092,6,0))=TRUE,"Sin Celebrar",(VLOOKUP(C26,'Base de Datos'!$D$7:$N$4092,6,0)))</f>
        <v>Sin Celebrar</v>
      </c>
      <c r="K26" s="585"/>
      <c r="L26" s="509">
        <f t="shared" si="3"/>
        <v>7946000</v>
      </c>
      <c r="M26" s="509" t="str">
        <f t="shared" si="4"/>
        <v xml:space="preserve"> </v>
      </c>
      <c r="N26" s="691" t="str">
        <f>IF(ISERROR(VLOOKUP(C26,'Base de Datos'!$D$7:$K$1048576,7,0))=TRUE," ",(VLOOKUP(C26,'Base de Datos'!$D$7:$K$1048576,7,0)))</f>
        <v xml:space="preserve"> </v>
      </c>
      <c r="O26" s="524" t="str">
        <f>IF(ISERROR(VLOOKUP(C26,'Base de Datos'!$D$7:$N$4077,9,0))=TRUE," ",(VLOOKUP(C26,'Base de Datos'!$D$7:$N$4077,9,0)))</f>
        <v xml:space="preserve"> </v>
      </c>
      <c r="P26" s="586" t="e">
        <f>VLOOKUP(B26,#REF!,13,0)</f>
        <v>#REF!</v>
      </c>
      <c r="Q26" s="524" t="str">
        <f>IF(ISERROR(VLOOKUP(C26,'Base de Datos'!$D$7:$N$4077,10,0))=TRUE," ",(VLOOKUP(C26,'Base de Datos'!$D$7:$N$4077,10,0)))</f>
        <v xml:space="preserve"> </v>
      </c>
      <c r="R26" s="524" t="str">
        <f>IF(ISERROR(VLOOKUP(C26,'Base de Datos'!$D$7:$N$4077,11,0))=TRUE," ",(VLOOKUP(C26,'Base de Datos'!$D$7:$N$4077,11,0)))</f>
        <v xml:space="preserve"> </v>
      </c>
      <c r="S26" s="587" t="s">
        <v>2349</v>
      </c>
      <c r="T26" s="694"/>
      <c r="U26" s="751"/>
    </row>
    <row r="27" spans="2:21" s="588" customFormat="1" ht="34.200000000000003" outlineLevel="1" x14ac:dyDescent="0.3">
      <c r="B27" s="679">
        <v>130</v>
      </c>
      <c r="C27" s="600" t="str">
        <f t="shared" si="2"/>
        <v>2016130</v>
      </c>
      <c r="D27" s="506" t="str">
        <f>IF(ISERROR(VLOOKUP(C27,'Base de Datos'!$D$7:$F$4092,2,0))=TRUE,"",(VLOOKUP(C27,'Base de Datos'!$D$7:$F$4092,2,0)))</f>
        <v/>
      </c>
      <c r="E27" s="587" t="s">
        <v>2288</v>
      </c>
      <c r="F27" s="681">
        <v>4000000</v>
      </c>
      <c r="G27" s="787">
        <v>42461</v>
      </c>
      <c r="H27" s="784"/>
      <c r="I27" s="805" t="str">
        <f ca="1">IF(H27=Hoja1!$J$2," ",(IF(MONTH(G27)=MONTH(TODAY()),IF(DAY(G27)&gt;DAY(TODAY()),"Quedan "&amp;ABS(DAY(G27)-DAY(TODAY()))&amp;" Días","Hace "&amp;ABS(DAY(G27)-DAY(TODAY()))&amp;" Días"),"")))</f>
        <v/>
      </c>
      <c r="J27" s="509" t="str">
        <f>IF(ISERROR(VLOOKUP(C27,'Base de Datos'!$D$7:$N$4092,6,0))=TRUE,"Sin Celebrar",(VLOOKUP(C27,'Base de Datos'!$D$7:$N$4092,6,0)))</f>
        <v>Sin Celebrar</v>
      </c>
      <c r="K27" s="682"/>
      <c r="L27" s="509">
        <f t="shared" si="3"/>
        <v>4000000</v>
      </c>
      <c r="M27" s="509" t="str">
        <f t="shared" si="4"/>
        <v xml:space="preserve"> </v>
      </c>
      <c r="N27" s="691" t="str">
        <f>IF(ISERROR(VLOOKUP(C27,'Base de Datos'!$D$7:$K$1048576,7,0))=TRUE," ",(VLOOKUP(C27,'Base de Datos'!$D$7:$K$1048576,7,0)))</f>
        <v xml:space="preserve"> </v>
      </c>
      <c r="O27" s="524" t="str">
        <f>IF(ISERROR(VLOOKUP(C27,'Base de Datos'!$D$7:$N$4077,9,0))=TRUE," ",(VLOOKUP(C27,'Base de Datos'!$D$7:$N$4077,9,0)))</f>
        <v xml:space="preserve"> </v>
      </c>
      <c r="P27" s="586" t="e">
        <f>VLOOKUP(B27,#REF!,13,0)</f>
        <v>#REF!</v>
      </c>
      <c r="Q27" s="524" t="str">
        <f>IF(ISERROR(VLOOKUP(C27,'Base de Datos'!$D$7:$N$4077,10,0))=TRUE," ",(VLOOKUP(C27,'Base de Datos'!$D$7:$N$4077,10,0)))</f>
        <v xml:space="preserve"> </v>
      </c>
      <c r="R27" s="524" t="str">
        <f>IF(ISERROR(VLOOKUP(C27,'Base de Datos'!$D$7:$N$4077,11,0))=TRUE," ",(VLOOKUP(C27,'Base de Datos'!$D$7:$N$4077,11,0)))</f>
        <v xml:space="preserve"> </v>
      </c>
      <c r="S27" s="587" t="s">
        <v>2349</v>
      </c>
      <c r="T27" s="694"/>
      <c r="U27" s="751"/>
    </row>
    <row r="28" spans="2:21" s="588" customFormat="1" outlineLevel="1" x14ac:dyDescent="0.3">
      <c r="B28" s="679"/>
      <c r="C28" s="600"/>
      <c r="D28" s="680"/>
      <c r="E28" s="587" t="s">
        <v>1934</v>
      </c>
      <c r="F28" s="553"/>
      <c r="G28" s="784"/>
      <c r="H28" s="784"/>
      <c r="I28" s="507"/>
      <c r="J28" s="553"/>
      <c r="K28" s="682"/>
      <c r="L28" s="553" t="str">
        <f>IF(J28=$Z$1,F28, " ")</f>
        <v xml:space="preserve"> </v>
      </c>
      <c r="M28" s="553" t="str">
        <f t="shared" si="4"/>
        <v xml:space="preserve"> </v>
      </c>
      <c r="N28" s="781"/>
      <c r="O28" s="586" t="str">
        <f>IF(ISERROR(VLOOKUP(B28,'Base de Datos'!$C$7:$N$315,9,0))=TRUE," ",(VLOOKUP(B28,'Base de Datos'!$C$7:$N$315,9,0)))</f>
        <v xml:space="preserve"> </v>
      </c>
      <c r="P28" s="680"/>
      <c r="Q28" s="586" t="str">
        <f>IF(ISERROR(VLOOKUP(B28,'Base de Datos'!$C$7:$N$315,10,0))=TRUE," ",(VLOOKUP(B28,'Base de Datos'!$C$7:$N$315,10,0)))</f>
        <v xml:space="preserve"> </v>
      </c>
      <c r="R28" s="586" t="str">
        <f>IF(ISERROR(VLOOKUP(B28,'Base de Datos'!$C$7:$N$315,11,0))=TRUE," ",(VLOOKUP(B28,'Base de Datos'!$C$7:$N$315,11,0)))</f>
        <v xml:space="preserve"> </v>
      </c>
      <c r="S28" s="587"/>
      <c r="T28" s="694"/>
      <c r="U28" s="751"/>
    </row>
    <row r="29" spans="2:21" s="588" customFormat="1" outlineLevel="1" x14ac:dyDescent="0.3">
      <c r="B29" s="679"/>
      <c r="C29" s="679"/>
      <c r="D29" s="680"/>
      <c r="E29" s="680"/>
      <c r="F29" s="681"/>
      <c r="G29" s="787"/>
      <c r="H29" s="787"/>
      <c r="I29" s="528"/>
      <c r="J29" s="681"/>
      <c r="K29" s="682"/>
      <c r="L29" s="681" t="str">
        <f>IF(J29=$Z$1,F29, " ")</f>
        <v xml:space="preserve"> </v>
      </c>
      <c r="M29" s="681" t="str">
        <f t="shared" si="4"/>
        <v xml:space="preserve"> </v>
      </c>
      <c r="N29" s="781"/>
      <c r="O29" s="683" t="str">
        <f>IF(ISERROR(VLOOKUP(B29,'Base de Datos'!$C$7:$N$315,9,0))=TRUE," ",(VLOOKUP(B29,'Base de Datos'!$C$7:$N$315,9,0)))</f>
        <v xml:space="preserve"> </v>
      </c>
      <c r="P29" s="680"/>
      <c r="Q29" s="683" t="str">
        <f>IF(ISERROR(VLOOKUP(B29,'Base de Datos'!$C$7:$N$315,10,0))=TRUE," ",(VLOOKUP(B29,'Base de Datos'!$C$7:$N$315,10,0)))</f>
        <v xml:space="preserve"> </v>
      </c>
      <c r="R29" s="683" t="str">
        <f>IF(ISERROR(VLOOKUP(B29,'Base de Datos'!$C$7:$N$315,11,0))=TRUE," ",(VLOOKUP(B29,'Base de Datos'!$C$7:$N$315,11,0)))</f>
        <v xml:space="preserve"> </v>
      </c>
      <c r="S29" s="680"/>
      <c r="T29" s="694"/>
      <c r="U29" s="751"/>
    </row>
    <row r="30" spans="2:21" x14ac:dyDescent="0.3">
      <c r="B30" s="1271" t="s">
        <v>1643</v>
      </c>
      <c r="C30" s="1271"/>
      <c r="D30" s="1271"/>
      <c r="E30" s="1271"/>
      <c r="F30" s="757"/>
      <c r="G30" s="763">
        <f>COUNT(G31)</f>
        <v>0</v>
      </c>
      <c r="H30" s="763">
        <f>COUNTIF(H31:H32,Hoja1!$J$2)</f>
        <v>0</v>
      </c>
      <c r="I30" s="758"/>
      <c r="J30" s="757">
        <f>+J31</f>
        <v>0</v>
      </c>
      <c r="K30" s="759" t="e">
        <f>+J30/F30</f>
        <v>#DIV/0!</v>
      </c>
      <c r="L30" s="757">
        <f>F30-J30</f>
        <v>0</v>
      </c>
      <c r="M30" s="757">
        <f>+F30-J30-L30</f>
        <v>0</v>
      </c>
      <c r="N30" s="760"/>
      <c r="O30" s="761" t="str">
        <f>IF(ISERROR(VLOOKUP(B30,'Base de Datos'!$C$7:$N$315,8,0))=TRUE," ",(VLOOKUP(B30,'Base de Datos'!$C$7:$N$315,8,0)))</f>
        <v xml:space="preserve"> </v>
      </c>
      <c r="P30" s="762"/>
      <c r="Q30" s="761" t="str">
        <f>IF(ISERROR(VLOOKUP(B30,'Base de Datos'!$C$7:$N$315,9,0))=TRUE," ",(VLOOKUP(B30,'Base de Datos'!$C$7:$N$315,9,0)))</f>
        <v xml:space="preserve"> </v>
      </c>
      <c r="R30" s="761" t="str">
        <f>IF(ISERROR(VLOOKUP(B30,'Base de Datos'!$C$7:$N$315,10,0))=TRUE," ",(VLOOKUP(B30,'Base de Datos'!$C$7:$N$315,10,0)))</f>
        <v xml:space="preserve"> </v>
      </c>
      <c r="S30" s="762"/>
      <c r="T30" s="694"/>
      <c r="U30" s="607"/>
    </row>
    <row r="31" spans="2:21" s="571" customFormat="1" outlineLevel="1" x14ac:dyDescent="0.3">
      <c r="B31" s="566"/>
      <c r="C31" s="566"/>
      <c r="D31" s="566"/>
      <c r="E31" s="746"/>
      <c r="F31" s="567"/>
      <c r="G31" s="788"/>
      <c r="H31" s="788"/>
      <c r="I31" s="805" t="str">
        <f ca="1">IF(H31=Hoja1!$J$2," ",(IF(MONTH(G31)=MONTH(TODAY()),IF(DAY(G31)&gt;DAY(TODAY()),"Quedan "&amp;ABS(DAY(G31)-DAY(TODAY()))&amp;" Días","Hace "&amp;ABS(DAY(G31)-DAY(TODAY()))&amp;" Días"),"")))</f>
        <v/>
      </c>
      <c r="J31" s="553"/>
      <c r="K31" s="581"/>
      <c r="L31" s="567"/>
      <c r="M31" s="567"/>
      <c r="N31" s="656"/>
      <c r="O31" s="569"/>
      <c r="P31" s="570"/>
      <c r="Q31" s="569"/>
      <c r="R31" s="569"/>
      <c r="S31" s="687"/>
      <c r="T31" s="694"/>
      <c r="U31" s="751"/>
    </row>
    <row r="32" spans="2:21" s="571" customFormat="1" outlineLevel="1" x14ac:dyDescent="0.3">
      <c r="B32" s="566"/>
      <c r="C32" s="566"/>
      <c r="D32" s="566"/>
      <c r="E32" s="566"/>
      <c r="F32" s="567"/>
      <c r="G32" s="788"/>
      <c r="H32" s="788"/>
      <c r="I32" s="568"/>
      <c r="J32" s="567"/>
      <c r="K32" s="581"/>
      <c r="L32" s="567"/>
      <c r="M32" s="567"/>
      <c r="N32" s="656"/>
      <c r="O32" s="569"/>
      <c r="P32" s="570"/>
      <c r="Q32" s="569"/>
      <c r="R32" s="569"/>
      <c r="S32" s="687"/>
      <c r="T32" s="694"/>
      <c r="U32" s="751"/>
    </row>
    <row r="33" spans="2:21" ht="12" x14ac:dyDescent="0.3">
      <c r="B33" s="1273" t="s">
        <v>1644</v>
      </c>
      <c r="C33" s="1273"/>
      <c r="D33" s="1273"/>
      <c r="E33" s="1273"/>
      <c r="F33" s="757"/>
      <c r="G33" s="763">
        <f>COUNT(G35:G37)</f>
        <v>2</v>
      </c>
      <c r="H33" s="763">
        <f>COUNTIF(H35:H37,Hoja1!$J$2)</f>
        <v>0</v>
      </c>
      <c r="I33" s="758"/>
      <c r="J33" s="757">
        <f>SUM(J35:J37)</f>
        <v>14400000</v>
      </c>
      <c r="K33" s="759" t="e">
        <f>J33/F33</f>
        <v>#DIV/0!</v>
      </c>
      <c r="L33" s="757">
        <f>SUM(L35:L37)</f>
        <v>66744000</v>
      </c>
      <c r="M33" s="757">
        <f>+F33-J33-L33</f>
        <v>-81144000</v>
      </c>
      <c r="N33" s="760"/>
      <c r="O33" s="761" t="str">
        <f>IF(ISERROR(VLOOKUP(B33,'Base de Datos'!$C$7:$N$315,8,0))=TRUE," ",(VLOOKUP(B33,'Base de Datos'!$C$7:$N$315,8,0)))</f>
        <v xml:space="preserve"> </v>
      </c>
      <c r="P33" s="762"/>
      <c r="Q33" s="761" t="str">
        <f>IF(ISERROR(VLOOKUP(B33,'Base de Datos'!$C$7:$N$315,9,0))=TRUE," ",(VLOOKUP(B33,'Base de Datos'!$C$7:$N$315,9,0)))</f>
        <v xml:space="preserve"> </v>
      </c>
      <c r="R33" s="761" t="str">
        <f>IF(ISERROR(VLOOKUP(B33,'Base de Datos'!$C$7:$N$315,10,0))=TRUE," ",(VLOOKUP(B33,'Base de Datos'!$C$7:$N$315,10,0)))</f>
        <v xml:space="preserve"> </v>
      </c>
      <c r="S33" s="762"/>
      <c r="T33" s="694"/>
      <c r="U33" s="607"/>
    </row>
    <row r="34" spans="2:21" ht="22.8" outlineLevel="1" x14ac:dyDescent="0.3">
      <c r="B34" s="600" t="s">
        <v>2341</v>
      </c>
      <c r="C34" s="600"/>
      <c r="D34" s="600" t="s">
        <v>912</v>
      </c>
      <c r="E34" s="600" t="s">
        <v>1821</v>
      </c>
      <c r="F34" s="748" t="s">
        <v>1845</v>
      </c>
      <c r="G34" s="784" t="s">
        <v>2343</v>
      </c>
      <c r="H34" s="784" t="s">
        <v>2347</v>
      </c>
      <c r="I34" s="507" t="s">
        <v>2348</v>
      </c>
      <c r="J34" s="600" t="s">
        <v>1844</v>
      </c>
      <c r="K34" s="585"/>
      <c r="L34" s="600" t="s">
        <v>1938</v>
      </c>
      <c r="M34" s="600" t="s">
        <v>1939</v>
      </c>
      <c r="N34" s="749" t="s">
        <v>1121</v>
      </c>
      <c r="O34" s="750" t="s">
        <v>1846</v>
      </c>
      <c r="P34" s="600" t="s">
        <v>1847</v>
      </c>
      <c r="Q34" s="600" t="s">
        <v>1848</v>
      </c>
      <c r="R34" s="600" t="s">
        <v>375</v>
      </c>
      <c r="S34" s="600" t="s">
        <v>1849</v>
      </c>
      <c r="T34" s="694"/>
      <c r="U34" s="607"/>
    </row>
    <row r="35" spans="2:21" ht="22.8" outlineLevel="1" x14ac:dyDescent="0.3">
      <c r="B35" s="525">
        <v>131</v>
      </c>
      <c r="C35" s="600" t="str">
        <f>$W$6&amp;B35</f>
        <v>2016131</v>
      </c>
      <c r="D35" s="506" t="str">
        <f>IF(ISERROR(VLOOKUP(C35,'Base de Datos'!$D$7:$F$4092,2,0))=TRUE,"",(VLOOKUP(C35,'Base de Datos'!$D$7:$F$4092,2,0)))</f>
        <v>160129-0-2016</v>
      </c>
      <c r="E35" s="587" t="s">
        <v>2289</v>
      </c>
      <c r="F35" s="527">
        <v>22248000</v>
      </c>
      <c r="G35" s="789">
        <v>42348</v>
      </c>
      <c r="H35" s="784"/>
      <c r="I35" s="805" t="str">
        <f ca="1">IF(H35=Hoja1!$J$2," ",(IF(MONTH(G35)=MONTH(TODAY()),IF(DAY(G35)&gt;DAY(TODAY()),"Quedan "&amp;ABS(DAY(G35)-DAY(TODAY()))&amp;" Días","Hace "&amp;ABS(DAY(G35)-DAY(TODAY()))&amp;" Días"),"")))</f>
        <v/>
      </c>
      <c r="J35" s="509">
        <f>IF(ISERROR(VLOOKUP(C35,'Base de Datos'!$D$7:$N$4092,6,0))=TRUE,"Sin Celebrar",(VLOOKUP(C35,'Base de Datos'!$D$7:$N$4092,6,0)))</f>
        <v>14400000</v>
      </c>
      <c r="K35" s="577"/>
      <c r="L35" s="509" t="str">
        <f>IF(J35=$W$7,F35, " ")</f>
        <v xml:space="preserve"> </v>
      </c>
      <c r="M35" s="509">
        <f>IF(J35&lt;F35,(F35-J35)," ")</f>
        <v>7848000</v>
      </c>
      <c r="N35" s="691" t="str">
        <f>IF(ISERROR(VLOOKUP(C35,'Base de Datos'!$D$7:$K$1048576,7,0))=TRUE," ",(VLOOKUP(C35,'Base de Datos'!$D$7:$K$1048576,7,0)))</f>
        <v>160129-0-2016</v>
      </c>
      <c r="O35" s="524">
        <f>IF(ISERROR(VLOOKUP(C35,'Base de Datos'!$D$7:$N$4077,9,0))=TRUE," ",(VLOOKUP(C35,'Base de Datos'!$D$7:$N$4077,9,0)))</f>
        <v>42531</v>
      </c>
      <c r="P35" s="586" t="e">
        <f>VLOOKUP(B35,#REF!,13,0)</f>
        <v>#REF!</v>
      </c>
      <c r="Q35" s="524">
        <f>IF(ISERROR(VLOOKUP(C35,'Base de Datos'!$D$7:$N$4077,10,0))=TRUE," ",(VLOOKUP(C35,'Base de Datos'!$D$7:$N$4077,10,0)))</f>
        <v>42535</v>
      </c>
      <c r="R35" s="524">
        <f>IF(ISERROR(VLOOKUP(C35,'Base de Datos'!$D$7:$N$4077,11,0))=TRUE," ",(VLOOKUP(C35,'Base de Datos'!$D$7:$N$4077,11,0)))</f>
        <v>42780</v>
      </c>
      <c r="S35" s="506" t="s">
        <v>2075</v>
      </c>
      <c r="T35" s="694"/>
      <c r="U35" s="607"/>
    </row>
    <row r="36" spans="2:21" ht="22.8" outlineLevel="1" x14ac:dyDescent="0.3">
      <c r="B36" s="525">
        <v>132</v>
      </c>
      <c r="C36" s="600" t="str">
        <f>$W$6&amp;B36</f>
        <v>2016132</v>
      </c>
      <c r="D36" s="506" t="str">
        <f>IF(ISERROR(VLOOKUP(C36,'Base de Datos'!$D$7:$F$4092,2,0))=TRUE,"",(VLOOKUP(C36,'Base de Datos'!$D$7:$F$4092,2,0)))</f>
        <v/>
      </c>
      <c r="E36" s="587" t="s">
        <v>2392</v>
      </c>
      <c r="F36" s="527">
        <v>66744000</v>
      </c>
      <c r="G36" s="789">
        <v>42339</v>
      </c>
      <c r="H36" s="784"/>
      <c r="I36" s="805" t="str">
        <f ca="1">IF(H36=Hoja1!$J$2," ",(IF(MONTH(G36)=MONTH(TODAY()),IF(DAY(G36)&gt;DAY(TODAY()),"Quedan "&amp;ABS(DAY(G36)-DAY(TODAY()))&amp;" Días","Hace "&amp;ABS(DAY(G36)-DAY(TODAY()))&amp;" Días"),"")))</f>
        <v/>
      </c>
      <c r="J36" s="509" t="str">
        <f>IF(ISERROR(VLOOKUP(C36,'Base de Datos'!$D$7:$N$4092,6,0))=TRUE,"Sin Celebrar",(VLOOKUP(C36,'Base de Datos'!$D$7:$N$4092,6,0)))</f>
        <v>Sin Celebrar</v>
      </c>
      <c r="K36" s="577"/>
      <c r="L36" s="509">
        <f>IF(J36=$W$7,F36, " ")</f>
        <v>66744000</v>
      </c>
      <c r="M36" s="509" t="str">
        <f>IF(J36&lt;F36,(F36-J36)," ")</f>
        <v xml:space="preserve"> </v>
      </c>
      <c r="N36" s="691" t="str">
        <f>IF(ISERROR(VLOOKUP(C36,'Base de Datos'!$D$7:$K$1048576,7,0))=TRUE," ",(VLOOKUP(C36,'Base de Datos'!$D$7:$K$1048576,7,0)))</f>
        <v xml:space="preserve"> </v>
      </c>
      <c r="O36" s="524" t="str">
        <f>IF(ISERROR(VLOOKUP(C36,'Base de Datos'!$D$7:$N$4077,9,0))=TRUE," ",(VLOOKUP(C36,'Base de Datos'!$D$7:$N$4077,9,0)))</f>
        <v xml:space="preserve"> </v>
      </c>
      <c r="P36" s="586" t="e">
        <f>VLOOKUP(B36,#REF!,13,0)</f>
        <v>#REF!</v>
      </c>
      <c r="Q36" s="524" t="str">
        <f>IF(ISERROR(VLOOKUP(C36,'Base de Datos'!$D$7:$N$4077,10,0))=TRUE," ",(VLOOKUP(C36,'Base de Datos'!$D$7:$N$4077,10,0)))</f>
        <v xml:space="preserve"> </v>
      </c>
      <c r="R36" s="524" t="str">
        <f>IF(ISERROR(VLOOKUP(C36,'Base de Datos'!$D$7:$N$4077,11,0))=TRUE," ",(VLOOKUP(C36,'Base de Datos'!$D$7:$N$4077,11,0)))</f>
        <v xml:space="preserve"> </v>
      </c>
      <c r="S36" s="506" t="s">
        <v>2075</v>
      </c>
      <c r="T36" s="694"/>
      <c r="U36" s="607"/>
    </row>
    <row r="37" spans="2:21" outlineLevel="1" x14ac:dyDescent="0.3">
      <c r="B37" s="525"/>
      <c r="C37" s="525"/>
      <c r="D37" s="526"/>
      <c r="E37" s="526" t="s">
        <v>1934</v>
      </c>
      <c r="F37" s="527"/>
      <c r="G37" s="789"/>
      <c r="H37" s="789"/>
      <c r="I37" s="528"/>
      <c r="J37" s="509"/>
      <c r="K37" s="577"/>
      <c r="L37" s="527"/>
      <c r="M37" s="527" t="str">
        <f>IF(J37&lt;F37,(F37-J37)," ")</f>
        <v xml:space="preserve"> </v>
      </c>
      <c r="N37" s="691" t="str">
        <f>IF(ISERROR(VLOOKUP(C37,'Base de Datos'!$D$7:$K$1048576,7,0))=TRUE," ",(VLOOKUP(C37,'Base de Datos'!$D$7:$K$1048576,7,0)))</f>
        <v xml:space="preserve"> </v>
      </c>
      <c r="O37" s="691" t="str">
        <f>IF(ISERROR(VLOOKUP(C37,'Base de Datos'!$D$7:$K$1048576,9,0))=TRUE," ",(VLOOKUP(C37,'Base de Datos'!$D$7:$K$1048576,9,0)))</f>
        <v xml:space="preserve"> </v>
      </c>
      <c r="P37" s="526"/>
      <c r="Q37" s="529"/>
      <c r="R37" s="529"/>
      <c r="S37" s="506"/>
      <c r="T37" s="694"/>
      <c r="U37" s="607"/>
    </row>
    <row r="38" spans="2:21" ht="12" outlineLevel="1" x14ac:dyDescent="0.3">
      <c r="B38" s="621"/>
      <c r="C38" s="621"/>
      <c r="D38" s="621"/>
      <c r="E38" s="621"/>
      <c r="F38" s="509"/>
      <c r="G38" s="785"/>
      <c r="H38" s="785"/>
      <c r="I38" s="507"/>
      <c r="J38" s="509"/>
      <c r="K38" s="573"/>
      <c r="L38" s="509"/>
      <c r="M38" s="509"/>
      <c r="N38" s="651"/>
      <c r="O38" s="524"/>
      <c r="P38" s="506"/>
      <c r="Q38" s="524"/>
      <c r="R38" s="524"/>
      <c r="S38" s="506"/>
      <c r="T38" s="694"/>
      <c r="U38" s="607"/>
    </row>
    <row r="39" spans="2:21" ht="12" x14ac:dyDescent="0.3">
      <c r="B39" s="1254" t="s">
        <v>1792</v>
      </c>
      <c r="C39" s="1254"/>
      <c r="D39" s="1254"/>
      <c r="E39" s="1254"/>
      <c r="F39" s="530"/>
      <c r="G39" s="797">
        <f>G40+G75+G185</f>
        <v>63</v>
      </c>
      <c r="H39" s="797">
        <f>H40+H75+H185</f>
        <v>1</v>
      </c>
      <c r="I39" s="606"/>
      <c r="J39" s="540">
        <f>J40+J75+J185</f>
        <v>3497293018</v>
      </c>
      <c r="K39" s="582" t="e">
        <f>J39/F39</f>
        <v>#DIV/0!</v>
      </c>
      <c r="L39" s="540">
        <f>L40+L75+L185</f>
        <v>2246956000</v>
      </c>
      <c r="M39" s="540">
        <f>M40+M75+M185</f>
        <v>-5744249018</v>
      </c>
      <c r="N39" s="658"/>
      <c r="O39" s="540"/>
      <c r="P39" s="547"/>
      <c r="Q39" s="546" t="str">
        <f>IF(ISERROR(VLOOKUP(B39,'Base de Datos'!$C$7:$N$315,9,0))=TRUE," ",(VLOOKUP(B39,'Base de Datos'!$C$7:$N$315,9,0)))</f>
        <v xml:space="preserve"> </v>
      </c>
      <c r="R39" s="546" t="str">
        <f>IF(ISERROR(VLOOKUP(B39,'Base de Datos'!$C$7:$N$315,10,0))=TRUE," ",(VLOOKUP(B39,'Base de Datos'!$C$7:$N$315,10,0)))</f>
        <v xml:space="preserve"> </v>
      </c>
      <c r="S39" s="542"/>
      <c r="T39" s="694"/>
      <c r="U39" s="607"/>
    </row>
    <row r="40" spans="2:21" ht="12" x14ac:dyDescent="0.3">
      <c r="B40" s="1242" t="s">
        <v>1646</v>
      </c>
      <c r="C40" s="1242"/>
      <c r="D40" s="1242"/>
      <c r="E40" s="1242"/>
      <c r="F40" s="630"/>
      <c r="G40" s="755">
        <f>+G41+G61+G68</f>
        <v>22</v>
      </c>
      <c r="H40" s="755">
        <f>+H41+H61+H68</f>
        <v>0</v>
      </c>
      <c r="I40" s="754"/>
      <c r="J40" s="754">
        <f>+J41+J61+J68</f>
        <v>504098472</v>
      </c>
      <c r="K40" s="754"/>
      <c r="L40" s="754">
        <f>+L41+L61+L68</f>
        <v>712949000</v>
      </c>
      <c r="M40" s="754">
        <f>+M41+M61+M68</f>
        <v>-1217047472</v>
      </c>
      <c r="N40" s="755"/>
      <c r="O40" s="564" t="str">
        <f>IF(ISERROR(VLOOKUP(B40,'Base de Datos'!$C$7:$N$315,8,0))=TRUE," ",(VLOOKUP(B40,'Base de Datos'!$C$7:$N$315,8,0)))</f>
        <v xml:space="preserve"> </v>
      </c>
      <c r="P40" s="565"/>
      <c r="Q40" s="564" t="str">
        <f>IF(ISERROR(VLOOKUP(B40,'Base de Datos'!$C$7:$N$315,9,0))=TRUE," ",(VLOOKUP(B40,'Base de Datos'!$C$7:$N$315,9,0)))</f>
        <v xml:space="preserve"> </v>
      </c>
      <c r="R40" s="564" t="str">
        <f>IF(ISERROR(VLOOKUP(B40,'Base de Datos'!$C$7:$N$315,10,0))=TRUE," ",(VLOOKUP(B40,'Base de Datos'!$C$7:$N$315,10,0)))</f>
        <v xml:space="preserve"> </v>
      </c>
      <c r="S40" s="565"/>
      <c r="T40" s="694"/>
      <c r="U40" s="607"/>
    </row>
    <row r="41" spans="2:21" x14ac:dyDescent="0.3">
      <c r="B41" s="1271" t="s">
        <v>1647</v>
      </c>
      <c r="C41" s="1271"/>
      <c r="D41" s="1271"/>
      <c r="E41" s="1271"/>
      <c r="F41" s="757"/>
      <c r="G41" s="763">
        <f>COUNT(G43:G58)</f>
        <v>16</v>
      </c>
      <c r="H41" s="763">
        <f>COUNTIF(H43:H58,Hoja1!$J$2)</f>
        <v>0</v>
      </c>
      <c r="I41" s="758"/>
      <c r="J41" s="757">
        <f>SUM(J43:J59)</f>
        <v>365331472</v>
      </c>
      <c r="K41" s="759" t="e">
        <f>J41/F41</f>
        <v>#DIV/0!</v>
      </c>
      <c r="L41" s="757">
        <f>SUM(L47:L59)</f>
        <v>412030000</v>
      </c>
      <c r="M41" s="757">
        <f>+F41-J41-L41</f>
        <v>-777361472</v>
      </c>
      <c r="N41" s="760"/>
      <c r="O41" s="761" t="str">
        <f>IF(ISERROR(VLOOKUP(B41,'Base de Datos'!$C$7:$N$315,8,0))=TRUE," ",(VLOOKUP(B41,'Base de Datos'!$C$7:$N$315,8,0)))</f>
        <v xml:space="preserve"> </v>
      </c>
      <c r="P41" s="762"/>
      <c r="Q41" s="761" t="str">
        <f>IF(ISERROR(VLOOKUP(B41,'Base de Datos'!$C$7:$N$315,9,0))=TRUE," ",(VLOOKUP(B41,'Base de Datos'!$C$7:$N$315,9,0)))</f>
        <v xml:space="preserve"> </v>
      </c>
      <c r="R41" s="761" t="str">
        <f>IF(ISERROR(VLOOKUP(B41,'Base de Datos'!$C$7:$N$315,10,0))=TRUE," ",(VLOOKUP(B41,'Base de Datos'!$C$7:$N$315,10,0)))</f>
        <v xml:space="preserve"> </v>
      </c>
      <c r="S41" s="762"/>
      <c r="T41" s="694"/>
      <c r="U41" s="607"/>
    </row>
    <row r="42" spans="2:21" s="588" customFormat="1" ht="22.8" outlineLevel="1" x14ac:dyDescent="0.3">
      <c r="B42" s="600" t="s">
        <v>2341</v>
      </c>
      <c r="C42" s="600"/>
      <c r="D42" s="600" t="s">
        <v>912</v>
      </c>
      <c r="E42" s="600" t="s">
        <v>1821</v>
      </c>
      <c r="F42" s="748" t="s">
        <v>1845</v>
      </c>
      <c r="G42" s="784" t="s">
        <v>2343</v>
      </c>
      <c r="H42" s="784" t="s">
        <v>2347</v>
      </c>
      <c r="I42" s="507" t="s">
        <v>2348</v>
      </c>
      <c r="J42" s="600" t="s">
        <v>1844</v>
      </c>
      <c r="K42" s="585"/>
      <c r="L42" s="600" t="s">
        <v>1938</v>
      </c>
      <c r="M42" s="600" t="s">
        <v>1939</v>
      </c>
      <c r="N42" s="749" t="s">
        <v>1121</v>
      </c>
      <c r="O42" s="750" t="s">
        <v>1846</v>
      </c>
      <c r="P42" s="600" t="s">
        <v>1847</v>
      </c>
      <c r="Q42" s="600" t="s">
        <v>1848</v>
      </c>
      <c r="R42" s="600" t="s">
        <v>375</v>
      </c>
      <c r="S42" s="600" t="s">
        <v>1849</v>
      </c>
      <c r="T42" s="694"/>
      <c r="U42" s="751"/>
    </row>
    <row r="43" spans="2:21" s="588" customFormat="1" ht="22.8" outlineLevel="1" x14ac:dyDescent="0.3">
      <c r="B43" s="600">
        <v>94</v>
      </c>
      <c r="C43" s="600" t="str">
        <f t="shared" ref="C43:C58" si="5">$W$6&amp;B43</f>
        <v>201694</v>
      </c>
      <c r="D43" s="506" t="str">
        <f>IF(ISERROR(VLOOKUP(C43,'Base de Datos'!$D$7:$F$4092,2,0))=TRUE,"",(VLOOKUP(C43,'Base de Datos'!$D$7:$F$4092,2,0)))</f>
        <v/>
      </c>
      <c r="E43" s="812" t="s">
        <v>2290</v>
      </c>
      <c r="F43" s="748">
        <v>48000000</v>
      </c>
      <c r="G43" s="784">
        <v>42429</v>
      </c>
      <c r="H43" s="784"/>
      <c r="I43" s="805" t="str">
        <f ca="1">IF(H43=Hoja1!$J$2," ",(IF(MONTH(G43)=MONTH(TODAY()),IF(DAY(G43)&gt;DAY(TODAY()),"Quedan "&amp;ABS(DAY(G43)-DAY(TODAY()))&amp;" Días","Hace "&amp;ABS(DAY(G43)-DAY(TODAY()))&amp;" Días"),"")))</f>
        <v>Quedan 28 Días</v>
      </c>
      <c r="J43" s="509" t="str">
        <f>IF(ISERROR(VLOOKUP(C43,'Base de Datos'!$D$7:$N$4092,6,0))=TRUE,"Sin Celebrar",(VLOOKUP(C43,'Base de Datos'!$D$7:$N$4092,6,0)))</f>
        <v>Sin Celebrar</v>
      </c>
      <c r="K43" s="585"/>
      <c r="L43" s="509">
        <f t="shared" ref="L43:L58" si="6">IF(J43=$W$7,F43, " ")</f>
        <v>48000000</v>
      </c>
      <c r="M43" s="509" t="str">
        <f t="shared" ref="M43:M59" si="7">IF(J43&lt;F43,(F43-J43)," ")</f>
        <v xml:space="preserve"> </v>
      </c>
      <c r="N43" s="691" t="str">
        <f>IF(ISERROR(VLOOKUP(C43,'Base de Datos'!$D$7:$K$1048576,7,0))=TRUE," ",(VLOOKUP(C43,'Base de Datos'!$D$7:$K$1048576,7,0)))</f>
        <v xml:space="preserve"> </v>
      </c>
      <c r="O43" s="524" t="str">
        <f>IF(ISERROR(VLOOKUP(C43,'Base de Datos'!$D$7:$N$4077,9,0))=TRUE," ",(VLOOKUP(C43,'Base de Datos'!$D$7:$N$4077,9,0)))</f>
        <v xml:space="preserve"> </v>
      </c>
      <c r="P43" s="586" t="e">
        <f>VLOOKUP(B43,#REF!,13,0)</f>
        <v>#REF!</v>
      </c>
      <c r="Q43" s="524" t="str">
        <f>IF(ISERROR(VLOOKUP(C43,'Base de Datos'!$D$7:$N$4077,10,0))=TRUE," ",(VLOOKUP(C43,'Base de Datos'!$D$7:$N$4077,10,0)))</f>
        <v xml:space="preserve"> </v>
      </c>
      <c r="R43" s="524" t="str">
        <f>IF(ISERROR(VLOOKUP(C43,'Base de Datos'!$D$7:$N$4077,11,0))=TRUE," ",(VLOOKUP(C43,'Base de Datos'!$D$7:$N$4077,11,0)))</f>
        <v xml:space="preserve"> </v>
      </c>
      <c r="S43" s="587" t="s">
        <v>1991</v>
      </c>
      <c r="T43" s="694"/>
      <c r="U43" s="751"/>
    </row>
    <row r="44" spans="2:21" s="588" customFormat="1" outlineLevel="1" x14ac:dyDescent="0.3">
      <c r="B44" s="600">
        <v>84</v>
      </c>
      <c r="C44" s="600"/>
      <c r="D44" s="506"/>
      <c r="E44" s="812" t="s">
        <v>2108</v>
      </c>
      <c r="F44" s="748">
        <v>10000000</v>
      </c>
      <c r="G44" s="784">
        <v>42580</v>
      </c>
      <c r="H44" s="784"/>
      <c r="I44" s="805" t="str">
        <f ca="1">IF(H44=Hoja1!$J$2," ",(IF(MONTH(G44)=MONTH(TODAY()),IF(DAY(G44)&gt;DAY(TODAY()),"Quedan "&amp;ABS(DAY(G44)-DAY(TODAY()))&amp;" Días","Hace "&amp;ABS(DAY(G44)-DAY(TODAY()))&amp;" Días"),"")))</f>
        <v/>
      </c>
      <c r="J44" s="509" t="str">
        <f>IF(ISERROR(VLOOKUP(C44,'Base de Datos'!$D$7:$N$4092,6,0))=TRUE,"Sin Celebrar",(VLOOKUP(C44,'Base de Datos'!$D$7:$N$4092,6,0)))</f>
        <v>Sin Celebrar</v>
      </c>
      <c r="K44" s="585"/>
      <c r="L44" s="509">
        <f>IF(J44=$W$7,F44, " ")</f>
        <v>10000000</v>
      </c>
      <c r="M44" s="509"/>
      <c r="N44" s="691"/>
      <c r="O44" s="524" t="str">
        <f>IF(ISERROR(VLOOKUP(C44,'Base de Datos'!$D$7:$N$4077,9,0))=TRUE," ",(VLOOKUP(C44,'Base de Datos'!$D$7:$N$4077,9,0)))</f>
        <v xml:space="preserve"> </v>
      </c>
      <c r="P44" s="586" t="e">
        <f>VLOOKUP(B44,#REF!,13,0)</f>
        <v>#REF!</v>
      </c>
      <c r="Q44" s="524"/>
      <c r="R44" s="524"/>
      <c r="S44" s="587"/>
      <c r="T44" s="694"/>
      <c r="U44" s="751"/>
    </row>
    <row r="45" spans="2:21" s="588" customFormat="1" outlineLevel="1" x14ac:dyDescent="0.3">
      <c r="B45" s="600">
        <v>85</v>
      </c>
      <c r="C45" s="600"/>
      <c r="D45" s="506"/>
      <c r="E45" s="812" t="s">
        <v>2393</v>
      </c>
      <c r="F45" s="748">
        <v>20000000</v>
      </c>
      <c r="G45" s="784">
        <v>42464</v>
      </c>
      <c r="H45" s="784"/>
      <c r="I45" s="805" t="str">
        <f ca="1">IF(H45=Hoja1!$J$2," ",(IF(MONTH(G45)=MONTH(TODAY()),IF(DAY(G45)&gt;DAY(TODAY()),"Quedan "&amp;ABS(DAY(G45)-DAY(TODAY()))&amp;" Días","Hace "&amp;ABS(DAY(G45)-DAY(TODAY()))&amp;" Días"),"")))</f>
        <v/>
      </c>
      <c r="J45" s="509" t="str">
        <f>IF(ISERROR(VLOOKUP(C45,'Base de Datos'!$D$7:$N$4092,6,0))=TRUE,"Sin Celebrar",(VLOOKUP(C45,'Base de Datos'!$D$7:$N$4092,6,0)))</f>
        <v>Sin Celebrar</v>
      </c>
      <c r="K45" s="585"/>
      <c r="L45" s="509">
        <f>IF(J45=$W$7,F45, " ")</f>
        <v>20000000</v>
      </c>
      <c r="M45" s="509"/>
      <c r="N45" s="691"/>
      <c r="O45" s="524" t="str">
        <f>IF(ISERROR(VLOOKUP(C45,'Base de Datos'!$D$7:$N$4077,9,0))=TRUE," ",(VLOOKUP(C45,'Base de Datos'!$D$7:$N$4077,9,0)))</f>
        <v xml:space="preserve"> </v>
      </c>
      <c r="P45" s="586" t="e">
        <f>VLOOKUP(B45,#REF!,13,0)</f>
        <v>#REF!</v>
      </c>
      <c r="Q45" s="524"/>
      <c r="R45" s="524"/>
      <c r="S45" s="587"/>
      <c r="T45" s="694"/>
      <c r="U45" s="751"/>
    </row>
    <row r="46" spans="2:21" s="588" customFormat="1" outlineLevel="1" x14ac:dyDescent="0.3">
      <c r="B46" s="600">
        <v>86</v>
      </c>
      <c r="C46" s="600"/>
      <c r="D46" s="506"/>
      <c r="E46" s="812" t="s">
        <v>2394</v>
      </c>
      <c r="F46" s="748">
        <v>65000000</v>
      </c>
      <c r="G46" s="784">
        <v>42523</v>
      </c>
      <c r="H46" s="784"/>
      <c r="I46" s="805" t="str">
        <f ca="1">IF(H46=Hoja1!$J$2," ",(IF(MONTH(G46)=MONTH(TODAY()),IF(DAY(G46)&gt;DAY(TODAY()),"Quedan "&amp;ABS(DAY(G46)-DAY(TODAY()))&amp;" Días","Hace "&amp;ABS(DAY(G46)-DAY(TODAY()))&amp;" Días"),"")))</f>
        <v/>
      </c>
      <c r="J46" s="509" t="str">
        <f>IF(ISERROR(VLOOKUP(C46,'Base de Datos'!$D$7:$N$4092,6,0))=TRUE,"Sin Celebrar",(VLOOKUP(C46,'Base de Datos'!$D$7:$N$4092,6,0)))</f>
        <v>Sin Celebrar</v>
      </c>
      <c r="K46" s="585"/>
      <c r="L46" s="509">
        <f>IF(J46=$W$7,F46, " ")</f>
        <v>65000000</v>
      </c>
      <c r="M46" s="509"/>
      <c r="N46" s="691"/>
      <c r="O46" s="524" t="str">
        <f>IF(ISERROR(VLOOKUP(C46,'Base de Datos'!$D$7:$N$4077,9,0))=TRUE," ",(VLOOKUP(C46,'Base de Datos'!$D$7:$N$4077,9,0)))</f>
        <v xml:space="preserve"> </v>
      </c>
      <c r="P46" s="586" t="e">
        <f>VLOOKUP(B46,#REF!,13,0)</f>
        <v>#REF!</v>
      </c>
      <c r="Q46" s="524"/>
      <c r="R46" s="524"/>
      <c r="S46" s="587"/>
      <c r="T46" s="694"/>
      <c r="U46" s="751"/>
    </row>
    <row r="47" spans="2:21" s="588" customFormat="1" ht="22.8" outlineLevel="1" x14ac:dyDescent="0.3">
      <c r="B47" s="600">
        <v>203</v>
      </c>
      <c r="C47" s="600" t="str">
        <f t="shared" si="5"/>
        <v>2016203</v>
      </c>
      <c r="D47" s="506" t="str">
        <f>IF(ISERROR(VLOOKUP(C47,'Base de Datos'!$D$7:$F$4092,2,0))=TRUE,"",(VLOOKUP(C47,'Base de Datos'!$D$7:$F$4092,2,0)))</f>
        <v>160269-0-2016</v>
      </c>
      <c r="E47" s="587" t="s">
        <v>2291</v>
      </c>
      <c r="F47" s="553">
        <v>350000000</v>
      </c>
      <c r="G47" s="784">
        <v>42434</v>
      </c>
      <c r="H47" s="784"/>
      <c r="I47" s="805" t="str">
        <f ca="1">IF(H47=Hoja1!$J$2," ",(IF(MONTH(G47)=MONTH(TODAY()),IF(DAY(G47)&gt;DAY(TODAY()),"Quedan "&amp;ABS(DAY(G47)-DAY(TODAY()))&amp;" Días","Hace "&amp;ABS(DAY(G47)-DAY(TODAY()))&amp;" Días"),"")))</f>
        <v/>
      </c>
      <c r="J47" s="509">
        <f>IF(ISERROR(VLOOKUP(C47,'Base de Datos'!$D$7:$N$4092,6,0))=TRUE,"Sin Celebrar",(VLOOKUP(C47,'Base de Datos'!$D$7:$N$4092,6,0)))</f>
        <v>103330468</v>
      </c>
      <c r="K47" s="585"/>
      <c r="L47" s="509" t="str">
        <f t="shared" si="6"/>
        <v xml:space="preserve"> </v>
      </c>
      <c r="M47" s="509">
        <f t="shared" si="7"/>
        <v>246669532</v>
      </c>
      <c r="N47" s="691" t="str">
        <f>IF(ISERROR(VLOOKUP(C47,'Base de Datos'!$D$7:$K$1048576,7,0))=TRUE," ",(VLOOKUP(C47,'Base de Datos'!$D$7:$K$1048576,7,0)))</f>
        <v>160269-0-2016</v>
      </c>
      <c r="O47" s="524">
        <f>IF(ISERROR(VLOOKUP(C47,'Base de Datos'!$D$7:$N$4077,9,0))=TRUE," ",(VLOOKUP(C47,'Base de Datos'!$D$7:$N$4077,9,0)))</f>
        <v>42685</v>
      </c>
      <c r="P47" s="586" t="e">
        <f>VLOOKUP(B47,#REF!,13,0)</f>
        <v>#REF!</v>
      </c>
      <c r="Q47" s="524">
        <f>IF(ISERROR(VLOOKUP(C47,'Base de Datos'!$D$7:$N$4077,10,0))=TRUE," ",(VLOOKUP(C47,'Base de Datos'!$D$7:$N$4077,10,0)))</f>
        <v>42689</v>
      </c>
      <c r="R47" s="524">
        <f>IF(ISERROR(VLOOKUP(C47,'Base de Datos'!$D$7:$N$4077,11,0))=TRUE," ",(VLOOKUP(C47,'Base de Datos'!$D$7:$N$4077,11,0)))</f>
        <v>42781</v>
      </c>
      <c r="S47" s="587" t="s">
        <v>1991</v>
      </c>
      <c r="T47" s="694"/>
      <c r="U47" s="751"/>
    </row>
    <row r="48" spans="2:21" s="588" customFormat="1" ht="22.8" outlineLevel="1" x14ac:dyDescent="0.3">
      <c r="B48" s="600">
        <v>204</v>
      </c>
      <c r="C48" s="600" t="str">
        <f t="shared" si="5"/>
        <v>2016204</v>
      </c>
      <c r="D48" s="506" t="str">
        <f>IF(ISERROR(VLOOKUP(C48,'Base de Datos'!$D$7:$F$4092,2,0))=TRUE,"",(VLOOKUP(C48,'Base de Datos'!$D$7:$F$4092,2,0)))</f>
        <v/>
      </c>
      <c r="E48" s="587" t="s">
        <v>1310</v>
      </c>
      <c r="F48" s="748">
        <v>10830000</v>
      </c>
      <c r="G48" s="784">
        <v>42410</v>
      </c>
      <c r="H48" s="784"/>
      <c r="I48" s="805" t="str">
        <f ca="1">IF(H48=Hoja1!$J$2," ",(IF(MONTH(G48)=MONTH(TODAY()),IF(DAY(G48)&gt;DAY(TODAY()),"Quedan "&amp;ABS(DAY(G48)-DAY(TODAY()))&amp;" Días","Hace "&amp;ABS(DAY(G48)-DAY(TODAY()))&amp;" Días"),"")))</f>
        <v>Quedan 9 Días</v>
      </c>
      <c r="J48" s="509" t="str">
        <f>IF(ISERROR(VLOOKUP(C48,'Base de Datos'!$D$7:$N$4092,6,0))=TRUE,"Sin Celebrar",(VLOOKUP(C48,'Base de Datos'!$D$7:$N$4092,6,0)))</f>
        <v>Sin Celebrar</v>
      </c>
      <c r="K48" s="585"/>
      <c r="L48" s="509">
        <f t="shared" si="6"/>
        <v>10830000</v>
      </c>
      <c r="M48" s="509" t="str">
        <f t="shared" si="7"/>
        <v xml:space="preserve"> </v>
      </c>
      <c r="N48" s="691" t="str">
        <f>IF(ISERROR(VLOOKUP(C48,'Base de Datos'!$D$7:$K$1048576,7,0))=TRUE," ",(VLOOKUP(C48,'Base de Datos'!$D$7:$K$1048576,7,0)))</f>
        <v xml:space="preserve"> </v>
      </c>
      <c r="O48" s="524" t="str">
        <f>IF(ISERROR(VLOOKUP(C48,'Base de Datos'!$D$7:$N$4077,9,0))=TRUE," ",(VLOOKUP(C48,'Base de Datos'!$D$7:$N$4077,9,0)))</f>
        <v xml:space="preserve"> </v>
      </c>
      <c r="P48" s="586" t="e">
        <f>VLOOKUP(B48,#REF!,13,0)</f>
        <v>#REF!</v>
      </c>
      <c r="Q48" s="524" t="str">
        <f>IF(ISERROR(VLOOKUP(C48,'Base de Datos'!$D$7:$N$4077,10,0))=TRUE," ",(VLOOKUP(C48,'Base de Datos'!$D$7:$N$4077,10,0)))</f>
        <v xml:space="preserve"> </v>
      </c>
      <c r="R48" s="524" t="str">
        <f>IF(ISERROR(VLOOKUP(C48,'Base de Datos'!$D$7:$N$4077,11,0))=TRUE," ",(VLOOKUP(C48,'Base de Datos'!$D$7:$N$4077,11,0)))</f>
        <v xml:space="preserve"> </v>
      </c>
      <c r="S48" s="587" t="s">
        <v>1991</v>
      </c>
      <c r="T48" s="694"/>
      <c r="U48" s="751"/>
    </row>
    <row r="49" spans="2:21" s="588" customFormat="1" outlineLevel="1" x14ac:dyDescent="0.3">
      <c r="B49" s="600">
        <v>87</v>
      </c>
      <c r="C49" s="600" t="str">
        <f t="shared" si="5"/>
        <v>201687</v>
      </c>
      <c r="D49" s="506" t="str">
        <f>IF(ISERROR(VLOOKUP(C49,'Base de Datos'!$D$7:$F$4092,2,0))=TRUE,"",(VLOOKUP(C49,'Base de Datos'!$D$7:$F$4092,2,0)))</f>
        <v/>
      </c>
      <c r="E49" s="587" t="s">
        <v>2292</v>
      </c>
      <c r="F49" s="553">
        <v>219700000</v>
      </c>
      <c r="G49" s="784">
        <v>42402</v>
      </c>
      <c r="H49" s="784"/>
      <c r="I49" s="805" t="str">
        <f ca="1">IF(H49=Hoja1!$J$2," ",(IF(MONTH(G49)=MONTH(TODAY()),IF(DAY(G49)&gt;DAY(TODAY()),"Quedan "&amp;ABS(DAY(G49)-DAY(TODAY()))&amp;" Días","Hace "&amp;ABS(DAY(G49)-DAY(TODAY()))&amp;" Días"),"")))</f>
        <v>Quedan 1 Días</v>
      </c>
      <c r="J49" s="509" t="str">
        <f>IF(ISERROR(VLOOKUP(C49,'Base de Datos'!$D$7:$N$4092,6,0))=TRUE,"Sin Celebrar",(VLOOKUP(C49,'Base de Datos'!$D$7:$N$4092,6,0)))</f>
        <v>Sin Celebrar</v>
      </c>
      <c r="K49" s="585"/>
      <c r="L49" s="509">
        <f t="shared" si="6"/>
        <v>219700000</v>
      </c>
      <c r="M49" s="509" t="str">
        <f t="shared" si="7"/>
        <v xml:space="preserve"> </v>
      </c>
      <c r="N49" s="691" t="str">
        <f>IF(ISERROR(VLOOKUP(C49,'Base de Datos'!$D$7:$K$1048576,7,0))=TRUE," ",(VLOOKUP(C49,'Base de Datos'!$D$7:$K$1048576,7,0)))</f>
        <v xml:space="preserve"> </v>
      </c>
      <c r="O49" s="524" t="str">
        <f>IF(ISERROR(VLOOKUP(C49,'Base de Datos'!$D$7:$N$4077,9,0))=TRUE," ",(VLOOKUP(C49,'Base de Datos'!$D$7:$N$4077,9,0)))</f>
        <v xml:space="preserve"> </v>
      </c>
      <c r="P49" s="586" t="e">
        <f>VLOOKUP(B49,#REF!,13,0)</f>
        <v>#REF!</v>
      </c>
      <c r="Q49" s="524" t="str">
        <f>IF(ISERROR(VLOOKUP(C49,'Base de Datos'!$D$7:$N$4077,10,0))=TRUE," ",(VLOOKUP(C49,'Base de Datos'!$D$7:$N$4077,10,0)))</f>
        <v xml:space="preserve"> </v>
      </c>
      <c r="R49" s="524" t="str">
        <f>IF(ISERROR(VLOOKUP(C49,'Base de Datos'!$D$7:$N$4077,11,0))=TRUE," ",(VLOOKUP(C49,'Base de Datos'!$D$7:$N$4077,11,0)))</f>
        <v xml:space="preserve"> </v>
      </c>
      <c r="S49" s="587" t="s">
        <v>1991</v>
      </c>
      <c r="T49" s="694"/>
      <c r="U49" s="751"/>
    </row>
    <row r="50" spans="2:21" s="588" customFormat="1" outlineLevel="1" x14ac:dyDescent="0.3">
      <c r="B50" s="600">
        <v>88</v>
      </c>
      <c r="C50" s="600" t="str">
        <f t="shared" si="5"/>
        <v>201688</v>
      </c>
      <c r="D50" s="506" t="str">
        <f>IF(ISERROR(VLOOKUP(C50,'Base de Datos'!$D$7:$F$4092,2,0))=TRUE,"",(VLOOKUP(C50,'Base de Datos'!$D$7:$F$4092,2,0)))</f>
        <v>160314-0-2016</v>
      </c>
      <c r="E50" s="587" t="s">
        <v>2293</v>
      </c>
      <c r="F50" s="553">
        <v>550000</v>
      </c>
      <c r="G50" s="784">
        <v>42402</v>
      </c>
      <c r="H50" s="784"/>
      <c r="I50" s="805" t="str">
        <f ca="1">IF(H50=Hoja1!$J$2," ",(IF(MONTH(G50)=MONTH(TODAY()),IF(DAY(G50)&gt;DAY(TODAY()),"Quedan "&amp;ABS(DAY(G50)-DAY(TODAY()))&amp;" Días","Hace "&amp;ABS(DAY(G50)-DAY(TODAY()))&amp;" Días"),"")))</f>
        <v>Quedan 1 Días</v>
      </c>
      <c r="J50" s="509">
        <f>IF(ISERROR(VLOOKUP(C50,'Base de Datos'!$D$7:$N$4092,6,0))=TRUE,"Sin Celebrar",(VLOOKUP(C50,'Base de Datos'!$D$7:$N$4092,6,0)))</f>
        <v>495119</v>
      </c>
      <c r="K50" s="585"/>
      <c r="L50" s="509" t="str">
        <f t="shared" si="6"/>
        <v xml:space="preserve"> </v>
      </c>
      <c r="M50" s="509">
        <f t="shared" si="7"/>
        <v>54881</v>
      </c>
      <c r="N50" s="691" t="str">
        <f>IF(ISERROR(VLOOKUP(C50,'Base de Datos'!$D$7:$K$1048576,7,0))=TRUE," ",(VLOOKUP(C50,'Base de Datos'!$D$7:$K$1048576,7,0)))</f>
        <v>160314-0-2016</v>
      </c>
      <c r="O50" s="524">
        <f>IF(ISERROR(VLOOKUP(C50,'Base de Datos'!$D$7:$N$4077,9,0))=TRUE," ",(VLOOKUP(C50,'Base de Datos'!$D$7:$N$4077,9,0)))</f>
        <v>42731</v>
      </c>
      <c r="P50" s="586" t="e">
        <f>VLOOKUP(B50,#REF!,13,0)</f>
        <v>#REF!</v>
      </c>
      <c r="Q50" s="524">
        <f>IF(ISERROR(VLOOKUP(C50,'Base de Datos'!$D$7:$N$4077,10,0))=TRUE," ",(VLOOKUP(C50,'Base de Datos'!$D$7:$N$4077,10,0)))</f>
        <v>42745</v>
      </c>
      <c r="R50" s="524">
        <f>IF(ISERROR(VLOOKUP(C50,'Base de Datos'!$D$7:$N$4077,11,0))=TRUE," ",(VLOOKUP(C50,'Base de Datos'!$D$7:$N$4077,11,0)))</f>
        <v>43110</v>
      </c>
      <c r="S50" s="587" t="s">
        <v>1991</v>
      </c>
      <c r="T50" s="694"/>
      <c r="U50" s="751"/>
    </row>
    <row r="51" spans="2:21" s="588" customFormat="1" ht="22.8" outlineLevel="1" x14ac:dyDescent="0.3">
      <c r="B51" s="600">
        <v>89</v>
      </c>
      <c r="C51" s="600" t="str">
        <f t="shared" si="5"/>
        <v>201689</v>
      </c>
      <c r="D51" s="506" t="str">
        <f>IF(ISERROR(VLOOKUP(C51,'Base de Datos'!$D$7:$F$4092,2,0))=TRUE,"",(VLOOKUP(C51,'Base de Datos'!$D$7:$F$4092,2,0)))</f>
        <v>160301-0-2016</v>
      </c>
      <c r="E51" s="587" t="s">
        <v>2294</v>
      </c>
      <c r="F51" s="553">
        <v>12250000</v>
      </c>
      <c r="G51" s="784">
        <v>42402</v>
      </c>
      <c r="H51" s="784"/>
      <c r="I51" s="805" t="str">
        <f ca="1">IF(H51=Hoja1!$J$2," ",(IF(MONTH(G51)=MONTH(TODAY()),IF(DAY(G51)&gt;DAY(TODAY()),"Quedan "&amp;ABS(DAY(G51)-DAY(TODAY()))&amp;" Días","Hace "&amp;ABS(DAY(G51)-DAY(TODAY()))&amp;" Días"),"")))</f>
        <v>Quedan 1 Días</v>
      </c>
      <c r="J51" s="509">
        <f>IF(ISERROR(VLOOKUP(C51,'Base de Datos'!$D$7:$N$4092,6,0))=TRUE,"Sin Celebrar",(VLOOKUP(C51,'Base de Datos'!$D$7:$N$4092,6,0)))</f>
        <v>12250000</v>
      </c>
      <c r="K51" s="585"/>
      <c r="L51" s="509" t="str">
        <f t="shared" si="6"/>
        <v xml:space="preserve"> </v>
      </c>
      <c r="M51" s="509" t="str">
        <f t="shared" si="7"/>
        <v xml:space="preserve"> </v>
      </c>
      <c r="N51" s="691" t="str">
        <f>IF(ISERROR(VLOOKUP(C51,'Base de Datos'!$D$7:$K$1048576,7,0))=TRUE," ",(VLOOKUP(C51,'Base de Datos'!$D$7:$K$1048576,7,0)))</f>
        <v>SDH-SMINC -50-2016</v>
      </c>
      <c r="O51" s="524">
        <f>IF(ISERROR(VLOOKUP(C51,'Base de Datos'!$D$7:$N$4077,9,0))=TRUE," ",(VLOOKUP(C51,'Base de Datos'!$D$7:$N$4077,9,0)))</f>
        <v>42724</v>
      </c>
      <c r="P51" s="586" t="e">
        <f>VLOOKUP(B51,#REF!,13,0)</f>
        <v>#REF!</v>
      </c>
      <c r="Q51" s="524">
        <f>IF(ISERROR(VLOOKUP(C51,'Base de Datos'!$D$7:$N$4077,10,0))=TRUE," ",(VLOOKUP(C51,'Base de Datos'!$D$7:$N$4077,10,0)))</f>
        <v>42732</v>
      </c>
      <c r="R51" s="524">
        <f>IF(ISERROR(VLOOKUP(C51,'Base de Datos'!$D$7:$N$4077,11,0))=TRUE," ",(VLOOKUP(C51,'Base de Datos'!$D$7:$N$4077,11,0)))</f>
        <v>42883</v>
      </c>
      <c r="S51" s="587" t="s">
        <v>1991</v>
      </c>
      <c r="T51" s="694"/>
      <c r="U51" s="751"/>
    </row>
    <row r="52" spans="2:21" s="588" customFormat="1" outlineLevel="1" x14ac:dyDescent="0.3">
      <c r="B52" s="600">
        <v>90</v>
      </c>
      <c r="C52" s="600" t="str">
        <f t="shared" si="5"/>
        <v>201690</v>
      </c>
      <c r="D52" s="506"/>
      <c r="E52" s="587" t="s">
        <v>2395</v>
      </c>
      <c r="F52" s="553">
        <v>12000000</v>
      </c>
      <c r="G52" s="784">
        <v>42447</v>
      </c>
      <c r="H52" s="784"/>
      <c r="I52" s="805" t="str">
        <f ca="1">IF(H52=Hoja1!$J$2," ",(IF(MONTH(G52)=MONTH(TODAY()),IF(DAY(G52)&gt;DAY(TODAY()),"Quedan "&amp;ABS(DAY(G52)-DAY(TODAY()))&amp;" Días","Hace "&amp;ABS(DAY(G52)-DAY(TODAY()))&amp;" Días"),"")))</f>
        <v/>
      </c>
      <c r="J52" s="509">
        <f>IF(ISERROR(VLOOKUP(C52,'Base de Datos'!$D$7:$N$4092,6,0))=TRUE,"Sin Celebrar",(VLOOKUP(C52,'Base de Datos'!$D$7:$N$4092,6,0)))</f>
        <v>12000000</v>
      </c>
      <c r="K52" s="585"/>
      <c r="L52" s="509" t="str">
        <f>IF(J52=$W$7,F52, " ")</f>
        <v xml:space="preserve"> </v>
      </c>
      <c r="M52" s="509"/>
      <c r="N52" s="691"/>
      <c r="O52" s="524">
        <f>IF(ISERROR(VLOOKUP(C52,'Base de Datos'!$D$7:$N$4077,9,0))=TRUE," ",(VLOOKUP(C52,'Base de Datos'!$D$7:$N$4077,9,0)))</f>
        <v>42578</v>
      </c>
      <c r="P52" s="586" t="e">
        <f>VLOOKUP(B52,#REF!,13,0)</f>
        <v>#REF!</v>
      </c>
      <c r="Q52" s="524"/>
      <c r="R52" s="524"/>
      <c r="S52" s="587"/>
      <c r="T52" s="694"/>
      <c r="U52" s="751"/>
    </row>
    <row r="53" spans="2:21" s="588" customFormat="1" outlineLevel="1" x14ac:dyDescent="0.3">
      <c r="B53" s="600">
        <v>91</v>
      </c>
      <c r="C53" s="600" t="str">
        <f t="shared" si="5"/>
        <v>201691</v>
      </c>
      <c r="D53" s="506" t="str">
        <f>IF(ISERROR(VLOOKUP(C53,'Base de Datos'!$D$7:$F$4092,2,0))=TRUE,"",(VLOOKUP(C53,'Base de Datos'!$D$7:$F$4092,2,0)))</f>
        <v>160243-0-2016</v>
      </c>
      <c r="E53" s="812" t="s">
        <v>2295</v>
      </c>
      <c r="F53" s="553">
        <v>88000000</v>
      </c>
      <c r="G53" s="784">
        <v>42461</v>
      </c>
      <c r="H53" s="784"/>
      <c r="I53" s="805" t="str">
        <f ca="1">IF(H53=Hoja1!$J$2," ",(IF(MONTH(G53)=MONTH(TODAY()),IF(DAY(G53)&gt;DAY(TODAY()),"Quedan "&amp;ABS(DAY(G53)-DAY(TODAY()))&amp;" Días","Hace "&amp;ABS(DAY(G53)-DAY(TODAY()))&amp;" Días"),"")))</f>
        <v/>
      </c>
      <c r="J53" s="509">
        <f>IF(ISERROR(VLOOKUP(C53,'Base de Datos'!$D$7:$N$4092,6,0))=TRUE,"Sin Celebrar",(VLOOKUP(C53,'Base de Datos'!$D$7:$N$4092,6,0)))</f>
        <v>46980000</v>
      </c>
      <c r="K53" s="585"/>
      <c r="L53" s="509" t="str">
        <f t="shared" si="6"/>
        <v xml:space="preserve"> </v>
      </c>
      <c r="M53" s="509">
        <f t="shared" si="7"/>
        <v>41020000</v>
      </c>
      <c r="N53" s="691" t="str">
        <f>IF(ISERROR(VLOOKUP(C53,'Base de Datos'!$D$7:$K$1048576,7,0))=TRUE," ",(VLOOKUP(C53,'Base de Datos'!$D$7:$K$1048576,7,0)))</f>
        <v>SDH-SMINC-37-2016</v>
      </c>
      <c r="O53" s="524">
        <f>IF(ISERROR(VLOOKUP(C53,'Base de Datos'!$D$7:$N$4077,9,0))=TRUE," ",(VLOOKUP(C53,'Base de Datos'!$D$7:$N$4077,9,0)))</f>
        <v>42643</v>
      </c>
      <c r="P53" s="586" t="e">
        <f>VLOOKUP(B53,#REF!,13,0)</f>
        <v>#REF!</v>
      </c>
      <c r="Q53" s="524">
        <f>IF(ISERROR(VLOOKUP(C53,'Base de Datos'!$D$7:$N$4077,10,0))=TRUE," ",(VLOOKUP(C53,'Base de Datos'!$D$7:$N$4077,10,0)))</f>
        <v>42664</v>
      </c>
      <c r="R53" s="524">
        <f>IF(ISERROR(VLOOKUP(C53,'Base de Datos'!$D$7:$N$4077,11,0))=TRUE," ",(VLOOKUP(C53,'Base de Datos'!$D$7:$N$4077,11,0)))</f>
        <v>42815</v>
      </c>
      <c r="S53" s="587" t="s">
        <v>1991</v>
      </c>
      <c r="T53" s="694"/>
      <c r="U53" s="751"/>
    </row>
    <row r="54" spans="2:21" s="588" customFormat="1" outlineLevel="1" x14ac:dyDescent="0.3">
      <c r="B54" s="600">
        <v>92</v>
      </c>
      <c r="C54" s="600" t="str">
        <f t="shared" si="5"/>
        <v>201692</v>
      </c>
      <c r="D54" s="506"/>
      <c r="E54" s="812" t="s">
        <v>1572</v>
      </c>
      <c r="F54" s="553">
        <v>173000000</v>
      </c>
      <c r="G54" s="784">
        <v>42401</v>
      </c>
      <c r="H54" s="784"/>
      <c r="I54" s="805" t="str">
        <f ca="1">IF(H54=Hoja1!$J$2," ",(IF(MONTH(G54)=MONTH(TODAY()),IF(DAY(G54)&gt;DAY(TODAY()),"Quedan "&amp;ABS(DAY(G54)-DAY(TODAY()))&amp;" Días","Hace "&amp;ABS(DAY(G54)-DAY(TODAY()))&amp;" Días"),"")))</f>
        <v>Hace 0 Días</v>
      </c>
      <c r="J54" s="509">
        <f>IF(ISERROR(VLOOKUP(C54,'Base de Datos'!$D$7:$N$4092,6,0))=TRUE,"Sin Celebrar",(VLOOKUP(C54,'Base de Datos'!$D$7:$N$4092,6,0)))</f>
        <v>173000000</v>
      </c>
      <c r="K54" s="585"/>
      <c r="L54" s="509" t="str">
        <f>IF(J54=$W$7,F54, " ")</f>
        <v xml:space="preserve"> </v>
      </c>
      <c r="M54" s="509"/>
      <c r="N54" s="691"/>
      <c r="O54" s="524">
        <f>IF(ISERROR(VLOOKUP(C54,'Base de Datos'!$D$7:$N$4077,9,0))=TRUE," ",(VLOOKUP(C54,'Base de Datos'!$D$7:$N$4077,9,0)))</f>
        <v>42668</v>
      </c>
      <c r="P54" s="586" t="e">
        <f>VLOOKUP(B54,#REF!,13,0)</f>
        <v>#REF!</v>
      </c>
      <c r="Q54" s="524"/>
      <c r="R54" s="524"/>
      <c r="S54" s="587"/>
      <c r="T54" s="694"/>
      <c r="U54" s="751"/>
    </row>
    <row r="55" spans="2:21" s="588" customFormat="1" ht="22.8" outlineLevel="1" x14ac:dyDescent="0.3">
      <c r="B55" s="600">
        <v>200</v>
      </c>
      <c r="C55" s="600" t="str">
        <f t="shared" si="5"/>
        <v>2016200</v>
      </c>
      <c r="D55" s="506"/>
      <c r="E55" s="812" t="s">
        <v>2396</v>
      </c>
      <c r="F55" s="553">
        <v>89000000</v>
      </c>
      <c r="G55" s="784">
        <v>42475</v>
      </c>
      <c r="H55" s="784"/>
      <c r="I55" s="805" t="str">
        <f ca="1">IF(H55=Hoja1!$J$2," ",(IF(MONTH(G55)=MONTH(TODAY()),IF(DAY(G55)&gt;DAY(TODAY()),"Quedan "&amp;ABS(DAY(G55)-DAY(TODAY()))&amp;" Días","Hace "&amp;ABS(DAY(G55)-DAY(TODAY()))&amp;" Días"),"")))</f>
        <v/>
      </c>
      <c r="J55" s="509" t="str">
        <f>IF(ISERROR(VLOOKUP(C55,'Base de Datos'!$D$7:$N$4092,6,0))=TRUE,"Sin Celebrar",(VLOOKUP(C55,'Base de Datos'!$D$7:$N$4092,6,0)))</f>
        <v>Sin Celebrar</v>
      </c>
      <c r="K55" s="585"/>
      <c r="L55" s="509">
        <f>IF(J55=$W$7,F55, " ")</f>
        <v>89000000</v>
      </c>
      <c r="M55" s="509"/>
      <c r="N55" s="691"/>
      <c r="O55" s="524" t="str">
        <f>IF(ISERROR(VLOOKUP(C55,'Base de Datos'!$D$7:$N$4077,9,0))=TRUE," ",(VLOOKUP(C55,'Base de Datos'!$D$7:$N$4077,9,0)))</f>
        <v xml:space="preserve"> </v>
      </c>
      <c r="P55" s="586" t="e">
        <f>VLOOKUP(B55,#REF!,13,0)</f>
        <v>#REF!</v>
      </c>
      <c r="Q55" s="524"/>
      <c r="R55" s="524"/>
      <c r="S55" s="587"/>
      <c r="T55" s="694"/>
      <c r="U55" s="751"/>
    </row>
    <row r="56" spans="2:21" s="588" customFormat="1" ht="22.8" outlineLevel="1" x14ac:dyDescent="0.3">
      <c r="B56" s="600">
        <v>201</v>
      </c>
      <c r="C56" s="600" t="str">
        <f t="shared" si="5"/>
        <v>2016201</v>
      </c>
      <c r="D56" s="506"/>
      <c r="E56" s="812" t="s">
        <v>2397</v>
      </c>
      <c r="F56" s="553">
        <v>41200000</v>
      </c>
      <c r="G56" s="784">
        <v>42430</v>
      </c>
      <c r="H56" s="784"/>
      <c r="I56" s="805" t="str">
        <f ca="1">IF(H56=Hoja1!$J$2," ",(IF(MONTH(G56)=MONTH(TODAY()),IF(DAY(G56)&gt;DAY(TODAY()),"Quedan "&amp;ABS(DAY(G56)-DAY(TODAY()))&amp;" Días","Hace "&amp;ABS(DAY(G56)-DAY(TODAY()))&amp;" Días"),"")))</f>
        <v/>
      </c>
      <c r="J56" s="509">
        <f>IF(ISERROR(VLOOKUP(C56,'Base de Datos'!$D$7:$N$4092,6,0))=TRUE,"Sin Celebrar",(VLOOKUP(C56,'Base de Datos'!$D$7:$N$4092,6,0)))</f>
        <v>17275885</v>
      </c>
      <c r="K56" s="585"/>
      <c r="L56" s="509" t="str">
        <f>IF(J56=$W$7,F56, " ")</f>
        <v xml:space="preserve"> </v>
      </c>
      <c r="M56" s="509"/>
      <c r="N56" s="691"/>
      <c r="O56" s="524">
        <f>IF(ISERROR(VLOOKUP(C56,'Base de Datos'!$D$7:$N$4077,9,0))=TRUE," ",(VLOOKUP(C56,'Base de Datos'!$D$7:$N$4077,9,0)))</f>
        <v>42647</v>
      </c>
      <c r="P56" s="586" t="e">
        <f>VLOOKUP(B56,#REF!,13,0)</f>
        <v>#REF!</v>
      </c>
      <c r="Q56" s="524"/>
      <c r="R56" s="524"/>
      <c r="S56" s="587"/>
      <c r="T56" s="694"/>
      <c r="U56" s="751"/>
    </row>
    <row r="57" spans="2:21" s="588" customFormat="1" ht="22.8" outlineLevel="1" x14ac:dyDescent="0.3">
      <c r="B57" s="600">
        <v>202</v>
      </c>
      <c r="C57" s="600" t="str">
        <f t="shared" si="5"/>
        <v>2016202</v>
      </c>
      <c r="D57" s="506"/>
      <c r="E57" s="812" t="s">
        <v>2398</v>
      </c>
      <c r="F57" s="553">
        <v>77500000</v>
      </c>
      <c r="G57" s="784">
        <v>42663</v>
      </c>
      <c r="H57" s="784"/>
      <c r="I57" s="805" t="str">
        <f ca="1">IF(H57=Hoja1!$J$2," ",(IF(MONTH(G57)=MONTH(TODAY()),IF(DAY(G57)&gt;DAY(TODAY()),"Quedan "&amp;ABS(DAY(G57)-DAY(TODAY()))&amp;" Días","Hace "&amp;ABS(DAY(G57)-DAY(TODAY()))&amp;" Días"),"")))</f>
        <v/>
      </c>
      <c r="J57" s="509" t="str">
        <f>IF(ISERROR(VLOOKUP(C57,'Base de Datos'!$D$7:$N$4092,6,0))=TRUE,"Sin Celebrar",(VLOOKUP(C57,'Base de Datos'!$D$7:$N$4092,6,0)))</f>
        <v>Sin Celebrar</v>
      </c>
      <c r="K57" s="585"/>
      <c r="L57" s="509">
        <f>IF(J57=$W$7,F57, " ")</f>
        <v>77500000</v>
      </c>
      <c r="M57" s="509"/>
      <c r="N57" s="691"/>
      <c r="O57" s="524" t="str">
        <f>IF(ISERROR(VLOOKUP(C57,'Base de Datos'!$D$7:$N$4077,9,0))=TRUE," ",(VLOOKUP(C57,'Base de Datos'!$D$7:$N$4077,9,0)))</f>
        <v xml:space="preserve"> </v>
      </c>
      <c r="P57" s="586" t="e">
        <f>VLOOKUP(B57,#REF!,13,0)</f>
        <v>#REF!</v>
      </c>
      <c r="Q57" s="524"/>
      <c r="R57" s="524"/>
      <c r="S57" s="587"/>
      <c r="T57" s="694"/>
      <c r="U57" s="751"/>
    </row>
    <row r="58" spans="2:21" s="588" customFormat="1" outlineLevel="1" x14ac:dyDescent="0.3">
      <c r="B58" s="600">
        <v>93</v>
      </c>
      <c r="C58" s="600" t="str">
        <f t="shared" si="5"/>
        <v>201693</v>
      </c>
      <c r="D58" s="506" t="str">
        <f>IF(ISERROR(VLOOKUP(C58,'Base de Datos'!$D$7:$F$4092,2,0))=TRUE,"",(VLOOKUP(C58,'Base de Datos'!$D$7:$F$4092,2,0)))</f>
        <v/>
      </c>
      <c r="E58" s="812" t="s">
        <v>1466</v>
      </c>
      <c r="F58" s="553">
        <v>15000000</v>
      </c>
      <c r="G58" s="784">
        <v>42653</v>
      </c>
      <c r="H58" s="784"/>
      <c r="I58" s="805" t="str">
        <f ca="1">IF(H58=Hoja1!$J$2," ",(IF(MONTH(G58)=MONTH(TODAY()),IF(DAY(G58)&gt;DAY(TODAY()),"Quedan "&amp;ABS(DAY(G58)-DAY(TODAY()))&amp;" Días","Hace "&amp;ABS(DAY(G58)-DAY(TODAY()))&amp;" Días"),"")))</f>
        <v/>
      </c>
      <c r="J58" s="509" t="str">
        <f>IF(ISERROR(VLOOKUP(C58,'Base de Datos'!$D$7:$N$4092,6,0))=TRUE,"Sin Celebrar",(VLOOKUP(C58,'Base de Datos'!$D$7:$N$4092,6,0)))</f>
        <v>Sin Celebrar</v>
      </c>
      <c r="K58" s="585"/>
      <c r="L58" s="509">
        <f t="shared" si="6"/>
        <v>15000000</v>
      </c>
      <c r="M58" s="509" t="str">
        <f t="shared" si="7"/>
        <v xml:space="preserve"> </v>
      </c>
      <c r="N58" s="691" t="str">
        <f>IF(ISERROR(VLOOKUP(C58,'Base de Datos'!$D$7:$K$1048576,7,0))=TRUE," ",(VLOOKUP(C58,'Base de Datos'!$D$7:$K$1048576,7,0)))</f>
        <v xml:space="preserve"> </v>
      </c>
      <c r="O58" s="524" t="str">
        <f>IF(ISERROR(VLOOKUP(C58,'Base de Datos'!$D$7:$N$4077,9,0))=TRUE," ",(VLOOKUP(C58,'Base de Datos'!$D$7:$N$4077,9,0)))</f>
        <v xml:space="preserve"> </v>
      </c>
      <c r="P58" s="586" t="e">
        <f>VLOOKUP(B58,#REF!,13,0)</f>
        <v>#REF!</v>
      </c>
      <c r="Q58" s="524" t="str">
        <f>IF(ISERROR(VLOOKUP(C58,'Base de Datos'!$D$7:$N$4077,10,0))=TRUE," ",(VLOOKUP(C58,'Base de Datos'!$D$7:$N$4077,10,0)))</f>
        <v xml:space="preserve"> </v>
      </c>
      <c r="R58" s="524" t="str">
        <f>IF(ISERROR(VLOOKUP(C58,'Base de Datos'!$D$7:$N$4077,11,0))=TRUE," ",(VLOOKUP(C58,'Base de Datos'!$D$7:$N$4077,11,0)))</f>
        <v xml:space="preserve"> </v>
      </c>
      <c r="S58" s="587" t="s">
        <v>1991</v>
      </c>
      <c r="T58" s="694"/>
      <c r="U58" s="751"/>
    </row>
    <row r="59" spans="2:21" s="588" customFormat="1" outlineLevel="1" x14ac:dyDescent="0.3">
      <c r="B59" s="679"/>
      <c r="C59" s="679"/>
      <c r="D59" s="680"/>
      <c r="E59" s="680" t="s">
        <v>1934</v>
      </c>
      <c r="F59" s="782"/>
      <c r="G59" s="790"/>
      <c r="H59" s="790"/>
      <c r="I59" s="528"/>
      <c r="J59" s="553"/>
      <c r="K59" s="682"/>
      <c r="L59" s="553"/>
      <c r="M59" s="553" t="str">
        <f t="shared" si="7"/>
        <v xml:space="preserve"> </v>
      </c>
      <c r="N59" s="752" t="str">
        <f>IF(ISERROR(VLOOKUP(B59,'Base de Datos'!$C$7:$K$1048576,7,0))=TRUE," ",(VLOOKUP(B59,'Base de Datos'!$C$7:$K$1048576,7,0)))</f>
        <v xml:space="preserve"> </v>
      </c>
      <c r="O59" s="586" t="str">
        <f>IF(ISERROR(VLOOKUP(B59,'Base de Datos'!$C$7:$N$4077,9,0))=TRUE," ",(VLOOKUP(B59,'Base de Datos'!$C$7:$N$4077,9,0)))</f>
        <v xml:space="preserve"> </v>
      </c>
      <c r="P59" s="586"/>
      <c r="Q59" s="683" t="str">
        <f>IF(ISERROR(VLOOKUP(B59,'Base de Datos'!$C$7:$N$315,10,0))=TRUE," ",(VLOOKUP(B59,'Base de Datos'!$C$7:$N$315,10,0)))</f>
        <v xml:space="preserve"> </v>
      </c>
      <c r="R59" s="683" t="str">
        <f>IF(ISERROR(VLOOKUP(B59,'Base de Datos'!$C$7:$N$315,11,0))=TRUE," ",(VLOOKUP(B59,'Base de Datos'!$C$7:$N$315,11,0)))</f>
        <v xml:space="preserve"> </v>
      </c>
      <c r="S59" s="587"/>
      <c r="T59" s="694"/>
      <c r="U59" s="751"/>
    </row>
    <row r="60" spans="2:21" s="588" customFormat="1" ht="12" outlineLevel="1" x14ac:dyDescent="0.3">
      <c r="B60" s="1272"/>
      <c r="C60" s="1272"/>
      <c r="D60" s="1272"/>
      <c r="E60" s="1272"/>
      <c r="F60" s="553"/>
      <c r="G60" s="784"/>
      <c r="H60" s="784"/>
      <c r="I60" s="507"/>
      <c r="J60" s="553"/>
      <c r="K60" s="585"/>
      <c r="L60" s="553"/>
      <c r="M60" s="553"/>
      <c r="N60" s="663"/>
      <c r="O60" s="586"/>
      <c r="P60" s="587"/>
      <c r="Q60" s="586"/>
      <c r="R60" s="586"/>
      <c r="S60" s="587"/>
      <c r="T60" s="694"/>
      <c r="U60" s="751"/>
    </row>
    <row r="61" spans="2:21" x14ac:dyDescent="0.3">
      <c r="B61" s="1274" t="s">
        <v>1648</v>
      </c>
      <c r="C61" s="1274"/>
      <c r="D61" s="1274"/>
      <c r="E61" s="1274"/>
      <c r="F61" s="764"/>
      <c r="G61" s="763">
        <f>COUNT(G63:G65)</f>
        <v>3</v>
      </c>
      <c r="H61" s="763">
        <f>COUNTIF(H63:H66,Hoja1!$J$2)</f>
        <v>0</v>
      </c>
      <c r="I61" s="765"/>
      <c r="J61" s="764">
        <f>SUM(J63:J66)</f>
        <v>0</v>
      </c>
      <c r="K61" s="766" t="e">
        <f>J61/F61</f>
        <v>#DIV/0!</v>
      </c>
      <c r="L61" s="764">
        <f>SUM(L63:L66)</f>
        <v>300919000</v>
      </c>
      <c r="M61" s="764">
        <f>+F61-J61-L61</f>
        <v>-300919000</v>
      </c>
      <c r="N61" s="768"/>
      <c r="O61" s="769" t="str">
        <f>IF(ISERROR(VLOOKUP(B61,'Base de Datos'!$C$7:$N$315,8,0))=TRUE," ",(VLOOKUP(B61,'Base de Datos'!$C$7:$N$315,8,0)))</f>
        <v xml:space="preserve"> </v>
      </c>
      <c r="P61" s="770"/>
      <c r="Q61" s="769" t="str">
        <f>IF(ISERROR(VLOOKUP(B61,'Base de Datos'!$C$7:$N$315,9,0))=TRUE," ",(VLOOKUP(B61,'Base de Datos'!$C$7:$N$315,9,0)))</f>
        <v xml:space="preserve"> </v>
      </c>
      <c r="R61" s="769" t="str">
        <f>IF(ISERROR(VLOOKUP(B61,'Base de Datos'!$C$7:$N$315,10,0))=TRUE," ",(VLOOKUP(B61,'Base de Datos'!$C$7:$N$315,10,0)))</f>
        <v xml:space="preserve"> </v>
      </c>
      <c r="S61" s="762"/>
      <c r="T61" s="694"/>
      <c r="U61" s="607"/>
    </row>
    <row r="62" spans="2:21" s="588" customFormat="1" ht="22.8" outlineLevel="1" x14ac:dyDescent="0.3">
      <c r="B62" s="600" t="s">
        <v>2341</v>
      </c>
      <c r="C62" s="600"/>
      <c r="D62" s="600" t="s">
        <v>912</v>
      </c>
      <c r="E62" s="600" t="s">
        <v>1821</v>
      </c>
      <c r="F62" s="748" t="s">
        <v>1845</v>
      </c>
      <c r="G62" s="784" t="s">
        <v>2343</v>
      </c>
      <c r="H62" s="784" t="s">
        <v>2347</v>
      </c>
      <c r="I62" s="507" t="s">
        <v>2348</v>
      </c>
      <c r="J62" s="600" t="s">
        <v>1844</v>
      </c>
      <c r="K62" s="585"/>
      <c r="L62" s="600" t="s">
        <v>1938</v>
      </c>
      <c r="M62" s="600" t="s">
        <v>1939</v>
      </c>
      <c r="N62" s="749" t="s">
        <v>1121</v>
      </c>
      <c r="O62" s="750" t="s">
        <v>1846</v>
      </c>
      <c r="P62" s="600" t="s">
        <v>1847</v>
      </c>
      <c r="Q62" s="600" t="s">
        <v>1848</v>
      </c>
      <c r="R62" s="600" t="s">
        <v>375</v>
      </c>
      <c r="S62" s="600" t="s">
        <v>1849</v>
      </c>
      <c r="T62" s="694"/>
      <c r="U62" s="751"/>
    </row>
    <row r="63" spans="2:21" s="588" customFormat="1" ht="22.8" outlineLevel="1" x14ac:dyDescent="0.3">
      <c r="B63" s="600">
        <v>196</v>
      </c>
      <c r="C63" s="600" t="str">
        <f>$W$6&amp;B63</f>
        <v>2016196</v>
      </c>
      <c r="D63" s="506" t="str">
        <f>IF(ISERROR(VLOOKUP(C63,'Base de Datos'!$D$7:$F$4092,2,0))=TRUE,"",(VLOOKUP(C63,'Base de Datos'!$D$7:$F$4092,2,0)))</f>
        <v/>
      </c>
      <c r="E63" s="587" t="s">
        <v>2399</v>
      </c>
      <c r="F63" s="553">
        <v>11000000</v>
      </c>
      <c r="G63" s="784">
        <v>42583</v>
      </c>
      <c r="H63" s="784"/>
      <c r="I63" s="805" t="str">
        <f ca="1">IF(H63=Hoja1!$J$2," ",(IF(MONTH(G63)=MONTH(TODAY()),IF(DAY(G63)&gt;DAY(TODAY()),"Quedan "&amp;ABS(DAY(G63)-DAY(TODAY()))&amp;" Días","Hace "&amp;ABS(DAY(G63)-DAY(TODAY()))&amp;" Días"),"")))</f>
        <v/>
      </c>
      <c r="J63" s="509" t="str">
        <f>IF(ISERROR(VLOOKUP(C63,'Base de Datos'!$D$7:$N$4092,6,0))=TRUE,"Sin Celebrar",(VLOOKUP(C63,'Base de Datos'!$D$7:$N$4092,6,0)))</f>
        <v>Sin Celebrar</v>
      </c>
      <c r="K63" s="585"/>
      <c r="L63" s="509">
        <f>IF(J63=$W$7,F63, " ")</f>
        <v>11000000</v>
      </c>
      <c r="M63" s="509" t="str">
        <f>IF(J63&lt;F63,(F63-J63)," ")</f>
        <v xml:space="preserve"> </v>
      </c>
      <c r="N63" s="691" t="str">
        <f>IF(ISERROR(VLOOKUP(C63,'Base de Datos'!$D$7:$K$1048576,7,0))=TRUE," ",(VLOOKUP(C63,'Base de Datos'!$D$7:$K$1048576,7,0)))</f>
        <v xml:space="preserve"> </v>
      </c>
      <c r="O63" s="524" t="str">
        <f>IF(ISERROR(VLOOKUP(C63,'Base de Datos'!$D$7:$N$4077,9,0))=TRUE," ",(VLOOKUP(C63,'Base de Datos'!$D$7:$N$4077,9,0)))</f>
        <v xml:space="preserve"> </v>
      </c>
      <c r="P63" s="586" t="e">
        <f>VLOOKUP(B63,#REF!,13,0)</f>
        <v>#REF!</v>
      </c>
      <c r="Q63" s="524" t="str">
        <f>IF(ISERROR(VLOOKUP(C63,'Base de Datos'!$D$7:$N$4077,10,0))=TRUE," ",(VLOOKUP(C63,'Base de Datos'!$D$7:$N$4077,10,0)))</f>
        <v xml:space="preserve"> </v>
      </c>
      <c r="R63" s="524" t="str">
        <f>IF(ISERROR(VLOOKUP(C63,'Base de Datos'!$D$7:$N$4077,11,0))=TRUE," ",(VLOOKUP(C63,'Base de Datos'!$D$7:$N$4077,11,0)))</f>
        <v xml:space="preserve"> </v>
      </c>
      <c r="S63" s="587" t="s">
        <v>2349</v>
      </c>
      <c r="T63" s="694"/>
      <c r="U63" s="751"/>
    </row>
    <row r="64" spans="2:21" s="588" customFormat="1" ht="22.8" outlineLevel="1" x14ac:dyDescent="0.3">
      <c r="B64" s="600">
        <v>197</v>
      </c>
      <c r="C64" s="600" t="str">
        <f>$W$6&amp;B64</f>
        <v>2016197</v>
      </c>
      <c r="D64" s="506" t="str">
        <f>IF(ISERROR(VLOOKUP(C64,'Base de Datos'!$D$7:$F$4092,2,0))=TRUE,"",(VLOOKUP(C64,'Base de Datos'!$D$7:$F$4092,2,0)))</f>
        <v/>
      </c>
      <c r="E64" s="587" t="s">
        <v>2296</v>
      </c>
      <c r="F64" s="553">
        <v>2319000</v>
      </c>
      <c r="G64" s="784">
        <v>42583</v>
      </c>
      <c r="H64" s="784"/>
      <c r="I64" s="805" t="str">
        <f ca="1">IF(H64=Hoja1!$J$2," ",(IF(MONTH(G64)=MONTH(TODAY()),IF(DAY(G64)&gt;DAY(TODAY()),"Quedan "&amp;ABS(DAY(G64)-DAY(TODAY()))&amp;" Días","Hace "&amp;ABS(DAY(G64)-DAY(TODAY()))&amp;" Días"),"")))</f>
        <v/>
      </c>
      <c r="J64" s="509" t="str">
        <f>IF(ISERROR(VLOOKUP(C64,'Base de Datos'!$D$7:$N$4092,6,0))=TRUE,"Sin Celebrar",(VLOOKUP(C64,'Base de Datos'!$D$7:$N$4092,6,0)))</f>
        <v>Sin Celebrar</v>
      </c>
      <c r="K64" s="585"/>
      <c r="L64" s="509">
        <f>IF(J64=$W$7,F64, " ")</f>
        <v>2319000</v>
      </c>
      <c r="M64" s="509" t="str">
        <f>IF(J64&lt;F64,(F64-J64)," ")</f>
        <v xml:space="preserve"> </v>
      </c>
      <c r="N64" s="691" t="str">
        <f>IF(ISERROR(VLOOKUP(C64,'Base de Datos'!$D$7:$K$1048576,7,0))=TRUE," ",(VLOOKUP(C64,'Base de Datos'!$D$7:$K$1048576,7,0)))</f>
        <v xml:space="preserve"> </v>
      </c>
      <c r="O64" s="524" t="str">
        <f>IF(ISERROR(VLOOKUP(C64,'Base de Datos'!$D$7:$N$4077,9,0))=TRUE," ",(VLOOKUP(C64,'Base de Datos'!$D$7:$N$4077,9,0)))</f>
        <v xml:space="preserve"> </v>
      </c>
      <c r="P64" s="586" t="e">
        <f>VLOOKUP(B64,#REF!,13,0)</f>
        <v>#REF!</v>
      </c>
      <c r="Q64" s="524" t="str">
        <f>IF(ISERROR(VLOOKUP(C64,'Base de Datos'!$D$7:$N$4077,10,0))=TRUE," ",(VLOOKUP(C64,'Base de Datos'!$D$7:$N$4077,10,0)))</f>
        <v xml:space="preserve"> </v>
      </c>
      <c r="R64" s="524" t="str">
        <f>IF(ISERROR(VLOOKUP(C64,'Base de Datos'!$D$7:$N$4077,11,0))=TRUE," ",(VLOOKUP(C64,'Base de Datos'!$D$7:$N$4077,11,0)))</f>
        <v xml:space="preserve"> </v>
      </c>
      <c r="S64" s="587" t="s">
        <v>2350</v>
      </c>
      <c r="T64" s="694"/>
      <c r="U64" s="751"/>
    </row>
    <row r="65" spans="2:21" s="588" customFormat="1" ht="22.8" outlineLevel="1" x14ac:dyDescent="0.3">
      <c r="B65" s="679">
        <v>195</v>
      </c>
      <c r="C65" s="600" t="str">
        <f>$W$6&amp;B65</f>
        <v>2016195</v>
      </c>
      <c r="D65" s="506" t="str">
        <f>IF(ISERROR(VLOOKUP(C65,'Base de Datos'!$D$7:$F$4092,2,0))=TRUE,"",(VLOOKUP(C65,'Base de Datos'!$D$7:$F$4092,2,0)))</f>
        <v/>
      </c>
      <c r="E65" s="587" t="s">
        <v>2297</v>
      </c>
      <c r="F65" s="681">
        <v>287600000</v>
      </c>
      <c r="G65" s="787">
        <v>42371</v>
      </c>
      <c r="H65" s="784"/>
      <c r="I65" s="805" t="str">
        <f ca="1">IF(H65=Hoja1!$J$2," ",(IF(MONTH(G65)=MONTH(TODAY()),IF(DAY(G65)&gt;DAY(TODAY()),"Quedan "&amp;ABS(DAY(G65)-DAY(TODAY()))&amp;" Días","Hace "&amp;ABS(DAY(G65)-DAY(TODAY()))&amp;" Días"),"")))</f>
        <v/>
      </c>
      <c r="J65" s="509" t="str">
        <f>IF(ISERROR(VLOOKUP(C65,'Base de Datos'!$D$7:$N$4092,6,0))=TRUE,"Sin Celebrar",(VLOOKUP(C65,'Base de Datos'!$D$7:$N$4092,6,0)))</f>
        <v>Sin Celebrar</v>
      </c>
      <c r="K65" s="682"/>
      <c r="L65" s="509">
        <f>IF(J65=$W$7,F65, " ")</f>
        <v>287600000</v>
      </c>
      <c r="M65" s="509" t="str">
        <f>IF(J65&lt;F65,(F65-J65)," ")</f>
        <v xml:space="preserve"> </v>
      </c>
      <c r="N65" s="691" t="str">
        <f>IF(ISERROR(VLOOKUP(C65,'Base de Datos'!$D$7:$K$1048576,7,0))=TRUE," ",(VLOOKUP(C65,'Base de Datos'!$D$7:$K$1048576,7,0)))</f>
        <v xml:space="preserve"> </v>
      </c>
      <c r="O65" s="524" t="str">
        <f>IF(ISERROR(VLOOKUP(C65,'Base de Datos'!$D$7:$N$4077,9,0))=TRUE," ",(VLOOKUP(C65,'Base de Datos'!$D$7:$N$4077,9,0)))</f>
        <v xml:space="preserve"> </v>
      </c>
      <c r="P65" s="586" t="e">
        <f>VLOOKUP(B65,#REF!,13,0)</f>
        <v>#REF!</v>
      </c>
      <c r="Q65" s="524" t="str">
        <f>IF(ISERROR(VLOOKUP(C65,'Base de Datos'!$D$7:$N$4077,10,0))=TRUE," ",(VLOOKUP(C65,'Base de Datos'!$D$7:$N$4077,10,0)))</f>
        <v xml:space="preserve"> </v>
      </c>
      <c r="R65" s="524" t="str">
        <f>IF(ISERROR(VLOOKUP(C65,'Base de Datos'!$D$7:$N$4077,11,0))=TRUE," ",(VLOOKUP(C65,'Base de Datos'!$D$7:$N$4077,11,0)))</f>
        <v xml:space="preserve"> </v>
      </c>
      <c r="S65" s="587" t="s">
        <v>1509</v>
      </c>
      <c r="T65" s="694"/>
      <c r="U65" s="751"/>
    </row>
    <row r="66" spans="2:21" s="588" customFormat="1" ht="12" outlineLevel="1" x14ac:dyDescent="0.3">
      <c r="B66" s="783"/>
      <c r="C66" s="783"/>
      <c r="D66" s="783"/>
      <c r="E66" s="587" t="s">
        <v>1937</v>
      </c>
      <c r="F66" s="553"/>
      <c r="G66" s="784"/>
      <c r="H66" s="784"/>
      <c r="I66" s="620"/>
      <c r="J66" s="681"/>
      <c r="K66" s="585"/>
      <c r="L66" s="681"/>
      <c r="M66" s="681" t="str">
        <f>IF(J66&lt;F66,(F66-J66)," ")</f>
        <v xml:space="preserve"> </v>
      </c>
      <c r="N66" s="781"/>
      <c r="O66" s="586" t="str">
        <f>IF(ISERROR(VLOOKUP(B66,'Base de Datos'!$C$7:$N$315,9,0))=TRUE," ",(VLOOKUP(B66,'Base de Datos'!$C$7:$N$315,9,0)))</f>
        <v xml:space="preserve"> </v>
      </c>
      <c r="P66" s="587"/>
      <c r="Q66" s="683" t="str">
        <f>IF(ISERROR(VLOOKUP(B66,'Base de Datos'!$C$7:$N$315,10,0))=TRUE," ",(VLOOKUP(B66,'Base de Datos'!$C$7:$N$315,10,0)))</f>
        <v xml:space="preserve"> </v>
      </c>
      <c r="R66" s="683" t="str">
        <f>IF(ISERROR(VLOOKUP(B66,'Base de Datos'!$C$7:$N$315,11,0))=TRUE," ",(VLOOKUP(B66,'Base de Datos'!$C$7:$N$315,11,0)))</f>
        <v xml:space="preserve"> </v>
      </c>
      <c r="S66" s="618"/>
      <c r="T66" s="694"/>
      <c r="U66" s="751"/>
    </row>
    <row r="67" spans="2:21" s="588" customFormat="1" ht="12" outlineLevel="1" x14ac:dyDescent="0.3">
      <c r="B67" s="783"/>
      <c r="C67" s="783"/>
      <c r="D67" s="783"/>
      <c r="E67" s="783"/>
      <c r="F67" s="553"/>
      <c r="G67" s="784"/>
      <c r="H67" s="784"/>
      <c r="I67" s="620"/>
      <c r="J67" s="553"/>
      <c r="K67" s="585"/>
      <c r="L67" s="553"/>
      <c r="M67" s="553"/>
      <c r="N67" s="663"/>
      <c r="O67" s="586"/>
      <c r="P67" s="587"/>
      <c r="Q67" s="586"/>
      <c r="R67" s="586"/>
      <c r="S67" s="587"/>
      <c r="T67" s="694"/>
      <c r="U67" s="751"/>
    </row>
    <row r="68" spans="2:21" x14ac:dyDescent="0.3">
      <c r="B68" s="1274" t="s">
        <v>1649</v>
      </c>
      <c r="C68" s="1274"/>
      <c r="D68" s="1274"/>
      <c r="E68" s="1274"/>
      <c r="F68" s="764"/>
      <c r="G68" s="763">
        <f>COUNT(G70:G72)</f>
        <v>3</v>
      </c>
      <c r="H68" s="763">
        <f>COUNTIF(H70:H73,Hoja1!$J$2)</f>
        <v>0</v>
      </c>
      <c r="I68" s="765"/>
      <c r="J68" s="764">
        <f>SUM(J70:J73)</f>
        <v>138767000</v>
      </c>
      <c r="K68" s="766" t="e">
        <f>J68/F68</f>
        <v>#DIV/0!</v>
      </c>
      <c r="L68" s="764">
        <f>SUM(L70:L73)</f>
        <v>0</v>
      </c>
      <c r="M68" s="764">
        <f>+F68-J68-L68</f>
        <v>-138767000</v>
      </c>
      <c r="N68" s="768"/>
      <c r="O68" s="769" t="str">
        <f>IF(ISERROR(VLOOKUP(B68,'Base de Datos'!$C$7:$N$315,8,0))=TRUE," ",(VLOOKUP(B68,'Base de Datos'!$C$7:$N$315,8,0)))</f>
        <v xml:space="preserve"> </v>
      </c>
      <c r="P68" s="770"/>
      <c r="Q68" s="769" t="str">
        <f>IF(ISERROR(VLOOKUP(B68,'Base de Datos'!$C$7:$N$315,9,0))=TRUE," ",(VLOOKUP(B68,'Base de Datos'!$C$7:$N$315,9,0)))</f>
        <v xml:space="preserve"> </v>
      </c>
      <c r="R68" s="769" t="str">
        <f>IF(ISERROR(VLOOKUP(B68,'Base de Datos'!$C$7:$N$315,10,0))=TRUE," ",(VLOOKUP(B68,'Base de Datos'!$C$7:$N$315,10,0)))</f>
        <v xml:space="preserve"> </v>
      </c>
      <c r="S68" s="762"/>
      <c r="T68" s="694"/>
      <c r="U68" s="607"/>
    </row>
    <row r="69" spans="2:21" ht="22.8" outlineLevel="1" x14ac:dyDescent="0.3">
      <c r="B69" s="600" t="s">
        <v>2341</v>
      </c>
      <c r="C69" s="600"/>
      <c r="D69" s="600" t="s">
        <v>912</v>
      </c>
      <c r="E69" s="600" t="s">
        <v>1821</v>
      </c>
      <c r="F69" s="748" t="s">
        <v>1845</v>
      </c>
      <c r="G69" s="784" t="s">
        <v>2343</v>
      </c>
      <c r="H69" s="784" t="s">
        <v>2347</v>
      </c>
      <c r="I69" s="507" t="s">
        <v>2348</v>
      </c>
      <c r="J69" s="600" t="s">
        <v>1844</v>
      </c>
      <c r="K69" s="585"/>
      <c r="L69" s="600" t="s">
        <v>1938</v>
      </c>
      <c r="M69" s="600" t="s">
        <v>1939</v>
      </c>
      <c r="N69" s="749" t="s">
        <v>1121</v>
      </c>
      <c r="O69" s="750" t="s">
        <v>1846</v>
      </c>
      <c r="P69" s="600" t="s">
        <v>1847</v>
      </c>
      <c r="Q69" s="600" t="s">
        <v>1848</v>
      </c>
      <c r="R69" s="600" t="s">
        <v>375</v>
      </c>
      <c r="S69" s="600" t="s">
        <v>1849</v>
      </c>
      <c r="T69" s="694"/>
      <c r="U69" s="607"/>
    </row>
    <row r="70" spans="2:21" ht="22.8" outlineLevel="1" x14ac:dyDescent="0.3">
      <c r="B70" s="510">
        <v>208</v>
      </c>
      <c r="C70" s="600" t="str">
        <f>$W$6&amp;B70</f>
        <v>2016208</v>
      </c>
      <c r="D70" s="506" t="str">
        <f>IF(ISERROR(VLOOKUP(C70,'Base de Datos'!$D$7:$F$4092,2,0))=TRUE,"",(VLOOKUP(C70,'Base de Datos'!$D$7:$F$4092,2,0)))</f>
        <v>160225-0-2016</v>
      </c>
      <c r="E70" s="587" t="s">
        <v>2298</v>
      </c>
      <c r="F70" s="509">
        <v>71482000</v>
      </c>
      <c r="G70" s="785">
        <v>42401</v>
      </c>
      <c r="H70" s="784"/>
      <c r="I70" s="805" t="str">
        <f ca="1">IF(H70=Hoja1!$J$2," ",(IF(MONTH(G70)=MONTH(TODAY()),IF(DAY(G70)&gt;DAY(TODAY()),"Quedan "&amp;ABS(DAY(G70)-DAY(TODAY()))&amp;" Días","Hace "&amp;ABS(DAY(G70)-DAY(TODAY()))&amp;" Días"),"")))</f>
        <v>Hace 0 Días</v>
      </c>
      <c r="J70" s="509">
        <f>IF(ISERROR(VLOOKUP(C70,'Base de Datos'!$D$7:$N$4092,6,0))=TRUE,"Sin Celebrar",(VLOOKUP(C70,'Base de Datos'!$D$7:$N$4092,6,0)))</f>
        <v>71482000</v>
      </c>
      <c r="K70" s="573"/>
      <c r="L70" s="509" t="str">
        <f>IF(J70=$W$7,F70, " ")</f>
        <v xml:space="preserve"> </v>
      </c>
      <c r="M70" s="509" t="str">
        <f>IF(J70&lt;F70,(F70-J70)," ")</f>
        <v xml:space="preserve"> </v>
      </c>
      <c r="N70" s="691" t="str">
        <f>IF(ISERROR(VLOOKUP(C70,'Base de Datos'!$D$7:$K$1048576,7,0))=TRUE," ",(VLOOKUP(C70,'Base de Datos'!$D$7:$K$1048576,7,0)))</f>
        <v>SDH-SIE-11-2016</v>
      </c>
      <c r="O70" s="524">
        <f>IF(ISERROR(VLOOKUP(C70,'Base de Datos'!$D$7:$N$4077,9,0))=TRUE," ",(VLOOKUP(C70,'Base de Datos'!$D$7:$N$4077,9,0)))</f>
        <v>42629</v>
      </c>
      <c r="P70" s="586" t="e">
        <f>VLOOKUP(B70,#REF!,13,0)</f>
        <v>#REF!</v>
      </c>
      <c r="Q70" s="524">
        <f>IF(ISERROR(VLOOKUP(C70,'Base de Datos'!$D$7:$N$4077,10,0))=TRUE," ",(VLOOKUP(C70,'Base de Datos'!$D$7:$N$4077,10,0)))</f>
        <v>42646</v>
      </c>
      <c r="R70" s="524">
        <f>IF(ISERROR(VLOOKUP(C70,'Base de Datos'!$D$7:$N$4077,11,0))=TRUE," ",(VLOOKUP(C70,'Base de Datos'!$D$7:$N$4077,11,0)))</f>
        <v>42858</v>
      </c>
      <c r="S70" s="587" t="s">
        <v>1509</v>
      </c>
      <c r="T70" s="694"/>
      <c r="U70" s="607"/>
    </row>
    <row r="71" spans="2:21" ht="22.8" outlineLevel="1" x14ac:dyDescent="0.3">
      <c r="B71" s="510">
        <v>207</v>
      </c>
      <c r="C71" s="600" t="str">
        <f>$W$6&amp;B71</f>
        <v>2016207</v>
      </c>
      <c r="D71" s="506" t="str">
        <f>IF(ISERROR(VLOOKUP(C71,'Base de Datos'!$D$7:$F$4092,2,0))=TRUE,"",(VLOOKUP(C71,'Base de Datos'!$D$7:$F$4092,2,0)))</f>
        <v>160307-0-2016</v>
      </c>
      <c r="E71" s="587" t="s">
        <v>1137</v>
      </c>
      <c r="F71" s="509">
        <v>136990000</v>
      </c>
      <c r="G71" s="785">
        <v>42374</v>
      </c>
      <c r="H71" s="784"/>
      <c r="I71" s="805" t="str">
        <f ca="1">IF(H71=Hoja1!$J$2," ",(IF(MONTH(G71)=MONTH(TODAY()),IF(DAY(G71)&gt;DAY(TODAY()),"Quedan "&amp;ABS(DAY(G71)-DAY(TODAY()))&amp;" Días","Hace "&amp;ABS(DAY(G71)-DAY(TODAY()))&amp;" Días"),"")))</f>
        <v/>
      </c>
      <c r="J71" s="509">
        <f>IF(ISERROR(VLOOKUP(C71,'Base de Datos'!$D$7:$N$4092,6,0))=TRUE,"Sin Celebrar",(VLOOKUP(C71,'Base de Datos'!$D$7:$N$4092,6,0)))</f>
        <v>64285000</v>
      </c>
      <c r="K71" s="573"/>
      <c r="L71" s="509" t="str">
        <f>IF(J71=$W$7,F71, " ")</f>
        <v xml:space="preserve"> </v>
      </c>
      <c r="M71" s="509">
        <f>IF(J71&lt;F71,(F71-J71)," ")</f>
        <v>72705000</v>
      </c>
      <c r="N71" s="691" t="str">
        <f>IF(ISERROR(VLOOKUP(C71,'Base de Datos'!$D$7:$K$1048576,7,0))=TRUE," ",(VLOOKUP(C71,'Base de Datos'!$D$7:$K$1048576,7,0)))</f>
        <v>SDH-SMINC-48-2016</v>
      </c>
      <c r="O71" s="524">
        <f>IF(ISERROR(VLOOKUP(C71,'Base de Datos'!$D$7:$N$4077,9,0))=TRUE," ",(VLOOKUP(C71,'Base de Datos'!$D$7:$N$4077,9,0)))</f>
        <v>42726</v>
      </c>
      <c r="P71" s="586" t="e">
        <f>VLOOKUP(B71,#REF!,13,0)</f>
        <v>#REF!</v>
      </c>
      <c r="Q71" s="524">
        <f>IF(ISERROR(VLOOKUP(C71,'Base de Datos'!$D$7:$N$4077,10,0))=TRUE," ",(VLOOKUP(C71,'Base de Datos'!$D$7:$N$4077,10,0)))</f>
        <v>42730</v>
      </c>
      <c r="R71" s="524">
        <f>IF(ISERROR(VLOOKUP(C71,'Base de Datos'!$D$7:$N$4077,11,0))=TRUE," ",(VLOOKUP(C71,'Base de Datos'!$D$7:$N$4077,11,0)))</f>
        <v>42797</v>
      </c>
      <c r="S71" s="506" t="s">
        <v>2075</v>
      </c>
      <c r="T71" s="694"/>
      <c r="U71" s="607"/>
    </row>
    <row r="72" spans="2:21" ht="22.8" outlineLevel="1" x14ac:dyDescent="0.3">
      <c r="B72" s="510">
        <v>209</v>
      </c>
      <c r="C72" s="600" t="str">
        <f>$W$6&amp;B72</f>
        <v>2016209</v>
      </c>
      <c r="D72" s="506" t="str">
        <f>IF(ISERROR(VLOOKUP(C72,'Base de Datos'!$D$7:$F$4092,2,0))=TRUE,"",(VLOOKUP(C72,'Base de Datos'!$D$7:$F$4092,2,0)))</f>
        <v>160284-0-2016</v>
      </c>
      <c r="E72" s="587" t="s">
        <v>2299</v>
      </c>
      <c r="F72" s="509">
        <v>5150400</v>
      </c>
      <c r="G72" s="785">
        <v>42491</v>
      </c>
      <c r="H72" s="784"/>
      <c r="I72" s="805" t="str">
        <f ca="1">IF(H72=Hoja1!$J$2," ",(IF(MONTH(G72)=MONTH(TODAY()),IF(DAY(G72)&gt;DAY(TODAY()),"Quedan "&amp;ABS(DAY(G72)-DAY(TODAY()))&amp;" Días","Hace "&amp;ABS(DAY(G72)-DAY(TODAY()))&amp;" Días"),"")))</f>
        <v/>
      </c>
      <c r="J72" s="509">
        <f>IF(ISERROR(VLOOKUP(C72,'Base de Datos'!$D$7:$N$4092,6,0))=TRUE,"Sin Celebrar",(VLOOKUP(C72,'Base de Datos'!$D$7:$N$4092,6,0)))</f>
        <v>3000000</v>
      </c>
      <c r="K72" s="573"/>
      <c r="L72" s="509" t="str">
        <f>IF(J72=$W$7,F72, " ")</f>
        <v xml:space="preserve"> </v>
      </c>
      <c r="M72" s="509">
        <f>IF(J72&lt;F72,(F72-J72)," ")</f>
        <v>2150400</v>
      </c>
      <c r="N72" s="691" t="str">
        <f>IF(ISERROR(VLOOKUP(C72,'Base de Datos'!$D$7:$K$1048576,7,0))=TRUE," ",(VLOOKUP(C72,'Base de Datos'!$D$7:$K$1048576,7,0)))</f>
        <v>SDH-SMINC-44-2016</v>
      </c>
      <c r="O72" s="524">
        <f>IF(ISERROR(VLOOKUP(C72,'Base de Datos'!$D$7:$N$4077,9,0))=TRUE," ",(VLOOKUP(C72,'Base de Datos'!$D$7:$N$4077,9,0)))</f>
        <v>42703</v>
      </c>
      <c r="P72" s="586" t="e">
        <f>VLOOKUP(B72,#REF!,13,0)</f>
        <v>#REF!</v>
      </c>
      <c r="Q72" s="524">
        <f>IF(ISERROR(VLOOKUP(C72,'Base de Datos'!$D$7:$N$4077,10,0))=TRUE," ",(VLOOKUP(C72,'Base de Datos'!$D$7:$N$4077,10,0)))</f>
        <v>42726</v>
      </c>
      <c r="R72" s="524">
        <f>IF(ISERROR(VLOOKUP(C72,'Base de Datos'!$D$7:$N$4077,11,0))=TRUE," ",(VLOOKUP(C72,'Base de Datos'!$D$7:$N$4077,11,0)))</f>
        <v>42847</v>
      </c>
      <c r="S72" s="587" t="s">
        <v>2350</v>
      </c>
      <c r="T72" s="694"/>
      <c r="U72" s="607"/>
    </row>
    <row r="73" spans="2:21" ht="12" outlineLevel="1" x14ac:dyDescent="0.3">
      <c r="B73" s="621"/>
      <c r="C73" s="621"/>
      <c r="D73" s="621"/>
      <c r="E73" s="506" t="s">
        <v>1934</v>
      </c>
      <c r="F73" s="509"/>
      <c r="G73" s="785"/>
      <c r="H73" s="785"/>
      <c r="I73" s="507"/>
      <c r="J73" s="509"/>
      <c r="K73" s="573"/>
      <c r="L73" s="527"/>
      <c r="M73" s="527" t="str">
        <f>IF(J73&lt;F73,(F73-J73)," ")</f>
        <v xml:space="preserve"> </v>
      </c>
      <c r="N73" s="652"/>
      <c r="O73" s="524" t="str">
        <f>IF(ISERROR(VLOOKUP(B73,'Base de Datos'!$C$7:$N$315,9,0))=TRUE," ",(VLOOKUP(B73,'Base de Datos'!$C$7:$N$315,9,0)))</f>
        <v xml:space="preserve"> </v>
      </c>
      <c r="P73" s="506"/>
      <c r="Q73" s="529" t="str">
        <f>IF(ISERROR(VLOOKUP(B73,'Base de Datos'!$C$7:$N$315,10,0))=TRUE," ",(VLOOKUP(B73,'Base de Datos'!$C$7:$N$315,10,0)))</f>
        <v xml:space="preserve"> </v>
      </c>
      <c r="R73" s="529" t="str">
        <f>IF(ISERROR(VLOOKUP(B73,'Base de Datos'!$C$7:$N$315,11,0))=TRUE," ",(VLOOKUP(B73,'Base de Datos'!$C$7:$N$315,11,0)))</f>
        <v xml:space="preserve"> </v>
      </c>
      <c r="S73" s="506"/>
      <c r="T73" s="694"/>
      <c r="U73" s="607"/>
    </row>
    <row r="74" spans="2:21" ht="12" outlineLevel="1" x14ac:dyDescent="0.3">
      <c r="B74" s="621"/>
      <c r="C74" s="621"/>
      <c r="D74" s="621"/>
      <c r="E74" s="621"/>
      <c r="F74" s="509"/>
      <c r="G74" s="785"/>
      <c r="H74" s="785"/>
      <c r="I74" s="507"/>
      <c r="J74" s="509"/>
      <c r="K74" s="573"/>
      <c r="L74" s="509"/>
      <c r="M74" s="509"/>
      <c r="N74" s="651"/>
      <c r="O74" s="524"/>
      <c r="P74" s="506"/>
      <c r="Q74" s="524"/>
      <c r="R74" s="524"/>
      <c r="S74" s="506"/>
      <c r="T74" s="694"/>
      <c r="U74" s="607"/>
    </row>
    <row r="75" spans="2:21" ht="12" x14ac:dyDescent="0.3">
      <c r="B75" s="1257" t="s">
        <v>1650</v>
      </c>
      <c r="C75" s="1257"/>
      <c r="D75" s="1257"/>
      <c r="E75" s="1257"/>
      <c r="F75" s="753"/>
      <c r="G75" s="798">
        <f>+G76+G84+G97+G117+G132+G149+G154+G160+G166+G174+G179</f>
        <v>41</v>
      </c>
      <c r="H75" s="798">
        <f>+H76+H84+H97+H117+H132+H149+H154+H160+H166+H174+H179</f>
        <v>1</v>
      </c>
      <c r="I75" s="561"/>
      <c r="J75" s="560">
        <f>+J76+J84+J97+J117+J132+J149+J154+J160+J166+J174+J179</f>
        <v>2993194546</v>
      </c>
      <c r="K75" s="576" t="e">
        <f>J75/F75</f>
        <v>#DIV/0!</v>
      </c>
      <c r="L75" s="560">
        <f>+L76+L84+L97+L117+L132+L149+L154+L160+L166+L174+L179</f>
        <v>1534007000</v>
      </c>
      <c r="M75" s="560">
        <f>+M76+M84+M97+M117+M132+M149+M154+M160+M166+M174+M179</f>
        <v>-4527201546</v>
      </c>
      <c r="N75" s="655"/>
      <c r="O75" s="560"/>
      <c r="P75" s="563"/>
      <c r="Q75" s="562" t="str">
        <f>IF(ISERROR(VLOOKUP(B75,'Base de Datos'!$C$7:$N$315,9,0))=TRUE," ",(VLOOKUP(B75,'Base de Datos'!$C$7:$N$315,9,0)))</f>
        <v xml:space="preserve"> </v>
      </c>
      <c r="R75" s="562" t="str">
        <f>IF(ISERROR(VLOOKUP(B75,'Base de Datos'!$C$7:$N$315,10,0))=TRUE," ",(VLOOKUP(B75,'Base de Datos'!$C$7:$N$315,10,0)))</f>
        <v xml:space="preserve"> </v>
      </c>
      <c r="S75" s="565"/>
      <c r="T75" s="694"/>
      <c r="U75" s="607"/>
    </row>
    <row r="76" spans="2:21" ht="12" x14ac:dyDescent="0.3">
      <c r="B76" s="1273" t="s">
        <v>1651</v>
      </c>
      <c r="C76" s="1273"/>
      <c r="D76" s="1273"/>
      <c r="E76" s="1273"/>
      <c r="F76" s="757"/>
      <c r="G76" s="763">
        <f>COUNT(G78:G80)</f>
        <v>3</v>
      </c>
      <c r="H76" s="763">
        <f>COUNTIF(H78:H82,Hoja1!$J$2)</f>
        <v>0</v>
      </c>
      <c r="I76" s="758"/>
      <c r="J76" s="757">
        <f>SUM(J78:J82)</f>
        <v>45937000</v>
      </c>
      <c r="K76" s="759" t="e">
        <f>J76/F76</f>
        <v>#DIV/0!</v>
      </c>
      <c r="L76" s="757">
        <f>SUM(L78:L82)</f>
        <v>156200000</v>
      </c>
      <c r="M76" s="757">
        <f>+F76-J76-L76</f>
        <v>-202137000</v>
      </c>
      <c r="N76" s="760"/>
      <c r="O76" s="761" t="str">
        <f>IF(ISERROR(VLOOKUP(B76,'Base de Datos'!$C$7:$N$315,8,0))=TRUE," ",(VLOOKUP(B76,'Base de Datos'!$C$7:$N$315,8,0)))</f>
        <v xml:space="preserve"> </v>
      </c>
      <c r="P76" s="762"/>
      <c r="Q76" s="761" t="str">
        <f>IF(ISERROR(VLOOKUP(B76,'Base de Datos'!$C$7:$N$315,9,0))=TRUE," ",(VLOOKUP(B76,'Base de Datos'!$C$7:$N$315,9,0)))</f>
        <v xml:space="preserve"> </v>
      </c>
      <c r="R76" s="761" t="str">
        <f>IF(ISERROR(VLOOKUP(B76,'Base de Datos'!$C$7:$N$315,10,0))=TRUE," ",(VLOOKUP(B76,'Base de Datos'!$C$7:$N$315,10,0)))</f>
        <v xml:space="preserve"> </v>
      </c>
      <c r="S76" s="762"/>
      <c r="T76" s="694"/>
      <c r="U76" s="607"/>
    </row>
    <row r="77" spans="2:21" s="588" customFormat="1" ht="22.8" outlineLevel="1" x14ac:dyDescent="0.3">
      <c r="B77" s="600" t="s">
        <v>2341</v>
      </c>
      <c r="C77" s="600"/>
      <c r="D77" s="600" t="s">
        <v>912</v>
      </c>
      <c r="E77" s="600" t="s">
        <v>1821</v>
      </c>
      <c r="F77" s="748" t="s">
        <v>1845</v>
      </c>
      <c r="G77" s="784" t="s">
        <v>2343</v>
      </c>
      <c r="H77" s="784" t="s">
        <v>2347</v>
      </c>
      <c r="I77" s="507" t="s">
        <v>2348</v>
      </c>
      <c r="J77" s="600" t="s">
        <v>1844</v>
      </c>
      <c r="K77" s="585"/>
      <c r="L77" s="600" t="s">
        <v>1938</v>
      </c>
      <c r="M77" s="600" t="s">
        <v>1939</v>
      </c>
      <c r="N77" s="749" t="s">
        <v>1121</v>
      </c>
      <c r="O77" s="750" t="s">
        <v>1846</v>
      </c>
      <c r="P77" s="600" t="s">
        <v>1847</v>
      </c>
      <c r="Q77" s="600" t="s">
        <v>1848</v>
      </c>
      <c r="R77" s="600" t="s">
        <v>375</v>
      </c>
      <c r="S77" s="600" t="s">
        <v>1849</v>
      </c>
      <c r="T77" s="694"/>
      <c r="U77" s="751"/>
    </row>
    <row r="78" spans="2:21" s="588" customFormat="1" ht="22.8" outlineLevel="1" x14ac:dyDescent="0.3">
      <c r="B78" s="600">
        <v>210</v>
      </c>
      <c r="C78" s="600" t="str">
        <f>$W$6&amp;B78</f>
        <v>2016210</v>
      </c>
      <c r="D78" s="506" t="str">
        <f>IF(ISERROR(VLOOKUP(C78,'Base de Datos'!$D$7:$F$4092,2,0))=TRUE,"",(VLOOKUP(C78,'Base de Datos'!$D$7:$F$4092,2,0)))</f>
        <v>160105-0-2016</v>
      </c>
      <c r="E78" s="587" t="s">
        <v>2300</v>
      </c>
      <c r="F78" s="553">
        <v>34504000</v>
      </c>
      <c r="G78" s="784">
        <v>42384</v>
      </c>
      <c r="H78" s="784"/>
      <c r="I78" s="805" t="str">
        <f ca="1">IF(H78=Hoja1!$J$2," ",(IF(MONTH(G78)=MONTH(TODAY()),IF(DAY(G78)&gt;DAY(TODAY()),"Quedan "&amp;ABS(DAY(G78)-DAY(TODAY()))&amp;" Días","Hace "&amp;ABS(DAY(G78)-DAY(TODAY()))&amp;" Días"),"")))</f>
        <v/>
      </c>
      <c r="J78" s="509">
        <f>IF(ISERROR(VLOOKUP(C78,'Base de Datos'!$D$7:$N$4092,6,0))=TRUE,"Sin Celebrar",(VLOOKUP(C78,'Base de Datos'!$D$7:$N$4092,6,0)))</f>
        <v>33009000</v>
      </c>
      <c r="K78" s="585"/>
      <c r="L78" s="509" t="str">
        <f>IF(J78=$W$7,F78, " ")</f>
        <v xml:space="preserve"> </v>
      </c>
      <c r="M78" s="509">
        <f>IF(J78&lt;F78,(F78-J78)," ")</f>
        <v>1495000</v>
      </c>
      <c r="N78" s="691" t="str">
        <f>IF(ISERROR(VLOOKUP(C78,'Base de Datos'!$D$7:$K$1048576,7,0))=TRUE," ",(VLOOKUP(C78,'Base de Datos'!$D$7:$K$1048576,7,0)))</f>
        <v>SDH-SIE-02-2016</v>
      </c>
      <c r="O78" s="524">
        <f>IF(ISERROR(VLOOKUP(C78,'Base de Datos'!$D$7:$N$4077,9,0))=TRUE," ",(VLOOKUP(C78,'Base de Datos'!$D$7:$N$4077,9,0)))</f>
        <v>42508</v>
      </c>
      <c r="P78" s="586" t="e">
        <f>VLOOKUP(B78,#REF!,13,0)</f>
        <v>#REF!</v>
      </c>
      <c r="Q78" s="524">
        <f>IF(ISERROR(VLOOKUP(C78,'Base de Datos'!$D$7:$N$4077,10,0))=TRUE," ",(VLOOKUP(C78,'Base de Datos'!$D$7:$N$4077,10,0)))</f>
        <v>42513</v>
      </c>
      <c r="R78" s="524">
        <f>IF(ISERROR(VLOOKUP(C78,'Base de Datos'!$D$7:$N$4077,11,0))=TRUE," ",(VLOOKUP(C78,'Base de Datos'!$D$7:$N$4077,11,0)))</f>
        <v>42878</v>
      </c>
      <c r="S78" s="587" t="s">
        <v>1509</v>
      </c>
      <c r="T78" s="694"/>
      <c r="U78" s="751"/>
    </row>
    <row r="79" spans="2:21" s="588" customFormat="1" ht="22.8" outlineLevel="1" x14ac:dyDescent="0.3">
      <c r="B79" s="600">
        <v>133</v>
      </c>
      <c r="C79" s="600" t="str">
        <f>$W$6&amp;B79</f>
        <v>2016133</v>
      </c>
      <c r="D79" s="506" t="str">
        <f>IF(ISERROR(VLOOKUP(C79,'Base de Datos'!$D$7:$F$4092,2,0))=TRUE,"",(VLOOKUP(C79,'Base de Datos'!$D$7:$F$4092,2,0)))</f>
        <v/>
      </c>
      <c r="E79" s="812" t="s">
        <v>2301</v>
      </c>
      <c r="F79" s="553">
        <v>1700000</v>
      </c>
      <c r="G79" s="784">
        <v>42491</v>
      </c>
      <c r="H79" s="784"/>
      <c r="I79" s="805" t="str">
        <f ca="1">IF(H79=Hoja1!$J$2," ",(IF(MONTH(G79)=MONTH(TODAY()),IF(DAY(G79)&gt;DAY(TODAY()),"Quedan "&amp;ABS(DAY(G79)-DAY(TODAY()))&amp;" Días","Hace "&amp;ABS(DAY(G79)-DAY(TODAY()))&amp;" Días"),"")))</f>
        <v/>
      </c>
      <c r="J79" s="509" t="str">
        <f>IF(ISERROR(VLOOKUP(C79,'Base de Datos'!$D$7:$N$4092,6,0))=TRUE,"Sin Celebrar",(VLOOKUP(C79,'Base de Datos'!$D$7:$N$4092,6,0)))</f>
        <v>Sin Celebrar</v>
      </c>
      <c r="K79" s="585"/>
      <c r="L79" s="509">
        <f>IF(J79=$W$7,F79, " ")</f>
        <v>1700000</v>
      </c>
      <c r="M79" s="509" t="str">
        <f>IF(J79&lt;F79,(F79-J79)," ")</f>
        <v xml:space="preserve"> </v>
      </c>
      <c r="N79" s="691" t="str">
        <f>IF(ISERROR(VLOOKUP(C79,'Base de Datos'!$D$7:$K$1048576,7,0))=TRUE," ",(VLOOKUP(C79,'Base de Datos'!$D$7:$K$1048576,7,0)))</f>
        <v xml:space="preserve"> </v>
      </c>
      <c r="O79" s="524" t="str">
        <f>IF(ISERROR(VLOOKUP(C79,'Base de Datos'!$D$7:$N$4077,9,0))=TRUE," ",(VLOOKUP(C79,'Base de Datos'!$D$7:$N$4077,9,0)))</f>
        <v xml:space="preserve"> </v>
      </c>
      <c r="P79" s="586" t="e">
        <f>VLOOKUP(B79,#REF!,13,0)</f>
        <v>#REF!</v>
      </c>
      <c r="Q79" s="524" t="str">
        <f>IF(ISERROR(VLOOKUP(C79,'Base de Datos'!$D$7:$N$4077,10,0))=TRUE," ",(VLOOKUP(C79,'Base de Datos'!$D$7:$N$4077,10,0)))</f>
        <v xml:space="preserve"> </v>
      </c>
      <c r="R79" s="524" t="str">
        <f>IF(ISERROR(VLOOKUP(C79,'Base de Datos'!$D$7:$N$4077,11,0))=TRUE," ",(VLOOKUP(C79,'Base de Datos'!$D$7:$N$4077,11,0)))</f>
        <v xml:space="preserve"> </v>
      </c>
      <c r="S79" s="587" t="s">
        <v>981</v>
      </c>
      <c r="T79" s="694"/>
      <c r="U79" s="751"/>
    </row>
    <row r="80" spans="2:21" s="588" customFormat="1" ht="22.8" outlineLevel="1" x14ac:dyDescent="0.3">
      <c r="B80" s="600">
        <v>211</v>
      </c>
      <c r="C80" s="600" t="str">
        <f>$W$6&amp;B80</f>
        <v>2016211</v>
      </c>
      <c r="D80" s="506" t="str">
        <f>IF(ISERROR(VLOOKUP(C80,'Base de Datos'!$D$7:$F$4092,2,0))=TRUE,"",(VLOOKUP(C80,'Base de Datos'!$D$7:$F$4092,2,0)))</f>
        <v>160165-0-2016</v>
      </c>
      <c r="E80" s="587" t="s">
        <v>2302</v>
      </c>
      <c r="F80" s="553">
        <v>11328000</v>
      </c>
      <c r="G80" s="784">
        <v>42430</v>
      </c>
      <c r="H80" s="784"/>
      <c r="I80" s="805" t="str">
        <f ca="1">IF(H80=Hoja1!$J$2," ",(IF(MONTH(G80)=MONTH(TODAY()),IF(DAY(G80)&gt;DAY(TODAY()),"Quedan "&amp;ABS(DAY(G80)-DAY(TODAY()))&amp;" Días","Hace "&amp;ABS(DAY(G80)-DAY(TODAY()))&amp;" Días"),"")))</f>
        <v/>
      </c>
      <c r="J80" s="509">
        <f>IF(ISERROR(VLOOKUP(C80,'Base de Datos'!$D$7:$N$4092,6,0))=TRUE,"Sin Celebrar",(VLOOKUP(C80,'Base de Datos'!$D$7:$N$4092,6,0)))</f>
        <v>12928000</v>
      </c>
      <c r="K80" s="585"/>
      <c r="L80" s="509" t="str">
        <f>IF(J80=$W$7,F80, " ")</f>
        <v xml:space="preserve"> </v>
      </c>
      <c r="M80" s="509" t="str">
        <f>IF(J80&lt;F80,(F80-J80)," ")</f>
        <v xml:space="preserve"> </v>
      </c>
      <c r="N80" s="691" t="str">
        <f>IF(ISERROR(VLOOKUP(C80,'Base de Datos'!$D$7:$K$1048576,7,0))=TRUE," ",(VLOOKUP(C80,'Base de Datos'!$D$7:$K$1048576,7,0)))</f>
        <v>SDH-SMINC-20-2016</v>
      </c>
      <c r="O80" s="524">
        <f>IF(ISERROR(VLOOKUP(C80,'Base de Datos'!$D$7:$N$4077,9,0))=TRUE," ",(VLOOKUP(C80,'Base de Datos'!$D$7:$N$4077,9,0)))</f>
        <v>42559</v>
      </c>
      <c r="P80" s="586" t="e">
        <f>VLOOKUP(B80,#REF!,13,0)</f>
        <v>#REF!</v>
      </c>
      <c r="Q80" s="524">
        <f>IF(ISERROR(VLOOKUP(C80,'Base de Datos'!$D$7:$N$4077,10,0))=TRUE," ",(VLOOKUP(C80,'Base de Datos'!$D$7:$N$4077,10,0)))</f>
        <v>42578</v>
      </c>
      <c r="R80" s="524">
        <f>IF(ISERROR(VLOOKUP(C80,'Base de Datos'!$D$7:$N$4077,11,0))=TRUE," ",(VLOOKUP(C80,'Base de Datos'!$D$7:$N$4077,11,0)))</f>
        <v>42793</v>
      </c>
      <c r="S80" s="587" t="s">
        <v>981</v>
      </c>
      <c r="T80" s="694"/>
      <c r="U80" s="751"/>
    </row>
    <row r="81" spans="2:21" s="588" customFormat="1" outlineLevel="1" x14ac:dyDescent="0.3">
      <c r="B81" s="600">
        <v>213</v>
      </c>
      <c r="C81" s="600"/>
      <c r="D81" s="506"/>
      <c r="E81" s="587" t="s">
        <v>2400</v>
      </c>
      <c r="F81" s="553">
        <v>154500000</v>
      </c>
      <c r="G81" s="784">
        <v>42406</v>
      </c>
      <c r="H81" s="784"/>
      <c r="I81" s="805" t="str">
        <f ca="1">IF(H81=Hoja1!$J$2," ",(IF(MONTH(G81)=MONTH(TODAY()),IF(DAY(G81)&gt;DAY(TODAY()),"Quedan "&amp;ABS(DAY(G81)-DAY(TODAY()))&amp;" Días","Hace "&amp;ABS(DAY(G81)-DAY(TODAY()))&amp;" Días"),"")))</f>
        <v>Quedan 5 Días</v>
      </c>
      <c r="J81" s="509" t="str">
        <f>IF(ISERROR(VLOOKUP(C81,'Base de Datos'!$D$7:$N$4092,6,0))=TRUE,"Sin Celebrar",(VLOOKUP(C81,'Base de Datos'!$D$7:$N$4092,6,0)))</f>
        <v>Sin Celebrar</v>
      </c>
      <c r="K81" s="585"/>
      <c r="L81" s="509">
        <f>IF(J81=$W$7,F81, " ")</f>
        <v>154500000</v>
      </c>
      <c r="M81" s="509" t="str">
        <f>IF(J81&lt;F81,(F81-J81)," ")</f>
        <v xml:space="preserve"> </v>
      </c>
      <c r="N81" s="691" t="str">
        <f>IF(ISERROR(VLOOKUP(C81,'Base de Datos'!$D$7:$K$1048576,7,0))=TRUE," ",(VLOOKUP(C81,'Base de Datos'!$D$7:$K$1048576,7,0)))</f>
        <v xml:space="preserve"> </v>
      </c>
      <c r="O81" s="524" t="str">
        <f>IF(ISERROR(VLOOKUP(C81,'Base de Datos'!$D$7:$N$4077,9,0))=TRUE," ",(VLOOKUP(C81,'Base de Datos'!$D$7:$N$4077,9,0)))</f>
        <v xml:space="preserve"> </v>
      </c>
      <c r="P81" s="586" t="e">
        <f>VLOOKUP(B81,#REF!,13,0)</f>
        <v>#REF!</v>
      </c>
      <c r="Q81" s="524" t="str">
        <f>IF(ISERROR(VLOOKUP(C81,'Base de Datos'!$D$7:$N$4077,10,0))=TRUE," ",(VLOOKUP(C81,'Base de Datos'!$D$7:$N$4077,10,0)))</f>
        <v xml:space="preserve"> </v>
      </c>
      <c r="R81" s="524" t="str">
        <f>IF(ISERROR(VLOOKUP(C81,'Base de Datos'!$D$7:$N$4077,11,0))=TRUE," ",(VLOOKUP(C81,'Base de Datos'!$D$7:$N$4077,11,0)))</f>
        <v xml:space="preserve"> </v>
      </c>
      <c r="S81" s="587" t="s">
        <v>981</v>
      </c>
      <c r="T81" s="694"/>
      <c r="U81" s="751"/>
    </row>
    <row r="82" spans="2:21" s="588" customFormat="1" outlineLevel="1" x14ac:dyDescent="0.3">
      <c r="B82" s="587"/>
      <c r="C82" s="587"/>
      <c r="D82" s="587"/>
      <c r="E82" s="587" t="s">
        <v>1934</v>
      </c>
      <c r="F82" s="553"/>
      <c r="G82" s="784"/>
      <c r="H82" s="784"/>
      <c r="I82" s="507"/>
      <c r="J82" s="553"/>
      <c r="K82" s="585"/>
      <c r="L82" s="681"/>
      <c r="M82" s="681" t="str">
        <f>IF(J82&lt;F82,(F82-J82)," ")</f>
        <v xml:space="preserve"> </v>
      </c>
      <c r="N82" s="781"/>
      <c r="O82" s="586" t="str">
        <f>IF(ISERROR(VLOOKUP(B82,'Base de Datos'!$C$7:$N$315,9,0))=TRUE," ",(VLOOKUP(B82,'Base de Datos'!$C$7:$N$315,9,0)))</f>
        <v xml:space="preserve"> </v>
      </c>
      <c r="P82" s="587"/>
      <c r="Q82" s="683" t="str">
        <f>IF(ISERROR(VLOOKUP(B82,'Base de Datos'!$C$7:$N$315,10,0))=TRUE," ",(VLOOKUP(B82,'Base de Datos'!$C$7:$N$315,10,0)))</f>
        <v xml:space="preserve"> </v>
      </c>
      <c r="R82" s="683" t="str">
        <f>IF(ISERROR(VLOOKUP(B82,'Base de Datos'!$C$7:$N$315,11,0))=TRUE," ",(VLOOKUP(B82,'Base de Datos'!$C$7:$N$315,11,0)))</f>
        <v xml:space="preserve"> </v>
      </c>
      <c r="S82" s="587"/>
      <c r="T82" s="694"/>
      <c r="U82" s="751"/>
    </row>
    <row r="83" spans="2:21" s="588" customFormat="1" outlineLevel="1" x14ac:dyDescent="0.3">
      <c r="B83" s="587"/>
      <c r="C83" s="587"/>
      <c r="D83" s="587"/>
      <c r="E83" s="587"/>
      <c r="F83" s="553"/>
      <c r="G83" s="784"/>
      <c r="H83" s="784"/>
      <c r="I83" s="507"/>
      <c r="J83" s="553"/>
      <c r="K83" s="585"/>
      <c r="L83" s="553"/>
      <c r="M83" s="553"/>
      <c r="N83" s="663"/>
      <c r="O83" s="586"/>
      <c r="P83" s="587"/>
      <c r="Q83" s="586"/>
      <c r="R83" s="586"/>
      <c r="S83" s="587"/>
      <c r="T83" s="694"/>
      <c r="U83" s="751"/>
    </row>
    <row r="84" spans="2:21" ht="12" x14ac:dyDescent="0.3">
      <c r="B84" s="1275" t="s">
        <v>1652</v>
      </c>
      <c r="C84" s="1275"/>
      <c r="D84" s="1275"/>
      <c r="E84" s="1275"/>
      <c r="F84" s="764"/>
      <c r="G84" s="763">
        <f>COUNT(G86:G94)</f>
        <v>9</v>
      </c>
      <c r="H84" s="763">
        <f>COUNTIF(H86:H94,Hoja1!$J$2)</f>
        <v>1</v>
      </c>
      <c r="I84" s="765"/>
      <c r="J84" s="764">
        <f>SUM(J86:J95)</f>
        <v>40456141</v>
      </c>
      <c r="K84" s="766" t="e">
        <f>J84/F84</f>
        <v>#DIV/0!</v>
      </c>
      <c r="L84" s="764">
        <f>SUM(L86:L95)</f>
        <v>4300000</v>
      </c>
      <c r="M84" s="764">
        <f>+F84-J84-L84</f>
        <v>-44756141</v>
      </c>
      <c r="N84" s="768"/>
      <c r="O84" s="769" t="str">
        <f>IF(ISERROR(VLOOKUP(B84,'Base de Datos'!$C$7:$N$315,8,0))=TRUE," ",(VLOOKUP(B84,'Base de Datos'!$C$7:$N$315,8,0)))</f>
        <v xml:space="preserve"> </v>
      </c>
      <c r="P84" s="770"/>
      <c r="Q84" s="769" t="str">
        <f>IF(ISERROR(VLOOKUP(B84,'Base de Datos'!$C$7:$N$315,9,0))=TRUE," ",(VLOOKUP(B84,'Base de Datos'!$C$7:$N$315,9,0)))</f>
        <v xml:space="preserve"> </v>
      </c>
      <c r="R84" s="769" t="str">
        <f>IF(ISERROR(VLOOKUP(B84,'Base de Datos'!$C$7:$N$315,10,0))=TRUE," ",(VLOOKUP(B84,'Base de Datos'!$C$7:$N$315,10,0)))</f>
        <v xml:space="preserve"> </v>
      </c>
      <c r="S84" s="762"/>
      <c r="T84" s="694"/>
      <c r="U84" s="607"/>
    </row>
    <row r="85" spans="2:21" s="588" customFormat="1" ht="22.8" outlineLevel="1" x14ac:dyDescent="0.3">
      <c r="B85" s="600" t="s">
        <v>2341</v>
      </c>
      <c r="C85" s="600"/>
      <c r="D85" s="600" t="s">
        <v>912</v>
      </c>
      <c r="E85" s="600" t="s">
        <v>1821</v>
      </c>
      <c r="F85" s="748" t="s">
        <v>1845</v>
      </c>
      <c r="G85" s="784" t="s">
        <v>2343</v>
      </c>
      <c r="H85" s="784" t="s">
        <v>2347</v>
      </c>
      <c r="I85" s="507" t="s">
        <v>2348</v>
      </c>
      <c r="J85" s="600" t="s">
        <v>1844</v>
      </c>
      <c r="K85" s="585"/>
      <c r="L85" s="600" t="s">
        <v>1938</v>
      </c>
      <c r="M85" s="600" t="s">
        <v>1939</v>
      </c>
      <c r="N85" s="749" t="s">
        <v>1121</v>
      </c>
      <c r="O85" s="750" t="s">
        <v>1846</v>
      </c>
      <c r="P85" s="600" t="s">
        <v>1847</v>
      </c>
      <c r="Q85" s="600" t="s">
        <v>1848</v>
      </c>
      <c r="R85" s="600" t="s">
        <v>375</v>
      </c>
      <c r="S85" s="600" t="s">
        <v>1849</v>
      </c>
      <c r="T85" s="694"/>
      <c r="U85" s="751"/>
    </row>
    <row r="86" spans="2:21" s="588" customFormat="1" ht="22.8" outlineLevel="1" x14ac:dyDescent="0.3">
      <c r="B86" s="600">
        <v>137</v>
      </c>
      <c r="C86" s="600" t="str">
        <f t="shared" ref="C86:C94" si="8">$W$6&amp;B86</f>
        <v>2016137</v>
      </c>
      <c r="D86" s="506" t="str">
        <f>IF(ISERROR(VLOOKUP(C86,'Base de Datos'!$D$7:$F$4092,2,0))=TRUE,"",(VLOOKUP(C86,'Base de Datos'!$D$7:$F$4092,2,0)))</f>
        <v/>
      </c>
      <c r="E86" s="587" t="s">
        <v>2303</v>
      </c>
      <c r="F86" s="553">
        <v>4300000</v>
      </c>
      <c r="G86" s="784">
        <v>42415</v>
      </c>
      <c r="H86" s="784"/>
      <c r="I86" s="805" t="str">
        <f ca="1">IF(H86=Hoja1!$J$2," ",(IF(MONTH(G86)=MONTH(TODAY()),IF(DAY(G86)&gt;DAY(TODAY()),"Quedan "&amp;ABS(DAY(G86)-DAY(TODAY()))&amp;" Días","Hace "&amp;ABS(DAY(G86)-DAY(TODAY()))&amp;" Días"),"")))</f>
        <v>Quedan 14 Días</v>
      </c>
      <c r="J86" s="509" t="str">
        <f>IF(ISERROR(VLOOKUP(C86,'Base de Datos'!$D$7:$N$4092,6,0))=TRUE,"Sin Celebrar",(VLOOKUP(C86,'Base de Datos'!$D$7:$N$4092,6,0)))</f>
        <v>Sin Celebrar</v>
      </c>
      <c r="K86" s="585"/>
      <c r="L86" s="509">
        <f t="shared" ref="L86:L94" si="9">IF(J86=$W$7,F86, " ")</f>
        <v>4300000</v>
      </c>
      <c r="M86" s="509" t="str">
        <f t="shared" ref="M86:M95" si="10">IF(J86&lt;F86,(F86-J86)," ")</f>
        <v xml:space="preserve"> </v>
      </c>
      <c r="N86" s="691" t="str">
        <f>IF(ISERROR(VLOOKUP(C86,'Base de Datos'!$D$7:$K$1048576,7,0))=TRUE," ",(VLOOKUP(C86,'Base de Datos'!$D$7:$K$1048576,7,0)))</f>
        <v xml:space="preserve"> </v>
      </c>
      <c r="O86" s="524" t="str">
        <f>IF(ISERROR(VLOOKUP(C86,'Base de Datos'!$D$7:$N$4077,9,0))=TRUE," ",(VLOOKUP(C86,'Base de Datos'!$D$7:$N$4077,9,0)))</f>
        <v xml:space="preserve"> </v>
      </c>
      <c r="P86" s="586" t="e">
        <f>VLOOKUP(B86,#REF!,13,0)</f>
        <v>#REF!</v>
      </c>
      <c r="Q86" s="524" t="str">
        <f>IF(ISERROR(VLOOKUP(C86,'Base de Datos'!$D$7:$N$4077,10,0))=TRUE," ",(VLOOKUP(C86,'Base de Datos'!$D$7:$N$4077,10,0)))</f>
        <v xml:space="preserve"> </v>
      </c>
      <c r="R86" s="524" t="str">
        <f>IF(ISERROR(VLOOKUP(C86,'Base de Datos'!$D$7:$N$4077,11,0))=TRUE," ",(VLOOKUP(C86,'Base de Datos'!$D$7:$N$4077,11,0)))</f>
        <v xml:space="preserve"> </v>
      </c>
      <c r="S86" s="587" t="s">
        <v>1509</v>
      </c>
      <c r="T86" s="694"/>
      <c r="U86" s="751"/>
    </row>
    <row r="87" spans="2:21" s="588" customFormat="1" ht="22.8" outlineLevel="1" x14ac:dyDescent="0.3">
      <c r="B87" s="600">
        <v>138</v>
      </c>
      <c r="C87" s="600" t="str">
        <f t="shared" si="8"/>
        <v>2016138</v>
      </c>
      <c r="D87" s="506" t="str">
        <f>IF(ISERROR(VLOOKUP(C87,'Base de Datos'!$D$7:$F$4092,2,0))=TRUE,"",(VLOOKUP(C87,'Base de Datos'!$D$7:$F$4092,2,0)))</f>
        <v>160245-0-2016</v>
      </c>
      <c r="E87" s="587" t="s">
        <v>2304</v>
      </c>
      <c r="F87" s="553">
        <v>810600</v>
      </c>
      <c r="G87" s="784">
        <v>42592</v>
      </c>
      <c r="H87" s="784"/>
      <c r="I87" s="805" t="str">
        <f ca="1">IF(H87=Hoja1!$J$2," ",(IF(MONTH(G87)=MONTH(TODAY()),IF(DAY(G87)&gt;DAY(TODAY()),"Quedan "&amp;ABS(DAY(G87)-DAY(TODAY()))&amp;" Días","Hace "&amp;ABS(DAY(G87)-DAY(TODAY()))&amp;" Días"),"")))</f>
        <v/>
      </c>
      <c r="J87" s="509">
        <f>IF(ISERROR(VLOOKUP(C87,'Base de Datos'!$D$7:$N$4092,6,0))=TRUE,"Sin Celebrar",(VLOOKUP(C87,'Base de Datos'!$D$7:$N$4092,6,0)))</f>
        <v>817587</v>
      </c>
      <c r="K87" s="585"/>
      <c r="L87" s="509" t="str">
        <f t="shared" si="9"/>
        <v xml:space="preserve"> </v>
      </c>
      <c r="M87" s="509" t="str">
        <f t="shared" si="10"/>
        <v xml:space="preserve"> </v>
      </c>
      <c r="N87" s="691" t="str">
        <f>IF(ISERROR(VLOOKUP(C87,'Base de Datos'!$D$7:$K$1048576,7,0))=TRUE," ",(VLOOKUP(C87,'Base de Datos'!$D$7:$K$1048576,7,0)))</f>
        <v>160245-0-2016</v>
      </c>
      <c r="O87" s="524">
        <f>IF(ISERROR(VLOOKUP(C87,'Base de Datos'!$D$7:$N$4077,9,0))=TRUE," ",(VLOOKUP(C87,'Base de Datos'!$D$7:$N$4077,9,0)))</f>
        <v>42643</v>
      </c>
      <c r="P87" s="586" t="e">
        <f>VLOOKUP(B87,#REF!,13,0)</f>
        <v>#REF!</v>
      </c>
      <c r="Q87" s="524">
        <f>IF(ISERROR(VLOOKUP(C87,'Base de Datos'!$D$7:$N$4077,10,0))=TRUE," ",(VLOOKUP(C87,'Base de Datos'!$D$7:$N$4077,10,0)))</f>
        <v>42703</v>
      </c>
      <c r="R87" s="524">
        <f>IF(ISERROR(VLOOKUP(C87,'Base de Datos'!$D$7:$N$4077,11,0))=TRUE," ",(VLOOKUP(C87,'Base de Datos'!$D$7:$N$4077,11,0)))</f>
        <v>43068</v>
      </c>
      <c r="S87" s="587" t="s">
        <v>1509</v>
      </c>
      <c r="T87" s="694"/>
      <c r="U87" s="751"/>
    </row>
    <row r="88" spans="2:21" s="588" customFormat="1" ht="22.8" outlineLevel="1" x14ac:dyDescent="0.3">
      <c r="B88" s="600">
        <v>141</v>
      </c>
      <c r="C88" s="600" t="str">
        <f t="shared" si="8"/>
        <v>2016141</v>
      </c>
      <c r="D88" s="506" t="str">
        <f>IF(ISERROR(VLOOKUP(C88,'Base de Datos'!$D$7:$F$4092,2,0))=TRUE,"",(VLOOKUP(C88,'Base de Datos'!$D$7:$F$4092,2,0)))</f>
        <v>160213-0-2016</v>
      </c>
      <c r="E88" s="587" t="s">
        <v>2305</v>
      </c>
      <c r="F88" s="553">
        <v>857000</v>
      </c>
      <c r="G88" s="784">
        <v>42614</v>
      </c>
      <c r="H88" s="784"/>
      <c r="I88" s="805" t="str">
        <f ca="1">IF(H88=Hoja1!$J$2," ",(IF(MONTH(G88)=MONTH(TODAY()),IF(DAY(G88)&gt;DAY(TODAY()),"Quedan "&amp;ABS(DAY(G88)-DAY(TODAY()))&amp;" Días","Hace "&amp;ABS(DAY(G88)-DAY(TODAY()))&amp;" Días"),"")))</f>
        <v/>
      </c>
      <c r="J88" s="509">
        <f>IF(ISERROR(VLOOKUP(C88,'Base de Datos'!$D$7:$N$4092,6,0))=TRUE,"Sin Celebrar",(VLOOKUP(C88,'Base de Datos'!$D$7:$N$4092,6,0)))</f>
        <v>825000</v>
      </c>
      <c r="K88" s="585"/>
      <c r="L88" s="509" t="str">
        <f t="shared" si="9"/>
        <v xml:space="preserve"> </v>
      </c>
      <c r="M88" s="509">
        <f t="shared" si="10"/>
        <v>32000</v>
      </c>
      <c r="N88" s="691" t="str">
        <f>IF(ISERROR(VLOOKUP(C88,'Base de Datos'!$D$7:$K$1048576,7,0))=TRUE," ",(VLOOKUP(C88,'Base de Datos'!$D$7:$K$1048576,7,0)))</f>
        <v>160213-0-2016</v>
      </c>
      <c r="O88" s="524">
        <f>IF(ISERROR(VLOOKUP(C88,'Base de Datos'!$D$7:$N$4077,9,0))=TRUE," ",(VLOOKUP(C88,'Base de Datos'!$D$7:$N$4077,9,0)))</f>
        <v>42619</v>
      </c>
      <c r="P88" s="586" t="e">
        <f>VLOOKUP(B88,#REF!,13,0)</f>
        <v>#REF!</v>
      </c>
      <c r="Q88" s="524">
        <f>IF(ISERROR(VLOOKUP(C88,'Base de Datos'!$D$7:$N$4077,10,0))=TRUE," ",(VLOOKUP(C88,'Base de Datos'!$D$7:$N$4077,10,0)))</f>
        <v>42646</v>
      </c>
      <c r="R88" s="524">
        <f>IF(ISERROR(VLOOKUP(C88,'Base de Datos'!$D$7:$N$4077,11,0))=TRUE," ",(VLOOKUP(C88,'Base de Datos'!$D$7:$N$4077,11,0)))</f>
        <v>43011</v>
      </c>
      <c r="S88" s="587" t="s">
        <v>2351</v>
      </c>
      <c r="T88" s="694"/>
      <c r="U88" s="751"/>
    </row>
    <row r="89" spans="2:21" s="588" customFormat="1" ht="22.8" outlineLevel="1" x14ac:dyDescent="0.3">
      <c r="B89" s="600">
        <v>214</v>
      </c>
      <c r="C89" s="600" t="str">
        <f t="shared" si="8"/>
        <v>2016214</v>
      </c>
      <c r="D89" s="506" t="str">
        <f>IF(ISERROR(VLOOKUP(C89,'Base de Datos'!$D$7:$F$4092,2,0))=TRUE,"",(VLOOKUP(C89,'Base de Datos'!$D$7:$F$4092,2,0)))</f>
        <v>160188-0-2016</v>
      </c>
      <c r="E89" s="587" t="s">
        <v>2306</v>
      </c>
      <c r="F89" s="553">
        <v>39240600</v>
      </c>
      <c r="G89" s="784">
        <v>42374</v>
      </c>
      <c r="H89" s="784"/>
      <c r="I89" s="805" t="str">
        <f ca="1">IF(H89=Hoja1!$J$2," ",(IF(MONTH(G89)=MONTH(TODAY()),IF(DAY(G89)&gt;DAY(TODAY()),"Quedan "&amp;ABS(DAY(G89)-DAY(TODAY()))&amp;" Días","Hace "&amp;ABS(DAY(G89)-DAY(TODAY()))&amp;" Días"),"")))</f>
        <v/>
      </c>
      <c r="J89" s="509">
        <f>IF(ISERROR(VLOOKUP(C89,'Base de Datos'!$D$7:$N$4092,6,0))=TRUE,"Sin Celebrar",(VLOOKUP(C89,'Base de Datos'!$D$7:$N$4092,6,0)))</f>
        <v>26540000</v>
      </c>
      <c r="K89" s="585"/>
      <c r="L89" s="509" t="str">
        <f t="shared" si="9"/>
        <v xml:space="preserve"> </v>
      </c>
      <c r="M89" s="509">
        <f t="shared" si="10"/>
        <v>12700600</v>
      </c>
      <c r="N89" s="691" t="str">
        <f>IF(ISERROR(VLOOKUP(C89,'Base de Datos'!$D$7:$K$1048576,7,0))=TRUE," ",(VLOOKUP(C89,'Base de Datos'!$D$7:$K$1048576,7,0)))</f>
        <v>SDH-SIE-10-2016</v>
      </c>
      <c r="O89" s="524">
        <f>IF(ISERROR(VLOOKUP(C89,'Base de Datos'!$D$7:$N$4077,9,0))=TRUE," ",(VLOOKUP(C89,'Base de Datos'!$D$7:$N$4077,9,0)))</f>
        <v>42580</v>
      </c>
      <c r="P89" s="586" t="e">
        <f>VLOOKUP(B89,#REF!,13,0)</f>
        <v>#REF!</v>
      </c>
      <c r="Q89" s="524">
        <f>IF(ISERROR(VLOOKUP(C89,'Base de Datos'!$D$7:$N$4077,10,0))=TRUE," ",(VLOOKUP(C89,'Base de Datos'!$D$7:$N$4077,10,0)))</f>
        <v>42583</v>
      </c>
      <c r="R89" s="524">
        <f>IF(ISERROR(VLOOKUP(C89,'Base de Datos'!$D$7:$N$4077,11,0))=TRUE," ",(VLOOKUP(C89,'Base de Datos'!$D$7:$N$4077,11,0)))</f>
        <v>42767</v>
      </c>
      <c r="S89" s="587" t="s">
        <v>981</v>
      </c>
      <c r="T89" s="694"/>
      <c r="U89" s="751"/>
    </row>
    <row r="90" spans="2:21" s="588" customFormat="1" ht="22.8" outlineLevel="1" x14ac:dyDescent="0.3">
      <c r="B90" s="600">
        <v>134</v>
      </c>
      <c r="C90" s="600" t="str">
        <f t="shared" si="8"/>
        <v>2016134</v>
      </c>
      <c r="D90" s="506" t="str">
        <f>IF(ISERROR(VLOOKUP(C90,'Base de Datos'!$D$7:$F$4092,2,0))=TRUE,"",(VLOOKUP(C90,'Base de Datos'!$D$7:$F$4092,2,0)))</f>
        <v>160199-0-2016</v>
      </c>
      <c r="E90" s="587" t="s">
        <v>2307</v>
      </c>
      <c r="F90" s="553">
        <v>927600</v>
      </c>
      <c r="G90" s="784">
        <v>42522</v>
      </c>
      <c r="H90" s="784"/>
      <c r="I90" s="805" t="str">
        <f ca="1">IF(H90=Hoja1!$J$2," ",(IF(MONTH(G90)=MONTH(TODAY()),IF(DAY(G90)&gt;DAY(TODAY()),"Quedan "&amp;ABS(DAY(G90)-DAY(TODAY()))&amp;" Días","Hace "&amp;ABS(DAY(G90)-DAY(TODAY()))&amp;" Días"),"")))</f>
        <v/>
      </c>
      <c r="J90" s="509">
        <f>IF(ISERROR(VLOOKUP(C90,'Base de Datos'!$D$7:$N$4092,6,0))=TRUE,"Sin Celebrar",(VLOOKUP(C90,'Base de Datos'!$D$7:$N$4092,6,0)))</f>
        <v>1132400</v>
      </c>
      <c r="K90" s="585"/>
      <c r="L90" s="509" t="str">
        <f t="shared" si="9"/>
        <v xml:space="preserve"> </v>
      </c>
      <c r="M90" s="509" t="str">
        <f t="shared" si="10"/>
        <v xml:space="preserve"> </v>
      </c>
      <c r="N90" s="691" t="str">
        <f>IF(ISERROR(VLOOKUP(C90,'Base de Datos'!$D$7:$K$1048576,7,0))=TRUE," ",(VLOOKUP(C90,'Base de Datos'!$D$7:$K$1048576,7,0)))</f>
        <v>SDH-SMINC-30-2016</v>
      </c>
      <c r="O90" s="524">
        <f>IF(ISERROR(VLOOKUP(C90,'Base de Datos'!$D$7:$N$4077,9,0))=TRUE," ",(VLOOKUP(C90,'Base de Datos'!$D$7:$N$4077,9,0)))</f>
        <v>42591</v>
      </c>
      <c r="P90" s="586" t="e">
        <f>VLOOKUP(B90,#REF!,13,0)</f>
        <v>#REF!</v>
      </c>
      <c r="Q90" s="524">
        <f>IF(ISERROR(VLOOKUP(C90,'Base de Datos'!$D$7:$N$4077,10,0))=TRUE," ",(VLOOKUP(C90,'Base de Datos'!$D$7:$N$4077,10,0)))</f>
        <v>42604</v>
      </c>
      <c r="R90" s="524">
        <f>IF(ISERROR(VLOOKUP(C90,'Base de Datos'!$D$7:$N$4077,11,0))=TRUE," ",(VLOOKUP(C90,'Base de Datos'!$D$7:$N$4077,11,0)))</f>
        <v>42969</v>
      </c>
      <c r="S90" s="587" t="s">
        <v>1509</v>
      </c>
      <c r="T90" s="694"/>
      <c r="U90" s="751"/>
    </row>
    <row r="91" spans="2:21" s="588" customFormat="1" ht="22.8" outlineLevel="1" x14ac:dyDescent="0.3">
      <c r="B91" s="600">
        <v>135</v>
      </c>
      <c r="C91" s="600" t="str">
        <f t="shared" si="8"/>
        <v>2016135</v>
      </c>
      <c r="D91" s="506" t="str">
        <f>IF(ISERROR(VLOOKUP(C91,'Base de Datos'!$D$7:$F$4092,2,0))=TRUE,"",(VLOOKUP(C91,'Base de Datos'!$D$7:$F$4092,2,0)))</f>
        <v>160022-0-2016</v>
      </c>
      <c r="E91" s="506" t="str">
        <f>IF(ISERROR(VLOOKUP(C91,'Base de Datos'!$D$7:$F$4092,3,0))=TRUE,"",(VLOOKUP(C91,'Base de Datos'!$D$7:$F$4092,3,0)))</f>
        <v>CASA EDITORIAL EL TIEMPO SA</v>
      </c>
      <c r="F91" s="553">
        <v>1280000</v>
      </c>
      <c r="G91" s="784">
        <v>42410</v>
      </c>
      <c r="H91" s="784" t="s">
        <v>390</v>
      </c>
      <c r="I91" s="805" t="str">
        <f ca="1">IF(H91=Hoja1!$J$2," ",(IF(MONTH(G91)=MONTH(TODAY()),IF(DAY(G91)&gt;DAY(TODAY()),"Quedan "&amp;ABS(DAY(G91)-DAY(TODAY()))&amp;" Días","Hace "&amp;ABS(DAY(G91)-DAY(TODAY()))&amp;" Días"),"")))</f>
        <v xml:space="preserve"> </v>
      </c>
      <c r="J91" s="509">
        <f>IF(ISERROR(VLOOKUP(C91,'Base de Datos'!$D$7:$N$4092,6,0))=TRUE,"Sin Celebrar",(VLOOKUP(C91,'Base de Datos'!$D$7:$N$4092,6,0)))</f>
        <v>1226994</v>
      </c>
      <c r="K91" s="585"/>
      <c r="L91" s="509" t="str">
        <f t="shared" si="9"/>
        <v xml:space="preserve"> </v>
      </c>
      <c r="M91" s="509">
        <f t="shared" si="10"/>
        <v>53006</v>
      </c>
      <c r="N91" s="691" t="str">
        <f>IF(ISERROR(VLOOKUP(C91,'Base de Datos'!$D$7:$K$1048576,7,0))=TRUE," ",(VLOOKUP(C91,'Base de Datos'!$D$7:$K$1048576,7,0)))</f>
        <v>160022-0-2016</v>
      </c>
      <c r="O91" s="524">
        <f>IF(ISERROR(VLOOKUP(C91,'Base de Datos'!$D$7:$N$4077,9,0))=TRUE," ",(VLOOKUP(C91,'Base de Datos'!$D$7:$N$4077,9,0)))</f>
        <v>42429</v>
      </c>
      <c r="P91" s="816" t="e">
        <f>VLOOKUP(B91,#REF!,13,0)</f>
        <v>#REF!</v>
      </c>
      <c r="Q91" s="524">
        <f>IF(ISERROR(VLOOKUP(C91,'Base de Datos'!$D$7:$N$4077,10,0))=TRUE," ",(VLOOKUP(C91,'Base de Datos'!$D$7:$N$4077,10,0)))</f>
        <v>42451</v>
      </c>
      <c r="R91" s="524">
        <f>IF(ISERROR(VLOOKUP(C91,'Base de Datos'!$D$7:$N$4077,11,0))=TRUE," ",(VLOOKUP(C91,'Base de Datos'!$D$7:$N$4077,11,0)))</f>
        <v>42816</v>
      </c>
      <c r="S91" s="587" t="s">
        <v>1509</v>
      </c>
      <c r="T91" s="694"/>
      <c r="U91" s="751"/>
    </row>
    <row r="92" spans="2:21" s="588" customFormat="1" ht="22.8" outlineLevel="1" x14ac:dyDescent="0.3">
      <c r="B92" s="600">
        <v>136</v>
      </c>
      <c r="C92" s="600" t="str">
        <f t="shared" si="8"/>
        <v>2016136</v>
      </c>
      <c r="D92" s="506" t="str">
        <f>IF(ISERROR(VLOOKUP(C92,'Base de Datos'!$D$7:$F$4092,2,0))=TRUE,"",(VLOOKUP(C92,'Base de Datos'!$D$7:$F$4092,2,0)))</f>
        <v>160048-0-2016</v>
      </c>
      <c r="E92" s="587" t="s">
        <v>2308</v>
      </c>
      <c r="F92" s="553">
        <v>8034000</v>
      </c>
      <c r="G92" s="784">
        <v>42475</v>
      </c>
      <c r="H92" s="784"/>
      <c r="I92" s="805" t="str">
        <f ca="1">IF(H92=Hoja1!$J$2," ",(IF(MONTH(G92)=MONTH(TODAY()),IF(DAY(G92)&gt;DAY(TODAY()),"Quedan "&amp;ABS(DAY(G92)-DAY(TODAY()))&amp;" Días","Hace "&amp;ABS(DAY(G92)-DAY(TODAY()))&amp;" Días"),"")))</f>
        <v/>
      </c>
      <c r="J92" s="509">
        <f>IF(ISERROR(VLOOKUP(C92,'Base de Datos'!$D$7:$N$4092,6,0))=TRUE,"Sin Celebrar",(VLOOKUP(C92,'Base de Datos'!$D$7:$N$4092,6,0)))</f>
        <v>8010000</v>
      </c>
      <c r="K92" s="585"/>
      <c r="L92" s="509" t="str">
        <f t="shared" si="9"/>
        <v xml:space="preserve"> </v>
      </c>
      <c r="M92" s="509">
        <f t="shared" si="10"/>
        <v>24000</v>
      </c>
      <c r="N92" s="691" t="str">
        <f>IF(ISERROR(VLOOKUP(C92,'Base de Datos'!$D$7:$K$1048576,7,0))=TRUE," ",(VLOOKUP(C92,'Base de Datos'!$D$7:$K$1048576,7,0)))</f>
        <v>160048-0-2016</v>
      </c>
      <c r="O92" s="524">
        <f>IF(ISERROR(VLOOKUP(C92,'Base de Datos'!$D$7:$N$4077,9,0))=TRUE," ",(VLOOKUP(C92,'Base de Datos'!$D$7:$N$4077,9,0)))</f>
        <v>42508</v>
      </c>
      <c r="P92" s="586" t="e">
        <f>VLOOKUP(B92,#REF!,13,0)</f>
        <v>#REF!</v>
      </c>
      <c r="Q92" s="524">
        <f>IF(ISERROR(VLOOKUP(C92,'Base de Datos'!$D$7:$N$4077,10,0))=TRUE," ",(VLOOKUP(C92,'Base de Datos'!$D$7:$N$4077,10,0)))</f>
        <v>42513</v>
      </c>
      <c r="R92" s="524">
        <f>IF(ISERROR(VLOOKUP(C92,'Base de Datos'!$D$7:$N$4077,11,0))=TRUE," ",(VLOOKUP(C92,'Base de Datos'!$D$7:$N$4077,11,0)))</f>
        <v>42878</v>
      </c>
      <c r="S92" s="587" t="s">
        <v>1509</v>
      </c>
      <c r="T92" s="694"/>
      <c r="U92" s="751"/>
    </row>
    <row r="93" spans="2:21" s="588" customFormat="1" ht="22.8" outlineLevel="1" x14ac:dyDescent="0.3">
      <c r="B93" s="600">
        <v>139</v>
      </c>
      <c r="C93" s="600" t="str">
        <f t="shared" si="8"/>
        <v>2016139</v>
      </c>
      <c r="D93" s="506" t="str">
        <f>IF(ISERROR(VLOOKUP(C93,'Base de Datos'!$D$7:$F$4092,2,0))=TRUE,"",(VLOOKUP(C93,'Base de Datos'!$D$7:$F$4092,2,0)))</f>
        <v>160234-0-2016</v>
      </c>
      <c r="E93" s="587" t="s">
        <v>2309</v>
      </c>
      <c r="F93" s="553">
        <v>994200</v>
      </c>
      <c r="G93" s="784">
        <v>42566</v>
      </c>
      <c r="H93" s="784"/>
      <c r="I93" s="805" t="str">
        <f ca="1">IF(H93=Hoja1!$J$2," ",(IF(MONTH(G93)=MONTH(TODAY()),IF(DAY(G93)&gt;DAY(TODAY()),"Quedan "&amp;ABS(DAY(G93)-DAY(TODAY()))&amp;" Días","Hace "&amp;ABS(DAY(G93)-DAY(TODAY()))&amp;" Días"),"")))</f>
        <v/>
      </c>
      <c r="J93" s="509">
        <f>IF(ISERROR(VLOOKUP(C93,'Base de Datos'!$D$7:$N$4092,6,0))=TRUE,"Sin Celebrar",(VLOOKUP(C93,'Base de Datos'!$D$7:$N$4092,6,0)))</f>
        <v>974160</v>
      </c>
      <c r="K93" s="585"/>
      <c r="L93" s="509" t="str">
        <f t="shared" si="9"/>
        <v xml:space="preserve"> </v>
      </c>
      <c r="M93" s="509">
        <f t="shared" si="10"/>
        <v>20040</v>
      </c>
      <c r="N93" s="691" t="str">
        <f>IF(ISERROR(VLOOKUP(C93,'Base de Datos'!$D$7:$K$1048576,7,0))=TRUE," ",(VLOOKUP(C93,'Base de Datos'!$D$7:$K$1048576,7,0)))</f>
        <v>160234-0-2016</v>
      </c>
      <c r="O93" s="524">
        <f>IF(ISERROR(VLOOKUP(C93,'Base de Datos'!$D$7:$N$4077,9,0))=TRUE," ",(VLOOKUP(C93,'Base de Datos'!$D$7:$N$4077,9,0)))</f>
        <v>42636</v>
      </c>
      <c r="P93" s="586" t="e">
        <f>VLOOKUP(B93,#REF!,13,0)</f>
        <v>#REF!</v>
      </c>
      <c r="Q93" s="524">
        <f>IF(ISERROR(VLOOKUP(C93,'Base de Datos'!$D$7:$N$4077,10,0))=TRUE," ",(VLOOKUP(C93,'Base de Datos'!$D$7:$N$4077,10,0)))</f>
        <v>42643</v>
      </c>
      <c r="R93" s="524">
        <f>IF(ISERROR(VLOOKUP(C93,'Base de Datos'!$D$7:$N$4077,11,0))=TRUE," ",(VLOOKUP(C93,'Base de Datos'!$D$7:$N$4077,11,0)))</f>
        <v>43008</v>
      </c>
      <c r="S93" s="587" t="s">
        <v>1509</v>
      </c>
      <c r="T93" s="694"/>
      <c r="U93" s="751"/>
    </row>
    <row r="94" spans="2:21" s="588" customFormat="1" ht="22.8" outlineLevel="1" x14ac:dyDescent="0.3">
      <c r="B94" s="600">
        <v>140</v>
      </c>
      <c r="C94" s="600" t="str">
        <f t="shared" si="8"/>
        <v>2016140</v>
      </c>
      <c r="D94" s="506" t="str">
        <f>IF(ISERROR(VLOOKUP(C94,'Base de Datos'!$D$7:$F$4092,2,0))=TRUE,"",(VLOOKUP(C94,'Base de Datos'!$D$7:$F$4092,2,0)))</f>
        <v>160238-0-2016</v>
      </c>
      <c r="E94" s="587" t="s">
        <v>2310</v>
      </c>
      <c r="F94" s="553">
        <v>908000</v>
      </c>
      <c r="G94" s="784">
        <v>42597</v>
      </c>
      <c r="H94" s="784"/>
      <c r="I94" s="805" t="str">
        <f ca="1">IF(H94=Hoja1!$J$2," ",(IF(MONTH(G94)=MONTH(TODAY()),IF(DAY(G94)&gt;DAY(TODAY()),"Quedan "&amp;ABS(DAY(G94)-DAY(TODAY()))&amp;" Días","Hace "&amp;ABS(DAY(G94)-DAY(TODAY()))&amp;" Días"),"")))</f>
        <v/>
      </c>
      <c r="J94" s="509">
        <f>IF(ISERROR(VLOOKUP(C94,'Base de Datos'!$D$7:$N$4092,6,0))=TRUE,"Sin Celebrar",(VLOOKUP(C94,'Base de Datos'!$D$7:$N$4092,6,0)))</f>
        <v>930000</v>
      </c>
      <c r="K94" s="585"/>
      <c r="L94" s="509" t="str">
        <f t="shared" si="9"/>
        <v xml:space="preserve"> </v>
      </c>
      <c r="M94" s="509" t="str">
        <f t="shared" si="10"/>
        <v xml:space="preserve"> </v>
      </c>
      <c r="N94" s="691" t="str">
        <f>IF(ISERROR(VLOOKUP(C94,'Base de Datos'!$D$7:$K$1048576,7,0))=TRUE," ",(VLOOKUP(C94,'Base de Datos'!$D$7:$K$1048576,7,0)))</f>
        <v>160238-0-2016</v>
      </c>
      <c r="O94" s="524">
        <f>IF(ISERROR(VLOOKUP(C94,'Base de Datos'!$D$7:$N$4077,9,0))=TRUE," ",(VLOOKUP(C94,'Base de Datos'!$D$7:$N$4077,9,0)))</f>
        <v>42640</v>
      </c>
      <c r="P94" s="586" t="e">
        <f>VLOOKUP(B94,#REF!,13,0)</f>
        <v>#REF!</v>
      </c>
      <c r="Q94" s="524">
        <f>IF(ISERROR(VLOOKUP(C94,'Base de Datos'!$D$7:$N$4077,10,0))=TRUE," ",(VLOOKUP(C94,'Base de Datos'!$D$7:$N$4077,10,0)))</f>
        <v>42647</v>
      </c>
      <c r="R94" s="524">
        <f>IF(ISERROR(VLOOKUP(C94,'Base de Datos'!$D$7:$N$4077,11,0))=TRUE," ",(VLOOKUP(C94,'Base de Datos'!$D$7:$N$4077,11,0)))</f>
        <v>43012</v>
      </c>
      <c r="S94" s="587" t="s">
        <v>1509</v>
      </c>
      <c r="T94" s="694"/>
      <c r="U94" s="751"/>
    </row>
    <row r="95" spans="2:21" s="588" customFormat="1" outlineLevel="1" x14ac:dyDescent="0.3">
      <c r="B95" s="587"/>
      <c r="C95" s="587"/>
      <c r="D95" s="587"/>
      <c r="E95" s="587" t="s">
        <v>1934</v>
      </c>
      <c r="F95" s="553"/>
      <c r="G95" s="784"/>
      <c r="H95" s="784"/>
      <c r="I95" s="507"/>
      <c r="J95" s="553"/>
      <c r="K95" s="585"/>
      <c r="L95" s="553"/>
      <c r="M95" s="681" t="str">
        <f t="shared" si="10"/>
        <v xml:space="preserve"> </v>
      </c>
      <c r="N95" s="781"/>
      <c r="O95" s="586" t="str">
        <f>IF(ISERROR(VLOOKUP(B95,'Base de Datos'!$C$7:$N$4077,9,0))=TRUE," ",(VLOOKUP(B95,'Base de Datos'!$C$7:$N$4077,9,0)))</f>
        <v xml:space="preserve"> </v>
      </c>
      <c r="P95" s="587"/>
      <c r="Q95" s="683" t="str">
        <f>IF(ISERROR(VLOOKUP(B95,'Base de Datos'!$C$7:$N$4077,10,0))=TRUE," ",(VLOOKUP(B95,'Base de Datos'!$C$7:$N$4077,10,0)))</f>
        <v xml:space="preserve"> </v>
      </c>
      <c r="R95" s="683" t="str">
        <f>IF(ISERROR(VLOOKUP(B95,'Base de Datos'!$C$7:$N$4077,11,0))=TRUE," ",(VLOOKUP(B95,'Base de Datos'!$C$7:$N$4077,11,0)))</f>
        <v xml:space="preserve"> </v>
      </c>
      <c r="S95" s="587"/>
      <c r="T95" s="694"/>
      <c r="U95" s="751"/>
    </row>
    <row r="96" spans="2:21" s="588" customFormat="1" outlineLevel="1" x14ac:dyDescent="0.3">
      <c r="B96" s="587"/>
      <c r="C96" s="587"/>
      <c r="D96" s="587"/>
      <c r="E96" s="587"/>
      <c r="F96" s="553"/>
      <c r="G96" s="784"/>
      <c r="H96" s="784"/>
      <c r="I96" s="507"/>
      <c r="J96" s="553"/>
      <c r="K96" s="585"/>
      <c r="L96" s="553"/>
      <c r="M96" s="553"/>
      <c r="N96" s="663"/>
      <c r="O96" s="586"/>
      <c r="P96" s="587"/>
      <c r="Q96" s="586"/>
      <c r="R96" s="586"/>
      <c r="S96" s="587"/>
      <c r="T96" s="694"/>
      <c r="U96" s="751"/>
    </row>
    <row r="97" spans="2:21" ht="12" x14ac:dyDescent="0.3">
      <c r="B97" s="1275" t="s">
        <v>1653</v>
      </c>
      <c r="C97" s="1275"/>
      <c r="D97" s="1275"/>
      <c r="E97" s="1275"/>
      <c r="F97" s="772"/>
      <c r="G97" s="799">
        <f>+G98</f>
        <v>15</v>
      </c>
      <c r="H97" s="799">
        <f>+H98</f>
        <v>0</v>
      </c>
      <c r="I97" s="765"/>
      <c r="J97" s="764">
        <f>+J98</f>
        <v>859052500</v>
      </c>
      <c r="K97" s="766" t="e">
        <f>J97/F97</f>
        <v>#DIV/0!</v>
      </c>
      <c r="L97" s="764">
        <f>+L98</f>
        <v>51076000</v>
      </c>
      <c r="M97" s="764">
        <f>+M98</f>
        <v>-910128500</v>
      </c>
      <c r="N97" s="768"/>
      <c r="O97" s="769" t="str">
        <f>IF(ISERROR(VLOOKUP(B97,'Base de Datos'!$C$7:$N$315,8,0))=TRUE," ",(VLOOKUP(B97,'Base de Datos'!$C$7:$N$315,8,0)))</f>
        <v xml:space="preserve"> </v>
      </c>
      <c r="P97" s="770"/>
      <c r="Q97" s="769" t="str">
        <f>IF(ISERROR(VLOOKUP(B97,'Base de Datos'!$C$7:$N$315,9,0))=TRUE," ",(VLOOKUP(B97,'Base de Datos'!$C$7:$N$315,9,0)))</f>
        <v xml:space="preserve"> </v>
      </c>
      <c r="R97" s="769" t="str">
        <f>IF(ISERROR(VLOOKUP(B97,'Base de Datos'!$C$7:$N$315,10,0))=TRUE," ",(VLOOKUP(B97,'Base de Datos'!$C$7:$N$315,10,0)))</f>
        <v xml:space="preserve"> </v>
      </c>
      <c r="S97" s="762"/>
      <c r="T97" s="694"/>
      <c r="U97" s="607"/>
    </row>
    <row r="98" spans="2:21" x14ac:dyDescent="0.3">
      <c r="B98" s="1271" t="s">
        <v>1654</v>
      </c>
      <c r="C98" s="1271"/>
      <c r="D98" s="1271"/>
      <c r="E98" s="1271"/>
      <c r="F98" s="757"/>
      <c r="G98" s="763">
        <f>COUNT(G100:G114)</f>
        <v>15</v>
      </c>
      <c r="H98" s="763">
        <f>COUNTIF(H100:H114,Hoja1!$J$2)</f>
        <v>0</v>
      </c>
      <c r="I98" s="758"/>
      <c r="J98" s="757">
        <f>SUM(J100:J115)</f>
        <v>859052500</v>
      </c>
      <c r="K98" s="759" t="e">
        <f>J98/F98</f>
        <v>#DIV/0!</v>
      </c>
      <c r="L98" s="757">
        <f>SUM(L100:L115)</f>
        <v>51076000</v>
      </c>
      <c r="M98" s="757">
        <f>+F98-J98-L98</f>
        <v>-910128500</v>
      </c>
      <c r="N98" s="760"/>
      <c r="O98" s="761" t="str">
        <f>IF(ISERROR(VLOOKUP(B98,'Base de Datos'!$C$7:$N$315,8,0))=TRUE," ",(VLOOKUP(B98,'Base de Datos'!$C$7:$N$315,8,0)))</f>
        <v xml:space="preserve"> </v>
      </c>
      <c r="P98" s="762"/>
      <c r="Q98" s="761" t="str">
        <f>IF(ISERROR(VLOOKUP(B98,'Base de Datos'!$C$7:$N$315,9,0))=TRUE," ",(VLOOKUP(B98,'Base de Datos'!$C$7:$N$315,9,0)))</f>
        <v xml:space="preserve"> </v>
      </c>
      <c r="R98" s="761" t="str">
        <f>IF(ISERROR(VLOOKUP(B98,'Base de Datos'!$C$7:$N$315,10,0))=TRUE," ",(VLOOKUP(B98,'Base de Datos'!$C$7:$N$315,10,0)))</f>
        <v xml:space="preserve"> </v>
      </c>
      <c r="S98" s="762"/>
      <c r="T98" s="694"/>
      <c r="U98" s="607"/>
    </row>
    <row r="99" spans="2:21" s="588" customFormat="1" ht="22.8" outlineLevel="1" x14ac:dyDescent="0.3">
      <c r="B99" s="600" t="s">
        <v>2341</v>
      </c>
      <c r="C99" s="600"/>
      <c r="D99" s="600" t="s">
        <v>912</v>
      </c>
      <c r="E99" s="600" t="s">
        <v>1821</v>
      </c>
      <c r="F99" s="748" t="s">
        <v>1845</v>
      </c>
      <c r="G99" s="784" t="s">
        <v>2343</v>
      </c>
      <c r="H99" s="784" t="s">
        <v>2347</v>
      </c>
      <c r="I99" s="507" t="s">
        <v>2348</v>
      </c>
      <c r="J99" s="600" t="s">
        <v>1844</v>
      </c>
      <c r="K99" s="585"/>
      <c r="L99" s="600" t="s">
        <v>1938</v>
      </c>
      <c r="M99" s="600" t="s">
        <v>1939</v>
      </c>
      <c r="N99" s="749" t="s">
        <v>1121</v>
      </c>
      <c r="O99" s="750" t="s">
        <v>1846</v>
      </c>
      <c r="P99" s="600" t="s">
        <v>1847</v>
      </c>
      <c r="Q99" s="600" t="s">
        <v>1848</v>
      </c>
      <c r="R99" s="600" t="s">
        <v>375</v>
      </c>
      <c r="S99" s="600" t="s">
        <v>1849</v>
      </c>
      <c r="T99" s="694"/>
      <c r="U99" s="751"/>
    </row>
    <row r="100" spans="2:21" s="588" customFormat="1" ht="22.8" outlineLevel="1" x14ac:dyDescent="0.3">
      <c r="B100" s="600">
        <v>215</v>
      </c>
      <c r="C100" s="600" t="str">
        <f t="shared" ref="C100:C114" si="11">$W$6&amp;B100</f>
        <v>2016215</v>
      </c>
      <c r="D100" s="506" t="str">
        <f>IF(ISERROR(VLOOKUP(C100,'Base de Datos'!$D$7:$F$4092,2,0))=TRUE,"",(VLOOKUP(C100,'Base de Datos'!$D$7:$F$4092,2,0)))</f>
        <v/>
      </c>
      <c r="E100" s="587" t="s">
        <v>2311</v>
      </c>
      <c r="F100" s="553">
        <v>9442000</v>
      </c>
      <c r="G100" s="784">
        <v>42405</v>
      </c>
      <c r="H100" s="784"/>
      <c r="I100" s="805" t="str">
        <f ca="1">IF(H100=Hoja1!$J$2," ",(IF(MONTH(G100)=MONTH(TODAY()),IF(DAY(G100)&gt;DAY(TODAY()),"Quedan "&amp;ABS(DAY(G100)-DAY(TODAY()))&amp;" Días","Hace "&amp;ABS(DAY(G100)-DAY(TODAY()))&amp;" Días"),"")))</f>
        <v>Quedan 4 Días</v>
      </c>
      <c r="J100" s="509" t="str">
        <f>IF(ISERROR(VLOOKUP(C100,'Base de Datos'!$D$7:$N$4092,6,0))=TRUE,"Sin Celebrar",(VLOOKUP(C100,'Base de Datos'!$D$7:$N$4092,6,0)))</f>
        <v>Sin Celebrar</v>
      </c>
      <c r="K100" s="585"/>
      <c r="L100" s="509">
        <f t="shared" ref="L100:L114" si="12">IF(J100=$W$7,F100, " ")</f>
        <v>9442000</v>
      </c>
      <c r="M100" s="509" t="str">
        <f t="shared" ref="M100:M115" si="13">IF(J100&lt;F100,(F100-J100)," ")</f>
        <v xml:space="preserve"> </v>
      </c>
      <c r="N100" s="691" t="str">
        <f>IF(ISERROR(VLOOKUP(C100,'Base de Datos'!$D$7:$K$1048576,7,0))=TRUE," ",(VLOOKUP(C100,'Base de Datos'!$D$7:$K$1048576,7,0)))</f>
        <v xml:space="preserve"> </v>
      </c>
      <c r="O100" s="524" t="str">
        <f>IF(ISERROR(VLOOKUP(C100,'Base de Datos'!$D$7:$N$4077,9,0))=TRUE," ",(VLOOKUP(C100,'Base de Datos'!$D$7:$N$4077,9,0)))</f>
        <v xml:space="preserve"> </v>
      </c>
      <c r="P100" s="586" t="e">
        <f>VLOOKUP(B100,#REF!,13,0)</f>
        <v>#REF!</v>
      </c>
      <c r="Q100" s="524" t="str">
        <f>IF(ISERROR(VLOOKUP(C100,'Base de Datos'!$D$7:$N$4077,10,0))=TRUE," ",(VLOOKUP(C100,'Base de Datos'!$D$7:$N$4077,10,0)))</f>
        <v xml:space="preserve"> </v>
      </c>
      <c r="R100" s="524" t="str">
        <f>IF(ISERROR(VLOOKUP(C100,'Base de Datos'!$D$7:$N$4077,11,0))=TRUE," ",(VLOOKUP(C100,'Base de Datos'!$D$7:$N$4077,11,0)))</f>
        <v xml:space="preserve"> </v>
      </c>
      <c r="S100" s="587" t="s">
        <v>2350</v>
      </c>
      <c r="T100" s="694"/>
      <c r="U100" s="751"/>
    </row>
    <row r="101" spans="2:21" s="588" customFormat="1" ht="22.8" outlineLevel="1" x14ac:dyDescent="0.3">
      <c r="B101" s="600">
        <v>198</v>
      </c>
      <c r="C101" s="600" t="str">
        <f t="shared" si="11"/>
        <v>2016198</v>
      </c>
      <c r="D101" s="506" t="str">
        <f>IF(ISERROR(VLOOKUP(C101,'Base de Datos'!$D$7:$F$4092,2,0))=TRUE,"",(VLOOKUP(C101,'Base de Datos'!$D$7:$F$4092,2,0)))</f>
        <v>160161-0-2016</v>
      </c>
      <c r="E101" s="587" t="s">
        <v>2401</v>
      </c>
      <c r="F101" s="553">
        <v>485820000</v>
      </c>
      <c r="G101" s="784">
        <v>42370</v>
      </c>
      <c r="H101" s="784"/>
      <c r="I101" s="805" t="str">
        <f ca="1">IF(H101=Hoja1!$J$2," ",(IF(MONTH(G101)=MONTH(TODAY()),IF(DAY(G101)&gt;DAY(TODAY()),"Quedan "&amp;ABS(DAY(G101)-DAY(TODAY()))&amp;" Días","Hace "&amp;ABS(DAY(G101)-DAY(TODAY()))&amp;" Días"),"")))</f>
        <v/>
      </c>
      <c r="J101" s="509">
        <f>IF(ISERROR(VLOOKUP(C101,'Base de Datos'!$D$7:$N$4092,6,0))=TRUE,"Sin Celebrar",(VLOOKUP(C101,'Base de Datos'!$D$7:$N$4092,6,0)))</f>
        <v>485820000</v>
      </c>
      <c r="K101" s="585"/>
      <c r="L101" s="509" t="str">
        <f t="shared" si="12"/>
        <v xml:space="preserve"> </v>
      </c>
      <c r="M101" s="509" t="str">
        <f t="shared" si="13"/>
        <v xml:space="preserve"> </v>
      </c>
      <c r="N101" s="691" t="str">
        <f>IF(ISERROR(VLOOKUP(C101,'Base de Datos'!$D$7:$K$1048576,7,0))=TRUE," ",(VLOOKUP(C101,'Base de Datos'!$D$7:$K$1048576,7,0)))</f>
        <v>SDH-LP-02-2016</v>
      </c>
      <c r="O101" s="524">
        <f>IF(ISERROR(VLOOKUP(C101,'Base de Datos'!$D$7:$N$4077,9,0))=TRUE," ",(VLOOKUP(C101,'Base de Datos'!$D$7:$N$4077,9,0)))</f>
        <v>42558</v>
      </c>
      <c r="P101" s="586" t="e">
        <f>VLOOKUP(B101,#REF!,13,0)</f>
        <v>#REF!</v>
      </c>
      <c r="Q101" s="524">
        <f>IF(ISERROR(VLOOKUP(C101,'Base de Datos'!$D$7:$N$4077,10,0))=TRUE," ",(VLOOKUP(C101,'Base de Datos'!$D$7:$N$4077,10,0)))</f>
        <v>42583</v>
      </c>
      <c r="R101" s="524">
        <f>IF(ISERROR(VLOOKUP(C101,'Base de Datos'!$D$7:$N$4077,11,0))=TRUE," ",(VLOOKUP(C101,'Base de Datos'!$D$7:$N$4077,11,0)))</f>
        <v>42887</v>
      </c>
      <c r="S101" s="587" t="s">
        <v>2075</v>
      </c>
      <c r="T101" s="694"/>
      <c r="U101" s="751"/>
    </row>
    <row r="102" spans="2:21" s="588" customFormat="1" ht="22.8" outlineLevel="1" x14ac:dyDescent="0.3">
      <c r="B102" s="600">
        <v>207</v>
      </c>
      <c r="C102" s="600" t="str">
        <f t="shared" si="11"/>
        <v>2016207</v>
      </c>
      <c r="D102" s="506" t="str">
        <f>IF(ISERROR(VLOOKUP(C102,'Base de Datos'!$D$7:$F$4092,2,0))=TRUE,"",(VLOOKUP(C102,'Base de Datos'!$D$7:$F$4092,2,0)))</f>
        <v>160307-0-2016</v>
      </c>
      <c r="E102" s="587" t="s">
        <v>1137</v>
      </c>
      <c r="F102" s="553">
        <v>215270000</v>
      </c>
      <c r="G102" s="784">
        <v>42374</v>
      </c>
      <c r="H102" s="784"/>
      <c r="I102" s="805" t="str">
        <f ca="1">IF(H102=Hoja1!$J$2," ",(IF(MONTH(G102)=MONTH(TODAY()),IF(DAY(G102)&gt;DAY(TODAY()),"Quedan "&amp;ABS(DAY(G102)-DAY(TODAY()))&amp;" Días","Hace "&amp;ABS(DAY(G102)-DAY(TODAY()))&amp;" Días"),"")))</f>
        <v/>
      </c>
      <c r="J102" s="509">
        <f>IF(ISERROR(VLOOKUP(C102,'Base de Datos'!$D$7:$N$4092,6,0))=TRUE,"Sin Celebrar",(VLOOKUP(C102,'Base de Datos'!$D$7:$N$4092,6,0)))</f>
        <v>64285000</v>
      </c>
      <c r="K102" s="585"/>
      <c r="L102" s="509" t="str">
        <f t="shared" si="12"/>
        <v xml:space="preserve"> </v>
      </c>
      <c r="M102" s="509">
        <f t="shared" si="13"/>
        <v>150985000</v>
      </c>
      <c r="N102" s="691" t="str">
        <f>IF(ISERROR(VLOOKUP(C102,'Base de Datos'!$D$7:$K$1048576,7,0))=TRUE," ",(VLOOKUP(C102,'Base de Datos'!$D$7:$K$1048576,7,0)))</f>
        <v>SDH-SMINC-48-2016</v>
      </c>
      <c r="O102" s="524">
        <f>IF(ISERROR(VLOOKUP(C102,'Base de Datos'!$D$7:$N$4077,9,0))=TRUE," ",(VLOOKUP(C102,'Base de Datos'!$D$7:$N$4077,9,0)))</f>
        <v>42726</v>
      </c>
      <c r="P102" s="586" t="e">
        <f>VLOOKUP(B102,#REF!,13,0)</f>
        <v>#REF!</v>
      </c>
      <c r="Q102" s="524">
        <f>IF(ISERROR(VLOOKUP(C102,'Base de Datos'!$D$7:$N$4077,10,0))=TRUE," ",(VLOOKUP(C102,'Base de Datos'!$D$7:$N$4077,10,0)))</f>
        <v>42730</v>
      </c>
      <c r="R102" s="524">
        <f>IF(ISERROR(VLOOKUP(C102,'Base de Datos'!$D$7:$N$4077,11,0))=TRUE," ",(VLOOKUP(C102,'Base de Datos'!$D$7:$N$4077,11,0)))</f>
        <v>42797</v>
      </c>
      <c r="S102" s="587" t="s">
        <v>2075</v>
      </c>
      <c r="T102" s="694"/>
      <c r="U102" s="751"/>
    </row>
    <row r="103" spans="2:21" s="588" customFormat="1" ht="22.8" outlineLevel="1" x14ac:dyDescent="0.3">
      <c r="B103" s="600">
        <v>217</v>
      </c>
      <c r="C103" s="600" t="str">
        <f t="shared" si="11"/>
        <v>2016217</v>
      </c>
      <c r="D103" s="506" t="str">
        <f>IF(ISERROR(VLOOKUP(C103,'Base de Datos'!$D$7:$F$4092,2,0))=TRUE,"",(VLOOKUP(C103,'Base de Datos'!$D$7:$F$4092,2,0)))</f>
        <v>160096-0-2016</v>
      </c>
      <c r="E103" s="587" t="s">
        <v>2312</v>
      </c>
      <c r="F103" s="553">
        <v>14640000</v>
      </c>
      <c r="G103" s="784">
        <v>42401</v>
      </c>
      <c r="H103" s="784"/>
      <c r="I103" s="805" t="str">
        <f ca="1">IF(H103=Hoja1!$J$2," ",(IF(MONTH(G103)=MONTH(TODAY()),IF(DAY(G103)&gt;DAY(TODAY()),"Quedan "&amp;ABS(DAY(G103)-DAY(TODAY()))&amp;" Días","Hace "&amp;ABS(DAY(G103)-DAY(TODAY()))&amp;" Días"),"")))</f>
        <v>Hace 0 Días</v>
      </c>
      <c r="J103" s="509">
        <f>IF(ISERROR(VLOOKUP(C103,'Base de Datos'!$D$7:$N$4092,6,0))=TRUE,"Sin Celebrar",(VLOOKUP(C103,'Base de Datos'!$D$7:$N$4092,6,0)))</f>
        <v>14640000</v>
      </c>
      <c r="K103" s="585"/>
      <c r="L103" s="509" t="str">
        <f t="shared" si="12"/>
        <v xml:space="preserve"> </v>
      </c>
      <c r="M103" s="509" t="str">
        <f t="shared" si="13"/>
        <v xml:space="preserve"> </v>
      </c>
      <c r="N103" s="691" t="str">
        <f>IF(ISERROR(VLOOKUP(C103,'Base de Datos'!$D$7:$K$1048576,7,0))=TRUE," ",(VLOOKUP(C103,'Base de Datos'!$D$7:$K$1048576,7,0)))</f>
        <v>160096-0-2016</v>
      </c>
      <c r="O103" s="524">
        <f>IF(ISERROR(VLOOKUP(C103,'Base de Datos'!$D$7:$N$4077,9,0))=TRUE," ",(VLOOKUP(C103,'Base de Datos'!$D$7:$N$4077,9,0)))</f>
        <v>42496</v>
      </c>
      <c r="P103" s="586" t="e">
        <f>VLOOKUP(B103,#REF!,13,0)</f>
        <v>#REF!</v>
      </c>
      <c r="Q103" s="524">
        <f>IF(ISERROR(VLOOKUP(C103,'Base de Datos'!$D$7:$N$4077,10,0))=TRUE," ",(VLOOKUP(C103,'Base de Datos'!$D$7:$N$4077,10,0)))</f>
        <v>42514</v>
      </c>
      <c r="R103" s="524">
        <f>IF(ISERROR(VLOOKUP(C103,'Base de Datos'!$D$7:$N$4077,11,0))=TRUE," ",(VLOOKUP(C103,'Base de Datos'!$D$7:$N$4077,11,0)))</f>
        <v>42818</v>
      </c>
      <c r="S103" s="587" t="s">
        <v>1509</v>
      </c>
      <c r="T103" s="694"/>
      <c r="U103" s="751"/>
    </row>
    <row r="104" spans="2:21" s="588" customFormat="1" ht="22.8" outlineLevel="1" x14ac:dyDescent="0.3">
      <c r="B104" s="600">
        <v>218</v>
      </c>
      <c r="C104" s="600" t="str">
        <f t="shared" si="11"/>
        <v>2016218</v>
      </c>
      <c r="D104" s="506" t="str">
        <f>IF(ISERROR(VLOOKUP(C104,'Base de Datos'!$D$7:$F$4092,2,0))=TRUE,"",(VLOOKUP(C104,'Base de Datos'!$D$7:$F$4092,2,0)))</f>
        <v>160170-0-2016</v>
      </c>
      <c r="E104" s="587" t="s">
        <v>2313</v>
      </c>
      <c r="F104" s="553">
        <v>221382000</v>
      </c>
      <c r="G104" s="784">
        <v>42373</v>
      </c>
      <c r="H104" s="784"/>
      <c r="I104" s="805" t="str">
        <f ca="1">IF(H104=Hoja1!$J$2," ",(IF(MONTH(G104)=MONTH(TODAY()),IF(DAY(G104)&gt;DAY(TODAY()),"Quedan "&amp;ABS(DAY(G104)-DAY(TODAY()))&amp;" Días","Hace "&amp;ABS(DAY(G104)-DAY(TODAY()))&amp;" Días"),"")))</f>
        <v/>
      </c>
      <c r="J104" s="509">
        <f>IF(ISERROR(VLOOKUP(C104,'Base de Datos'!$D$7:$N$4092,6,0))=TRUE,"Sin Celebrar",(VLOOKUP(C104,'Base de Datos'!$D$7:$N$4092,6,0)))</f>
        <v>221382000</v>
      </c>
      <c r="K104" s="585"/>
      <c r="L104" s="509" t="str">
        <f t="shared" si="12"/>
        <v xml:space="preserve"> </v>
      </c>
      <c r="M104" s="509" t="str">
        <f t="shared" si="13"/>
        <v xml:space="preserve"> </v>
      </c>
      <c r="N104" s="691" t="str">
        <f>IF(ISERROR(VLOOKUP(C104,'Base de Datos'!$D$7:$K$1048576,7,0))=TRUE," ",(VLOOKUP(C104,'Base de Datos'!$D$7:$K$1048576,7,0)))</f>
        <v>SDH-SAMC-03-2016</v>
      </c>
      <c r="O104" s="524">
        <f>IF(ISERROR(VLOOKUP(C104,'Base de Datos'!$D$7:$N$4077,9,0))=TRUE," ",(VLOOKUP(C104,'Base de Datos'!$D$7:$N$4077,9,0)))</f>
        <v>42564</v>
      </c>
      <c r="P104" s="586" t="e">
        <f>VLOOKUP(B104,#REF!,13,0)</f>
        <v>#REF!</v>
      </c>
      <c r="Q104" s="524">
        <f>IF(ISERROR(VLOOKUP(C104,'Base de Datos'!$D$7:$N$4077,10,0))=TRUE," ",(VLOOKUP(C104,'Base de Datos'!$D$7:$N$4077,10,0)))</f>
        <v>42587</v>
      </c>
      <c r="R104" s="524">
        <f>IF(ISERROR(VLOOKUP(C104,'Base de Datos'!$D$7:$N$4077,11,0))=TRUE," ",(VLOOKUP(C104,'Base de Datos'!$D$7:$N$4077,11,0)))</f>
        <v>42891</v>
      </c>
      <c r="S104" s="587" t="s">
        <v>981</v>
      </c>
      <c r="T104" s="694"/>
      <c r="U104" s="751"/>
    </row>
    <row r="105" spans="2:21" s="588" customFormat="1" ht="22.8" outlineLevel="1" x14ac:dyDescent="0.3">
      <c r="B105" s="600">
        <v>142</v>
      </c>
      <c r="C105" s="600" t="str">
        <f t="shared" si="11"/>
        <v>2016142</v>
      </c>
      <c r="D105" s="506" t="str">
        <f>IF(ISERROR(VLOOKUP(C105,'Base de Datos'!$D$7:$F$4092,2,0))=TRUE,"",(VLOOKUP(C105,'Base de Datos'!$D$7:$F$4092,2,0)))</f>
        <v>160163-0-2016</v>
      </c>
      <c r="E105" s="587" t="s">
        <v>2314</v>
      </c>
      <c r="F105" s="553">
        <v>22810000</v>
      </c>
      <c r="G105" s="784">
        <v>42096</v>
      </c>
      <c r="H105" s="784"/>
      <c r="I105" s="805" t="str">
        <f ca="1">IF(H105=Hoja1!$J$2," ",(IF(MONTH(G105)=MONTH(TODAY()),IF(DAY(G105)&gt;DAY(TODAY()),"Quedan "&amp;ABS(DAY(G105)-DAY(TODAY()))&amp;" Días","Hace "&amp;ABS(DAY(G105)-DAY(TODAY()))&amp;" Días"),"")))</f>
        <v/>
      </c>
      <c r="J105" s="509">
        <f>IF(ISERROR(VLOOKUP(C105,'Base de Datos'!$D$7:$N$4092,6,0))=TRUE,"Sin Celebrar",(VLOOKUP(C105,'Base de Datos'!$D$7:$N$4092,6,0)))</f>
        <v>12650000</v>
      </c>
      <c r="K105" s="585"/>
      <c r="L105" s="509" t="str">
        <f t="shared" si="12"/>
        <v xml:space="preserve"> </v>
      </c>
      <c r="M105" s="509">
        <f t="shared" si="13"/>
        <v>10160000</v>
      </c>
      <c r="N105" s="691" t="str">
        <f>IF(ISERROR(VLOOKUP(C105,'Base de Datos'!$D$7:$K$1048576,7,0))=TRUE," ",(VLOOKUP(C105,'Base de Datos'!$D$7:$K$1048576,7,0)))</f>
        <v>SDH-SMINC-14-2016</v>
      </c>
      <c r="O105" s="524">
        <f>IF(ISERROR(VLOOKUP(C105,'Base de Datos'!$D$7:$N$4077,9,0))=TRUE," ",(VLOOKUP(C105,'Base de Datos'!$D$7:$N$4077,9,0)))</f>
        <v>42558</v>
      </c>
      <c r="P105" s="586" t="e">
        <f>VLOOKUP(B105,#REF!,13,0)</f>
        <v>#REF!</v>
      </c>
      <c r="Q105" s="524">
        <f>IF(ISERROR(VLOOKUP(C105,'Base de Datos'!$D$7:$N$4077,10,0))=TRUE," ",(VLOOKUP(C105,'Base de Datos'!$D$7:$N$4077,10,0)))</f>
        <v>42577</v>
      </c>
      <c r="R105" s="524">
        <f>IF(ISERROR(VLOOKUP(C105,'Base de Datos'!$D$7:$N$4077,11,0))=TRUE," ",(VLOOKUP(C105,'Base de Datos'!$D$7:$N$4077,11,0)))</f>
        <v>42912</v>
      </c>
      <c r="S105" s="587" t="s">
        <v>981</v>
      </c>
      <c r="T105" s="694"/>
      <c r="U105" s="751"/>
    </row>
    <row r="106" spans="2:21" s="588" customFormat="1" ht="22.8" outlineLevel="1" x14ac:dyDescent="0.3">
      <c r="B106" s="600">
        <v>219</v>
      </c>
      <c r="C106" s="600" t="str">
        <f t="shared" si="11"/>
        <v>2016219</v>
      </c>
      <c r="D106" s="506" t="str">
        <f>IF(ISERROR(VLOOKUP(C106,'Base de Datos'!$D$7:$F$4092,2,0))=TRUE,"",(VLOOKUP(C106,'Base de Datos'!$D$7:$F$4092,2,0)))</f>
        <v>160118-0-2016</v>
      </c>
      <c r="E106" s="587" t="s">
        <v>2315</v>
      </c>
      <c r="F106" s="553">
        <v>25000000</v>
      </c>
      <c r="G106" s="784">
        <v>42430</v>
      </c>
      <c r="H106" s="784"/>
      <c r="I106" s="805" t="str">
        <f ca="1">IF(H106=Hoja1!$J$2," ",(IF(MONTH(G106)=MONTH(TODAY()),IF(DAY(G106)&gt;DAY(TODAY()),"Quedan "&amp;ABS(DAY(G106)-DAY(TODAY()))&amp;" Días","Hace "&amp;ABS(DAY(G106)-DAY(TODAY()))&amp;" Días"),"")))</f>
        <v/>
      </c>
      <c r="J106" s="509">
        <f>IF(ISERROR(VLOOKUP(C106,'Base de Datos'!$D$7:$N$4092,6,0))=TRUE,"Sin Celebrar",(VLOOKUP(C106,'Base de Datos'!$D$7:$N$4092,6,0)))</f>
        <v>19931000</v>
      </c>
      <c r="K106" s="585"/>
      <c r="L106" s="509" t="str">
        <f t="shared" si="12"/>
        <v xml:space="preserve"> </v>
      </c>
      <c r="M106" s="509">
        <f t="shared" si="13"/>
        <v>5069000</v>
      </c>
      <c r="N106" s="691" t="str">
        <f>IF(ISERROR(VLOOKUP(C106,'Base de Datos'!$D$7:$K$1048576,7,0))=TRUE," ",(VLOOKUP(C106,'Base de Datos'!$D$7:$K$1048576,7,0)))</f>
        <v>SDH-SMINC-06-2016</v>
      </c>
      <c r="O106" s="524">
        <f>IF(ISERROR(VLOOKUP(C106,'Base de Datos'!$D$7:$N$4077,9,0))=TRUE," ",(VLOOKUP(C106,'Base de Datos'!$D$7:$N$4077,9,0)))</f>
        <v>42517</v>
      </c>
      <c r="P106" s="586" t="e">
        <f>VLOOKUP(B106,#REF!,13,0)</f>
        <v>#REF!</v>
      </c>
      <c r="Q106" s="524">
        <f>IF(ISERROR(VLOOKUP(C106,'Base de Datos'!$D$7:$N$4077,10,0))=TRUE," ",(VLOOKUP(C106,'Base de Datos'!$D$7:$N$4077,10,0)))</f>
        <v>42529</v>
      </c>
      <c r="R106" s="524">
        <f>IF(ISERROR(VLOOKUP(C106,'Base de Datos'!$D$7:$N$4077,11,0))=TRUE," ",(VLOOKUP(C106,'Base de Datos'!$D$7:$N$4077,11,0)))</f>
        <v>42774</v>
      </c>
      <c r="S106" s="587" t="s">
        <v>2349</v>
      </c>
      <c r="T106" s="694"/>
      <c r="U106" s="751"/>
    </row>
    <row r="107" spans="2:21" s="588" customFormat="1" ht="22.8" outlineLevel="1" x14ac:dyDescent="0.3">
      <c r="B107" s="600">
        <v>220</v>
      </c>
      <c r="C107" s="600" t="str">
        <f t="shared" si="11"/>
        <v>2016220</v>
      </c>
      <c r="D107" s="506" t="str">
        <f>IF(ISERROR(VLOOKUP(C107,'Base de Datos'!$D$7:$F$4092,2,0))=TRUE,"",(VLOOKUP(C107,'Base de Datos'!$D$7:$F$4092,2,0)))</f>
        <v>160198-0-2016</v>
      </c>
      <c r="E107" s="587" t="s">
        <v>2316</v>
      </c>
      <c r="F107" s="553">
        <v>5042000</v>
      </c>
      <c r="G107" s="784">
        <v>42430</v>
      </c>
      <c r="H107" s="784"/>
      <c r="I107" s="805" t="str">
        <f ca="1">IF(H107=Hoja1!$J$2," ",(IF(MONTH(G107)=MONTH(TODAY()),IF(DAY(G107)&gt;DAY(TODAY()),"Quedan "&amp;ABS(DAY(G107)-DAY(TODAY()))&amp;" Días","Hace "&amp;ABS(DAY(G107)-DAY(TODAY()))&amp;" Días"),"")))</f>
        <v/>
      </c>
      <c r="J107" s="509">
        <f>IF(ISERROR(VLOOKUP(C107,'Base de Datos'!$D$7:$N$4092,6,0))=TRUE,"Sin Celebrar",(VLOOKUP(C107,'Base de Datos'!$D$7:$N$4092,6,0)))</f>
        <v>6973000</v>
      </c>
      <c r="K107" s="585"/>
      <c r="L107" s="509" t="str">
        <f t="shared" si="12"/>
        <v xml:space="preserve"> </v>
      </c>
      <c r="M107" s="509" t="str">
        <f t="shared" si="13"/>
        <v xml:space="preserve"> </v>
      </c>
      <c r="N107" s="691" t="str">
        <f>IF(ISERROR(VLOOKUP(C107,'Base de Datos'!$D$7:$K$1048576,7,0))=TRUE," ",(VLOOKUP(C107,'Base de Datos'!$D$7:$K$1048576,7,0)))</f>
        <v>SDH-SMINC-29-2016</v>
      </c>
      <c r="O107" s="524">
        <f>IF(ISERROR(VLOOKUP(C107,'Base de Datos'!$D$7:$N$4077,9,0))=TRUE," ",(VLOOKUP(C107,'Base de Datos'!$D$7:$N$4077,9,0)))</f>
        <v>42587</v>
      </c>
      <c r="P107" s="586" t="e">
        <f>VLOOKUP(B107,#REF!,13,0)</f>
        <v>#REF!</v>
      </c>
      <c r="Q107" s="524">
        <f>IF(ISERROR(VLOOKUP(C107,'Base de Datos'!$D$7:$N$4077,10,0))=TRUE," ",(VLOOKUP(C107,'Base de Datos'!$D$7:$N$4077,10,0)))</f>
        <v>42598</v>
      </c>
      <c r="R107" s="524">
        <f>IF(ISERROR(VLOOKUP(C107,'Base de Datos'!$D$7:$N$4077,11,0))=TRUE," ",(VLOOKUP(C107,'Base de Datos'!$D$7:$N$4077,11,0)))</f>
        <v>42841</v>
      </c>
      <c r="S107" s="587" t="s">
        <v>2350</v>
      </c>
      <c r="T107" s="694"/>
      <c r="U107" s="751"/>
    </row>
    <row r="108" spans="2:21" s="588" customFormat="1" ht="22.8" outlineLevel="1" x14ac:dyDescent="0.3">
      <c r="B108" s="600">
        <v>143</v>
      </c>
      <c r="C108" s="600" t="str">
        <f t="shared" si="11"/>
        <v>2016143</v>
      </c>
      <c r="D108" s="506" t="str">
        <f>IF(ISERROR(VLOOKUP(C108,'Base de Datos'!$D$7:$F$4092,2,0))=TRUE,"",(VLOOKUP(C108,'Base de Datos'!$D$7:$F$4092,2,0)))</f>
        <v>160127-0-2016</v>
      </c>
      <c r="E108" s="587" t="s">
        <v>2317</v>
      </c>
      <c r="F108" s="553">
        <v>2060000</v>
      </c>
      <c r="G108" s="784">
        <v>42430</v>
      </c>
      <c r="H108" s="784"/>
      <c r="I108" s="805" t="str">
        <f ca="1">IF(H108=Hoja1!$J$2," ",(IF(MONTH(G108)=MONTH(TODAY()),IF(DAY(G108)&gt;DAY(TODAY()),"Quedan "&amp;ABS(DAY(G108)-DAY(TODAY()))&amp;" Días","Hace "&amp;ABS(DAY(G108)-DAY(TODAY()))&amp;" Días"),"")))</f>
        <v/>
      </c>
      <c r="J108" s="509">
        <f>IF(ISERROR(VLOOKUP(C108,'Base de Datos'!$D$7:$N$4092,6,0))=TRUE,"Sin Celebrar",(VLOOKUP(C108,'Base de Datos'!$D$7:$N$4092,6,0)))</f>
        <v>2060000</v>
      </c>
      <c r="K108" s="585"/>
      <c r="L108" s="509" t="str">
        <f t="shared" si="12"/>
        <v xml:space="preserve"> </v>
      </c>
      <c r="M108" s="509" t="str">
        <f t="shared" si="13"/>
        <v xml:space="preserve"> </v>
      </c>
      <c r="N108" s="691" t="str">
        <f>IF(ISERROR(VLOOKUP(C108,'Base de Datos'!$D$7:$K$1048576,7,0))=TRUE," ",(VLOOKUP(C108,'Base de Datos'!$D$7:$K$1048576,7,0)))</f>
        <v>SDH-SMINC-07-2016</v>
      </c>
      <c r="O108" s="524">
        <f>IF(ISERROR(VLOOKUP(C108,'Base de Datos'!$D$7:$N$4077,9,0))=TRUE," ",(VLOOKUP(C108,'Base de Datos'!$D$7:$N$4077,9,0)))</f>
        <v>42528</v>
      </c>
      <c r="P108" s="586" t="e">
        <f>VLOOKUP(B108,#REF!,13,0)</f>
        <v>#REF!</v>
      </c>
      <c r="Q108" s="524">
        <f>IF(ISERROR(VLOOKUP(C108,'Base de Datos'!$D$7:$N$4077,10,0))=TRUE," ",(VLOOKUP(C108,'Base de Datos'!$D$7:$N$4077,10,0)))</f>
        <v>42541</v>
      </c>
      <c r="R108" s="524">
        <f>IF(ISERROR(VLOOKUP(C108,'Base de Datos'!$D$7:$N$4077,11,0))=TRUE," ",(VLOOKUP(C108,'Base de Datos'!$D$7:$N$4077,11,0)))</f>
        <v>42786</v>
      </c>
      <c r="S108" s="587" t="s">
        <v>2349</v>
      </c>
      <c r="T108" s="694"/>
      <c r="U108" s="751"/>
    </row>
    <row r="109" spans="2:21" s="588" customFormat="1" ht="34.200000000000003" outlineLevel="1" x14ac:dyDescent="0.3">
      <c r="B109" s="600">
        <v>144</v>
      </c>
      <c r="C109" s="600" t="str">
        <f t="shared" si="11"/>
        <v>2016144</v>
      </c>
      <c r="D109" s="506" t="str">
        <f>IF(ISERROR(VLOOKUP(C109,'Base de Datos'!$D$7:$F$4092,2,0))=TRUE,"",(VLOOKUP(C109,'Base de Datos'!$D$7:$F$4092,2,0)))</f>
        <v/>
      </c>
      <c r="E109" s="587" t="s">
        <v>2318</v>
      </c>
      <c r="F109" s="553">
        <v>7644000</v>
      </c>
      <c r="G109" s="784">
        <v>42408</v>
      </c>
      <c r="H109" s="784"/>
      <c r="I109" s="805" t="str">
        <f ca="1">IF(H109=Hoja1!$J$2," ",(IF(MONTH(G109)=MONTH(TODAY()),IF(DAY(G109)&gt;DAY(TODAY()),"Quedan "&amp;ABS(DAY(G109)-DAY(TODAY()))&amp;" Días","Hace "&amp;ABS(DAY(G109)-DAY(TODAY()))&amp;" Días"),"")))</f>
        <v>Quedan 7 Días</v>
      </c>
      <c r="J109" s="509" t="str">
        <f>IF(ISERROR(VLOOKUP(C109,'Base de Datos'!$D$7:$N$4092,6,0))=TRUE,"Sin Celebrar",(VLOOKUP(C109,'Base de Datos'!$D$7:$N$4092,6,0)))</f>
        <v>Sin Celebrar</v>
      </c>
      <c r="K109" s="585"/>
      <c r="L109" s="509">
        <f t="shared" si="12"/>
        <v>7644000</v>
      </c>
      <c r="M109" s="509" t="str">
        <f t="shared" si="13"/>
        <v xml:space="preserve"> </v>
      </c>
      <c r="N109" s="691" t="str">
        <f>IF(ISERROR(VLOOKUP(C109,'Base de Datos'!$D$7:$K$1048576,7,0))=TRUE," ",(VLOOKUP(C109,'Base de Datos'!$D$7:$K$1048576,7,0)))</f>
        <v xml:space="preserve"> </v>
      </c>
      <c r="O109" s="524" t="str">
        <f>IF(ISERROR(VLOOKUP(C109,'Base de Datos'!$D$7:$N$4077,9,0))=TRUE," ",(VLOOKUP(C109,'Base de Datos'!$D$7:$N$4077,9,0)))</f>
        <v xml:space="preserve"> </v>
      </c>
      <c r="P109" s="586" t="e">
        <f>VLOOKUP(B109,#REF!,13,0)</f>
        <v>#REF!</v>
      </c>
      <c r="Q109" s="524" t="str">
        <f>IF(ISERROR(VLOOKUP(C109,'Base de Datos'!$D$7:$N$4077,10,0))=TRUE," ",(VLOOKUP(C109,'Base de Datos'!$D$7:$N$4077,10,0)))</f>
        <v xml:space="preserve"> </v>
      </c>
      <c r="R109" s="524" t="str">
        <f>IF(ISERROR(VLOOKUP(C109,'Base de Datos'!$D$7:$N$4077,11,0))=TRUE," ",(VLOOKUP(C109,'Base de Datos'!$D$7:$N$4077,11,0)))</f>
        <v xml:space="preserve"> </v>
      </c>
      <c r="S109" s="587" t="s">
        <v>2350</v>
      </c>
      <c r="T109" s="694"/>
      <c r="U109" s="751"/>
    </row>
    <row r="110" spans="2:21" s="588" customFormat="1" ht="22.8" outlineLevel="1" x14ac:dyDescent="0.3">
      <c r="B110" s="600">
        <v>145</v>
      </c>
      <c r="C110" s="600" t="str">
        <f t="shared" si="11"/>
        <v>2016145</v>
      </c>
      <c r="D110" s="506" t="str">
        <f>IF(ISERROR(VLOOKUP(C110,'Base de Datos'!$D$7:$F$4092,2,0))=TRUE,"",(VLOOKUP(C110,'Base de Datos'!$D$7:$F$4092,2,0)))</f>
        <v>160208-0-2016</v>
      </c>
      <c r="E110" s="587" t="s">
        <v>2319</v>
      </c>
      <c r="F110" s="553">
        <v>7027000</v>
      </c>
      <c r="G110" s="784">
        <v>42430</v>
      </c>
      <c r="H110" s="784"/>
      <c r="I110" s="805" t="str">
        <f ca="1">IF(H110=Hoja1!$J$2," ",(IF(MONTH(G110)=MONTH(TODAY()),IF(DAY(G110)&gt;DAY(TODAY()),"Quedan "&amp;ABS(DAY(G110)-DAY(TODAY()))&amp;" Días","Hace "&amp;ABS(DAY(G110)-DAY(TODAY()))&amp;" Días"),"")))</f>
        <v/>
      </c>
      <c r="J110" s="509">
        <f>IF(ISERROR(VLOOKUP(C110,'Base de Datos'!$D$7:$N$4092,6,0))=TRUE,"Sin Celebrar",(VLOOKUP(C110,'Base de Datos'!$D$7:$N$4092,6,0)))</f>
        <v>4999000</v>
      </c>
      <c r="K110" s="585"/>
      <c r="L110" s="509" t="str">
        <f t="shared" si="12"/>
        <v xml:space="preserve"> </v>
      </c>
      <c r="M110" s="509">
        <f t="shared" si="13"/>
        <v>2028000</v>
      </c>
      <c r="N110" s="691" t="str">
        <f>IF(ISERROR(VLOOKUP(C110,'Base de Datos'!$D$7:$K$1048576,7,0))=TRUE," ",(VLOOKUP(C110,'Base de Datos'!$D$7:$K$1048576,7,0)))</f>
        <v>SDH-SMINC-31-2016</v>
      </c>
      <c r="O110" s="524">
        <f>IF(ISERROR(VLOOKUP(C110,'Base de Datos'!$D$7:$N$4077,9,0))=TRUE," ",(VLOOKUP(C110,'Base de Datos'!$D$7:$N$4077,9,0)))</f>
        <v>42604</v>
      </c>
      <c r="P110" s="586" t="e">
        <f>VLOOKUP(B110,#REF!,13,0)</f>
        <v>#REF!</v>
      </c>
      <c r="Q110" s="524">
        <f>IF(ISERROR(VLOOKUP(C110,'Base de Datos'!$D$7:$N$4077,10,0))=TRUE," ",(VLOOKUP(C110,'Base de Datos'!$D$7:$N$4077,10,0)))</f>
        <v>42622</v>
      </c>
      <c r="R110" s="524">
        <f>IF(ISERROR(VLOOKUP(C110,'Base de Datos'!$D$7:$N$4077,11,0))=TRUE," ",(VLOOKUP(C110,'Base de Datos'!$D$7:$N$4077,11,0)))</f>
        <v>42803</v>
      </c>
      <c r="S110" s="587" t="s">
        <v>2349</v>
      </c>
      <c r="T110" s="694"/>
      <c r="U110" s="751"/>
    </row>
    <row r="111" spans="2:21" s="588" customFormat="1" ht="22.8" outlineLevel="1" x14ac:dyDescent="0.3">
      <c r="B111" s="600">
        <v>146</v>
      </c>
      <c r="C111" s="600" t="str">
        <f t="shared" si="11"/>
        <v>2016146</v>
      </c>
      <c r="D111" s="506" t="str">
        <f>IF(ISERROR(VLOOKUP(C111,'Base de Datos'!$D$7:$F$4092,2,0))=TRUE,"",(VLOOKUP(C111,'Base de Datos'!$D$7:$F$4092,2,0)))</f>
        <v/>
      </c>
      <c r="E111" s="587" t="s">
        <v>2320</v>
      </c>
      <c r="F111" s="553">
        <v>28840000</v>
      </c>
      <c r="G111" s="784">
        <v>42506</v>
      </c>
      <c r="H111" s="784"/>
      <c r="I111" s="805" t="str">
        <f ca="1">IF(H111=Hoja1!$J$2," ",(IF(MONTH(G111)=MONTH(TODAY()),IF(DAY(G111)&gt;DAY(TODAY()),"Quedan "&amp;ABS(DAY(G111)-DAY(TODAY()))&amp;" Días","Hace "&amp;ABS(DAY(G111)-DAY(TODAY()))&amp;" Días"),"")))</f>
        <v/>
      </c>
      <c r="J111" s="509" t="str">
        <f>IF(ISERROR(VLOOKUP(C111,'Base de Datos'!$D$7:$N$4092,6,0))=TRUE,"Sin Celebrar",(VLOOKUP(C111,'Base de Datos'!$D$7:$N$4092,6,0)))</f>
        <v>Sin Celebrar</v>
      </c>
      <c r="K111" s="585"/>
      <c r="L111" s="509">
        <f t="shared" si="12"/>
        <v>28840000</v>
      </c>
      <c r="M111" s="509" t="str">
        <f t="shared" si="13"/>
        <v xml:space="preserve"> </v>
      </c>
      <c r="N111" s="691" t="str">
        <f>IF(ISERROR(VLOOKUP(C111,'Base de Datos'!$D$7:$K$1048576,7,0))=TRUE," ",(VLOOKUP(C111,'Base de Datos'!$D$7:$K$1048576,7,0)))</f>
        <v xml:space="preserve"> </v>
      </c>
      <c r="O111" s="524" t="str">
        <f>IF(ISERROR(VLOOKUP(C111,'Base de Datos'!$D$7:$N$4077,9,0))=TRUE," ",(VLOOKUP(C111,'Base de Datos'!$D$7:$N$4077,9,0)))</f>
        <v xml:space="preserve"> </v>
      </c>
      <c r="P111" s="586" t="e">
        <f>VLOOKUP(B111,#REF!,13,0)</f>
        <v>#REF!</v>
      </c>
      <c r="Q111" s="524" t="str">
        <f>IF(ISERROR(VLOOKUP(C111,'Base de Datos'!$D$7:$N$4077,10,0))=TRUE," ",(VLOOKUP(C111,'Base de Datos'!$D$7:$N$4077,10,0)))</f>
        <v xml:space="preserve"> </v>
      </c>
      <c r="R111" s="524" t="str">
        <f>IF(ISERROR(VLOOKUP(C111,'Base de Datos'!$D$7:$N$4077,11,0))=TRUE," ",(VLOOKUP(C111,'Base de Datos'!$D$7:$N$4077,11,0)))</f>
        <v xml:space="preserve"> </v>
      </c>
      <c r="S111" s="587" t="s">
        <v>2350</v>
      </c>
      <c r="T111" s="694"/>
      <c r="U111" s="751"/>
    </row>
    <row r="112" spans="2:21" s="588" customFormat="1" ht="22.8" outlineLevel="1" x14ac:dyDescent="0.3">
      <c r="B112" s="600">
        <v>222</v>
      </c>
      <c r="C112" s="600" t="str">
        <f t="shared" si="11"/>
        <v>2016222</v>
      </c>
      <c r="D112" s="506" t="str">
        <f>IF(ISERROR(VLOOKUP(C112,'Base de Datos'!$D$7:$F$4092,2,0))=TRUE,"",(VLOOKUP(C112,'Base de Datos'!$D$7:$F$4092,2,0)))</f>
        <v/>
      </c>
      <c r="E112" s="587" t="s">
        <v>2321</v>
      </c>
      <c r="F112" s="553">
        <v>5150000</v>
      </c>
      <c r="G112" s="784">
        <v>42491</v>
      </c>
      <c r="H112" s="784"/>
      <c r="I112" s="805" t="str">
        <f ca="1">IF(H112=Hoja1!$J$2," ",(IF(MONTH(G112)=MONTH(TODAY()),IF(DAY(G112)&gt;DAY(TODAY()),"Quedan "&amp;ABS(DAY(G112)-DAY(TODAY()))&amp;" Días","Hace "&amp;ABS(DAY(G112)-DAY(TODAY()))&amp;" Días"),"")))</f>
        <v/>
      </c>
      <c r="J112" s="509" t="str">
        <f>IF(ISERROR(VLOOKUP(C112,'Base de Datos'!$D$7:$N$4092,6,0))=TRUE,"Sin Celebrar",(VLOOKUP(C112,'Base de Datos'!$D$7:$N$4092,6,0)))</f>
        <v>Sin Celebrar</v>
      </c>
      <c r="K112" s="585"/>
      <c r="L112" s="509">
        <f t="shared" si="12"/>
        <v>5150000</v>
      </c>
      <c r="M112" s="509" t="str">
        <f t="shared" si="13"/>
        <v xml:space="preserve"> </v>
      </c>
      <c r="N112" s="691" t="str">
        <f>IF(ISERROR(VLOOKUP(C112,'Base de Datos'!$D$7:$K$1048576,7,0))=TRUE," ",(VLOOKUP(C112,'Base de Datos'!$D$7:$K$1048576,7,0)))</f>
        <v xml:space="preserve"> </v>
      </c>
      <c r="O112" s="524" t="str">
        <f>IF(ISERROR(VLOOKUP(C112,'Base de Datos'!$D$7:$N$4077,9,0))=TRUE," ",(VLOOKUP(C112,'Base de Datos'!$D$7:$N$4077,9,0)))</f>
        <v xml:space="preserve"> </v>
      </c>
      <c r="P112" s="586" t="e">
        <f>VLOOKUP(B112,#REF!,13,0)</f>
        <v>#REF!</v>
      </c>
      <c r="Q112" s="524" t="str">
        <f>IF(ISERROR(VLOOKUP(C112,'Base de Datos'!$D$7:$N$4077,10,0))=TRUE," ",(VLOOKUP(C112,'Base de Datos'!$D$7:$N$4077,10,0)))</f>
        <v xml:space="preserve"> </v>
      </c>
      <c r="R112" s="524" t="str">
        <f>IF(ISERROR(VLOOKUP(C112,'Base de Datos'!$D$7:$N$4077,11,0))=TRUE," ",(VLOOKUP(C112,'Base de Datos'!$D$7:$N$4077,11,0)))</f>
        <v xml:space="preserve"> </v>
      </c>
      <c r="S112" s="587" t="s">
        <v>2349</v>
      </c>
      <c r="T112" s="694"/>
      <c r="U112" s="751"/>
    </row>
    <row r="113" spans="2:21" s="588" customFormat="1" ht="22.8" outlineLevel="1" x14ac:dyDescent="0.3">
      <c r="B113" s="600">
        <v>221</v>
      </c>
      <c r="C113" s="600" t="str">
        <f t="shared" si="11"/>
        <v>2016221</v>
      </c>
      <c r="D113" s="506" t="str">
        <f>IF(ISERROR(VLOOKUP(C113,'Base de Datos'!$D$7:$F$4092,2,0))=TRUE,"",(VLOOKUP(C113,'Base de Datos'!$D$7:$F$4092,2,0)))</f>
        <v>160178-0-2016</v>
      </c>
      <c r="E113" s="587" t="s">
        <v>2322</v>
      </c>
      <c r="F113" s="553">
        <v>2605500</v>
      </c>
      <c r="G113" s="784">
        <v>42430</v>
      </c>
      <c r="H113" s="784"/>
      <c r="I113" s="805" t="str">
        <f ca="1">IF(H113=Hoja1!$J$2," ",(IF(MONTH(G113)=MONTH(TODAY()),IF(DAY(G113)&gt;DAY(TODAY()),"Quedan "&amp;ABS(DAY(G113)-DAY(TODAY()))&amp;" Días","Hace "&amp;ABS(DAY(G113)-DAY(TODAY()))&amp;" Días"),"")))</f>
        <v/>
      </c>
      <c r="J113" s="509">
        <f>IF(ISERROR(VLOOKUP(C113,'Base de Datos'!$D$7:$N$4092,6,0))=TRUE,"Sin Celebrar",(VLOOKUP(C113,'Base de Datos'!$D$7:$N$4092,6,0)))</f>
        <v>2605500</v>
      </c>
      <c r="K113" s="585"/>
      <c r="L113" s="509" t="str">
        <f t="shared" si="12"/>
        <v xml:space="preserve"> </v>
      </c>
      <c r="M113" s="509" t="str">
        <f t="shared" si="13"/>
        <v xml:space="preserve"> </v>
      </c>
      <c r="N113" s="691" t="str">
        <f>IF(ISERROR(VLOOKUP(C113,'Base de Datos'!$D$7:$K$1048576,7,0))=TRUE," ",(VLOOKUP(C113,'Base de Datos'!$D$7:$K$1048576,7,0)))</f>
        <v>SDH-SMINC-26-2016</v>
      </c>
      <c r="O113" s="524">
        <f>IF(ISERROR(VLOOKUP(C113,'Base de Datos'!$D$7:$N$4077,9,0))=TRUE," ",(VLOOKUP(C113,'Base de Datos'!$D$7:$N$4077,9,0)))</f>
        <v>42570</v>
      </c>
      <c r="P113" s="586" t="e">
        <f>VLOOKUP(B113,#REF!,13,0)</f>
        <v>#REF!</v>
      </c>
      <c r="Q113" s="524">
        <f>IF(ISERROR(VLOOKUP(C113,'Base de Datos'!$D$7:$N$4077,10,0))=TRUE," ",(VLOOKUP(C113,'Base de Datos'!$D$7:$N$4077,10,0)))</f>
        <v>42583</v>
      </c>
      <c r="R113" s="524">
        <f>IF(ISERROR(VLOOKUP(C113,'Base de Datos'!$D$7:$N$4077,11,0))=TRUE," ",(VLOOKUP(C113,'Base de Datos'!$D$7:$N$4077,11,0)))</f>
        <v>42767</v>
      </c>
      <c r="S113" s="587" t="s">
        <v>2349</v>
      </c>
      <c r="T113" s="694"/>
      <c r="U113" s="751"/>
    </row>
    <row r="114" spans="2:21" s="588" customFormat="1" ht="22.8" outlineLevel="1" x14ac:dyDescent="0.3">
      <c r="B114" s="679">
        <v>223</v>
      </c>
      <c r="C114" s="600" t="str">
        <f t="shared" si="11"/>
        <v>2016223</v>
      </c>
      <c r="D114" s="506" t="str">
        <f>IF(ISERROR(VLOOKUP(C114,'Base de Datos'!$D$7:$F$4092,2,0))=TRUE,"",(VLOOKUP(C114,'Base de Datos'!$D$7:$F$4092,2,0)))</f>
        <v>160122-0-2016</v>
      </c>
      <c r="E114" s="587" t="s">
        <v>2323</v>
      </c>
      <c r="F114" s="681">
        <v>23707000</v>
      </c>
      <c r="G114" s="787">
        <v>42464</v>
      </c>
      <c r="H114" s="784"/>
      <c r="I114" s="805" t="str">
        <f ca="1">IF(H114=Hoja1!$J$2," ",(IF(MONTH(G114)=MONTH(TODAY()),IF(DAY(G114)&gt;DAY(TODAY()),"Quedan "&amp;ABS(DAY(G114)-DAY(TODAY()))&amp;" Días","Hace "&amp;ABS(DAY(G114)-DAY(TODAY()))&amp;" Días"),"")))</f>
        <v/>
      </c>
      <c r="J114" s="509">
        <f>IF(ISERROR(VLOOKUP(C114,'Base de Datos'!$D$7:$N$4092,6,0))=TRUE,"Sin Celebrar",(VLOOKUP(C114,'Base de Datos'!$D$7:$N$4092,6,0)))</f>
        <v>23707000</v>
      </c>
      <c r="K114" s="682"/>
      <c r="L114" s="509" t="str">
        <f t="shared" si="12"/>
        <v xml:space="preserve"> </v>
      </c>
      <c r="M114" s="509" t="str">
        <f t="shared" si="13"/>
        <v xml:space="preserve"> </v>
      </c>
      <c r="N114" s="691" t="str">
        <f>IF(ISERROR(VLOOKUP(C114,'Base de Datos'!$D$7:$K$1048576,7,0))=TRUE," ",(VLOOKUP(C114,'Base de Datos'!$D$7:$K$1048576,7,0)))</f>
        <v>SDH-SMINC-09-2016</v>
      </c>
      <c r="O114" s="524">
        <f>IF(ISERROR(VLOOKUP(C114,'Base de Datos'!$D$7:$N$4077,9,0))=TRUE," ",(VLOOKUP(C114,'Base de Datos'!$D$7:$N$4077,9,0)))</f>
        <v>42523</v>
      </c>
      <c r="P114" s="586" t="e">
        <f>VLOOKUP(B114,#REF!,13,0)</f>
        <v>#REF!</v>
      </c>
      <c r="Q114" s="524">
        <f>IF(ISERROR(VLOOKUP(C114,'Base de Datos'!$D$7:$N$4077,10,0))=TRUE," ",(VLOOKUP(C114,'Base de Datos'!$D$7:$N$4077,10,0)))</f>
        <v>42556</v>
      </c>
      <c r="R114" s="524">
        <f>IF(ISERROR(VLOOKUP(C114,'Base de Datos'!$D$7:$N$4077,11,0))=TRUE," ",(VLOOKUP(C114,'Base de Datos'!$D$7:$N$4077,11,0)))</f>
        <v>42771</v>
      </c>
      <c r="S114" s="587" t="s">
        <v>2350</v>
      </c>
      <c r="T114" s="694"/>
      <c r="U114" s="751"/>
    </row>
    <row r="115" spans="2:21" s="588" customFormat="1" outlineLevel="1" x14ac:dyDescent="0.3">
      <c r="B115" s="679"/>
      <c r="C115" s="679"/>
      <c r="D115" s="680"/>
      <c r="E115" s="680" t="s">
        <v>1934</v>
      </c>
      <c r="F115" s="553"/>
      <c r="G115" s="787"/>
      <c r="H115" s="787"/>
      <c r="I115" s="528"/>
      <c r="J115" s="681"/>
      <c r="K115" s="682"/>
      <c r="L115" s="681"/>
      <c r="M115" s="681" t="str">
        <f t="shared" si="13"/>
        <v xml:space="preserve"> </v>
      </c>
      <c r="N115" s="781"/>
      <c r="O115" s="586" t="str">
        <f>IF(ISERROR(VLOOKUP(B115,'Base de Datos'!$C$7:$N$315,9,0))=TRUE," ",(VLOOKUP(B115,'Base de Datos'!$C$7:$N$315,9,0)))</f>
        <v xml:space="preserve"> </v>
      </c>
      <c r="P115" s="680"/>
      <c r="Q115" s="683" t="str">
        <f>IF(ISERROR(VLOOKUP(B115,'Base de Datos'!$C$7:$N$4077,10,0))=TRUE," ",(VLOOKUP(B115,'Base de Datos'!$C$7:$N$4077,10,0)))</f>
        <v xml:space="preserve"> </v>
      </c>
      <c r="R115" s="683" t="str">
        <f>IF(ISERROR(VLOOKUP(B115,'Base de Datos'!$C$7:$N$4077,11,0))=TRUE," ",(VLOOKUP(B115,'Base de Datos'!$C$7:$N$4077,11,0)))</f>
        <v xml:space="preserve"> </v>
      </c>
      <c r="S115" s="587"/>
      <c r="T115" s="694"/>
      <c r="U115" s="751"/>
    </row>
    <row r="116" spans="2:21" s="588" customFormat="1" ht="12" outlineLevel="1" x14ac:dyDescent="0.3">
      <c r="B116" s="783"/>
      <c r="C116" s="783"/>
      <c r="D116" s="783"/>
      <c r="E116" s="783"/>
      <c r="F116" s="553"/>
      <c r="G116" s="784"/>
      <c r="H116" s="784"/>
      <c r="I116" s="507"/>
      <c r="J116" s="553"/>
      <c r="K116" s="585"/>
      <c r="L116" s="553"/>
      <c r="M116" s="553"/>
      <c r="N116" s="663"/>
      <c r="O116" s="586"/>
      <c r="P116" s="587"/>
      <c r="Q116" s="586"/>
      <c r="R116" s="586"/>
      <c r="S116" s="587"/>
      <c r="T116" s="694"/>
      <c r="U116" s="751"/>
    </row>
    <row r="117" spans="2:21" ht="12" x14ac:dyDescent="0.3">
      <c r="B117" s="1275" t="s">
        <v>1655</v>
      </c>
      <c r="C117" s="1275"/>
      <c r="D117" s="1275"/>
      <c r="E117" s="1275"/>
      <c r="F117" s="772"/>
      <c r="G117" s="800">
        <f>+G118+G123+G128</f>
        <v>3</v>
      </c>
      <c r="H117" s="800">
        <f>+H118+H123+H128</f>
        <v>0</v>
      </c>
      <c r="I117" s="765"/>
      <c r="J117" s="764">
        <f>+J118+J123+J128</f>
        <v>0</v>
      </c>
      <c r="K117" s="766" t="e">
        <f>J117/F117</f>
        <v>#DIV/0!</v>
      </c>
      <c r="L117" s="764">
        <f>+L118+L123+L128</f>
        <v>376131000</v>
      </c>
      <c r="M117" s="764">
        <f>+M118+M123+M128</f>
        <v>-376131000</v>
      </c>
      <c r="N117" s="768"/>
      <c r="O117" s="769" t="str">
        <f>IF(ISERROR(VLOOKUP(B117,'Base de Datos'!$C$7:$N$315,8,0))=TRUE," ",(VLOOKUP(B117,'Base de Datos'!$C$7:$N$315,8,0)))</f>
        <v xml:space="preserve"> </v>
      </c>
      <c r="P117" s="770"/>
      <c r="Q117" s="769" t="str">
        <f>IF(ISERROR(VLOOKUP(B117,'Base de Datos'!$C$7:$N$315,9,0))=TRUE," ",(VLOOKUP(B117,'Base de Datos'!$C$7:$N$315,9,0)))</f>
        <v xml:space="preserve"> </v>
      </c>
      <c r="R117" s="769" t="str">
        <f>IF(ISERROR(VLOOKUP(B117,'Base de Datos'!$C$7:$N$315,10,0))=TRUE," ",(VLOOKUP(B117,'Base de Datos'!$C$7:$N$315,10,0)))</f>
        <v xml:space="preserve"> </v>
      </c>
      <c r="S117" s="762"/>
      <c r="T117" s="694"/>
      <c r="U117" s="607"/>
    </row>
    <row r="118" spans="2:21" x14ac:dyDescent="0.3">
      <c r="B118" s="1271" t="s">
        <v>1656</v>
      </c>
      <c r="C118" s="1271"/>
      <c r="D118" s="1271"/>
      <c r="E118" s="1271"/>
      <c r="F118" s="757"/>
      <c r="G118" s="763">
        <f>COUNT(G120:G121)</f>
        <v>2</v>
      </c>
      <c r="H118" s="763">
        <f>COUNTIF(H120:H121,Hoja1!$J$2)</f>
        <v>0</v>
      </c>
      <c r="I118" s="758"/>
      <c r="J118" s="757">
        <f>SUM(J120:J121)</f>
        <v>0</v>
      </c>
      <c r="K118" s="759" t="e">
        <f>J118/F118</f>
        <v>#DIV/0!</v>
      </c>
      <c r="L118" s="757">
        <f>SUM(L120:L121)</f>
        <v>184054000</v>
      </c>
      <c r="M118" s="757">
        <f>+F118-J118-L118</f>
        <v>-184054000</v>
      </c>
      <c r="N118" s="760"/>
      <c r="O118" s="761" t="str">
        <f>IF(ISERROR(VLOOKUP(B118,'Base de Datos'!$C$7:$N$315,8,0))=TRUE," ",(VLOOKUP(B118,'Base de Datos'!$C$7:$N$315,8,0)))</f>
        <v xml:space="preserve"> </v>
      </c>
      <c r="P118" s="762"/>
      <c r="Q118" s="761" t="str">
        <f>IF(ISERROR(VLOOKUP(B118,'Base de Datos'!$C$7:$N$315,9,0))=TRUE," ",(VLOOKUP(B118,'Base de Datos'!$C$7:$N$315,9,0)))</f>
        <v xml:space="preserve"> </v>
      </c>
      <c r="R118" s="761" t="str">
        <f>IF(ISERROR(VLOOKUP(B118,'Base de Datos'!$C$7:$N$315,10,0))=TRUE," ",(VLOOKUP(B118,'Base de Datos'!$C$7:$N$315,10,0)))</f>
        <v xml:space="preserve"> </v>
      </c>
      <c r="S118" s="762"/>
      <c r="T118" s="694"/>
      <c r="U118" s="607"/>
    </row>
    <row r="119" spans="2:21" s="588" customFormat="1" ht="22.8" hidden="1" outlineLevel="1" x14ac:dyDescent="0.3">
      <c r="B119" s="600" t="s">
        <v>2341</v>
      </c>
      <c r="C119" s="600"/>
      <c r="D119" s="600" t="s">
        <v>912</v>
      </c>
      <c r="E119" s="600" t="s">
        <v>1821</v>
      </c>
      <c r="F119" s="748" t="s">
        <v>1845</v>
      </c>
      <c r="G119" s="784" t="s">
        <v>2343</v>
      </c>
      <c r="H119" s="784" t="s">
        <v>2347</v>
      </c>
      <c r="I119" s="507" t="s">
        <v>2348</v>
      </c>
      <c r="J119" s="600" t="s">
        <v>1844</v>
      </c>
      <c r="K119" s="585"/>
      <c r="L119" s="600" t="s">
        <v>1938</v>
      </c>
      <c r="M119" s="600" t="s">
        <v>1939</v>
      </c>
      <c r="N119" s="749" t="s">
        <v>1121</v>
      </c>
      <c r="O119" s="750" t="s">
        <v>1846</v>
      </c>
      <c r="P119" s="600" t="s">
        <v>1847</v>
      </c>
      <c r="Q119" s="600" t="s">
        <v>1848</v>
      </c>
      <c r="R119" s="600" t="s">
        <v>375</v>
      </c>
      <c r="S119" s="600" t="s">
        <v>1849</v>
      </c>
      <c r="T119" s="694"/>
      <c r="U119" s="751"/>
    </row>
    <row r="120" spans="2:21" s="588" customFormat="1" ht="34.200000000000003" hidden="1" outlineLevel="1" x14ac:dyDescent="0.3">
      <c r="B120" s="600">
        <v>225</v>
      </c>
      <c r="C120" s="600" t="str">
        <f>$W$6&amp;B120</f>
        <v>2016225</v>
      </c>
      <c r="D120" s="506" t="str">
        <f>IF(ISERROR(VLOOKUP(C120,'Base de Datos'!$D$7:$F$4092,2,0))=TRUE,"",(VLOOKUP(C120,'Base de Datos'!$D$7:$F$4092,2,0)))</f>
        <v/>
      </c>
      <c r="E120" s="587" t="s">
        <v>2326</v>
      </c>
      <c r="F120" s="553">
        <v>179725000</v>
      </c>
      <c r="G120" s="784">
        <v>42461</v>
      </c>
      <c r="H120" s="784"/>
      <c r="I120" s="805" t="str">
        <f ca="1">IF(H120=Hoja1!$J$2," ",(IF(MONTH(G120)=MONTH(TODAY()),IF(DAY(G120)&gt;DAY(TODAY()),"Quedan "&amp;ABS(DAY(G120)-DAY(TODAY()))&amp;" Días","Hace "&amp;ABS(DAY(G120)-DAY(TODAY()))&amp;" Días"),"")))</f>
        <v/>
      </c>
      <c r="J120" s="509" t="str">
        <f>IF(ISERROR(VLOOKUP(C120,'Base de Datos'!$D$7:$N$4092,6,0))=TRUE,"Sin Celebrar",(VLOOKUP(C120,'Base de Datos'!$D$7:$N$4092,6,0)))</f>
        <v>Sin Celebrar</v>
      </c>
      <c r="K120" s="585"/>
      <c r="L120" s="509">
        <f>IF(J120=$W$7,F120, " ")</f>
        <v>179725000</v>
      </c>
      <c r="M120" s="509" t="str">
        <f>IF(J120&lt;F120,(F120-J120)," ")</f>
        <v xml:space="preserve"> </v>
      </c>
      <c r="N120" s="691" t="str">
        <f>IF(ISERROR(VLOOKUP(C120,'Base de Datos'!$D$7:$K$1048576,7,0))=TRUE," ",(VLOOKUP(C120,'Base de Datos'!$D$7:$K$1048576,7,0)))</f>
        <v xml:space="preserve"> </v>
      </c>
      <c r="O120" s="691" t="str">
        <f>IF(ISERROR(VLOOKUP(C120,'Base de Datos'!$D$7:$K$1048576,9,0))=TRUE," ",(VLOOKUP(C120,'Base de Datos'!$D$7:$K$1048576,9,0)))</f>
        <v xml:space="preserve"> </v>
      </c>
      <c r="P120" s="586" t="e">
        <f>VLOOKUP(B120,#REF!,13,0)</f>
        <v>#REF!</v>
      </c>
      <c r="Q120" s="524" t="str">
        <f>IF(ISERROR(VLOOKUP(C120,'Base de Datos'!$D$7:$N$4077,10,0))=TRUE," ",(VLOOKUP(C120,'Base de Datos'!$D$7:$N$4077,10,0)))</f>
        <v xml:space="preserve"> </v>
      </c>
      <c r="R120" s="524" t="str">
        <f>IF(ISERROR(VLOOKUP(C120,'Base de Datos'!$D$7:$N$4077,11,0))=TRUE," ",(VLOOKUP(C120,'Base de Datos'!$D$7:$N$4077,11,0)))</f>
        <v xml:space="preserve"> </v>
      </c>
      <c r="S120" s="587"/>
      <c r="T120" s="694"/>
      <c r="U120" s="751"/>
    </row>
    <row r="121" spans="2:21" s="588" customFormat="1" ht="22.8" hidden="1" outlineLevel="1" x14ac:dyDescent="0.3">
      <c r="B121" s="679">
        <v>226</v>
      </c>
      <c r="C121" s="600" t="str">
        <f>$W$6&amp;B121</f>
        <v>2016226</v>
      </c>
      <c r="D121" s="506" t="str">
        <f>IF(ISERROR(VLOOKUP(C121,'Base de Datos'!$D$7:$F$4092,2,0))=TRUE,"",(VLOOKUP(C121,'Base de Datos'!$D$7:$F$4092,2,0)))</f>
        <v/>
      </c>
      <c r="E121" s="680" t="s">
        <v>2324</v>
      </c>
      <c r="F121" s="681">
        <v>4329000</v>
      </c>
      <c r="G121" s="787">
        <v>42552</v>
      </c>
      <c r="H121" s="784"/>
      <c r="I121" s="805" t="str">
        <f ca="1">IF(H121=Hoja1!$J$2," ",(IF(MONTH(G121)=MONTH(TODAY()),IF(DAY(G121)&gt;DAY(TODAY()),"Quedan "&amp;ABS(DAY(G121)-DAY(TODAY()))&amp;" Días","Hace "&amp;ABS(DAY(G121)-DAY(TODAY()))&amp;" Días"),"")))</f>
        <v/>
      </c>
      <c r="J121" s="509" t="str">
        <f>IF(ISERROR(VLOOKUP(C121,'Base de Datos'!$D$7:$N$4092,6,0))=TRUE,"Sin Celebrar",(VLOOKUP(C121,'Base de Datos'!$D$7:$N$4092,6,0)))</f>
        <v>Sin Celebrar</v>
      </c>
      <c r="K121" s="682"/>
      <c r="L121" s="509">
        <f>IF(J121=$W$7,F121, " ")</f>
        <v>4329000</v>
      </c>
      <c r="M121" s="509" t="str">
        <f>IF(J121&lt;F121,(F121-J121)," ")</f>
        <v xml:space="preserve"> </v>
      </c>
      <c r="N121" s="691" t="str">
        <f>IF(ISERROR(VLOOKUP(C121,'Base de Datos'!$D$7:$K$1048576,7,0))=TRUE," ",(VLOOKUP(C121,'Base de Datos'!$D$7:$K$1048576,7,0)))</f>
        <v xml:space="preserve"> </v>
      </c>
      <c r="O121" s="691" t="str">
        <f>IF(ISERROR(VLOOKUP(C121,'Base de Datos'!$D$7:$K$1048576,9,0))=TRUE," ",(VLOOKUP(C121,'Base de Datos'!$D$7:$K$1048576,9,0)))</f>
        <v xml:space="preserve"> </v>
      </c>
      <c r="P121" s="586" t="e">
        <f>VLOOKUP(B121,#REF!,13,0)</f>
        <v>#REF!</v>
      </c>
      <c r="Q121" s="524" t="str">
        <f>IF(ISERROR(VLOOKUP(C121,'Base de Datos'!$D$7:$N$4077,10,0))=TRUE," ",(VLOOKUP(C121,'Base de Datos'!$D$7:$N$4077,10,0)))</f>
        <v xml:space="preserve"> </v>
      </c>
      <c r="R121" s="524" t="str">
        <f>IF(ISERROR(VLOOKUP(C121,'Base de Datos'!$D$7:$N$4077,11,0))=TRUE," ",(VLOOKUP(C121,'Base de Datos'!$D$7:$N$4077,11,0)))</f>
        <v xml:space="preserve"> </v>
      </c>
      <c r="S121" s="587"/>
      <c r="T121" s="694"/>
      <c r="U121" s="751"/>
    </row>
    <row r="122" spans="2:21" s="588" customFormat="1" hidden="1" outlineLevel="1" x14ac:dyDescent="0.3">
      <c r="B122" s="587"/>
      <c r="C122" s="587"/>
      <c r="D122" s="587"/>
      <c r="E122" s="587"/>
      <c r="F122" s="553"/>
      <c r="G122" s="784"/>
      <c r="H122" s="784"/>
      <c r="I122" s="507"/>
      <c r="J122" s="553"/>
      <c r="K122" s="585"/>
      <c r="L122" s="553"/>
      <c r="M122" s="553"/>
      <c r="N122" s="663"/>
      <c r="O122" s="586"/>
      <c r="P122" s="587"/>
      <c r="Q122" s="586"/>
      <c r="R122" s="586"/>
      <c r="S122" s="587"/>
      <c r="T122" s="694"/>
      <c r="U122" s="751"/>
    </row>
    <row r="123" spans="2:21" collapsed="1" x14ac:dyDescent="0.3">
      <c r="B123" s="1274" t="s">
        <v>1657</v>
      </c>
      <c r="C123" s="1274"/>
      <c r="D123" s="1274"/>
      <c r="E123" s="1274"/>
      <c r="F123" s="764"/>
      <c r="G123" s="763">
        <f>COUNT(G125:G126)</f>
        <v>1</v>
      </c>
      <c r="H123" s="763">
        <f>COUNTIF(H125:H126,Hoja1!$J$2)</f>
        <v>0</v>
      </c>
      <c r="I123" s="765"/>
      <c r="J123" s="764">
        <f>SUM(J125:J125)</f>
        <v>0</v>
      </c>
      <c r="K123" s="766" t="e">
        <f>J123/F123</f>
        <v>#DIV/0!</v>
      </c>
      <c r="L123" s="764">
        <f>SUM(L125:L125)</f>
        <v>192077000</v>
      </c>
      <c r="M123" s="764">
        <f>+F123-J123-L123</f>
        <v>-192077000</v>
      </c>
      <c r="N123" s="768"/>
      <c r="O123" s="769" t="str">
        <f>IF(ISERROR(VLOOKUP(B123,'Base de Datos'!$C$7:$N$315,8,0))=TRUE," ",(VLOOKUP(B123,'Base de Datos'!$C$7:$N$315,8,0)))</f>
        <v xml:space="preserve"> </v>
      </c>
      <c r="P123" s="770"/>
      <c r="Q123" s="769" t="str">
        <f>IF(ISERROR(VLOOKUP(B123,'Base de Datos'!$C$7:$N$315,9,0))=TRUE," ",(VLOOKUP(B123,'Base de Datos'!$C$7:$N$315,9,0)))</f>
        <v xml:space="preserve"> </v>
      </c>
      <c r="R123" s="769" t="str">
        <f>IF(ISERROR(VLOOKUP(B123,'Base de Datos'!$C$7:$N$315,10,0))=TRUE," ",(VLOOKUP(B123,'Base de Datos'!$C$7:$N$315,10,0)))</f>
        <v xml:space="preserve"> </v>
      </c>
      <c r="S123" s="762"/>
      <c r="T123" s="694"/>
      <c r="U123" s="607"/>
    </row>
    <row r="124" spans="2:21" s="588" customFormat="1" ht="22.8" hidden="1" outlineLevel="1" x14ac:dyDescent="0.3">
      <c r="B124" s="600" t="s">
        <v>2341</v>
      </c>
      <c r="C124" s="600"/>
      <c r="D124" s="600" t="s">
        <v>912</v>
      </c>
      <c r="E124" s="600" t="s">
        <v>1821</v>
      </c>
      <c r="F124" s="748" t="s">
        <v>1845</v>
      </c>
      <c r="G124" s="784" t="s">
        <v>2343</v>
      </c>
      <c r="H124" s="784" t="s">
        <v>2347</v>
      </c>
      <c r="I124" s="507" t="s">
        <v>2348</v>
      </c>
      <c r="J124" s="600" t="s">
        <v>1844</v>
      </c>
      <c r="K124" s="585"/>
      <c r="L124" s="600" t="s">
        <v>1938</v>
      </c>
      <c r="M124" s="600" t="s">
        <v>1939</v>
      </c>
      <c r="N124" s="749" t="s">
        <v>1121</v>
      </c>
      <c r="O124" s="750" t="s">
        <v>1846</v>
      </c>
      <c r="P124" s="600" t="s">
        <v>1847</v>
      </c>
      <c r="Q124" s="600" t="s">
        <v>1848</v>
      </c>
      <c r="R124" s="600" t="s">
        <v>375</v>
      </c>
      <c r="S124" s="600" t="s">
        <v>1849</v>
      </c>
      <c r="T124" s="694"/>
      <c r="U124" s="751"/>
    </row>
    <row r="125" spans="2:21" s="588" customFormat="1" ht="22.8" hidden="1" outlineLevel="1" x14ac:dyDescent="0.3">
      <c r="B125" s="600">
        <v>225</v>
      </c>
      <c r="C125" s="600" t="str">
        <f>$W$6&amp;B125</f>
        <v>2016225</v>
      </c>
      <c r="D125" s="506" t="str">
        <f>IF(ISERROR(VLOOKUP(C125,'Base de Datos'!$D$7:$F$4092,2,0))=TRUE,"",(VLOOKUP(C125,'Base de Datos'!$D$7:$F$4092,2,0)))</f>
        <v/>
      </c>
      <c r="E125" s="587" t="s">
        <v>2325</v>
      </c>
      <c r="F125" s="553">
        <v>192077000</v>
      </c>
      <c r="G125" s="784">
        <v>42461</v>
      </c>
      <c r="H125" s="784"/>
      <c r="I125" s="805" t="str">
        <f ca="1">IF(H125=Hoja1!$J$2," ",(IF(MONTH(G125)=MONTH(TODAY()),IF(DAY(G125)&gt;DAY(TODAY()),"Quedan "&amp;ABS(DAY(G125)-DAY(TODAY()))&amp;" Días","Hace "&amp;ABS(DAY(G125)-DAY(TODAY()))&amp;" Días"),"")))</f>
        <v/>
      </c>
      <c r="J125" s="509" t="str">
        <f>IF(ISERROR(VLOOKUP(C125,'Base de Datos'!$D$7:$N$4092,6,0))=TRUE,"Sin Celebrar",(VLOOKUP(C125,'Base de Datos'!$D$7:$N$4092,6,0)))</f>
        <v>Sin Celebrar</v>
      </c>
      <c r="K125" s="585"/>
      <c r="L125" s="509">
        <f>IF(J125=$W$7,F125, " ")</f>
        <v>192077000</v>
      </c>
      <c r="M125" s="509" t="str">
        <f>IF(J125&lt;F125,(F125-J125)," ")</f>
        <v xml:space="preserve"> </v>
      </c>
      <c r="N125" s="691" t="str">
        <f>IF(ISERROR(VLOOKUP(C125,'Base de Datos'!$D$7:$K$1048576,7,0))=TRUE," ",(VLOOKUP(C125,'Base de Datos'!$D$7:$K$1048576,7,0)))</f>
        <v xml:space="preserve"> </v>
      </c>
      <c r="O125" s="691" t="str">
        <f>IF(ISERROR(VLOOKUP(C125,'Base de Datos'!$D$7:$K$1048576,9,0))=TRUE," ",(VLOOKUP(C125,'Base de Datos'!$D$7:$K$1048576,9,0)))</f>
        <v xml:space="preserve"> </v>
      </c>
      <c r="P125" s="586" t="e">
        <f>VLOOKUP(B125,#REF!,13,0)</f>
        <v>#REF!</v>
      </c>
      <c r="Q125" s="524" t="str">
        <f>IF(ISERROR(VLOOKUP(C125,'Base de Datos'!$D$7:$N$4077,10,0))=TRUE," ",(VLOOKUP(C125,'Base de Datos'!$D$7:$N$4077,10,0)))</f>
        <v xml:space="preserve"> </v>
      </c>
      <c r="R125" s="524" t="str">
        <f>IF(ISERROR(VLOOKUP(C125,'Base de Datos'!$D$7:$N$4077,11,0))=TRUE," ",(VLOOKUP(C125,'Base de Datos'!$D$7:$N$4077,11,0)))</f>
        <v xml:space="preserve"> </v>
      </c>
      <c r="S125" s="587"/>
      <c r="T125" s="694"/>
      <c r="U125" s="751"/>
    </row>
    <row r="126" spans="2:21" s="588" customFormat="1" hidden="1" outlineLevel="1" x14ac:dyDescent="0.3">
      <c r="B126" s="600"/>
      <c r="C126" s="600"/>
      <c r="D126" s="587"/>
      <c r="E126" s="587" t="s">
        <v>1934</v>
      </c>
      <c r="F126" s="553"/>
      <c r="G126" s="784"/>
      <c r="H126" s="784"/>
      <c r="I126" s="507"/>
      <c r="J126" s="681"/>
      <c r="K126" s="585"/>
      <c r="L126" s="681"/>
      <c r="M126" s="681" t="str">
        <f>IF(J126&lt;F126,(F126-J126)," ")</f>
        <v xml:space="preserve"> </v>
      </c>
      <c r="N126" s="752"/>
      <c r="O126" s="586"/>
      <c r="P126" s="587"/>
      <c r="Q126" s="683"/>
      <c r="R126" s="683"/>
      <c r="S126" s="587"/>
      <c r="T126" s="694"/>
      <c r="U126" s="751"/>
    </row>
    <row r="127" spans="2:21" s="588" customFormat="1" ht="12" hidden="1" outlineLevel="1" x14ac:dyDescent="0.3">
      <c r="B127" s="783"/>
      <c r="C127" s="783"/>
      <c r="D127" s="783"/>
      <c r="E127" s="783"/>
      <c r="F127" s="553"/>
      <c r="G127" s="784"/>
      <c r="H127" s="784"/>
      <c r="I127" s="507"/>
      <c r="J127" s="553"/>
      <c r="K127" s="585"/>
      <c r="L127" s="553"/>
      <c r="M127" s="553"/>
      <c r="N127" s="663"/>
      <c r="O127" s="586"/>
      <c r="P127" s="587"/>
      <c r="Q127" s="586"/>
      <c r="R127" s="586"/>
      <c r="S127" s="587"/>
      <c r="T127" s="694"/>
      <c r="U127" s="751"/>
    </row>
    <row r="128" spans="2:21" collapsed="1" x14ac:dyDescent="0.3">
      <c r="B128" s="1274" t="s">
        <v>1658</v>
      </c>
      <c r="C128" s="1274"/>
      <c r="D128" s="1274"/>
      <c r="E128" s="1274"/>
      <c r="F128" s="764"/>
      <c r="G128" s="799">
        <f>COUNT(G130)</f>
        <v>0</v>
      </c>
      <c r="H128" s="763">
        <f>COUNTIF(H130:H131,Hoja1!$J$2)</f>
        <v>0</v>
      </c>
      <c r="I128" s="765"/>
      <c r="J128" s="764">
        <f>+J130</f>
        <v>0</v>
      </c>
      <c r="K128" s="766" t="e">
        <f>J128/F128</f>
        <v>#DIV/0!</v>
      </c>
      <c r="L128" s="764">
        <f>+L130</f>
        <v>0</v>
      </c>
      <c r="M128" s="764">
        <f>+F128-J128-L128</f>
        <v>0</v>
      </c>
      <c r="N128" s="768"/>
      <c r="O128" s="769" t="str">
        <f>IF(ISERROR(VLOOKUP(B128,'Base de Datos'!$C$7:$N$315,8,0))=TRUE," ",(VLOOKUP(B128,'Base de Datos'!$C$7:$N$315,8,0)))</f>
        <v xml:space="preserve"> </v>
      </c>
      <c r="P128" s="770"/>
      <c r="Q128" s="769" t="str">
        <f>IF(ISERROR(VLOOKUP(B128,'Base de Datos'!$C$7:$N$315,9,0))=TRUE," ",(VLOOKUP(B128,'Base de Datos'!$C$7:$N$315,9,0)))</f>
        <v xml:space="preserve"> </v>
      </c>
      <c r="R128" s="769" t="str">
        <f>IF(ISERROR(VLOOKUP(B128,'Base de Datos'!$C$7:$N$315,10,0))=TRUE," ",(VLOOKUP(B128,'Base de Datos'!$C$7:$N$315,10,0)))</f>
        <v xml:space="preserve"> </v>
      </c>
      <c r="S128" s="762"/>
      <c r="T128" s="694"/>
      <c r="U128" s="607"/>
    </row>
    <row r="129" spans="2:21" s="588" customFormat="1" ht="22.8" hidden="1" outlineLevel="1" x14ac:dyDescent="0.3">
      <c r="B129" s="600" t="s">
        <v>2341</v>
      </c>
      <c r="C129" s="600"/>
      <c r="D129" s="600" t="s">
        <v>912</v>
      </c>
      <c r="E129" s="600" t="s">
        <v>1821</v>
      </c>
      <c r="F129" s="748" t="s">
        <v>1845</v>
      </c>
      <c r="G129" s="784" t="s">
        <v>2343</v>
      </c>
      <c r="H129" s="784" t="s">
        <v>2347</v>
      </c>
      <c r="I129" s="507" t="s">
        <v>2348</v>
      </c>
      <c r="J129" s="600" t="s">
        <v>1844</v>
      </c>
      <c r="K129" s="585"/>
      <c r="L129" s="600" t="s">
        <v>1938</v>
      </c>
      <c r="M129" s="600" t="s">
        <v>1939</v>
      </c>
      <c r="N129" s="749" t="s">
        <v>1121</v>
      </c>
      <c r="O129" s="750" t="s">
        <v>1846</v>
      </c>
      <c r="P129" s="600" t="s">
        <v>1847</v>
      </c>
      <c r="Q129" s="600" t="s">
        <v>1848</v>
      </c>
      <c r="R129" s="600" t="s">
        <v>375</v>
      </c>
      <c r="S129" s="600" t="s">
        <v>1849</v>
      </c>
      <c r="T129" s="694"/>
      <c r="U129" s="751"/>
    </row>
    <row r="130" spans="2:21" s="588" customFormat="1" hidden="1" outlineLevel="1" x14ac:dyDescent="0.3">
      <c r="B130" s="600"/>
      <c r="C130" s="600"/>
      <c r="D130" s="587"/>
      <c r="E130" s="746"/>
      <c r="F130" s="507"/>
      <c r="G130" s="786"/>
      <c r="H130" s="786"/>
      <c r="I130" s="805" t="str">
        <f ca="1">IF(H130=Hoja1!$J$2," ",(IF(MONTH(G130)=MONTH(TODAY()),IF(DAY(G130)&gt;DAY(TODAY()),"Quedan "&amp;ABS(DAY(G130)-DAY(TODAY()))&amp;" Días","Hace "&amp;ABS(DAY(G130)-DAY(TODAY()))&amp;" Días"),"")))</f>
        <v/>
      </c>
      <c r="J130" s="553"/>
      <c r="K130" s="616"/>
      <c r="L130" s="553"/>
      <c r="M130" s="553"/>
      <c r="N130" s="661"/>
      <c r="O130" s="617"/>
      <c r="P130" s="618"/>
      <c r="Q130" s="617"/>
      <c r="R130" s="617"/>
      <c r="S130" s="587"/>
      <c r="T130" s="694"/>
      <c r="U130" s="751"/>
    </row>
    <row r="131" spans="2:21" s="588" customFormat="1" hidden="1" outlineLevel="1" x14ac:dyDescent="0.3">
      <c r="B131" s="600"/>
      <c r="C131" s="600"/>
      <c r="D131" s="587"/>
      <c r="E131" s="587"/>
      <c r="F131" s="507"/>
      <c r="G131" s="786"/>
      <c r="H131" s="786"/>
      <c r="I131" s="553"/>
      <c r="J131" s="615"/>
      <c r="K131" s="616"/>
      <c r="L131" s="615"/>
      <c r="M131" s="615"/>
      <c r="N131" s="661"/>
      <c r="O131" s="617"/>
      <c r="P131" s="618"/>
      <c r="Q131" s="617"/>
      <c r="R131" s="617"/>
      <c r="S131" s="587"/>
      <c r="T131" s="694"/>
      <c r="U131" s="751"/>
    </row>
    <row r="132" spans="2:21" ht="12" collapsed="1" x14ac:dyDescent="0.3">
      <c r="B132" s="1273" t="s">
        <v>1659</v>
      </c>
      <c r="C132" s="1273"/>
      <c r="D132" s="1273"/>
      <c r="E132" s="1273"/>
      <c r="F132" s="773"/>
      <c r="G132" s="796">
        <f>+G133+G137+G141+G145</f>
        <v>0</v>
      </c>
      <c r="H132" s="796">
        <f>+H133+H137+H141+H145</f>
        <v>0</v>
      </c>
      <c r="I132" s="758"/>
      <c r="J132" s="757">
        <f>+J133+J137+J141+J145</f>
        <v>0</v>
      </c>
      <c r="K132" s="766" t="e">
        <f>J132/F132</f>
        <v>#DIV/0!</v>
      </c>
      <c r="L132" s="757">
        <f>+L133+L137+L141+L145</f>
        <v>0</v>
      </c>
      <c r="M132" s="757">
        <f>+M133+M137+M141+M145</f>
        <v>0</v>
      </c>
      <c r="N132" s="760"/>
      <c r="O132" s="761" t="str">
        <f>IF(ISERROR(VLOOKUP(B132,'Base de Datos'!$C$7:$N$315,8,0))=TRUE," ",(VLOOKUP(B132,'Base de Datos'!$C$7:$N$315,8,0)))</f>
        <v xml:space="preserve"> </v>
      </c>
      <c r="P132" s="762"/>
      <c r="Q132" s="761" t="str">
        <f>IF(ISERROR(VLOOKUP(B132,'Base de Datos'!$C$7:$N$315,9,0))=TRUE," ",(VLOOKUP(B132,'Base de Datos'!$C$7:$N$315,9,0)))</f>
        <v xml:space="preserve"> </v>
      </c>
      <c r="R132" s="761" t="str">
        <f>IF(ISERROR(VLOOKUP(B132,'Base de Datos'!$C$7:$N$315,10,0))=TRUE," ",(VLOOKUP(B132,'Base de Datos'!$C$7:$N$315,10,0)))</f>
        <v xml:space="preserve"> </v>
      </c>
      <c r="S132" s="762"/>
      <c r="T132" s="694"/>
      <c r="U132" s="607"/>
    </row>
    <row r="133" spans="2:21" x14ac:dyDescent="0.3">
      <c r="B133" s="1271" t="s">
        <v>1660</v>
      </c>
      <c r="C133" s="1271"/>
      <c r="D133" s="1271"/>
      <c r="E133" s="1271"/>
      <c r="F133" s="757"/>
      <c r="G133" s="763">
        <f>COUNT(G135)</f>
        <v>0</v>
      </c>
      <c r="H133" s="763">
        <f>COUNTIF(H135:H136,Hoja1!$J$2)</f>
        <v>0</v>
      </c>
      <c r="I133" s="758"/>
      <c r="J133" s="757">
        <f>+J135</f>
        <v>0</v>
      </c>
      <c r="K133" s="766" t="e">
        <f>J133/F133</f>
        <v>#DIV/0!</v>
      </c>
      <c r="L133" s="757">
        <f>+F133-J133</f>
        <v>0</v>
      </c>
      <c r="M133" s="757">
        <f>+M135</f>
        <v>0</v>
      </c>
      <c r="N133" s="760"/>
      <c r="O133" s="761" t="str">
        <f>IF(ISERROR(VLOOKUP(B133,'Base de Datos'!$C$7:$N$315,8,0))=TRUE," ",(VLOOKUP(B133,'Base de Datos'!$C$7:$N$315,8,0)))</f>
        <v xml:space="preserve"> </v>
      </c>
      <c r="P133" s="762"/>
      <c r="Q133" s="761" t="str">
        <f>IF(ISERROR(VLOOKUP(B133,'Base de Datos'!$C$7:$N$315,9,0))=TRUE," ",(VLOOKUP(B133,'Base de Datos'!$C$7:$N$315,9,0)))</f>
        <v xml:space="preserve"> </v>
      </c>
      <c r="R133" s="761" t="str">
        <f>IF(ISERROR(VLOOKUP(B133,'Base de Datos'!$C$7:$N$315,10,0))=TRUE," ",(VLOOKUP(B133,'Base de Datos'!$C$7:$N$315,10,0)))</f>
        <v xml:space="preserve"> </v>
      </c>
      <c r="S133" s="762"/>
      <c r="T133" s="694"/>
      <c r="U133" s="607"/>
    </row>
    <row r="134" spans="2:21" s="588" customFormat="1" ht="22.8" hidden="1" outlineLevel="1" x14ac:dyDescent="0.3">
      <c r="B134" s="600" t="s">
        <v>2341</v>
      </c>
      <c r="C134" s="600"/>
      <c r="D134" s="600" t="s">
        <v>912</v>
      </c>
      <c r="E134" s="600" t="s">
        <v>1821</v>
      </c>
      <c r="F134" s="748" t="s">
        <v>1845</v>
      </c>
      <c r="G134" s="784" t="s">
        <v>2343</v>
      </c>
      <c r="H134" s="784" t="s">
        <v>2347</v>
      </c>
      <c r="I134" s="507" t="s">
        <v>2348</v>
      </c>
      <c r="J134" s="600" t="s">
        <v>1844</v>
      </c>
      <c r="K134" s="585"/>
      <c r="L134" s="600" t="s">
        <v>1938</v>
      </c>
      <c r="M134" s="600" t="s">
        <v>1939</v>
      </c>
      <c r="N134" s="749" t="s">
        <v>1121</v>
      </c>
      <c r="O134" s="750" t="s">
        <v>1846</v>
      </c>
      <c r="P134" s="600" t="s">
        <v>1847</v>
      </c>
      <c r="Q134" s="600" t="s">
        <v>1848</v>
      </c>
      <c r="R134" s="600" t="s">
        <v>375</v>
      </c>
      <c r="S134" s="600" t="s">
        <v>1849</v>
      </c>
      <c r="T134" s="694"/>
      <c r="U134" s="751"/>
    </row>
    <row r="135" spans="2:21" s="588" customFormat="1" hidden="1" outlineLevel="1" x14ac:dyDescent="0.3">
      <c r="B135" s="600"/>
      <c r="C135" s="600"/>
      <c r="D135" s="587"/>
      <c r="E135" s="746"/>
      <c r="F135" s="507"/>
      <c r="G135" s="786"/>
      <c r="H135" s="786"/>
      <c r="I135" s="805" t="str">
        <f ca="1">IF(H135=Hoja1!$J$2," ",(IF(MONTH(G135)=MONTH(TODAY()),IF(DAY(G135)&gt;DAY(TODAY()),"Quedan "&amp;ABS(DAY(G135)-DAY(TODAY()))&amp;" Días","Hace "&amp;ABS(DAY(G135)-DAY(TODAY()))&amp;" Días"),"")))</f>
        <v/>
      </c>
      <c r="J135" s="553"/>
      <c r="K135" s="553"/>
      <c r="L135" s="553"/>
      <c r="M135" s="553"/>
      <c r="N135" s="663"/>
      <c r="O135" s="586"/>
      <c r="P135" s="587"/>
      <c r="Q135" s="586"/>
      <c r="R135" s="586"/>
      <c r="S135" s="587"/>
      <c r="T135" s="694"/>
      <c r="U135" s="751"/>
    </row>
    <row r="136" spans="2:21" s="588" customFormat="1" hidden="1" outlineLevel="1" x14ac:dyDescent="0.3">
      <c r="B136" s="746"/>
      <c r="C136" s="747"/>
      <c r="D136" s="746"/>
      <c r="E136" s="746"/>
      <c r="F136" s="553"/>
      <c r="G136" s="784"/>
      <c r="H136" s="784"/>
      <c r="I136" s="507"/>
      <c r="J136" s="553"/>
      <c r="K136" s="585"/>
      <c r="L136" s="553"/>
      <c r="M136" s="553"/>
      <c r="N136" s="663"/>
      <c r="O136" s="586"/>
      <c r="P136" s="587"/>
      <c r="Q136" s="586"/>
      <c r="R136" s="586"/>
      <c r="S136" s="587"/>
      <c r="T136" s="694"/>
      <c r="U136" s="751"/>
    </row>
    <row r="137" spans="2:21" collapsed="1" x14ac:dyDescent="0.3">
      <c r="B137" s="1271" t="s">
        <v>1661</v>
      </c>
      <c r="C137" s="1271"/>
      <c r="D137" s="1271"/>
      <c r="E137" s="1271"/>
      <c r="F137" s="757"/>
      <c r="G137" s="763">
        <f>COUNT(G139)</f>
        <v>0</v>
      </c>
      <c r="H137" s="763">
        <f>COUNTIF(H139:H140,Hoja1!$J$2)</f>
        <v>0</v>
      </c>
      <c r="I137" s="758"/>
      <c r="J137" s="757">
        <f>+J139</f>
        <v>0</v>
      </c>
      <c r="K137" s="766" t="e">
        <f>J137/F137</f>
        <v>#DIV/0!</v>
      </c>
      <c r="L137" s="757">
        <f>+F137-J137</f>
        <v>0</v>
      </c>
      <c r="M137" s="757">
        <f>+M139</f>
        <v>0</v>
      </c>
      <c r="N137" s="760"/>
      <c r="O137" s="761" t="str">
        <f>IF(ISERROR(VLOOKUP(B137,'Base de Datos'!$C$7:$N$315,8,0))=TRUE," ",(VLOOKUP(B137,'Base de Datos'!$C$7:$N$315,8,0)))</f>
        <v xml:space="preserve"> </v>
      </c>
      <c r="P137" s="762"/>
      <c r="Q137" s="761" t="str">
        <f>IF(ISERROR(VLOOKUP(B137,'Base de Datos'!$C$7:$N$315,9,0))=TRUE," ",(VLOOKUP(B137,'Base de Datos'!$C$7:$N$315,9,0)))</f>
        <v xml:space="preserve"> </v>
      </c>
      <c r="R137" s="761" t="str">
        <f>IF(ISERROR(VLOOKUP(B137,'Base de Datos'!$C$7:$N$315,10,0))=TRUE," ",(VLOOKUP(B137,'Base de Datos'!$C$7:$N$315,10,0)))</f>
        <v xml:space="preserve"> </v>
      </c>
      <c r="S137" s="762"/>
      <c r="T137" s="694"/>
      <c r="U137" s="607"/>
    </row>
    <row r="138" spans="2:21" s="588" customFormat="1" ht="22.8" hidden="1" outlineLevel="1" x14ac:dyDescent="0.3">
      <c r="B138" s="600" t="s">
        <v>2341</v>
      </c>
      <c r="C138" s="600"/>
      <c r="D138" s="600" t="s">
        <v>912</v>
      </c>
      <c r="E138" s="600" t="s">
        <v>1821</v>
      </c>
      <c r="F138" s="748" t="s">
        <v>1845</v>
      </c>
      <c r="G138" s="784" t="s">
        <v>2343</v>
      </c>
      <c r="H138" s="784" t="s">
        <v>2347</v>
      </c>
      <c r="I138" s="507" t="s">
        <v>2348</v>
      </c>
      <c r="J138" s="600" t="s">
        <v>1844</v>
      </c>
      <c r="K138" s="585"/>
      <c r="L138" s="600" t="s">
        <v>1938</v>
      </c>
      <c r="M138" s="600" t="s">
        <v>1939</v>
      </c>
      <c r="N138" s="749" t="s">
        <v>1121</v>
      </c>
      <c r="O138" s="750" t="s">
        <v>1846</v>
      </c>
      <c r="P138" s="600" t="s">
        <v>1847</v>
      </c>
      <c r="Q138" s="600" t="s">
        <v>1848</v>
      </c>
      <c r="R138" s="600" t="s">
        <v>375</v>
      </c>
      <c r="S138" s="600" t="s">
        <v>1849</v>
      </c>
      <c r="T138" s="694"/>
      <c r="U138" s="751"/>
    </row>
    <row r="139" spans="2:21" s="588" customFormat="1" hidden="1" outlineLevel="1" x14ac:dyDescent="0.3">
      <c r="B139" s="600"/>
      <c r="C139" s="600"/>
      <c r="D139" s="587"/>
      <c r="E139" s="746"/>
      <c r="F139" s="507"/>
      <c r="G139" s="786"/>
      <c r="H139" s="786"/>
      <c r="I139" s="805" t="str">
        <f ca="1">IF(H139=Hoja1!$J$2," ",(IF(MONTH(G139)=MONTH(TODAY()),IF(DAY(G139)&gt;DAY(TODAY()),"Quedan "&amp;ABS(DAY(G139)-DAY(TODAY()))&amp;" Días","Hace "&amp;ABS(DAY(G139)-DAY(TODAY()))&amp;" Días"),"")))</f>
        <v/>
      </c>
      <c r="J139" s="553"/>
      <c r="K139" s="553"/>
      <c r="L139" s="553"/>
      <c r="M139" s="553"/>
      <c r="N139" s="663"/>
      <c r="O139" s="586"/>
      <c r="P139" s="587"/>
      <c r="Q139" s="586"/>
      <c r="R139" s="586"/>
      <c r="S139" s="587"/>
      <c r="T139" s="694"/>
      <c r="U139" s="751"/>
    </row>
    <row r="140" spans="2:21" s="588" customFormat="1" hidden="1" outlineLevel="1" x14ac:dyDescent="0.3">
      <c r="B140" s="746"/>
      <c r="C140" s="747"/>
      <c r="D140" s="746"/>
      <c r="E140" s="746"/>
      <c r="F140" s="553"/>
      <c r="G140" s="784"/>
      <c r="H140" s="784"/>
      <c r="I140" s="507"/>
      <c r="J140" s="553"/>
      <c r="K140" s="585"/>
      <c r="L140" s="553"/>
      <c r="M140" s="553"/>
      <c r="N140" s="663"/>
      <c r="O140" s="586"/>
      <c r="P140" s="587"/>
      <c r="Q140" s="586"/>
      <c r="R140" s="586"/>
      <c r="S140" s="587"/>
      <c r="T140" s="694"/>
      <c r="U140" s="751"/>
    </row>
    <row r="141" spans="2:21" collapsed="1" x14ac:dyDescent="0.3">
      <c r="B141" s="1271" t="s">
        <v>1662</v>
      </c>
      <c r="C141" s="1271"/>
      <c r="D141" s="1271"/>
      <c r="E141" s="1271"/>
      <c r="F141" s="757"/>
      <c r="G141" s="763">
        <f>COUNT(G143)</f>
        <v>0</v>
      </c>
      <c r="H141" s="763">
        <f>COUNTIF(H143:H144,Hoja1!$J$2)</f>
        <v>0</v>
      </c>
      <c r="I141" s="758"/>
      <c r="J141" s="757">
        <f>+J143</f>
        <v>0</v>
      </c>
      <c r="K141" s="766" t="e">
        <f>J141/F141</f>
        <v>#DIV/0!</v>
      </c>
      <c r="L141" s="757">
        <f>+F141-J141</f>
        <v>0</v>
      </c>
      <c r="M141" s="757">
        <f>+M143</f>
        <v>0</v>
      </c>
      <c r="N141" s="760"/>
      <c r="O141" s="761" t="str">
        <f>IF(ISERROR(VLOOKUP(B141,'Base de Datos'!$C$7:$N$315,8,0))=TRUE," ",(VLOOKUP(B141,'Base de Datos'!$C$7:$N$315,8,0)))</f>
        <v xml:space="preserve"> </v>
      </c>
      <c r="P141" s="762"/>
      <c r="Q141" s="761" t="str">
        <f>IF(ISERROR(VLOOKUP(B141,'Base de Datos'!$C$7:$N$315,9,0))=TRUE," ",(VLOOKUP(B141,'Base de Datos'!$C$7:$N$315,9,0)))</f>
        <v xml:space="preserve"> </v>
      </c>
      <c r="R141" s="761" t="str">
        <f>IF(ISERROR(VLOOKUP(B141,'Base de Datos'!$C$7:$N$315,10,0))=TRUE," ",(VLOOKUP(B141,'Base de Datos'!$C$7:$N$315,10,0)))</f>
        <v xml:space="preserve"> </v>
      </c>
      <c r="S141" s="762"/>
      <c r="T141" s="694"/>
      <c r="U141" s="607"/>
    </row>
    <row r="142" spans="2:21" s="588" customFormat="1" ht="22.8" hidden="1" outlineLevel="1" x14ac:dyDescent="0.3">
      <c r="B142" s="600" t="s">
        <v>2341</v>
      </c>
      <c r="C142" s="600"/>
      <c r="D142" s="600" t="s">
        <v>912</v>
      </c>
      <c r="E142" s="600" t="s">
        <v>1821</v>
      </c>
      <c r="F142" s="748" t="s">
        <v>1845</v>
      </c>
      <c r="G142" s="784" t="s">
        <v>2343</v>
      </c>
      <c r="H142" s="784" t="s">
        <v>2347</v>
      </c>
      <c r="I142" s="507" t="s">
        <v>2348</v>
      </c>
      <c r="J142" s="600" t="s">
        <v>1844</v>
      </c>
      <c r="K142" s="585"/>
      <c r="L142" s="600" t="s">
        <v>1938</v>
      </c>
      <c r="M142" s="600" t="s">
        <v>1939</v>
      </c>
      <c r="N142" s="749" t="s">
        <v>1121</v>
      </c>
      <c r="O142" s="750" t="s">
        <v>1846</v>
      </c>
      <c r="P142" s="600" t="s">
        <v>1847</v>
      </c>
      <c r="Q142" s="600" t="s">
        <v>1848</v>
      </c>
      <c r="R142" s="600" t="s">
        <v>375</v>
      </c>
      <c r="S142" s="600" t="s">
        <v>1849</v>
      </c>
      <c r="T142" s="694"/>
      <c r="U142" s="751"/>
    </row>
    <row r="143" spans="2:21" s="588" customFormat="1" hidden="1" outlineLevel="1" x14ac:dyDescent="0.3">
      <c r="B143" s="600"/>
      <c r="C143" s="600"/>
      <c r="D143" s="587"/>
      <c r="E143" s="746"/>
      <c r="F143" s="507"/>
      <c r="G143" s="786"/>
      <c r="H143" s="786"/>
      <c r="I143" s="805" t="str">
        <f ca="1">IF(H143=Hoja1!$J$2," ",(IF(MONTH(G143)=MONTH(TODAY()),IF(DAY(G143)&gt;DAY(TODAY()),"Quedan "&amp;ABS(DAY(G143)-DAY(TODAY()))&amp;" Días","Hace "&amp;ABS(DAY(G143)-DAY(TODAY()))&amp;" Días"),"")))</f>
        <v/>
      </c>
      <c r="J143" s="553"/>
      <c r="K143" s="553"/>
      <c r="L143" s="553"/>
      <c r="M143" s="553"/>
      <c r="N143" s="663"/>
      <c r="O143" s="586"/>
      <c r="P143" s="587"/>
      <c r="Q143" s="586"/>
      <c r="R143" s="586"/>
      <c r="S143" s="587"/>
      <c r="T143" s="694"/>
      <c r="U143" s="751"/>
    </row>
    <row r="144" spans="2:21" s="588" customFormat="1" hidden="1" outlineLevel="1" x14ac:dyDescent="0.3">
      <c r="B144" s="746"/>
      <c r="C144" s="747"/>
      <c r="D144" s="746"/>
      <c r="E144" s="746"/>
      <c r="F144" s="553"/>
      <c r="G144" s="784"/>
      <c r="H144" s="784"/>
      <c r="I144" s="507"/>
      <c r="J144" s="553"/>
      <c r="K144" s="585"/>
      <c r="L144" s="553"/>
      <c r="M144" s="553"/>
      <c r="N144" s="663"/>
      <c r="O144" s="586"/>
      <c r="P144" s="587"/>
      <c r="Q144" s="586"/>
      <c r="R144" s="586"/>
      <c r="S144" s="587"/>
      <c r="T144" s="694"/>
      <c r="U144" s="751"/>
    </row>
    <row r="145" spans="2:21" collapsed="1" x14ac:dyDescent="0.3">
      <c r="B145" s="1271" t="s">
        <v>1663</v>
      </c>
      <c r="C145" s="1271"/>
      <c r="D145" s="1271"/>
      <c r="E145" s="1271"/>
      <c r="F145" s="757"/>
      <c r="G145" s="763">
        <f>COUNT(G147)</f>
        <v>0</v>
      </c>
      <c r="H145" s="763">
        <f>COUNTIF(H147:H148,Hoja1!$J$2)</f>
        <v>0</v>
      </c>
      <c r="I145" s="758"/>
      <c r="J145" s="757">
        <f>+J147</f>
        <v>0</v>
      </c>
      <c r="K145" s="766" t="e">
        <f>J145/F145</f>
        <v>#DIV/0!</v>
      </c>
      <c r="L145" s="757">
        <f>+L147</f>
        <v>0</v>
      </c>
      <c r="M145" s="757">
        <f>+M147</f>
        <v>0</v>
      </c>
      <c r="N145" s="760"/>
      <c r="O145" s="761" t="str">
        <f>IF(ISERROR(VLOOKUP(B145,'Base de Datos'!$C$7:$N$315,8,0))=TRUE," ",(VLOOKUP(B145,'Base de Datos'!$C$7:$N$315,8,0)))</f>
        <v xml:space="preserve"> </v>
      </c>
      <c r="P145" s="762"/>
      <c r="Q145" s="761" t="str">
        <f>IF(ISERROR(VLOOKUP(B145,'Base de Datos'!$C$7:$N$315,9,0))=TRUE," ",(VLOOKUP(B145,'Base de Datos'!$C$7:$N$315,9,0)))</f>
        <v xml:space="preserve"> </v>
      </c>
      <c r="R145" s="761" t="str">
        <f>IF(ISERROR(VLOOKUP(B145,'Base de Datos'!$C$7:$N$315,10,0))=TRUE," ",(VLOOKUP(B145,'Base de Datos'!$C$7:$N$315,10,0)))</f>
        <v xml:space="preserve"> </v>
      </c>
      <c r="S145" s="762"/>
      <c r="T145" s="694"/>
      <c r="U145" s="607"/>
    </row>
    <row r="146" spans="2:21" s="588" customFormat="1" ht="22.8" hidden="1" outlineLevel="1" x14ac:dyDescent="0.3">
      <c r="B146" s="600" t="s">
        <v>2341</v>
      </c>
      <c r="C146" s="600"/>
      <c r="D146" s="600" t="s">
        <v>912</v>
      </c>
      <c r="E146" s="600" t="s">
        <v>1821</v>
      </c>
      <c r="F146" s="748" t="s">
        <v>1845</v>
      </c>
      <c r="G146" s="784" t="s">
        <v>2343</v>
      </c>
      <c r="H146" s="784" t="s">
        <v>2347</v>
      </c>
      <c r="I146" s="507" t="s">
        <v>2348</v>
      </c>
      <c r="J146" s="600" t="s">
        <v>1844</v>
      </c>
      <c r="K146" s="585"/>
      <c r="L146" s="600" t="s">
        <v>1938</v>
      </c>
      <c r="M146" s="600" t="s">
        <v>1939</v>
      </c>
      <c r="N146" s="749" t="s">
        <v>1121</v>
      </c>
      <c r="O146" s="750" t="s">
        <v>1846</v>
      </c>
      <c r="P146" s="600" t="s">
        <v>1847</v>
      </c>
      <c r="Q146" s="600" t="s">
        <v>1848</v>
      </c>
      <c r="R146" s="600" t="s">
        <v>375</v>
      </c>
      <c r="S146" s="600" t="s">
        <v>1849</v>
      </c>
      <c r="T146" s="694"/>
      <c r="U146" s="751"/>
    </row>
    <row r="147" spans="2:21" s="588" customFormat="1" hidden="1" outlineLevel="1" x14ac:dyDescent="0.3">
      <c r="B147" s="600"/>
      <c r="C147" s="600"/>
      <c r="D147" s="587"/>
      <c r="E147" s="746"/>
      <c r="F147" s="507"/>
      <c r="G147" s="786"/>
      <c r="H147" s="786"/>
      <c r="I147" s="805" t="str">
        <f ca="1">IF(H147=Hoja1!$J$2," ",(IF(MONTH(G147)=MONTH(TODAY()),IF(DAY(G147)&gt;DAY(TODAY()),"Quedan "&amp;ABS(DAY(G147)-DAY(TODAY()))&amp;" Días","Hace "&amp;ABS(DAY(G147)-DAY(TODAY()))&amp;" Días"),"")))</f>
        <v/>
      </c>
      <c r="J147" s="553"/>
      <c r="K147" s="553"/>
      <c r="L147" s="553"/>
      <c r="M147" s="553"/>
      <c r="N147" s="663"/>
      <c r="O147" s="586"/>
      <c r="P147" s="587"/>
      <c r="Q147" s="586"/>
      <c r="R147" s="586"/>
      <c r="S147" s="587"/>
      <c r="T147" s="694"/>
      <c r="U147" s="751"/>
    </row>
    <row r="148" spans="2:21" s="588" customFormat="1" hidden="1" outlineLevel="1" x14ac:dyDescent="0.3">
      <c r="B148" s="746"/>
      <c r="C148" s="747"/>
      <c r="D148" s="746"/>
      <c r="E148" s="746"/>
      <c r="F148" s="553"/>
      <c r="G148" s="784"/>
      <c r="H148" s="784"/>
      <c r="I148" s="507"/>
      <c r="J148" s="553"/>
      <c r="K148" s="585"/>
      <c r="L148" s="553"/>
      <c r="M148" s="553"/>
      <c r="N148" s="663"/>
      <c r="O148" s="586"/>
      <c r="P148" s="587"/>
      <c r="Q148" s="586"/>
      <c r="R148" s="586"/>
      <c r="S148" s="587"/>
      <c r="T148" s="694"/>
      <c r="U148" s="751"/>
    </row>
    <row r="149" spans="2:21" ht="12" collapsed="1" x14ac:dyDescent="0.3">
      <c r="B149" s="1273" t="s">
        <v>1664</v>
      </c>
      <c r="C149" s="1273"/>
      <c r="D149" s="1273"/>
      <c r="E149" s="1273"/>
      <c r="F149" s="773"/>
      <c r="G149" s="796">
        <f>G150</f>
        <v>1</v>
      </c>
      <c r="H149" s="796">
        <f>H150</f>
        <v>0</v>
      </c>
      <c r="I149" s="758"/>
      <c r="J149" s="757">
        <f>+J150</f>
        <v>0</v>
      </c>
      <c r="K149" s="759" t="e">
        <f>J149/F149</f>
        <v>#DIV/0!</v>
      </c>
      <c r="L149" s="757">
        <f>+L150</f>
        <v>492336000</v>
      </c>
      <c r="M149" s="757">
        <f>+M150</f>
        <v>-492336000</v>
      </c>
      <c r="N149" s="760"/>
      <c r="O149" s="761" t="str">
        <f>IF(ISERROR(VLOOKUP(B149,'Base de Datos'!$C$7:$N$315,8,0))=TRUE," ",(VLOOKUP(B149,'Base de Datos'!$C$7:$N$315,8,0)))</f>
        <v xml:space="preserve"> </v>
      </c>
      <c r="P149" s="762"/>
      <c r="Q149" s="761" t="str">
        <f>IF(ISERROR(VLOOKUP(B149,'Base de Datos'!$C$7:$N$315,9,0))=TRUE," ",(VLOOKUP(B149,'Base de Datos'!$C$7:$N$315,9,0)))</f>
        <v xml:space="preserve"> </v>
      </c>
      <c r="R149" s="761" t="str">
        <f>IF(ISERROR(VLOOKUP(B149,'Base de Datos'!$C$7:$N$315,10,0))=TRUE," ",(VLOOKUP(B149,'Base de Datos'!$C$7:$N$315,10,0)))</f>
        <v xml:space="preserve"> </v>
      </c>
      <c r="S149" s="762"/>
      <c r="T149" s="694"/>
      <c r="U149" s="607"/>
    </row>
    <row r="150" spans="2:21" x14ac:dyDescent="0.3">
      <c r="B150" s="1271" t="s">
        <v>1665</v>
      </c>
      <c r="C150" s="1271"/>
      <c r="D150" s="1271"/>
      <c r="E150" s="1271"/>
      <c r="F150" s="757"/>
      <c r="G150" s="763">
        <f>COUNT(G152:G153)</f>
        <v>1</v>
      </c>
      <c r="H150" s="763">
        <f>COUNTIF(H152:H153,Hoja1!$J$2)</f>
        <v>0</v>
      </c>
      <c r="I150" s="758"/>
      <c r="J150" s="757">
        <f>SUM(J152)</f>
        <v>0</v>
      </c>
      <c r="K150" s="759" t="e">
        <f>J150/F150</f>
        <v>#DIV/0!</v>
      </c>
      <c r="L150" s="757">
        <f>SUM(L152)</f>
        <v>492336000</v>
      </c>
      <c r="M150" s="757">
        <f>+F150-J150-L150</f>
        <v>-492336000</v>
      </c>
      <c r="N150" s="760"/>
      <c r="O150" s="761" t="str">
        <f>IF(ISERROR(VLOOKUP(B150,'Base de Datos'!$C$7:$N$315,8,0))=TRUE," ",(VLOOKUP(B150,'Base de Datos'!$C$7:$N$315,8,0)))</f>
        <v xml:space="preserve"> </v>
      </c>
      <c r="P150" s="762"/>
      <c r="Q150" s="761" t="str">
        <f>IF(ISERROR(VLOOKUP(B150,'Base de Datos'!$C$7:$N$315,9,0))=TRUE," ",(VLOOKUP(B150,'Base de Datos'!$C$7:$N$315,9,0)))</f>
        <v xml:space="preserve"> </v>
      </c>
      <c r="R150" s="761" t="str">
        <f>IF(ISERROR(VLOOKUP(B150,'Base de Datos'!$C$7:$N$315,10,0))=TRUE," ",(VLOOKUP(B150,'Base de Datos'!$C$7:$N$315,10,0)))</f>
        <v xml:space="preserve"> </v>
      </c>
      <c r="S150" s="762"/>
      <c r="T150" s="694"/>
      <c r="U150" s="607"/>
    </row>
    <row r="151" spans="2:21" s="588" customFormat="1" ht="22.8" outlineLevel="1" x14ac:dyDescent="0.3">
      <c r="B151" s="600" t="s">
        <v>2341</v>
      </c>
      <c r="C151" s="600"/>
      <c r="D151" s="600" t="s">
        <v>912</v>
      </c>
      <c r="E151" s="600" t="s">
        <v>1821</v>
      </c>
      <c r="F151" s="748" t="s">
        <v>1845</v>
      </c>
      <c r="G151" s="784" t="s">
        <v>2343</v>
      </c>
      <c r="H151" s="784" t="s">
        <v>2347</v>
      </c>
      <c r="I151" s="507" t="s">
        <v>2348</v>
      </c>
      <c r="J151" s="600" t="s">
        <v>1844</v>
      </c>
      <c r="K151" s="585"/>
      <c r="L151" s="600" t="s">
        <v>1938</v>
      </c>
      <c r="M151" s="600" t="s">
        <v>1939</v>
      </c>
      <c r="N151" s="749" t="s">
        <v>1121</v>
      </c>
      <c r="O151" s="750" t="s">
        <v>1846</v>
      </c>
      <c r="P151" s="600" t="s">
        <v>1847</v>
      </c>
      <c r="Q151" s="600" t="s">
        <v>1848</v>
      </c>
      <c r="R151" s="600" t="s">
        <v>375</v>
      </c>
      <c r="S151" s="600" t="s">
        <v>1849</v>
      </c>
      <c r="T151" s="694"/>
      <c r="U151" s="751"/>
    </row>
    <row r="152" spans="2:21" s="588" customFormat="1" ht="22.8" outlineLevel="1" x14ac:dyDescent="0.3">
      <c r="B152" s="679">
        <v>228</v>
      </c>
      <c r="C152" s="600" t="str">
        <f>$W$6&amp;B152</f>
        <v>2016228</v>
      </c>
      <c r="D152" s="506" t="str">
        <f>IF(ISERROR(VLOOKUP(C152,'Base de Datos'!$D$7:$F$4092,2,0))=TRUE,"",(VLOOKUP(C152,'Base de Datos'!$D$7:$F$4092,2,0)))</f>
        <v/>
      </c>
      <c r="E152" s="680" t="s">
        <v>2327</v>
      </c>
      <c r="F152" s="681">
        <v>492336000</v>
      </c>
      <c r="G152" s="787">
        <v>42461</v>
      </c>
      <c r="H152" s="784"/>
      <c r="I152" s="805" t="str">
        <f ca="1">IF(H152=Hoja1!$J$2," ",(IF(MONTH(G152)=MONTH(TODAY()),IF(DAY(G152)&gt;DAY(TODAY()),"Quedan "&amp;ABS(DAY(G152)-DAY(TODAY()))&amp;" Días","Hace "&amp;ABS(DAY(G152)-DAY(TODAY()))&amp;" Días"),"")))</f>
        <v/>
      </c>
      <c r="J152" s="509" t="str">
        <f>IF(ISERROR(VLOOKUP(C152,'Base de Datos'!$D$7:$N$4092,6,0))=TRUE,"Sin Celebrar",(VLOOKUP(C152,'Base de Datos'!$D$7:$N$4092,6,0)))</f>
        <v>Sin Celebrar</v>
      </c>
      <c r="K152" s="682"/>
      <c r="L152" s="509">
        <f>IF(J152=$W$7,F152, " ")</f>
        <v>492336000</v>
      </c>
      <c r="M152" s="509" t="str">
        <f>IF(J152&lt;F152,(F152-J152)," ")</f>
        <v xml:space="preserve"> </v>
      </c>
      <c r="N152" s="691" t="str">
        <f>IF(ISERROR(VLOOKUP(C152,'Base de Datos'!$D$7:$K$1048576,7,0))=TRUE," ",(VLOOKUP(C152,'Base de Datos'!$D$7:$K$1048576,7,0)))</f>
        <v xml:space="preserve"> </v>
      </c>
      <c r="O152" s="524" t="str">
        <f>IF(ISERROR(VLOOKUP(C152,'Base de Datos'!$D$7:$N$4077,9,0))=TRUE," ",(VLOOKUP(C152,'Base de Datos'!$D$7:$N$4077,9,0)))</f>
        <v xml:space="preserve"> </v>
      </c>
      <c r="P152" s="586" t="e">
        <f>VLOOKUP(B152,#REF!,13,0)</f>
        <v>#REF!</v>
      </c>
      <c r="Q152" s="524" t="str">
        <f>IF(ISERROR(VLOOKUP(C152,'Base de Datos'!$D$7:$N$4077,10,0))=TRUE," ",(VLOOKUP(C152,'Base de Datos'!$D$7:$N$4077,10,0)))</f>
        <v xml:space="preserve"> </v>
      </c>
      <c r="R152" s="524" t="str">
        <f>IF(ISERROR(VLOOKUP(C152,'Base de Datos'!$D$7:$N$4077,11,0))=TRUE," ",(VLOOKUP(C152,'Base de Datos'!$D$7:$N$4077,11,0)))</f>
        <v xml:space="preserve"> </v>
      </c>
      <c r="S152" s="587" t="s">
        <v>2075</v>
      </c>
      <c r="T152" s="694"/>
      <c r="U152" s="751"/>
    </row>
    <row r="153" spans="2:21" s="588" customFormat="1" ht="12" outlineLevel="1" x14ac:dyDescent="0.3">
      <c r="B153" s="783"/>
      <c r="C153" s="783"/>
      <c r="D153" s="783"/>
      <c r="E153" s="783"/>
      <c r="F153" s="553"/>
      <c r="G153" s="784"/>
      <c r="H153" s="784"/>
      <c r="I153" s="507"/>
      <c r="J153" s="553"/>
      <c r="K153" s="585"/>
      <c r="L153" s="553"/>
      <c r="M153" s="553"/>
      <c r="N153" s="663"/>
      <c r="O153" s="586"/>
      <c r="P153" s="587"/>
      <c r="Q153" s="586"/>
      <c r="R153" s="586"/>
      <c r="S153" s="587"/>
      <c r="T153" s="694"/>
      <c r="U153" s="751"/>
    </row>
    <row r="154" spans="2:21" ht="12" x14ac:dyDescent="0.3">
      <c r="B154" s="1275" t="s">
        <v>1666</v>
      </c>
      <c r="C154" s="1275"/>
      <c r="D154" s="1275"/>
      <c r="E154" s="1275"/>
      <c r="F154" s="764"/>
      <c r="G154" s="763">
        <f>COUNT(G156:G157)</f>
        <v>2</v>
      </c>
      <c r="H154" s="763">
        <f>COUNTIF(H156:H158,Hoja1!$J$2)</f>
        <v>0</v>
      </c>
      <c r="I154" s="765"/>
      <c r="J154" s="764">
        <f>SUM(J156:J158)</f>
        <v>705344905</v>
      </c>
      <c r="K154" s="766" t="e">
        <f>J154/F154</f>
        <v>#DIV/0!</v>
      </c>
      <c r="L154" s="764">
        <f>SUM(L156:L158)</f>
        <v>0</v>
      </c>
      <c r="M154" s="764">
        <f>+F154-J154-L154</f>
        <v>-705344905</v>
      </c>
      <c r="N154" s="768"/>
      <c r="O154" s="769" t="str">
        <f>IF(ISERROR(VLOOKUP(B154,'Base de Datos'!$C$7:$N$315,8,0))=TRUE," ",(VLOOKUP(B154,'Base de Datos'!$C$7:$N$315,8,0)))</f>
        <v xml:space="preserve"> </v>
      </c>
      <c r="P154" s="770"/>
      <c r="Q154" s="769" t="str">
        <f>IF(ISERROR(VLOOKUP(B154,'Base de Datos'!$C$7:$N$315,9,0))=TRUE," ",(VLOOKUP(B154,'Base de Datos'!$C$7:$N$315,9,0)))</f>
        <v xml:space="preserve"> </v>
      </c>
      <c r="R154" s="769" t="str">
        <f>IF(ISERROR(VLOOKUP(B154,'Base de Datos'!$C$7:$N$315,10,0))=TRUE," ",(VLOOKUP(B154,'Base de Datos'!$C$7:$N$315,10,0)))</f>
        <v xml:space="preserve"> </v>
      </c>
      <c r="S154" s="762"/>
      <c r="T154" s="694"/>
      <c r="U154" s="607"/>
    </row>
    <row r="155" spans="2:21" s="588" customFormat="1" ht="22.8" outlineLevel="1" x14ac:dyDescent="0.3">
      <c r="B155" s="600" t="s">
        <v>2341</v>
      </c>
      <c r="C155" s="600"/>
      <c r="D155" s="600" t="s">
        <v>912</v>
      </c>
      <c r="E155" s="600" t="s">
        <v>1821</v>
      </c>
      <c r="F155" s="748" t="s">
        <v>1845</v>
      </c>
      <c r="G155" s="784" t="s">
        <v>2343</v>
      </c>
      <c r="H155" s="784" t="s">
        <v>2347</v>
      </c>
      <c r="I155" s="507" t="s">
        <v>2348</v>
      </c>
      <c r="J155" s="600" t="s">
        <v>1844</v>
      </c>
      <c r="K155" s="585"/>
      <c r="L155" s="600" t="s">
        <v>1938</v>
      </c>
      <c r="M155" s="600" t="s">
        <v>1939</v>
      </c>
      <c r="N155" s="749" t="s">
        <v>1121</v>
      </c>
      <c r="O155" s="750" t="s">
        <v>1846</v>
      </c>
      <c r="P155" s="600" t="s">
        <v>1847</v>
      </c>
      <c r="Q155" s="600" t="s">
        <v>1848</v>
      </c>
      <c r="R155" s="600" t="s">
        <v>375</v>
      </c>
      <c r="S155" s="600" t="s">
        <v>1849</v>
      </c>
      <c r="T155" s="694"/>
      <c r="U155" s="751"/>
    </row>
    <row r="156" spans="2:21" s="588" customFormat="1" ht="22.8" outlineLevel="1" x14ac:dyDescent="0.3">
      <c r="B156" s="600">
        <v>199</v>
      </c>
      <c r="C156" s="600" t="str">
        <f>$W$6&amp;B156</f>
        <v>2016199</v>
      </c>
      <c r="D156" s="506" t="str">
        <f>IF(ISERROR(VLOOKUP(C156,'Base de Datos'!$D$7:$F$4092,2,0))=TRUE,"",(VLOOKUP(C156,'Base de Datos'!$D$7:$F$4092,2,0)))</f>
        <v>160228-0-2016</v>
      </c>
      <c r="E156" s="680" t="s">
        <v>1425</v>
      </c>
      <c r="F156" s="553">
        <v>567285000</v>
      </c>
      <c r="G156" s="784">
        <v>42461</v>
      </c>
      <c r="H156" s="784"/>
      <c r="I156" s="805" t="str">
        <f ca="1">IF(H156=Hoja1!$J$2," ",(IF(MONTH(G156)=MONTH(TODAY()),IF(DAY(G156)&gt;DAY(TODAY()),"Quedan "&amp;ABS(DAY(G156)-DAY(TODAY()))&amp;" Días","Hace "&amp;ABS(DAY(G156)-DAY(TODAY()))&amp;" Días"),"")))</f>
        <v/>
      </c>
      <c r="J156" s="509">
        <f>IF(ISERROR(VLOOKUP(C156,'Base de Datos'!$D$7:$N$4092,6,0))=TRUE,"Sin Celebrar",(VLOOKUP(C156,'Base de Datos'!$D$7:$N$4092,6,0)))</f>
        <v>669493245</v>
      </c>
      <c r="K156" s="585"/>
      <c r="L156" s="509" t="str">
        <f>IF(J156=$W$7,F156, " ")</f>
        <v xml:space="preserve"> </v>
      </c>
      <c r="M156" s="509" t="str">
        <f>IF(J156&lt;F156,(F156-J156)," ")</f>
        <v xml:space="preserve"> </v>
      </c>
      <c r="N156" s="691" t="str">
        <f>IF(ISERROR(VLOOKUP(C156,'Base de Datos'!$D$7:$K$1048576,7,0))=TRUE," ",(VLOOKUP(C156,'Base de Datos'!$D$7:$K$1048576,7,0)))</f>
        <v>SDH-LP-04-2016</v>
      </c>
      <c r="O156" s="524">
        <f>IF(ISERROR(VLOOKUP(C156,'Base de Datos'!$D$7:$N$4077,9,0))=TRUE," ",(VLOOKUP(C156,'Base de Datos'!$D$7:$N$4077,9,0)))</f>
        <v>42632</v>
      </c>
      <c r="P156" s="586" t="e">
        <f>VLOOKUP(B156,#REF!,13,0)</f>
        <v>#REF!</v>
      </c>
      <c r="Q156" s="524">
        <f>IF(ISERROR(VLOOKUP(C156,'Base de Datos'!$D$7:$N$4077,10,0))=TRUE," ",(VLOOKUP(C156,'Base de Datos'!$D$7:$N$4077,10,0)))</f>
        <v>42647</v>
      </c>
      <c r="R156" s="524">
        <f>IF(ISERROR(VLOOKUP(C156,'Base de Datos'!$D$7:$N$4077,11,0))=TRUE," ",(VLOOKUP(C156,'Base de Datos'!$D$7:$N$4077,11,0)))</f>
        <v>42859</v>
      </c>
      <c r="S156" s="587" t="s">
        <v>981</v>
      </c>
      <c r="T156" s="694"/>
      <c r="U156" s="751"/>
    </row>
    <row r="157" spans="2:21" s="588" customFormat="1" ht="22.8" outlineLevel="1" x14ac:dyDescent="0.3">
      <c r="B157" s="600">
        <v>216</v>
      </c>
      <c r="C157" s="600" t="str">
        <f>$W$6&amp;B157</f>
        <v>2016216</v>
      </c>
      <c r="D157" s="506" t="str">
        <f>IF(ISERROR(VLOOKUP(C157,'Base de Datos'!$D$7:$F$4092,2,0))=TRUE,"",(VLOOKUP(C157,'Base de Datos'!$D$7:$F$4092,2,0)))</f>
        <v>160287-0-2016</v>
      </c>
      <c r="E157" s="680" t="s">
        <v>2328</v>
      </c>
      <c r="F157" s="553">
        <v>41200000</v>
      </c>
      <c r="G157" s="784">
        <v>42573</v>
      </c>
      <c r="H157" s="784"/>
      <c r="I157" s="805" t="str">
        <f ca="1">IF(H157=Hoja1!$J$2," ",(IF(MONTH(G157)=MONTH(TODAY()),IF(DAY(G157)&gt;DAY(TODAY()),"Quedan "&amp;ABS(DAY(G157)-DAY(TODAY()))&amp;" Días","Hace "&amp;ABS(DAY(G157)-DAY(TODAY()))&amp;" Días"),"")))</f>
        <v/>
      </c>
      <c r="J157" s="509">
        <f>IF(ISERROR(VLOOKUP(C157,'Base de Datos'!$D$7:$N$4092,6,0))=TRUE,"Sin Celebrar",(VLOOKUP(C157,'Base de Datos'!$D$7:$N$4092,6,0)))</f>
        <v>35851660</v>
      </c>
      <c r="K157" s="585"/>
      <c r="L157" s="509" t="str">
        <f>IF(J157=$W$7,F157, " ")</f>
        <v xml:space="preserve"> </v>
      </c>
      <c r="M157" s="509">
        <f>IF(J157&lt;F157,(F157-J157)," ")</f>
        <v>5348340</v>
      </c>
      <c r="N157" s="691" t="str">
        <f>IF(ISERROR(VLOOKUP(C157,'Base de Datos'!$D$7:$K$1048576,7,0))=TRUE," ",(VLOOKUP(C157,'Base de Datos'!$D$7:$K$1048576,7,0)))</f>
        <v>SDH-SAMC-06-2016</v>
      </c>
      <c r="O157" s="524">
        <f>IF(ISERROR(VLOOKUP(C157,'Base de Datos'!$D$7:$N$4077,9,0))=TRUE," ",(VLOOKUP(C157,'Base de Datos'!$D$7:$N$4077,9,0)))</f>
        <v>42703</v>
      </c>
      <c r="P157" s="586" t="e">
        <f>VLOOKUP(B157,#REF!,13,0)</f>
        <v>#REF!</v>
      </c>
      <c r="Q157" s="524">
        <f>IF(ISERROR(VLOOKUP(C157,'Base de Datos'!$D$7:$N$4077,10,0))=TRUE," ",(VLOOKUP(C157,'Base de Datos'!$D$7:$N$4077,10,0)))</f>
        <v>42710</v>
      </c>
      <c r="R157" s="524">
        <f>IF(ISERROR(VLOOKUP(C157,'Base de Datos'!$D$7:$N$4077,11,0))=TRUE," ",(VLOOKUP(C157,'Base de Datos'!$D$7:$N$4077,11,0)))</f>
        <v>42831</v>
      </c>
      <c r="S157" s="587" t="s">
        <v>981</v>
      </c>
      <c r="T157" s="694"/>
      <c r="U157" s="751"/>
    </row>
    <row r="158" spans="2:21" s="588" customFormat="1" outlineLevel="1" x14ac:dyDescent="0.3">
      <c r="B158" s="587"/>
      <c r="C158" s="587"/>
      <c r="D158" s="587"/>
      <c r="E158" s="587" t="s">
        <v>1934</v>
      </c>
      <c r="F158" s="553"/>
      <c r="G158" s="784"/>
      <c r="H158" s="784"/>
      <c r="I158" s="507"/>
      <c r="J158" s="553"/>
      <c r="K158" s="585"/>
      <c r="L158" s="681"/>
      <c r="M158" s="553" t="str">
        <f>IF(J158&lt;F158,(F158-J158)," ")</f>
        <v xml:space="preserve"> </v>
      </c>
      <c r="N158" s="781"/>
      <c r="O158" s="586" t="str">
        <f>IF(ISERROR(VLOOKUP(B158,'Base de Datos'!$C$7:$N$315,9,0))=TRUE," ",(VLOOKUP(B158,'Base de Datos'!$C$7:$N$315,9,0)))</f>
        <v xml:space="preserve"> </v>
      </c>
      <c r="P158" s="587"/>
      <c r="Q158" s="683" t="str">
        <f>IF(ISERROR(VLOOKUP(B158,'Base de Datos'!$C$7:$N$4077,10,0))=TRUE," ",(VLOOKUP(B158,'Base de Datos'!$C$7:$N$4077,10,0)))</f>
        <v xml:space="preserve"> </v>
      </c>
      <c r="R158" s="683" t="str">
        <f>IF(ISERROR(VLOOKUP(B158,'Base de Datos'!$C$7:$N$4077,11,0))=TRUE," ",(VLOOKUP(B158,'Base de Datos'!$C$7:$N$4077,11,0)))</f>
        <v xml:space="preserve"> </v>
      </c>
      <c r="S158" s="587"/>
      <c r="T158" s="694"/>
      <c r="U158" s="751"/>
    </row>
    <row r="159" spans="2:21" s="588" customFormat="1" outlineLevel="1" x14ac:dyDescent="0.3">
      <c r="B159" s="587"/>
      <c r="C159" s="587"/>
      <c r="D159" s="587"/>
      <c r="E159" s="587"/>
      <c r="F159" s="553"/>
      <c r="G159" s="784"/>
      <c r="H159" s="784"/>
      <c r="I159" s="507"/>
      <c r="J159" s="553"/>
      <c r="K159" s="585"/>
      <c r="L159" s="553"/>
      <c r="M159" s="553"/>
      <c r="N159" s="663"/>
      <c r="O159" s="586"/>
      <c r="P159" s="587"/>
      <c r="Q159" s="586"/>
      <c r="R159" s="586"/>
      <c r="S159" s="587"/>
      <c r="T159" s="694"/>
      <c r="U159" s="751"/>
    </row>
    <row r="160" spans="2:21" ht="12" x14ac:dyDescent="0.3">
      <c r="B160" s="1275" t="s">
        <v>1667</v>
      </c>
      <c r="C160" s="1275"/>
      <c r="D160" s="1275"/>
      <c r="E160" s="1275"/>
      <c r="F160" s="764"/>
      <c r="G160" s="763">
        <f>COUNT(G162:G163)</f>
        <v>2</v>
      </c>
      <c r="H160" s="763">
        <f>COUNTIF(H162:H164,Hoja1!$J$2)</f>
        <v>0</v>
      </c>
      <c r="I160" s="765"/>
      <c r="J160" s="764">
        <f>SUM(J162:J164)</f>
        <v>162489000</v>
      </c>
      <c r="K160" s="766" t="e">
        <f>J160/F160</f>
        <v>#DIV/0!</v>
      </c>
      <c r="L160" s="764">
        <f>SUM(L162:L164)</f>
        <v>0</v>
      </c>
      <c r="M160" s="764">
        <f>+F160-J160-L160</f>
        <v>-162489000</v>
      </c>
      <c r="N160" s="768"/>
      <c r="O160" s="769" t="str">
        <f>IF(ISERROR(VLOOKUP(B160,'Base de Datos'!$C$7:$N$315,8,0))=TRUE," ",(VLOOKUP(B160,'Base de Datos'!$C$7:$N$315,8,0)))</f>
        <v xml:space="preserve"> </v>
      </c>
      <c r="P160" s="770"/>
      <c r="Q160" s="769" t="str">
        <f>IF(ISERROR(VLOOKUP(B160,'Base de Datos'!$C$7:$N$315,9,0))=TRUE," ",(VLOOKUP(B160,'Base de Datos'!$C$7:$N$315,9,0)))</f>
        <v xml:space="preserve"> </v>
      </c>
      <c r="R160" s="769" t="str">
        <f>IF(ISERROR(VLOOKUP(B160,'Base de Datos'!$C$7:$N$315,10,0))=TRUE," ",(VLOOKUP(B160,'Base de Datos'!$C$7:$N$315,10,0)))</f>
        <v xml:space="preserve"> </v>
      </c>
      <c r="S160" s="762"/>
      <c r="T160" s="694"/>
      <c r="U160" s="607"/>
    </row>
    <row r="161" spans="2:21" s="588" customFormat="1" ht="22.8" outlineLevel="1" x14ac:dyDescent="0.3">
      <c r="B161" s="600" t="s">
        <v>2341</v>
      </c>
      <c r="C161" s="600"/>
      <c r="D161" s="600" t="s">
        <v>912</v>
      </c>
      <c r="E161" s="600" t="s">
        <v>1821</v>
      </c>
      <c r="F161" s="748" t="s">
        <v>1845</v>
      </c>
      <c r="G161" s="784" t="s">
        <v>2343</v>
      </c>
      <c r="H161" s="784" t="s">
        <v>2347</v>
      </c>
      <c r="I161" s="507" t="s">
        <v>2348</v>
      </c>
      <c r="J161" s="600" t="s">
        <v>1844</v>
      </c>
      <c r="K161" s="585"/>
      <c r="L161" s="600" t="s">
        <v>1938</v>
      </c>
      <c r="M161" s="600" t="s">
        <v>1939</v>
      </c>
      <c r="N161" s="749" t="s">
        <v>1121</v>
      </c>
      <c r="O161" s="750" t="s">
        <v>1846</v>
      </c>
      <c r="P161" s="600" t="s">
        <v>1847</v>
      </c>
      <c r="Q161" s="600" t="s">
        <v>1848</v>
      </c>
      <c r="R161" s="600" t="s">
        <v>375</v>
      </c>
      <c r="S161" s="600" t="s">
        <v>1849</v>
      </c>
      <c r="T161" s="694"/>
      <c r="U161" s="751"/>
    </row>
    <row r="162" spans="2:21" s="588" customFormat="1" ht="22.8" outlineLevel="1" x14ac:dyDescent="0.3">
      <c r="B162" s="600">
        <v>227</v>
      </c>
      <c r="C162" s="600" t="str">
        <f>$W$6&amp;B162</f>
        <v>2016227</v>
      </c>
      <c r="D162" s="506" t="str">
        <f>IF(ISERROR(VLOOKUP(C162,'Base de Datos'!$D$7:$F$4092,2,0))=TRUE,"",(VLOOKUP(C162,'Base de Datos'!$D$7:$F$4092,2,0)))</f>
        <v>160124-0-2016</v>
      </c>
      <c r="E162" s="680" t="s">
        <v>2329</v>
      </c>
      <c r="F162" s="553">
        <v>130000000</v>
      </c>
      <c r="G162" s="784">
        <v>42381</v>
      </c>
      <c r="H162" s="784"/>
      <c r="I162" s="805" t="str">
        <f ca="1">IF(H162=Hoja1!$J$2," ",(IF(MONTH(G162)=MONTH(TODAY()),IF(DAY(G162)&gt;DAY(TODAY()),"Quedan "&amp;ABS(DAY(G162)-DAY(TODAY()))&amp;" Días","Hace "&amp;ABS(DAY(G162)-DAY(TODAY()))&amp;" Días"),"")))</f>
        <v/>
      </c>
      <c r="J162" s="509">
        <f>IF(ISERROR(VLOOKUP(C162,'Base de Datos'!$D$7:$N$4092,6,0))=TRUE,"Sin Celebrar",(VLOOKUP(C162,'Base de Datos'!$D$7:$N$4092,6,0)))</f>
        <v>108906000</v>
      </c>
      <c r="K162" s="585"/>
      <c r="L162" s="509" t="str">
        <f>IF(J162=$W$7,F162, " ")</f>
        <v xml:space="preserve"> </v>
      </c>
      <c r="M162" s="509">
        <f>IF(J162&lt;F162,(F162-J162)," ")</f>
        <v>21094000</v>
      </c>
      <c r="N162" s="691" t="str">
        <f>IF(ISERROR(VLOOKUP(C162,'Base de Datos'!$D$7:$K$1048576,7,0))=TRUE," ",(VLOOKUP(C162,'Base de Datos'!$D$7:$K$1048576,7,0)))</f>
        <v>SDH-SAMC-01-2016</v>
      </c>
      <c r="O162" s="524">
        <f>IF(ISERROR(VLOOKUP(C162,'Base de Datos'!$D$7:$N$4077,9,0))=TRUE," ",(VLOOKUP(C162,'Base de Datos'!$D$7:$N$4077,9,0)))</f>
        <v>42523</v>
      </c>
      <c r="P162" s="586" t="e">
        <f>VLOOKUP(B162,#REF!,13,0)</f>
        <v>#REF!</v>
      </c>
      <c r="Q162" s="524">
        <f>IF(ISERROR(VLOOKUP(C162,'Base de Datos'!$D$7:$N$4077,10,0))=TRUE," ",(VLOOKUP(C162,'Base de Datos'!$D$7:$N$4077,10,0)))</f>
        <v>42531</v>
      </c>
      <c r="R162" s="524">
        <f>IF(ISERROR(VLOOKUP(C162,'Base de Datos'!$D$7:$N$4077,11,0))=TRUE," ",(VLOOKUP(C162,'Base de Datos'!$D$7:$N$4077,11,0)))</f>
        <v>42835</v>
      </c>
      <c r="S162" s="587"/>
      <c r="T162" s="694"/>
      <c r="U162" s="751"/>
    </row>
    <row r="163" spans="2:21" s="588" customFormat="1" ht="22.8" outlineLevel="1" x14ac:dyDescent="0.3">
      <c r="B163" s="600">
        <v>147</v>
      </c>
      <c r="C163" s="600" t="str">
        <f>$W$6&amp;B163</f>
        <v>2016147</v>
      </c>
      <c r="D163" s="506" t="str">
        <f>IF(ISERROR(VLOOKUP(C163,'Base de Datos'!$D$7:$F$4092,2,0))=TRUE,"",(VLOOKUP(C163,'Base de Datos'!$D$7:$F$4092,2,0)))</f>
        <v>160156-0-2016</v>
      </c>
      <c r="E163" s="680" t="s">
        <v>2330</v>
      </c>
      <c r="F163" s="553">
        <v>29870000</v>
      </c>
      <c r="G163" s="784">
        <v>42095</v>
      </c>
      <c r="H163" s="784"/>
      <c r="I163" s="805" t="str">
        <f ca="1">IF(H163=Hoja1!$J$2," ",(IF(MONTH(G163)=MONTH(TODAY()),IF(DAY(G163)&gt;DAY(TODAY()),"Quedan "&amp;ABS(DAY(G163)-DAY(TODAY()))&amp;" Días","Hace "&amp;ABS(DAY(G163)-DAY(TODAY()))&amp;" Días"),"")))</f>
        <v/>
      </c>
      <c r="J163" s="509">
        <f>IF(ISERROR(VLOOKUP(C163,'Base de Datos'!$D$7:$N$4092,6,0))=TRUE,"Sin Celebrar",(VLOOKUP(C163,'Base de Datos'!$D$7:$N$4092,6,0)))</f>
        <v>53583000</v>
      </c>
      <c r="K163" s="585"/>
      <c r="L163" s="509" t="str">
        <f>IF(J163=$W$7,F163, " ")</f>
        <v xml:space="preserve"> </v>
      </c>
      <c r="M163" s="509" t="str">
        <f>IF(J163&lt;F163,(F163-J163)," ")</f>
        <v xml:space="preserve"> </v>
      </c>
      <c r="N163" s="691" t="str">
        <f>IF(ISERROR(VLOOKUP(C163,'Base de Datos'!$D$7:$K$1048576,7,0))=TRUE," ",(VLOOKUP(C163,'Base de Datos'!$D$7:$K$1048576,7,0)))</f>
        <v>SDH-SMINC-17-2016</v>
      </c>
      <c r="O163" s="524">
        <f>IF(ISERROR(VLOOKUP(C163,'Base de Datos'!$D$7:$N$4077,9,0))=TRUE," ",(VLOOKUP(C163,'Base de Datos'!$D$7:$N$4077,9,0)))</f>
        <v>42556</v>
      </c>
      <c r="P163" s="586" t="e">
        <f>VLOOKUP(B163,#REF!,13,0)</f>
        <v>#REF!</v>
      </c>
      <c r="Q163" s="524">
        <f>IF(ISERROR(VLOOKUP(C163,'Base de Datos'!$D$7:$N$4077,10,0))=TRUE," ",(VLOOKUP(C163,'Base de Datos'!$D$7:$N$4077,10,0)))</f>
        <v>42579</v>
      </c>
      <c r="R163" s="524">
        <f>IF(ISERROR(VLOOKUP(C163,'Base de Datos'!$D$7:$N$4077,11,0))=TRUE," ",(VLOOKUP(C163,'Base de Datos'!$D$7:$N$4077,11,0)))</f>
        <v>42794</v>
      </c>
      <c r="S163" s="587" t="s">
        <v>2350</v>
      </c>
      <c r="T163" s="694"/>
      <c r="U163" s="751"/>
    </row>
    <row r="164" spans="2:21" s="588" customFormat="1" outlineLevel="1" x14ac:dyDescent="0.3">
      <c r="B164" s="587"/>
      <c r="C164" s="587"/>
      <c r="D164" s="587"/>
      <c r="E164" s="587" t="s">
        <v>1934</v>
      </c>
      <c r="F164" s="553"/>
      <c r="G164" s="784"/>
      <c r="H164" s="784"/>
      <c r="I164" s="507"/>
      <c r="J164" s="553"/>
      <c r="K164" s="585"/>
      <c r="L164" s="681"/>
      <c r="M164" s="681" t="str">
        <f>IF(J164&lt;F164,(F164-J164)," ")</f>
        <v xml:space="preserve"> </v>
      </c>
      <c r="N164" s="781"/>
      <c r="O164" s="586" t="str">
        <f>IF(ISERROR(VLOOKUP(B164,'Base de Datos'!$C$7:$N$315,9,0))=TRUE," ",(VLOOKUP(B164,'Base de Datos'!$C$7:$N$315,9,0)))</f>
        <v xml:space="preserve"> </v>
      </c>
      <c r="P164" s="587"/>
      <c r="Q164" s="683" t="str">
        <f>IF(ISERROR(VLOOKUP(B164,'Base de Datos'!$C$7:$N$315,10,0))=TRUE," ",(VLOOKUP(B164,'Base de Datos'!$C$7:$N$315,10,0)))</f>
        <v xml:space="preserve"> </v>
      </c>
      <c r="R164" s="683" t="str">
        <f>IF(ISERROR(VLOOKUP(B164,'Base de Datos'!$C$7:$N$315,11,0))=TRUE," ",(VLOOKUP(B164,'Base de Datos'!$C$7:$N$315,11,0)))</f>
        <v xml:space="preserve"> </v>
      </c>
      <c r="S164" s="587"/>
      <c r="T164" s="694"/>
      <c r="U164" s="751"/>
    </row>
    <row r="165" spans="2:21" s="588" customFormat="1" outlineLevel="1" x14ac:dyDescent="0.3">
      <c r="B165" s="587"/>
      <c r="C165" s="587"/>
      <c r="D165" s="587"/>
      <c r="E165" s="587"/>
      <c r="F165" s="553"/>
      <c r="G165" s="784"/>
      <c r="H165" s="784"/>
      <c r="I165" s="507"/>
      <c r="J165" s="553"/>
      <c r="K165" s="585"/>
      <c r="L165" s="553"/>
      <c r="M165" s="553"/>
      <c r="N165" s="663"/>
      <c r="O165" s="586"/>
      <c r="P165" s="587"/>
      <c r="Q165" s="586"/>
      <c r="R165" s="586"/>
      <c r="S165" s="587"/>
      <c r="T165" s="694"/>
      <c r="U165" s="751"/>
    </row>
    <row r="166" spans="2:21" ht="12" x14ac:dyDescent="0.3">
      <c r="B166" s="1275" t="s">
        <v>1668</v>
      </c>
      <c r="C166" s="1275"/>
      <c r="D166" s="1275"/>
      <c r="E166" s="1275"/>
      <c r="F166" s="764"/>
      <c r="G166" s="763">
        <f>COUNT(G168:G171)</f>
        <v>4</v>
      </c>
      <c r="H166" s="763">
        <f>COUNTIF(H168:H171,Hoja1!$J$2)</f>
        <v>0</v>
      </c>
      <c r="I166" s="765"/>
      <c r="J166" s="764">
        <f>SUM(J168:J172)</f>
        <v>31415000</v>
      </c>
      <c r="K166" s="766" t="e">
        <f>J166/F166</f>
        <v>#DIV/0!</v>
      </c>
      <c r="L166" s="764">
        <f>SUM(L168:L172)</f>
        <v>53964000</v>
      </c>
      <c r="M166" s="764">
        <f>+F166-J166-L166</f>
        <v>-85379000</v>
      </c>
      <c r="N166" s="768"/>
      <c r="O166" s="769" t="str">
        <f>IF(ISERROR(VLOOKUP(B166,'Base de Datos'!$C$7:$N$315,8,0))=TRUE," ",(VLOOKUP(B166,'Base de Datos'!$C$7:$N$315,8,0)))</f>
        <v xml:space="preserve"> </v>
      </c>
      <c r="P166" s="770"/>
      <c r="Q166" s="769" t="str">
        <f>IF(ISERROR(VLOOKUP(B166,'Base de Datos'!$C$7:$N$315,9,0))=TRUE," ",(VLOOKUP(B166,'Base de Datos'!$C$7:$N$315,9,0)))</f>
        <v xml:space="preserve"> </v>
      </c>
      <c r="R166" s="769" t="str">
        <f>IF(ISERROR(VLOOKUP(B166,'Base de Datos'!$C$7:$N$315,10,0))=TRUE," ",(VLOOKUP(B166,'Base de Datos'!$C$7:$N$315,10,0)))</f>
        <v xml:space="preserve"> </v>
      </c>
      <c r="S166" s="762"/>
      <c r="T166" s="694"/>
      <c r="U166" s="607"/>
    </row>
    <row r="167" spans="2:21" s="588" customFormat="1" ht="22.8" outlineLevel="1" x14ac:dyDescent="0.3">
      <c r="B167" s="600" t="s">
        <v>2341</v>
      </c>
      <c r="C167" s="600"/>
      <c r="D167" s="600" t="s">
        <v>912</v>
      </c>
      <c r="E167" s="600" t="s">
        <v>1821</v>
      </c>
      <c r="F167" s="748" t="s">
        <v>1845</v>
      </c>
      <c r="G167" s="784" t="s">
        <v>2343</v>
      </c>
      <c r="H167" s="784" t="s">
        <v>2347</v>
      </c>
      <c r="I167" s="507" t="s">
        <v>2348</v>
      </c>
      <c r="J167" s="600" t="s">
        <v>1844</v>
      </c>
      <c r="K167" s="585"/>
      <c r="L167" s="600" t="s">
        <v>1938</v>
      </c>
      <c r="M167" s="600" t="s">
        <v>1939</v>
      </c>
      <c r="N167" s="749" t="s">
        <v>1121</v>
      </c>
      <c r="O167" s="750" t="s">
        <v>1846</v>
      </c>
      <c r="P167" s="600" t="s">
        <v>1847</v>
      </c>
      <c r="Q167" s="600" t="s">
        <v>1848</v>
      </c>
      <c r="R167" s="600" t="s">
        <v>375</v>
      </c>
      <c r="S167" s="600" t="s">
        <v>1849</v>
      </c>
      <c r="T167" s="694"/>
      <c r="U167" s="751"/>
    </row>
    <row r="168" spans="2:21" s="588" customFormat="1" ht="22.8" outlineLevel="1" x14ac:dyDescent="0.3">
      <c r="B168" s="600">
        <v>229</v>
      </c>
      <c r="C168" s="600" t="str">
        <f>$W$6&amp;B168</f>
        <v>2016229</v>
      </c>
      <c r="D168" s="506" t="str">
        <f>IF(ISERROR(VLOOKUP(C168,'Base de Datos'!$D$7:$F$4092,2,0))=TRUE,"",(VLOOKUP(C168,'Base de Datos'!$D$7:$F$4092,2,0)))</f>
        <v>160195-0-2016</v>
      </c>
      <c r="E168" s="680" t="s">
        <v>1303</v>
      </c>
      <c r="F168" s="553">
        <v>20806000</v>
      </c>
      <c r="G168" s="784">
        <v>42444</v>
      </c>
      <c r="H168" s="784"/>
      <c r="I168" s="805" t="str">
        <f ca="1">IF(H168=Hoja1!$J$2," ",(IF(MONTH(G168)=MONTH(TODAY()),IF(DAY(G168)&gt;DAY(TODAY()),"Quedan "&amp;ABS(DAY(G168)-DAY(TODAY()))&amp;" Días","Hace "&amp;ABS(DAY(G168)-DAY(TODAY()))&amp;" Días"),"")))</f>
        <v/>
      </c>
      <c r="J168" s="509">
        <f>IF(ISERROR(VLOOKUP(C168,'Base de Datos'!$D$7:$N$4092,6,0))=TRUE,"Sin Celebrar",(VLOOKUP(C168,'Base de Datos'!$D$7:$N$4092,6,0)))</f>
        <v>20806000</v>
      </c>
      <c r="K168" s="585"/>
      <c r="L168" s="509" t="str">
        <f>IF(J168=$W$7,F168, " ")</f>
        <v xml:space="preserve"> </v>
      </c>
      <c r="M168" s="509" t="str">
        <f>IF(J168&lt;F168,(F168-J168)," ")</f>
        <v xml:space="preserve"> </v>
      </c>
      <c r="N168" s="691" t="str">
        <f>IF(ISERROR(VLOOKUP(C168,'Base de Datos'!$D$7:$K$1048576,7,0))=TRUE," ",(VLOOKUP(C168,'Base de Datos'!$D$7:$K$1048576,7,0)))</f>
        <v>SDH-SMINC-24-2016</v>
      </c>
      <c r="O168" s="524">
        <f>IF(ISERROR(VLOOKUP(C168,'Base de Datos'!$D$7:$N$4077,9,0))=TRUE," ",(VLOOKUP(C168,'Base de Datos'!$D$7:$N$4077,9,0)))</f>
        <v>42585</v>
      </c>
      <c r="P168" s="586" t="e">
        <f>VLOOKUP(B168,#REF!,13,0)</f>
        <v>#REF!</v>
      </c>
      <c r="Q168" s="524">
        <f>IF(ISERROR(VLOOKUP(C168,'Base de Datos'!$D$7:$N$4077,10,0))=TRUE," ",(VLOOKUP(C168,'Base de Datos'!$D$7:$N$4077,10,0)))</f>
        <v>42598</v>
      </c>
      <c r="R168" s="524">
        <f>IF(ISERROR(VLOOKUP(C168,'Base de Datos'!$D$7:$N$4077,11,0))=TRUE," ",(VLOOKUP(C168,'Base de Datos'!$D$7:$N$4077,11,0)))</f>
        <v>42720</v>
      </c>
      <c r="S168" s="587" t="s">
        <v>2350</v>
      </c>
      <c r="T168" s="694"/>
      <c r="U168" s="751"/>
    </row>
    <row r="169" spans="2:21" s="588" customFormat="1" ht="22.8" outlineLevel="1" x14ac:dyDescent="0.3">
      <c r="B169" s="600">
        <v>224</v>
      </c>
      <c r="C169" s="600" t="str">
        <f>$W$6&amp;B169</f>
        <v>2016224</v>
      </c>
      <c r="D169" s="506" t="str">
        <f>IF(ISERROR(VLOOKUP(C169,'Base de Datos'!$D$7:$F$4092,2,0))=TRUE,"",(VLOOKUP(C169,'Base de Datos'!$D$7:$F$4092,2,0)))</f>
        <v>160185-0-2016</v>
      </c>
      <c r="E169" s="680" t="s">
        <v>2331</v>
      </c>
      <c r="F169" s="553">
        <v>4429000</v>
      </c>
      <c r="G169" s="784">
        <v>42096</v>
      </c>
      <c r="H169" s="784"/>
      <c r="I169" s="805" t="str">
        <f ca="1">IF(H169=Hoja1!$J$2," ",(IF(MONTH(G169)=MONTH(TODAY()),IF(DAY(G169)&gt;DAY(TODAY()),"Quedan "&amp;ABS(DAY(G169)-DAY(TODAY()))&amp;" Días","Hace "&amp;ABS(DAY(G169)-DAY(TODAY()))&amp;" Días"),"")))</f>
        <v/>
      </c>
      <c r="J169" s="509">
        <f>IF(ISERROR(VLOOKUP(C169,'Base de Datos'!$D$7:$N$4092,6,0))=TRUE,"Sin Celebrar",(VLOOKUP(C169,'Base de Datos'!$D$7:$N$4092,6,0)))</f>
        <v>4429000</v>
      </c>
      <c r="K169" s="585"/>
      <c r="L169" s="509" t="str">
        <f>IF(J169=$W$7,F169, " ")</f>
        <v xml:space="preserve"> </v>
      </c>
      <c r="M169" s="509" t="str">
        <f>IF(J169&lt;F169,(F169-J169)," ")</f>
        <v xml:space="preserve"> </v>
      </c>
      <c r="N169" s="691" t="str">
        <f>IF(ISERROR(VLOOKUP(C169,'Base de Datos'!$D$7:$K$1048576,7,0))=TRUE," ",(VLOOKUP(C169,'Base de Datos'!$D$7:$K$1048576,7,0)))</f>
        <v>SDH-SMINC-28-2016</v>
      </c>
      <c r="O169" s="524">
        <f>IF(ISERROR(VLOOKUP(C169,'Base de Datos'!$D$7:$N$4077,9,0))=TRUE," ",(VLOOKUP(C169,'Base de Datos'!$D$7:$N$4077,9,0)))</f>
        <v>42578</v>
      </c>
      <c r="P169" s="586" t="e">
        <f>VLOOKUP(B169,#REF!,13,0)</f>
        <v>#REF!</v>
      </c>
      <c r="Q169" s="524">
        <f>IF(ISERROR(VLOOKUP(C169,'Base de Datos'!$D$7:$N$4077,10,0))=TRUE," ",(VLOOKUP(C169,'Base de Datos'!$D$7:$N$4077,10,0)))</f>
        <v>42608</v>
      </c>
      <c r="R169" s="524">
        <f>IF(ISERROR(VLOOKUP(C169,'Base de Datos'!$D$7:$N$4077,11,0))=TRUE," ",(VLOOKUP(C169,'Base de Datos'!$D$7:$N$4077,11,0)))</f>
        <v>42700</v>
      </c>
      <c r="S169" s="587" t="s">
        <v>2349</v>
      </c>
      <c r="T169" s="694"/>
      <c r="U169" s="751"/>
    </row>
    <row r="170" spans="2:21" s="588" customFormat="1" ht="22.8" outlineLevel="1" x14ac:dyDescent="0.3">
      <c r="B170" s="679">
        <v>230</v>
      </c>
      <c r="C170" s="600" t="str">
        <f>$W$6&amp;B170</f>
        <v>2016230</v>
      </c>
      <c r="D170" s="506" t="str">
        <f>IF(ISERROR(VLOOKUP(C170,'Base de Datos'!$D$7:$F$4092,2,0))=TRUE,"",(VLOOKUP(C170,'Base de Datos'!$D$7:$F$4092,2,0)))</f>
        <v>160176-0-2016</v>
      </c>
      <c r="E170" s="680" t="s">
        <v>2332</v>
      </c>
      <c r="F170" s="681">
        <v>6180000</v>
      </c>
      <c r="G170" s="787">
        <v>42494</v>
      </c>
      <c r="H170" s="784"/>
      <c r="I170" s="805" t="str">
        <f ca="1">IF(H170=Hoja1!$J$2," ",(IF(MONTH(G170)=MONTH(TODAY()),IF(DAY(G170)&gt;DAY(TODAY()),"Quedan "&amp;ABS(DAY(G170)-DAY(TODAY()))&amp;" Días","Hace "&amp;ABS(DAY(G170)-DAY(TODAY()))&amp;" Días"),"")))</f>
        <v/>
      </c>
      <c r="J170" s="509">
        <f>IF(ISERROR(VLOOKUP(C170,'Base de Datos'!$D$7:$N$4092,6,0))=TRUE,"Sin Celebrar",(VLOOKUP(C170,'Base de Datos'!$D$7:$N$4092,6,0)))</f>
        <v>6180000</v>
      </c>
      <c r="K170" s="682"/>
      <c r="L170" s="509" t="str">
        <f>IF(J170=$W$7,F170, " ")</f>
        <v xml:space="preserve"> </v>
      </c>
      <c r="M170" s="509" t="str">
        <f>IF(J170&lt;F170,(F170-J170)," ")</f>
        <v xml:space="preserve"> </v>
      </c>
      <c r="N170" s="691" t="str">
        <f>IF(ISERROR(VLOOKUP(C170,'Base de Datos'!$D$7:$K$1048576,7,0))=TRUE," ",(VLOOKUP(C170,'Base de Datos'!$D$7:$K$1048576,7,0)))</f>
        <v>SDH-SMINC-23-2016</v>
      </c>
      <c r="O170" s="524">
        <f>IF(ISERROR(VLOOKUP(C170,'Base de Datos'!$D$7:$N$4077,9,0))=TRUE," ",(VLOOKUP(C170,'Base de Datos'!$D$7:$N$4077,9,0)))</f>
        <v>42570</v>
      </c>
      <c r="P170" s="586" t="e">
        <f>VLOOKUP(B170,#REF!,13,0)</f>
        <v>#REF!</v>
      </c>
      <c r="Q170" s="524">
        <f>IF(ISERROR(VLOOKUP(C170,'Base de Datos'!$D$7:$N$4077,10,0))=TRUE," ",(VLOOKUP(C170,'Base de Datos'!$D$7:$N$4077,10,0)))</f>
        <v>42590</v>
      </c>
      <c r="R170" s="524">
        <f>IF(ISERROR(VLOOKUP(C170,'Base de Datos'!$D$7:$N$4077,11,0))=TRUE," ",(VLOOKUP(C170,'Base de Datos'!$D$7:$N$4077,11,0)))</f>
        <v>42682</v>
      </c>
      <c r="S170" s="587" t="s">
        <v>2349</v>
      </c>
      <c r="T170" s="694"/>
      <c r="U170" s="751"/>
    </row>
    <row r="171" spans="2:21" s="588" customFormat="1" ht="22.8" outlineLevel="1" x14ac:dyDescent="0.3">
      <c r="B171" s="679">
        <v>231</v>
      </c>
      <c r="C171" s="600" t="str">
        <f>$W$6&amp;B171</f>
        <v>2016231</v>
      </c>
      <c r="D171" s="506" t="str">
        <f>IF(ISERROR(VLOOKUP(C171,'Base de Datos'!$D$7:$F$4092,2,0))=TRUE,"",(VLOOKUP(C171,'Base de Datos'!$D$7:$F$4092,2,0)))</f>
        <v/>
      </c>
      <c r="E171" s="680" t="s">
        <v>2333</v>
      </c>
      <c r="F171" s="681">
        <v>53964000</v>
      </c>
      <c r="G171" s="787">
        <v>42384</v>
      </c>
      <c r="H171" s="784"/>
      <c r="I171" s="805" t="str">
        <f ca="1">IF(H171=Hoja1!$J$2," ",(IF(MONTH(G171)=MONTH(TODAY()),IF(DAY(G171)&gt;DAY(TODAY()),"Quedan "&amp;ABS(DAY(G171)-DAY(TODAY()))&amp;" Días","Hace "&amp;ABS(DAY(G171)-DAY(TODAY()))&amp;" Días"),"")))</f>
        <v/>
      </c>
      <c r="J171" s="509" t="str">
        <f>IF(ISERROR(VLOOKUP(C171,'Base de Datos'!$D$7:$N$4092,6,0))=TRUE,"Sin Celebrar",(VLOOKUP(C171,'Base de Datos'!$D$7:$N$4092,6,0)))</f>
        <v>Sin Celebrar</v>
      </c>
      <c r="K171" s="682"/>
      <c r="L171" s="509">
        <f>IF(J171=$W$7,F171, " ")</f>
        <v>53964000</v>
      </c>
      <c r="M171" s="509" t="str">
        <f>IF(J171&lt;F171,(F171-J171)," ")</f>
        <v xml:space="preserve"> </v>
      </c>
      <c r="N171" s="691" t="str">
        <f>IF(ISERROR(VLOOKUP(C171,'Base de Datos'!$D$7:$K$1048576,7,0))=TRUE," ",(VLOOKUP(C171,'Base de Datos'!$D$7:$K$1048576,7,0)))</f>
        <v xml:space="preserve"> </v>
      </c>
      <c r="O171" s="524" t="str">
        <f>IF(ISERROR(VLOOKUP(C171,'Base de Datos'!$D$7:$N$4077,9,0))=TRUE," ",(VLOOKUP(C171,'Base de Datos'!$D$7:$N$4077,9,0)))</f>
        <v xml:space="preserve"> </v>
      </c>
      <c r="P171" s="586" t="e">
        <f>VLOOKUP(B171,#REF!,13,0)</f>
        <v>#REF!</v>
      </c>
      <c r="Q171" s="524" t="str">
        <f>IF(ISERROR(VLOOKUP(C171,'Base de Datos'!$D$7:$N$4077,10,0))=TRUE," ",(VLOOKUP(C171,'Base de Datos'!$D$7:$N$4077,10,0)))</f>
        <v xml:space="preserve"> </v>
      </c>
      <c r="R171" s="524" t="str">
        <f>IF(ISERROR(VLOOKUP(C171,'Base de Datos'!$D$7:$N$4077,11,0))=TRUE," ",(VLOOKUP(C171,'Base de Datos'!$D$7:$N$4077,11,0)))</f>
        <v xml:space="preserve"> </v>
      </c>
      <c r="S171" s="587" t="s">
        <v>2349</v>
      </c>
      <c r="T171" s="694"/>
      <c r="U171" s="751"/>
    </row>
    <row r="172" spans="2:21" s="588" customFormat="1" ht="12" outlineLevel="1" x14ac:dyDescent="0.3">
      <c r="B172" s="783"/>
      <c r="C172" s="783"/>
      <c r="D172" s="783"/>
      <c r="E172" s="587" t="s">
        <v>1934</v>
      </c>
      <c r="F172" s="553"/>
      <c r="G172" s="784"/>
      <c r="H172" s="784"/>
      <c r="I172" s="507"/>
      <c r="J172" s="681"/>
      <c r="K172" s="585"/>
      <c r="L172" s="681"/>
      <c r="M172" s="681" t="str">
        <f>IF(J172&lt;F172,(F172-J172)," ")</f>
        <v xml:space="preserve"> </v>
      </c>
      <c r="N172" s="752" t="str">
        <f>IF(ISERROR(VLOOKUP(B172,'Base de Datos'!$C$7:$K$1048576,7,0))=TRUE," ",(VLOOKUP(B172,'Base de Datos'!$C$7:$K$1048576,7,0)))</f>
        <v xml:space="preserve"> </v>
      </c>
      <c r="O172" s="586" t="str">
        <f>IF(ISERROR(VLOOKUP(B172,'Base de Datos'!$C$7:$N$315,9,0))=TRUE," ",(VLOOKUP(B172,'Base de Datos'!$C$7:$N$315,9,0)))</f>
        <v xml:space="preserve"> </v>
      </c>
      <c r="P172" s="587"/>
      <c r="Q172" s="683" t="str">
        <f>IF(ISERROR(VLOOKUP(B172,'Base de Datos'!$C$7:$N$315,10,0))=TRUE," ",(VLOOKUP(B172,'Base de Datos'!$C$7:$N$315,10,0)))</f>
        <v xml:space="preserve"> </v>
      </c>
      <c r="R172" s="683" t="str">
        <f>IF(ISERROR(VLOOKUP(B172,'Base de Datos'!$C$7:$N$315,11,0))=TRUE," ",(VLOOKUP(B172,'Base de Datos'!$C$7:$N$315,11,0)))</f>
        <v xml:space="preserve"> </v>
      </c>
      <c r="S172" s="587"/>
      <c r="T172" s="694"/>
      <c r="U172" s="751"/>
    </row>
    <row r="173" spans="2:21" s="588" customFormat="1" ht="12" outlineLevel="1" x14ac:dyDescent="0.3">
      <c r="B173" s="783"/>
      <c r="C173" s="783"/>
      <c r="D173" s="783"/>
      <c r="E173" s="783"/>
      <c r="F173" s="553"/>
      <c r="G173" s="784"/>
      <c r="H173" s="784"/>
      <c r="I173" s="507"/>
      <c r="J173" s="553"/>
      <c r="K173" s="585"/>
      <c r="L173" s="553"/>
      <c r="M173" s="553"/>
      <c r="N173" s="663"/>
      <c r="O173" s="586"/>
      <c r="P173" s="587"/>
      <c r="Q173" s="586"/>
      <c r="R173" s="586"/>
      <c r="S173" s="587"/>
      <c r="T173" s="694"/>
      <c r="U173" s="751"/>
    </row>
    <row r="174" spans="2:21" ht="12" x14ac:dyDescent="0.3">
      <c r="B174" s="1275" t="s">
        <v>1669</v>
      </c>
      <c r="C174" s="1275"/>
      <c r="D174" s="1275"/>
      <c r="E174" s="1275"/>
      <c r="F174" s="772"/>
      <c r="G174" s="800">
        <f>+G175</f>
        <v>0</v>
      </c>
      <c r="H174" s="800">
        <f>+H175</f>
        <v>0</v>
      </c>
      <c r="I174" s="765"/>
      <c r="J174" s="764">
        <f>+J175</f>
        <v>0</v>
      </c>
      <c r="K174" s="766" t="e">
        <f>J174/F174</f>
        <v>#DIV/0!</v>
      </c>
      <c r="L174" s="764"/>
      <c r="M174" s="764">
        <f>SUM(M175)</f>
        <v>0</v>
      </c>
      <c r="N174" s="768"/>
      <c r="O174" s="769" t="str">
        <f>IF(ISERROR(VLOOKUP(B174,'Base de Datos'!$C$7:$N$315,8,0))=TRUE," ",(VLOOKUP(B174,'Base de Datos'!$C$7:$N$315,8,0)))</f>
        <v xml:space="preserve"> </v>
      </c>
      <c r="P174" s="770"/>
      <c r="Q174" s="769" t="str">
        <f>IF(ISERROR(VLOOKUP(B174,'Base de Datos'!$C$7:$N$315,9,0))=TRUE," ",(VLOOKUP(B174,'Base de Datos'!$C$7:$N$315,9,0)))</f>
        <v xml:space="preserve"> </v>
      </c>
      <c r="R174" s="769" t="str">
        <f>IF(ISERROR(VLOOKUP(B174,'Base de Datos'!$C$7:$N$315,10,0))=TRUE," ",(VLOOKUP(B174,'Base de Datos'!$C$7:$N$315,10,0)))</f>
        <v xml:space="preserve"> </v>
      </c>
      <c r="S174" s="762"/>
      <c r="T174" s="694"/>
      <c r="U174" s="607"/>
    </row>
    <row r="175" spans="2:21" x14ac:dyDescent="0.3">
      <c r="B175" s="1271" t="s">
        <v>1838</v>
      </c>
      <c r="C175" s="1271"/>
      <c r="D175" s="1271"/>
      <c r="E175" s="1271"/>
      <c r="F175" s="757"/>
      <c r="G175" s="763">
        <f>COUNT(G177)</f>
        <v>0</v>
      </c>
      <c r="H175" s="763">
        <f>COUNTIF(H177:H178,Hoja1!$J$2)</f>
        <v>0</v>
      </c>
      <c r="I175" s="758"/>
      <c r="J175" s="757">
        <f>+J177</f>
        <v>0</v>
      </c>
      <c r="K175" s="759" t="e">
        <f>J175/F175</f>
        <v>#DIV/0!</v>
      </c>
      <c r="L175" s="757"/>
      <c r="M175" s="757"/>
      <c r="N175" s="760"/>
      <c r="O175" s="761" t="str">
        <f>IF(ISERROR(VLOOKUP(B175,'Base de Datos'!$C$7:$N$315,8,0))=TRUE," ",(VLOOKUP(B175,'Base de Datos'!$C$7:$N$315,8,0)))</f>
        <v xml:space="preserve"> </v>
      </c>
      <c r="P175" s="762"/>
      <c r="Q175" s="761" t="str">
        <f>IF(ISERROR(VLOOKUP(B175,'Base de Datos'!$C$7:$N$315,9,0))=TRUE," ",(VLOOKUP(B175,'Base de Datos'!$C$7:$N$315,9,0)))</f>
        <v xml:space="preserve"> </v>
      </c>
      <c r="R175" s="761" t="str">
        <f>IF(ISERROR(VLOOKUP(B175,'Base de Datos'!$C$7:$N$315,10,0))=TRUE," ",(VLOOKUP(B175,'Base de Datos'!$C$7:$N$315,10,0)))</f>
        <v xml:space="preserve"> </v>
      </c>
      <c r="S175" s="762"/>
      <c r="T175" s="694"/>
      <c r="U175" s="607"/>
    </row>
    <row r="176" spans="2:21" s="588" customFormat="1" ht="22.8" outlineLevel="1" x14ac:dyDescent="0.3">
      <c r="B176" s="600" t="s">
        <v>2341</v>
      </c>
      <c r="C176" s="600"/>
      <c r="D176" s="600" t="s">
        <v>912</v>
      </c>
      <c r="E176" s="600" t="s">
        <v>1821</v>
      </c>
      <c r="F176" s="748" t="s">
        <v>1845</v>
      </c>
      <c r="G176" s="784" t="s">
        <v>2343</v>
      </c>
      <c r="H176" s="784" t="s">
        <v>2347</v>
      </c>
      <c r="I176" s="507" t="s">
        <v>2348</v>
      </c>
      <c r="J176" s="600" t="s">
        <v>1844</v>
      </c>
      <c r="K176" s="585"/>
      <c r="L176" s="600" t="s">
        <v>1938</v>
      </c>
      <c r="M176" s="600" t="s">
        <v>1939</v>
      </c>
      <c r="N176" s="749" t="s">
        <v>1121</v>
      </c>
      <c r="O176" s="750" t="s">
        <v>1846</v>
      </c>
      <c r="P176" s="600" t="s">
        <v>1847</v>
      </c>
      <c r="Q176" s="600" t="s">
        <v>1848</v>
      </c>
      <c r="R176" s="600" t="s">
        <v>375</v>
      </c>
      <c r="S176" s="600" t="s">
        <v>1849</v>
      </c>
      <c r="T176" s="694"/>
      <c r="U176" s="751"/>
    </row>
    <row r="177" spans="2:21" s="588" customFormat="1" outlineLevel="1" x14ac:dyDescent="0.3">
      <c r="B177" s="600"/>
      <c r="C177" s="600"/>
      <c r="D177" s="587"/>
      <c r="E177" s="587"/>
      <c r="F177" s="507"/>
      <c r="G177" s="786"/>
      <c r="H177" s="786"/>
      <c r="I177" s="805" t="str">
        <f ca="1">IF(H177=Hoja1!$J$2," ",(IF(MONTH(G177)=MONTH(TODAY()),IF(DAY(G177)&gt;DAY(TODAY()),"Quedan "&amp;ABS(DAY(G177)-DAY(TODAY()))&amp;" Días","Hace "&amp;ABS(DAY(G177)-DAY(TODAY()))&amp;" Días"),"")))</f>
        <v/>
      </c>
      <c r="J177" s="553"/>
      <c r="K177" s="585"/>
      <c r="L177" s="553"/>
      <c r="M177" s="553"/>
      <c r="N177" s="663"/>
      <c r="O177" s="586"/>
      <c r="P177" s="587"/>
      <c r="Q177" s="586"/>
      <c r="R177" s="586"/>
      <c r="S177" s="587"/>
      <c r="T177" s="694"/>
      <c r="U177" s="751"/>
    </row>
    <row r="178" spans="2:21" s="588" customFormat="1" outlineLevel="1" x14ac:dyDescent="0.3">
      <c r="B178" s="746"/>
      <c r="C178" s="747"/>
      <c r="D178" s="746"/>
      <c r="E178" s="746"/>
      <c r="F178" s="553"/>
      <c r="G178" s="784"/>
      <c r="H178" s="784"/>
      <c r="I178" s="507"/>
      <c r="J178" s="553"/>
      <c r="K178" s="585"/>
      <c r="L178" s="553"/>
      <c r="M178" s="553"/>
      <c r="N178" s="663"/>
      <c r="O178" s="586"/>
      <c r="P178" s="587"/>
      <c r="Q178" s="586"/>
      <c r="R178" s="586"/>
      <c r="S178" s="587"/>
      <c r="T178" s="694"/>
      <c r="U178" s="751"/>
    </row>
    <row r="179" spans="2:21" ht="12" x14ac:dyDescent="0.3">
      <c r="B179" s="1273" t="s">
        <v>1671</v>
      </c>
      <c r="C179" s="1273"/>
      <c r="D179" s="1273"/>
      <c r="E179" s="1273"/>
      <c r="F179" s="757"/>
      <c r="G179" s="763">
        <f>COUNT(G181:G182)</f>
        <v>2</v>
      </c>
      <c r="H179" s="763">
        <f>COUNTIF(H181:H182,Hoja1!$J$2)</f>
        <v>0</v>
      </c>
      <c r="I179" s="758"/>
      <c r="J179" s="757">
        <f>SUM(J181:J182)</f>
        <v>1148500000</v>
      </c>
      <c r="K179" s="759" t="e">
        <f>J179/F179</f>
        <v>#DIV/0!</v>
      </c>
      <c r="L179" s="757">
        <f>SUM(L181:L182)</f>
        <v>400000000</v>
      </c>
      <c r="M179" s="757">
        <f>+F179-J179-L179</f>
        <v>-1548500000</v>
      </c>
      <c r="N179" s="760"/>
      <c r="O179" s="761" t="str">
        <f>IF(ISERROR(VLOOKUP(B179,'Base de Datos'!$C$7:$N$315,8,0))=TRUE," ",(VLOOKUP(B179,'Base de Datos'!$C$7:$N$315,8,0)))</f>
        <v xml:space="preserve"> </v>
      </c>
      <c r="P179" s="762"/>
      <c r="Q179" s="761" t="str">
        <f>IF(ISERROR(VLOOKUP(B179,'Base de Datos'!$C$7:$N$315,9,0))=TRUE," ",(VLOOKUP(B179,'Base de Datos'!$C$7:$N$315,9,0)))</f>
        <v xml:space="preserve"> </v>
      </c>
      <c r="R179" s="761" t="str">
        <f>IF(ISERROR(VLOOKUP(B179,'Base de Datos'!$C$7:$N$315,10,0))=TRUE," ",(VLOOKUP(B179,'Base de Datos'!$C$7:$N$315,10,0)))</f>
        <v xml:space="preserve"> </v>
      </c>
      <c r="S179" s="762"/>
      <c r="T179" s="694"/>
      <c r="U179" s="607"/>
    </row>
    <row r="180" spans="2:21" s="588" customFormat="1" ht="22.8" outlineLevel="1" x14ac:dyDescent="0.3">
      <c r="B180" s="600" t="s">
        <v>2341</v>
      </c>
      <c r="C180" s="600"/>
      <c r="D180" s="600" t="s">
        <v>912</v>
      </c>
      <c r="E180" s="600" t="s">
        <v>1821</v>
      </c>
      <c r="F180" s="748" t="s">
        <v>1845</v>
      </c>
      <c r="G180" s="784" t="s">
        <v>2343</v>
      </c>
      <c r="H180" s="784" t="s">
        <v>2347</v>
      </c>
      <c r="I180" s="507" t="s">
        <v>2348</v>
      </c>
      <c r="J180" s="600" t="s">
        <v>1844</v>
      </c>
      <c r="K180" s="585"/>
      <c r="L180" s="600" t="s">
        <v>1938</v>
      </c>
      <c r="M180" s="600" t="s">
        <v>1939</v>
      </c>
      <c r="N180" s="749" t="s">
        <v>1121</v>
      </c>
      <c r="O180" s="750" t="s">
        <v>1846</v>
      </c>
      <c r="P180" s="600" t="s">
        <v>1847</v>
      </c>
      <c r="Q180" s="600" t="s">
        <v>1848</v>
      </c>
      <c r="R180" s="600" t="s">
        <v>375</v>
      </c>
      <c r="S180" s="600" t="s">
        <v>1849</v>
      </c>
      <c r="T180" s="694"/>
      <c r="U180" s="751"/>
    </row>
    <row r="181" spans="2:21" s="588" customFormat="1" ht="22.8" outlineLevel="1" x14ac:dyDescent="0.3">
      <c r="B181" s="600">
        <v>148</v>
      </c>
      <c r="C181" s="600" t="str">
        <f>$W$6&amp;B181</f>
        <v>2016148</v>
      </c>
      <c r="D181" s="506" t="str">
        <f>IF(ISERROR(VLOOKUP(C181,'Base de Datos'!$D$7:$F$4092,2,0))=TRUE,"",(VLOOKUP(C181,'Base de Datos'!$D$7:$F$4092,2,0)))</f>
        <v/>
      </c>
      <c r="E181" s="587" t="s">
        <v>2334</v>
      </c>
      <c r="F181" s="553">
        <v>400000000</v>
      </c>
      <c r="G181" s="784">
        <v>42489</v>
      </c>
      <c r="H181" s="784"/>
      <c r="I181" s="805" t="str">
        <f ca="1">IF(H181=Hoja1!$J$2," ",(IF(MONTH(G181)=MONTH(TODAY()),IF(DAY(G181)&gt;DAY(TODAY()),"Quedan "&amp;ABS(DAY(G181)-DAY(TODAY()))&amp;" Días","Hace "&amp;ABS(DAY(G181)-DAY(TODAY()))&amp;" Días"),"")))</f>
        <v/>
      </c>
      <c r="J181" s="509" t="str">
        <f>IF(ISERROR(VLOOKUP(C181,'Base de Datos'!$D$7:$N$4092,6,0))=TRUE,"Sin Celebrar",(VLOOKUP(C181,'Base de Datos'!$D$7:$N$4092,6,0)))</f>
        <v>Sin Celebrar</v>
      </c>
      <c r="K181" s="585"/>
      <c r="L181" s="509">
        <f>IF(J181=$W$7,F181, " ")</f>
        <v>400000000</v>
      </c>
      <c r="M181" s="509" t="str">
        <f>IF(J181&lt;F181,(F181-J181)," ")</f>
        <v xml:space="preserve"> </v>
      </c>
      <c r="N181" s="691" t="str">
        <f>IF(ISERROR(VLOOKUP(C181,'Base de Datos'!$D$7:$K$1048576,7,0))=TRUE," ",(VLOOKUP(C181,'Base de Datos'!$D$7:$K$1048576,7,0)))</f>
        <v xml:space="preserve"> </v>
      </c>
      <c r="O181" s="524" t="str">
        <f>IF(ISERROR(VLOOKUP(C181,'Base de Datos'!$D$7:$N$4077,9,0))=TRUE," ",(VLOOKUP(C181,'Base de Datos'!$D$7:$N$4077,9,0)))</f>
        <v xml:space="preserve"> </v>
      </c>
      <c r="P181" s="586" t="e">
        <f>VLOOKUP(B181,#REF!,13,0)</f>
        <v>#REF!</v>
      </c>
      <c r="Q181" s="524" t="str">
        <f>IF(ISERROR(VLOOKUP(C181,'Base de Datos'!$D$7:$N$4077,10,0))=TRUE," ",(VLOOKUP(C181,'Base de Datos'!$D$7:$N$4077,10,0)))</f>
        <v xml:space="preserve"> </v>
      </c>
      <c r="R181" s="524" t="str">
        <f>IF(ISERROR(VLOOKUP(C181,'Base de Datos'!$D$7:$N$4077,11,0))=TRUE," ",(VLOOKUP(C181,'Base de Datos'!$D$7:$N$4077,11,0)))</f>
        <v xml:space="preserve"> </v>
      </c>
      <c r="S181" s="587" t="s">
        <v>2075</v>
      </c>
      <c r="T181" s="694"/>
      <c r="U181" s="751"/>
    </row>
    <row r="182" spans="2:21" s="588" customFormat="1" ht="22.8" outlineLevel="1" x14ac:dyDescent="0.3">
      <c r="B182" s="679">
        <v>149</v>
      </c>
      <c r="C182" s="600" t="str">
        <f>$W$6&amp;B182</f>
        <v>2016149</v>
      </c>
      <c r="D182" s="506" t="str">
        <f>IF(ISERROR(VLOOKUP(C182,'Base de Datos'!$D$7:$F$4092,2,0))=TRUE,"",(VLOOKUP(C182,'Base de Datos'!$D$7:$F$4092,2,0)))</f>
        <v>160082-0-2016</v>
      </c>
      <c r="E182" s="680" t="s">
        <v>2335</v>
      </c>
      <c r="F182" s="681">
        <v>1626407000</v>
      </c>
      <c r="G182" s="787">
        <v>42371</v>
      </c>
      <c r="H182" s="784"/>
      <c r="I182" s="805" t="str">
        <f ca="1">IF(H182=Hoja1!$J$2," ",(IF(MONTH(G182)=MONTH(TODAY()),IF(DAY(G182)&gt;DAY(TODAY()),"Quedan "&amp;ABS(DAY(G182)-DAY(TODAY()))&amp;" Días","Hace "&amp;ABS(DAY(G182)-DAY(TODAY()))&amp;" Días"),"")))</f>
        <v/>
      </c>
      <c r="J182" s="509">
        <f>IF(ISERROR(VLOOKUP(C182,'Base de Datos'!$D$7:$N$4092,6,0))=TRUE,"Sin Celebrar",(VLOOKUP(C182,'Base de Datos'!$D$7:$N$4092,6,0)))</f>
        <v>1148500000</v>
      </c>
      <c r="K182" s="682"/>
      <c r="L182" s="509" t="str">
        <f>IF(J182=$W$7,F182, " ")</f>
        <v xml:space="preserve"> </v>
      </c>
      <c r="M182" s="509">
        <f>IF(J182&lt;F182,(F182-J182)," ")</f>
        <v>477907000</v>
      </c>
      <c r="N182" s="691" t="str">
        <f>IF(ISERROR(VLOOKUP(C182,'Base de Datos'!$D$7:$K$1048576,7,0))=TRUE," ",(VLOOKUP(C182,'Base de Datos'!$D$7:$K$1048576,7,0)))</f>
        <v>160082-0-2016</v>
      </c>
      <c r="O182" s="524">
        <f>IF(ISERROR(VLOOKUP(C182,'Base de Datos'!$D$7:$N$4077,9,0))=TRUE," ",(VLOOKUP(C182,'Base de Datos'!$D$7:$N$4077,9,0)))</f>
        <v>42480</v>
      </c>
      <c r="P182" s="586" t="e">
        <f>VLOOKUP(B182,#REF!,13,0)</f>
        <v>#REF!</v>
      </c>
      <c r="Q182" s="524">
        <f>IF(ISERROR(VLOOKUP(C182,'Base de Datos'!$D$7:$N$4077,10,0))=TRUE," ",(VLOOKUP(C182,'Base de Datos'!$D$7:$N$4077,10,0)))</f>
        <v>42481</v>
      </c>
      <c r="R182" s="524">
        <f>IF(ISERROR(VLOOKUP(C182,'Base de Datos'!$D$7:$N$4077,11,0))=TRUE," ",(VLOOKUP(C182,'Base de Datos'!$D$7:$N$4077,11,0)))</f>
        <v>42787</v>
      </c>
      <c r="S182" s="587" t="s">
        <v>981</v>
      </c>
      <c r="T182" s="694"/>
      <c r="U182" s="751"/>
    </row>
    <row r="183" spans="2:21" s="588" customFormat="1" ht="12" outlineLevel="1" x14ac:dyDescent="0.3">
      <c r="B183" s="600"/>
      <c r="C183" s="600"/>
      <c r="D183" s="783"/>
      <c r="E183" s="587" t="s">
        <v>1934</v>
      </c>
      <c r="F183" s="553"/>
      <c r="G183" s="784"/>
      <c r="H183" s="784"/>
      <c r="I183" s="507"/>
      <c r="J183" s="553"/>
      <c r="K183" s="585"/>
      <c r="L183" s="681"/>
      <c r="M183" s="553"/>
      <c r="N183" s="752" t="str">
        <f>IF(ISERROR(VLOOKUP(B183,'Base de Datos'!$C$7:$K$1048576,7,0))=TRUE," ",(VLOOKUP(B183,'Base de Datos'!$C$7:$K$1048576,7,0)))</f>
        <v xml:space="preserve"> </v>
      </c>
      <c r="O183" s="586"/>
      <c r="P183" s="587"/>
      <c r="Q183" s="683"/>
      <c r="R183" s="683"/>
      <c r="S183" s="587"/>
      <c r="T183" s="694"/>
      <c r="U183" s="751"/>
    </row>
    <row r="184" spans="2:21" s="588" customFormat="1" ht="12" outlineLevel="1" x14ac:dyDescent="0.3">
      <c r="B184" s="783"/>
      <c r="C184" s="783"/>
      <c r="D184" s="783"/>
      <c r="E184" s="783"/>
      <c r="F184" s="553"/>
      <c r="G184" s="784"/>
      <c r="H184" s="784"/>
      <c r="I184" s="507"/>
      <c r="J184" s="553"/>
      <c r="K184" s="585"/>
      <c r="L184" s="553"/>
      <c r="M184" s="553"/>
      <c r="N184" s="663"/>
      <c r="O184" s="586"/>
      <c r="P184" s="587"/>
      <c r="Q184" s="586"/>
      <c r="R184" s="586"/>
      <c r="S184" s="587"/>
      <c r="T184" s="694"/>
      <c r="U184" s="751"/>
    </row>
    <row r="185" spans="2:21" ht="12" x14ac:dyDescent="0.3">
      <c r="B185" s="1257" t="s">
        <v>1672</v>
      </c>
      <c r="C185" s="1257"/>
      <c r="D185" s="1257"/>
      <c r="E185" s="1257"/>
      <c r="F185" s="753"/>
      <c r="G185" s="804">
        <f>+G186</f>
        <v>0</v>
      </c>
      <c r="H185" s="804">
        <f>+H186</f>
        <v>0</v>
      </c>
      <c r="I185" s="561"/>
      <c r="J185" s="560">
        <f>+J186</f>
        <v>0</v>
      </c>
      <c r="K185" s="580" t="e">
        <f>J185/F185</f>
        <v>#DIV/0!</v>
      </c>
      <c r="L185" s="560">
        <f>+L186</f>
        <v>0</v>
      </c>
      <c r="M185" s="560">
        <f>SUM(M186)</f>
        <v>0</v>
      </c>
      <c r="N185" s="655"/>
      <c r="O185" s="562" t="str">
        <f>IF(ISERROR(VLOOKUP(B185,'Base de Datos'!$C$7:$N$315,8,0))=TRUE," ",(VLOOKUP(B185,'Base de Datos'!$C$7:$N$315,8,0)))</f>
        <v xml:space="preserve"> </v>
      </c>
      <c r="P185" s="563"/>
      <c r="Q185" s="562" t="str">
        <f>IF(ISERROR(VLOOKUP(B185,'Base de Datos'!$C$7:$N$315,9,0))=TRUE," ",(VLOOKUP(B185,'Base de Datos'!$C$7:$N$315,9,0)))</f>
        <v xml:space="preserve"> </v>
      </c>
      <c r="R185" s="562" t="str">
        <f>IF(ISERROR(VLOOKUP(B185,'Base de Datos'!$C$7:$N$315,10,0))=TRUE," ",(VLOOKUP(B185,'Base de Datos'!$C$7:$N$315,10,0)))</f>
        <v xml:space="preserve"> </v>
      </c>
      <c r="S185" s="565"/>
      <c r="T185" s="694"/>
      <c r="U185" s="607"/>
    </row>
    <row r="186" spans="2:21" x14ac:dyDescent="0.3">
      <c r="B186" s="1271" t="s">
        <v>1837</v>
      </c>
      <c r="C186" s="1271"/>
      <c r="D186" s="1271"/>
      <c r="E186" s="1271"/>
      <c r="F186" s="757"/>
      <c r="G186" s="763">
        <f>COUNT(G188)</f>
        <v>0</v>
      </c>
      <c r="H186" s="763">
        <f>COUNTIF(H188:H189,Hoja1!$J$2)</f>
        <v>0</v>
      </c>
      <c r="I186" s="758"/>
      <c r="J186" s="757">
        <f>+J188</f>
        <v>0</v>
      </c>
      <c r="K186" s="759" t="e">
        <f>J186/F186</f>
        <v>#DIV/0!</v>
      </c>
      <c r="L186" s="757">
        <f>+L188</f>
        <v>0</v>
      </c>
      <c r="M186" s="757">
        <f>SUM(M188)</f>
        <v>0</v>
      </c>
      <c r="N186" s="760"/>
      <c r="O186" s="761" t="str">
        <f>IF(ISERROR(VLOOKUP(B186,'Base de Datos'!$C$7:$N$315,8,0))=TRUE," ",(VLOOKUP(B186,'Base de Datos'!$C$7:$N$315,8,0)))</f>
        <v xml:space="preserve"> </v>
      </c>
      <c r="P186" s="762"/>
      <c r="Q186" s="761" t="str">
        <f>IF(ISERROR(VLOOKUP(B186,'Base de Datos'!$C$7:$N$315,9,0))=TRUE," ",(VLOOKUP(B186,'Base de Datos'!$C$7:$N$315,9,0)))</f>
        <v xml:space="preserve"> </v>
      </c>
      <c r="R186" s="761" t="str">
        <f>IF(ISERROR(VLOOKUP(B186,'Base de Datos'!$C$7:$N$315,10,0))=TRUE," ",(VLOOKUP(B186,'Base de Datos'!$C$7:$N$315,10,0)))</f>
        <v xml:space="preserve"> </v>
      </c>
      <c r="S186" s="762"/>
      <c r="T186" s="694"/>
      <c r="U186" s="607"/>
    </row>
    <row r="187" spans="2:21" s="588" customFormat="1" ht="22.8" outlineLevel="1" x14ac:dyDescent="0.3">
      <c r="B187" s="600" t="s">
        <v>2341</v>
      </c>
      <c r="C187" s="600"/>
      <c r="D187" s="600" t="s">
        <v>912</v>
      </c>
      <c r="E187" s="600" t="s">
        <v>1821</v>
      </c>
      <c r="F187" s="748" t="s">
        <v>1845</v>
      </c>
      <c r="G187" s="784" t="s">
        <v>2343</v>
      </c>
      <c r="H187" s="784" t="s">
        <v>2347</v>
      </c>
      <c r="I187" s="507" t="s">
        <v>2348</v>
      </c>
      <c r="J187" s="600" t="s">
        <v>1844</v>
      </c>
      <c r="K187" s="585"/>
      <c r="L187" s="600" t="s">
        <v>1938</v>
      </c>
      <c r="M187" s="600" t="s">
        <v>1939</v>
      </c>
      <c r="N187" s="749" t="s">
        <v>1121</v>
      </c>
      <c r="O187" s="750" t="s">
        <v>1846</v>
      </c>
      <c r="P187" s="600" t="s">
        <v>1847</v>
      </c>
      <c r="Q187" s="600" t="s">
        <v>1848</v>
      </c>
      <c r="R187" s="600" t="s">
        <v>375</v>
      </c>
      <c r="S187" s="600" t="s">
        <v>1849</v>
      </c>
      <c r="T187" s="694"/>
      <c r="U187" s="751"/>
    </row>
    <row r="188" spans="2:21" s="588" customFormat="1" outlineLevel="1" x14ac:dyDescent="0.3">
      <c r="B188" s="600"/>
      <c r="C188" s="600"/>
      <c r="D188" s="587"/>
      <c r="E188" s="587"/>
      <c r="F188" s="553"/>
      <c r="G188" s="784"/>
      <c r="H188" s="784"/>
      <c r="I188" s="805" t="str">
        <f ca="1">IF(H188=Hoja1!$J$2," ",(IF(MONTH(G188)=MONTH(TODAY()),IF(DAY(G188)&gt;DAY(TODAY()),"Quedan "&amp;ABS(DAY(G188)-DAY(TODAY()))&amp;" Días","Hace "&amp;ABS(DAY(G188)-DAY(TODAY()))&amp;" Días"),"")))</f>
        <v/>
      </c>
      <c r="J188" s="553"/>
      <c r="K188" s="585"/>
      <c r="L188" s="553"/>
      <c r="M188" s="587"/>
      <c r="N188" s="668"/>
      <c r="O188" s="586"/>
      <c r="P188" s="587"/>
      <c r="Q188" s="586"/>
      <c r="R188" s="586"/>
      <c r="S188" s="587"/>
      <c r="T188" s="694"/>
      <c r="U188" s="751"/>
    </row>
    <row r="189" spans="2:21" s="588" customFormat="1" outlineLevel="1" x14ac:dyDescent="0.3">
      <c r="B189" s="600"/>
      <c r="C189" s="600"/>
      <c r="D189" s="587"/>
      <c r="E189" s="587"/>
      <c r="F189" s="553"/>
      <c r="G189" s="784"/>
      <c r="H189" s="784"/>
      <c r="I189" s="553"/>
      <c r="J189" s="553"/>
      <c r="K189" s="585"/>
      <c r="L189" s="553"/>
      <c r="M189" s="587"/>
      <c r="N189" s="668"/>
      <c r="O189" s="586"/>
      <c r="P189" s="587"/>
      <c r="Q189" s="586"/>
      <c r="R189" s="586"/>
      <c r="S189" s="587"/>
      <c r="T189" s="694"/>
      <c r="U189" s="751"/>
    </row>
    <row r="190" spans="2:21" ht="12" x14ac:dyDescent="0.3">
      <c r="B190" s="1241" t="s">
        <v>1687</v>
      </c>
      <c r="C190" s="1241"/>
      <c r="D190" s="1241"/>
      <c r="E190" s="1241"/>
      <c r="F190" s="514"/>
      <c r="G190" s="801">
        <f t="shared" ref="G190:H194" si="14">+G191</f>
        <v>9</v>
      </c>
      <c r="H190" s="801">
        <f t="shared" si="14"/>
        <v>0</v>
      </c>
      <c r="I190" s="515"/>
      <c r="J190" s="514">
        <f t="shared" ref="J190:M194" si="15">+J191</f>
        <v>4598191000</v>
      </c>
      <c r="K190" s="556" t="e">
        <f t="shared" si="15"/>
        <v>#DIV/0!</v>
      </c>
      <c r="L190" s="514">
        <f t="shared" si="15"/>
        <v>610960000</v>
      </c>
      <c r="M190" s="514">
        <f t="shared" si="15"/>
        <v>-5209151000</v>
      </c>
      <c r="N190" s="647"/>
      <c r="O190" s="549"/>
      <c r="P190" s="544"/>
      <c r="Q190" s="550" t="str">
        <f>IF(ISERROR(VLOOKUP(B190,'Base de Datos'!$C$7:$N$315,9,0))=TRUE," ",(VLOOKUP(B190,'Base de Datos'!$C$7:$N$315,9,0)))</f>
        <v xml:space="preserve"> </v>
      </c>
      <c r="R190" s="550" t="str">
        <f>IF(ISERROR(VLOOKUP(B190,'Base de Datos'!$C$7:$N$315,10,0))=TRUE," ",(VLOOKUP(B190,'Base de Datos'!$C$7:$N$315,10,0)))</f>
        <v xml:space="preserve"> </v>
      </c>
      <c r="S190" s="544"/>
      <c r="T190" s="694"/>
      <c r="U190" s="607"/>
    </row>
    <row r="191" spans="2:21" ht="12" x14ac:dyDescent="0.3">
      <c r="B191" s="1240" t="s">
        <v>1686</v>
      </c>
      <c r="C191" s="1240"/>
      <c r="D191" s="1240"/>
      <c r="E191" s="1240"/>
      <c r="F191" s="512"/>
      <c r="G191" s="802">
        <f t="shared" si="14"/>
        <v>9</v>
      </c>
      <c r="H191" s="802">
        <f t="shared" si="14"/>
        <v>0</v>
      </c>
      <c r="I191" s="513"/>
      <c r="J191" s="516">
        <f t="shared" si="15"/>
        <v>4598191000</v>
      </c>
      <c r="K191" s="574" t="e">
        <f t="shared" si="15"/>
        <v>#DIV/0!</v>
      </c>
      <c r="L191" s="516">
        <f t="shared" si="15"/>
        <v>610960000</v>
      </c>
      <c r="M191" s="516">
        <f t="shared" si="15"/>
        <v>-5209151000</v>
      </c>
      <c r="N191" s="662"/>
      <c r="O191" s="548" t="str">
        <f>IF(ISERROR(VLOOKUP(B191,'Base de Datos'!$C$7:$N$315,8,0))=TRUE," ",(VLOOKUP(B191,'Base de Datos'!$C$7:$N$315,8,0)))</f>
        <v xml:space="preserve"> </v>
      </c>
      <c r="P191" s="542"/>
      <c r="Q191" s="548" t="str">
        <f>IF(ISERROR(VLOOKUP(B191,'Base de Datos'!$C$7:$N$315,9,0))=TRUE," ",(VLOOKUP(B191,'Base de Datos'!$C$7:$N$315,9,0)))</f>
        <v xml:space="preserve"> </v>
      </c>
      <c r="R191" s="548" t="str">
        <f>IF(ISERROR(VLOOKUP(B191,'Base de Datos'!$C$7:$N$315,10,0))=TRUE," ",(VLOOKUP(B191,'Base de Datos'!$C$7:$N$315,10,0)))</f>
        <v xml:space="preserve"> </v>
      </c>
      <c r="S191" s="542"/>
      <c r="T191" s="694"/>
      <c r="U191" s="607"/>
    </row>
    <row r="192" spans="2:21" ht="12" x14ac:dyDescent="0.3">
      <c r="B192" s="1240" t="s">
        <v>1675</v>
      </c>
      <c r="C192" s="1240"/>
      <c r="D192" s="1240"/>
      <c r="E192" s="1240"/>
      <c r="F192" s="516"/>
      <c r="G192" s="795">
        <f t="shared" si="14"/>
        <v>9</v>
      </c>
      <c r="H192" s="795">
        <f t="shared" si="14"/>
        <v>0</v>
      </c>
      <c r="I192" s="513"/>
      <c r="J192" s="516">
        <f t="shared" si="15"/>
        <v>4598191000</v>
      </c>
      <c r="K192" s="574" t="e">
        <f t="shared" si="15"/>
        <v>#DIV/0!</v>
      </c>
      <c r="L192" s="516">
        <f t="shared" si="15"/>
        <v>610960000</v>
      </c>
      <c r="M192" s="516">
        <f t="shared" si="15"/>
        <v>-5209151000</v>
      </c>
      <c r="N192" s="662"/>
      <c r="O192" s="548" t="str">
        <f>IF(ISERROR(VLOOKUP(B192,'Base de Datos'!$C$7:$N$315,8,0))=TRUE," ",(VLOOKUP(B192,'Base de Datos'!$C$7:$N$315,8,0)))</f>
        <v xml:space="preserve"> </v>
      </c>
      <c r="P192" s="542"/>
      <c r="Q192" s="548" t="str">
        <f>IF(ISERROR(VLOOKUP(B192,'Base de Datos'!$C$7:$N$315,9,0))=TRUE," ",(VLOOKUP(B192,'Base de Datos'!$C$7:$N$315,9,0)))</f>
        <v xml:space="preserve"> </v>
      </c>
      <c r="R192" s="548" t="str">
        <f>IF(ISERROR(VLOOKUP(B192,'Base de Datos'!$C$7:$N$315,10,0))=TRUE," ",(VLOOKUP(B192,'Base de Datos'!$C$7:$N$315,10,0)))</f>
        <v xml:space="preserve"> </v>
      </c>
      <c r="S192" s="542"/>
      <c r="T192" s="694"/>
      <c r="U192" s="607"/>
    </row>
    <row r="193" spans="2:21" x14ac:dyDescent="0.3">
      <c r="B193" s="1238" t="s">
        <v>1836</v>
      </c>
      <c r="C193" s="1238"/>
      <c r="D193" s="1238"/>
      <c r="E193" s="1238"/>
      <c r="F193" s="516"/>
      <c r="G193" s="795">
        <f t="shared" si="14"/>
        <v>9</v>
      </c>
      <c r="H193" s="795">
        <f t="shared" si="14"/>
        <v>0</v>
      </c>
      <c r="I193" s="513"/>
      <c r="J193" s="516">
        <f t="shared" si="15"/>
        <v>4598191000</v>
      </c>
      <c r="K193" s="574" t="e">
        <f t="shared" si="15"/>
        <v>#DIV/0!</v>
      </c>
      <c r="L193" s="516">
        <f t="shared" si="15"/>
        <v>610960000</v>
      </c>
      <c r="M193" s="516">
        <f t="shared" si="15"/>
        <v>-5209151000</v>
      </c>
      <c r="N193" s="662"/>
      <c r="O193" s="548" t="str">
        <f>IF(ISERROR(VLOOKUP(B193,'Base de Datos'!$C$7:$N$315,8,0))=TRUE," ",(VLOOKUP(B193,'Base de Datos'!$C$7:$N$315,8,0)))</f>
        <v xml:space="preserve"> </v>
      </c>
      <c r="P193" s="542"/>
      <c r="Q193" s="548" t="str">
        <f>IF(ISERROR(VLOOKUP(B193,'Base de Datos'!$C$7:$N$315,9,0))=TRUE," ",(VLOOKUP(B193,'Base de Datos'!$C$7:$N$315,9,0)))</f>
        <v xml:space="preserve"> </v>
      </c>
      <c r="R193" s="548" t="str">
        <f>IF(ISERROR(VLOOKUP(B193,'Base de Datos'!$C$7:$N$315,10,0))=TRUE," ",(VLOOKUP(B193,'Base de Datos'!$C$7:$N$315,10,0)))</f>
        <v xml:space="preserve"> </v>
      </c>
      <c r="S193" s="542"/>
      <c r="T193" s="694"/>
      <c r="U193" s="607"/>
    </row>
    <row r="194" spans="2:21" x14ac:dyDescent="0.3">
      <c r="B194" s="1238" t="s">
        <v>1835</v>
      </c>
      <c r="C194" s="1238"/>
      <c r="D194" s="1238"/>
      <c r="E194" s="1238"/>
      <c r="F194" s="516"/>
      <c r="G194" s="795">
        <f t="shared" si="14"/>
        <v>9</v>
      </c>
      <c r="H194" s="795">
        <f t="shared" si="14"/>
        <v>0</v>
      </c>
      <c r="I194" s="513"/>
      <c r="J194" s="516">
        <f t="shared" si="15"/>
        <v>4598191000</v>
      </c>
      <c r="K194" s="574" t="e">
        <f t="shared" si="15"/>
        <v>#DIV/0!</v>
      </c>
      <c r="L194" s="516">
        <f t="shared" si="15"/>
        <v>610960000</v>
      </c>
      <c r="M194" s="516">
        <f t="shared" si="15"/>
        <v>-5209151000</v>
      </c>
      <c r="N194" s="662"/>
      <c r="O194" s="548" t="str">
        <f>IF(ISERROR(VLOOKUP(B194,'Base de Datos'!$C$7:$N$315,8,0))=TRUE," ",(VLOOKUP(B194,'Base de Datos'!$C$7:$N$315,8,0)))</f>
        <v xml:space="preserve"> </v>
      </c>
      <c r="P194" s="542"/>
      <c r="Q194" s="548" t="str">
        <f>IF(ISERROR(VLOOKUP(B194,'Base de Datos'!$C$7:$N$315,9,0))=TRUE," ",(VLOOKUP(B194,'Base de Datos'!$C$7:$N$315,9,0)))</f>
        <v xml:space="preserve"> </v>
      </c>
      <c r="R194" s="548" t="str">
        <f>IF(ISERROR(VLOOKUP(B194,'Base de Datos'!$C$7:$N$315,10,0))=TRUE," ",(VLOOKUP(B194,'Base de Datos'!$C$7:$N$315,10,0)))</f>
        <v xml:space="preserve"> </v>
      </c>
      <c r="S194" s="542"/>
      <c r="T194" s="694"/>
      <c r="U194" s="607"/>
    </row>
    <row r="195" spans="2:21" x14ac:dyDescent="0.3">
      <c r="B195" s="1239" t="s">
        <v>1678</v>
      </c>
      <c r="C195" s="1239"/>
      <c r="D195" s="1239"/>
      <c r="E195" s="1239"/>
      <c r="F195" s="554"/>
      <c r="G195" s="756">
        <f>+G197+G200</f>
        <v>9</v>
      </c>
      <c r="H195" s="756">
        <f>+H197+H200</f>
        <v>0</v>
      </c>
      <c r="I195" s="559"/>
      <c r="J195" s="554">
        <f>+J197+J200</f>
        <v>4598191000</v>
      </c>
      <c r="K195" s="576" t="e">
        <f>J195/F195</f>
        <v>#DIV/0!</v>
      </c>
      <c r="L195" s="554">
        <f>+L197+L200</f>
        <v>610960000</v>
      </c>
      <c r="M195" s="554">
        <f>+F195-J195-L195</f>
        <v>-5209151000</v>
      </c>
      <c r="N195" s="657"/>
      <c r="O195" s="564" t="str">
        <f>IF(ISERROR(VLOOKUP(B195,'Base de Datos'!$C$7:$N$315,8,0))=TRUE," ",(VLOOKUP(B195,'Base de Datos'!$C$7:$N$315,8,0)))</f>
        <v xml:space="preserve"> </v>
      </c>
      <c r="P195" s="565"/>
      <c r="Q195" s="564" t="str">
        <f>IF(ISERROR(VLOOKUP(B195,'Base de Datos'!$C$7:$N$315,9,0))=TRUE," ",(VLOOKUP(B195,'Base de Datos'!$C$7:$N$315,9,0)))</f>
        <v xml:space="preserve"> </v>
      </c>
      <c r="R195" s="564" t="str">
        <f>IF(ISERROR(VLOOKUP(B195,'Base de Datos'!$C$7:$N$315,10,0))=TRUE," ",(VLOOKUP(B195,'Base de Datos'!$C$7:$N$315,10,0)))</f>
        <v xml:space="preserve"> </v>
      </c>
      <c r="S195" s="565"/>
      <c r="T195" s="694"/>
      <c r="U195" s="607"/>
    </row>
    <row r="196" spans="2:21" ht="22.8" outlineLevel="1" x14ac:dyDescent="0.3">
      <c r="B196" s="600" t="s">
        <v>2341</v>
      </c>
      <c r="C196" s="600"/>
      <c r="D196" s="600" t="s">
        <v>912</v>
      </c>
      <c r="E196" s="600" t="s">
        <v>1821</v>
      </c>
      <c r="F196" s="748" t="s">
        <v>1845</v>
      </c>
      <c r="G196" s="784" t="s">
        <v>2343</v>
      </c>
      <c r="H196" s="784" t="s">
        <v>2347</v>
      </c>
      <c r="I196" s="507" t="s">
        <v>2348</v>
      </c>
      <c r="J196" s="600" t="s">
        <v>1844</v>
      </c>
      <c r="K196" s="585"/>
      <c r="L196" s="600" t="s">
        <v>1938</v>
      </c>
      <c r="M196" s="600" t="s">
        <v>1939</v>
      </c>
      <c r="N196" s="749" t="s">
        <v>1121</v>
      </c>
      <c r="O196" s="750" t="s">
        <v>1846</v>
      </c>
      <c r="P196" s="600" t="s">
        <v>1847</v>
      </c>
      <c r="Q196" s="600" t="s">
        <v>1848</v>
      </c>
      <c r="R196" s="600" t="s">
        <v>375</v>
      </c>
      <c r="S196" s="600" t="s">
        <v>1849</v>
      </c>
      <c r="T196" s="694"/>
      <c r="U196" s="607"/>
    </row>
    <row r="197" spans="2:21" ht="12" outlineLevel="1" x14ac:dyDescent="0.3">
      <c r="B197" s="589"/>
      <c r="C197" s="589"/>
      <c r="D197" s="1240" t="s">
        <v>1909</v>
      </c>
      <c r="E197" s="1240"/>
      <c r="F197" s="591">
        <f>+F198</f>
        <v>0</v>
      </c>
      <c r="G197" s="795">
        <f>G198</f>
        <v>0</v>
      </c>
      <c r="H197" s="795">
        <f>H198</f>
        <v>0</v>
      </c>
      <c r="I197" s="513"/>
      <c r="J197" s="595">
        <f>+J198</f>
        <v>0</v>
      </c>
      <c r="K197" s="574" t="e">
        <f>+J197/F197</f>
        <v>#DIV/0!</v>
      </c>
      <c r="L197" s="595">
        <f>+L198</f>
        <v>0</v>
      </c>
      <c r="M197" s="595">
        <f>+M198</f>
        <v>0</v>
      </c>
      <c r="N197" s="665"/>
      <c r="O197" s="548" t="str">
        <f>IF(ISERROR(VLOOKUP(B197,'Base de Datos'!$C$7:$N$315,8,0))=TRUE," ",(VLOOKUP(B197,'Base de Datos'!$C$7:$N$315,8,0)))</f>
        <v xml:space="preserve"> </v>
      </c>
      <c r="P197" s="542"/>
      <c r="Q197" s="548" t="str">
        <f>IF(ISERROR(VLOOKUP(B197,'Base de Datos'!$C$7:$N$315,9,0))=TRUE," ",(VLOOKUP(B197,'Base de Datos'!$C$7:$N$315,9,0)))</f>
        <v xml:space="preserve"> </v>
      </c>
      <c r="R197" s="548" t="str">
        <f>IF(ISERROR(VLOOKUP(B197,'Base de Datos'!$C$7:$N$315,10,0))=TRUE," ",(VLOOKUP(B197,'Base de Datos'!$C$7:$N$315,10,0)))</f>
        <v xml:space="preserve"> </v>
      </c>
      <c r="S197" s="542"/>
      <c r="T197" s="694"/>
      <c r="U197" s="607"/>
    </row>
    <row r="198" spans="2:21" ht="24.75" customHeight="1" outlineLevel="1" x14ac:dyDescent="0.3">
      <c r="B198" s="510"/>
      <c r="C198" s="806"/>
      <c r="D198" s="1267" t="s">
        <v>1910</v>
      </c>
      <c r="E198" s="1268"/>
      <c r="F198" s="637"/>
      <c r="G198" s="793">
        <f>COUNT(G199)</f>
        <v>0</v>
      </c>
      <c r="H198" s="793">
        <f>COUNTIF(H199:H199,Hoja1!$J$2)</f>
        <v>0</v>
      </c>
      <c r="I198" s="594"/>
      <c r="J198" s="593">
        <f>SUM(J199)</f>
        <v>0</v>
      </c>
      <c r="K198" s="637"/>
      <c r="L198" s="593">
        <f>SUM(L199)</f>
        <v>0</v>
      </c>
      <c r="M198" s="593">
        <f>+F198-J198-L198</f>
        <v>0</v>
      </c>
      <c r="N198" s="669"/>
      <c r="O198" s="598" t="str">
        <f>IF(ISERROR(VLOOKUP(B198,'Base de Datos'!$C$7:$N$315,8,0))=TRUE," ",(VLOOKUP(B198,'Base de Datos'!$C$7:$N$315,8,0)))</f>
        <v xml:space="preserve"> </v>
      </c>
      <c r="P198" s="744"/>
      <c r="Q198" s="598" t="str">
        <f>IF(ISERROR(VLOOKUP(B198,'Base de Datos'!$C$7:$N$315,9,0))=TRUE," ",(VLOOKUP(B198,'Base de Datos'!$C$7:$N$315,9,0)))</f>
        <v xml:space="preserve"> </v>
      </c>
      <c r="R198" s="598" t="str">
        <f>IF(ISERROR(VLOOKUP(B198,'Base de Datos'!$C$7:$N$315,10,0))=TRUE," ",(VLOOKUP(B198,'Base de Datos'!$C$7:$N$315,10,0)))</f>
        <v xml:space="preserve"> </v>
      </c>
      <c r="S198" s="744"/>
      <c r="T198" s="694"/>
      <c r="U198" s="607"/>
    </row>
    <row r="199" spans="2:21" outlineLevel="1" x14ac:dyDescent="0.3">
      <c r="B199" s="510"/>
      <c r="C199" s="510"/>
      <c r="D199" s="506"/>
      <c r="E199" s="590"/>
      <c r="F199" s="509"/>
      <c r="G199" s="785"/>
      <c r="H199" s="784"/>
      <c r="I199" s="805" t="str">
        <f ca="1">IF(H199=Hoja1!$J$2," ",(IF(MONTH(G199)=MONTH(TODAY()),IF(DAY(G199)&gt;DAY(TODAY()),"Quedan "&amp;ABS(DAY(G199)-DAY(TODAY()))&amp;" Días","Hace "&amp;ABS(DAY(G199)-DAY(TODAY()))&amp;" Días"),"")))</f>
        <v/>
      </c>
      <c r="J199" s="509" t="str">
        <f>IF(ISERROR(VLOOKUP(C199,'Base de Datos'!$D$7:$N$4092,6,0))=TRUE,"Sin Celebrar",(VLOOKUP(C199,'Base de Datos'!$D$7:$N$4092,6,0)))</f>
        <v>Sin Celebrar</v>
      </c>
      <c r="K199" s="509"/>
      <c r="L199" s="509">
        <f>IF(J199=$W$7,F199, " ")</f>
        <v>0</v>
      </c>
      <c r="M199" s="509" t="str">
        <f>IF(J199&lt;F199,(F199-J199)," ")</f>
        <v xml:space="preserve"> </v>
      </c>
      <c r="N199" s="691" t="str">
        <f>IF(ISERROR(VLOOKUP(C199,'Base de Datos'!$D$7:$K$1048576,7,0))=TRUE," ",(VLOOKUP(C199,'Base de Datos'!$D$7:$K$1048576,7,0)))</f>
        <v xml:space="preserve"> </v>
      </c>
      <c r="O199" s="691" t="str">
        <f>IF(ISERROR(VLOOKUP(C199,'Base de Datos'!$D$7:$K$1048576,9,0))=TRUE," ",(VLOOKUP(C199,'Base de Datos'!$D$7:$K$1048576,9,0)))</f>
        <v xml:space="preserve"> </v>
      </c>
      <c r="P199" s="600"/>
      <c r="Q199" s="524" t="str">
        <f>IF(ISERROR(VLOOKUP(C199,'Base de Datos'!$D$7:$N$4077,10,0))=TRUE," ",(VLOOKUP(C199,'Base de Datos'!$D$7:$N$4077,10,0)))</f>
        <v xml:space="preserve"> </v>
      </c>
      <c r="R199" s="524" t="str">
        <f>IF(ISERROR(VLOOKUP(C199,'Base de Datos'!$D$7:$N$4077,11,0))=TRUE," ",(VLOOKUP(C199,'Base de Datos'!$D$7:$N$4077,11,0)))</f>
        <v xml:space="preserve"> </v>
      </c>
      <c r="S199" s="506"/>
      <c r="T199" s="694"/>
      <c r="U199" s="607"/>
    </row>
    <row r="200" spans="2:21" ht="12" outlineLevel="1" x14ac:dyDescent="0.3">
      <c r="B200" s="589"/>
      <c r="C200" s="589"/>
      <c r="D200" s="1240" t="s">
        <v>1913</v>
      </c>
      <c r="E200" s="1240"/>
      <c r="F200" s="516">
        <f>+F201+F204+F207+F209+F220</f>
        <v>5332060000</v>
      </c>
      <c r="G200" s="795">
        <f>G201+G204+G207+G209+G220</f>
        <v>9</v>
      </c>
      <c r="H200" s="795">
        <f>H201+H204+H207+H209+H220</f>
        <v>0</v>
      </c>
      <c r="I200" s="604"/>
      <c r="J200" s="516">
        <f>+J201+J204+J207+J209+J220</f>
        <v>4598191000</v>
      </c>
      <c r="K200" s="574">
        <f>+J200/F200</f>
        <v>0.86236670255023384</v>
      </c>
      <c r="L200" s="516">
        <f>+L201+L204+L207+L209+L220</f>
        <v>610960000</v>
      </c>
      <c r="M200" s="516">
        <f>+F200-J200-L200</f>
        <v>122909000</v>
      </c>
      <c r="N200" s="662"/>
      <c r="O200" s="548" t="str">
        <f>IF(ISERROR(VLOOKUP(B200,'Base de Datos'!$C$7:$N$315,8,0))=TRUE," ",(VLOOKUP(B200,'Base de Datos'!$C$7:$N$315,8,0)))</f>
        <v xml:space="preserve"> </v>
      </c>
      <c r="P200" s="542"/>
      <c r="Q200" s="548" t="str">
        <f>IF(ISERROR(VLOOKUP(B200,'Base de Datos'!$C$7:$N$315,9,0))=TRUE," ",(VLOOKUP(B200,'Base de Datos'!$C$7:$N$315,9,0)))</f>
        <v xml:space="preserve"> </v>
      </c>
      <c r="R200" s="548" t="str">
        <f>IF(ISERROR(VLOOKUP(B200,'Base de Datos'!$C$7:$N$315,10,0))=TRUE," ",(VLOOKUP(B200,'Base de Datos'!$C$7:$N$315,10,0)))</f>
        <v xml:space="preserve"> </v>
      </c>
      <c r="S200" s="542"/>
      <c r="T200" s="694"/>
      <c r="U200" s="607"/>
    </row>
    <row r="201" spans="2:21" ht="23.25" customHeight="1" outlineLevel="1" x14ac:dyDescent="0.3">
      <c r="B201" s="510"/>
      <c r="C201" s="510"/>
      <c r="D201" s="1259" t="s">
        <v>1914</v>
      </c>
      <c r="E201" s="1259"/>
      <c r="F201" s="592">
        <f>+F203</f>
        <v>0</v>
      </c>
      <c r="G201" s="793">
        <f>COUNT(G203)</f>
        <v>0</v>
      </c>
      <c r="H201" s="793">
        <f>COUNTIF(H203:H203,Hoja1!$J$2)</f>
        <v>0</v>
      </c>
      <c r="I201" s="744"/>
      <c r="J201" s="593">
        <f>SUM(J203)</f>
        <v>0</v>
      </c>
      <c r="K201" s="596" t="e">
        <f>+J201/F201</f>
        <v>#DIV/0!</v>
      </c>
      <c r="L201" s="593">
        <f>SUM(L203)</f>
        <v>0</v>
      </c>
      <c r="M201" s="622">
        <f>SUM(M203)</f>
        <v>0</v>
      </c>
      <c r="N201" s="667"/>
      <c r="O201" s="598" t="str">
        <f>IF(ISERROR(VLOOKUP(B201,'Base de Datos'!$C$7:$N$315,8,0))=TRUE," ",(VLOOKUP(B201,'Base de Datos'!$C$7:$N$315,8,0)))</f>
        <v xml:space="preserve"> </v>
      </c>
      <c r="P201" s="744"/>
      <c r="Q201" s="598" t="str">
        <f>IF(ISERROR(VLOOKUP(B201,'Base de Datos'!$C$7:$N$315,9,0))=TRUE," ",(VLOOKUP(B201,'Base de Datos'!$C$7:$N$315,9,0)))</f>
        <v xml:space="preserve"> </v>
      </c>
      <c r="R201" s="598" t="str">
        <f>IF(ISERROR(VLOOKUP(B201,'Base de Datos'!$C$7:$N$315,10,0))=TRUE," ",(VLOOKUP(B201,'Base de Datos'!$C$7:$N$315,10,0)))</f>
        <v xml:space="preserve"> </v>
      </c>
      <c r="S201" s="744"/>
      <c r="T201" s="694"/>
      <c r="U201" s="607"/>
    </row>
    <row r="202" spans="2:21" s="588" customFormat="1" outlineLevel="1" x14ac:dyDescent="0.3">
      <c r="B202" s="600">
        <v>154</v>
      </c>
      <c r="C202" s="600"/>
      <c r="D202" s="601"/>
      <c r="E202" s="601" t="s">
        <v>2403</v>
      </c>
      <c r="F202" s="553">
        <v>360000000</v>
      </c>
      <c r="G202" s="784">
        <v>42384</v>
      </c>
      <c r="H202" s="784"/>
      <c r="I202" s="805" t="str">
        <f ca="1">IF(H202=Hoja1!$J$2," ",(IF(MONTH(G202)=MONTH(TODAY()),IF(DAY(G202)&gt;DAY(TODAY()),"Quedan "&amp;ABS(DAY(G202)-DAY(TODAY()))&amp;" Días","Hace "&amp;ABS(DAY(G202)-DAY(TODAY()))&amp;" Días"),"")))</f>
        <v/>
      </c>
      <c r="J202" s="509" t="str">
        <f>IF(ISERROR(VLOOKUP(C202,'Base de Datos'!$D$7:$N$4092,6,0))=TRUE,"Sin Celebrar",(VLOOKUP(C202,'Base de Datos'!$D$7:$N$4092,6,0)))</f>
        <v>Sin Celebrar</v>
      </c>
      <c r="K202" s="509"/>
      <c r="L202" s="509">
        <f>IF(J202=$W$7,F202, " ")</f>
        <v>360000000</v>
      </c>
      <c r="M202" s="509" t="str">
        <f>IF(J202&lt;F202,(F202-J202)," ")</f>
        <v xml:space="preserve"> </v>
      </c>
      <c r="N202" s="691" t="str">
        <f>IF(ISERROR(VLOOKUP(C202,'Base de Datos'!$D$7:$K$1048576,7,0))=TRUE," ",(VLOOKUP(C202,'Base de Datos'!$D$7:$K$1048576,7,0)))</f>
        <v xml:space="preserve"> </v>
      </c>
      <c r="O202" s="524" t="str">
        <f>IF(ISERROR(VLOOKUP(C202,'Base de Datos'!$D$7:$N$4077,9,0))=TRUE," ",(VLOOKUP(C202,'Base de Datos'!$D$7:$N$4077,9,0)))</f>
        <v xml:space="preserve"> </v>
      </c>
      <c r="P202" s="586" t="e">
        <f>VLOOKUP(B202,#REF!,13,0)</f>
        <v>#REF!</v>
      </c>
      <c r="Q202" s="524" t="str">
        <f>IF(ISERROR(VLOOKUP(C202,'Base de Datos'!$D$7:$N$4077,10,0))=TRUE," ",(VLOOKUP(C202,'Base de Datos'!$D$7:$N$4077,10,0)))</f>
        <v xml:space="preserve"> </v>
      </c>
      <c r="R202" s="524" t="str">
        <f>IF(ISERROR(VLOOKUP(C202,'Base de Datos'!$D$7:$N$4077,11,0))=TRUE," ",(VLOOKUP(C202,'Base de Datos'!$D$7:$N$4077,11,0)))</f>
        <v xml:space="preserve"> </v>
      </c>
      <c r="S202" s="506"/>
      <c r="T202" s="694"/>
      <c r="U202" s="751"/>
    </row>
    <row r="203" spans="2:21" outlineLevel="1" x14ac:dyDescent="0.3">
      <c r="B203" s="510"/>
      <c r="C203" s="510"/>
      <c r="D203" s="590"/>
      <c r="E203" s="590"/>
      <c r="F203" s="553"/>
      <c r="G203" s="784"/>
      <c r="H203" s="784"/>
      <c r="I203" s="805" t="str">
        <f ca="1">IF(H203=Hoja1!$J$2," ",(IF(MONTH(G203)=MONTH(TODAY()),IF(DAY(G203)&gt;DAY(TODAY()),"Quedan "&amp;ABS(DAY(G203)-DAY(TODAY()))&amp;" Días","Hace "&amp;ABS(DAY(G203)-DAY(TODAY()))&amp;" Días"),"")))</f>
        <v/>
      </c>
      <c r="J203" s="509" t="str">
        <f>IF(ISERROR(VLOOKUP(C203,'Base de Datos'!$D$7:$N$4092,6,0))=TRUE,"Sin Celebrar",(VLOOKUP(C203,'Base de Datos'!$D$7:$N$4092,6,0)))</f>
        <v>Sin Celebrar</v>
      </c>
      <c r="K203" s="509"/>
      <c r="L203" s="509">
        <f>IF(J203=$W$7,F203, " ")</f>
        <v>0</v>
      </c>
      <c r="M203" s="509" t="str">
        <f>IF(J203&lt;F203,(F203-J203)," ")</f>
        <v xml:space="preserve"> </v>
      </c>
      <c r="N203" s="691" t="str">
        <f>IF(ISERROR(VLOOKUP(C203,'Base de Datos'!$D$7:$K$1048576,7,0))=TRUE," ",(VLOOKUP(C203,'Base de Datos'!$D$7:$K$1048576,7,0)))</f>
        <v xml:space="preserve"> </v>
      </c>
      <c r="O203" s="691" t="str">
        <f>IF(ISERROR(VLOOKUP(C203,'Base de Datos'!$D$7:$K$1048576,9,0))=TRUE," ",(VLOOKUP(C203,'Base de Datos'!$D$7:$K$1048576,9,0)))</f>
        <v xml:space="preserve"> </v>
      </c>
      <c r="P203" s="600"/>
      <c r="Q203" s="524" t="str">
        <f>IF(ISERROR(VLOOKUP(C203,'Base de Datos'!$D$7:$N$4077,10,0))=TRUE," ",(VLOOKUP(C203,'Base de Datos'!$D$7:$N$4077,10,0)))</f>
        <v xml:space="preserve"> </v>
      </c>
      <c r="R203" s="524" t="str">
        <f>IF(ISERROR(VLOOKUP(C203,'Base de Datos'!$D$7:$N$4077,11,0))=TRUE," ",(VLOOKUP(C203,'Base de Datos'!$D$7:$N$4077,11,0)))</f>
        <v xml:space="preserve"> </v>
      </c>
      <c r="S203" s="506"/>
      <c r="T203" s="694"/>
      <c r="U203" s="607"/>
    </row>
    <row r="204" spans="2:21" ht="24.75" customHeight="1" outlineLevel="1" x14ac:dyDescent="0.3">
      <c r="B204" s="510"/>
      <c r="C204" s="510"/>
      <c r="D204" s="1259" t="s">
        <v>1916</v>
      </c>
      <c r="E204" s="1259"/>
      <c r="F204" s="592">
        <f>SUM(F205:F206)</f>
        <v>444960000</v>
      </c>
      <c r="G204" s="793">
        <f>COUNT(G205:G205)</f>
        <v>1</v>
      </c>
      <c r="H204" s="793">
        <f>COUNTIF(H205:H205,Hoja1!$J$2)</f>
        <v>0</v>
      </c>
      <c r="I204" s="594"/>
      <c r="J204" s="592">
        <f>SUM(J205:J206)</f>
        <v>0</v>
      </c>
      <c r="K204" s="596">
        <f>+J204/F204</f>
        <v>0</v>
      </c>
      <c r="L204" s="592">
        <f>SUM(L205:L206)</f>
        <v>444960000</v>
      </c>
      <c r="M204" s="592">
        <f>+F204-J204-L204</f>
        <v>0</v>
      </c>
      <c r="N204" s="667"/>
      <c r="O204" s="598" t="str">
        <f>IF(ISERROR(VLOOKUP(B204,'Base de Datos'!$C$7:$N$315,8,0))=TRUE," ",(VLOOKUP(B204,'Base de Datos'!$C$7:$N$315,8,0)))</f>
        <v xml:space="preserve"> </v>
      </c>
      <c r="P204" s="744"/>
      <c r="Q204" s="598" t="str">
        <f>IF(ISERROR(VLOOKUP(B204,'Base de Datos'!$C$7:$N$315,9,0))=TRUE," ",(VLOOKUP(B204,'Base de Datos'!$C$7:$N$315,9,0)))</f>
        <v xml:space="preserve"> </v>
      </c>
      <c r="R204" s="598" t="str">
        <f>IF(ISERROR(VLOOKUP(B204,'Base de Datos'!$C$7:$N$315,10,0))=TRUE," ",(VLOOKUP(B204,'Base de Datos'!$C$7:$N$315,10,0)))</f>
        <v xml:space="preserve"> </v>
      </c>
      <c r="S204" s="744"/>
      <c r="T204" s="694"/>
      <c r="U204" s="607"/>
    </row>
    <row r="205" spans="2:21" s="588" customFormat="1" ht="22.8" outlineLevel="1" x14ac:dyDescent="0.3">
      <c r="B205" s="600">
        <v>151</v>
      </c>
      <c r="C205" s="600" t="str">
        <f>$W$6&amp;B205</f>
        <v>2016151</v>
      </c>
      <c r="D205" s="506" t="str">
        <f>IF(ISERROR(VLOOKUP(C205,'Base de Datos'!$D$7:$F$4092,2,0))=TRUE,"",(VLOOKUP(C205,'Base de Datos'!$D$7:$F$4092,2,0)))</f>
        <v/>
      </c>
      <c r="E205" s="601" t="s">
        <v>2336</v>
      </c>
      <c r="F205" s="553">
        <v>444960000</v>
      </c>
      <c r="G205" s="784">
        <v>42375</v>
      </c>
      <c r="H205" s="784"/>
      <c r="I205" s="805" t="str">
        <f ca="1">IF(H205=Hoja1!$J$2," ",(IF(MONTH(G205)=MONTH(TODAY()),IF(DAY(G205)&gt;DAY(TODAY()),"Quedan "&amp;ABS(DAY(G205)-DAY(TODAY()))&amp;" Días","Hace "&amp;ABS(DAY(G205)-DAY(TODAY()))&amp;" Días"),"")))</f>
        <v/>
      </c>
      <c r="J205" s="509" t="str">
        <f>IF(ISERROR(VLOOKUP(C205,'Base de Datos'!$D$7:$N$4092,6,0))=TRUE,"Sin Celebrar",(VLOOKUP(C205,'Base de Datos'!$D$7:$N$4092,6,0)))</f>
        <v>Sin Celebrar</v>
      </c>
      <c r="K205" s="553"/>
      <c r="L205" s="509">
        <f>IF(J205=$W$7,F205, " ")</f>
        <v>444960000</v>
      </c>
      <c r="M205" s="509" t="str">
        <f>IF(J205&lt;F205,(F205-J205)," ")</f>
        <v xml:space="preserve"> </v>
      </c>
      <c r="N205" s="691" t="str">
        <f>IF(ISERROR(VLOOKUP(C205,'Base de Datos'!$D$7:$K$1048576,7,0))=TRUE," ",(VLOOKUP(C205,'Base de Datos'!$D$7:$K$1048576,7,0)))</f>
        <v xml:space="preserve"> </v>
      </c>
      <c r="O205" s="524" t="str">
        <f>IF(ISERROR(VLOOKUP(C205,'Base de Datos'!$D$7:$N$4077,9,0))=TRUE," ",(VLOOKUP(C205,'Base de Datos'!$D$7:$N$4077,9,0)))</f>
        <v xml:space="preserve"> </v>
      </c>
      <c r="P205" s="586" t="e">
        <f>VLOOKUP(B205,#REF!,13,0)</f>
        <v>#REF!</v>
      </c>
      <c r="Q205" s="524" t="str">
        <f>IF(ISERROR(VLOOKUP(C205,'Base de Datos'!$D$7:$N$4077,10,0))=TRUE," ",(VLOOKUP(C205,'Base de Datos'!$D$7:$N$4077,10,0)))</f>
        <v xml:space="preserve"> </v>
      </c>
      <c r="R205" s="524" t="str">
        <f>IF(ISERROR(VLOOKUP(C205,'Base de Datos'!$D$7:$N$4077,11,0))=TRUE," ",(VLOOKUP(C205,'Base de Datos'!$D$7:$N$4077,11,0)))</f>
        <v xml:space="preserve"> </v>
      </c>
      <c r="S205" s="587" t="s">
        <v>2075</v>
      </c>
      <c r="T205" s="694"/>
      <c r="U205" s="751"/>
    </row>
    <row r="206" spans="2:21" s="588" customFormat="1" outlineLevel="1" x14ac:dyDescent="0.3">
      <c r="B206" s="600"/>
      <c r="C206" s="679"/>
      <c r="D206" s="680"/>
      <c r="E206" s="601"/>
      <c r="F206" s="553"/>
      <c r="G206" s="784"/>
      <c r="H206" s="784"/>
      <c r="I206" s="507"/>
      <c r="J206" s="553"/>
      <c r="K206" s="553"/>
      <c r="L206" s="553"/>
      <c r="M206" s="553"/>
      <c r="N206" s="752"/>
      <c r="O206" s="586"/>
      <c r="P206" s="587"/>
      <c r="Q206" s="683"/>
      <c r="R206" s="683"/>
      <c r="S206" s="587"/>
      <c r="T206" s="694"/>
      <c r="U206" s="751"/>
    </row>
    <row r="207" spans="2:21" ht="26.25" customHeight="1" outlineLevel="1" x14ac:dyDescent="0.3">
      <c r="B207" s="510"/>
      <c r="C207" s="510"/>
      <c r="D207" s="1259" t="s">
        <v>1922</v>
      </c>
      <c r="E207" s="1259"/>
      <c r="F207" s="592">
        <f>+F208</f>
        <v>0</v>
      </c>
      <c r="G207" s="793">
        <f>COUNT(G208)</f>
        <v>0</v>
      </c>
      <c r="H207" s="793">
        <f>COUNTIF(H208:H208,Hoja1!$J$2)</f>
        <v>0</v>
      </c>
      <c r="I207" s="594"/>
      <c r="J207" s="592">
        <f>SUM(J208)</f>
        <v>0</v>
      </c>
      <c r="K207" s="596" t="e">
        <f>+J207/F207</f>
        <v>#DIV/0!</v>
      </c>
      <c r="L207" s="592">
        <f>SUM(L208)</f>
        <v>0</v>
      </c>
      <c r="M207" s="592">
        <f>+F207-J207-L207</f>
        <v>0</v>
      </c>
      <c r="N207" s="667"/>
      <c r="O207" s="598" t="str">
        <f>IF(ISERROR(VLOOKUP(B207,'Base de Datos'!$C$7:$N$315,8,0))=TRUE," ",(VLOOKUP(B207,'Base de Datos'!$C$7:$N$315,8,0)))</f>
        <v xml:space="preserve"> </v>
      </c>
      <c r="P207" s="744"/>
      <c r="Q207" s="598" t="str">
        <f>IF(ISERROR(VLOOKUP(B207,'Base de Datos'!$C$7:$N$315,9,0))=TRUE," ",(VLOOKUP(B207,'Base de Datos'!$C$7:$N$315,9,0)))</f>
        <v xml:space="preserve"> </v>
      </c>
      <c r="R207" s="598" t="str">
        <f>IF(ISERROR(VLOOKUP(B207,'Base de Datos'!$C$7:$N$315,10,0))=TRUE," ",(VLOOKUP(B207,'Base de Datos'!$C$7:$N$315,10,0)))</f>
        <v xml:space="preserve"> </v>
      </c>
      <c r="S207" s="744"/>
      <c r="T207" s="694"/>
      <c r="U207" s="607"/>
    </row>
    <row r="208" spans="2:21" s="588" customFormat="1" outlineLevel="1" x14ac:dyDescent="0.3">
      <c r="B208" s="600"/>
      <c r="C208" s="679"/>
      <c r="D208" s="680"/>
      <c r="E208" s="601"/>
      <c r="F208" s="553"/>
      <c r="G208" s="784"/>
      <c r="H208" s="784"/>
      <c r="I208" s="805" t="str">
        <f ca="1">IF(H208=Hoja1!$J$2," ",(IF(MONTH(G208)=MONTH(TODAY()),IF(DAY(G208)&gt;DAY(TODAY()),"Quedan "&amp;ABS(DAY(G208)-DAY(TODAY()))&amp;" Días","Hace "&amp;ABS(DAY(G208)-DAY(TODAY()))&amp;" Días"),"")))</f>
        <v/>
      </c>
      <c r="J208" s="509" t="str">
        <f>IF(ISERROR(VLOOKUP(C208,'Base de Datos'!$D$7:$N$4092,6,0))=TRUE,"Sin Celebrar",(VLOOKUP(C208,'Base de Datos'!$D$7:$N$4092,6,0)))</f>
        <v>Sin Celebrar</v>
      </c>
      <c r="K208" s="553"/>
      <c r="L208" s="509">
        <f>IF(J208=$W$7,F208, " ")</f>
        <v>0</v>
      </c>
      <c r="M208" s="553"/>
      <c r="N208" s="691" t="str">
        <f>IF(ISERROR(VLOOKUP(C208,'Base de Datos'!$D$7:$K$1048576,7,0))=TRUE," ",(VLOOKUP(C208,'Base de Datos'!$D$7:$K$1048576,7,0)))</f>
        <v xml:space="preserve"> </v>
      </c>
      <c r="O208" s="691" t="str">
        <f>IF(ISERROR(VLOOKUP(C208,'Base de Datos'!$D$7:$K$1048576,9,0))=TRUE," ",(VLOOKUP(C208,'Base de Datos'!$D$7:$K$1048576,9,0)))</f>
        <v xml:space="preserve"> </v>
      </c>
      <c r="P208" s="600"/>
      <c r="Q208" s="524" t="str">
        <f>IF(ISERROR(VLOOKUP(C208,'Base de Datos'!$D$7:$N$4077,10,0))=TRUE," ",(VLOOKUP(C208,'Base de Datos'!$D$7:$N$4077,10,0)))</f>
        <v xml:space="preserve"> </v>
      </c>
      <c r="R208" s="524" t="str">
        <f>IF(ISERROR(VLOOKUP(C208,'Base de Datos'!$D$7:$N$4077,11,0))=TRUE," ",(VLOOKUP(C208,'Base de Datos'!$D$7:$N$4077,11,0)))</f>
        <v xml:space="preserve"> </v>
      </c>
      <c r="S208" s="587"/>
      <c r="T208" s="694"/>
      <c r="U208" s="751"/>
    </row>
    <row r="209" spans="2:21" outlineLevel="1" x14ac:dyDescent="0.3">
      <c r="B209" s="510"/>
      <c r="C209" s="510"/>
      <c r="D209" s="1258" t="s">
        <v>1924</v>
      </c>
      <c r="E209" s="1258"/>
      <c r="F209" s="592">
        <f>SUM(F210:F216)</f>
        <v>1148400000</v>
      </c>
      <c r="G209" s="793">
        <f>COUNT(G210:G216)</f>
        <v>7</v>
      </c>
      <c r="H209" s="793">
        <f>COUNTIF(H210:H216,Hoja1!$J$2)</f>
        <v>0</v>
      </c>
      <c r="I209" s="594"/>
      <c r="J209" s="592">
        <f>SUM(J210:J216)</f>
        <v>1143536000</v>
      </c>
      <c r="K209" s="596">
        <f>+J209/F209</f>
        <v>0.99576454197143849</v>
      </c>
      <c r="L209" s="592">
        <f>SUM(L210:L216)</f>
        <v>166000000</v>
      </c>
      <c r="M209" s="592">
        <f>+F209-J209-L209</f>
        <v>-161136000</v>
      </c>
      <c r="N209" s="667"/>
      <c r="O209" s="598" t="str">
        <f>IF(ISERROR(VLOOKUP(B209,'Base de Datos'!$C$7:$N$315,8,0))=TRUE," ",(VLOOKUP(B209,'Base de Datos'!$C$7:$N$315,8,0)))</f>
        <v xml:space="preserve"> </v>
      </c>
      <c r="P209" s="744"/>
      <c r="Q209" s="598" t="str">
        <f>IF(ISERROR(VLOOKUP(B209,'Base de Datos'!$C$7:$N$315,9,0))=TRUE," ",(VLOOKUP(B209,'Base de Datos'!$C$7:$N$315,9,0)))</f>
        <v xml:space="preserve"> </v>
      </c>
      <c r="R209" s="598" t="str">
        <f>IF(ISERROR(VLOOKUP(B209,'Base de Datos'!$C$7:$N$315,10,0))=TRUE," ",(VLOOKUP(B209,'Base de Datos'!$C$7:$N$315,10,0)))</f>
        <v xml:space="preserve"> </v>
      </c>
      <c r="S209" s="744"/>
      <c r="T209" s="694"/>
      <c r="U209" s="607"/>
    </row>
    <row r="210" spans="2:21" s="588" customFormat="1" outlineLevel="1" x14ac:dyDescent="0.3">
      <c r="B210" s="600">
        <v>95</v>
      </c>
      <c r="C210" s="600" t="str">
        <f t="shared" ref="C210:C218" si="16">$W$6&amp;B210</f>
        <v>201695</v>
      </c>
      <c r="D210" s="506" t="str">
        <f>IF(ISERROR(VLOOKUP(C210,'Base de Datos'!$D$7:$F$4092,2,0))=TRUE,"",(VLOOKUP(C210,'Base de Datos'!$D$7:$F$4092,2,0)))</f>
        <v>160304-0-2016</v>
      </c>
      <c r="E210" s="680" t="s">
        <v>2337</v>
      </c>
      <c r="F210" s="553">
        <v>400000000</v>
      </c>
      <c r="G210" s="784">
        <v>42444</v>
      </c>
      <c r="H210" s="784"/>
      <c r="I210" s="805" t="str">
        <f ca="1">IF(H210=Hoja1!$J$2," ",(IF(MONTH(G210)=MONTH(TODAY()),IF(DAY(G210)&gt;DAY(TODAY()),"Quedan "&amp;ABS(DAY(G210)-DAY(TODAY()))&amp;" Días","Hace "&amp;ABS(DAY(G210)-DAY(TODAY()))&amp;" Días"),"")))</f>
        <v/>
      </c>
      <c r="J210" s="509">
        <f>IF(ISERROR(VLOOKUP(C210,'Base de Datos'!$D$7:$N$4092,6,0))=TRUE,"Sin Celebrar",(VLOOKUP(C210,'Base de Datos'!$D$7:$N$4092,6,0)))</f>
        <v>475686000</v>
      </c>
      <c r="K210" s="553"/>
      <c r="L210" s="509" t="str">
        <f t="shared" ref="L210:L216" si="17">IF(J210=$W$7,F210, " ")</f>
        <v xml:space="preserve"> </v>
      </c>
      <c r="M210" s="509" t="str">
        <f t="shared" ref="M210:M216" si="18">IF(J210&lt;F210,(F210-J210)," ")</f>
        <v xml:space="preserve"> </v>
      </c>
      <c r="N210" s="691" t="str">
        <f>IF(ISERROR(VLOOKUP(C210,'Base de Datos'!$D$7:$K$1048576,7,0))=TRUE," ",(VLOOKUP(C210,'Base de Datos'!$D$7:$K$1048576,7,0)))</f>
        <v>SDH-SIE-20-2016</v>
      </c>
      <c r="O210" s="524">
        <f>IF(ISERROR(VLOOKUP(C210,'Base de Datos'!$D$7:$N$4077,9,0))=TRUE," ",(VLOOKUP(C210,'Base de Datos'!$D$7:$N$4077,9,0)))</f>
        <v>42725</v>
      </c>
      <c r="P210" s="586" t="e">
        <f>VLOOKUP(B210,#REF!,13,0)</f>
        <v>#REF!</v>
      </c>
      <c r="Q210" s="524">
        <f>IF(ISERROR(VLOOKUP(C210,'Base de Datos'!$D$7:$N$4077,10,0))=TRUE," ",(VLOOKUP(C210,'Base de Datos'!$D$7:$N$4077,10,0)))</f>
        <v>42752</v>
      </c>
      <c r="R210" s="524">
        <f>IF(ISERROR(VLOOKUP(C210,'Base de Datos'!$D$7:$N$4077,11,0))=TRUE," ",(VLOOKUP(C210,'Base de Datos'!$D$7:$N$4077,11,0)))</f>
        <v>42872</v>
      </c>
      <c r="S210" s="587" t="s">
        <v>1991</v>
      </c>
      <c r="T210" s="694"/>
      <c r="U210" s="751"/>
    </row>
    <row r="211" spans="2:21" s="588" customFormat="1" ht="22.8" outlineLevel="1" x14ac:dyDescent="0.3">
      <c r="B211" s="600">
        <v>232</v>
      </c>
      <c r="C211" s="600" t="str">
        <f t="shared" si="16"/>
        <v>2016232</v>
      </c>
      <c r="D211" s="506" t="str">
        <f>IF(ISERROR(VLOOKUP(C211,'Base de Datos'!$D$7:$F$4092,2,0))=TRUE,"",(VLOOKUP(C211,'Base de Datos'!$D$7:$F$4092,2,0)))</f>
        <v>160316-0-2016</v>
      </c>
      <c r="E211" s="680" t="s">
        <v>2404</v>
      </c>
      <c r="F211" s="553">
        <v>105000000</v>
      </c>
      <c r="G211" s="784">
        <v>42415</v>
      </c>
      <c r="H211" s="784"/>
      <c r="I211" s="805" t="str">
        <f ca="1">IF(H211=Hoja1!$J$2," ",(IF(MONTH(G211)=MONTH(TODAY()),IF(DAY(G211)&gt;DAY(TODAY()),"Quedan "&amp;ABS(DAY(G211)-DAY(TODAY()))&amp;" Días","Hace "&amp;ABS(DAY(G211)-DAY(TODAY()))&amp;" Días"),"")))</f>
        <v>Quedan 14 Días</v>
      </c>
      <c r="J211" s="509">
        <f>IF(ISERROR(VLOOKUP(C211,'Base de Datos'!$D$7:$N$4092,6,0))=TRUE,"Sin Celebrar",(VLOOKUP(C211,'Base de Datos'!$D$7:$N$4092,6,0)))</f>
        <v>46500000</v>
      </c>
      <c r="K211" s="553"/>
      <c r="L211" s="509" t="str">
        <f t="shared" si="17"/>
        <v xml:space="preserve"> </v>
      </c>
      <c r="M211" s="509">
        <f t="shared" si="18"/>
        <v>58500000</v>
      </c>
      <c r="N211" s="691" t="str">
        <f>IF(ISERROR(VLOOKUP(C211,'Base de Datos'!$D$7:$K$1048576,7,0))=TRUE," ",(VLOOKUP(C211,'Base de Datos'!$D$7:$K$1048576,7,0)))</f>
        <v>SDH-SIE-22-2016</v>
      </c>
      <c r="O211" s="524">
        <f>IF(ISERROR(VLOOKUP(C211,'Base de Datos'!$D$7:$N$4077,9,0))=TRUE," ",(VLOOKUP(C211,'Base de Datos'!$D$7:$N$4077,9,0)))</f>
        <v>42733</v>
      </c>
      <c r="P211" s="586" t="e">
        <f>VLOOKUP(B211,#REF!,13,0)</f>
        <v>#REF!</v>
      </c>
      <c r="Q211" s="524">
        <f>IF(ISERROR(VLOOKUP(C211,'Base de Datos'!$D$7:$N$4077,10,0))=TRUE," ",(VLOOKUP(C211,'Base de Datos'!$D$7:$N$4077,10,0)))</f>
        <v>42751</v>
      </c>
      <c r="R211" s="524">
        <f>IF(ISERROR(VLOOKUP(C211,'Base de Datos'!$D$7:$N$4077,11,0))=TRUE," ",(VLOOKUP(C211,'Base de Datos'!$D$7:$N$4077,11,0)))</f>
        <v>42871</v>
      </c>
      <c r="S211" s="587" t="s">
        <v>1991</v>
      </c>
      <c r="T211" s="694"/>
      <c r="U211" s="751"/>
    </row>
    <row r="212" spans="2:21" s="588" customFormat="1" outlineLevel="1" x14ac:dyDescent="0.3">
      <c r="B212" s="600">
        <v>96</v>
      </c>
      <c r="C212" s="600" t="str">
        <f t="shared" si="16"/>
        <v>201696</v>
      </c>
      <c r="D212" s="506" t="str">
        <f>IF(ISERROR(VLOOKUP(C212,'Base de Datos'!$D$7:$F$4092,2,0))=TRUE,"",(VLOOKUP(C212,'Base de Datos'!$D$7:$F$4092,2,0)))</f>
        <v/>
      </c>
      <c r="E212" s="680" t="s">
        <v>2338</v>
      </c>
      <c r="F212" s="603">
        <v>150000000</v>
      </c>
      <c r="G212" s="750">
        <v>42461</v>
      </c>
      <c r="H212" s="784"/>
      <c r="I212" s="805" t="str">
        <f ca="1">IF(H212=Hoja1!$J$2," ",(IF(MONTH(G212)=MONTH(TODAY()),IF(DAY(G212)&gt;DAY(TODAY()),"Quedan "&amp;ABS(DAY(G212)-DAY(TODAY()))&amp;" Días","Hace "&amp;ABS(DAY(G212)-DAY(TODAY()))&amp;" Días"),"")))</f>
        <v/>
      </c>
      <c r="J212" s="509" t="str">
        <f>IF(ISERROR(VLOOKUP(C212,'Base de Datos'!$D$7:$N$4092,6,0))=TRUE,"Sin Celebrar",(VLOOKUP(C212,'Base de Datos'!$D$7:$N$4092,6,0)))</f>
        <v>Sin Celebrar</v>
      </c>
      <c r="K212" s="587"/>
      <c r="L212" s="509">
        <f t="shared" si="17"/>
        <v>150000000</v>
      </c>
      <c r="M212" s="509" t="str">
        <f t="shared" si="18"/>
        <v xml:space="preserve"> </v>
      </c>
      <c r="N212" s="691" t="str">
        <f>IF(ISERROR(VLOOKUP(C212,'Base de Datos'!$D$7:$K$1048576,7,0))=TRUE," ",(VLOOKUP(C212,'Base de Datos'!$D$7:$K$1048576,7,0)))</f>
        <v xml:space="preserve"> </v>
      </c>
      <c r="O212" s="524" t="str">
        <f>IF(ISERROR(VLOOKUP(C212,'Base de Datos'!$D$7:$N$4077,9,0))=TRUE," ",(VLOOKUP(C212,'Base de Datos'!$D$7:$N$4077,9,0)))</f>
        <v xml:space="preserve"> </v>
      </c>
      <c r="P212" s="586" t="e">
        <f>VLOOKUP(B212,#REF!,13,0)</f>
        <v>#REF!</v>
      </c>
      <c r="Q212" s="524" t="str">
        <f>IF(ISERROR(VLOOKUP(C212,'Base de Datos'!$D$7:$N$4077,10,0))=TRUE," ",(VLOOKUP(C212,'Base de Datos'!$D$7:$N$4077,10,0)))</f>
        <v xml:space="preserve"> </v>
      </c>
      <c r="R212" s="524" t="str">
        <f>IF(ISERROR(VLOOKUP(C212,'Base de Datos'!$D$7:$N$4077,11,0))=TRUE," ",(VLOOKUP(C212,'Base de Datos'!$D$7:$N$4077,11,0)))</f>
        <v xml:space="preserve"> </v>
      </c>
      <c r="S212" s="587" t="s">
        <v>1991</v>
      </c>
      <c r="T212" s="694"/>
      <c r="U212" s="751"/>
    </row>
    <row r="213" spans="2:21" s="588" customFormat="1" ht="22.8" outlineLevel="1" x14ac:dyDescent="0.3">
      <c r="B213" s="600">
        <v>235</v>
      </c>
      <c r="C213" s="600" t="str">
        <f t="shared" si="16"/>
        <v>2016235</v>
      </c>
      <c r="D213" s="506" t="str">
        <f>IF(ISERROR(VLOOKUP(C213,'Base de Datos'!$D$7:$F$4092,2,0))=TRUE,"",(VLOOKUP(C213,'Base de Datos'!$D$7:$F$4092,2,0)))</f>
        <v/>
      </c>
      <c r="E213" s="680" t="s">
        <v>2407</v>
      </c>
      <c r="F213" s="603">
        <v>10000000</v>
      </c>
      <c r="G213" s="750">
        <v>42415</v>
      </c>
      <c r="H213" s="784"/>
      <c r="I213" s="805" t="str">
        <f ca="1">IF(H213=Hoja1!$J$2," ",(IF(MONTH(G213)=MONTH(TODAY()),IF(DAY(G213)&gt;DAY(TODAY()),"Quedan "&amp;ABS(DAY(G213)-DAY(TODAY()))&amp;" Días","Hace "&amp;ABS(DAY(G213)-DAY(TODAY()))&amp;" Días"),"")))</f>
        <v>Quedan 14 Días</v>
      </c>
      <c r="J213" s="509" t="str">
        <f>IF(ISERROR(VLOOKUP(C213,'Base de Datos'!$D$7:$N$4092,6,0))=TRUE,"Sin Celebrar",(VLOOKUP(C213,'Base de Datos'!$D$7:$N$4092,6,0)))</f>
        <v>Sin Celebrar</v>
      </c>
      <c r="K213" s="587"/>
      <c r="L213" s="509">
        <f t="shared" si="17"/>
        <v>10000000</v>
      </c>
      <c r="M213" s="509" t="str">
        <f t="shared" si="18"/>
        <v xml:space="preserve"> </v>
      </c>
      <c r="N213" s="691" t="str">
        <f>IF(ISERROR(VLOOKUP(C213,'Base de Datos'!$D$7:$K$1048576,7,0))=TRUE," ",(VLOOKUP(C213,'Base de Datos'!$D$7:$K$1048576,7,0)))</f>
        <v xml:space="preserve"> </v>
      </c>
      <c r="O213" s="524" t="str">
        <f>IF(ISERROR(VLOOKUP(C213,'Base de Datos'!$D$7:$N$4077,9,0))=TRUE," ",(VLOOKUP(C213,'Base de Datos'!$D$7:$N$4077,9,0)))</f>
        <v xml:space="preserve"> </v>
      </c>
      <c r="P213" s="586" t="e">
        <f>VLOOKUP(B213,#REF!,13,0)</f>
        <v>#REF!</v>
      </c>
      <c r="Q213" s="524" t="str">
        <f>IF(ISERROR(VLOOKUP(C213,'Base de Datos'!$D$7:$N$4077,10,0))=TRUE," ",(VLOOKUP(C213,'Base de Datos'!$D$7:$N$4077,10,0)))</f>
        <v xml:space="preserve"> </v>
      </c>
      <c r="R213" s="524" t="str">
        <f>IF(ISERROR(VLOOKUP(C213,'Base de Datos'!$D$7:$N$4077,11,0))=TRUE," ",(VLOOKUP(C213,'Base de Datos'!$D$7:$N$4077,11,0)))</f>
        <v xml:space="preserve"> </v>
      </c>
      <c r="S213" s="587" t="s">
        <v>1991</v>
      </c>
      <c r="T213" s="694"/>
      <c r="U213" s="751"/>
    </row>
    <row r="214" spans="2:21" s="588" customFormat="1" outlineLevel="1" x14ac:dyDescent="0.3">
      <c r="B214" s="600">
        <v>98</v>
      </c>
      <c r="C214" s="600" t="str">
        <f t="shared" si="16"/>
        <v>201698</v>
      </c>
      <c r="D214" s="506" t="str">
        <f>IF(ISERROR(VLOOKUP(C214,'Base de Datos'!$D$7:$F$4092,2,0))=TRUE,"",(VLOOKUP(C214,'Base de Datos'!$D$7:$F$4092,2,0)))</f>
        <v>160066-0-2016</v>
      </c>
      <c r="E214" s="680" t="s">
        <v>2339</v>
      </c>
      <c r="F214" s="603">
        <v>56650000</v>
      </c>
      <c r="G214" s="750">
        <v>42415</v>
      </c>
      <c r="H214" s="784"/>
      <c r="I214" s="805" t="str">
        <f ca="1">IF(H214=Hoja1!$J$2," ",(IF(MONTH(G214)=MONTH(TODAY()),IF(DAY(G214)&gt;DAY(TODAY()),"Quedan "&amp;ABS(DAY(G214)-DAY(TODAY()))&amp;" Días","Hace "&amp;ABS(DAY(G214)-DAY(TODAY()))&amp;" Días"),"")))</f>
        <v>Quedan 14 Días</v>
      </c>
      <c r="J214" s="509">
        <f>IF(ISERROR(VLOOKUP(C214,'Base de Datos'!$D$7:$N$4092,6,0))=TRUE,"Sin Celebrar",(VLOOKUP(C214,'Base de Datos'!$D$7:$N$4092,6,0)))</f>
        <v>56650000</v>
      </c>
      <c r="K214" s="587"/>
      <c r="L214" s="509" t="str">
        <f t="shared" si="17"/>
        <v xml:space="preserve"> </v>
      </c>
      <c r="M214" s="509" t="str">
        <f t="shared" si="18"/>
        <v xml:space="preserve"> </v>
      </c>
      <c r="N214" s="691" t="str">
        <f>IF(ISERROR(VLOOKUP(C214,'Base de Datos'!$D$7:$K$1048576,7,0))=TRUE," ",(VLOOKUP(C214,'Base de Datos'!$D$7:$K$1048576,7,0)))</f>
        <v>160066-0-2016</v>
      </c>
      <c r="O214" s="524">
        <f>IF(ISERROR(VLOOKUP(C214,'Base de Datos'!$D$7:$N$4077,9,0))=TRUE," ",(VLOOKUP(C214,'Base de Datos'!$D$7:$N$4077,9,0)))</f>
        <v>42466</v>
      </c>
      <c r="P214" s="586" t="e">
        <f>VLOOKUP(B214,#REF!,13,0)</f>
        <v>#REF!</v>
      </c>
      <c r="Q214" s="524">
        <f>IF(ISERROR(VLOOKUP(C214,'Base de Datos'!$D$7:$N$4077,10,0))=TRUE," ",(VLOOKUP(C214,'Base de Datos'!$D$7:$N$4077,10,0)))</f>
        <v>42466</v>
      </c>
      <c r="R214" s="524">
        <f>IF(ISERROR(VLOOKUP(C214,'Base de Datos'!$D$7:$N$4077,11,0))=TRUE," ",(VLOOKUP(C214,'Base de Datos'!$D$7:$N$4077,11,0)))</f>
        <v>42772</v>
      </c>
      <c r="S214" s="587" t="s">
        <v>1991</v>
      </c>
      <c r="T214" s="694"/>
      <c r="U214" s="751"/>
    </row>
    <row r="215" spans="2:21" s="588" customFormat="1" ht="22.8" outlineLevel="1" x14ac:dyDescent="0.3">
      <c r="B215" s="600">
        <v>233</v>
      </c>
      <c r="C215" s="600" t="str">
        <f t="shared" si="16"/>
        <v>2016233</v>
      </c>
      <c r="D215" s="506" t="str">
        <f>IF(ISERROR(VLOOKUP(C215,'Base de Datos'!$D$7:$F$4092,2,0))=TRUE,"",(VLOOKUP(C215,'Base de Datos'!$D$7:$F$4092,2,0)))</f>
        <v>160319-0-2016</v>
      </c>
      <c r="E215" s="680" t="s">
        <v>2405</v>
      </c>
      <c r="F215" s="603">
        <v>420750000</v>
      </c>
      <c r="G215" s="750">
        <v>42449</v>
      </c>
      <c r="H215" s="784"/>
      <c r="I215" s="805" t="str">
        <f ca="1">IF(H215=Hoja1!$J$2," ",(IF(MONTH(G215)=MONTH(TODAY()),IF(DAY(G215)&gt;DAY(TODAY()),"Quedan "&amp;ABS(DAY(G215)-DAY(TODAY()))&amp;" Días","Hace "&amp;ABS(DAY(G215)-DAY(TODAY()))&amp;" Días"),"")))</f>
        <v/>
      </c>
      <c r="J215" s="509">
        <f>IF(ISERROR(VLOOKUP(C215,'Base de Datos'!$D$7:$N$4092,6,0))=TRUE,"Sin Celebrar",(VLOOKUP(C215,'Base de Datos'!$D$7:$N$4092,6,0)))</f>
        <v>564700000</v>
      </c>
      <c r="K215" s="587"/>
      <c r="L215" s="509" t="str">
        <f t="shared" si="17"/>
        <v xml:space="preserve"> </v>
      </c>
      <c r="M215" s="509" t="str">
        <f t="shared" si="18"/>
        <v xml:space="preserve"> </v>
      </c>
      <c r="N215" s="691" t="str">
        <f>IF(ISERROR(VLOOKUP(C215,'Base de Datos'!$D$7:$K$1048576,7,0))=TRUE," ",(VLOOKUP(C215,'Base de Datos'!$D$7:$K$1048576,7,0)))</f>
        <v>SDH-SIE-19-2016</v>
      </c>
      <c r="O215" s="524">
        <f>IF(ISERROR(VLOOKUP(C215,'Base de Datos'!$D$7:$N$4077,9,0))=TRUE," ",(VLOOKUP(C215,'Base de Datos'!$D$7:$N$4077,9,0)))</f>
        <v>42734</v>
      </c>
      <c r="P215" s="586" t="e">
        <f>VLOOKUP(B215,#REF!,13,0)</f>
        <v>#REF!</v>
      </c>
      <c r="Q215" s="524">
        <f>IF(ISERROR(VLOOKUP(C215,'Base de Datos'!$D$7:$N$4077,10,0))=TRUE," ",(VLOOKUP(C215,'Base de Datos'!$D$7:$N$4077,10,0)))</f>
        <v>42747</v>
      </c>
      <c r="R215" s="524">
        <f>IF(ISERROR(VLOOKUP(C215,'Base de Datos'!$D$7:$N$4077,11,0))=TRUE," ",(VLOOKUP(C215,'Base de Datos'!$D$7:$N$4077,11,0)))</f>
        <v>42837</v>
      </c>
      <c r="S215" s="587" t="s">
        <v>1991</v>
      </c>
      <c r="T215" s="694"/>
      <c r="U215" s="751"/>
    </row>
    <row r="216" spans="2:21" s="588" customFormat="1" outlineLevel="1" x14ac:dyDescent="0.3">
      <c r="B216" s="600">
        <v>97</v>
      </c>
      <c r="C216" s="600" t="str">
        <f t="shared" si="16"/>
        <v>201697</v>
      </c>
      <c r="D216" s="506" t="str">
        <f>IF(ISERROR(VLOOKUP(C216,'Base de Datos'!$D$7:$F$4092,2,0))=TRUE,"",(VLOOKUP(C216,'Base de Datos'!$D$7:$F$4092,2,0)))</f>
        <v/>
      </c>
      <c r="E216" s="680" t="s">
        <v>2340</v>
      </c>
      <c r="F216" s="603">
        <v>6000000</v>
      </c>
      <c r="G216" s="750">
        <v>42415</v>
      </c>
      <c r="H216" s="784"/>
      <c r="I216" s="805" t="str">
        <f ca="1">IF(H216=Hoja1!$J$2," ",(IF(MONTH(G216)=MONTH(TODAY()),IF(DAY(G216)&gt;DAY(TODAY()),"Quedan "&amp;ABS(DAY(G216)-DAY(TODAY()))&amp;" Días","Hace "&amp;ABS(DAY(G216)-DAY(TODAY()))&amp;" Días"),"")))</f>
        <v>Quedan 14 Días</v>
      </c>
      <c r="J216" s="509" t="str">
        <f>IF(ISERROR(VLOOKUP(C216,'Base de Datos'!$D$7:$N$4092,6,0))=TRUE,"Sin Celebrar",(VLOOKUP(C216,'Base de Datos'!$D$7:$N$4092,6,0)))</f>
        <v>Sin Celebrar</v>
      </c>
      <c r="K216" s="587"/>
      <c r="L216" s="509">
        <f t="shared" si="17"/>
        <v>6000000</v>
      </c>
      <c r="M216" s="509" t="str">
        <f t="shared" si="18"/>
        <v xml:space="preserve"> </v>
      </c>
      <c r="N216" s="691" t="str">
        <f>IF(ISERROR(VLOOKUP(C216,'Base de Datos'!$D$7:$K$1048576,7,0))=TRUE," ",(VLOOKUP(C216,'Base de Datos'!$D$7:$K$1048576,7,0)))</f>
        <v xml:space="preserve"> </v>
      </c>
      <c r="O216" s="524" t="str">
        <f>IF(ISERROR(VLOOKUP(C216,'Base de Datos'!$D$7:$N$4077,9,0))=TRUE," ",(VLOOKUP(C216,'Base de Datos'!$D$7:$N$4077,9,0)))</f>
        <v xml:space="preserve"> </v>
      </c>
      <c r="P216" s="586" t="e">
        <f>VLOOKUP(B216,#REF!,13,0)</f>
        <v>#REF!</v>
      </c>
      <c r="Q216" s="524" t="str">
        <f>IF(ISERROR(VLOOKUP(C216,'Base de Datos'!$D$7:$N$4077,10,0))=TRUE," ",(VLOOKUP(C216,'Base de Datos'!$D$7:$N$4077,10,0)))</f>
        <v xml:space="preserve"> </v>
      </c>
      <c r="R216" s="524" t="str">
        <f>IF(ISERROR(VLOOKUP(C216,'Base de Datos'!$D$7:$N$4077,11,0))=TRUE," ",(VLOOKUP(C216,'Base de Datos'!$D$7:$N$4077,11,0)))</f>
        <v xml:space="preserve"> </v>
      </c>
      <c r="S216" s="587" t="s">
        <v>1991</v>
      </c>
      <c r="T216" s="694"/>
      <c r="U216" s="751"/>
    </row>
    <row r="217" spans="2:21" s="588" customFormat="1" ht="22.8" outlineLevel="1" x14ac:dyDescent="0.3">
      <c r="B217" s="600">
        <v>150</v>
      </c>
      <c r="C217" s="600" t="str">
        <f t="shared" si="16"/>
        <v>2016150</v>
      </c>
      <c r="D217" s="506"/>
      <c r="E217" s="680" t="s">
        <v>2402</v>
      </c>
      <c r="F217" s="603">
        <v>550000000</v>
      </c>
      <c r="G217" s="750">
        <v>42019</v>
      </c>
      <c r="H217" s="784"/>
      <c r="I217" s="805" t="str">
        <f ca="1">IF(H217=Hoja1!$J$2," ",(IF(MONTH(G217)=MONTH(TODAY()),IF(DAY(G217)&gt;DAY(TODAY()),"Quedan "&amp;ABS(DAY(G217)-DAY(TODAY()))&amp;" Días","Hace "&amp;ABS(DAY(G217)-DAY(TODAY()))&amp;" Días"),"")))</f>
        <v/>
      </c>
      <c r="J217" s="509" t="str">
        <f>IF(ISERROR(VLOOKUP(C217,'Base de Datos'!$D$7:$N$4092,6,0))=TRUE,"Sin Celebrar",(VLOOKUP(C217,'Base de Datos'!$D$7:$N$4092,6,0)))</f>
        <v>Sin Celebrar</v>
      </c>
      <c r="K217" s="587"/>
      <c r="L217" s="509">
        <f>IF(J217=$W$7,F217, " ")</f>
        <v>550000000</v>
      </c>
      <c r="M217" s="509" t="str">
        <f>IF(J217&lt;F217,(F217-J217)," ")</f>
        <v xml:space="preserve"> </v>
      </c>
      <c r="N217" s="691" t="str">
        <f>IF(ISERROR(VLOOKUP(C217,'Base de Datos'!$D$7:$K$1048576,7,0))=TRUE," ",(VLOOKUP(C217,'Base de Datos'!$D$7:$K$1048576,7,0)))</f>
        <v xml:space="preserve"> </v>
      </c>
      <c r="O217" s="524" t="str">
        <f>IF(ISERROR(VLOOKUP(C217,'Base de Datos'!$D$7:$N$4077,9,0))=TRUE," ",(VLOOKUP(C217,'Base de Datos'!$D$7:$N$4077,9,0)))</f>
        <v xml:space="preserve"> </v>
      </c>
      <c r="P217" s="586" t="e">
        <f>VLOOKUP(B217,#REF!,13,0)</f>
        <v>#REF!</v>
      </c>
      <c r="Q217" s="524" t="str">
        <f>IF(ISERROR(VLOOKUP(C217,'Base de Datos'!$D$7:$N$4077,10,0))=TRUE," ",(VLOOKUP(C217,'Base de Datos'!$D$7:$N$4077,10,0)))</f>
        <v xml:space="preserve"> </v>
      </c>
      <c r="R217" s="524" t="str">
        <f>IF(ISERROR(VLOOKUP(C217,'Base de Datos'!$D$7:$N$4077,11,0))=TRUE," ",(VLOOKUP(C217,'Base de Datos'!$D$7:$N$4077,11,0)))</f>
        <v xml:space="preserve"> </v>
      </c>
      <c r="S217" s="587" t="s">
        <v>1991</v>
      </c>
      <c r="T217" s="694"/>
      <c r="U217" s="751"/>
    </row>
    <row r="218" spans="2:21" s="588" customFormat="1" ht="22.8" outlineLevel="1" x14ac:dyDescent="0.3">
      <c r="B218" s="600">
        <v>234</v>
      </c>
      <c r="C218" s="600" t="str">
        <f t="shared" si="16"/>
        <v>2016234</v>
      </c>
      <c r="D218" s="506"/>
      <c r="E218" s="680" t="s">
        <v>2406</v>
      </c>
      <c r="F218" s="603">
        <v>162400000</v>
      </c>
      <c r="G218" s="750">
        <v>42439</v>
      </c>
      <c r="H218" s="784"/>
      <c r="I218" s="805" t="str">
        <f ca="1">IF(H218=Hoja1!$J$2," ",(IF(MONTH(G218)=MONTH(TODAY()),IF(DAY(G218)&gt;DAY(TODAY()),"Quedan "&amp;ABS(DAY(G218)-DAY(TODAY()))&amp;" Días","Hace "&amp;ABS(DAY(G218)-DAY(TODAY()))&amp;" Días"),"")))</f>
        <v/>
      </c>
      <c r="J218" s="509">
        <f>IF(ISERROR(VLOOKUP(C218,'Base de Datos'!$D$7:$N$4092,6,0))=TRUE,"Sin Celebrar",(VLOOKUP(C218,'Base de Datos'!$D$7:$N$4092,6,0)))</f>
        <v>112554160</v>
      </c>
      <c r="K218" s="587"/>
      <c r="L218" s="509" t="str">
        <f>IF(J218=$W$7,F218, " ")</f>
        <v xml:space="preserve"> </v>
      </c>
      <c r="M218" s="509">
        <f>IF(J218&lt;F218,(F218-J218)," ")</f>
        <v>49845840</v>
      </c>
      <c r="N218" s="691" t="str">
        <f>IF(ISERROR(VLOOKUP(C218,'Base de Datos'!$D$7:$K$1048576,7,0))=TRUE," ",(VLOOKUP(C218,'Base de Datos'!$D$7:$K$1048576,7,0)))</f>
        <v>Orden de compra No.. 12051</v>
      </c>
      <c r="O218" s="524">
        <f>IF(ISERROR(VLOOKUP(C218,'Base de Datos'!$D$7:$N$4077,9,0))=TRUE," ",(VLOOKUP(C218,'Base de Datos'!$D$7:$N$4077,9,0)))</f>
        <v>42696</v>
      </c>
      <c r="P218" s="586" t="e">
        <f>VLOOKUP(B218,#REF!,13,0)</f>
        <v>#REF!</v>
      </c>
      <c r="Q218" s="524">
        <f>IF(ISERROR(VLOOKUP(C218,'Base de Datos'!$D$7:$N$4077,10,0))=TRUE," ",(VLOOKUP(C218,'Base de Datos'!$D$7:$N$4077,10,0)))</f>
        <v>42696</v>
      </c>
      <c r="R218" s="524">
        <f>IF(ISERROR(VLOOKUP(C218,'Base de Datos'!$D$7:$N$4077,11,0))=TRUE," ",(VLOOKUP(C218,'Base de Datos'!$D$7:$N$4077,11,0)))</f>
        <v>42726</v>
      </c>
      <c r="S218" s="587" t="s">
        <v>1991</v>
      </c>
      <c r="T218" s="694"/>
      <c r="U218" s="751"/>
    </row>
    <row r="219" spans="2:21" s="588" customFormat="1" outlineLevel="1" x14ac:dyDescent="0.3">
      <c r="B219" s="587"/>
      <c r="C219" s="587"/>
      <c r="D219" s="587"/>
      <c r="E219" s="587"/>
      <c r="F219" s="603"/>
      <c r="G219" s="750"/>
      <c r="H219" s="750"/>
      <c r="I219" s="587"/>
      <c r="J219" s="587"/>
      <c r="K219" s="587"/>
      <c r="L219" s="587"/>
      <c r="M219" s="603"/>
      <c r="N219" s="668"/>
      <c r="O219" s="602"/>
      <c r="P219" s="587"/>
      <c r="Q219" s="587"/>
      <c r="R219" s="587"/>
      <c r="S219" s="587"/>
      <c r="T219" s="694"/>
      <c r="U219" s="607"/>
    </row>
    <row r="220" spans="2:21" ht="45.75" customHeight="1" outlineLevel="1" x14ac:dyDescent="0.3">
      <c r="B220" s="506"/>
      <c r="C220" s="506"/>
      <c r="D220" s="1258" t="s">
        <v>1932</v>
      </c>
      <c r="E220" s="1258"/>
      <c r="F220" s="593">
        <f>+F221</f>
        <v>3738700000</v>
      </c>
      <c r="G220" s="794">
        <f>COUNT(G221)</f>
        <v>1</v>
      </c>
      <c r="H220" s="793">
        <f>COUNTIF(H221:H221,Hoja1!$J$2)</f>
        <v>0</v>
      </c>
      <c r="I220" s="744"/>
      <c r="J220" s="593">
        <f>SUM(J221)</f>
        <v>3454655000</v>
      </c>
      <c r="K220" s="596">
        <f>+J220/F220</f>
        <v>0.92402573086901862</v>
      </c>
      <c r="L220" s="593">
        <f>SUM(L221)</f>
        <v>0</v>
      </c>
      <c r="M220" s="593">
        <f>+M221</f>
        <v>284045000</v>
      </c>
      <c r="N220" s="669"/>
      <c r="O220" s="599"/>
      <c r="P220" s="744"/>
      <c r="Q220" s="744"/>
      <c r="R220" s="744"/>
      <c r="S220" s="744"/>
      <c r="T220" s="694"/>
      <c r="U220" s="607"/>
    </row>
    <row r="221" spans="2:21" ht="22.8" outlineLevel="1" x14ac:dyDescent="0.3">
      <c r="B221" s="510">
        <v>152</v>
      </c>
      <c r="C221" s="600" t="str">
        <f>$W$6&amp;B221</f>
        <v>2016152</v>
      </c>
      <c r="D221" s="506" t="str">
        <f>IF(ISERROR(VLOOKUP(C221,'Base de Datos'!$D$7:$F$4092,2,0))=TRUE,"",(VLOOKUP(C221,'Base de Datos'!$D$7:$F$4092,2,0)))</f>
        <v>160069-0-2016</v>
      </c>
      <c r="E221" s="587" t="s">
        <v>1507</v>
      </c>
      <c r="F221" s="509">
        <v>3738700000</v>
      </c>
      <c r="G221" s="785">
        <v>42401</v>
      </c>
      <c r="H221" s="784"/>
      <c r="I221" s="805" t="str">
        <f ca="1">IF(H221=Hoja1!$J$2," ",(IF(MONTH(G221)=MONTH(TODAY()),IF(DAY(G221)&gt;DAY(TODAY()),"Quedan "&amp;ABS(DAY(G221)-DAY(TODAY()))&amp;" Días","Hace "&amp;ABS(DAY(G221)-DAY(TODAY()))&amp;" Días"),"")))</f>
        <v>Hace 0 Días</v>
      </c>
      <c r="J221" s="509">
        <f>IF(ISERROR(VLOOKUP(C221,'Base de Datos'!$D$7:$N$4092,6,0))=TRUE,"Sin Celebrar",(VLOOKUP(C221,'Base de Datos'!$D$7:$N$4092,6,0)))</f>
        <v>3454655000</v>
      </c>
      <c r="K221" s="509"/>
      <c r="L221" s="509" t="str">
        <f>IF(J221=$W$7,F221, " ")</f>
        <v xml:space="preserve"> </v>
      </c>
      <c r="M221" s="509">
        <f>IF(J221&lt;F221,(F221-J221)," ")</f>
        <v>284045000</v>
      </c>
      <c r="N221" s="691" t="str">
        <f>IF(ISERROR(VLOOKUP(C221,'Base de Datos'!$D$7:$K$1048576,7,0))=TRUE," ",(VLOOKUP(C221,'Base de Datos'!$D$7:$K$1048576,7,0)))</f>
        <v>160069-0-2016</v>
      </c>
      <c r="O221" s="524">
        <f>IF(ISERROR(VLOOKUP(C221,'Base de Datos'!$D$7:$N$4077,9,0))=TRUE," ",(VLOOKUP(C221,'Base de Datos'!$D$7:$N$4077,9,0)))</f>
        <v>42468</v>
      </c>
      <c r="P221" s="586" t="e">
        <f>VLOOKUP(B221,#REF!,13,0)</f>
        <v>#REF!</v>
      </c>
      <c r="Q221" s="524">
        <f>IF(ISERROR(VLOOKUP(C221,'Base de Datos'!$D$7:$N$4077,10,0))=TRUE," ",(VLOOKUP(C221,'Base de Datos'!$D$7:$N$4077,10,0)))</f>
        <v>42468</v>
      </c>
      <c r="R221" s="524">
        <f>IF(ISERROR(VLOOKUP(C221,'Base de Datos'!$D$7:$N$4077,11,0))=TRUE," ",(VLOOKUP(C221,'Base de Datos'!$D$7:$N$4077,11,0)))</f>
        <v>42735</v>
      </c>
      <c r="S221" s="506" t="s">
        <v>2350</v>
      </c>
      <c r="T221" s="694"/>
      <c r="U221" s="607"/>
    </row>
    <row r="222" spans="2:21" x14ac:dyDescent="0.3">
      <c r="B222" s="734"/>
      <c r="C222" s="734"/>
      <c r="D222" s="735"/>
      <c r="E222" s="735"/>
      <c r="F222" s="736"/>
      <c r="G222" s="791"/>
      <c r="H222" s="791"/>
      <c r="I222" s="737"/>
      <c r="J222" s="736"/>
      <c r="K222" s="736"/>
      <c r="L222" s="736"/>
      <c r="M222" s="736"/>
      <c r="N222" s="738"/>
      <c r="O222" s="739"/>
      <c r="P222" s="735"/>
      <c r="Q222" s="739"/>
      <c r="R222" s="739"/>
      <c r="S222" s="735"/>
      <c r="T222" s="694"/>
      <c r="U222" s="607"/>
    </row>
    <row r="223" spans="2:21" x14ac:dyDescent="0.3">
      <c r="B223" s="734"/>
      <c r="C223" s="734"/>
      <c r="D223" s="735"/>
      <c r="E223" s="735"/>
      <c r="F223" s="736"/>
      <c r="G223" s="791"/>
      <c r="H223" s="791"/>
      <c r="I223" s="737"/>
      <c r="J223" s="736"/>
      <c r="K223" s="736"/>
      <c r="L223" s="736"/>
      <c r="M223" s="736"/>
      <c r="N223" s="738"/>
      <c r="O223" s="739"/>
      <c r="P223" s="735"/>
      <c r="Q223" s="739"/>
      <c r="R223" s="739"/>
      <c r="S223" s="735"/>
      <c r="T223" s="694"/>
      <c r="U223" s="607"/>
    </row>
    <row r="224" spans="2:21" x14ac:dyDescent="0.3">
      <c r="B224" s="734"/>
      <c r="C224" s="734"/>
      <c r="D224" s="735"/>
      <c r="E224" s="735"/>
      <c r="F224" s="736"/>
      <c r="G224" s="791"/>
      <c r="H224" s="791"/>
      <c r="I224" s="737"/>
      <c r="J224" s="736"/>
      <c r="K224" s="736"/>
      <c r="L224" s="736"/>
      <c r="M224" s="736"/>
      <c r="N224" s="738"/>
      <c r="O224" s="739"/>
      <c r="P224" s="735"/>
      <c r="Q224" s="739"/>
      <c r="R224" s="739"/>
      <c r="S224" s="735"/>
      <c r="T224" s="694"/>
      <c r="U224" s="607"/>
    </row>
    <row r="225" spans="17:17" x14ac:dyDescent="0.3">
      <c r="Q225" s="670"/>
    </row>
  </sheetData>
  <mergeCells count="55">
    <mergeCell ref="B190:E190"/>
    <mergeCell ref="B191:E191"/>
    <mergeCell ref="B179:E179"/>
    <mergeCell ref="B166:E166"/>
    <mergeCell ref="B174:E174"/>
    <mergeCell ref="B175:E175"/>
    <mergeCell ref="B185:E185"/>
    <mergeCell ref="B186:E186"/>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39:E39"/>
    <mergeCell ref="B40:E40"/>
    <mergeCell ref="B41:E41"/>
    <mergeCell ref="B60:E60"/>
    <mergeCell ref="B7:E7"/>
    <mergeCell ref="B8:E8"/>
    <mergeCell ref="B30:E30"/>
    <mergeCell ref="B33:E33"/>
    <mergeCell ref="B6:E6"/>
    <mergeCell ref="B1:S1"/>
    <mergeCell ref="B2:E2"/>
    <mergeCell ref="B3:E3"/>
    <mergeCell ref="B4:E4"/>
    <mergeCell ref="B5:E5"/>
    <mergeCell ref="H2:I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ColWidth="11.44140625" defaultRowHeight="11.4" outlineLevelRow="1" x14ac:dyDescent="0.3"/>
  <cols>
    <col min="1" max="1" width="2.44140625" style="508" customWidth="1"/>
    <col min="2" max="2" width="10" style="508" customWidth="1"/>
    <col min="3" max="3" width="18" style="508" customWidth="1"/>
    <col min="4" max="4" width="46.109375" style="508" customWidth="1"/>
    <col min="5" max="5" width="18.44140625" style="508" customWidth="1"/>
    <col min="6" max="6" width="15.109375" style="508" customWidth="1"/>
    <col min="7" max="7" width="14.109375" style="508" hidden="1" customWidth="1"/>
    <col min="8" max="8" width="12.6640625" style="508" hidden="1" customWidth="1"/>
    <col min="9" max="9" width="15" style="508" hidden="1" customWidth="1"/>
    <col min="10" max="10" width="16.6640625" style="508" customWidth="1"/>
    <col min="11" max="11" width="9" style="584" customWidth="1"/>
    <col min="12" max="12" width="16.6640625" style="508" customWidth="1"/>
    <col min="13" max="13" width="12.88671875" style="508" hidden="1" customWidth="1"/>
    <col min="14" max="14" width="16.6640625" style="508" customWidth="1"/>
    <col min="15" max="15" width="16.6640625" style="670" customWidth="1"/>
    <col min="16" max="16" width="15.109375" style="520" customWidth="1"/>
    <col min="17" max="19" width="11.44140625" style="508" customWidth="1"/>
    <col min="20" max="20" width="16.6640625" style="508" customWidth="1"/>
    <col min="21" max="21" width="17.5546875" style="629" bestFit="1" customWidth="1"/>
    <col min="22" max="22" width="17.88671875" style="508" bestFit="1" customWidth="1"/>
    <col min="23" max="26" width="11.44140625" style="508"/>
    <col min="27" max="27" width="6.109375" style="508" customWidth="1"/>
    <col min="28" max="16384" width="11.44140625" style="508"/>
  </cols>
  <sheetData>
    <row r="1" spans="2:27" ht="23.25" customHeight="1" thickBot="1" x14ac:dyDescent="0.35">
      <c r="B1" s="1245" t="s">
        <v>1840</v>
      </c>
      <c r="C1" s="1246"/>
      <c r="D1" s="1246"/>
      <c r="E1" s="1246"/>
      <c r="F1" s="1246"/>
      <c r="G1" s="1246"/>
      <c r="H1" s="1246"/>
      <c r="I1" s="1246"/>
      <c r="J1" s="1246"/>
      <c r="K1" s="1246"/>
      <c r="L1" s="1246"/>
      <c r="M1" s="1246"/>
      <c r="N1" s="1246"/>
      <c r="O1" s="1246"/>
      <c r="P1" s="1246"/>
      <c r="Q1" s="1246"/>
      <c r="R1" s="1246"/>
      <c r="S1" s="1246"/>
      <c r="T1" s="1247"/>
      <c r="AA1" s="508" t="s">
        <v>1902</v>
      </c>
    </row>
    <row r="2" spans="2:27" ht="36" x14ac:dyDescent="0.3">
      <c r="B2" s="1243" t="s">
        <v>1782</v>
      </c>
      <c r="C2" s="1243"/>
      <c r="D2" s="1243"/>
      <c r="E2" s="845" t="s">
        <v>2263</v>
      </c>
      <c r="F2" s="845" t="s">
        <v>1841</v>
      </c>
      <c r="G2" s="845" t="s">
        <v>1896</v>
      </c>
      <c r="H2" s="845" t="s">
        <v>1897</v>
      </c>
      <c r="I2" s="845" t="s">
        <v>1839</v>
      </c>
      <c r="J2" s="845" t="s">
        <v>1898</v>
      </c>
      <c r="K2" s="688" t="s">
        <v>1899</v>
      </c>
      <c r="L2" s="845" t="s">
        <v>1900</v>
      </c>
      <c r="M2" s="845" t="s">
        <v>1901</v>
      </c>
      <c r="N2" s="845" t="s">
        <v>1903</v>
      </c>
      <c r="O2" s="689" t="s">
        <v>1121</v>
      </c>
      <c r="P2" s="690" t="s">
        <v>1846</v>
      </c>
      <c r="Q2" s="845" t="s">
        <v>1847</v>
      </c>
      <c r="R2" s="845" t="s">
        <v>1848</v>
      </c>
      <c r="S2" s="845" t="s">
        <v>375</v>
      </c>
      <c r="T2" s="845" t="s">
        <v>1849</v>
      </c>
    </row>
    <row r="3" spans="2:27" ht="15" customHeight="1" x14ac:dyDescent="0.3">
      <c r="B3" s="1241" t="s">
        <v>1685</v>
      </c>
      <c r="C3" s="1241"/>
      <c r="D3" s="1241"/>
      <c r="E3" s="514">
        <v>31035477000</v>
      </c>
      <c r="F3" s="514"/>
      <c r="G3" s="514"/>
      <c r="H3" s="514"/>
      <c r="I3" s="514">
        <f>+I4+I226</f>
        <v>8272977000</v>
      </c>
      <c r="J3" s="514">
        <f>+J4+J226</f>
        <v>30084445618.200001</v>
      </c>
      <c r="K3" s="619">
        <f t="shared" ref="K3:K8" si="0">+J3/E3</f>
        <v>0.96935663718653331</v>
      </c>
      <c r="L3" s="514" t="e">
        <f>+L4+L226</f>
        <v>#N/A</v>
      </c>
      <c r="M3" s="514" t="e">
        <f>+M4+M251</f>
        <v>#N/A</v>
      </c>
      <c r="N3" s="514" t="e">
        <f>+N4+N226</f>
        <v>#N/A</v>
      </c>
      <c r="O3" s="514"/>
      <c r="P3" s="624"/>
      <c r="Q3" s="544"/>
      <c r="R3" s="544"/>
      <c r="S3" s="544"/>
      <c r="T3" s="544"/>
    </row>
    <row r="4" spans="2:27" ht="15" customHeight="1" x14ac:dyDescent="0.3">
      <c r="B4" s="1241" t="s">
        <v>1683</v>
      </c>
      <c r="C4" s="1241"/>
      <c r="D4" s="1241"/>
      <c r="E4" s="514">
        <v>22793000000</v>
      </c>
      <c r="F4" s="515"/>
      <c r="G4" s="514">
        <f>+G5+G58</f>
        <v>858500000</v>
      </c>
      <c r="H4" s="514">
        <f>+H5+H58</f>
        <v>128000000</v>
      </c>
      <c r="I4" s="514">
        <f>+I5+I58</f>
        <v>730500000</v>
      </c>
      <c r="J4" s="514">
        <f>+J5+J49</f>
        <v>18432150043</v>
      </c>
      <c r="K4" s="619">
        <f t="shared" si="0"/>
        <v>0.80867591115693416</v>
      </c>
      <c r="L4" s="514" t="e">
        <f>+L5+L49</f>
        <v>#N/A</v>
      </c>
      <c r="M4" s="514" t="e">
        <f>+M5+M49</f>
        <v>#N/A</v>
      </c>
      <c r="N4" s="514" t="e">
        <f>+N5+N49</f>
        <v>#N/A</v>
      </c>
      <c r="O4" s="647"/>
      <c r="P4" s="545"/>
      <c r="Q4" s="544"/>
      <c r="R4" s="544"/>
      <c r="S4" s="544"/>
      <c r="T4" s="544"/>
    </row>
    <row r="5" spans="2:27" ht="15" customHeight="1" x14ac:dyDescent="0.3">
      <c r="B5" s="1240" t="s">
        <v>1682</v>
      </c>
      <c r="C5" s="1240"/>
      <c r="D5" s="1240"/>
      <c r="E5" s="512">
        <v>13641779000</v>
      </c>
      <c r="F5" s="513"/>
      <c r="G5" s="512">
        <f t="shared" ref="G5:N6" si="1">+G6</f>
        <v>858500000</v>
      </c>
      <c r="H5" s="512">
        <f t="shared" si="1"/>
        <v>128000000</v>
      </c>
      <c r="I5" s="512">
        <f t="shared" si="1"/>
        <v>730500000</v>
      </c>
      <c r="J5" s="512">
        <f t="shared" si="1"/>
        <v>11150082539</v>
      </c>
      <c r="K5" s="575">
        <f t="shared" si="0"/>
        <v>0.8173481287887745</v>
      </c>
      <c r="L5" s="512" t="e">
        <f t="shared" si="1"/>
        <v>#N/A</v>
      </c>
      <c r="M5" s="512">
        <f t="shared" si="1"/>
        <v>-94560993</v>
      </c>
      <c r="N5" s="512" t="e">
        <f t="shared" si="1"/>
        <v>#N/A</v>
      </c>
      <c r="O5" s="648"/>
      <c r="P5" s="543"/>
      <c r="Q5" s="542"/>
      <c r="R5" s="542"/>
      <c r="S5" s="542"/>
      <c r="T5" s="542"/>
    </row>
    <row r="6" spans="2:27" ht="15" customHeight="1" x14ac:dyDescent="0.3">
      <c r="B6" s="1240" t="s">
        <v>1681</v>
      </c>
      <c r="C6" s="1240"/>
      <c r="D6" s="1240"/>
      <c r="E6" s="512">
        <v>13641779000</v>
      </c>
      <c r="F6" s="513"/>
      <c r="G6" s="512">
        <f t="shared" si="1"/>
        <v>858500000</v>
      </c>
      <c r="H6" s="512">
        <f t="shared" si="1"/>
        <v>128000000</v>
      </c>
      <c r="I6" s="512">
        <f t="shared" si="1"/>
        <v>730500000</v>
      </c>
      <c r="J6" s="512">
        <f t="shared" si="1"/>
        <v>11150082539</v>
      </c>
      <c r="K6" s="575">
        <f t="shared" si="0"/>
        <v>0.8173481287887745</v>
      </c>
      <c r="L6" s="512" t="e">
        <f t="shared" si="1"/>
        <v>#N/A</v>
      </c>
      <c r="M6" s="512">
        <f t="shared" si="1"/>
        <v>-94560993</v>
      </c>
      <c r="N6" s="512" t="e">
        <f t="shared" si="1"/>
        <v>#N/A</v>
      </c>
      <c r="O6" s="648"/>
      <c r="P6" s="543"/>
      <c r="Q6" s="542"/>
      <c r="R6" s="542"/>
      <c r="S6" s="542"/>
      <c r="T6" s="542"/>
    </row>
    <row r="7" spans="2:27" ht="15" customHeight="1" x14ac:dyDescent="0.3">
      <c r="B7" s="1240" t="s">
        <v>1680</v>
      </c>
      <c r="C7" s="1240"/>
      <c r="D7" s="1240"/>
      <c r="E7" s="512">
        <v>13548179000</v>
      </c>
      <c r="F7" s="604"/>
      <c r="G7" s="512">
        <f>+G8+G49+G52</f>
        <v>858500000</v>
      </c>
      <c r="H7" s="512">
        <f>+H8+H49+H52</f>
        <v>128000000</v>
      </c>
      <c r="I7" s="512">
        <f>+I8+I49+I52</f>
        <v>730500000</v>
      </c>
      <c r="J7" s="512">
        <f>+J8+J34+J37</f>
        <v>11150082539</v>
      </c>
      <c r="K7" s="575">
        <f t="shared" si="0"/>
        <v>0.82299492345059799</v>
      </c>
      <c r="L7" s="512" t="e">
        <f>+L8+L34+L37</f>
        <v>#N/A</v>
      </c>
      <c r="M7" s="512">
        <f>+M8+M34+M37</f>
        <v>-94560993</v>
      </c>
      <c r="N7" s="512" t="e">
        <f>+N8+N34+N37</f>
        <v>#N/A</v>
      </c>
      <c r="O7" s="648"/>
      <c r="P7" s="543"/>
      <c r="Q7" s="542"/>
      <c r="R7" s="542"/>
      <c r="S7" s="542"/>
      <c r="T7" s="542"/>
    </row>
    <row r="8" spans="2:27" ht="15" customHeight="1" x14ac:dyDescent="0.3">
      <c r="B8" s="1239" t="s">
        <v>1642</v>
      </c>
      <c r="C8" s="1239"/>
      <c r="D8" s="1239"/>
      <c r="E8" s="554">
        <v>843179000</v>
      </c>
      <c r="F8" s="559">
        <v>19</v>
      </c>
      <c r="G8" s="554">
        <v>858500000</v>
      </c>
      <c r="H8" s="555">
        <v>128000000</v>
      </c>
      <c r="I8" s="554">
        <f>+G8-H8</f>
        <v>730500000</v>
      </c>
      <c r="J8" s="557">
        <f>SUM(J10:J31)</f>
        <v>639739993</v>
      </c>
      <c r="K8" s="576">
        <f t="shared" si="0"/>
        <v>0.75872382139498251</v>
      </c>
      <c r="L8" s="557">
        <f>SUM(L10:L31)</f>
        <v>298000000</v>
      </c>
      <c r="M8" s="558">
        <f>+E8-(J8+L8)</f>
        <v>-94560993</v>
      </c>
      <c r="N8" s="605">
        <f>+E8-J8-L8</f>
        <v>-94560993</v>
      </c>
      <c r="O8" s="649"/>
      <c r="P8" s="557"/>
      <c r="Q8" s="565"/>
      <c r="R8" s="565"/>
      <c r="S8" s="565"/>
      <c r="T8" s="565"/>
    </row>
    <row r="9" spans="2:27" ht="22.8" outlineLevel="1" x14ac:dyDescent="0.3">
      <c r="B9" s="510" t="s">
        <v>1692</v>
      </c>
      <c r="C9" s="510" t="s">
        <v>912</v>
      </c>
      <c r="D9" s="510" t="s">
        <v>1821</v>
      </c>
      <c r="E9" s="518" t="s">
        <v>1845</v>
      </c>
      <c r="F9" s="507" t="s">
        <v>1852</v>
      </c>
      <c r="G9" s="507"/>
      <c r="H9" s="507"/>
      <c r="I9" s="507"/>
      <c r="J9" s="510" t="s">
        <v>1844</v>
      </c>
      <c r="K9" s="625"/>
      <c r="L9" s="510" t="s">
        <v>1938</v>
      </c>
      <c r="M9" s="510"/>
      <c r="N9" s="510" t="s">
        <v>1939</v>
      </c>
      <c r="O9" s="650"/>
      <c r="P9" s="541" t="s">
        <v>1846</v>
      </c>
      <c r="Q9" s="510" t="s">
        <v>1847</v>
      </c>
      <c r="R9" s="510" t="s">
        <v>1848</v>
      </c>
      <c r="S9" s="510" t="s">
        <v>375</v>
      </c>
      <c r="T9" s="510" t="s">
        <v>1849</v>
      </c>
    </row>
    <row r="10" spans="2:27" ht="14.25" customHeight="1" outlineLevel="1" x14ac:dyDescent="0.3">
      <c r="B10" s="510">
        <v>69</v>
      </c>
      <c r="C10" s="506" t="str">
        <f>IF(ISERROR(VLOOKUP(B10,'Base de Datos'!$C$87:$F$4092,2,0))=TRUE,"",(VLOOKUP('Presupuesto - PAA 2017'!B10,'Base de Datos'!$C$7:$F$4092,3,0)))</f>
        <v>170115-0-2017</v>
      </c>
      <c r="D10" s="506" t="str">
        <f>IF(ISERROR(VLOOKUP(B10,'Base de Datos'!$C$487:$F$4092,3,0))=TRUE,"",(VLOOKUP('Presupuesto - PAA 2017'!B10,'Base de Datos'!$C$487:$F$4092,4,0)))</f>
        <v>WIESNER FABIÁN ROBAYO SALCEDO</v>
      </c>
      <c r="E10" s="509">
        <f>VLOOKUP(B10,[7]PAA2017!$C$65:$AA$255,20,0)</f>
        <v>39000000</v>
      </c>
      <c r="F10" s="507" t="str">
        <f>VLOOKUP(B10,[8]SOLICITUDES!$B$3:$H$278,2,0)</f>
        <v>SI</v>
      </c>
      <c r="G10" s="507"/>
      <c r="H10" s="507"/>
      <c r="I10" s="507"/>
      <c r="J10" s="509">
        <f>IF(ISERROR(VLOOKUP(B10,'Base de Datos'!$C$487:$N$4092,6,0))=TRUE,"Sin Celebrar",(VLOOKUP(B10,'Base de Datos'!$C$487:$N$4092,7,0)))</f>
        <v>38999997</v>
      </c>
      <c r="K10" s="573"/>
      <c r="L10" s="553" t="str">
        <f t="shared" ref="L10:L30" si="2">IF(J10=$AA$1,E10, " ")</f>
        <v xml:space="preserve"> </v>
      </c>
      <c r="M10" s="509"/>
      <c r="N10" s="509">
        <f t="shared" ref="N10:N30" si="3">IF(J10&lt;E10,(E10-J10)," ")</f>
        <v>3</v>
      </c>
      <c r="O10" s="691" t="str">
        <f>IF(ISERROR(VLOOKUP(B10,'Base de Datos'!$C$487:$K$1048576,7,0))=TRUE," ",(VLOOKUP(B10,'Base de Datos'!$C$487:$K$1048576,8,0)))</f>
        <v>170115-0-2017</v>
      </c>
      <c r="P10" s="524">
        <f>IF(ISERROR(VLOOKUP(B10,'Base de Datos'!$C$7:$N$4077,9,0))=TRUE," ",(VLOOKUP(B10,'Base de Datos'!$C$7:$N$4077,10,0)))</f>
        <v>42851</v>
      </c>
      <c r="Q10" s="709"/>
      <c r="R10" s="524">
        <f>IF(ISERROR(VLOOKUP(B10,'Base de Datos'!$C$7:$N$4077,10,0))=TRUE," ",(VLOOKUP(B10,'Base de Datos'!$C$7:$N$4077,11,0)))</f>
        <v>42858</v>
      </c>
      <c r="S10" s="524">
        <f>IF(ISERROR(VLOOKUP(B10,'Base de Datos'!$C$7:$N$4077,11,0))=TRUE," ",(VLOOKUP(B10,'Base de Datos'!$C$7:$N$4077,12,0)))</f>
        <v>43134</v>
      </c>
      <c r="T10" s="506" t="str">
        <f>VLOOKUP(B10,'Base de Datos'!$C$487:$AU$4129,41,0)</f>
        <v>LIQUIDADO</v>
      </c>
      <c r="U10" s="694"/>
      <c r="V10" s="607"/>
    </row>
    <row r="11" spans="2:27" ht="14.25" customHeight="1" outlineLevel="1" x14ac:dyDescent="0.3">
      <c r="B11" s="510">
        <v>70</v>
      </c>
      <c r="C11" s="506" t="str">
        <f>IF(ISERROR(VLOOKUP(B11,'Base de Datos'!$C$487:$F$4092,2,0))=TRUE,"",(VLOOKUP('Presupuesto - PAA 2017'!B11,'Base de Datos'!$C$7:$F$4092,3,0)))</f>
        <v>150321-0-2015</v>
      </c>
      <c r="D11" s="506" t="str">
        <f>IF(ISERROR(VLOOKUP(B11,'Base de Datos'!$C$487:$F$4092,3,0))=TRUE,"",(VLOOKUP('Presupuesto - PAA 2017'!B11,'Base de Datos'!$C$487:$F$4092,4,0)))</f>
        <v>KHAANKO NORBERTO RUIZ RODRÍGUEZ</v>
      </c>
      <c r="E11" s="509">
        <f>VLOOKUP(B11,[7]PAA2017!$C$65:$AA$255,20,0)</f>
        <v>31000000</v>
      </c>
      <c r="F11" s="507" t="str">
        <f>VLOOKUP(B11,[8]SOLICITUDES!$B$3:$H$278,2,0)</f>
        <v>SI</v>
      </c>
      <c r="G11" s="507"/>
      <c r="H11" s="507"/>
      <c r="I11" s="507"/>
      <c r="J11" s="509">
        <f>IF(ISERROR(VLOOKUP(B11,'Base de Datos'!$C$487:$N$4092,6,0))=TRUE,"Sin Celebrar",(VLOOKUP(B11,'Base de Datos'!$C$487:$N$4092,7,0)))</f>
        <v>38999996</v>
      </c>
      <c r="K11" s="573"/>
      <c r="L11" s="553" t="str">
        <f t="shared" si="2"/>
        <v xml:space="preserve"> </v>
      </c>
      <c r="M11" s="509"/>
      <c r="N11" s="509" t="str">
        <f t="shared" si="3"/>
        <v xml:space="preserve"> </v>
      </c>
      <c r="O11" s="691" t="str">
        <f>IF(ISERROR(VLOOKUP(B11,'Base de Datos'!$C$487:$K$1048576,7,0))=TRUE," ",(VLOOKUP(B11,'Base de Datos'!$C$487:$K$1048576,8,0)))</f>
        <v>170114-0-2017</v>
      </c>
      <c r="P11" s="524">
        <f>IF(ISERROR(VLOOKUP(B11,'Base de Datos'!$C$487:$N$4077,9,0))=TRUE," ",(VLOOKUP(B11,'Base de Datos'!$C$487:$N$4077,10,0)))</f>
        <v>42850</v>
      </c>
      <c r="Q11" s="709"/>
      <c r="R11" s="524">
        <f>IF(ISERROR(VLOOKUP(B11,'Base de Datos'!$C$487:$N$4077,10,0))=TRUE," ",(VLOOKUP(B11,'Base de Datos'!$C$487:$N$4077,11,0)))</f>
        <v>42858</v>
      </c>
      <c r="S11" s="524">
        <f>IF(ISERROR(VLOOKUP(B11,'Base de Datos'!$C$487:$N$4077,11,0))=TRUE," ",(VLOOKUP(B11,'Base de Datos'!$C$487:$N$4077,12,0)))</f>
        <v>43134</v>
      </c>
      <c r="T11" s="506" t="str">
        <f>VLOOKUP(B11,'Base de Datos'!$C$487:$AU$4129,41,0)</f>
        <v>LIQUIDADO</v>
      </c>
      <c r="U11" s="694"/>
      <c r="V11" s="607"/>
    </row>
    <row r="12" spans="2:27" ht="14.25" customHeight="1" outlineLevel="1" x14ac:dyDescent="0.3">
      <c r="B12" s="510">
        <v>141</v>
      </c>
      <c r="C12" s="506" t="str">
        <f>IF(ISERROR(VLOOKUP(B12,'Base de Datos'!$C$487:$F$4092,2,0))=TRUE,"",(VLOOKUP('Presupuesto - PAA 2017'!B12,'Base de Datos'!$C$7:$F$4092,3,0)))</f>
        <v>150123-0-2015</v>
      </c>
      <c r="D12" s="506" t="str">
        <f>IF(ISERROR(VLOOKUP(B12,'Base de Datos'!$C$487:$F$4092,3,0))=TRUE,"",(VLOOKUP('Presupuesto - PAA 2017'!B12,'Base de Datos'!$C$487:$F$4092,4,0)))</f>
        <v>ANGELICA MARIA RUBIO POLANCO</v>
      </c>
      <c r="E12" s="509">
        <f>VLOOKUP(B12,[7]PAA2017!$C$65:$AA$255,20,0)</f>
        <v>57000000</v>
      </c>
      <c r="F12" s="507" t="str">
        <f>VLOOKUP(B12,[8]SOLICITUDES!$B$3:$H$278,2,0)</f>
        <v>SI</v>
      </c>
      <c r="G12" s="507"/>
      <c r="H12" s="507"/>
      <c r="I12" s="507"/>
      <c r="J12" s="509">
        <f>IF(ISERROR(VLOOKUP(B12,'Base de Datos'!$C$487:$N$4092,6,0))=TRUE,"Sin Celebrar",(VLOOKUP(B12,'Base de Datos'!$C$487:$N$4092,7,0)))</f>
        <v>5700000</v>
      </c>
      <c r="K12" s="573"/>
      <c r="L12" s="553" t="str">
        <f t="shared" si="2"/>
        <v xml:space="preserve"> </v>
      </c>
      <c r="M12" s="509"/>
      <c r="N12" s="509">
        <f t="shared" si="3"/>
        <v>51300000</v>
      </c>
      <c r="O12" s="691" t="str">
        <f>IF(ISERROR(VLOOKUP(B12,'Base de Datos'!$C$487:$K$1048576,7,0))=TRUE," ",(VLOOKUP(B12,'Base de Datos'!$C$487:$K$1048576,8,0)))</f>
        <v>170021-0-2017</v>
      </c>
      <c r="P12" s="524">
        <f>IF(ISERROR(VLOOKUP(B12,'Base de Datos'!$C$487:$N$4077,9,0))=TRUE," ",(VLOOKUP(B12,'Base de Datos'!$C$487:$N$4077,10,0)))</f>
        <v>42776</v>
      </c>
      <c r="Q12" s="709"/>
      <c r="R12" s="524">
        <f>IF(ISERROR(VLOOKUP(B12,'Base de Datos'!$C$487:$N$4077,10,0))=TRUE," ",(VLOOKUP(B12,'Base de Datos'!$C$487:$N$4077,11,0)))</f>
        <v>42781</v>
      </c>
      <c r="S12" s="524">
        <f>IF(ISERROR(VLOOKUP(B12,'Base de Datos'!$C$487:$N$4077,11,0))=TRUE," ",(VLOOKUP(B12,'Base de Datos'!$C$487:$N$4077,12,0)))</f>
        <v>42809</v>
      </c>
      <c r="T12" s="506" t="str">
        <f>VLOOKUP(B12,'Base de Datos'!$C$487:$AU$4129,41,0)</f>
        <v>LIQUIDADO</v>
      </c>
      <c r="U12" s="694"/>
      <c r="V12" s="607"/>
    </row>
    <row r="13" spans="2:27" ht="14.25" customHeight="1" outlineLevel="1" x14ac:dyDescent="0.3">
      <c r="B13" s="510">
        <v>142</v>
      </c>
      <c r="C13" s="506" t="str">
        <f>IF(ISERROR(VLOOKUP(B13,'Base de Datos'!$C$487:$F$4092,2,0))=TRUE,"",(VLOOKUP('Presupuesto - PAA 2017'!B13,'Base de Datos'!$C$7:$F$4092,3,0)))</f>
        <v>150228-0-2015</v>
      </c>
      <c r="D13" s="506" t="str">
        <f>IF(ISERROR(VLOOKUP(B13,'Base de Datos'!$C$487:$F$4092,3,0))=TRUE,"",(VLOOKUP('Presupuesto - PAA 2017'!B13,'Base de Datos'!$C$487:$F$4092,4,0)))</f>
        <v>FABIO ALEJANDRO GOMEZ CASTAÑO</v>
      </c>
      <c r="E13" s="509">
        <f>VLOOKUP(B13,[7]PAA2017!$C$65:$AA$255,20,0)</f>
        <v>45000000</v>
      </c>
      <c r="F13" s="507" t="str">
        <f>VLOOKUP(B13,[8]SOLICITUDES!$B$3:$H$278,2,0)</f>
        <v>SI</v>
      </c>
      <c r="G13" s="507"/>
      <c r="H13" s="507"/>
      <c r="I13" s="507"/>
      <c r="J13" s="509">
        <f>IF(ISERROR(VLOOKUP(B13,'Base de Datos'!$C$487:$N$4092,6,0))=TRUE,"Sin Celebrar",(VLOOKUP(B13,'Base de Datos'!$C$487:$N$4092,7,0)))</f>
        <v>51300000</v>
      </c>
      <c r="K13" s="573"/>
      <c r="L13" s="553" t="str">
        <f t="shared" si="2"/>
        <v xml:space="preserve"> </v>
      </c>
      <c r="M13" s="509"/>
      <c r="N13" s="509" t="str">
        <f t="shared" si="3"/>
        <v xml:space="preserve"> </v>
      </c>
      <c r="O13" s="691" t="str">
        <f>IF(ISERROR(VLOOKUP(B13,'Base de Datos'!$C$487:$K$1048576,7,0))=TRUE," ",(VLOOKUP(B13,'Base de Datos'!$C$487:$K$1048576,8,0)))</f>
        <v>170117-0-2017</v>
      </c>
      <c r="P13" s="524">
        <f>IF(ISERROR(VLOOKUP(B13,'Base de Datos'!$C$487:$N$4077,9,0))=TRUE," ",(VLOOKUP(B13,'Base de Datos'!$C$487:$N$4077,10,0)))</f>
        <v>42852</v>
      </c>
      <c r="Q13" s="709"/>
      <c r="R13" s="524">
        <f>IF(ISERROR(VLOOKUP(B13,'Base de Datos'!$C$487:$N$4077,10,0))=TRUE," ",(VLOOKUP(B13,'Base de Datos'!$C$487:$N$4077,11,0)))</f>
        <v>42863</v>
      </c>
      <c r="S13" s="524">
        <f>IF(ISERROR(VLOOKUP(B13,'Base de Datos'!$C$487:$N$4077,11,0))=TRUE," ",(VLOOKUP(B13,'Base de Datos'!$C$487:$N$4077,12,0)))</f>
        <v>43139</v>
      </c>
      <c r="T13" s="506" t="str">
        <f>VLOOKUP(B13,'Base de Datos'!$C$487:$AU$4129,41,0)</f>
        <v>LIQUIDADO</v>
      </c>
      <c r="U13" s="694"/>
      <c r="V13" s="607"/>
    </row>
    <row r="14" spans="2:27" ht="14.25" customHeight="1" outlineLevel="1" x14ac:dyDescent="0.3">
      <c r="B14" s="510">
        <v>143</v>
      </c>
      <c r="C14" s="506" t="str">
        <f>IF(ISERROR(VLOOKUP(B14,'Base de Datos'!$C$487:$F$4092,2,0))=TRUE,"",(VLOOKUP('Presupuesto - PAA 2017'!B14,'Base de Datos'!$C$7:$F$4092,3,0)))</f>
        <v/>
      </c>
      <c r="D14" s="506" t="str">
        <f>IF(ISERROR(VLOOKUP(B14,'Base de Datos'!$C$487:$F$4092,3,0))=TRUE,"",(VLOOKUP('Presupuesto - PAA 2017'!B14,'Base de Datos'!$C$487:$F$4092,4,0)))</f>
        <v/>
      </c>
      <c r="E14" s="509">
        <f>VLOOKUP(B14,[7]PAA2017!$C$65:$AA$255,20,0)</f>
        <v>30000000</v>
      </c>
      <c r="F14" s="507" t="e">
        <f>VLOOKUP(B14,[8]SOLICITUDES!$B$3:$H$278,2,0)</f>
        <v>#N/A</v>
      </c>
      <c r="G14" s="507"/>
      <c r="H14" s="507"/>
      <c r="I14" s="507"/>
      <c r="J14" s="509" t="str">
        <f>IF(ISERROR(VLOOKUP(B14,'Base de Datos'!$C$487:$N$4092,6,0))=TRUE,"Sin Celebrar",(VLOOKUP(B14,'Base de Datos'!$C$487:$N$4092,7,0)))</f>
        <v>Sin Celebrar</v>
      </c>
      <c r="K14" s="573"/>
      <c r="L14" s="553">
        <f t="shared" si="2"/>
        <v>30000000</v>
      </c>
      <c r="M14" s="509"/>
      <c r="N14" s="509" t="str">
        <f t="shared" si="3"/>
        <v xml:space="preserve"> </v>
      </c>
      <c r="O14" s="691" t="str">
        <f>IF(ISERROR(VLOOKUP(B14,'Base de Datos'!$C$487:$K$1048576,7,0))=TRUE," ",(VLOOKUP(B14,'Base de Datos'!$C$487:$K$1048576,8,0)))</f>
        <v xml:space="preserve"> </v>
      </c>
      <c r="P14" s="524" t="str">
        <f>IF(ISERROR(VLOOKUP(B14,'Base de Datos'!$C$487:$N$4077,9,0))=TRUE," ",(VLOOKUP(B14,'Base de Datos'!$C$487:$N$4077,10,0)))</f>
        <v xml:space="preserve"> </v>
      </c>
      <c r="Q14" s="709"/>
      <c r="R14" s="524" t="str">
        <f>IF(ISERROR(VLOOKUP(B14,'Base de Datos'!$C$487:$N$4077,10,0))=TRUE," ",(VLOOKUP(B14,'Base de Datos'!$C$487:$N$4077,11,0)))</f>
        <v xml:space="preserve"> </v>
      </c>
      <c r="S14" s="524" t="str">
        <f>IF(ISERROR(VLOOKUP(B14,'Base de Datos'!$C$487:$N$4077,11,0))=TRUE," ",(VLOOKUP(B14,'Base de Datos'!$C$487:$N$4077,12,0)))</f>
        <v xml:space="preserve"> </v>
      </c>
      <c r="T14" s="506" t="e">
        <f>VLOOKUP(B14,'Base de Datos'!$C$487:$AU$4129,41,0)</f>
        <v>#N/A</v>
      </c>
      <c r="U14" s="694"/>
      <c r="V14" s="607"/>
    </row>
    <row r="15" spans="2:27" ht="14.25" customHeight="1" outlineLevel="1" x14ac:dyDescent="0.3">
      <c r="B15" s="510">
        <v>144</v>
      </c>
      <c r="C15" s="506" t="str">
        <f>IF(ISERROR(VLOOKUP(B15,'Base de Datos'!$C$487:$F$4092,2,0))=TRUE,"",(VLOOKUP('Presupuesto - PAA 2017'!B15,'Base de Datos'!$C$7:$F$4092,3,0)))</f>
        <v>150330-0-2015</v>
      </c>
      <c r="D15" s="506" t="str">
        <f>IF(ISERROR(VLOOKUP(B15,'Base de Datos'!$C$487:$F$4092,3,0))=TRUE,"",(VLOOKUP('Presupuesto - PAA 2017'!B15,'Base de Datos'!$C$487:$F$4092,4,0)))</f>
        <v>ANABIA JULLIETH ANGARITA GALINDO</v>
      </c>
      <c r="E15" s="509">
        <f>VLOOKUP(B15,[7]PAA2017!$C$65:$AA$255,20,0)</f>
        <v>25000000</v>
      </c>
      <c r="F15" s="507" t="str">
        <f>VLOOKUP(B15,[8]SOLICITUDES!$B$3:$H$278,2,0)</f>
        <v>SI</v>
      </c>
      <c r="G15" s="507"/>
      <c r="H15" s="507"/>
      <c r="I15" s="507"/>
      <c r="J15" s="509">
        <f>IF(ISERROR(VLOOKUP(B15,'Base de Datos'!$C$487:$N$4092,6,0))=TRUE,"Sin Celebrar",(VLOOKUP(B15,'Base de Datos'!$C$487:$N$4092,7,0)))</f>
        <v>22500000</v>
      </c>
      <c r="K15" s="573"/>
      <c r="L15" s="553" t="str">
        <f t="shared" si="2"/>
        <v xml:space="preserve"> </v>
      </c>
      <c r="M15" s="509"/>
      <c r="N15" s="509">
        <f t="shared" si="3"/>
        <v>2500000</v>
      </c>
      <c r="O15" s="691" t="str">
        <f>IF(ISERROR(VLOOKUP(B15,'Base de Datos'!$C$487:$K$1048576,7,0))=TRUE," ",(VLOOKUP(B15,'Base de Datos'!$C$487:$K$1048576,8,0)))</f>
        <v>170119-0-2017</v>
      </c>
      <c r="P15" s="524">
        <f>IF(ISERROR(VLOOKUP(B15,'Base de Datos'!$C$487:$N$4077,9,0))=TRUE," ",(VLOOKUP(B15,'Base de Datos'!$C$487:$N$4077,10,0)))</f>
        <v>42853</v>
      </c>
      <c r="Q15" s="709"/>
      <c r="R15" s="524">
        <f>IF(ISERROR(VLOOKUP(B15,'Base de Datos'!$C$487:$N$4077,10,0))=TRUE," ",(VLOOKUP(B15,'Base de Datos'!$C$487:$N$4077,11,0)))</f>
        <v>42863</v>
      </c>
      <c r="S15" s="524">
        <f>IF(ISERROR(VLOOKUP(B15,'Base de Datos'!$C$487:$N$4077,11,0))=TRUE," ",(VLOOKUP(B15,'Base de Datos'!$C$487:$N$4077,12,0)))</f>
        <v>43139</v>
      </c>
      <c r="T15" s="506" t="str">
        <f>VLOOKUP(B15,'Base de Datos'!$C$487:$AU$4129,41,0)</f>
        <v>EN TRÁMITE</v>
      </c>
      <c r="U15" s="694"/>
      <c r="V15" s="607"/>
    </row>
    <row r="16" spans="2:27" ht="14.25" customHeight="1" outlineLevel="1" x14ac:dyDescent="0.3">
      <c r="B16" s="510">
        <v>145</v>
      </c>
      <c r="C16" s="506" t="str">
        <f>IF(ISERROR(VLOOKUP(B16,'Base de Datos'!$C$487:$F$4092,2,0))=TRUE,"",(VLOOKUP('Presupuesto - PAA 2017'!B16,'Base de Datos'!$C$7:$F$4092,3,0)))</f>
        <v/>
      </c>
      <c r="D16" s="506" t="str">
        <f>IF(ISERROR(VLOOKUP(B16,'Base de Datos'!$C$487:$F$4092,3,0))=TRUE,"",(VLOOKUP('Presupuesto - PAA 2017'!B16,'Base de Datos'!$C$487:$F$4092,4,0)))</f>
        <v/>
      </c>
      <c r="E16" s="509">
        <f>VLOOKUP(B16,[7]PAA2017!$C$65:$AA$255,20,0)</f>
        <v>57000000</v>
      </c>
      <c r="F16" s="507" t="e">
        <f>VLOOKUP(B16,[8]SOLICITUDES!$B$3:$H$278,2,0)</f>
        <v>#N/A</v>
      </c>
      <c r="G16" s="507"/>
      <c r="H16" s="507"/>
      <c r="I16" s="507"/>
      <c r="J16" s="509" t="str">
        <f>IF(ISERROR(VLOOKUP(B16,'Base de Datos'!$C$487:$N$4092,6,0))=TRUE,"Sin Celebrar",(VLOOKUP(B16,'Base de Datos'!$C$487:$N$4092,7,0)))</f>
        <v>Sin Celebrar</v>
      </c>
      <c r="K16" s="573"/>
      <c r="L16" s="553">
        <f t="shared" si="2"/>
        <v>57000000</v>
      </c>
      <c r="M16" s="509"/>
      <c r="N16" s="509" t="str">
        <f t="shared" si="3"/>
        <v xml:space="preserve"> </v>
      </c>
      <c r="O16" s="691" t="str">
        <f>IF(ISERROR(VLOOKUP(B16,'Base de Datos'!$C$487:$K$1048576,7,0))=TRUE," ",(VLOOKUP(B16,'Base de Datos'!$C$487:$K$1048576,8,0)))</f>
        <v xml:space="preserve"> </v>
      </c>
      <c r="P16" s="524" t="str">
        <f>IF(ISERROR(VLOOKUP(B16,'Base de Datos'!$C$487:$N$4077,9,0))=TRUE," ",(VLOOKUP(B16,'Base de Datos'!$C$487:$N$4077,10,0)))</f>
        <v xml:space="preserve"> </v>
      </c>
      <c r="Q16" s="709"/>
      <c r="R16" s="524" t="str">
        <f>IF(ISERROR(VLOOKUP(B16,'Base de Datos'!$C$487:$N$4077,10,0))=TRUE," ",(VLOOKUP(B16,'Base de Datos'!$C$487:$N$4077,11,0)))</f>
        <v xml:space="preserve"> </v>
      </c>
      <c r="S16" s="524" t="str">
        <f>IF(ISERROR(VLOOKUP(B16,'Base de Datos'!$C$487:$N$4077,11,0))=TRUE," ",(VLOOKUP(B16,'Base de Datos'!$C$487:$N$4077,12,0)))</f>
        <v xml:space="preserve"> </v>
      </c>
      <c r="T16" s="506" t="e">
        <f>VLOOKUP(B16,'Base de Datos'!$C$487:$AU$4129,41,0)</f>
        <v>#N/A</v>
      </c>
      <c r="U16" s="694"/>
      <c r="V16" s="607"/>
    </row>
    <row r="17" spans="2:22" ht="14.25" customHeight="1" outlineLevel="1" x14ac:dyDescent="0.3">
      <c r="B17" s="510">
        <v>146</v>
      </c>
      <c r="C17" s="506" t="str">
        <f>IF(ISERROR(VLOOKUP(B17,'Base de Datos'!$C$487:$F$4092,2,0))=TRUE,"",(VLOOKUP('Presupuesto - PAA 2017'!B17,'Base de Datos'!$C$7:$F$4092,3,0)))</f>
        <v>150342-0-2015</v>
      </c>
      <c r="D17" s="506" t="str">
        <f>IF(ISERROR(VLOOKUP(B17,'Base de Datos'!$C$487:$F$4092,3,0))=TRUE,"",(VLOOKUP('Presupuesto - PAA 2017'!B17,'Base de Datos'!$C$487:$F$4092,4,0)))</f>
        <v>JESUS RAFAEL AGUAS CUELLO</v>
      </c>
      <c r="E17" s="509">
        <f>VLOOKUP(B17,[7]PAA2017!$C$65:$AA$255,20,0)</f>
        <v>57000000</v>
      </c>
      <c r="F17" s="507" t="e">
        <f>VLOOKUP(B17,[8]SOLICITUDES!$B$3:$H$278,2,0)</f>
        <v>#N/A</v>
      </c>
      <c r="G17" s="507"/>
      <c r="H17" s="507"/>
      <c r="I17" s="507"/>
      <c r="J17" s="509">
        <f>IF(ISERROR(VLOOKUP(B17,'Base de Datos'!$C$487:$N$4092,6,0))=TRUE,"Sin Celebrar",(VLOOKUP(B17,'Base de Datos'!$C$487:$N$4092,7,0)))</f>
        <v>39900000</v>
      </c>
      <c r="K17" s="573"/>
      <c r="L17" s="553" t="str">
        <f t="shared" si="2"/>
        <v xml:space="preserve"> </v>
      </c>
      <c r="M17" s="509"/>
      <c r="N17" s="509">
        <f t="shared" si="3"/>
        <v>17100000</v>
      </c>
      <c r="O17" s="691" t="str">
        <f>IF(ISERROR(VLOOKUP(B17,'Base de Datos'!$C$487:$K$1048576,7,0))=TRUE," ",(VLOOKUP(B17,'Base de Datos'!$C$487:$K$1048576,8,0)))</f>
        <v>170204-0-2017</v>
      </c>
      <c r="P17" s="524">
        <f>IF(ISERROR(VLOOKUP(B17,'Base de Datos'!$C$487:$N$4077,9,0))=TRUE," ",(VLOOKUP(B17,'Base de Datos'!$C$487:$N$4077,10,0)))</f>
        <v>42961</v>
      </c>
      <c r="Q17" s="709"/>
      <c r="R17" s="524">
        <f>IF(ISERROR(VLOOKUP(B17,'Base de Datos'!$C$487:$N$4077,10,0))=TRUE," ",(VLOOKUP(B17,'Base de Datos'!$C$487:$N$4077,11,0)))</f>
        <v>42969</v>
      </c>
      <c r="S17" s="524">
        <f>IF(ISERROR(VLOOKUP(B17,'Base de Datos'!$C$487:$N$4077,11,0))=TRUE," ",(VLOOKUP(B17,'Base de Datos'!$C$487:$N$4077,12,0)))</f>
        <v>43181</v>
      </c>
      <c r="T17" s="506" t="str">
        <f>VLOOKUP(B17,'Base de Datos'!$C$487:$AU$4129,41,0)</f>
        <v>LIQUIDADO</v>
      </c>
      <c r="U17" s="694"/>
      <c r="V17" s="607"/>
    </row>
    <row r="18" spans="2:22" ht="14.25" customHeight="1" outlineLevel="1" x14ac:dyDescent="0.3">
      <c r="B18" s="510">
        <v>147</v>
      </c>
      <c r="C18" s="506" t="str">
        <f>IF(ISERROR(VLOOKUP(B18,'Base de Datos'!$C$487:$F$4092,2,0))=TRUE,"",(VLOOKUP('Presupuesto - PAA 2017'!B18,'Base de Datos'!$C$7:$F$4092,3,0)))</f>
        <v>160156-0-2016</v>
      </c>
      <c r="D18" s="506" t="str">
        <f>IF(ISERROR(VLOOKUP(B18,'Base de Datos'!$C$487:$F$4092,3,0))=TRUE,"",(VLOOKUP('Presupuesto - PAA 2017'!B18,'Base de Datos'!$C$487:$F$4092,4,0)))</f>
        <v>JAVIER IGNACIO JATIVA GARCIA</v>
      </c>
      <c r="E18" s="509">
        <f>VLOOKUP(B18,[7]PAA2017!$C$65:$AA$255,20,0)</f>
        <v>42000000</v>
      </c>
      <c r="F18" s="507" t="str">
        <f>VLOOKUP(B18,[8]SOLICITUDES!$B$3:$H$278,2,0)</f>
        <v>SI</v>
      </c>
      <c r="G18" s="507"/>
      <c r="H18" s="507"/>
      <c r="I18" s="507"/>
      <c r="J18" s="509">
        <f>IF(ISERROR(VLOOKUP(B18,'Base de Datos'!$C$487:$N$4092,6,0))=TRUE,"Sin Celebrar",(VLOOKUP(B18,'Base de Datos'!$C$487:$N$4092,7,0)))</f>
        <v>3860000</v>
      </c>
      <c r="K18" s="573"/>
      <c r="L18" s="553" t="str">
        <f t="shared" si="2"/>
        <v xml:space="preserve"> </v>
      </c>
      <c r="M18" s="509"/>
      <c r="N18" s="509">
        <f t="shared" si="3"/>
        <v>38140000</v>
      </c>
      <c r="O18" s="691" t="str">
        <f>IF(ISERROR(VLOOKUP(B18,'Base de Datos'!$C$487:$K$1048576,7,0))=TRUE," ",(VLOOKUP(B18,'Base de Datos'!$C$487:$K$1048576,8,0)))</f>
        <v>170014-0-2017</v>
      </c>
      <c r="P18" s="524">
        <f>IF(ISERROR(VLOOKUP(B18,'Base de Datos'!$C$487:$N$4077,9,0))=TRUE," ",(VLOOKUP(B18,'Base de Datos'!$C$487:$N$4077,10,0)))</f>
        <v>42772</v>
      </c>
      <c r="Q18" s="709"/>
      <c r="R18" s="524">
        <f>IF(ISERROR(VLOOKUP(B18,'Base de Datos'!$C$487:$N$4077,10,0))=TRUE," ",(VLOOKUP(B18,'Base de Datos'!$C$487:$N$4077,11,0)))</f>
        <v>42772</v>
      </c>
      <c r="S18" s="524">
        <f>IF(ISERROR(VLOOKUP(B18,'Base de Datos'!$C$487:$N$4077,11,0))=TRUE," ",(VLOOKUP(B18,'Base de Datos'!$C$487:$N$4077,12,0)))</f>
        <v>42800</v>
      </c>
      <c r="T18" s="506" t="str">
        <f>VLOOKUP(B18,'Base de Datos'!$C$487:$AU$4129,41,0)</f>
        <v>LIQUIDADO</v>
      </c>
      <c r="U18" s="694"/>
      <c r="V18" s="607"/>
    </row>
    <row r="19" spans="2:22" ht="14.25" customHeight="1" outlineLevel="1" x14ac:dyDescent="0.3">
      <c r="B19" s="510">
        <v>148</v>
      </c>
      <c r="C19" s="506" t="str">
        <f>IF(ISERROR(VLOOKUP(B19,'Base de Datos'!$C$487:$F$4092,2,0))=TRUE,"",(VLOOKUP('Presupuesto - PAA 2017'!B19,'Base de Datos'!$C$7:$F$4092,3,0)))</f>
        <v>150338-0-2015</v>
      </c>
      <c r="D19" s="506" t="str">
        <f>IF(ISERROR(VLOOKUP(B19,'Base de Datos'!$C$487:$F$4092,3,0))=TRUE,"",(VLOOKUP('Presupuesto - PAA 2017'!B19,'Base de Datos'!$C$487:$F$4092,4,0)))</f>
        <v>CLARA INES VARGAS MALAGON</v>
      </c>
      <c r="E19" s="509">
        <f>VLOOKUP(B19,[7]PAA2017!$C$65:$AA$255,20,0)</f>
        <v>63000000</v>
      </c>
      <c r="F19" s="507" t="str">
        <f>VLOOKUP(B19,[8]SOLICITUDES!$B$3:$H$278,2,0)</f>
        <v>SI</v>
      </c>
      <c r="G19" s="507"/>
      <c r="H19" s="507"/>
      <c r="I19" s="507"/>
      <c r="J19" s="509">
        <f>IF(ISERROR(VLOOKUP(B19,'Base de Datos'!$C$487:$N$4092,6,0))=TRUE,"Sin Celebrar",(VLOOKUP(B19,'Base de Datos'!$C$487:$N$4092,7,0)))</f>
        <v>51300000</v>
      </c>
      <c r="K19" s="573"/>
      <c r="L19" s="553" t="str">
        <f t="shared" si="2"/>
        <v xml:space="preserve"> </v>
      </c>
      <c r="M19" s="509"/>
      <c r="N19" s="509">
        <f t="shared" si="3"/>
        <v>11700000</v>
      </c>
      <c r="O19" s="691" t="str">
        <f>IF(ISERROR(VLOOKUP(B19,'Base de Datos'!$C$487:$K$1048576,7,0))=TRUE," ",(VLOOKUP(B19,'Base de Datos'!$C$487:$K$1048576,8,0)))</f>
        <v>170102-0-2017</v>
      </c>
      <c r="P19" s="524">
        <f>IF(ISERROR(VLOOKUP(B19,'Base de Datos'!$C$487:$N$4077,9,0))=TRUE," ",(VLOOKUP(B19,'Base de Datos'!$C$487:$N$4077,10,0)))</f>
        <v>42846</v>
      </c>
      <c r="Q19" s="709"/>
      <c r="R19" s="524">
        <f>IF(ISERROR(VLOOKUP(B19,'Base de Datos'!$C$487:$N$4077,10,0))=TRUE," ",(VLOOKUP(B19,'Base de Datos'!$C$487:$N$4077,11,0)))</f>
        <v>42850</v>
      </c>
      <c r="S19" s="524">
        <f>IF(ISERROR(VLOOKUP(B19,'Base de Datos'!$C$487:$N$4077,11,0))=TRUE," ",(VLOOKUP(B19,'Base de Datos'!$C$487:$N$4077,12,0)))</f>
        <v>43125</v>
      </c>
      <c r="T19" s="506" t="str">
        <f>VLOOKUP(B19,'Base de Datos'!$C$487:$AU$4129,41,0)</f>
        <v>LIQUIDADO</v>
      </c>
      <c r="U19" s="694"/>
      <c r="V19" s="607"/>
    </row>
    <row r="20" spans="2:22" ht="14.25" customHeight="1" outlineLevel="1" x14ac:dyDescent="0.3">
      <c r="B20" s="510">
        <v>149</v>
      </c>
      <c r="C20" s="506" t="str">
        <f>IF(ISERROR(VLOOKUP(B20,'Base de Datos'!$C$487:$F$4092,2,0))=TRUE,"",(VLOOKUP('Presupuesto - PAA 2017'!B20,'Base de Datos'!$C$7:$F$4092,3,0)))</f>
        <v>150223-0-2015</v>
      </c>
      <c r="D20" s="506" t="str">
        <f>IF(ISERROR(VLOOKUP(B20,'Base de Datos'!$C$487:$F$4092,3,0))=TRUE,"",(VLOOKUP('Presupuesto - PAA 2017'!B20,'Base de Datos'!$C$487:$F$4092,4,0)))</f>
        <v>JOANNA PATRICIA GONZALEZ PAIPA</v>
      </c>
      <c r="E20" s="509">
        <f>VLOOKUP(B20,[7]PAA2017!$C$65:$AA$255,20,0)</f>
        <v>57000000</v>
      </c>
      <c r="F20" s="507" t="str">
        <f>VLOOKUP(B20,[8]SOLICITUDES!$B$3:$H$278,2,0)</f>
        <v>SI</v>
      </c>
      <c r="G20" s="507"/>
      <c r="H20" s="507"/>
      <c r="I20" s="507"/>
      <c r="J20" s="509">
        <f>IF(ISERROR(VLOOKUP(B20,'Base de Datos'!$C$487:$N$4092,6,0))=TRUE,"Sin Celebrar",(VLOOKUP(B20,'Base de Datos'!$C$487:$N$4092,7,0)))</f>
        <v>51300000</v>
      </c>
      <c r="K20" s="573"/>
      <c r="L20" s="553" t="str">
        <f t="shared" si="2"/>
        <v xml:space="preserve"> </v>
      </c>
      <c r="M20" s="509"/>
      <c r="N20" s="509">
        <f t="shared" si="3"/>
        <v>5700000</v>
      </c>
      <c r="O20" s="691" t="str">
        <f>IF(ISERROR(VLOOKUP(B20,'Base de Datos'!$C$487:$K$1048576,7,0))=TRUE," ",(VLOOKUP(B20,'Base de Datos'!$C$487:$K$1048576,8,0)))</f>
        <v>170137-0-2017</v>
      </c>
      <c r="P20" s="524">
        <f>IF(ISERROR(VLOOKUP(B20,'Base de Datos'!$C$487:$N$4077,9,0))=TRUE," ",(VLOOKUP(B20,'Base de Datos'!$C$487:$N$4077,10,0)))</f>
        <v>42871</v>
      </c>
      <c r="Q20" s="709"/>
      <c r="R20" s="524">
        <f>IF(ISERROR(VLOOKUP(B20,'Base de Datos'!$C$487:$N$4077,10,0))=TRUE," ",(VLOOKUP(B20,'Base de Datos'!$C$487:$N$4077,11,0)))</f>
        <v>42873</v>
      </c>
      <c r="S20" s="524">
        <f>IF(ISERROR(VLOOKUP(B20,'Base de Datos'!$C$487:$N$4077,11,0))=TRUE," ",(VLOOKUP(B20,'Base de Datos'!$C$487:$N$4077,12,0)))</f>
        <v>43149</v>
      </c>
      <c r="T20" s="506" t="str">
        <f>VLOOKUP(B20,'Base de Datos'!$C$487:$AU$4129,41,0)</f>
        <v>EN TRÁMITE</v>
      </c>
      <c r="U20" s="694"/>
      <c r="V20" s="607"/>
    </row>
    <row r="21" spans="2:22" ht="14.25" customHeight="1" outlineLevel="1" x14ac:dyDescent="0.3">
      <c r="B21" s="510">
        <v>150</v>
      </c>
      <c r="C21" s="506" t="str">
        <f>IF(ISERROR(VLOOKUP(B21,'Base de Datos'!$C$487:$F$4092,2,0))=TRUE,"",(VLOOKUP('Presupuesto - PAA 2017'!B21,'Base de Datos'!$C$7:$F$4092,3,0)))</f>
        <v>150168-0-2015</v>
      </c>
      <c r="D21" s="506" t="str">
        <f>IF(ISERROR(VLOOKUP(B21,'Base de Datos'!$C$487:$F$4092,3,0))=TRUE,"",(VLOOKUP('Presupuesto - PAA 2017'!B21,'Base de Datos'!$C$487:$F$4092,4,0)))</f>
        <v>DIANA PILAR DELGADO BARRERO</v>
      </c>
      <c r="E21" s="509">
        <f>VLOOKUP(B21,[7]PAA2017!$C$65:$AA$255,20,0)</f>
        <v>57000000</v>
      </c>
      <c r="F21" s="507" t="str">
        <f>VLOOKUP(B21,[8]SOLICITUDES!$B$3:$H$278,2,0)</f>
        <v>SI</v>
      </c>
      <c r="G21" s="507"/>
      <c r="H21" s="507"/>
      <c r="I21" s="507"/>
      <c r="J21" s="509">
        <f>IF(ISERROR(VLOOKUP(B21,'Base de Datos'!$C$487:$N$4092,6,0))=TRUE,"Sin Celebrar",(VLOOKUP(B21,'Base de Datos'!$C$487:$N$4092,7,0)))</f>
        <v>51300000</v>
      </c>
      <c r="K21" s="573"/>
      <c r="L21" s="553" t="str">
        <f t="shared" si="2"/>
        <v xml:space="preserve"> </v>
      </c>
      <c r="M21" s="509"/>
      <c r="N21" s="509">
        <f t="shared" si="3"/>
        <v>5700000</v>
      </c>
      <c r="O21" s="691" t="str">
        <f>IF(ISERROR(VLOOKUP(B21,'Base de Datos'!$C$487:$K$1048576,7,0))=TRUE," ",(VLOOKUP(B21,'Base de Datos'!$C$487:$K$1048576,8,0)))</f>
        <v>170113-0-2017</v>
      </c>
      <c r="P21" s="524">
        <f>IF(ISERROR(VLOOKUP(B21,'Base de Datos'!$C$487:$N$4077,9,0))=TRUE," ",(VLOOKUP(B21,'Base de Datos'!$C$487:$N$4077,10,0)))</f>
        <v>42850</v>
      </c>
      <c r="Q21" s="709"/>
      <c r="R21" s="524">
        <f>IF(ISERROR(VLOOKUP(B21,'Base de Datos'!$C$487:$N$4077,10,0))=TRUE," ",(VLOOKUP(B21,'Base de Datos'!$C$487:$N$4077,11,0)))</f>
        <v>42857</v>
      </c>
      <c r="S21" s="524">
        <f>IF(ISERROR(VLOOKUP(B21,'Base de Datos'!$C$487:$N$4077,11,0))=TRUE," ",(VLOOKUP(B21,'Base de Datos'!$C$487:$N$4077,12,0)))</f>
        <v>43133</v>
      </c>
      <c r="T21" s="506" t="str">
        <f>VLOOKUP(B21,'Base de Datos'!$C$487:$AU$4129,41,0)</f>
        <v>LIQUIDADO</v>
      </c>
      <c r="U21" s="694"/>
      <c r="V21" s="607"/>
    </row>
    <row r="22" spans="2:22" ht="14.25" customHeight="1" outlineLevel="1" x14ac:dyDescent="0.3">
      <c r="B22" s="510">
        <v>152</v>
      </c>
      <c r="C22" s="506" t="str">
        <f>IF(ISERROR(VLOOKUP(B22,'Base de Datos'!$C$487:$F$4092,2,0))=TRUE,"",(VLOOKUP('Presupuesto - PAA 2017'!B22,'Base de Datos'!$C$7:$F$4092,3,0)))</f>
        <v>150129-0-2015</v>
      </c>
      <c r="D22" s="506" t="str">
        <f>IF(ISERROR(VLOOKUP(B22,'Base de Datos'!$C$487:$F$4092,3,0))=TRUE,"",(VLOOKUP('Presupuesto - PAA 2017'!B22,'Base de Datos'!$C$487:$F$4092,4,0)))</f>
        <v>ANDRES MAURICIO BARRERA HERNANDEZ</v>
      </c>
      <c r="E22" s="509">
        <f>VLOOKUP(B22,[7]PAA2017!$C$65:$AA$255,20,0)</f>
        <v>48000000</v>
      </c>
      <c r="F22" s="507" t="str">
        <f>VLOOKUP(B22,[8]SOLICITUDES!$B$3:$H$278,2,0)</f>
        <v>SI</v>
      </c>
      <c r="G22" s="507"/>
      <c r="H22" s="507"/>
      <c r="I22" s="507"/>
      <c r="J22" s="509">
        <f>IF(ISERROR(VLOOKUP(B22,'Base de Datos'!$C$487:$N$4092,6,0))=TRUE,"Sin Celebrar",(VLOOKUP(B22,'Base de Datos'!$C$487:$N$4092,7,0)))</f>
        <v>54000000</v>
      </c>
      <c r="K22" s="573"/>
      <c r="L22" s="553" t="str">
        <f t="shared" si="2"/>
        <v xml:space="preserve"> </v>
      </c>
      <c r="M22" s="509"/>
      <c r="N22" s="509" t="str">
        <f t="shared" si="3"/>
        <v xml:space="preserve"> </v>
      </c>
      <c r="O22" s="691" t="str">
        <f>IF(ISERROR(VLOOKUP(B22,'Base de Datos'!$C$487:$K$1048576,7,0))=TRUE," ",(VLOOKUP(B22,'Base de Datos'!$C$487:$K$1048576,8,0)))</f>
        <v>170101-0-2017</v>
      </c>
      <c r="P22" s="524">
        <f>IF(ISERROR(VLOOKUP(B22,'Base de Datos'!$C$487:$N$4077,9,0))=TRUE," ",(VLOOKUP(B22,'Base de Datos'!$C$487:$N$4077,10,0)))</f>
        <v>42846</v>
      </c>
      <c r="Q22" s="709"/>
      <c r="R22" s="524">
        <f>IF(ISERROR(VLOOKUP(B22,'Base de Datos'!$C$487:$N$4077,10,0))=TRUE," ",(VLOOKUP(B22,'Base de Datos'!$C$487:$N$4077,11,0)))</f>
        <v>42849</v>
      </c>
      <c r="S22" s="524">
        <f>IF(ISERROR(VLOOKUP(B22,'Base de Datos'!$C$487:$N$4077,11,0))=TRUE," ",(VLOOKUP(B22,'Base de Datos'!$C$487:$N$4077,12,0)))</f>
        <v>43155</v>
      </c>
      <c r="T22" s="506" t="str">
        <f>VLOOKUP(B22,'Base de Datos'!$C$487:$AU$4129,41,0)</f>
        <v>EN TRÁMITE</v>
      </c>
      <c r="U22" s="694"/>
      <c r="V22" s="607"/>
    </row>
    <row r="23" spans="2:22" ht="27" customHeight="1" outlineLevel="1" x14ac:dyDescent="0.3">
      <c r="B23" s="510">
        <v>153</v>
      </c>
      <c r="C23" s="506" t="str">
        <f>IF(ISERROR(VLOOKUP(B23,'Base de Datos'!$C$487:$F$4092,2,0))=TRUE,"",(VLOOKUP('Presupuesto - PAA 2017'!B23,'Base de Datos'!$C$7:$F$4092,3,0)))</f>
        <v/>
      </c>
      <c r="D23" s="506" t="str">
        <f>IF(ISERROR(VLOOKUP(B23,'Base de Datos'!$C$487:$F$4092,3,0))=TRUE,"",(VLOOKUP('Presupuesto - PAA 2017'!B23,'Base de Datos'!$C$487:$F$4092,4,0)))</f>
        <v/>
      </c>
      <c r="E23" s="509">
        <f>VLOOKUP(B23,[7]PAA2017!$C$65:$AA$255,20,0)</f>
        <v>97000000</v>
      </c>
      <c r="F23" s="507" t="e">
        <f>VLOOKUP(B23,[8]SOLICITUDES!$B$3:$H$278,2,0)</f>
        <v>#N/A</v>
      </c>
      <c r="G23" s="507"/>
      <c r="H23" s="507"/>
      <c r="I23" s="507"/>
      <c r="J23" s="509" t="str">
        <f>IF(ISERROR(VLOOKUP(B23,'Base de Datos'!$C$487:$N$4092,6,0))=TRUE,"Sin Celebrar",(VLOOKUP(B23,'Base de Datos'!$C$487:$N$4092,7,0)))</f>
        <v>Sin Celebrar</v>
      </c>
      <c r="K23" s="573"/>
      <c r="L23" s="553">
        <f t="shared" si="2"/>
        <v>97000000</v>
      </c>
      <c r="M23" s="509"/>
      <c r="N23" s="509" t="str">
        <f t="shared" si="3"/>
        <v xml:space="preserve"> </v>
      </c>
      <c r="O23" s="691" t="str">
        <f>IF(ISERROR(VLOOKUP(B23,'Base de Datos'!$C$487:$K$1048576,7,0))=TRUE," ",(VLOOKUP(B23,'Base de Datos'!$C$487:$K$1048576,8,0)))</f>
        <v xml:space="preserve"> </v>
      </c>
      <c r="P23" s="524" t="str">
        <f>IF(ISERROR(VLOOKUP(B23,'Base de Datos'!$C$487:$N$4077,9,0))=TRUE," ",(VLOOKUP(B23,'Base de Datos'!$C$487:$N$4077,10,0)))</f>
        <v xml:space="preserve"> </v>
      </c>
      <c r="Q23" s="709"/>
      <c r="R23" s="524" t="str">
        <f>IF(ISERROR(VLOOKUP(B23,'Base de Datos'!$C$487:$N$4077,10,0))=TRUE," ",(VLOOKUP(B23,'Base de Datos'!$C$487:$N$4077,11,0)))</f>
        <v xml:space="preserve"> </v>
      </c>
      <c r="S23" s="524" t="str">
        <f>IF(ISERROR(VLOOKUP(B23,'Base de Datos'!$C$487:$N$4077,11,0))=TRUE," ",(VLOOKUP(B23,'Base de Datos'!$C$487:$N$4077,12,0)))</f>
        <v xml:space="preserve"> </v>
      </c>
      <c r="T23" s="506" t="e">
        <f>VLOOKUP(B23,'Base de Datos'!$C$487:$AU$4129,41,0)</f>
        <v>#N/A</v>
      </c>
      <c r="U23" s="694"/>
      <c r="V23" s="607"/>
    </row>
    <row r="24" spans="2:22" ht="14.25" customHeight="1" outlineLevel="1" x14ac:dyDescent="0.3">
      <c r="B24" s="510">
        <v>154</v>
      </c>
      <c r="C24" s="506" t="str">
        <f>IF(ISERROR(VLOOKUP(B24,'Base de Datos'!$C$487:$F$4092,2,0))=TRUE,"",(VLOOKUP('Presupuesto - PAA 2017'!B24,'Base de Datos'!$C$7:$F$4092,3,0)))</f>
        <v>150229-0-2015</v>
      </c>
      <c r="D24" s="506" t="str">
        <f>IF(ISERROR(VLOOKUP(B24,'Base de Datos'!$C$487:$F$4092,3,0))=TRUE,"",(VLOOKUP('Presupuesto - PAA 2017'!B24,'Base de Datos'!$C$487:$F$4092,4,0)))</f>
        <v>MARTHA LILIANA SALAZAR GOMEZ</v>
      </c>
      <c r="E24" s="509">
        <f>VLOOKUP(B24,[7]PAA2017!$C$65:$AA$255,20,0)</f>
        <v>57000000</v>
      </c>
      <c r="F24" s="507" t="e">
        <f>VLOOKUP(B24,[8]SOLICITUDES!$B$3:$H$278,2,0)</f>
        <v>#N/A</v>
      </c>
      <c r="G24" s="507"/>
      <c r="H24" s="507"/>
      <c r="I24" s="507"/>
      <c r="J24" s="509">
        <f>IF(ISERROR(VLOOKUP(B24,'Base de Datos'!$C$487:$N$4092,6,0))=TRUE,"Sin Celebrar",(VLOOKUP(B24,'Base de Datos'!$C$487:$N$4092,7,0)))</f>
        <v>22800000</v>
      </c>
      <c r="K24" s="573"/>
      <c r="L24" s="553" t="str">
        <f t="shared" si="2"/>
        <v xml:space="preserve"> </v>
      </c>
      <c r="M24" s="509"/>
      <c r="N24" s="509">
        <f t="shared" si="3"/>
        <v>34200000</v>
      </c>
      <c r="O24" s="691" t="str">
        <f>IF(ISERROR(VLOOKUP(B24,'Base de Datos'!$C$487:$K$1048576,7,0))=TRUE," ",(VLOOKUP(B24,'Base de Datos'!$C$487:$K$1048576,8,0)))</f>
        <v>170232-0-2017</v>
      </c>
      <c r="P24" s="524">
        <f>IF(ISERROR(VLOOKUP(B24,'Base de Datos'!$C$487:$N$4077,9,0))=TRUE," ",(VLOOKUP(B24,'Base de Datos'!$C$487:$N$4077,10,0)))</f>
        <v>42984</v>
      </c>
      <c r="Q24" s="709"/>
      <c r="R24" s="524">
        <f>IF(ISERROR(VLOOKUP(B24,'Base de Datos'!$C$487:$N$4077,10,0))=TRUE," ",(VLOOKUP(B24,'Base de Datos'!$C$487:$N$4077,11,0)))</f>
        <v>42997</v>
      </c>
      <c r="S24" s="524">
        <f>IF(ISERROR(VLOOKUP(B24,'Base de Datos'!$C$487:$N$4077,11,0))=TRUE," ",(VLOOKUP(B24,'Base de Datos'!$C$487:$N$4077,12,0)))</f>
        <v>43119</v>
      </c>
      <c r="T24" s="506" t="str">
        <f>VLOOKUP(B24,'Base de Datos'!$C$487:$AU$4129,41,0)</f>
        <v>LIQUIDADO</v>
      </c>
      <c r="U24" s="694"/>
      <c r="V24" s="607"/>
    </row>
    <row r="25" spans="2:22" outlineLevel="1" x14ac:dyDescent="0.3">
      <c r="B25" s="525">
        <v>155</v>
      </c>
      <c r="C25" s="506" t="str">
        <f>IF(ISERROR(VLOOKUP(B25,'Base de Datos'!$C$487:$F$4092,2,0))=TRUE,"",(VLOOKUP('Presupuesto - PAA 2017'!B25,'Base de Datos'!$C$7:$F$4092,3,0)))</f>
        <v>150341-0-2015</v>
      </c>
      <c r="D25" s="506" t="str">
        <f>IF(ISERROR(VLOOKUP(B25,'Base de Datos'!$C$487:$F$4092,3,0))=TRUE,"",(VLOOKUP('Presupuesto - PAA 2017'!B25,'Base de Datos'!$C$487:$F$4092,4,0)))</f>
        <v>BLANCA LISBETH CAMARGO BARRERA</v>
      </c>
      <c r="E25" s="509">
        <f>VLOOKUP(B25,[7]PAA2017!$C$65:$AA$255,20,0)</f>
        <v>47000000</v>
      </c>
      <c r="F25" s="507" t="e">
        <f>VLOOKUP(B25,[8]SOLICITUDES!$B$3:$H$278,2,0)</f>
        <v>#N/A</v>
      </c>
      <c r="G25" s="507"/>
      <c r="H25" s="507"/>
      <c r="I25" s="507"/>
      <c r="J25" s="509">
        <f>IF(ISERROR(VLOOKUP(B25,'Base de Datos'!$C$487:$N$4092,6,0))=TRUE,"Sin Celebrar",(VLOOKUP(B25,'Base de Datos'!$C$487:$N$4092,7,0)))</f>
        <v>48180000</v>
      </c>
      <c r="K25" s="573"/>
      <c r="L25" s="553" t="str">
        <f t="shared" si="2"/>
        <v xml:space="preserve"> </v>
      </c>
      <c r="M25" s="509"/>
      <c r="N25" s="509" t="str">
        <f t="shared" si="3"/>
        <v xml:space="preserve"> </v>
      </c>
      <c r="O25" s="691" t="str">
        <f>IF(ISERROR(VLOOKUP(B25,'Base de Datos'!$C$487:$K$1048576,7,0))=TRUE," ",(VLOOKUP(B25,'Base de Datos'!$C$487:$K$1048576,8,0)))</f>
        <v>SDH-CD-28-2019</v>
      </c>
      <c r="P25" s="524">
        <f>IF(ISERROR(VLOOKUP(B25,'Base de Datos'!$C$487:$N$4077,9,0))=TRUE," ",(VLOOKUP(B25,'Base de Datos'!$C$487:$N$4077,10,0)))</f>
        <v>43500</v>
      </c>
      <c r="Q25" s="709"/>
      <c r="R25" s="524">
        <f>IF(ISERROR(VLOOKUP(B25,'Base de Datos'!$C$487:$N$4077,10,0))=TRUE," ",(VLOOKUP(B25,'Base de Datos'!$C$487:$N$4077,11,0)))</f>
        <v>43500</v>
      </c>
      <c r="S25" s="524">
        <f>IF(ISERROR(VLOOKUP(B25,'Base de Datos'!$C$487:$N$4077,11,0))=TRUE," ",(VLOOKUP(B25,'Base de Datos'!$C$487:$N$4077,12,0)))</f>
        <v>43641</v>
      </c>
      <c r="T25" s="506" t="str">
        <f>VLOOKUP(B25,'Base de Datos'!$C$487:$AU$4129,41,0)</f>
        <v>DEVUELTO</v>
      </c>
      <c r="U25" s="694"/>
      <c r="V25" s="607"/>
    </row>
    <row r="26" spans="2:22" outlineLevel="1" x14ac:dyDescent="0.3">
      <c r="B26" s="525">
        <v>156</v>
      </c>
      <c r="C26" s="506" t="str">
        <f>IF(ISERROR(VLOOKUP(B26,'Base de Datos'!$C$487:$F$4092,2,0))=TRUE,"",(VLOOKUP('Presupuesto - PAA 2017'!B26,'Base de Datos'!$C$7:$F$4092,3,0)))</f>
        <v>170111-0-2017</v>
      </c>
      <c r="D26" s="506" t="str">
        <f>IF(ISERROR(VLOOKUP(B26,'Base de Datos'!$C$487:$F$4092,3,0))=TRUE,"",(VLOOKUP('Presupuesto - PAA 2017'!B26,'Base de Datos'!$C$487:$F$4092,4,0)))</f>
        <v>WILSON GUERRERO VERA</v>
      </c>
      <c r="E26" s="509">
        <f>VLOOKUP(B26,[7]PAA2017!$C$65:$AA$255,20,0)</f>
        <v>57000000</v>
      </c>
      <c r="F26" s="507" t="str">
        <f>VLOOKUP(B26,[8]SOLICITUDES!$B$3:$H$278,2,0)</f>
        <v>SI</v>
      </c>
      <c r="G26" s="507"/>
      <c r="H26" s="507"/>
      <c r="I26" s="507"/>
      <c r="J26" s="509">
        <f>IF(ISERROR(VLOOKUP(B26,'Base de Datos'!$C$487:$N$4092,6,0))=TRUE,"Sin Celebrar",(VLOOKUP(B26,'Base de Datos'!$C$487:$N$4092,7,0)))</f>
        <v>57000000</v>
      </c>
      <c r="K26" s="573"/>
      <c r="L26" s="553" t="str">
        <f t="shared" si="2"/>
        <v xml:space="preserve"> </v>
      </c>
      <c r="M26" s="509"/>
      <c r="N26" s="509" t="str">
        <f t="shared" si="3"/>
        <v xml:space="preserve"> </v>
      </c>
      <c r="O26" s="691" t="str">
        <f>IF(ISERROR(VLOOKUP(B26,'Base de Datos'!$C$487:$K$1048576,7,0))=TRUE," ",(VLOOKUP(B26,'Base de Datos'!$C$487:$K$1048576,8,0)))</f>
        <v>170111-0-2017</v>
      </c>
      <c r="P26" s="524">
        <f>IF(ISERROR(VLOOKUP(B26,'Base de Datos'!$C$487:$N$4077,9,0))=TRUE," ",(VLOOKUP(B26,'Base de Datos'!$C$487:$N$4077,10,0)))</f>
        <v>42850</v>
      </c>
      <c r="Q26" s="709"/>
      <c r="R26" s="524">
        <f>IF(ISERROR(VLOOKUP(B26,'Base de Datos'!$C$487:$N$4077,10,0))=TRUE," ",(VLOOKUP(B26,'Base de Datos'!$C$487:$N$4077,11,0)))</f>
        <v>42857</v>
      </c>
      <c r="S26" s="524">
        <f>IF(ISERROR(VLOOKUP(B26,'Base de Datos'!$C$487:$N$4077,11,0))=TRUE," ",(VLOOKUP(B26,'Base de Datos'!$C$487:$N$4077,12,0)))</f>
        <v>43161</v>
      </c>
      <c r="T26" s="506" t="str">
        <f>VLOOKUP(B26,'Base de Datos'!$C$487:$AU$4129,41,0)</f>
        <v>LIQUIDADO</v>
      </c>
      <c r="U26" s="694"/>
      <c r="V26" s="607"/>
    </row>
    <row r="27" spans="2:22" ht="22.8" outlineLevel="1" x14ac:dyDescent="0.3">
      <c r="B27" s="525">
        <v>157</v>
      </c>
      <c r="C27" s="506" t="str">
        <f>IF(ISERROR(VLOOKUP(B27,'Base de Datos'!$C$487:$F$4092,2,0))=TRUE,"",(VLOOKUP('Presupuesto - PAA 2017'!B27,'Base de Datos'!$C$7:$F$4092,3,0)))</f>
        <v>150255-0-2015</v>
      </c>
      <c r="D27" s="506" t="str">
        <f>IF(ISERROR(VLOOKUP(B27,'Base de Datos'!$C$487:$F$4092,3,0))=TRUE,"",(VLOOKUP('Presupuesto - PAA 2017'!B27,'Base de Datos'!$C$487:$F$4092,4,0)))</f>
        <v>LUZ ANGELA CARDENAS MORENO (Cesionaria) / IVON ADRIANA JIMENEZ ZAPATA (Antes)</v>
      </c>
      <c r="E27" s="509">
        <f>VLOOKUP(B27,[7]PAA2017!$C$65:$AA$255,20,0)</f>
        <v>57000000</v>
      </c>
      <c r="F27" s="507" t="str">
        <f>VLOOKUP(B27,[8]SOLICITUDES!$B$3:$H$278,2,0)</f>
        <v>SI</v>
      </c>
      <c r="G27" s="507"/>
      <c r="H27" s="507"/>
      <c r="I27" s="507"/>
      <c r="J27" s="509">
        <f>IF(ISERROR(VLOOKUP(B27,'Base de Datos'!$C$487:$N$4092,6,0))=TRUE,"Sin Celebrar",(VLOOKUP(B27,'Base de Datos'!$C$487:$N$4092,7,0)))</f>
        <v>51300000</v>
      </c>
      <c r="K27" s="573"/>
      <c r="L27" s="553" t="str">
        <f t="shared" si="2"/>
        <v xml:space="preserve"> </v>
      </c>
      <c r="M27" s="509"/>
      <c r="N27" s="509">
        <f t="shared" si="3"/>
        <v>5700000</v>
      </c>
      <c r="O27" s="691" t="str">
        <f>IF(ISERROR(VLOOKUP(B27,'Base de Datos'!$C$487:$K$1048576,7,0))=TRUE," ",(VLOOKUP(B27,'Base de Datos'!$C$487:$K$1048576,8,0)))</f>
        <v>170109-0-2017</v>
      </c>
      <c r="P27" s="524">
        <f>IF(ISERROR(VLOOKUP(B27,'Base de Datos'!$C$487:$N$4077,9,0))=TRUE," ",(VLOOKUP(B27,'Base de Datos'!$C$487:$N$4077,10,0)))</f>
        <v>42849</v>
      </c>
      <c r="Q27" s="709"/>
      <c r="R27" s="524">
        <f>IF(ISERROR(VLOOKUP(B27,'Base de Datos'!$C$487:$N$4077,10,0))=TRUE," ",(VLOOKUP(B27,'Base de Datos'!$C$487:$N$4077,11,0)))</f>
        <v>42851</v>
      </c>
      <c r="S27" s="524">
        <f>IF(ISERROR(VLOOKUP(B27,'Base de Datos'!$C$487:$N$4077,11,0))=TRUE," ",(VLOOKUP(B27,'Base de Datos'!$C$487:$N$4077,12,0)))</f>
        <v>43126</v>
      </c>
      <c r="T27" s="506" t="str">
        <f>VLOOKUP(B27,'Base de Datos'!$C$487:$AU$4129,41,0)</f>
        <v>EN TRÁMITE</v>
      </c>
      <c r="U27" s="694"/>
      <c r="V27" s="607"/>
    </row>
    <row r="28" spans="2:22" outlineLevel="1" x14ac:dyDescent="0.3">
      <c r="B28" s="525">
        <v>158</v>
      </c>
      <c r="C28" s="506" t="str">
        <f>IF(ISERROR(VLOOKUP(B28,'Base de Datos'!$C$487:$F$4092,2,0))=TRUE,"",(VLOOKUP('Presupuesto - PAA 2017'!B28,'Base de Datos'!$C$7:$F$4092,3,0)))</f>
        <v>150271-0-2015</v>
      </c>
      <c r="D28" s="506" t="str">
        <f>IF(ISERROR(VLOOKUP(B28,'Base de Datos'!$C$487:$F$4092,3,0))=TRUE,"",(VLOOKUP('Presupuesto - PAA 2017'!B28,'Base de Datos'!$C$487:$F$4092,4,0)))</f>
        <v>CLAUDIA ELVIRA RODRIGUEZ POVEDA</v>
      </c>
      <c r="E28" s="509">
        <f>VLOOKUP(B28,[7]PAA2017!$C$65:$AA$255,20,0)</f>
        <v>57000000</v>
      </c>
      <c r="F28" s="507" t="str">
        <f>VLOOKUP(B28,[8]SOLICITUDES!$B$3:$H$278,2,0)</f>
        <v>SI</v>
      </c>
      <c r="G28" s="507"/>
      <c r="H28" s="507"/>
      <c r="I28" s="507"/>
      <c r="J28" s="509">
        <f>IF(ISERROR(VLOOKUP(B28,'Base de Datos'!$C$487:$N$4092,6,0))=TRUE,"Sin Celebrar",(VLOOKUP(B28,'Base de Datos'!$C$487:$N$4092,7,0)))</f>
        <v>51300000</v>
      </c>
      <c r="K28" s="573"/>
      <c r="L28" s="553" t="str">
        <f t="shared" si="2"/>
        <v xml:space="preserve"> </v>
      </c>
      <c r="M28" s="509"/>
      <c r="N28" s="509">
        <f t="shared" si="3"/>
        <v>5700000</v>
      </c>
      <c r="O28" s="691" t="str">
        <f>IF(ISERROR(VLOOKUP(B28,'Base de Datos'!$C$487:$K$1048576,7,0))=TRUE," ",(VLOOKUP(B28,'Base de Datos'!$C$487:$K$1048576,8,0)))</f>
        <v>170105-0-2017</v>
      </c>
      <c r="P28" s="524">
        <f>IF(ISERROR(VLOOKUP(B28,'Base de Datos'!$C$487:$N$4077,9,0))=TRUE," ",(VLOOKUP(B28,'Base de Datos'!$C$487:$N$4077,10,0)))</f>
        <v>42849</v>
      </c>
      <c r="Q28" s="709"/>
      <c r="R28" s="524">
        <f>IF(ISERROR(VLOOKUP(B28,'Base de Datos'!$C$487:$N$4077,10,0))=TRUE," ",(VLOOKUP(B28,'Base de Datos'!$C$487:$N$4077,11,0)))</f>
        <v>42850</v>
      </c>
      <c r="S28" s="524">
        <f>IF(ISERROR(VLOOKUP(B28,'Base de Datos'!$C$487:$N$4077,11,0))=TRUE," ",(VLOOKUP(B28,'Base de Datos'!$C$487:$N$4077,12,0)))</f>
        <v>43125</v>
      </c>
      <c r="T28" s="506" t="str">
        <f>VLOOKUP(B28,'Base de Datos'!$C$487:$AU$4129,41,0)</f>
        <v>LIQUIDADO</v>
      </c>
      <c r="U28" s="694"/>
      <c r="V28" s="607"/>
    </row>
    <row r="29" spans="2:22" outlineLevel="1" x14ac:dyDescent="0.3">
      <c r="B29" s="525">
        <v>159</v>
      </c>
      <c r="C29" s="506" t="str">
        <f>IF(ISERROR(VLOOKUP(B29,'Base de Datos'!$C$487:$F$4092,2,0))=TRUE,"",(VLOOKUP('Presupuesto - PAA 2017'!B29,'Base de Datos'!$C$7:$F$4092,3,0)))</f>
        <v/>
      </c>
      <c r="D29" s="506" t="str">
        <f>IF(ISERROR(VLOOKUP(B29,'Base de Datos'!$C$487:$F$4092,3,0))=TRUE,"",(VLOOKUP('Presupuesto - PAA 2017'!B29,'Base de Datos'!$C$487:$F$4092,4,0)))</f>
        <v/>
      </c>
      <c r="E29" s="509">
        <f>VLOOKUP(B29,[7]PAA2017!$C$65:$AA$255,20,0)</f>
        <v>57000000</v>
      </c>
      <c r="F29" s="507" t="str">
        <f>VLOOKUP(B29,[8]SOLICITUDES!$B$3:$H$278,2,0)</f>
        <v>SI</v>
      </c>
      <c r="G29" s="507"/>
      <c r="H29" s="507"/>
      <c r="I29" s="507"/>
      <c r="J29" s="509" t="str">
        <f>IF(ISERROR(VLOOKUP(B29,'Base de Datos'!$C$487:$N$4092,6,0))=TRUE,"Sin Celebrar",(VLOOKUP(B29,'Base de Datos'!$C$487:$N$4092,7,0)))</f>
        <v>Sin Celebrar</v>
      </c>
      <c r="K29" s="573"/>
      <c r="L29" s="553">
        <f t="shared" si="2"/>
        <v>57000000</v>
      </c>
      <c r="M29" s="509"/>
      <c r="N29" s="509" t="str">
        <f t="shared" si="3"/>
        <v xml:space="preserve"> </v>
      </c>
      <c r="O29" s="691" t="str">
        <f>IF(ISERROR(VLOOKUP(B29,'Base de Datos'!$C$487:$K$1048576,7,0))=TRUE," ",(VLOOKUP(B29,'Base de Datos'!$C$487:$K$1048576,8,0)))</f>
        <v xml:space="preserve"> </v>
      </c>
      <c r="P29" s="524" t="str">
        <f>IF(ISERROR(VLOOKUP(B29,'Base de Datos'!$C$487:$N$4077,9,0))=TRUE," ",(VLOOKUP(B29,'Base de Datos'!$C$487:$N$4077,10,0)))</f>
        <v xml:space="preserve"> </v>
      </c>
      <c r="Q29" s="709"/>
      <c r="R29" s="524" t="str">
        <f>IF(ISERROR(VLOOKUP(B29,'Base de Datos'!$C$487:$N$4077,10,0))=TRUE," ",(VLOOKUP(B29,'Base de Datos'!$C$487:$N$4077,11,0)))</f>
        <v xml:space="preserve"> </v>
      </c>
      <c r="S29" s="524" t="str">
        <f>IF(ISERROR(VLOOKUP(B29,'Base de Datos'!$C$487:$N$4077,11,0))=TRUE," ",(VLOOKUP(B29,'Base de Datos'!$C$487:$N$4077,12,0)))</f>
        <v xml:space="preserve"> </v>
      </c>
      <c r="T29" s="506" t="e">
        <f>VLOOKUP(B29,'Base de Datos'!$C$487:$AU$4129,41,0)</f>
        <v>#N/A</v>
      </c>
      <c r="U29" s="694"/>
      <c r="V29" s="607"/>
    </row>
    <row r="30" spans="2:22" outlineLevel="1" x14ac:dyDescent="0.3">
      <c r="B30" s="525">
        <v>160</v>
      </c>
      <c r="C30" s="506" t="str">
        <f>IF(ISERROR(VLOOKUP(B30,'Base de Datos'!$C$487:$F$4092,2,0))=TRUE,"",(VLOOKUP('Presupuesto - PAA 2017'!B30,'Base de Datos'!$C$7:$F$4092,3,0)))</f>
        <v/>
      </c>
      <c r="D30" s="506" t="str">
        <f>IF(ISERROR(VLOOKUP(B30,'Base de Datos'!$C$487:$F$4092,3,0))=TRUE,"",(VLOOKUP('Presupuesto - PAA 2017'!B30,'Base de Datos'!$C$487:$F$4092,4,0)))</f>
        <v/>
      </c>
      <c r="E30" s="509">
        <f>VLOOKUP(B30,[7]PAA2017!$C$65:$AA$255,20,0)</f>
        <v>57000000</v>
      </c>
      <c r="F30" s="507" t="e">
        <f>VLOOKUP(B30,[8]SOLICITUDES!$B$3:$H$278,2,0)</f>
        <v>#N/A</v>
      </c>
      <c r="G30" s="507"/>
      <c r="H30" s="507"/>
      <c r="I30" s="507"/>
      <c r="J30" s="509" t="str">
        <f>IF(ISERROR(VLOOKUP(B30,'Base de Datos'!$C$487:$N$4092,6,0))=TRUE,"Sin Celebrar",(VLOOKUP(B30,'Base de Datos'!$C$487:$N$4092,7,0)))</f>
        <v>Sin Celebrar</v>
      </c>
      <c r="K30" s="573"/>
      <c r="L30" s="553">
        <f t="shared" si="2"/>
        <v>57000000</v>
      </c>
      <c r="M30" s="509"/>
      <c r="N30" s="509" t="str">
        <f t="shared" si="3"/>
        <v xml:space="preserve"> </v>
      </c>
      <c r="O30" s="691" t="str">
        <f>IF(ISERROR(VLOOKUP(B30,'Base de Datos'!$C$487:$K$1048576,7,0))=TRUE," ",(VLOOKUP(B30,'Base de Datos'!$C$487:$K$1048576,8,0)))</f>
        <v xml:space="preserve"> </v>
      </c>
      <c r="P30" s="524" t="str">
        <f>IF(ISERROR(VLOOKUP(B30,'Base de Datos'!$C$487:$N$4077,9,0))=TRUE," ",(VLOOKUP(B30,'Base de Datos'!$C$487:$N$4077,10,0)))</f>
        <v xml:space="preserve"> </v>
      </c>
      <c r="Q30" s="709"/>
      <c r="R30" s="524" t="str">
        <f>IF(ISERROR(VLOOKUP(B30,'Base de Datos'!$C$487:$N$4077,10,0))=TRUE," ",(VLOOKUP(B30,'Base de Datos'!$C$487:$N$4077,11,0)))</f>
        <v xml:space="preserve"> </v>
      </c>
      <c r="S30" s="524" t="str">
        <f>IF(ISERROR(VLOOKUP(B30,'Base de Datos'!$C$487:$N$4077,11,0))=TRUE," ",(VLOOKUP(B30,'Base de Datos'!$C$487:$N$4077,12,0)))</f>
        <v xml:space="preserve"> </v>
      </c>
      <c r="T30" s="506" t="e">
        <f>VLOOKUP(B30,'Base de Datos'!$C$487:$AU$4129,41,0)</f>
        <v>#N/A</v>
      </c>
      <c r="U30" s="694"/>
      <c r="V30" s="607"/>
    </row>
    <row r="31" spans="2:22" ht="12" outlineLevel="1" thickBot="1" x14ac:dyDescent="0.35">
      <c r="B31" s="525"/>
      <c r="C31" s="526"/>
      <c r="D31" s="526"/>
      <c r="E31" s="527"/>
      <c r="F31" s="528"/>
      <c r="G31" s="528"/>
      <c r="H31" s="528"/>
      <c r="I31" s="528"/>
      <c r="J31" s="509"/>
      <c r="K31" s="577"/>
      <c r="L31" s="527" t="str">
        <f>IF(J31=$AA$1,E31, " ")</f>
        <v xml:space="preserve"> </v>
      </c>
      <c r="M31" s="527"/>
      <c r="N31" s="527" t="str">
        <f>IF(J31&lt;E31,(E31-J31)," ")</f>
        <v xml:space="preserve"> </v>
      </c>
      <c r="O31" s="652"/>
      <c r="P31" s="529" t="str">
        <f>IF(ISERROR(VLOOKUP(B31,'Base de Datos'!$C$7:$N$315,9,0))=TRUE," ",(VLOOKUP(B31,'Base de Datos'!$C$7:$N$315,9,0)))</f>
        <v xml:space="preserve"> </v>
      </c>
      <c r="Q31" s="526"/>
      <c r="R31" s="529" t="str">
        <f>IF(ISERROR(VLOOKUP(B31,'Base de Datos'!$C$7:$N$315,10,0))=TRUE," ",(VLOOKUP(B31,'Base de Datos'!$C$7:$N$315,10,0)))</f>
        <v xml:space="preserve"> </v>
      </c>
      <c r="S31" s="529" t="str">
        <f>IF(ISERROR(VLOOKUP(B31,'Base de Datos'!$C$7:$N$315,11,0))=TRUE," ",(VLOOKUP(B31,'Base de Datos'!$C$7:$N$315,11,0)))</f>
        <v xml:space="preserve"> </v>
      </c>
      <c r="T31" s="526"/>
      <c r="U31" s="694"/>
      <c r="V31" s="607"/>
    </row>
    <row r="32" spans="2:22" ht="12" outlineLevel="1" x14ac:dyDescent="0.3">
      <c r="B32" s="1249"/>
      <c r="C32" s="1250"/>
      <c r="D32" s="1250"/>
      <c r="E32" s="532"/>
      <c r="F32" s="532"/>
      <c r="G32" s="532"/>
      <c r="H32" s="532"/>
      <c r="I32" s="532"/>
      <c r="J32" s="532"/>
      <c r="K32" s="578"/>
      <c r="L32" s="532"/>
      <c r="M32" s="532"/>
      <c r="N32" s="532"/>
      <c r="O32" s="653"/>
      <c r="P32" s="533"/>
      <c r="Q32" s="534"/>
      <c r="R32" s="533"/>
      <c r="S32" s="533"/>
      <c r="T32" s="535"/>
      <c r="U32" s="694"/>
      <c r="V32" s="607"/>
    </row>
    <row r="33" spans="2:22" ht="12.6" outlineLevel="1" thickBot="1" x14ac:dyDescent="0.35">
      <c r="B33" s="1251"/>
      <c r="C33" s="1252"/>
      <c r="D33" s="1252"/>
      <c r="E33" s="536"/>
      <c r="F33" s="552"/>
      <c r="G33" s="552"/>
      <c r="H33" s="552"/>
      <c r="I33" s="552"/>
      <c r="J33" s="536"/>
      <c r="K33" s="579"/>
      <c r="L33" s="536"/>
      <c r="M33" s="536"/>
      <c r="N33" s="536"/>
      <c r="O33" s="654"/>
      <c r="P33" s="537"/>
      <c r="Q33" s="538"/>
      <c r="R33" s="537"/>
      <c r="S33" s="537"/>
      <c r="T33" s="539"/>
      <c r="U33" s="694"/>
      <c r="V33" s="607"/>
    </row>
    <row r="34" spans="2:22" ht="15" customHeight="1" x14ac:dyDescent="0.3">
      <c r="B34" s="1253" t="s">
        <v>1643</v>
      </c>
      <c r="C34" s="1253"/>
      <c r="D34" s="1253"/>
      <c r="E34" s="560">
        <v>12705000000</v>
      </c>
      <c r="F34" s="561">
        <f>COUNTIF('Actualizada - presupuesto'!$E$7:$E$111,B34)</f>
        <v>0</v>
      </c>
      <c r="G34" s="561"/>
      <c r="H34" s="561"/>
      <c r="I34" s="554">
        <v>12745000000</v>
      </c>
      <c r="J34" s="560">
        <f>+J35</f>
        <v>10479835080</v>
      </c>
      <c r="K34" s="580">
        <f>J35/I34</f>
        <v>0.82227030835621817</v>
      </c>
      <c r="L34" s="560">
        <f>E34-J34</f>
        <v>2225164920</v>
      </c>
      <c r="M34" s="605">
        <f>+E34-(J34+L34)</f>
        <v>0</v>
      </c>
      <c r="N34" s="560">
        <f>+E34-J34-L34</f>
        <v>0</v>
      </c>
      <c r="O34" s="655"/>
      <c r="P34" s="562" t="str">
        <f>IF(ISERROR(VLOOKUP(B34,'Base de Datos'!$C$7:$N$315,8,0))=TRUE," ",(VLOOKUP(B34,'Base de Datos'!$C$7:$N$315,8,0)))</f>
        <v xml:space="preserve"> </v>
      </c>
      <c r="Q34" s="563"/>
      <c r="R34" s="562" t="str">
        <f>IF(ISERROR(VLOOKUP(B34,'Base de Datos'!$C$7:$N$315,9,0))=TRUE," ",(VLOOKUP(B34,'Base de Datos'!$C$7:$N$315,9,0)))</f>
        <v xml:space="preserve"> </v>
      </c>
      <c r="S34" s="562" t="str">
        <f>IF(ISERROR(VLOOKUP(B34,'Base de Datos'!$C$7:$N$315,10,0))=TRUE," ",(VLOOKUP(B34,'Base de Datos'!$C$7:$N$315,10,0)))</f>
        <v xml:space="preserve"> </v>
      </c>
      <c r="T34" s="686"/>
      <c r="U34" s="694"/>
      <c r="V34" s="607"/>
    </row>
    <row r="35" spans="2:22" s="571" customFormat="1" ht="15" customHeight="1" outlineLevel="1" x14ac:dyDescent="0.3">
      <c r="B35" s="566"/>
      <c r="C35" s="566"/>
      <c r="D35" s="848" t="s">
        <v>2262</v>
      </c>
      <c r="E35" s="567"/>
      <c r="F35" s="568"/>
      <c r="G35" s="568"/>
      <c r="H35" s="568"/>
      <c r="I35" s="568"/>
      <c r="J35" s="553">
        <v>10479835080</v>
      </c>
      <c r="K35" s="581"/>
      <c r="L35" s="567"/>
      <c r="M35" s="567"/>
      <c r="N35" s="567"/>
      <c r="O35" s="656"/>
      <c r="P35" s="569"/>
      <c r="Q35" s="570"/>
      <c r="R35" s="569"/>
      <c r="S35" s="569"/>
      <c r="T35" s="687"/>
      <c r="U35" s="694"/>
      <c r="V35" s="607"/>
    </row>
    <row r="36" spans="2:22" s="571" customFormat="1" ht="15" customHeight="1" outlineLevel="1" x14ac:dyDescent="0.3">
      <c r="B36" s="566"/>
      <c r="C36" s="566"/>
      <c r="D36" s="566"/>
      <c r="E36" s="567"/>
      <c r="F36" s="568"/>
      <c r="G36" s="568"/>
      <c r="H36" s="568"/>
      <c r="I36" s="568"/>
      <c r="J36" s="567"/>
      <c r="K36" s="581"/>
      <c r="L36" s="567"/>
      <c r="M36" s="567"/>
      <c r="N36" s="567"/>
      <c r="O36" s="656"/>
      <c r="P36" s="569"/>
      <c r="Q36" s="570"/>
      <c r="R36" s="569"/>
      <c r="S36" s="569"/>
      <c r="T36" s="687"/>
      <c r="U36" s="694"/>
      <c r="V36" s="607"/>
    </row>
    <row r="37" spans="2:22" ht="15" customHeight="1" x14ac:dyDescent="0.3">
      <c r="B37" s="1239" t="s">
        <v>1644</v>
      </c>
      <c r="C37" s="1239"/>
      <c r="D37" s="1239"/>
      <c r="E37" s="554">
        <v>93600000</v>
      </c>
      <c r="F37" s="559">
        <v>3</v>
      </c>
      <c r="G37" s="559"/>
      <c r="H37" s="559"/>
      <c r="I37" s="559"/>
      <c r="J37" s="554">
        <f>SUM(J39:J47)</f>
        <v>30507466</v>
      </c>
      <c r="K37" s="576">
        <f>J37/E37</f>
        <v>0.32593446581196583</v>
      </c>
      <c r="L37" s="554" t="e">
        <f>SUM(L39:L47)</f>
        <v>#N/A</v>
      </c>
      <c r="M37" s="605">
        <v>0</v>
      </c>
      <c r="N37" s="554" t="e">
        <f>+E37-J37-L37</f>
        <v>#N/A</v>
      </c>
      <c r="O37" s="657"/>
      <c r="P37" s="564" t="str">
        <f>IF(ISERROR(VLOOKUP(B37,'Base de Datos'!$C$7:$N$315,8,0))=TRUE," ",(VLOOKUP(B37,'Base de Datos'!$C$7:$N$315,8,0)))</f>
        <v xml:space="preserve"> </v>
      </c>
      <c r="Q37" s="565"/>
      <c r="R37" s="564" t="str">
        <f>IF(ISERROR(VLOOKUP(B37,'Base de Datos'!$C$7:$N$315,9,0))=TRUE," ",(VLOOKUP(B37,'Base de Datos'!$C$7:$N$315,9,0)))</f>
        <v xml:space="preserve"> </v>
      </c>
      <c r="S37" s="564" t="str">
        <f>IF(ISERROR(VLOOKUP(B37,'Base de Datos'!$C$7:$N$315,10,0))=TRUE," ",(VLOOKUP(B37,'Base de Datos'!$C$7:$N$315,10,0)))</f>
        <v xml:space="preserve"> </v>
      </c>
      <c r="T37" s="565"/>
      <c r="U37" s="694"/>
      <c r="V37" s="607"/>
    </row>
    <row r="38" spans="2:22" ht="22.8" outlineLevel="1" x14ac:dyDescent="0.3">
      <c r="B38" s="510" t="s">
        <v>1692</v>
      </c>
      <c r="C38" s="510" t="s">
        <v>912</v>
      </c>
      <c r="D38" s="510" t="s">
        <v>1821</v>
      </c>
      <c r="E38" s="518" t="s">
        <v>1845</v>
      </c>
      <c r="F38" s="507" t="s">
        <v>1852</v>
      </c>
      <c r="G38" s="507"/>
      <c r="H38" s="507"/>
      <c r="I38" s="507"/>
      <c r="J38" s="510" t="s">
        <v>1844</v>
      </c>
      <c r="K38" s="625"/>
      <c r="L38" s="510" t="s">
        <v>1938</v>
      </c>
      <c r="M38" s="510"/>
      <c r="N38" s="510" t="s">
        <v>1939</v>
      </c>
      <c r="O38" s="650"/>
      <c r="P38" s="541" t="s">
        <v>1846</v>
      </c>
      <c r="Q38" s="510" t="s">
        <v>1847</v>
      </c>
      <c r="R38" s="510" t="s">
        <v>1848</v>
      </c>
      <c r="S38" s="510" t="s">
        <v>375</v>
      </c>
      <c r="T38" s="510" t="s">
        <v>1849</v>
      </c>
      <c r="U38" s="694"/>
      <c r="V38" s="607"/>
    </row>
    <row r="39" spans="2:22" outlineLevel="1" x14ac:dyDescent="0.3">
      <c r="B39" s="525">
        <v>161</v>
      </c>
      <c r="C39" s="506" t="str">
        <f>IF(ISERROR(VLOOKUP(B39,'Base de Datos'!$C$487:$F$4092,2,0))=TRUE,"",(VLOOKUP('Presupuesto - PAA 2017'!B39,'Base de Datos'!$C$7:$F$4092,3,0)))</f>
        <v/>
      </c>
      <c r="D39" s="506" t="str">
        <f>IF(ISERROR(VLOOKUP(B39,'Base de Datos'!$C$487:$F$4092,3,0))=TRUE,"",(VLOOKUP('Presupuesto - PAA 2017'!B39,'Base de Datos'!$C$487:$F$4092,4,0)))</f>
        <v/>
      </c>
      <c r="E39" s="509">
        <f>VLOOKUP(B39,[7]PAA2017!$C$65:$AA$255,20,0)</f>
        <v>22500000</v>
      </c>
      <c r="F39" s="507" t="str">
        <f>VLOOKUP(B39,[8]SOLICITUDES!$B$3:$H$278,2,0)</f>
        <v>SI</v>
      </c>
      <c r="G39" s="528"/>
      <c r="H39" s="528"/>
      <c r="I39" s="528"/>
      <c r="J39" s="509" t="str">
        <f>IF(ISERROR(VLOOKUP(B39,'Base de Datos'!$C$487:$N$4092,6,0))=TRUE,"Sin Celebrar",(VLOOKUP(B39,'Base de Datos'!$C$487:$N$4092,7,0)))</f>
        <v>Sin Celebrar</v>
      </c>
      <c r="K39" s="577"/>
      <c r="L39" s="553">
        <f t="shared" ref="L39:L46" si="4">IF(J39=$AA$1,E39, " ")</f>
        <v>22500000</v>
      </c>
      <c r="M39" s="527"/>
      <c r="N39" s="509" t="str">
        <f t="shared" ref="N39:N47" si="5">IF(J39&lt;E39,(E39-J39)," ")</f>
        <v xml:space="preserve"> </v>
      </c>
      <c r="O39" s="691" t="str">
        <f>IF(ISERROR(VLOOKUP(B39,'Base de Datos'!$C$487:$K$1048576,7,0))=TRUE," ",(VLOOKUP(B39,'Base de Datos'!$C$487:$K$1048576,8,0)))</f>
        <v xml:space="preserve"> </v>
      </c>
      <c r="P39" s="524" t="str">
        <f>IF(ISERROR(VLOOKUP(B39,'Base de Datos'!$C$487:$N$4077,9,0))=TRUE," ",(VLOOKUP(B39,'Base de Datos'!$C$487:$N$4077,10,0)))</f>
        <v xml:space="preserve"> </v>
      </c>
      <c r="Q39" s="709"/>
      <c r="R39" s="524" t="str">
        <f>IF(ISERROR(VLOOKUP(B39,'Base de Datos'!$C$487:$N$4077,10,0))=TRUE," ",(VLOOKUP(B39,'Base de Datos'!$C$487:$N$4077,11,0)))</f>
        <v xml:space="preserve"> </v>
      </c>
      <c r="S39" s="524" t="str">
        <f>IF(ISERROR(VLOOKUP(B39,'Base de Datos'!$C$487:$N$4077,11,0))=TRUE," ",(VLOOKUP(B39,'Base de Datos'!$C$487:$N$4077,12,0)))</f>
        <v xml:space="preserve"> </v>
      </c>
      <c r="T39" s="506" t="e">
        <f>VLOOKUP(B39,'Base de Datos'!$C$487:$AU$4129,41,0)</f>
        <v>#N/A</v>
      </c>
      <c r="U39" s="694"/>
      <c r="V39" s="607"/>
    </row>
    <row r="40" spans="2:22" outlineLevel="1" x14ac:dyDescent="0.3">
      <c r="B40" s="525">
        <v>162</v>
      </c>
      <c r="C40" s="506" t="str">
        <f>IF(ISERROR(VLOOKUP(B40,'Base de Datos'!$C$487:$F$4092,2,0))=TRUE,"",(VLOOKUP('Presupuesto - PAA 2017'!B40,'Base de Datos'!$C$7:$F$4092,3,0)))</f>
        <v/>
      </c>
      <c r="D40" s="506" t="str">
        <f>IF(ISERROR(VLOOKUP(B40,'Base de Datos'!$C$487:$F$4092,3,0))=TRUE,"",(VLOOKUP('Presupuesto - PAA 2017'!B40,'Base de Datos'!$C$487:$F$4092,4,0)))</f>
        <v/>
      </c>
      <c r="E40" s="509">
        <f>VLOOKUP(B40,[7]PAA2017!$C$65:$AA$255,20,0)</f>
        <v>22500000</v>
      </c>
      <c r="F40" s="507" t="e">
        <f>VLOOKUP(B40,[8]SOLICITUDES!$B$3:$H$278,2,0)</f>
        <v>#N/A</v>
      </c>
      <c r="G40" s="528"/>
      <c r="H40" s="528"/>
      <c r="I40" s="528"/>
      <c r="J40" s="509" t="str">
        <f>IF(ISERROR(VLOOKUP(B40,'Base de Datos'!$C$487:$N$4092,6,0))=TRUE,"Sin Celebrar",(VLOOKUP(B40,'Base de Datos'!$C$487:$N$4092,7,0)))</f>
        <v>Sin Celebrar</v>
      </c>
      <c r="K40" s="577"/>
      <c r="L40" s="553">
        <f t="shared" si="4"/>
        <v>22500000</v>
      </c>
      <c r="M40" s="527"/>
      <c r="N40" s="509" t="str">
        <f t="shared" si="5"/>
        <v xml:space="preserve"> </v>
      </c>
      <c r="O40" s="691" t="str">
        <f>IF(ISERROR(VLOOKUP(B40,'Base de Datos'!$C$487:$K$1048576,7,0))=TRUE," ",(VLOOKUP(B40,'Base de Datos'!$C$487:$K$1048576,8,0)))</f>
        <v xml:space="preserve"> </v>
      </c>
      <c r="P40" s="524" t="str">
        <f>IF(ISERROR(VLOOKUP(B40,'Base de Datos'!$C$487:$N$4077,9,0))=TRUE," ",(VLOOKUP(B40,'Base de Datos'!$C$487:$N$4077,10,0)))</f>
        <v xml:space="preserve"> </v>
      </c>
      <c r="Q40" s="709"/>
      <c r="R40" s="524" t="str">
        <f>IF(ISERROR(VLOOKUP(B40,'Base de Datos'!$C$487:$N$4077,10,0))=TRUE," ",(VLOOKUP(B40,'Base de Datos'!$C$487:$N$4077,11,0)))</f>
        <v xml:space="preserve"> </v>
      </c>
      <c r="S40" s="524" t="str">
        <f>IF(ISERROR(VLOOKUP(B40,'Base de Datos'!$C$487:$N$4077,11,0))=TRUE," ",(VLOOKUP(B40,'Base de Datos'!$C$487:$N$4077,12,0)))</f>
        <v xml:space="preserve"> </v>
      </c>
      <c r="T40" s="506" t="e">
        <f>VLOOKUP(B40,'Base de Datos'!$C$487:$AU$4129,41,0)</f>
        <v>#N/A</v>
      </c>
      <c r="U40" s="694"/>
      <c r="V40" s="607"/>
    </row>
    <row r="41" spans="2:22" outlineLevel="1" x14ac:dyDescent="0.3">
      <c r="B41" s="525">
        <v>163</v>
      </c>
      <c r="C41" s="506" t="str">
        <f>IF(ISERROR(VLOOKUP(B41,'Base de Datos'!$C$487:$F$4092,2,0))=TRUE,"",(VLOOKUP('Presupuesto - PAA 2017'!B41,'Base de Datos'!$C$7:$F$4092,3,0)))</f>
        <v>170139-0-2017</v>
      </c>
      <c r="D41" s="506" t="str">
        <f>IF(ISERROR(VLOOKUP(B41,'Base de Datos'!$C$487:$F$4092,3,0))=TRUE,"",(VLOOKUP('Presupuesto - PAA 2017'!B41,'Base de Datos'!$C$487:$F$4092,4,0)))</f>
        <v>BRAYAN JEFERSON VARON AGUIRRE</v>
      </c>
      <c r="E41" s="509">
        <f>VLOOKUP(B41,[7]PAA2017!$C$65:$AA$255,20,0)</f>
        <v>22500000</v>
      </c>
      <c r="F41" s="507" t="str">
        <f>VLOOKUP(B41,[8]SOLICITUDES!$B$3:$H$278,2,0)</f>
        <v>SI</v>
      </c>
      <c r="G41" s="528"/>
      <c r="H41" s="528"/>
      <c r="I41" s="528"/>
      <c r="J41" s="509">
        <f>IF(ISERROR(VLOOKUP(B41,'Base de Datos'!$C$487:$N$4092,6,0))=TRUE,"Sin Celebrar",(VLOOKUP(B41,'Base de Datos'!$C$487:$N$4092,7,0)))</f>
        <v>13500000</v>
      </c>
      <c r="K41" s="577"/>
      <c r="L41" s="553" t="str">
        <f t="shared" si="4"/>
        <v xml:space="preserve"> </v>
      </c>
      <c r="M41" s="527"/>
      <c r="N41" s="509">
        <f t="shared" si="5"/>
        <v>9000000</v>
      </c>
      <c r="O41" s="691" t="str">
        <f>IF(ISERROR(VLOOKUP(B41,'Base de Datos'!$C$487:$K$1048576,7,0))=TRUE," ",(VLOOKUP(B41,'Base de Datos'!$C$487:$K$1048576,8,0)))</f>
        <v>170139-0-2017</v>
      </c>
      <c r="P41" s="524">
        <f>IF(ISERROR(VLOOKUP(B41,'Base de Datos'!$C$487:$N$4077,9,0))=TRUE," ",(VLOOKUP(B41,'Base de Datos'!$C$487:$N$4077,10,0)))</f>
        <v>42872</v>
      </c>
      <c r="Q41" s="709"/>
      <c r="R41" s="524">
        <f>IF(ISERROR(VLOOKUP(B41,'Base de Datos'!$C$487:$N$4077,10,0))=TRUE," ",(VLOOKUP(B41,'Base de Datos'!$C$487:$N$4077,11,0)))</f>
        <v>42887</v>
      </c>
      <c r="S41" s="524">
        <f>IF(ISERROR(VLOOKUP(B41,'Base de Datos'!$C$487:$N$4077,11,0))=TRUE," ",(VLOOKUP(B41,'Base de Datos'!$C$487:$N$4077,12,0)))</f>
        <v>43160</v>
      </c>
      <c r="T41" s="506" t="str">
        <f>VLOOKUP(B41,'Base de Datos'!$C$487:$AU$4129,41,0)</f>
        <v>EN TRÁMITE</v>
      </c>
      <c r="U41" s="694"/>
      <c r="V41" s="607"/>
    </row>
    <row r="42" spans="2:22" outlineLevel="1" x14ac:dyDescent="0.3">
      <c r="B42" s="525">
        <v>164</v>
      </c>
      <c r="C42" s="506" t="str">
        <f>IF(ISERROR(VLOOKUP(B42,'Base de Datos'!$C$487:$F$4092,2,0))=TRUE,"",(VLOOKUP('Presupuesto - PAA 2017'!B42,'Base de Datos'!$C$7:$F$4092,3,0)))</f>
        <v>150358-0-2015</v>
      </c>
      <c r="D42" s="506" t="str">
        <f>IF(ISERROR(VLOOKUP(B42,'Base de Datos'!$C$487:$F$4092,3,0))=TRUE,"",(VLOOKUP('Presupuesto - PAA 2017'!B42,'Base de Datos'!$C$487:$F$4092,4,0)))</f>
        <v>MANUEL FELIPE VEGA NOVOA</v>
      </c>
      <c r="E42" s="509">
        <f>VLOOKUP(B42,[7]PAA2017!$C$65:$AA$255,20,0)</f>
        <v>22500000</v>
      </c>
      <c r="F42" s="507" t="e">
        <f>VLOOKUP(B42,[8]SOLICITUDES!$B$3:$H$278,2,0)</f>
        <v>#N/A</v>
      </c>
      <c r="G42" s="528"/>
      <c r="H42" s="528"/>
      <c r="I42" s="528"/>
      <c r="J42" s="509">
        <f>IF(ISERROR(VLOOKUP(B42,'Base de Datos'!$C$487:$N$4092,6,0))=TRUE,"Sin Celebrar",(VLOOKUP(B42,'Base de Datos'!$C$487:$N$4092,7,0)))</f>
        <v>17007466</v>
      </c>
      <c r="K42" s="577"/>
      <c r="L42" s="553" t="str">
        <f t="shared" si="4"/>
        <v xml:space="preserve"> </v>
      </c>
      <c r="M42" s="527"/>
      <c r="N42" s="509">
        <f t="shared" si="5"/>
        <v>5492534</v>
      </c>
      <c r="O42" s="691" t="str">
        <f>IF(ISERROR(VLOOKUP(B42,'Base de Datos'!$C$487:$K$1048576,7,0))=TRUE," ",(VLOOKUP(B42,'Base de Datos'!$C$487:$K$1048576,8,0)))</f>
        <v>SDH-CD-45-2019</v>
      </c>
      <c r="P42" s="524">
        <f>IF(ISERROR(VLOOKUP(B42,'Base de Datos'!$C$487:$N$4077,9,0))=TRUE," ",(VLOOKUP(B42,'Base de Datos'!$C$487:$N$4077,10,0)))</f>
        <v>43501</v>
      </c>
      <c r="Q42" s="709"/>
      <c r="R42" s="524">
        <f>IF(ISERROR(VLOOKUP(B42,'Base de Datos'!$C$487:$N$4077,10,0))=TRUE," ",(VLOOKUP(B42,'Base de Datos'!$C$487:$N$4077,11,0)))</f>
        <v>43504</v>
      </c>
      <c r="S42" s="524">
        <f>IF(ISERROR(VLOOKUP(B42,'Base de Datos'!$C$487:$N$4077,11,0))=TRUE," ",(VLOOKUP(B42,'Base de Datos'!$C$487:$N$4077,12,0)))</f>
        <v>43641</v>
      </c>
      <c r="T42" s="506" t="str">
        <f>VLOOKUP(B42,'Base de Datos'!$C$487:$AU$4129,41,0)</f>
        <v>LIQUIDADO</v>
      </c>
      <c r="U42" s="694"/>
      <c r="V42" s="607"/>
    </row>
    <row r="43" spans="2:22" outlineLevel="1" x14ac:dyDescent="0.3">
      <c r="B43" s="525"/>
      <c r="C43" s="506" t="str">
        <f>IF(ISERROR(VLOOKUP(B43,'Base de Datos'!$C$487:$F$4092,2,0))=TRUE,"",(VLOOKUP('Presupuesto - PAA 2017'!B43,'Base de Datos'!$C$7:$F$4092,3,0)))</f>
        <v/>
      </c>
      <c r="D43" s="506" t="str">
        <f>IF(ISERROR(VLOOKUP(B43,'Base de Datos'!$C$487:$F$4092,3,0))=TRUE,"",(VLOOKUP('Presupuesto - PAA 2017'!B43,'Base de Datos'!$C$487:$F$4092,4,0)))</f>
        <v/>
      </c>
      <c r="E43" s="509" t="e">
        <f>VLOOKUP(B43,[7]PAA2017!$C$65:$AA$255,20,0)</f>
        <v>#N/A</v>
      </c>
      <c r="F43" s="507" t="e">
        <f>VLOOKUP(B43,[8]SOLICITUDES!$B$3:$H$278,2,0)</f>
        <v>#N/A</v>
      </c>
      <c r="G43" s="528"/>
      <c r="H43" s="528"/>
      <c r="I43" s="528"/>
      <c r="J43" s="509" t="str">
        <f>IF(ISERROR(VLOOKUP(B43,'Base de Datos'!$C$487:$N$4092,6,0))=TRUE,"Sin Celebrar",(VLOOKUP(B43,'Base de Datos'!$C$487:$N$4092,7,0)))</f>
        <v>Sin Celebrar</v>
      </c>
      <c r="K43" s="577"/>
      <c r="L43" s="553" t="e">
        <f t="shared" si="4"/>
        <v>#N/A</v>
      </c>
      <c r="M43" s="527"/>
      <c r="N43" s="509" t="e">
        <f t="shared" si="5"/>
        <v>#N/A</v>
      </c>
      <c r="O43" s="691" t="str">
        <f>IF(ISERROR(VLOOKUP(B43,'Base de Datos'!$C$487:$K$1048576,7,0))=TRUE," ",(VLOOKUP(B43,'Base de Datos'!$C$487:$K$1048576,8,0)))</f>
        <v xml:space="preserve"> </v>
      </c>
      <c r="P43" s="524" t="str">
        <f>IF(ISERROR(VLOOKUP(B43,'Base de Datos'!$C$487:$N$4077,9,0))=TRUE," ",(VLOOKUP(B43,'Base de Datos'!$C$487:$N$4077,10,0)))</f>
        <v xml:space="preserve"> </v>
      </c>
      <c r="Q43" s="709"/>
      <c r="R43" s="524" t="str">
        <f>IF(ISERROR(VLOOKUP(B43,'Base de Datos'!$C$487:$N$4077,10,0))=TRUE," ",(VLOOKUP(B43,'Base de Datos'!$C$487:$N$4077,11,0)))</f>
        <v xml:space="preserve"> </v>
      </c>
      <c r="S43" s="524" t="str">
        <f>IF(ISERROR(VLOOKUP(B43,'Base de Datos'!$C$487:$N$4077,11,0))=TRUE," ",(VLOOKUP(B43,'Base de Datos'!$C$487:$N$4077,12,0)))</f>
        <v xml:space="preserve"> </v>
      </c>
      <c r="T43" s="506" t="e">
        <f>VLOOKUP(B43,'Base de Datos'!$C$487:$AU$4129,41,0)</f>
        <v>#N/A</v>
      </c>
      <c r="U43" s="694"/>
      <c r="V43" s="607"/>
    </row>
    <row r="44" spans="2:22" outlineLevel="1" x14ac:dyDescent="0.3">
      <c r="B44" s="525"/>
      <c r="C44" s="506" t="str">
        <f>IF(ISERROR(VLOOKUP(B44,'Base de Datos'!$C$487:$F$4092,2,0))=TRUE,"",(VLOOKUP('Presupuesto - PAA 2017'!B44,'Base de Datos'!$C$7:$F$4092,3,0)))</f>
        <v/>
      </c>
      <c r="D44" s="506" t="str">
        <f>IF(ISERROR(VLOOKUP(B44,'Base de Datos'!$C$487:$F$4092,3,0))=TRUE,"",(VLOOKUP('Presupuesto - PAA 2017'!B44,'Base de Datos'!$C$487:$F$4092,4,0)))</f>
        <v/>
      </c>
      <c r="E44" s="509" t="e">
        <f>VLOOKUP(B44,[7]PAA2017!$C$65:$AA$255,20,0)</f>
        <v>#N/A</v>
      </c>
      <c r="F44" s="507" t="e">
        <f>VLOOKUP(B44,[8]SOLICITUDES!$B$3:$H$278,2,0)</f>
        <v>#N/A</v>
      </c>
      <c r="G44" s="528"/>
      <c r="H44" s="528"/>
      <c r="I44" s="528"/>
      <c r="J44" s="509" t="str">
        <f>IF(ISERROR(VLOOKUP(B44,'Base de Datos'!$C$487:$N$4092,6,0))=TRUE,"Sin Celebrar",(VLOOKUP(B44,'Base de Datos'!$C$487:$N$4092,7,0)))</f>
        <v>Sin Celebrar</v>
      </c>
      <c r="K44" s="577"/>
      <c r="L44" s="553" t="e">
        <f t="shared" si="4"/>
        <v>#N/A</v>
      </c>
      <c r="M44" s="527"/>
      <c r="N44" s="509" t="e">
        <f t="shared" si="5"/>
        <v>#N/A</v>
      </c>
      <c r="O44" s="691" t="str">
        <f>IF(ISERROR(VLOOKUP(B44,'Base de Datos'!$C$487:$K$1048576,7,0))=TRUE," ",(VLOOKUP(B44,'Base de Datos'!$C$487:$K$1048576,8,0)))</f>
        <v xml:space="preserve"> </v>
      </c>
      <c r="P44" s="524" t="str">
        <f>IF(ISERROR(VLOOKUP(B44,'Base de Datos'!$C$487:$N$4077,9,0))=TRUE," ",(VLOOKUP(B44,'Base de Datos'!$C$487:$N$4077,10,0)))</f>
        <v xml:space="preserve"> </v>
      </c>
      <c r="Q44" s="709"/>
      <c r="R44" s="524" t="str">
        <f>IF(ISERROR(VLOOKUP(B44,'Base de Datos'!$C$487:$N$4077,10,0))=TRUE," ",(VLOOKUP(B44,'Base de Datos'!$C$487:$N$4077,11,0)))</f>
        <v xml:space="preserve"> </v>
      </c>
      <c r="S44" s="524" t="str">
        <f>IF(ISERROR(VLOOKUP(B44,'Base de Datos'!$C$487:$N$4077,11,0))=TRUE," ",(VLOOKUP(B44,'Base de Datos'!$C$487:$N$4077,12,0)))</f>
        <v xml:space="preserve"> </v>
      </c>
      <c r="T44" s="506" t="e">
        <f>VLOOKUP(B44,'Base de Datos'!$C$487:$AU$4129,41,0)</f>
        <v>#N/A</v>
      </c>
      <c r="U44" s="694"/>
      <c r="V44" s="607"/>
    </row>
    <row r="45" spans="2:22" outlineLevel="1" x14ac:dyDescent="0.3">
      <c r="B45" s="525"/>
      <c r="C45" s="506" t="str">
        <f>IF(ISERROR(VLOOKUP(B45,'Base de Datos'!$C$487:$F$4092,2,0))=TRUE,"",(VLOOKUP('Presupuesto - PAA 2017'!B45,'Base de Datos'!$C$7:$F$4092,3,0)))</f>
        <v/>
      </c>
      <c r="D45" s="506" t="str">
        <f>IF(ISERROR(VLOOKUP(B45,'Base de Datos'!$C$487:$F$4092,3,0))=TRUE,"",(VLOOKUP('Presupuesto - PAA 2017'!B45,'Base de Datos'!$C$487:$F$4092,4,0)))</f>
        <v/>
      </c>
      <c r="E45" s="509" t="e">
        <f>VLOOKUP(B45,[7]PAA2017!$C$65:$AA$255,20,0)</f>
        <v>#N/A</v>
      </c>
      <c r="F45" s="507" t="e">
        <f>VLOOKUP(B45,[8]SOLICITUDES!$B$3:$H$278,2,0)</f>
        <v>#N/A</v>
      </c>
      <c r="G45" s="528"/>
      <c r="H45" s="528"/>
      <c r="I45" s="528"/>
      <c r="J45" s="509" t="str">
        <f>IF(ISERROR(VLOOKUP(B45,'Base de Datos'!$C$487:$N$4092,6,0))=TRUE,"Sin Celebrar",(VLOOKUP(B45,'Base de Datos'!$C$487:$N$4092,7,0)))</f>
        <v>Sin Celebrar</v>
      </c>
      <c r="K45" s="577"/>
      <c r="L45" s="553" t="e">
        <f t="shared" si="4"/>
        <v>#N/A</v>
      </c>
      <c r="M45" s="527"/>
      <c r="N45" s="509" t="e">
        <f t="shared" si="5"/>
        <v>#N/A</v>
      </c>
      <c r="O45" s="691" t="str">
        <f>IF(ISERROR(VLOOKUP(B45,'Base de Datos'!$C$487:$K$1048576,7,0))=TRUE," ",(VLOOKUP(B45,'Base de Datos'!$C$487:$K$1048576,8,0)))</f>
        <v xml:space="preserve"> </v>
      </c>
      <c r="P45" s="524" t="str">
        <f>IF(ISERROR(VLOOKUP(B45,'Base de Datos'!$C$487:$N$4077,9,0))=TRUE," ",(VLOOKUP(B45,'Base de Datos'!$C$487:$N$4077,10,0)))</f>
        <v xml:space="preserve"> </v>
      </c>
      <c r="Q45" s="709"/>
      <c r="R45" s="524" t="str">
        <f>IF(ISERROR(VLOOKUP(B45,'Base de Datos'!$C$487:$N$4077,10,0))=TRUE," ",(VLOOKUP(B45,'Base de Datos'!$C$487:$N$4077,11,0)))</f>
        <v xml:space="preserve"> </v>
      </c>
      <c r="S45" s="524" t="str">
        <f>IF(ISERROR(VLOOKUP(B45,'Base de Datos'!$C$487:$N$4077,11,0))=TRUE," ",(VLOOKUP(B45,'Base de Datos'!$C$487:$N$4077,12,0)))</f>
        <v xml:space="preserve"> </v>
      </c>
      <c r="T45" s="506" t="e">
        <f>VLOOKUP(B45,'Base de Datos'!$C$487:$AU$4129,41,0)</f>
        <v>#N/A</v>
      </c>
      <c r="U45" s="694"/>
      <c r="V45" s="607"/>
    </row>
    <row r="46" spans="2:22" outlineLevel="1" x14ac:dyDescent="0.3">
      <c r="B46" s="525"/>
      <c r="C46" s="506" t="str">
        <f>IF(ISERROR(VLOOKUP(B46,'Base de Datos'!$C$487:$F$4092,2,0))=TRUE,"",(VLOOKUP('Presupuesto - PAA 2017'!B46,'Base de Datos'!$C$7:$F$4092,3,0)))</f>
        <v/>
      </c>
      <c r="D46" s="506" t="str">
        <f>IF(ISERROR(VLOOKUP(B46,'Base de Datos'!$C$487:$F$4092,3,0))=TRUE,"",(VLOOKUP('Presupuesto - PAA 2017'!B46,'Base de Datos'!$C$487:$F$4092,4,0)))</f>
        <v/>
      </c>
      <c r="E46" s="509" t="e">
        <f>VLOOKUP(B46,[7]PAA2017!$C$65:$AA$255,20,0)</f>
        <v>#N/A</v>
      </c>
      <c r="F46" s="507" t="e">
        <f>VLOOKUP(B46,[8]SOLICITUDES!$B$3:$H$278,2,0)</f>
        <v>#N/A</v>
      </c>
      <c r="G46" s="528"/>
      <c r="H46" s="528"/>
      <c r="I46" s="528"/>
      <c r="J46" s="509" t="str">
        <f>IF(ISERROR(VLOOKUP(B46,'Base de Datos'!$C$487:$N$4092,6,0))=TRUE,"Sin Celebrar",(VLOOKUP(B46,'Base de Datos'!$C$487:$N$4092,7,0)))</f>
        <v>Sin Celebrar</v>
      </c>
      <c r="K46" s="577"/>
      <c r="L46" s="553" t="e">
        <f t="shared" si="4"/>
        <v>#N/A</v>
      </c>
      <c r="M46" s="527"/>
      <c r="N46" s="509" t="e">
        <f t="shared" si="5"/>
        <v>#N/A</v>
      </c>
      <c r="O46" s="691" t="str">
        <f>IF(ISERROR(VLOOKUP(B46,'Base de Datos'!$C$487:$K$1048576,7,0))=TRUE," ",(VLOOKUP(B46,'Base de Datos'!$C$487:$K$1048576,8,0)))</f>
        <v xml:space="preserve"> </v>
      </c>
      <c r="P46" s="524" t="str">
        <f>IF(ISERROR(VLOOKUP(B46,'Base de Datos'!$C$487:$N$4077,9,0))=TRUE," ",(VLOOKUP(B46,'Base de Datos'!$C$487:$N$4077,10,0)))</f>
        <v xml:space="preserve"> </v>
      </c>
      <c r="Q46" s="709"/>
      <c r="R46" s="524" t="str">
        <f>IF(ISERROR(VLOOKUP(B46,'Base de Datos'!$C$487:$N$4077,10,0))=TRUE," ",(VLOOKUP(B46,'Base de Datos'!$C$487:$N$4077,11,0)))</f>
        <v xml:space="preserve"> </v>
      </c>
      <c r="S46" s="524" t="str">
        <f>IF(ISERROR(VLOOKUP(B46,'Base de Datos'!$C$487:$N$4077,11,0))=TRUE," ",(VLOOKUP(B46,'Base de Datos'!$C$487:$N$4077,12,0)))</f>
        <v xml:space="preserve"> </v>
      </c>
      <c r="T46" s="506" t="e">
        <f>VLOOKUP(B46,'Base de Datos'!$C$487:$AU$4129,41,0)</f>
        <v>#N/A</v>
      </c>
      <c r="U46" s="694"/>
      <c r="V46" s="607"/>
    </row>
    <row r="47" spans="2:22" outlineLevel="1" x14ac:dyDescent="0.3">
      <c r="B47" s="525"/>
      <c r="C47" s="526"/>
      <c r="D47" s="526" t="s">
        <v>1934</v>
      </c>
      <c r="E47" s="509" t="e">
        <f>E37-SUM(E39:E46)</f>
        <v>#N/A</v>
      </c>
      <c r="F47" s="528"/>
      <c r="G47" s="528"/>
      <c r="H47" s="528"/>
      <c r="I47" s="528"/>
      <c r="J47" s="509"/>
      <c r="K47" s="577"/>
      <c r="L47" s="527"/>
      <c r="M47" s="527"/>
      <c r="N47" s="527" t="e">
        <f t="shared" si="5"/>
        <v>#N/A</v>
      </c>
      <c r="O47" s="652"/>
      <c r="P47" s="529"/>
      <c r="Q47" s="526"/>
      <c r="R47" s="529"/>
      <c r="S47" s="529"/>
      <c r="T47" s="506"/>
      <c r="U47" s="694"/>
      <c r="V47" s="607"/>
    </row>
    <row r="48" spans="2:22" ht="12" outlineLevel="1" x14ac:dyDescent="0.3">
      <c r="B48" s="1248"/>
      <c r="C48" s="1248"/>
      <c r="D48" s="1248"/>
      <c r="E48" s="509"/>
      <c r="F48" s="507"/>
      <c r="G48" s="507"/>
      <c r="H48" s="507"/>
      <c r="I48" s="507"/>
      <c r="J48" s="509"/>
      <c r="K48" s="573"/>
      <c r="L48" s="509"/>
      <c r="M48" s="509"/>
      <c r="N48" s="509"/>
      <c r="O48" s="651"/>
      <c r="P48" s="524"/>
      <c r="Q48" s="506"/>
      <c r="R48" s="524"/>
      <c r="S48" s="524"/>
      <c r="T48" s="506"/>
      <c r="U48" s="694"/>
      <c r="V48" s="607"/>
    </row>
    <row r="49" spans="2:22" ht="15" customHeight="1" x14ac:dyDescent="0.3">
      <c r="B49" s="1254" t="s">
        <v>1792</v>
      </c>
      <c r="C49" s="1254"/>
      <c r="D49" s="1254"/>
      <c r="E49" s="530">
        <v>9151221000</v>
      </c>
      <c r="F49" s="606"/>
      <c r="G49" s="531"/>
      <c r="H49" s="531"/>
      <c r="I49" s="531"/>
      <c r="J49" s="540">
        <f>J50+J90+J216</f>
        <v>7282067504</v>
      </c>
      <c r="K49" s="582">
        <f>J49/E49</f>
        <v>0.79574818529680358</v>
      </c>
      <c r="L49" s="540" t="e">
        <f>L50+L90+L216</f>
        <v>#N/A</v>
      </c>
      <c r="M49" s="540" t="e">
        <f>M50+M90+M216</f>
        <v>#N/A</v>
      </c>
      <c r="N49" s="540" t="e">
        <f>N50+N90+N216</f>
        <v>#N/A</v>
      </c>
      <c r="O49" s="658"/>
      <c r="P49" s="540"/>
      <c r="Q49" s="547"/>
      <c r="R49" s="546" t="str">
        <f>IF(ISERROR(VLOOKUP(B49,'Base de Datos'!$C$7:$N$315,9,0))=TRUE," ",(VLOOKUP(B49,'Base de Datos'!$C$7:$N$315,9,0)))</f>
        <v xml:space="preserve"> </v>
      </c>
      <c r="S49" s="546" t="str">
        <f>IF(ISERROR(VLOOKUP(B49,'Base de Datos'!$C$7:$N$315,10,0))=TRUE," ",(VLOOKUP(B49,'Base de Datos'!$C$7:$N$315,10,0)))</f>
        <v xml:space="preserve"> </v>
      </c>
      <c r="T49" s="542"/>
      <c r="U49" s="694"/>
      <c r="V49" s="607"/>
    </row>
    <row r="50" spans="2:22" ht="15" customHeight="1" x14ac:dyDescent="0.3">
      <c r="B50" s="1240" t="s">
        <v>1646</v>
      </c>
      <c r="C50" s="1240"/>
      <c r="D50" s="1240"/>
      <c r="E50" s="512">
        <v>2089000000</v>
      </c>
      <c r="F50" s="604"/>
      <c r="G50" s="513"/>
      <c r="H50" s="513"/>
      <c r="I50" s="513"/>
      <c r="J50" s="604">
        <f>+J51+J75+J82</f>
        <v>1484914187</v>
      </c>
      <c r="K50" s="604"/>
      <c r="L50" s="604" t="e">
        <f>+L51+L75+L82</f>
        <v>#N/A</v>
      </c>
      <c r="M50" s="604" t="e">
        <f>+M51+M75+M82</f>
        <v>#N/A</v>
      </c>
      <c r="N50" s="604" t="e">
        <f>+N51+N75+N82</f>
        <v>#N/A</v>
      </c>
      <c r="O50" s="659"/>
      <c r="P50" s="548" t="str">
        <f>IF(ISERROR(VLOOKUP(B50,'Base de Datos'!$C$7:$N$315,8,0))=TRUE," ",(VLOOKUP(B50,'Base de Datos'!$C$7:$N$315,8,0)))</f>
        <v xml:space="preserve"> </v>
      </c>
      <c r="Q50" s="542"/>
      <c r="R50" s="548" t="str">
        <f>IF(ISERROR(VLOOKUP(B50,'Base de Datos'!$C$7:$N$315,9,0))=TRUE," ",(VLOOKUP(B50,'Base de Datos'!$C$7:$N$315,9,0)))</f>
        <v xml:space="preserve"> </v>
      </c>
      <c r="S50" s="548" t="str">
        <f>IF(ISERROR(VLOOKUP(B50,'Base de Datos'!$C$7:$N$315,10,0))=TRUE," ",(VLOOKUP(B50,'Base de Datos'!$C$7:$N$315,10,0)))</f>
        <v xml:space="preserve"> </v>
      </c>
      <c r="T50" s="542"/>
      <c r="U50" s="694"/>
      <c r="V50" s="607"/>
    </row>
    <row r="51" spans="2:22" ht="15" customHeight="1" x14ac:dyDescent="0.3">
      <c r="B51" s="1239" t="s">
        <v>1647</v>
      </c>
      <c r="C51" s="1239"/>
      <c r="D51" s="1239"/>
      <c r="E51" s="554">
        <v>1414000000</v>
      </c>
      <c r="F51" s="559">
        <f>COUNTIF('Actualizada - presupuesto'!$E$7:$E$111,B51)</f>
        <v>15</v>
      </c>
      <c r="G51" s="559"/>
      <c r="H51" s="559"/>
      <c r="I51" s="559"/>
      <c r="J51" s="554">
        <f>SUM(J54:J72)</f>
        <v>655548587</v>
      </c>
      <c r="K51" s="576">
        <f>J51/E51</f>
        <v>0.46361286209335217</v>
      </c>
      <c r="L51" s="554" t="e">
        <f>SUM(L54:L72)</f>
        <v>#N/A</v>
      </c>
      <c r="M51" s="558" t="e">
        <f>+E51-(J51+L51)</f>
        <v>#N/A</v>
      </c>
      <c r="N51" s="554" t="e">
        <f>+E51-J51-L51</f>
        <v>#N/A</v>
      </c>
      <c r="O51" s="657"/>
      <c r="P51" s="564" t="str">
        <f>IF(ISERROR(VLOOKUP(B51,'Base de Datos'!$C$7:$N$315,8,0))=TRUE," ",(VLOOKUP(B51,'Base de Datos'!$C$7:$N$315,8,0)))</f>
        <v xml:space="preserve"> </v>
      </c>
      <c r="Q51" s="565"/>
      <c r="R51" s="564" t="str">
        <f>IF(ISERROR(VLOOKUP(B51,'Base de Datos'!$C$7:$N$315,9,0))=TRUE," ",(VLOOKUP(B51,'Base de Datos'!$C$7:$N$315,9,0)))</f>
        <v xml:space="preserve"> </v>
      </c>
      <c r="S51" s="564" t="str">
        <f>IF(ISERROR(VLOOKUP(B51,'Base de Datos'!$C$7:$N$315,10,0))=TRUE," ",(VLOOKUP(B51,'Base de Datos'!$C$7:$N$315,10,0)))</f>
        <v xml:space="preserve"> </v>
      </c>
      <c r="T51" s="565"/>
      <c r="U51" s="694"/>
      <c r="V51" s="607"/>
    </row>
    <row r="52" spans="2:22" ht="22.8" outlineLevel="1" x14ac:dyDescent="0.3">
      <c r="B52" s="510" t="s">
        <v>1692</v>
      </c>
      <c r="C52" s="510" t="s">
        <v>912</v>
      </c>
      <c r="D52" s="510" t="s">
        <v>1821</v>
      </c>
      <c r="E52" s="518" t="s">
        <v>1845</v>
      </c>
      <c r="F52" s="507" t="s">
        <v>1852</v>
      </c>
      <c r="G52" s="507"/>
      <c r="H52" s="507"/>
      <c r="I52" s="507"/>
      <c r="J52" s="510" t="s">
        <v>1844</v>
      </c>
      <c r="K52" s="625"/>
      <c r="L52" s="510" t="s">
        <v>1938</v>
      </c>
      <c r="M52" s="510"/>
      <c r="N52" s="510" t="s">
        <v>1939</v>
      </c>
      <c r="O52" s="650"/>
      <c r="P52" s="541" t="s">
        <v>1846</v>
      </c>
      <c r="Q52" s="510" t="s">
        <v>1847</v>
      </c>
      <c r="R52" s="510" t="s">
        <v>1848</v>
      </c>
      <c r="S52" s="510" t="s">
        <v>375</v>
      </c>
      <c r="T52" s="510" t="s">
        <v>1849</v>
      </c>
      <c r="U52" s="694"/>
      <c r="V52" s="607"/>
    </row>
    <row r="53" spans="2:22" outlineLevel="1" x14ac:dyDescent="0.3">
      <c r="B53" s="510">
        <v>63</v>
      </c>
      <c r="C53" s="506" t="str">
        <f>IF(ISERROR(VLOOKUP(B53,'Base de Datos'!$C$487:$F$4092,2,0))=TRUE,"",(VLOOKUP('Presupuesto - PAA 2017'!B53,'Base de Datos'!$C$7:$F$4092,3,0)))</f>
        <v>150249-0-2015</v>
      </c>
      <c r="D53" s="506" t="str">
        <f>IF(ISERROR(VLOOKUP(B53,'Base de Datos'!$C$487:$F$4092,3,0))=TRUE,"",(VLOOKUP('Presupuesto - PAA 2017'!B53,'Base de Datos'!$C$487:$F$4092,4,0)))</f>
        <v>MONRAK INGENIERIA LTDA</v>
      </c>
      <c r="E53" s="509">
        <f>VLOOKUP(B53,[7]PAA2017!$C$65:$AA$255,20,0)</f>
        <v>8638000</v>
      </c>
      <c r="F53" s="507" t="e">
        <f>VLOOKUP(B53,[8]SOLICITUDES!$B$3:$H$278,2,0)</f>
        <v>#N/A</v>
      </c>
      <c r="G53" s="507"/>
      <c r="H53" s="507"/>
      <c r="I53" s="507"/>
      <c r="J53" s="509">
        <f>IF(ISERROR(VLOOKUP(B53,'Base de Datos'!$C$487:$N$4092,6,0))=TRUE,"Sin Celebrar",(VLOOKUP(B53,'Base de Datos'!$C$487:$N$4092,7,0)))</f>
        <v>1800000</v>
      </c>
      <c r="K53" s="573"/>
      <c r="L53" s="553" t="str">
        <f t="shared" ref="L53:L67" si="6">IF(J53=$AA$1,E53, " ")</f>
        <v xml:space="preserve"> </v>
      </c>
      <c r="M53" s="509"/>
      <c r="N53" s="509">
        <f t="shared" ref="N53:N67" si="7">IF(J53&lt;E53,(E53-J53)," ")</f>
        <v>6838000</v>
      </c>
      <c r="O53" s="691" t="str">
        <f>IF(ISERROR(VLOOKUP(B53,'Base de Datos'!$C$487:$K$1048576,7,0))=TRUE," ",(VLOOKUP(B53,'Base de Datos'!$C$487:$K$1048576,8,0)))</f>
        <v>SDH-SMINC-44-2018</v>
      </c>
      <c r="P53" s="524">
        <f>IF(ISERROR(VLOOKUP(B53,'Base de Datos'!$C$487:$N$4077,9,0))=TRUE," ",(VLOOKUP(B53,'Base de Datos'!$C$487:$N$4077,10,0)))</f>
        <v>43390</v>
      </c>
      <c r="Q53" s="709"/>
      <c r="R53" s="524">
        <f>IF(ISERROR(VLOOKUP(B53,'Base de Datos'!$C$487:$N$4077,10,0))=TRUE," ",(VLOOKUP(B53,'Base de Datos'!$C$487:$N$4077,11,0)))</f>
        <v>43397</v>
      </c>
      <c r="S53" s="524">
        <f>IF(ISERROR(VLOOKUP(B53,'Base de Datos'!$C$487:$N$4077,11,0))=TRUE," ",(VLOOKUP(B53,'Base de Datos'!$C$487:$N$4077,12,0)))</f>
        <v>43761</v>
      </c>
      <c r="T53" s="506" t="str">
        <f>VLOOKUP(B53,'Base de Datos'!$C$487:$AU$4129,41,0)</f>
        <v>NO</v>
      </c>
      <c r="U53" s="694"/>
      <c r="V53" s="607"/>
    </row>
    <row r="54" spans="2:22" ht="12" customHeight="1" outlineLevel="1" x14ac:dyDescent="0.3">
      <c r="B54" s="510">
        <v>73</v>
      </c>
      <c r="C54" s="506" t="str">
        <f>IF(ISERROR(VLOOKUP(B54,'Base de Datos'!$C$487:$F$4092,2,0))=TRUE,"",(VLOOKUP('Presupuesto - PAA 2017'!B54,'Base de Datos'!$C$7:$F$4092,3,0)))</f>
        <v>170186-0-2017</v>
      </c>
      <c r="D54" s="506" t="str">
        <f>IF(ISERROR(VLOOKUP(B54,'Base de Datos'!$C$487:$F$4092,3,0))=TRUE,"",(VLOOKUP('Presupuesto - PAA 2017'!B54,'Base de Datos'!$C$487:$F$4092,4,0)))</f>
        <v xml:space="preserve">INFORMATICA DOCUMENTAL SAS </v>
      </c>
      <c r="E54" s="509">
        <f>VLOOKUP(B54,[7]PAA2017!$C$65:$AA$255,20,0)</f>
        <v>8320000</v>
      </c>
      <c r="F54" s="507" t="e">
        <f>VLOOKUP(B54,[8]SOLICITUDES!$B$3:$H$278,2,0)</f>
        <v>#N/A</v>
      </c>
      <c r="G54" s="507"/>
      <c r="H54" s="507"/>
      <c r="I54" s="507"/>
      <c r="J54" s="509">
        <f>IF(ISERROR(VLOOKUP(B54,'Base de Datos'!$C$487:$N$4092,6,0))=TRUE,"Sin Celebrar",(VLOOKUP(B54,'Base de Datos'!$C$487:$N$4092,7,0)))</f>
        <v>8320000</v>
      </c>
      <c r="K54" s="573"/>
      <c r="L54" s="553" t="str">
        <f t="shared" si="6"/>
        <v xml:space="preserve"> </v>
      </c>
      <c r="M54" s="509"/>
      <c r="N54" s="509" t="str">
        <f t="shared" si="7"/>
        <v xml:space="preserve"> </v>
      </c>
      <c r="O54" s="691" t="str">
        <f>IF(ISERROR(VLOOKUP(B54,'Base de Datos'!$C$487:$K$1048576,7,0))=TRUE," ",(VLOOKUP(B54,'Base de Datos'!$C$487:$K$1048576,8,0)))</f>
        <v>170186-0-2017</v>
      </c>
      <c r="P54" s="524">
        <f>IF(ISERROR(VLOOKUP(B54,'Base de Datos'!$C$487:$N$4077,9,0))=TRUE," ",(VLOOKUP(B54,'Base de Datos'!$C$487:$N$4077,10,0)))</f>
        <v>42934</v>
      </c>
      <c r="Q54" s="709"/>
      <c r="R54" s="524">
        <f>IF(ISERROR(VLOOKUP(B54,'Base de Datos'!$C$487:$N$4077,10,0))=TRUE," ",(VLOOKUP(B54,'Base de Datos'!$C$487:$N$4077,11,0)))</f>
        <v>42941</v>
      </c>
      <c r="S54" s="524">
        <f>IF(ISERROR(VLOOKUP(B54,'Base de Datos'!$C$487:$N$4077,11,0))=TRUE," ",(VLOOKUP(B54,'Base de Datos'!$C$487:$N$4077,12,0)))</f>
        <v>43215</v>
      </c>
      <c r="T54" s="506" t="str">
        <f>VLOOKUP(B54,'Base de Datos'!$C$487:$AU$4129,41,0)</f>
        <v>LIQUIDADO</v>
      </c>
      <c r="U54" s="694"/>
      <c r="V54" s="607"/>
    </row>
    <row r="55" spans="2:22" ht="15" customHeight="1" outlineLevel="1" x14ac:dyDescent="0.3">
      <c r="B55" s="510">
        <v>74</v>
      </c>
      <c r="C55" s="506" t="str">
        <f>IF(ISERROR(VLOOKUP(B55,'Base de Datos'!$C$487:$F$4092,2,0))=TRUE,"",(VLOOKUP('Presupuesto - PAA 2017'!B55,'Base de Datos'!$C$7:$F$4092,3,0)))</f>
        <v/>
      </c>
      <c r="D55" s="506" t="str">
        <f>IF(ISERROR(VLOOKUP(B55,'Base de Datos'!$C$487:$F$4092,3,0))=TRUE,"",(VLOOKUP('Presupuesto - PAA 2017'!B55,'Base de Datos'!$C$487:$F$4092,4,0)))</f>
        <v/>
      </c>
      <c r="E55" s="509">
        <f>VLOOKUP(B55,[7]PAA2017!$C$65:$AA$255,20,0)</f>
        <v>20000000</v>
      </c>
      <c r="F55" s="507" t="e">
        <f>VLOOKUP(B55,[8]SOLICITUDES!$B$3:$H$278,2,0)</f>
        <v>#N/A</v>
      </c>
      <c r="G55" s="507"/>
      <c r="H55" s="507"/>
      <c r="I55" s="507"/>
      <c r="J55" s="509" t="str">
        <f>IF(ISERROR(VLOOKUP(B55,'Base de Datos'!$C$487:$N$4092,6,0))=TRUE,"Sin Celebrar",(VLOOKUP(B55,'Base de Datos'!$C$487:$N$4092,7,0)))</f>
        <v>Sin Celebrar</v>
      </c>
      <c r="K55" s="573"/>
      <c r="L55" s="553">
        <f t="shared" si="6"/>
        <v>20000000</v>
      </c>
      <c r="M55" s="509"/>
      <c r="N55" s="509" t="str">
        <f t="shared" si="7"/>
        <v xml:space="preserve"> </v>
      </c>
      <c r="O55" s="691" t="str">
        <f>IF(ISERROR(VLOOKUP(B55,'Base de Datos'!$C$487:$K$1048576,7,0))=TRUE," ",(VLOOKUP(B55,'Base de Datos'!$C$487:$K$1048576,8,0)))</f>
        <v xml:space="preserve"> </v>
      </c>
      <c r="P55" s="524" t="str">
        <f>IF(ISERROR(VLOOKUP(B55,'Base de Datos'!$C$487:$N$4077,9,0))=TRUE," ",(VLOOKUP(B55,'Base de Datos'!$C$487:$N$4077,10,0)))</f>
        <v xml:space="preserve"> </v>
      </c>
      <c r="Q55" s="709"/>
      <c r="R55" s="524" t="str">
        <f>IF(ISERROR(VLOOKUP(B55,'Base de Datos'!$C$487:$N$4077,10,0))=TRUE," ",(VLOOKUP(B55,'Base de Datos'!$C$487:$N$4077,11,0)))</f>
        <v xml:space="preserve"> </v>
      </c>
      <c r="S55" s="524" t="str">
        <f>IF(ISERROR(VLOOKUP(B55,'Base de Datos'!$C$487:$N$4077,11,0))=TRUE," ",(VLOOKUP(B55,'Base de Datos'!$C$487:$N$4077,12,0)))</f>
        <v xml:space="preserve"> </v>
      </c>
      <c r="T55" s="506" t="e">
        <f>VLOOKUP(B55,'Base de Datos'!$C$487:$AU$4129,41,0)</f>
        <v>#N/A</v>
      </c>
      <c r="U55" s="694"/>
      <c r="V55" s="607"/>
    </row>
    <row r="56" spans="2:22" ht="15" customHeight="1" outlineLevel="1" x14ac:dyDescent="0.3">
      <c r="B56" s="510">
        <v>75</v>
      </c>
      <c r="C56" s="506" t="str">
        <f>IF(ISERROR(VLOOKUP(B56,'Base de Datos'!$C$487:$F$4092,2,0))=TRUE,"",(VLOOKUP('Presupuesto - PAA 2017'!B56,'Base de Datos'!$C$7:$F$4092,3,0)))</f>
        <v>150236-0-2015</v>
      </c>
      <c r="D56" s="506" t="str">
        <f>IF(ISERROR(VLOOKUP(B56,'Base de Datos'!$C$487:$F$4092,3,0))=TRUE,"",(VLOOKUP('Presupuesto - PAA 2017'!B56,'Base de Datos'!$C$487:$F$4092,4,0)))</f>
        <v xml:space="preserve">ARANDA SOFTWARE ANDINA SAS  </v>
      </c>
      <c r="E56" s="509">
        <f>VLOOKUP(B56,[7]PAA2017!$C$65:$AA$255,20,0)</f>
        <v>80000000</v>
      </c>
      <c r="F56" s="507" t="e">
        <f>VLOOKUP(B56,[8]SOLICITUDES!$B$3:$H$278,2,0)</f>
        <v>#N/A</v>
      </c>
      <c r="G56" s="507"/>
      <c r="H56" s="507"/>
      <c r="I56" s="507"/>
      <c r="J56" s="509">
        <f>IF(ISERROR(VLOOKUP(B56,'Base de Datos'!$C$487:$N$4092,6,0))=TRUE,"Sin Celebrar",(VLOOKUP(B56,'Base de Datos'!$C$487:$N$4092,7,0)))</f>
        <v>63846922</v>
      </c>
      <c r="K56" s="573"/>
      <c r="L56" s="553" t="str">
        <f t="shared" si="6"/>
        <v xml:space="preserve"> </v>
      </c>
      <c r="M56" s="509"/>
      <c r="N56" s="509">
        <f t="shared" si="7"/>
        <v>16153078</v>
      </c>
      <c r="O56" s="691" t="str">
        <f>IF(ISERROR(VLOOKUP(B56,'Base de Datos'!$C$487:$K$1048576,7,0))=TRUE," ",(VLOOKUP(B56,'Base de Datos'!$C$487:$K$1048576,8,0)))</f>
        <v>170148-0-2017</v>
      </c>
      <c r="P56" s="524">
        <f>IF(ISERROR(VLOOKUP(B56,'Base de Datos'!$C$487:$N$4077,9,0))=TRUE," ",(VLOOKUP(B56,'Base de Datos'!$C$487:$N$4077,10,0)))</f>
        <v>42887</v>
      </c>
      <c r="Q56" s="709"/>
      <c r="R56" s="524">
        <f>IF(ISERROR(VLOOKUP(B56,'Base de Datos'!$C$487:$N$4077,10,0))=TRUE," ",(VLOOKUP(B56,'Base de Datos'!$C$487:$N$4077,11,0)))</f>
        <v>42898</v>
      </c>
      <c r="S56" s="524">
        <f>IF(ISERROR(VLOOKUP(B56,'Base de Datos'!$C$487:$N$4077,11,0))=TRUE," ",(VLOOKUP(B56,'Base de Datos'!$C$487:$N$4077,12,0)))</f>
        <v>43202</v>
      </c>
      <c r="T56" s="506" t="str">
        <f>VLOOKUP(B56,'Base de Datos'!$C$487:$AU$4129,41,0)</f>
        <v>LIQUIDADO</v>
      </c>
      <c r="U56" s="694"/>
      <c r="V56" s="607"/>
    </row>
    <row r="57" spans="2:22" ht="15" customHeight="1" outlineLevel="1" x14ac:dyDescent="0.3">
      <c r="B57" s="510">
        <v>76</v>
      </c>
      <c r="C57" s="506" t="str">
        <f>IF(ISERROR(VLOOKUP(B57,'Base de Datos'!$C$487:$F$4092,2,0))=TRUE,"",(VLOOKUP('Presupuesto - PAA 2017'!B57,'Base de Datos'!$C$7:$F$4092,3,0)))</f>
        <v>170309-0-2017</v>
      </c>
      <c r="D57" s="506" t="str">
        <f>IF(ISERROR(VLOOKUP(B57,'Base de Datos'!$C$487:$F$4092,3,0))=TRUE,"",(VLOOKUP('Presupuesto - PAA 2017'!B57,'Base de Datos'!$C$487:$F$4092,4,0)))</f>
        <v>BRANCH OF MICROSOFT COLOMBIA INC</v>
      </c>
      <c r="E57" s="509">
        <f>VLOOKUP(B57,[7]PAA2017!$C$65:$AA$255,20,0)</f>
        <v>228488000</v>
      </c>
      <c r="F57" s="507" t="e">
        <f>VLOOKUP(B57,[8]SOLICITUDES!$B$3:$H$278,2,0)</f>
        <v>#N/A</v>
      </c>
      <c r="G57" s="507"/>
      <c r="H57" s="507"/>
      <c r="I57" s="507"/>
      <c r="J57" s="509">
        <f>IF(ISERROR(VLOOKUP(B57,'Base de Datos'!$C$487:$N$4092,6,0))=TRUE,"Sin Celebrar",(VLOOKUP(B57,'Base de Datos'!$C$487:$N$4092,7,0)))</f>
        <v>228000000</v>
      </c>
      <c r="K57" s="573"/>
      <c r="L57" s="553" t="str">
        <f t="shared" si="6"/>
        <v xml:space="preserve"> </v>
      </c>
      <c r="M57" s="509"/>
      <c r="N57" s="509">
        <f t="shared" si="7"/>
        <v>488000</v>
      </c>
      <c r="O57" s="691" t="str">
        <f>IF(ISERROR(VLOOKUP(B57,'Base de Datos'!$C$487:$K$1048576,7,0))=TRUE," ",(VLOOKUP(B57,'Base de Datos'!$C$487:$K$1048576,8,0)))</f>
        <v>170309-0-2017</v>
      </c>
      <c r="P57" s="524">
        <f>IF(ISERROR(VLOOKUP(B57,'Base de Datos'!$C$487:$N$4077,9,0))=TRUE," ",(VLOOKUP(B57,'Base de Datos'!$C$487:$N$4077,10,0)))</f>
        <v>43042</v>
      </c>
      <c r="Q57" s="709"/>
      <c r="R57" s="524">
        <f>IF(ISERROR(VLOOKUP(B57,'Base de Datos'!$C$487:$N$4077,10,0))=TRUE," ",(VLOOKUP(B57,'Base de Datos'!$C$487:$N$4077,11,0)))</f>
        <v>43075</v>
      </c>
      <c r="S57" s="524">
        <f>IF(ISERROR(VLOOKUP(B57,'Base de Datos'!$C$487:$N$4077,11,0))=TRUE," ",(VLOOKUP(B57,'Base de Datos'!$C$487:$N$4077,12,0)))</f>
        <v>43439</v>
      </c>
      <c r="T57" s="506" t="str">
        <f>VLOOKUP(B57,'Base de Datos'!$C$487:$AU$4129,41,0)</f>
        <v>EN TRÁMITE</v>
      </c>
      <c r="U57" s="694"/>
      <c r="V57" s="607"/>
    </row>
    <row r="58" spans="2:22" ht="15" customHeight="1" outlineLevel="1" x14ac:dyDescent="0.3">
      <c r="B58" s="510">
        <v>77</v>
      </c>
      <c r="C58" s="506" t="str">
        <f>IF(ISERROR(VLOOKUP(B58,'Base de Datos'!$C$487:$F$4092,2,0))=TRUE,"",(VLOOKUP('Presupuesto - PAA 2017'!B58,'Base de Datos'!$C$7:$F$4092,3,0)))</f>
        <v>170154-0-2017</v>
      </c>
      <c r="D58" s="506" t="str">
        <f>IF(ISERROR(VLOOKUP(B58,'Base de Datos'!$C$487:$F$4092,3,0))=TRUE,"",(VLOOKUP('Presupuesto - PAA 2017'!B58,'Base de Datos'!$C$487:$F$4092,4,0)))</f>
        <v>BUSINESSMIND COLOMBIA S.A.</v>
      </c>
      <c r="E58" s="509">
        <f>VLOOKUP(B58,[7]PAA2017!$C$65:$AA$255,20,0)</f>
        <v>91000000</v>
      </c>
      <c r="F58" s="507" t="e">
        <f>VLOOKUP(B58,[8]SOLICITUDES!$B$3:$H$278,2,0)</f>
        <v>#N/A</v>
      </c>
      <c r="G58" s="507"/>
      <c r="H58" s="507"/>
      <c r="I58" s="507"/>
      <c r="J58" s="509">
        <f>IF(ISERROR(VLOOKUP(B58,'Base de Datos'!$C$487:$N$4092,6,0))=TRUE,"Sin Celebrar",(VLOOKUP(B58,'Base de Datos'!$C$487:$N$4092,7,0)))</f>
        <v>110600000</v>
      </c>
      <c r="K58" s="573"/>
      <c r="L58" s="553" t="str">
        <f t="shared" si="6"/>
        <v xml:space="preserve"> </v>
      </c>
      <c r="M58" s="509"/>
      <c r="N58" s="509" t="str">
        <f t="shared" si="7"/>
        <v xml:space="preserve"> </v>
      </c>
      <c r="O58" s="691" t="str">
        <f>IF(ISERROR(VLOOKUP(B58,'Base de Datos'!$C$487:$K$1048576,7,0))=TRUE," ",(VLOOKUP(B58,'Base de Datos'!$C$487:$K$1048576,8,0)))</f>
        <v>SDH-SAMC-04-2017</v>
      </c>
      <c r="P58" s="524">
        <f>IF(ISERROR(VLOOKUP(B58,'Base de Datos'!$C$487:$N$4077,9,0))=TRUE," ",(VLOOKUP(B58,'Base de Datos'!$C$487:$N$4077,10,0)))</f>
        <v>42891</v>
      </c>
      <c r="Q58" s="709"/>
      <c r="R58" s="524">
        <f>IF(ISERROR(VLOOKUP(B58,'Base de Datos'!$C$487:$N$4077,10,0))=TRUE," ",(VLOOKUP(B58,'Base de Datos'!$C$487:$N$4077,11,0)))</f>
        <v>42906</v>
      </c>
      <c r="S58" s="524">
        <f>IF(ISERROR(VLOOKUP(B58,'Base de Datos'!$C$487:$N$4077,11,0))=TRUE," ",(VLOOKUP(B58,'Base de Datos'!$C$487:$N$4077,12,0)))</f>
        <v>43210</v>
      </c>
      <c r="T58" s="506" t="str">
        <f>VLOOKUP(B58,'Base de Datos'!$C$487:$AU$4129,41,0)</f>
        <v>EN TRÁMITE</v>
      </c>
      <c r="U58" s="694"/>
      <c r="V58" s="607"/>
    </row>
    <row r="59" spans="2:22" ht="15" customHeight="1" outlineLevel="1" x14ac:dyDescent="0.3">
      <c r="B59" s="510">
        <v>78</v>
      </c>
      <c r="C59" s="506" t="str">
        <f>IF(ISERROR(VLOOKUP(B59,'Base de Datos'!$C$487:$F$4092,2,0))=TRUE,"",(VLOOKUP('Presupuesto - PAA 2017'!B59,'Base de Datos'!$C$7:$F$4092,3,0)))</f>
        <v>170345-0-2017</v>
      </c>
      <c r="D59" s="506" t="str">
        <f>IF(ISERROR(VLOOKUP(B59,'Base de Datos'!$C$487:$F$4092,3,0))=TRUE,"",(VLOOKUP('Presupuesto - PAA 2017'!B59,'Base de Datos'!$C$487:$F$4092,4,0)))</f>
        <v>GRUPO EMPRESARIAL SOLUCIONES CUATRO EN UNO SAS</v>
      </c>
      <c r="E59" s="509">
        <f>VLOOKUP(B59,[7]PAA2017!$C$65:$AA$255,20,0)</f>
        <v>18000000</v>
      </c>
      <c r="F59" s="507" t="e">
        <f>VLOOKUP(B59,[8]SOLICITUDES!$B$3:$H$278,2,0)</f>
        <v>#N/A</v>
      </c>
      <c r="G59" s="507"/>
      <c r="H59" s="507"/>
      <c r="I59" s="507"/>
      <c r="J59" s="509">
        <f>IF(ISERROR(VLOOKUP(B59,'Base de Datos'!$C$487:$N$4092,6,0))=TRUE,"Sin Celebrar",(VLOOKUP(B59,'Base de Datos'!$C$487:$N$4092,7,0)))</f>
        <v>11637012</v>
      </c>
      <c r="K59" s="573"/>
      <c r="L59" s="553" t="str">
        <f t="shared" si="6"/>
        <v xml:space="preserve"> </v>
      </c>
      <c r="M59" s="509"/>
      <c r="N59" s="509">
        <f t="shared" si="7"/>
        <v>6362988</v>
      </c>
      <c r="O59" s="691" t="str">
        <f>IF(ISERROR(VLOOKUP(B59,'Base de Datos'!$C$487:$K$1048576,7,0))=TRUE," ",(VLOOKUP(B59,'Base de Datos'!$C$487:$K$1048576,8,0)))</f>
        <v>SDH-SMINC-046-2017</v>
      </c>
      <c r="P59" s="524">
        <f>IF(ISERROR(VLOOKUP(B59,'Base de Datos'!$C$487:$N$4077,9,0))=TRUE," ",(VLOOKUP(B59,'Base de Datos'!$C$487:$N$4077,10,0)))</f>
        <v>43075</v>
      </c>
      <c r="Q59" s="709"/>
      <c r="R59" s="524">
        <f>IF(ISERROR(VLOOKUP(B59,'Base de Datos'!$C$487:$N$4077,10,0))=TRUE," ",(VLOOKUP(B59,'Base de Datos'!$C$487:$N$4077,11,0)))</f>
        <v>43096</v>
      </c>
      <c r="S59" s="524">
        <f>IF(ISERROR(VLOOKUP(B59,'Base de Datos'!$C$487:$N$4077,11,0))=TRUE," ",(VLOOKUP(B59,'Base de Datos'!$C$487:$N$4077,12,0)))</f>
        <v>43369</v>
      </c>
      <c r="T59" s="506" t="str">
        <f>VLOOKUP(B59,'Base de Datos'!$C$487:$AU$4129,41,0)</f>
        <v>LIQUIDADO</v>
      </c>
      <c r="U59" s="694"/>
      <c r="V59" s="607"/>
    </row>
    <row r="60" spans="2:22" ht="15" customHeight="1" outlineLevel="1" x14ac:dyDescent="0.3">
      <c r="B60" s="510">
        <v>79</v>
      </c>
      <c r="C60" s="506" t="str">
        <f>IF(ISERROR(VLOOKUP(B60,'Base de Datos'!$C$487:$F$4092,2,0))=TRUE,"",(VLOOKUP('Presupuesto - PAA 2017'!B60,'Base de Datos'!$C$7:$F$4092,3,0)))</f>
        <v>170329-0-2017</v>
      </c>
      <c r="D60" s="506" t="str">
        <f>IF(ISERROR(VLOOKUP(B60,'Base de Datos'!$C$487:$F$4092,3,0))=TRUE,"",(VLOOKUP('Presupuesto - PAA 2017'!B60,'Base de Datos'!$C$487:$F$4092,4,0)))</f>
        <v>CARLOS ALBERTO CASTELLANOS MEDINA</v>
      </c>
      <c r="E60" s="509">
        <f>VLOOKUP(B60,[7]PAA2017!$C$65:$AA$255,20,0)</f>
        <v>12500000</v>
      </c>
      <c r="F60" s="507" t="e">
        <f>VLOOKUP(B60,[8]SOLICITUDES!$B$3:$H$278,2,0)</f>
        <v>#N/A</v>
      </c>
      <c r="G60" s="507"/>
      <c r="H60" s="507"/>
      <c r="I60" s="507"/>
      <c r="J60" s="509">
        <f>IF(ISERROR(VLOOKUP(B60,'Base de Datos'!$C$487:$N$4092,6,0))=TRUE,"Sin Celebrar",(VLOOKUP(B60,'Base de Datos'!$C$487:$N$4092,7,0)))</f>
        <v>12500004</v>
      </c>
      <c r="K60" s="573"/>
      <c r="L60" s="553" t="str">
        <f t="shared" si="6"/>
        <v xml:space="preserve"> </v>
      </c>
      <c r="M60" s="509"/>
      <c r="N60" s="509" t="str">
        <f t="shared" si="7"/>
        <v xml:space="preserve"> </v>
      </c>
      <c r="O60" s="691" t="str">
        <f>IF(ISERROR(VLOOKUP(B60,'Base de Datos'!$C$487:$K$1048576,7,0))=TRUE," ",(VLOOKUP(B60,'Base de Datos'!$C$487:$K$1048576,8,0)))</f>
        <v>SDH-SMINC-47-2017</v>
      </c>
      <c r="P60" s="524">
        <f>IF(ISERROR(VLOOKUP(B60,'Base de Datos'!$C$487:$N$4077,9,0))=TRUE," ",(VLOOKUP(B60,'Base de Datos'!$C$487:$N$4077,10,0)))</f>
        <v>43060</v>
      </c>
      <c r="Q60" s="709"/>
      <c r="R60" s="524">
        <f>IF(ISERROR(VLOOKUP(B60,'Base de Datos'!$C$487:$N$4077,10,0))=TRUE," ",(VLOOKUP(B60,'Base de Datos'!$C$487:$N$4077,11,0)))</f>
        <v>43096</v>
      </c>
      <c r="S60" s="524">
        <f>IF(ISERROR(VLOOKUP(B60,'Base de Datos'!$C$487:$N$4077,11,0))=TRUE," ",(VLOOKUP(B60,'Base de Datos'!$C$487:$N$4077,12,0)))</f>
        <v>43460</v>
      </c>
      <c r="T60" s="506" t="str">
        <f>VLOOKUP(B60,'Base de Datos'!$C$487:$AU$4129,41,0)</f>
        <v>LIQUIDADO</v>
      </c>
      <c r="U60" s="694"/>
      <c r="V60" s="607"/>
    </row>
    <row r="61" spans="2:22" ht="15" customHeight="1" outlineLevel="1" x14ac:dyDescent="0.3">
      <c r="B61" s="510">
        <v>80</v>
      </c>
      <c r="C61" s="506" t="str">
        <f>IF(ISERROR(VLOOKUP(B61,'Base de Datos'!$C$487:$F$4092,2,0))=TRUE,"",(VLOOKUP('Presupuesto - PAA 2017'!B61,'Base de Datos'!$C$7:$F$4092,3,0)))</f>
        <v/>
      </c>
      <c r="D61" s="506" t="str">
        <f>IF(ISERROR(VLOOKUP(B61,'Base de Datos'!$C$487:$F$4092,3,0))=TRUE,"",(VLOOKUP('Presupuesto - PAA 2017'!B61,'Base de Datos'!$C$487:$F$4092,4,0)))</f>
        <v/>
      </c>
      <c r="E61" s="509">
        <f>VLOOKUP(B61,[7]PAA2017!$C$65:$AA$255,20,0)</f>
        <v>86500000</v>
      </c>
      <c r="F61" s="507" t="e">
        <f>VLOOKUP(B61,[8]SOLICITUDES!$B$3:$H$278,2,0)</f>
        <v>#N/A</v>
      </c>
      <c r="G61" s="507"/>
      <c r="H61" s="507"/>
      <c r="I61" s="507"/>
      <c r="J61" s="509" t="str">
        <f>IF(ISERROR(VLOOKUP(B61,'Base de Datos'!$C$487:$N$4092,6,0))=TRUE,"Sin Celebrar",(VLOOKUP(B61,'Base de Datos'!$C$487:$N$4092,7,0)))</f>
        <v>Sin Celebrar</v>
      </c>
      <c r="K61" s="573"/>
      <c r="L61" s="553">
        <f t="shared" si="6"/>
        <v>86500000</v>
      </c>
      <c r="M61" s="509"/>
      <c r="N61" s="509" t="str">
        <f t="shared" si="7"/>
        <v xml:space="preserve"> </v>
      </c>
      <c r="O61" s="691" t="str">
        <f>IF(ISERROR(VLOOKUP(B61,'Base de Datos'!$C$487:$K$1048576,7,0))=TRUE," ",(VLOOKUP(B61,'Base de Datos'!$C$487:$K$1048576,8,0)))</f>
        <v xml:space="preserve"> </v>
      </c>
      <c r="P61" s="524" t="str">
        <f>IF(ISERROR(VLOOKUP(B61,'Base de Datos'!$C$487:$N$4077,9,0))=TRUE," ",(VLOOKUP(B61,'Base de Datos'!$C$487:$N$4077,10,0)))</f>
        <v xml:space="preserve"> </v>
      </c>
      <c r="Q61" s="709"/>
      <c r="R61" s="524" t="str">
        <f>IF(ISERROR(VLOOKUP(B61,'Base de Datos'!$C$487:$N$4077,10,0))=TRUE," ",(VLOOKUP(B61,'Base de Datos'!$C$487:$N$4077,11,0)))</f>
        <v xml:space="preserve"> </v>
      </c>
      <c r="S61" s="524" t="str">
        <f>IF(ISERROR(VLOOKUP(B61,'Base de Datos'!$C$487:$N$4077,11,0))=TRUE," ",(VLOOKUP(B61,'Base de Datos'!$C$487:$N$4077,12,0)))</f>
        <v xml:space="preserve"> </v>
      </c>
      <c r="T61" s="506" t="e">
        <f>VLOOKUP(B61,'Base de Datos'!$C$487:$AU$4129,41,0)</f>
        <v>#N/A</v>
      </c>
      <c r="U61" s="694"/>
      <c r="V61" s="607"/>
    </row>
    <row r="62" spans="2:22" ht="15" customHeight="1" outlineLevel="1" x14ac:dyDescent="0.3">
      <c r="B62" s="510">
        <v>81</v>
      </c>
      <c r="C62" s="506" t="str">
        <f>IF(ISERROR(VLOOKUP(B62,'Base de Datos'!$C$487:$F$4092,2,0))=TRUE,"",(VLOOKUP('Presupuesto - PAA 2017'!B62,'Base de Datos'!$C$7:$F$4092,3,0)))</f>
        <v>170041-0-2017</v>
      </c>
      <c r="D62" s="506" t="str">
        <f>IF(ISERROR(VLOOKUP(B62,'Base de Datos'!$C$487:$F$4092,3,0))=TRUE,"",(VLOOKUP('Presupuesto - PAA 2017'!B62,'Base de Datos'!$C$487:$F$4092,4,0)))</f>
        <v>SOLUCIONES ICG SAS</v>
      </c>
      <c r="E62" s="509">
        <f>VLOOKUP(B62,[7]PAA2017!$C$65:$AA$255,20,0)</f>
        <v>50000000</v>
      </c>
      <c r="F62" s="507" t="e">
        <f>VLOOKUP(B62,[8]SOLICITUDES!$B$3:$H$278,2,0)</f>
        <v>#N/A</v>
      </c>
      <c r="G62" s="507"/>
      <c r="H62" s="507"/>
      <c r="I62" s="507"/>
      <c r="J62" s="509">
        <f>IF(ISERROR(VLOOKUP(B62,'Base de Datos'!$C$487:$N$4092,6,0))=TRUE,"Sin Celebrar",(VLOOKUP(B62,'Base de Datos'!$C$487:$N$4092,7,0)))</f>
        <v>65851149</v>
      </c>
      <c r="K62" s="573"/>
      <c r="L62" s="553" t="str">
        <f t="shared" si="6"/>
        <v xml:space="preserve"> </v>
      </c>
      <c r="M62" s="509"/>
      <c r="N62" s="509" t="str">
        <f t="shared" si="7"/>
        <v xml:space="preserve"> </v>
      </c>
      <c r="O62" s="691" t="str">
        <f>IF(ISERROR(VLOOKUP(B62,'Base de Datos'!$C$487:$K$1048576,7,0))=TRUE," ",(VLOOKUP(B62,'Base de Datos'!$C$487:$K$1048576,8,0)))</f>
        <v>SDH-SMINC-01-2017</v>
      </c>
      <c r="P62" s="524">
        <f>IF(ISERROR(VLOOKUP(B62,'Base de Datos'!$C$487:$N$4077,9,0))=TRUE," ",(VLOOKUP(B62,'Base de Datos'!$C$487:$N$4077,10,0)))</f>
        <v>42795</v>
      </c>
      <c r="Q62" s="709"/>
      <c r="R62" s="524">
        <f>IF(ISERROR(VLOOKUP(B62,'Base de Datos'!$C$487:$N$4077,10,0))=TRUE," ",(VLOOKUP(B62,'Base de Datos'!$C$487:$N$4077,11,0)))</f>
        <v>42815</v>
      </c>
      <c r="S62" s="524">
        <f>IF(ISERROR(VLOOKUP(B62,'Base de Datos'!$C$487:$N$4077,11,0))=TRUE," ",(VLOOKUP(B62,'Base de Datos'!$C$487:$N$4077,12,0)))</f>
        <v>43180</v>
      </c>
      <c r="T62" s="506" t="str">
        <f>VLOOKUP(B62,'Base de Datos'!$C$487:$AU$4129,41,0)</f>
        <v>LIQUIDADO</v>
      </c>
      <c r="U62" s="694"/>
      <c r="V62" s="607"/>
    </row>
    <row r="63" spans="2:22" ht="15" customHeight="1" outlineLevel="1" x14ac:dyDescent="0.3">
      <c r="B63" s="510">
        <v>82</v>
      </c>
      <c r="C63" s="506" t="str">
        <f>IF(ISERROR(VLOOKUP(B63,'Base de Datos'!$C$487:$F$4092,2,0))=TRUE,"",(VLOOKUP('Presupuesto - PAA 2017'!B63,'Base de Datos'!$C$7:$F$4092,3,0)))</f>
        <v>160112-0-2016</v>
      </c>
      <c r="D63" s="506" t="str">
        <f>IF(ISERROR(VLOOKUP(B63,'Base de Datos'!$C$487:$F$4092,3,0))=TRUE,"",(VLOOKUP('Presupuesto - PAA 2017'!B63,'Base de Datos'!$C$487:$F$4092,4,0)))</f>
        <v>FACTOR VISUAL EAT</v>
      </c>
      <c r="E63" s="509">
        <f>VLOOKUP(B63,[7]PAA2017!$C$65:$AA$255,20,0)</f>
        <v>50000000</v>
      </c>
      <c r="F63" s="507" t="e">
        <f>VLOOKUP(B63,[8]SOLICITUDES!$B$3:$H$278,2,0)</f>
        <v>#N/A</v>
      </c>
      <c r="G63" s="507"/>
      <c r="H63" s="507"/>
      <c r="I63" s="507"/>
      <c r="J63" s="509">
        <f>IF(ISERROR(VLOOKUP(B63,'Base de Datos'!$C$487:$N$4092,6,0))=TRUE,"Sin Celebrar",(VLOOKUP(B63,'Base de Datos'!$C$487:$N$4092,7,0)))</f>
        <v>49980000</v>
      </c>
      <c r="K63" s="573"/>
      <c r="L63" s="553" t="str">
        <f t="shared" si="6"/>
        <v xml:space="preserve"> </v>
      </c>
      <c r="M63" s="509"/>
      <c r="N63" s="509">
        <f t="shared" si="7"/>
        <v>20000</v>
      </c>
      <c r="O63" s="691" t="str">
        <f>IF(ISERROR(VLOOKUP(B63,'Base de Datos'!$C$487:$K$1048576,7,0))=TRUE," ",(VLOOKUP(B63,'Base de Datos'!$C$487:$K$1048576,8,0)))</f>
        <v>170136-0-2017</v>
      </c>
      <c r="P63" s="524">
        <f>IF(ISERROR(VLOOKUP(B63,'Base de Datos'!$C$487:$N$4077,9,0))=TRUE," ",(VLOOKUP(B63,'Base de Datos'!$C$487:$N$4077,10,0)))</f>
        <v>42871</v>
      </c>
      <c r="Q63" s="709"/>
      <c r="R63" s="524">
        <f>IF(ISERROR(VLOOKUP(B63,'Base de Datos'!$C$487:$N$4077,10,0))=TRUE," ",(VLOOKUP(B63,'Base de Datos'!$C$487:$N$4077,11,0)))</f>
        <v>42874</v>
      </c>
      <c r="S63" s="524">
        <f>IF(ISERROR(VLOOKUP(B63,'Base de Datos'!$C$487:$N$4077,11,0))=TRUE," ",(VLOOKUP(B63,'Base de Datos'!$C$487:$N$4077,12,0)))</f>
        <v>43239</v>
      </c>
      <c r="T63" s="506" t="str">
        <f>VLOOKUP(B63,'Base de Datos'!$C$487:$AU$4129,41,0)</f>
        <v>LIQUIDADO</v>
      </c>
      <c r="U63" s="694"/>
      <c r="V63" s="607"/>
    </row>
    <row r="64" spans="2:22" ht="15" customHeight="1" outlineLevel="1" x14ac:dyDescent="0.3">
      <c r="B64" s="510">
        <v>83</v>
      </c>
      <c r="C64" s="506" t="str">
        <f>IF(ISERROR(VLOOKUP(B64,'Base de Datos'!$C$487:$F$4092,2,0))=TRUE,"",(VLOOKUP('Presupuesto - PAA 2017'!B64,'Base de Datos'!$C$7:$F$4092,3,0)))</f>
        <v/>
      </c>
      <c r="D64" s="506" t="str">
        <f>IF(ISERROR(VLOOKUP(B64,'Base de Datos'!$C$487:$F$4092,3,0))=TRUE,"",(VLOOKUP('Presupuesto - PAA 2017'!B64,'Base de Datos'!$C$487:$F$4092,4,0)))</f>
        <v/>
      </c>
      <c r="E64" s="509">
        <f>VLOOKUP(B64,[7]PAA2017!$C$65:$AA$255,20,0)</f>
        <v>900000</v>
      </c>
      <c r="F64" s="507" t="e">
        <f>VLOOKUP(B64,[8]SOLICITUDES!$B$3:$H$278,2,0)</f>
        <v>#N/A</v>
      </c>
      <c r="G64" s="507"/>
      <c r="H64" s="507"/>
      <c r="I64" s="507"/>
      <c r="J64" s="509" t="str">
        <f>IF(ISERROR(VLOOKUP(B64,'Base de Datos'!$C$487:$N$4092,6,0))=TRUE,"Sin Celebrar",(VLOOKUP(B64,'Base de Datos'!$C$487:$N$4092,7,0)))</f>
        <v>Sin Celebrar</v>
      </c>
      <c r="K64" s="573"/>
      <c r="L64" s="553">
        <f t="shared" si="6"/>
        <v>900000</v>
      </c>
      <c r="M64" s="509"/>
      <c r="N64" s="509" t="str">
        <f t="shared" si="7"/>
        <v xml:space="preserve"> </v>
      </c>
      <c r="O64" s="691" t="str">
        <f>IF(ISERROR(VLOOKUP(B64,'Base de Datos'!$C$487:$K$1048576,7,0))=TRUE," ",(VLOOKUP(B64,'Base de Datos'!$C$487:$K$1048576,8,0)))</f>
        <v xml:space="preserve"> </v>
      </c>
      <c r="P64" s="524" t="str">
        <f>IF(ISERROR(VLOOKUP(B64,'Base de Datos'!$C$487:$N$4077,9,0))=TRUE," ",(VLOOKUP(B64,'Base de Datos'!$C$487:$N$4077,10,0)))</f>
        <v xml:space="preserve"> </v>
      </c>
      <c r="Q64" s="709"/>
      <c r="R64" s="524" t="str">
        <f>IF(ISERROR(VLOOKUP(B64,'Base de Datos'!$C$487:$N$4077,10,0))=TRUE," ",(VLOOKUP(B64,'Base de Datos'!$C$487:$N$4077,11,0)))</f>
        <v xml:space="preserve"> </v>
      </c>
      <c r="S64" s="524" t="str">
        <f>IF(ISERROR(VLOOKUP(B64,'Base de Datos'!$C$487:$N$4077,11,0))=TRUE," ",(VLOOKUP(B64,'Base de Datos'!$C$487:$N$4077,12,0)))</f>
        <v xml:space="preserve"> </v>
      </c>
      <c r="T64" s="506" t="e">
        <f>VLOOKUP(B64,'Base de Datos'!$C$487:$AU$4129,41,0)</f>
        <v>#N/A</v>
      </c>
      <c r="U64" s="694"/>
      <c r="V64" s="607"/>
    </row>
    <row r="65" spans="2:22" ht="15" customHeight="1" outlineLevel="1" x14ac:dyDescent="0.3">
      <c r="B65" s="510">
        <v>85</v>
      </c>
      <c r="C65" s="506" t="str">
        <f>IF(ISERROR(VLOOKUP(B65,'Base de Datos'!$C$487:$F$4092,2,0))=TRUE,"",(VLOOKUP('Presupuesto - PAA 2017'!B65,'Base de Datos'!$C$7:$F$4092,3,0)))</f>
        <v>180099-0-2018</v>
      </c>
      <c r="D65" s="506" t="str">
        <f>IF(ISERROR(VLOOKUP(B65,'Base de Datos'!$C$487:$F$4092,3,0))=TRUE,"",(VLOOKUP('Presupuesto - PAA 2017'!B65,'Base de Datos'!$C$487:$F$4092,4,0)))</f>
        <v>JUAN DIEGO ESPÍTIA ROA</v>
      </c>
      <c r="E65" s="509">
        <f>VLOOKUP(B65,[7]PAA2017!$C$65:$AA$255,20,0)</f>
        <v>1913332000</v>
      </c>
      <c r="F65" s="507" t="e">
        <f>VLOOKUP(B65,[8]SOLICITUDES!$B$3:$H$278,2,0)</f>
        <v>#N/A</v>
      </c>
      <c r="G65" s="507"/>
      <c r="H65" s="507"/>
      <c r="I65" s="507"/>
      <c r="J65" s="509">
        <f>IF(ISERROR(VLOOKUP(B65,'Base de Datos'!$C$487:$N$4092,6,0))=TRUE,"Sin Celebrar",(VLOOKUP(B65,'Base de Datos'!$C$487:$N$4092,7,0)))</f>
        <v>70452000</v>
      </c>
      <c r="K65" s="573"/>
      <c r="L65" s="553" t="str">
        <f t="shared" si="6"/>
        <v xml:space="preserve"> </v>
      </c>
      <c r="M65" s="509"/>
      <c r="N65" s="509">
        <f t="shared" si="7"/>
        <v>1842880000</v>
      </c>
      <c r="O65" s="691" t="str">
        <f>IF(ISERROR(VLOOKUP(B65,'Base de Datos'!$C$487:$K$1048576,7,0))=TRUE," ",(VLOOKUP(B65,'Base de Datos'!$C$487:$K$1048576,8,0)))</f>
        <v>180099-0-2018</v>
      </c>
      <c r="P65" s="524">
        <f>IF(ISERROR(VLOOKUP(B65,'Base de Datos'!$C$487:$N$4077,9,0))=TRUE," ",(VLOOKUP(B65,'Base de Datos'!$C$487:$N$4077,10,0)))</f>
        <v>43126</v>
      </c>
      <c r="Q65" s="709"/>
      <c r="R65" s="524">
        <f>IF(ISERROR(VLOOKUP(B65,'Base de Datos'!$C$487:$N$4077,10,0))=TRUE," ",(VLOOKUP(B65,'Base de Datos'!$C$487:$N$4077,11,0)))</f>
        <v>43132</v>
      </c>
      <c r="S65" s="524">
        <f>IF(ISERROR(VLOOKUP(B65,'Base de Datos'!$C$487:$N$4077,11,0))=TRUE," ",(VLOOKUP(B65,'Base de Datos'!$C$487:$N$4077,12,0)))</f>
        <v>43496</v>
      </c>
      <c r="T65" s="506" t="str">
        <f>VLOOKUP(B65,'Base de Datos'!$C$487:$AU$4129,41,0)</f>
        <v>LIQUIDADO</v>
      </c>
      <c r="U65" s="694"/>
      <c r="V65" s="607"/>
    </row>
    <row r="66" spans="2:22" ht="19.5" customHeight="1" outlineLevel="1" x14ac:dyDescent="0.3">
      <c r="B66" s="510">
        <v>86</v>
      </c>
      <c r="C66" s="506" t="str">
        <f>IF(ISERROR(VLOOKUP(B66,'Base de Datos'!$C$487:$F$4092,2,0))=TRUE,"",(VLOOKUP('Presupuesto - PAA 2017'!B66,'Base de Datos'!$C$7:$F$4092,3,0)))</f>
        <v>160214-0-2016</v>
      </c>
      <c r="D66" s="506" t="str">
        <f>IF(ISERROR(VLOOKUP(B66,'Base de Datos'!$C$487:$F$4092,3,0))=TRUE,"",(VLOOKUP('Presupuesto - PAA 2017'!B66,'Base de Datos'!$C$487:$F$4092,4,0)))</f>
        <v>SEAN ELECTRONICA LIMITADA</v>
      </c>
      <c r="E66" s="509">
        <f>VLOOKUP(B66,[7]PAA2017!$C$65:$AA$255,20,0)</f>
        <v>160000000</v>
      </c>
      <c r="F66" s="507" t="e">
        <f>VLOOKUP(B66,[8]SOLICITUDES!$B$3:$H$278,2,0)</f>
        <v>#N/A</v>
      </c>
      <c r="G66" s="507"/>
      <c r="H66" s="507"/>
      <c r="I66" s="507"/>
      <c r="J66" s="509">
        <f>IF(ISERROR(VLOOKUP(B66,'Base de Datos'!$C$487:$N$4092,6,0))=TRUE,"Sin Celebrar",(VLOOKUP(B66,'Base de Datos'!$C$487:$N$4092,7,0)))</f>
        <v>30000000</v>
      </c>
      <c r="K66" s="573"/>
      <c r="L66" s="553" t="str">
        <f t="shared" si="6"/>
        <v xml:space="preserve"> </v>
      </c>
      <c r="M66" s="509"/>
      <c r="N66" s="509">
        <f t="shared" si="7"/>
        <v>130000000</v>
      </c>
      <c r="O66" s="691" t="str">
        <f>IF(ISERROR(VLOOKUP(B66,'Base de Datos'!$C$487:$K$1048576,7,0))=TRUE," ",(VLOOKUP(B66,'Base de Datos'!$C$487:$K$1048576,8,0)))</f>
        <v>SDH-SMINC-30-2017</v>
      </c>
      <c r="P66" s="524">
        <f>IF(ISERROR(VLOOKUP(B66,'Base de Datos'!$C$487:$N$4077,9,0))=TRUE," ",(VLOOKUP(B66,'Base de Datos'!$C$487:$N$4077,10,0)))</f>
        <v>42993</v>
      </c>
      <c r="Q66" s="709"/>
      <c r="R66" s="524">
        <f>IF(ISERROR(VLOOKUP(B66,'Base de Datos'!$C$487:$N$4077,10,0))=TRUE," ",(VLOOKUP(B66,'Base de Datos'!$C$487:$N$4077,11,0)))</f>
        <v>43020</v>
      </c>
      <c r="S66" s="524">
        <f>IF(ISERROR(VLOOKUP(B66,'Base de Datos'!$C$487:$N$4077,11,0))=TRUE," ",(VLOOKUP(B66,'Base de Datos'!$C$487:$N$4077,12,0)))</f>
        <v>43202</v>
      </c>
      <c r="T66" s="506" t="str">
        <f>VLOOKUP(B66,'Base de Datos'!$C$487:$AU$4129,41,0)</f>
        <v>LIQUIDADO</v>
      </c>
      <c r="U66" s="694"/>
      <c r="V66" s="607"/>
    </row>
    <row r="67" spans="2:22" ht="15" customHeight="1" outlineLevel="1" x14ac:dyDescent="0.3">
      <c r="B67" s="849">
        <v>87</v>
      </c>
      <c r="C67" s="506" t="str">
        <f>IF(ISERROR(VLOOKUP(B67,'Base de Datos'!$C$487:$F$4092,2,0))=TRUE,"",(VLOOKUP('Presupuesto - PAA 2017'!B67,'Base de Datos'!$C$7:$F$4092,3,0)))</f>
        <v/>
      </c>
      <c r="D67" s="506" t="str">
        <f>IF(ISERROR(VLOOKUP(B67,'Base de Datos'!$C$487:$F$4092,3,0))=TRUE,"",(VLOOKUP('Presupuesto - PAA 2017'!B67,'Base de Datos'!$C$487:$F$4092,4,0)))</f>
        <v/>
      </c>
      <c r="E67" s="509">
        <f>VLOOKUP(B67,[7]PAA2017!$C$65:$AA$255,20,0)</f>
        <v>7047070000</v>
      </c>
      <c r="F67" s="507" t="e">
        <f>VLOOKUP(B67,[8]SOLICITUDES!$B$3:$H$278,2,0)</f>
        <v>#N/A</v>
      </c>
      <c r="G67" s="507"/>
      <c r="H67" s="507"/>
      <c r="I67" s="507"/>
      <c r="J67" s="509" t="str">
        <f>IF(ISERROR(VLOOKUP(B67,'Base de Datos'!$C$487:$N$4092,6,0))=TRUE,"Sin Celebrar",(VLOOKUP(B67,'Base de Datos'!$C$487:$N$4092,7,0)))</f>
        <v>Sin Celebrar</v>
      </c>
      <c r="K67" s="573"/>
      <c r="L67" s="553">
        <f t="shared" si="6"/>
        <v>7047070000</v>
      </c>
      <c r="M67" s="509"/>
      <c r="N67" s="509" t="str">
        <f t="shared" si="7"/>
        <v xml:space="preserve"> </v>
      </c>
      <c r="O67" s="691" t="str">
        <f>IF(ISERROR(VLOOKUP(B67,'Base de Datos'!$C$487:$K$1048576,7,0))=TRUE," ",(VLOOKUP(B67,'Base de Datos'!$C$487:$K$1048576,8,0)))</f>
        <v xml:space="preserve"> </v>
      </c>
      <c r="P67" s="524" t="str">
        <f>IF(ISERROR(VLOOKUP(B67,'Base de Datos'!$C$487:$N$4077,9,0))=TRUE," ",(VLOOKUP(B67,'Base de Datos'!$C$487:$N$4077,10,0)))</f>
        <v xml:space="preserve"> </v>
      </c>
      <c r="Q67" s="709"/>
      <c r="R67" s="524" t="str">
        <f>IF(ISERROR(VLOOKUP(B67,'Base de Datos'!$C$487:$N$4077,10,0))=TRUE," ",(VLOOKUP(B67,'Base de Datos'!$C$487:$N$4077,11,0)))</f>
        <v xml:space="preserve"> </v>
      </c>
      <c r="S67" s="524" t="str">
        <f>IF(ISERROR(VLOOKUP(B67,'Base de Datos'!$C$487:$N$4077,11,0))=TRUE," ",(VLOOKUP(B67,'Base de Datos'!$C$487:$N$4077,12,0)))</f>
        <v xml:space="preserve"> </v>
      </c>
      <c r="T67" s="506" t="e">
        <f>VLOOKUP(B67,'Base de Datos'!$C$487:$AU$4129,41,0)</f>
        <v>#N/A</v>
      </c>
      <c r="U67" s="694"/>
      <c r="V67" s="607"/>
    </row>
    <row r="68" spans="2:22" ht="21" customHeight="1" outlineLevel="1" x14ac:dyDescent="0.3">
      <c r="B68" s="525">
        <v>88</v>
      </c>
      <c r="C68" s="506" t="str">
        <f>IF(ISERROR(VLOOKUP(B68,'Base de Datos'!$C$487:$F$4092,2,0))=TRUE,"",(VLOOKUP('Presupuesto - PAA 2017'!B68,'Base de Datos'!$C$7:$F$4092,3,0)))</f>
        <v>160314-0-2016</v>
      </c>
      <c r="D68" s="506" t="str">
        <f>IF(ISERROR(VLOOKUP(B68,'Base de Datos'!$C$487:$F$4092,3,0))=TRUE,"",(VLOOKUP('Presupuesto - PAA 2017'!B68,'Base de Datos'!$C$487:$F$4092,4,0)))</f>
        <v>COMPAÑÍA COMERCIAL CURACAO DE COLOMBIA SA</v>
      </c>
      <c r="E68" s="509">
        <f>VLOOKUP(B68,[7]PAA2017!$C$65:$AA$255,20,0)</f>
        <v>22000000</v>
      </c>
      <c r="F68" s="507" t="str">
        <f>VLOOKUP(B68,[8]SOLICITUDES!$B$3:$H$278,2,0)</f>
        <v>SI</v>
      </c>
      <c r="G68" s="507"/>
      <c r="H68" s="507"/>
      <c r="I68" s="507"/>
      <c r="J68" s="509">
        <f>IF(ISERROR(VLOOKUP(B68,'Base de Datos'!$C$487:$N$4092,6,0))=TRUE,"Sin Celebrar",(VLOOKUP(B68,'Base de Datos'!$C$487:$N$4092,7,0)))</f>
        <v>4361500</v>
      </c>
      <c r="K68" s="573"/>
      <c r="L68" s="553" t="str">
        <f>IF(J68=$AA$1,E68, " ")</f>
        <v xml:space="preserve"> </v>
      </c>
      <c r="M68" s="509"/>
      <c r="N68" s="509">
        <f>IF(J68&lt;E68,(E68-J68)," ")</f>
        <v>17638500</v>
      </c>
      <c r="O68" s="691" t="str">
        <f>IF(ISERROR(VLOOKUP(B68,'Base de Datos'!$C$487:$K$1048576,7,0))=TRUE," ",(VLOOKUP(B68,'Base de Datos'!$C$487:$K$1048576,8,0)))</f>
        <v>SDH-SMINC-16-2017</v>
      </c>
      <c r="P68" s="524">
        <f>IF(ISERROR(VLOOKUP(B68,'Base de Datos'!$C$487:$N$4077,9,0))=TRUE," ",(VLOOKUP(B68,'Base de Datos'!$C$487:$N$4077,10,0)))</f>
        <v>42909</v>
      </c>
      <c r="Q68" s="709"/>
      <c r="R68" s="524">
        <f>IF(ISERROR(VLOOKUP(B68,'Base de Datos'!$C$487:$N$4077,10,0))=TRUE," ",(VLOOKUP(B68,'Base de Datos'!$C$487:$N$4077,11,0)))</f>
        <v>42922</v>
      </c>
      <c r="S68" s="524">
        <f>IF(ISERROR(VLOOKUP(B68,'Base de Datos'!$C$487:$N$4077,11,0))=TRUE," ",(VLOOKUP(B68,'Base de Datos'!$C$487:$N$4077,12,0)))</f>
        <v>42984</v>
      </c>
      <c r="T68" s="506" t="str">
        <f>VLOOKUP(B68,'Base de Datos'!$C$487:$AU$4129,41,0)</f>
        <v>LIQUIDADO</v>
      </c>
      <c r="U68" s="694"/>
      <c r="V68" s="607"/>
    </row>
    <row r="69" spans="2:22" ht="21" customHeight="1" outlineLevel="1" x14ac:dyDescent="0.3">
      <c r="B69" s="525"/>
      <c r="C69" s="506" t="str">
        <f>IF(ISERROR(VLOOKUP(B69,'Base de Datos'!$C$487:$F$4092,2,0))=TRUE,"",(VLOOKUP('Presupuesto - PAA 2017'!B69,'Base de Datos'!$C$7:$F$4092,3,0)))</f>
        <v/>
      </c>
      <c r="D69" s="506" t="str">
        <f>IF(ISERROR(VLOOKUP(B69,'Base de Datos'!$C$487:$F$4092,3,0))=TRUE,"",(VLOOKUP('Presupuesto - PAA 2017'!B69,'Base de Datos'!$C$487:$F$4092,4,0)))</f>
        <v/>
      </c>
      <c r="E69" s="509" t="e">
        <f>VLOOKUP(B69,[7]PAA2017!$C$65:$AA$255,20,0)</f>
        <v>#N/A</v>
      </c>
      <c r="F69" s="507" t="e">
        <f>VLOOKUP(B69,[8]SOLICITUDES!$B$3:$H$278,2,0)</f>
        <v>#N/A</v>
      </c>
      <c r="G69" s="507"/>
      <c r="H69" s="507"/>
      <c r="I69" s="507"/>
      <c r="J69" s="509" t="str">
        <f>IF(ISERROR(VLOOKUP(B69,'Base de Datos'!$C$487:$N$4092,6,0))=TRUE,"Sin Celebrar",(VLOOKUP(B69,'Base de Datos'!$C$487:$N$4092,7,0)))</f>
        <v>Sin Celebrar</v>
      </c>
      <c r="K69" s="573"/>
      <c r="L69" s="553" t="e">
        <f>IF(J69=$AA$1,E69, " ")</f>
        <v>#N/A</v>
      </c>
      <c r="M69" s="509"/>
      <c r="N69" s="509" t="e">
        <f>IF(J69&lt;E69,(E69-J69)," ")</f>
        <v>#N/A</v>
      </c>
      <c r="O69" s="691" t="str">
        <f>IF(ISERROR(VLOOKUP(B69,'Base de Datos'!$C$487:$K$1048576,7,0))=TRUE," ",(VLOOKUP(B69,'Base de Datos'!$C$487:$K$1048576,8,0)))</f>
        <v xml:space="preserve"> </v>
      </c>
      <c r="P69" s="524" t="str">
        <f>IF(ISERROR(VLOOKUP(B69,'Base de Datos'!$C$487:$N$4077,9,0))=TRUE," ",(VLOOKUP(B69,'Base de Datos'!$C$487:$N$4077,10,0)))</f>
        <v xml:space="preserve"> </v>
      </c>
      <c r="Q69" s="709"/>
      <c r="R69" s="524" t="str">
        <f>IF(ISERROR(VLOOKUP(B69,'Base de Datos'!$C$487:$N$4077,10,0))=TRUE," ",(VLOOKUP(B69,'Base de Datos'!$C$487:$N$4077,11,0)))</f>
        <v xml:space="preserve"> </v>
      </c>
      <c r="S69" s="524" t="str">
        <f>IF(ISERROR(VLOOKUP(B69,'Base de Datos'!$C$487:$N$4077,11,0))=TRUE," ",(VLOOKUP(B69,'Base de Datos'!$C$487:$N$4077,12,0)))</f>
        <v xml:space="preserve"> </v>
      </c>
      <c r="T69" s="506" t="e">
        <f>VLOOKUP(B69,'Base de Datos'!$C$487:$AU$4129,41,0)</f>
        <v>#N/A</v>
      </c>
      <c r="U69" s="694"/>
      <c r="V69" s="607"/>
    </row>
    <row r="70" spans="2:22" ht="21" customHeight="1" outlineLevel="1" x14ac:dyDescent="0.3">
      <c r="B70" s="525"/>
      <c r="C70" s="506" t="str">
        <f>IF(ISERROR(VLOOKUP(B70,'Base de Datos'!$C$487:$F$4092,2,0))=TRUE,"",(VLOOKUP('Presupuesto - PAA 2017'!B70,'Base de Datos'!$C$7:$F$4092,3,0)))</f>
        <v/>
      </c>
      <c r="D70" s="506" t="str">
        <f>IF(ISERROR(VLOOKUP(B70,'Base de Datos'!$C$487:$F$4092,3,0))=TRUE,"",(VLOOKUP('Presupuesto - PAA 2017'!B70,'Base de Datos'!$C$487:$F$4092,4,0)))</f>
        <v/>
      </c>
      <c r="E70" s="509" t="e">
        <f>VLOOKUP(B70,[7]PAA2017!$C$65:$AA$255,20,0)</f>
        <v>#N/A</v>
      </c>
      <c r="F70" s="507" t="e">
        <f>VLOOKUP(B70,[8]SOLICITUDES!$B$3:$H$278,2,0)</f>
        <v>#N/A</v>
      </c>
      <c r="G70" s="507"/>
      <c r="H70" s="507"/>
      <c r="I70" s="507"/>
      <c r="J70" s="509" t="str">
        <f>IF(ISERROR(VLOOKUP(B70,'Base de Datos'!$C$487:$N$4092,6,0))=TRUE,"Sin Celebrar",(VLOOKUP(B70,'Base de Datos'!$C$487:$N$4092,7,0)))</f>
        <v>Sin Celebrar</v>
      </c>
      <c r="K70" s="573"/>
      <c r="L70" s="553" t="e">
        <f>IF(J70=$AA$1,E70, " ")</f>
        <v>#N/A</v>
      </c>
      <c r="M70" s="509"/>
      <c r="N70" s="509" t="e">
        <f>IF(J70&lt;E70,(E70-J70)," ")</f>
        <v>#N/A</v>
      </c>
      <c r="O70" s="691" t="str">
        <f>IF(ISERROR(VLOOKUP(B70,'Base de Datos'!$C$487:$K$1048576,7,0))=TRUE," ",(VLOOKUP(B70,'Base de Datos'!$C$487:$K$1048576,8,0)))</f>
        <v xml:space="preserve"> </v>
      </c>
      <c r="P70" s="524" t="str">
        <f>IF(ISERROR(VLOOKUP(B70,'Base de Datos'!$C$487:$N$4077,9,0))=TRUE," ",(VLOOKUP(B70,'Base de Datos'!$C$487:$N$4077,10,0)))</f>
        <v xml:space="preserve"> </v>
      </c>
      <c r="Q70" s="709"/>
      <c r="R70" s="524" t="str">
        <f>IF(ISERROR(VLOOKUP(B70,'Base de Datos'!$C$487:$N$4077,10,0))=TRUE," ",(VLOOKUP(B70,'Base de Datos'!$C$487:$N$4077,11,0)))</f>
        <v xml:space="preserve"> </v>
      </c>
      <c r="S70" s="524" t="str">
        <f>IF(ISERROR(VLOOKUP(B70,'Base de Datos'!$C$487:$N$4077,11,0))=TRUE," ",(VLOOKUP(B70,'Base de Datos'!$C$487:$N$4077,12,0)))</f>
        <v xml:space="preserve"> </v>
      </c>
      <c r="T70" s="506" t="e">
        <f>VLOOKUP(B70,'Base de Datos'!$C$487:$AU$4129,41,0)</f>
        <v>#N/A</v>
      </c>
      <c r="U70" s="694"/>
      <c r="V70" s="607"/>
    </row>
    <row r="71" spans="2:22" outlineLevel="1" x14ac:dyDescent="0.3">
      <c r="B71" s="525"/>
      <c r="C71" s="506" t="str">
        <f>IF(ISERROR(VLOOKUP(B71,'Base de Datos'!$C$487:$F$4092,2,0))=TRUE,"",(VLOOKUP('Presupuesto - PAA 2017'!B71,'Base de Datos'!$C$7:$F$4092,3,0)))</f>
        <v/>
      </c>
      <c r="D71" s="506" t="str">
        <f>IF(ISERROR(VLOOKUP(B71,'Base de Datos'!$C$487:$F$4092,3,0))=TRUE,"",(VLOOKUP('Presupuesto - PAA 2017'!B71,'Base de Datos'!$C$487:$F$4092,4,0)))</f>
        <v/>
      </c>
      <c r="E71" s="509" t="e">
        <f>VLOOKUP(B71,[7]PAA2017!$C$65:$AA$255,20,0)</f>
        <v>#N/A</v>
      </c>
      <c r="F71" s="507" t="e">
        <f>VLOOKUP(B71,[8]SOLICITUDES!$B$3:$H$278,2,0)</f>
        <v>#N/A</v>
      </c>
      <c r="G71" s="507"/>
      <c r="H71" s="507"/>
      <c r="I71" s="507"/>
      <c r="J71" s="509" t="str">
        <f>IF(ISERROR(VLOOKUP(B71,'Base de Datos'!$C$487:$N$4092,6,0))=TRUE,"Sin Celebrar",(VLOOKUP(B71,'Base de Datos'!$C$487:$N$4092,7,0)))</f>
        <v>Sin Celebrar</v>
      </c>
      <c r="K71" s="573"/>
      <c r="L71" s="553" t="e">
        <f>IF(J71=$AA$1,E71, " ")</f>
        <v>#N/A</v>
      </c>
      <c r="M71" s="509"/>
      <c r="N71" s="509" t="e">
        <f>IF(J71&lt;E71,(E71-J71)," ")</f>
        <v>#N/A</v>
      </c>
      <c r="O71" s="691" t="str">
        <f>IF(ISERROR(VLOOKUP(B71,'Base de Datos'!$C$487:$K$1048576,7,0))=TRUE," ",(VLOOKUP(B71,'Base de Datos'!$C$487:$K$1048576,8,0)))</f>
        <v xml:space="preserve"> </v>
      </c>
      <c r="P71" s="524" t="str">
        <f>IF(ISERROR(VLOOKUP(B71,'Base de Datos'!$C$487:$N$4077,9,0))=TRUE," ",(VLOOKUP(B71,'Base de Datos'!$C$487:$N$4077,10,0)))</f>
        <v xml:space="preserve"> </v>
      </c>
      <c r="Q71" s="709"/>
      <c r="R71" s="524" t="str">
        <f>IF(ISERROR(VLOOKUP(B71,'Base de Datos'!$C$487:$N$4077,10,0))=TRUE," ",(VLOOKUP(B71,'Base de Datos'!$C$487:$N$4077,11,0)))</f>
        <v xml:space="preserve"> </v>
      </c>
      <c r="S71" s="524" t="str">
        <f>IF(ISERROR(VLOOKUP(B71,'Base de Datos'!$C$487:$N$4077,11,0))=TRUE," ",(VLOOKUP(B71,'Base de Datos'!$C$487:$N$4077,12,0)))</f>
        <v xml:space="preserve"> </v>
      </c>
      <c r="T71" s="506" t="e">
        <f>VLOOKUP(B71,'Base de Datos'!$C$487:$AU$4129,41,0)</f>
        <v>#N/A</v>
      </c>
      <c r="U71" s="694"/>
      <c r="V71" s="607"/>
    </row>
    <row r="72" spans="2:22" outlineLevel="1" x14ac:dyDescent="0.3">
      <c r="B72" s="525"/>
      <c r="C72" s="526"/>
      <c r="D72" s="526" t="s">
        <v>1934</v>
      </c>
      <c r="E72" s="674" t="e">
        <f>E51-SUM(E53:E70)</f>
        <v>#N/A</v>
      </c>
      <c r="F72" s="528"/>
      <c r="G72" s="528"/>
      <c r="H72" s="528"/>
      <c r="I72" s="528"/>
      <c r="J72" s="509"/>
      <c r="K72" s="577"/>
      <c r="L72" s="509"/>
      <c r="M72" s="527"/>
      <c r="N72" s="509" t="e">
        <f>IF(J72&lt;E72,(E72-J72)," ")</f>
        <v>#N/A</v>
      </c>
      <c r="O72" s="691" t="str">
        <f>IF(ISERROR(VLOOKUP(B72,'Base de Datos'!$C$7:$K$1048576,7,0))=TRUE," ",(VLOOKUP(B72,'Base de Datos'!$C$7:$K$1048576,7,0)))</f>
        <v xml:space="preserve"> </v>
      </c>
      <c r="P72" s="524" t="str">
        <f>IF(ISERROR(VLOOKUP(B72,'Base de Datos'!$C$7:$N$4077,9,0))=TRUE," ",(VLOOKUP(B72,'Base de Datos'!$C$7:$N$4077,9,0)))</f>
        <v xml:space="preserve"> </v>
      </c>
      <c r="Q72" s="526"/>
      <c r="R72" s="529" t="str">
        <f>IF(ISERROR(VLOOKUP(B72,'Base de Datos'!$C$7:$N$315,10,0))=TRUE," ",(VLOOKUP(B72,'Base de Datos'!$C$7:$N$315,10,0)))</f>
        <v xml:space="preserve"> </v>
      </c>
      <c r="S72" s="529" t="str">
        <f>IF(ISERROR(VLOOKUP(B72,'Base de Datos'!$C$7:$N$315,11,0))=TRUE," ",(VLOOKUP(B72,'Base de Datos'!$C$7:$N$315,11,0)))</f>
        <v xml:space="preserve"> </v>
      </c>
      <c r="T72" s="506"/>
      <c r="U72" s="694"/>
      <c r="V72" s="607"/>
    </row>
    <row r="73" spans="2:22" ht="12" outlineLevel="1" x14ac:dyDescent="0.3">
      <c r="B73" s="1248"/>
      <c r="C73" s="1248"/>
      <c r="D73" s="1248"/>
      <c r="E73" s="509"/>
      <c r="F73" s="507"/>
      <c r="G73" s="507"/>
      <c r="H73" s="507"/>
      <c r="I73" s="507"/>
      <c r="J73" s="509"/>
      <c r="K73" s="573"/>
      <c r="L73" s="509"/>
      <c r="M73" s="509"/>
      <c r="N73" s="509"/>
      <c r="O73" s="651"/>
      <c r="P73" s="524"/>
      <c r="Q73" s="506"/>
      <c r="R73" s="524"/>
      <c r="S73" s="524"/>
      <c r="T73" s="506"/>
      <c r="U73" s="694"/>
      <c r="V73" s="607"/>
    </row>
    <row r="74" spans="2:22" ht="12" outlineLevel="1" x14ac:dyDescent="0.3">
      <c r="B74" s="1248"/>
      <c r="C74" s="1248"/>
      <c r="D74" s="1248"/>
      <c r="E74" s="509"/>
      <c r="F74" s="507"/>
      <c r="G74" s="507"/>
      <c r="H74" s="507"/>
      <c r="I74" s="507"/>
      <c r="J74" s="509"/>
      <c r="K74" s="573"/>
      <c r="L74" s="509"/>
      <c r="M74" s="509"/>
      <c r="N74" s="509"/>
      <c r="O74" s="651"/>
      <c r="P74" s="524"/>
      <c r="Q74" s="506"/>
      <c r="R74" s="524"/>
      <c r="S74" s="524"/>
      <c r="T74" s="506"/>
      <c r="U74" s="694"/>
      <c r="V74" s="607"/>
    </row>
    <row r="75" spans="2:22" ht="15" customHeight="1" x14ac:dyDescent="0.3">
      <c r="B75" s="1253" t="s">
        <v>1648</v>
      </c>
      <c r="C75" s="1253"/>
      <c r="D75" s="1253"/>
      <c r="E75" s="560">
        <v>452000000</v>
      </c>
      <c r="F75" s="561">
        <f>COUNTIF('Actualizada - presupuesto'!$E$7:$E$111,B75)</f>
        <v>3</v>
      </c>
      <c r="G75" s="561"/>
      <c r="H75" s="561"/>
      <c r="I75" s="561"/>
      <c r="J75" s="560">
        <f>SUM(J77:J80)</f>
        <v>472000000</v>
      </c>
      <c r="K75" s="580">
        <f>J75/E75</f>
        <v>1.0442477876106195</v>
      </c>
      <c r="L75" s="560">
        <f>SUM(L77:L80)</f>
        <v>0</v>
      </c>
      <c r="M75" s="605">
        <v>0</v>
      </c>
      <c r="N75" s="560">
        <f>+E75-J75-L75</f>
        <v>-20000000</v>
      </c>
      <c r="O75" s="655"/>
      <c r="P75" s="562" t="str">
        <f>IF(ISERROR(VLOOKUP(B75,'Base de Datos'!$C$7:$N$315,8,0))=TRUE," ",(VLOOKUP(B75,'Base de Datos'!$C$7:$N$315,8,0)))</f>
        <v xml:space="preserve"> </v>
      </c>
      <c r="Q75" s="563"/>
      <c r="R75" s="562" t="str">
        <f>IF(ISERROR(VLOOKUP(B75,'Base de Datos'!$C$7:$N$315,9,0))=TRUE," ",(VLOOKUP(B75,'Base de Datos'!$C$7:$N$315,9,0)))</f>
        <v xml:space="preserve"> </v>
      </c>
      <c r="S75" s="562" t="str">
        <f>IF(ISERROR(VLOOKUP(B75,'Base de Datos'!$C$7:$N$315,10,0))=TRUE," ",(VLOOKUP(B75,'Base de Datos'!$C$7:$N$315,10,0)))</f>
        <v xml:space="preserve"> </v>
      </c>
      <c r="T75" s="565"/>
      <c r="U75" s="694"/>
      <c r="V75" s="607"/>
    </row>
    <row r="76" spans="2:22" ht="22.8" outlineLevel="1" x14ac:dyDescent="0.3">
      <c r="B76" s="510" t="s">
        <v>1692</v>
      </c>
      <c r="C76" s="510" t="s">
        <v>912</v>
      </c>
      <c r="D76" s="510" t="s">
        <v>1821</v>
      </c>
      <c r="E76" s="518" t="s">
        <v>1845</v>
      </c>
      <c r="F76" s="507" t="s">
        <v>1852</v>
      </c>
      <c r="G76" s="507"/>
      <c r="H76" s="507"/>
      <c r="I76" s="507"/>
      <c r="J76" s="510" t="s">
        <v>1844</v>
      </c>
      <c r="K76" s="625"/>
      <c r="L76" s="510" t="s">
        <v>1938</v>
      </c>
      <c r="M76" s="510"/>
      <c r="N76" s="510" t="s">
        <v>1939</v>
      </c>
      <c r="O76" s="650"/>
      <c r="P76" s="541" t="s">
        <v>1846</v>
      </c>
      <c r="Q76" s="510" t="s">
        <v>1847</v>
      </c>
      <c r="R76" s="510" t="s">
        <v>1848</v>
      </c>
      <c r="S76" s="510" t="s">
        <v>375</v>
      </c>
      <c r="T76" s="525" t="s">
        <v>1849</v>
      </c>
      <c r="U76" s="694"/>
      <c r="V76" s="607"/>
    </row>
    <row r="77" spans="2:22" outlineLevel="1" x14ac:dyDescent="0.3">
      <c r="B77" s="510">
        <v>184</v>
      </c>
      <c r="C77" s="506" t="str">
        <f>IF(ISERROR(VLOOKUP(B77,'Base de Datos'!$C$487:$F$4092,2,0))=TRUE,"",(VLOOKUP('Presupuesto - PAA 2017'!B77,'Base de Datos'!$C$7:$F$4092,3,0)))</f>
        <v>150386-0-2015</v>
      </c>
      <c r="D77" s="506" t="str">
        <f>IF(ISERROR(VLOOKUP(B77,'Base de Datos'!$C$487:$F$4092,3,0))=TRUE,"",(VLOOKUP('Presupuesto - PAA 2017'!B77,'Base de Datos'!$C$487:$F$4092,4,0)))</f>
        <v>ESTACION DE SERVIICIO CARRERA 50 S.A.S</v>
      </c>
      <c r="E77" s="509">
        <f>VLOOKUP(B77,[7]PAA2017!$C$65:$AA$255,20,0)</f>
        <v>59000000</v>
      </c>
      <c r="F77" s="507" t="str">
        <f>VLOOKUP(B77,[8]SOLICITUDES!$B$3:$H$278,2,0)</f>
        <v>SI</v>
      </c>
      <c r="G77" s="507"/>
      <c r="H77" s="507"/>
      <c r="I77" s="507"/>
      <c r="J77" s="509">
        <f>IF(ISERROR(VLOOKUP(B77,'Base de Datos'!$C$487:$N$4092,6,0))=TRUE,"Sin Celebrar",(VLOOKUP(B77,'Base de Datos'!$C$487:$N$4092,7,0)))</f>
        <v>39000000</v>
      </c>
      <c r="K77" s="573"/>
      <c r="L77" s="553" t="str">
        <f>IF(J77=$AA$1,E77, " ")</f>
        <v xml:space="preserve"> </v>
      </c>
      <c r="M77" s="509"/>
      <c r="N77" s="509">
        <f>IF(J77&lt;E77,(E77-J77)," ")</f>
        <v>20000000</v>
      </c>
      <c r="O77" s="691" t="str">
        <f>IF(ISERROR(VLOOKUP(B77,'Base de Datos'!$C$487:$K$1048576,7,0))=TRUE," ",(VLOOKUP(B77,'Base de Datos'!$C$487:$K$1048576,8,0)))</f>
        <v>SDH-SMINC-08-2017</v>
      </c>
      <c r="P77" s="524">
        <f>IF(ISERROR(VLOOKUP(B77,'Base de Datos'!$C$487:$N$4077,9,0))=TRUE," ",(VLOOKUP(B77,'Base de Datos'!$C$487:$N$4077,10,0)))</f>
        <v>42823</v>
      </c>
      <c r="Q77" s="709"/>
      <c r="R77" s="524">
        <f>IF(ISERROR(VLOOKUP(B77,'Base de Datos'!$C$487:$N$4077,10,0))=TRUE," ",(VLOOKUP(B77,'Base de Datos'!$C$487:$N$4077,11,0)))</f>
        <v>42846</v>
      </c>
      <c r="S77" s="524">
        <f>IF(ISERROR(VLOOKUP(B77,'Base de Datos'!$C$487:$N$4077,11,0))=TRUE," ",(VLOOKUP(B77,'Base de Datos'!$C$487:$N$4077,12,0)))</f>
        <v>43186</v>
      </c>
      <c r="T77" s="506" t="str">
        <f>VLOOKUP(B77,'Base de Datos'!$C$487:$AU$4129,41,0)</f>
        <v>LIQUIDADO</v>
      </c>
      <c r="U77" s="694"/>
      <c r="V77" s="607"/>
    </row>
    <row r="78" spans="2:22" ht="22.8" outlineLevel="1" x14ac:dyDescent="0.3">
      <c r="B78" s="510">
        <v>183</v>
      </c>
      <c r="C78" s="506" t="str">
        <f>IF(ISERROR(VLOOKUP(B78,'Base de Datos'!$C$487:$F$4092,2,0))=TRUE,"",(VLOOKUP('Presupuesto - PAA 2017'!B78,'Base de Datos'!$C$7:$F$4092,3,0)))</f>
        <v>170004-0-2017</v>
      </c>
      <c r="D78" s="506" t="str">
        <f>IF(ISERROR(VLOOKUP(B78,'Base de Datos'!$C$487:$F$4092,3,0))=TRUE,"",(VLOOKUP('Presupuesto - PAA 2017'!B78,'Base de Datos'!$C$487:$F$4092,4,0)))</f>
        <v>UT AUTOGAS GRUPO EDS</v>
      </c>
      <c r="E78" s="509">
        <f>VLOOKUP(B78,[7]PAA2017!$C$65:$AA$255,20,0)</f>
        <v>493000000</v>
      </c>
      <c r="F78" s="507" t="str">
        <f>VLOOKUP(B78,[8]SOLICITUDES!$B$3:$H$278,2,0)</f>
        <v>SI</v>
      </c>
      <c r="G78" s="507"/>
      <c r="H78" s="507"/>
      <c r="I78" s="507"/>
      <c r="J78" s="509">
        <f>IF(ISERROR(VLOOKUP(B78,'Base de Datos'!$C$487:$N$4092,6,0))=TRUE,"Sin Celebrar",(VLOOKUP(B78,'Base de Datos'!$C$487:$N$4092,7,0)))</f>
        <v>433000000</v>
      </c>
      <c r="K78" s="573"/>
      <c r="L78" s="553" t="str">
        <f>IF(J78=$AA$1,E78, " ")</f>
        <v xml:space="preserve"> </v>
      </c>
      <c r="M78" s="509"/>
      <c r="N78" s="509">
        <f>IF(J78&lt;E78,(E78-J78)," ")</f>
        <v>60000000</v>
      </c>
      <c r="O78" s="691" t="str">
        <f>IF(ISERROR(VLOOKUP(B78,'Base de Datos'!$C$487:$K$1048576,7,0))=TRUE," ",(VLOOKUP(B78,'Base de Datos'!$C$487:$K$1048576,8,0)))</f>
        <v>Orden de compra 13628</v>
      </c>
      <c r="P78" s="524">
        <f>IF(ISERROR(VLOOKUP(B78,'Base de Datos'!$C$487:$N$4077,9,0))=TRUE," ",(VLOOKUP(B78,'Base de Datos'!$C$487:$N$4077,10,0)))</f>
        <v>42754</v>
      </c>
      <c r="Q78" s="709" t="s">
        <v>1853</v>
      </c>
      <c r="R78" s="524">
        <f>IF(ISERROR(VLOOKUP(B78,'Base de Datos'!$C$487:$N$4077,10,0))=TRUE," ",(VLOOKUP(B78,'Base de Datos'!$C$487:$N$4077,11,0)))</f>
        <v>42767</v>
      </c>
      <c r="S78" s="524">
        <f>IF(ISERROR(VLOOKUP(B78,'Base de Datos'!$C$487:$N$4077,11,0))=TRUE," ",(VLOOKUP(B78,'Base de Datos'!$C$487:$N$4077,12,0)))</f>
        <v>43100</v>
      </c>
      <c r="T78" s="506" t="str">
        <f>VLOOKUP(B78,'Base de Datos'!$C$487:$AU$4129,41,0)</f>
        <v>LIQUIDADO</v>
      </c>
      <c r="U78" s="694"/>
      <c r="V78" s="607"/>
    </row>
    <row r="79" spans="2:22" outlineLevel="1" x14ac:dyDescent="0.3">
      <c r="B79" s="525"/>
      <c r="C79" s="506" t="str">
        <f>IF(ISERROR(VLOOKUP(B79,'Base de Datos'!$C$7:$F$4092,2,0))=TRUE,"",(VLOOKUP('Presupuesto - PAA 2017'!B79,'Base de Datos'!$C$7:$F$4092,3,0)))</f>
        <v/>
      </c>
      <c r="D79" s="506" t="str">
        <f>IF(ISERROR(VLOOKUP(B79,'Base de Datos'!$C$7:$F$4092,3,0))=TRUE,"",(VLOOKUP('Presupuesto - PAA 2017'!B79,'Base de Datos'!$C$7:$F$4092,4,0)))</f>
        <v/>
      </c>
      <c r="E79" s="527"/>
      <c r="F79" s="507" t="e">
        <f>VLOOKUP(B79,'Actualizada - presupuesto'!$D$7:$L$111,9,0)</f>
        <v>#N/A</v>
      </c>
      <c r="G79" s="528"/>
      <c r="H79" s="528"/>
      <c r="I79" s="528"/>
      <c r="J79" s="509" t="str">
        <f>IF(ISERROR(VLOOKUP(B79,'Base de Datos'!$C$7:$N$4092,6,0))=TRUE,"Sin Celebrar",(VLOOKUP(B79,'Base de Datos'!$C$7:$N$4092,7,0)))</f>
        <v>Sin Celebrar</v>
      </c>
      <c r="K79" s="577"/>
      <c r="L79" s="553">
        <f>IF(J79=$AA$1,E79, " ")</f>
        <v>0</v>
      </c>
      <c r="M79" s="527"/>
      <c r="N79" s="527" t="str">
        <f>IF(J79&lt;E79,(E79-J79)," ")</f>
        <v xml:space="preserve"> </v>
      </c>
      <c r="O79" s="691" t="str">
        <f>IF(ISERROR(VLOOKUP(B79,'Base de Datos'!$C$7:$K$1048576,7,0))=TRUE," ",(VLOOKUP(B79,'Base de Datos'!$C$7:$K$1048576,8,0)))</f>
        <v xml:space="preserve"> </v>
      </c>
      <c r="P79" s="524" t="str">
        <f>IF(ISERROR(VLOOKUP(B79,'Base de Datos'!$C$7:$N$4077,9,0))=TRUE," ",(VLOOKUP(B79,'Base de Datos'!$C$7:$N$4077,10,0)))</f>
        <v xml:space="preserve"> </v>
      </c>
      <c r="Q79" s="526"/>
      <c r="R79" s="524" t="str">
        <f>IF(ISERROR(VLOOKUP(B79,'Base de Datos'!$C$7:$N$4077,10,0))=TRUE," ",(VLOOKUP(B79,'Base de Datos'!$C$7:$N$4077,11,0)))</f>
        <v xml:space="preserve"> </v>
      </c>
      <c r="S79" s="524" t="str">
        <f>IF(ISERROR(VLOOKUP(B79,'Base de Datos'!$C$7:$N$4077,11,0))=TRUE," ",(VLOOKUP(B79,'Base de Datos'!$C$7:$N$4077,12,0)))</f>
        <v xml:space="preserve"> </v>
      </c>
      <c r="T79" s="506" t="e">
        <f>VLOOKUP(C79,'Base de Datos'!$E$7:$AU$382,39,0)</f>
        <v>#N/A</v>
      </c>
      <c r="U79" s="694"/>
      <c r="V79" s="607"/>
    </row>
    <row r="80" spans="2:22" ht="12" outlineLevel="1" x14ac:dyDescent="0.3">
      <c r="B80" s="621"/>
      <c r="C80" s="621"/>
      <c r="D80" s="506" t="s">
        <v>1937</v>
      </c>
      <c r="E80" s="509">
        <f>E75-(SUM(E77:E79))</f>
        <v>-100000000</v>
      </c>
      <c r="F80" s="620"/>
      <c r="G80" s="507"/>
      <c r="H80" s="507"/>
      <c r="I80" s="507"/>
      <c r="J80" s="527"/>
      <c r="K80" s="573"/>
      <c r="L80" s="527"/>
      <c r="M80" s="509"/>
      <c r="N80" s="527" t="str">
        <f>IF(J80&lt;E80,(E80-J80)," ")</f>
        <v xml:space="preserve"> </v>
      </c>
      <c r="O80" s="652"/>
      <c r="P80" s="524" t="str">
        <f>IF(ISERROR(VLOOKUP(B80,'Base de Datos'!$C$7:$N$315,9,0))=TRUE," ",(VLOOKUP(B80,'Base de Datos'!$C$7:$N$315,9,0)))</f>
        <v xml:space="preserve"> </v>
      </c>
      <c r="Q80" s="506"/>
      <c r="R80" s="529" t="str">
        <f>IF(ISERROR(VLOOKUP(B80,'Base de Datos'!$C$7:$N$315,10,0))=TRUE," ",(VLOOKUP(B80,'Base de Datos'!$C$7:$N$315,10,0)))</f>
        <v xml:space="preserve"> </v>
      </c>
      <c r="S80" s="529" t="str">
        <f>IF(ISERROR(VLOOKUP(B80,'Base de Datos'!$C$7:$N$315,11,0))=TRUE," ",(VLOOKUP(B80,'Base de Datos'!$C$7:$N$315,11,0)))</f>
        <v xml:space="preserve"> </v>
      </c>
      <c r="T80" s="693"/>
      <c r="U80" s="694"/>
      <c r="V80" s="607"/>
    </row>
    <row r="81" spans="2:22" ht="12" outlineLevel="1" x14ac:dyDescent="0.3">
      <c r="B81" s="621"/>
      <c r="C81" s="621"/>
      <c r="D81" s="621"/>
      <c r="E81" s="509"/>
      <c r="F81" s="620"/>
      <c r="G81" s="620"/>
      <c r="H81" s="620"/>
      <c r="I81" s="620"/>
      <c r="J81" s="509"/>
      <c r="K81" s="573"/>
      <c r="L81" s="509"/>
      <c r="M81" s="509"/>
      <c r="N81" s="509"/>
      <c r="O81" s="651"/>
      <c r="P81" s="524"/>
      <c r="Q81" s="506"/>
      <c r="R81" s="524"/>
      <c r="S81" s="524"/>
      <c r="T81" s="506"/>
      <c r="U81" s="694"/>
      <c r="V81" s="607"/>
    </row>
    <row r="82" spans="2:22" ht="15" customHeight="1" x14ac:dyDescent="0.3">
      <c r="B82" s="1253" t="s">
        <v>1649</v>
      </c>
      <c r="C82" s="1253"/>
      <c r="D82" s="1253"/>
      <c r="E82" s="560">
        <v>223000000</v>
      </c>
      <c r="F82" s="561">
        <f>COUNTIF('Actualizada - presupuesto'!$E$7:$E$111,B82)</f>
        <v>4</v>
      </c>
      <c r="G82" s="561"/>
      <c r="H82" s="561"/>
      <c r="I82" s="561"/>
      <c r="J82" s="560">
        <f>SUM(J84:J88)</f>
        <v>357365600</v>
      </c>
      <c r="K82" s="580">
        <f>J82/E82</f>
        <v>1.6025363228699552</v>
      </c>
      <c r="L82" s="560" t="e">
        <f>SUM(L84:L88)</f>
        <v>#N/A</v>
      </c>
      <c r="M82" s="605" t="e">
        <f>+E82-(J82+L82)</f>
        <v>#N/A</v>
      </c>
      <c r="N82" s="560" t="e">
        <f>+E82-J82-L82</f>
        <v>#N/A</v>
      </c>
      <c r="O82" s="655"/>
      <c r="P82" s="562" t="str">
        <f>IF(ISERROR(VLOOKUP(B82,'Base de Datos'!$C$7:$N$315,8,0))=TRUE," ",(VLOOKUP(B82,'Base de Datos'!$C$7:$N$315,8,0)))</f>
        <v xml:space="preserve"> </v>
      </c>
      <c r="Q82" s="563"/>
      <c r="R82" s="562" t="str">
        <f>IF(ISERROR(VLOOKUP(B82,'Base de Datos'!$C$7:$N$315,9,0))=TRUE," ",(VLOOKUP(B82,'Base de Datos'!$C$7:$N$315,9,0)))</f>
        <v xml:space="preserve"> </v>
      </c>
      <c r="S82" s="562" t="str">
        <f>IF(ISERROR(VLOOKUP(B82,'Base de Datos'!$C$7:$N$315,10,0))=TRUE," ",(VLOOKUP(B82,'Base de Datos'!$C$7:$N$315,10,0)))</f>
        <v xml:space="preserve"> </v>
      </c>
      <c r="T82" s="565"/>
      <c r="U82" s="694"/>
      <c r="V82" s="607"/>
    </row>
    <row r="83" spans="2:22" ht="22.8" outlineLevel="1" x14ac:dyDescent="0.3">
      <c r="B83" s="510" t="s">
        <v>1692</v>
      </c>
      <c r="C83" s="510" t="s">
        <v>912</v>
      </c>
      <c r="D83" s="510" t="s">
        <v>1821</v>
      </c>
      <c r="E83" s="518" t="s">
        <v>1845</v>
      </c>
      <c r="F83" s="507" t="s">
        <v>1852</v>
      </c>
      <c r="G83" s="507"/>
      <c r="H83" s="507"/>
      <c r="I83" s="507"/>
      <c r="J83" s="510" t="s">
        <v>1844</v>
      </c>
      <c r="K83" s="625"/>
      <c r="L83" s="510" t="s">
        <v>1938</v>
      </c>
      <c r="M83" s="510"/>
      <c r="N83" s="510" t="s">
        <v>1939</v>
      </c>
      <c r="O83" s="650"/>
      <c r="P83" s="541" t="s">
        <v>1846</v>
      </c>
      <c r="Q83" s="510" t="s">
        <v>1847</v>
      </c>
      <c r="R83" s="510" t="s">
        <v>1848</v>
      </c>
      <c r="S83" s="510" t="s">
        <v>375</v>
      </c>
      <c r="T83" s="510" t="s">
        <v>1849</v>
      </c>
      <c r="U83" s="694"/>
      <c r="V83" s="607"/>
    </row>
    <row r="84" spans="2:22" outlineLevel="1" x14ac:dyDescent="0.3">
      <c r="B84" s="510">
        <v>187</v>
      </c>
      <c r="C84" s="506" t="str">
        <f>IF(ISERROR(VLOOKUP(B84,'Base de Datos'!$C$487:$F$4092,2,0))=TRUE,"",(VLOOKUP('Presupuesto - PAA 2017'!B84,'Base de Datos'!$C$7:$F$4092,3,0)))</f>
        <v>150348-0-2015</v>
      </c>
      <c r="D84" s="506" t="str">
        <f>IF(ISERROR(VLOOKUP(B84,'Base de Datos'!$C$487:$F$4092,3,0))=TRUE,"",(VLOOKUP('Presupuesto - PAA 2017'!B84,'Base de Datos'!$C$487:$F$4092,4,0)))</f>
        <v>COMERCIALIZADORA VIMEL LTDA</v>
      </c>
      <c r="E84" s="509">
        <f>VLOOKUP(B84,[7]PAA2017!$C$65:$AA$255,20,0)</f>
        <v>49000000</v>
      </c>
      <c r="F84" s="507" t="str">
        <f>VLOOKUP(B84,[8]SOLICITUDES!$B$3:$H$278,2,0)</f>
        <v>SI</v>
      </c>
      <c r="G84" s="507"/>
      <c r="H84" s="507"/>
      <c r="I84" s="507"/>
      <c r="J84" s="509">
        <f>IF(ISERROR(VLOOKUP(B84,'Base de Datos'!$C$487:$N$4092,6,0))=TRUE,"Sin Celebrar",(VLOOKUP(B84,'Base de Datos'!$C$487:$N$4092,7,0)))</f>
        <v>6711600</v>
      </c>
      <c r="K84" s="573"/>
      <c r="L84" s="553" t="str">
        <f>IF(J84=$AA$1,E84, " ")</f>
        <v xml:space="preserve"> </v>
      </c>
      <c r="M84" s="509"/>
      <c r="N84" s="509">
        <f>IF(J84&lt;E84,(E84-J84)," ")</f>
        <v>42288400</v>
      </c>
      <c r="O84" s="691" t="str">
        <f>IF(ISERROR(VLOOKUP(B84,'Base de Datos'!$C$487:$K$1048576,7,0))=TRUE," ",(VLOOKUP(B84,'Base de Datos'!$C$487:$K$1048576,8,0)))</f>
        <v>SDH-SMINC-31-2017</v>
      </c>
      <c r="P84" s="524">
        <f>IF(ISERROR(VLOOKUP(B84,'Base de Datos'!$C$487:$N$4077,9,0))=TRUE," ",(VLOOKUP(B84,'Base de Datos'!$C$487:$N$4077,10,0)))</f>
        <v>42996</v>
      </c>
      <c r="Q84" s="709"/>
      <c r="R84" s="524">
        <f>IF(ISERROR(VLOOKUP(B84,'Base de Datos'!$C$487:$N$4077,10,0))=TRUE," ",(VLOOKUP(B84,'Base de Datos'!$C$487:$N$4077,11,0)))</f>
        <v>43004</v>
      </c>
      <c r="S84" s="524">
        <f>IF(ISERROR(VLOOKUP(B84,'Base de Datos'!$C$487:$N$4077,11,0))=TRUE," ",(VLOOKUP(B84,'Base de Datos'!$C$487:$N$4077,12,0)))</f>
        <v>43185</v>
      </c>
      <c r="T84" s="506" t="str">
        <f>VLOOKUP(B84,'Base de Datos'!$C$487:$AU$4129,41,0)</f>
        <v>LIQUIDADO</v>
      </c>
      <c r="U84" s="694"/>
      <c r="V84" s="607"/>
    </row>
    <row r="85" spans="2:22" ht="17.25" customHeight="1" outlineLevel="1" x14ac:dyDescent="0.3">
      <c r="B85" s="510">
        <v>188</v>
      </c>
      <c r="C85" s="506" t="str">
        <f>IF(ISERROR(VLOOKUP(B85,'Base de Datos'!$C$487:$F$4092,2,0))=TRUE,"",(VLOOKUP('Presupuesto - PAA 2017'!B85,'Base de Datos'!$C$7:$F$4092,3,0)))</f>
        <v>150300-0-2015</v>
      </c>
      <c r="D85" s="506" t="str">
        <f>IF(ISERROR(VLOOKUP(B85,'Base de Datos'!$C$487:$F$4092,3,0))=TRUE,"",(VLOOKUP('Presupuesto - PAA 2017'!B85,'Base de Datos'!$C$487:$F$4092,4,0)))</f>
        <v>INSTITUCIONAL STAR SERVICES Ltda.</v>
      </c>
      <c r="E85" s="509">
        <f>VLOOKUP(B85,[7]PAA2017!$C$65:$AA$255,20,0)</f>
        <v>128000000</v>
      </c>
      <c r="F85" s="507" t="e">
        <f>VLOOKUP(B85,[8]SOLICITUDES!$B$3:$H$278,2,0)</f>
        <v>#N/A</v>
      </c>
      <c r="G85" s="507"/>
      <c r="H85" s="507"/>
      <c r="I85" s="507"/>
      <c r="J85" s="509">
        <f>IF(ISERROR(VLOOKUP(B85,'Base de Datos'!$C$487:$N$4092,6,0))=TRUE,"Sin Celebrar",(VLOOKUP(B85,'Base de Datos'!$C$487:$N$4092,7,0)))</f>
        <v>79741000</v>
      </c>
      <c r="K85" s="573"/>
      <c r="L85" s="553" t="str">
        <f>IF(J85=$AA$1,E85, " ")</f>
        <v xml:space="preserve"> </v>
      </c>
      <c r="M85" s="509"/>
      <c r="N85" s="509">
        <f>IF(J85&lt;E85,(E85-J85)," ")</f>
        <v>48259000</v>
      </c>
      <c r="O85" s="691" t="str">
        <f>IF(ISERROR(VLOOKUP(B85,'Base de Datos'!$C$487:$K$1048576,7,0))=TRUE," ",(VLOOKUP(B85,'Base de Datos'!$C$487:$K$1048576,8,0)))</f>
        <v>SDH-SIE-09-2017</v>
      </c>
      <c r="P85" s="524" t="str">
        <f>IF(ISERROR(VLOOKUP(B85,'Base de Datos'!$C$487:$N$4077,9,0))=TRUE," ",(VLOOKUP(B85,'Base de Datos'!$C$487:$N$4077,10,0)))</f>
        <v>03/112017</v>
      </c>
      <c r="Q85" s="709"/>
      <c r="R85" s="524">
        <f>IF(ISERROR(VLOOKUP(B85,'Base de Datos'!$C$487:$N$4077,10,0))=TRUE," ",(VLOOKUP(B85,'Base de Datos'!$C$487:$N$4077,11,0)))</f>
        <v>43059</v>
      </c>
      <c r="S85" s="524">
        <f>IF(ISERROR(VLOOKUP(B85,'Base de Datos'!$C$487:$N$4077,11,0))=TRUE," ",(VLOOKUP(B85,'Base de Datos'!$C$487:$N$4077,12,0)))</f>
        <v>43286</v>
      </c>
      <c r="T85" s="506" t="str">
        <f>VLOOKUP(B85,'Base de Datos'!$C$487:$AU$4129,41,0)</f>
        <v>LIQUIDADO</v>
      </c>
      <c r="U85" s="694"/>
      <c r="V85" s="607"/>
    </row>
    <row r="86" spans="2:22" outlineLevel="1" x14ac:dyDescent="0.3">
      <c r="B86" s="510">
        <v>189</v>
      </c>
      <c r="C86" s="506" t="str">
        <f>IF(ISERROR(VLOOKUP(B86,'Base de Datos'!$C$487:$F$4092,2,0))=TRUE,"",(VLOOKUP('Presupuesto - PAA 2017'!B86,'Base de Datos'!$C$7:$F$4092,3,0)))</f>
        <v>150316-0-2015</v>
      </c>
      <c r="D86" s="506" t="str">
        <f>IF(ISERROR(VLOOKUP(B86,'Base de Datos'!$C$487:$F$4092,3,0))=TRUE,"",(VLOOKUP('Presupuesto - PAA 2017'!B86,'Base de Datos'!$C$487:$F$4092,4,0)))</f>
        <v>SERVIASEO S.A.</v>
      </c>
      <c r="E86" s="509">
        <f>VLOOKUP(B86,[7]PAA2017!$C$65:$AA$255,20,0)</f>
        <v>1708200000</v>
      </c>
      <c r="F86" s="507" t="str">
        <f>VLOOKUP(B86,[8]SOLICITUDES!$B$3:$H$278,2,0)</f>
        <v>SI</v>
      </c>
      <c r="G86" s="507"/>
      <c r="H86" s="507"/>
      <c r="I86" s="507"/>
      <c r="J86" s="509">
        <f>IF(ISERROR(VLOOKUP(B86,'Base de Datos'!$C$487:$N$4092,6,0))=TRUE,"Sin Celebrar",(VLOOKUP(B86,'Base de Datos'!$C$487:$N$4092,7,0)))</f>
        <v>270913000</v>
      </c>
      <c r="K86" s="573"/>
      <c r="L86" s="553" t="str">
        <f>IF(J86=$AA$1,E86, " ")</f>
        <v xml:space="preserve"> </v>
      </c>
      <c r="M86" s="509"/>
      <c r="N86" s="509">
        <f>IF(J86&lt;E86,(E86-J86)," ")</f>
        <v>1437287000</v>
      </c>
      <c r="O86" s="691" t="str">
        <f>IF(ISERROR(VLOOKUP(B86,'Base de Datos'!$C$487:$K$1048576,7,0))=TRUE," ",(VLOOKUP(B86,'Base de Datos'!$C$487:$K$1048576,8,0)))</f>
        <v xml:space="preserve"> SDH-LP-01-2017</v>
      </c>
      <c r="P86" s="524">
        <f>IF(ISERROR(VLOOKUP(B86,'Base de Datos'!$C$487:$N$4077,9,0))=TRUE," ",(VLOOKUP(B86,'Base de Datos'!$C$487:$N$4077,10,0)))</f>
        <v>42825</v>
      </c>
      <c r="Q86" s="709"/>
      <c r="R86" s="524">
        <f>IF(ISERROR(VLOOKUP(B86,'Base de Datos'!$C$487:$N$4077,10,0))=TRUE," ",(VLOOKUP(B86,'Base de Datos'!$C$487:$N$4077,11,0)))</f>
        <v>42829</v>
      </c>
      <c r="S86" s="524">
        <f>IF(ISERROR(VLOOKUP(B86,'Base de Datos'!$C$487:$N$4077,11,0))=TRUE," ",(VLOOKUP(B86,'Base de Datos'!$C$487:$N$4077,12,0)))</f>
        <v>43073</v>
      </c>
      <c r="T86" s="506" t="str">
        <f>VLOOKUP(B86,'Base de Datos'!$C$487:$AU$4129,41,0)</f>
        <v>LIQUIDADO</v>
      </c>
      <c r="U86" s="694"/>
      <c r="V86" s="607"/>
    </row>
    <row r="87" spans="2:22" ht="16.5" customHeight="1" outlineLevel="1" x14ac:dyDescent="0.3">
      <c r="B87" s="525"/>
      <c r="C87" s="506" t="str">
        <f>IF(ISERROR(VLOOKUP(B87,'Base de Datos'!$C$487:$F$4092,2,0))=TRUE,"",(VLOOKUP('Presupuesto - PAA 2017'!B87,'Base de Datos'!$C$7:$F$4092,3,0)))</f>
        <v/>
      </c>
      <c r="D87" s="506" t="str">
        <f>IF(ISERROR(VLOOKUP(B87,'Base de Datos'!$C$487:$F$4092,3,0))=TRUE,"",(VLOOKUP('Presupuesto - PAA 2017'!B87,'Base de Datos'!$C$487:$F$4092,4,0)))</f>
        <v/>
      </c>
      <c r="E87" s="509" t="e">
        <f>VLOOKUP(B87,[7]PAA2017!$C$65:$AA$255,20,0)</f>
        <v>#N/A</v>
      </c>
      <c r="F87" s="507" t="e">
        <f>VLOOKUP(B87,[8]SOLICITUDES!$B$3:$H$278,2,0)</f>
        <v>#N/A</v>
      </c>
      <c r="G87" s="507"/>
      <c r="H87" s="507"/>
      <c r="I87" s="507"/>
      <c r="J87" s="509" t="str">
        <f>IF(ISERROR(VLOOKUP(B87,'Base de Datos'!$C$487:$N$4092,6,0))=TRUE,"Sin Celebrar",(VLOOKUP(B87,'Base de Datos'!$C$487:$N$4092,7,0)))</f>
        <v>Sin Celebrar</v>
      </c>
      <c r="K87" s="573"/>
      <c r="L87" s="553" t="e">
        <f>IF(J87=$AA$1,E87, " ")</f>
        <v>#N/A</v>
      </c>
      <c r="M87" s="509"/>
      <c r="N87" s="509" t="e">
        <f>IF(J87&lt;E87,(E87-J87)," ")</f>
        <v>#N/A</v>
      </c>
      <c r="O87" s="691" t="str">
        <f>IF(ISERROR(VLOOKUP(B87,'Base de Datos'!$C$487:$K$1048576,7,0))=TRUE," ",(VLOOKUP(B87,'Base de Datos'!$C$487:$K$1048576,8,0)))</f>
        <v xml:space="preserve"> </v>
      </c>
      <c r="P87" s="524" t="str">
        <f>IF(ISERROR(VLOOKUP(B87,'Base de Datos'!$C$487:$N$4077,9,0))=TRUE," ",(VLOOKUP(B87,'Base de Datos'!$C$487:$N$4077,10,0)))</f>
        <v xml:space="preserve"> </v>
      </c>
      <c r="Q87" s="709"/>
      <c r="R87" s="524" t="str">
        <f>IF(ISERROR(VLOOKUP(B87,'Base de Datos'!$C$487:$N$4077,10,0))=TRUE," ",(VLOOKUP(B87,'Base de Datos'!$C$487:$N$4077,11,0)))</f>
        <v xml:space="preserve"> </v>
      </c>
      <c r="S87" s="524" t="str">
        <f>IF(ISERROR(VLOOKUP(B87,'Base de Datos'!$C$487:$N$4077,11,0))=TRUE," ",(VLOOKUP(B87,'Base de Datos'!$C$487:$N$4077,12,0)))</f>
        <v xml:space="preserve"> </v>
      </c>
      <c r="T87" s="506" t="e">
        <f>VLOOKUP(B87,'Base de Datos'!$C$487:$AU$4129,41,0)</f>
        <v>#N/A</v>
      </c>
      <c r="U87" s="694"/>
      <c r="V87" s="607"/>
    </row>
    <row r="88" spans="2:22" ht="12" outlineLevel="1" x14ac:dyDescent="0.3">
      <c r="B88" s="621"/>
      <c r="C88" s="621"/>
      <c r="D88" s="506" t="s">
        <v>1934</v>
      </c>
      <c r="E88" s="509" t="e">
        <f>E82-SUM(E84:E87)</f>
        <v>#N/A</v>
      </c>
      <c r="F88" s="507"/>
      <c r="G88" s="507"/>
      <c r="H88" s="507"/>
      <c r="I88" s="507"/>
      <c r="J88" s="509"/>
      <c r="K88" s="573"/>
      <c r="L88" s="527"/>
      <c r="M88" s="509"/>
      <c r="N88" s="527" t="e">
        <f>IF(J88&lt;E88,(E88-J88)," ")</f>
        <v>#N/A</v>
      </c>
      <c r="O88" s="652"/>
      <c r="P88" s="524" t="str">
        <f>IF(ISERROR(VLOOKUP(B88,'Base de Datos'!$C$7:$N$315,9,0))=TRUE," ",(VLOOKUP(B88,'Base de Datos'!$C$7:$N$315,9,0)))</f>
        <v xml:space="preserve"> </v>
      </c>
      <c r="Q88" s="506"/>
      <c r="R88" s="529" t="str">
        <f>IF(ISERROR(VLOOKUP(B88,'Base de Datos'!$C$7:$N$315,10,0))=TRUE," ",(VLOOKUP(B88,'Base de Datos'!$C$7:$N$315,10,0)))</f>
        <v xml:space="preserve"> </v>
      </c>
      <c r="S88" s="529" t="str">
        <f>IF(ISERROR(VLOOKUP(B88,'Base de Datos'!$C$7:$N$315,11,0))=TRUE," ",(VLOOKUP(B88,'Base de Datos'!$C$7:$N$315,11,0)))</f>
        <v xml:space="preserve"> </v>
      </c>
      <c r="T88" s="506"/>
      <c r="U88" s="694"/>
      <c r="V88" s="607"/>
    </row>
    <row r="89" spans="2:22" ht="12" outlineLevel="1" x14ac:dyDescent="0.3">
      <c r="B89" s="621"/>
      <c r="C89" s="621"/>
      <c r="D89" s="621"/>
      <c r="E89" s="509"/>
      <c r="F89" s="507"/>
      <c r="G89" s="507"/>
      <c r="H89" s="507"/>
      <c r="I89" s="507"/>
      <c r="J89" s="509"/>
      <c r="K89" s="573"/>
      <c r="L89" s="509"/>
      <c r="M89" s="509"/>
      <c r="N89" s="509"/>
      <c r="O89" s="651"/>
      <c r="P89" s="524"/>
      <c r="Q89" s="506"/>
      <c r="R89" s="524"/>
      <c r="S89" s="524"/>
      <c r="T89" s="506"/>
      <c r="U89" s="694"/>
      <c r="V89" s="607"/>
    </row>
    <row r="90" spans="2:22" ht="15" customHeight="1" x14ac:dyDescent="0.3">
      <c r="B90" s="1254" t="s">
        <v>1650</v>
      </c>
      <c r="C90" s="1254"/>
      <c r="D90" s="1254"/>
      <c r="E90" s="530">
        <v>7026221000</v>
      </c>
      <c r="F90" s="531">
        <f>COUNTIF('Actualizada - presupuesto'!$E$7:$E$111,B90)</f>
        <v>0</v>
      </c>
      <c r="G90" s="531"/>
      <c r="H90" s="531"/>
      <c r="I90" s="531"/>
      <c r="J90" s="540">
        <f>+J91+J100+J116+J139+J158+J175+J180+J188+J196+J204+J209</f>
        <v>5796244783</v>
      </c>
      <c r="K90" s="583">
        <f>J90/E90</f>
        <v>0.82494484346564101</v>
      </c>
      <c r="L90" s="540" t="e">
        <f>+L91+L100+L116+L139+L158+L175+L180+L188+L196+L204+L209</f>
        <v>#N/A</v>
      </c>
      <c r="M90" s="626">
        <v>0</v>
      </c>
      <c r="N90" s="540" t="e">
        <f>+N91+N100+N116+N139+N158+N175+N180+N188+N196+N204+N209</f>
        <v>#N/A</v>
      </c>
      <c r="O90" s="658"/>
      <c r="P90" s="540"/>
      <c r="Q90" s="547"/>
      <c r="R90" s="546" t="str">
        <f>IF(ISERROR(VLOOKUP(B90,'Base de Datos'!$C$7:$N$315,9,0))=TRUE," ",(VLOOKUP(B90,'Base de Datos'!$C$7:$N$315,9,0)))</f>
        <v xml:space="preserve"> </v>
      </c>
      <c r="S90" s="546" t="str">
        <f>IF(ISERROR(VLOOKUP(B90,'Base de Datos'!$C$7:$N$315,10,0))=TRUE," ",(VLOOKUP(B90,'Base de Datos'!$C$7:$N$315,10,0)))</f>
        <v xml:space="preserve"> </v>
      </c>
      <c r="T90" s="542"/>
      <c r="U90" s="694"/>
      <c r="V90" s="607"/>
    </row>
    <row r="91" spans="2:22" ht="15" customHeight="1" x14ac:dyDescent="0.3">
      <c r="B91" s="1239" t="s">
        <v>1651</v>
      </c>
      <c r="C91" s="1239"/>
      <c r="D91" s="1239"/>
      <c r="E91" s="554">
        <v>229000000</v>
      </c>
      <c r="F91" s="559">
        <f>COUNTIF('Actualizada - presupuesto'!$E$7:$E$111,B91)</f>
        <v>5</v>
      </c>
      <c r="G91" s="559"/>
      <c r="H91" s="559"/>
      <c r="I91" s="559"/>
      <c r="J91" s="554">
        <f>SUM(J93:J98)</f>
        <v>239202165</v>
      </c>
      <c r="K91" s="576">
        <f>J91/E91</f>
        <v>1.0445509388646288</v>
      </c>
      <c r="L91" s="554">
        <f>SUM(L93:L98)</f>
        <v>40420000</v>
      </c>
      <c r="M91" s="605">
        <v>0</v>
      </c>
      <c r="N91" s="554">
        <f>+E91-J91-L91</f>
        <v>-50622165</v>
      </c>
      <c r="O91" s="657"/>
      <c r="P91" s="564" t="str">
        <f>IF(ISERROR(VLOOKUP(B91,'Base de Datos'!$C$7:$N$315,8,0))=TRUE," ",(VLOOKUP(B91,'Base de Datos'!$C$7:$N$315,8,0)))</f>
        <v xml:space="preserve"> </v>
      </c>
      <c r="Q91" s="565"/>
      <c r="R91" s="564" t="str">
        <f>IF(ISERROR(VLOOKUP(B91,'Base de Datos'!$C$7:$N$315,9,0))=TRUE," ",(VLOOKUP(B91,'Base de Datos'!$C$7:$N$315,9,0)))</f>
        <v xml:space="preserve"> </v>
      </c>
      <c r="S91" s="564" t="str">
        <f>IF(ISERROR(VLOOKUP(B91,'Base de Datos'!$C$7:$N$315,10,0))=TRUE," ",(VLOOKUP(B91,'Base de Datos'!$C$7:$N$315,10,0)))</f>
        <v xml:space="preserve"> </v>
      </c>
      <c r="T91" s="565"/>
      <c r="U91" s="694"/>
      <c r="V91" s="607"/>
    </row>
    <row r="92" spans="2:22" ht="22.8" outlineLevel="1" x14ac:dyDescent="0.3">
      <c r="B92" s="510" t="s">
        <v>1692</v>
      </c>
      <c r="C92" s="510" t="s">
        <v>912</v>
      </c>
      <c r="D92" s="510" t="s">
        <v>1821</v>
      </c>
      <c r="E92" s="518" t="s">
        <v>1845</v>
      </c>
      <c r="F92" s="507" t="s">
        <v>1852</v>
      </c>
      <c r="G92" s="507"/>
      <c r="H92" s="507"/>
      <c r="I92" s="507"/>
      <c r="J92" s="510" t="s">
        <v>1844</v>
      </c>
      <c r="K92" s="625"/>
      <c r="L92" s="510" t="s">
        <v>1938</v>
      </c>
      <c r="M92" s="510"/>
      <c r="N92" s="510" t="s">
        <v>1939</v>
      </c>
      <c r="O92" s="650"/>
      <c r="P92" s="541" t="s">
        <v>1846</v>
      </c>
      <c r="Q92" s="510" t="s">
        <v>1847</v>
      </c>
      <c r="R92" s="510" t="s">
        <v>1848</v>
      </c>
      <c r="S92" s="510" t="s">
        <v>375</v>
      </c>
      <c r="T92" s="510" t="s">
        <v>1849</v>
      </c>
      <c r="U92" s="694"/>
      <c r="V92" s="607"/>
    </row>
    <row r="93" spans="2:22" ht="24" customHeight="1" outlineLevel="1" x14ac:dyDescent="0.3">
      <c r="B93" s="510">
        <v>71</v>
      </c>
      <c r="C93" s="506" t="str">
        <f>IF(ISERROR(VLOOKUP(B93,'Base de Datos'!$C$487:$F$4092,2,0))=TRUE,"",(VLOOKUP('Presupuesto - PAA 2017'!B93,'Base de Datos'!$C$7:$F$4092,3,0)))</f>
        <v/>
      </c>
      <c r="D93" s="506" t="str">
        <f>IF(ISERROR(VLOOKUP(B93,'Base de Datos'!$C$487:$F$4092,3,0))=TRUE,"",(VLOOKUP('Presupuesto - PAA 2017'!B93,'Base de Datos'!$C$487:$F$4092,4,0)))</f>
        <v/>
      </c>
      <c r="E93" s="509">
        <f>VLOOKUP(B93,[7]PAA2017!$C$65:$AA$255,20,0)</f>
        <v>40420000</v>
      </c>
      <c r="F93" s="507" t="e">
        <f>VLOOKUP(B93,[8]SOLICITUDES!$B$3:$H$278,2,0)</f>
        <v>#N/A</v>
      </c>
      <c r="G93" s="507"/>
      <c r="H93" s="507"/>
      <c r="I93" s="507"/>
      <c r="J93" s="509" t="str">
        <f>IF(ISERROR(VLOOKUP(B93,'Base de Datos'!$C$487:$N$4092,6,0))=TRUE,"Sin Celebrar",(VLOOKUP(B93,'Base de Datos'!$C$487:$N$4092,7,0)))</f>
        <v>Sin Celebrar</v>
      </c>
      <c r="K93" s="573"/>
      <c r="L93" s="553">
        <f>IF(J93=$AA$1,E93, " ")</f>
        <v>40420000</v>
      </c>
      <c r="M93" s="509"/>
      <c r="N93" s="509" t="str">
        <f t="shared" ref="N93:N98" si="8">IF(J93&lt;E93,(E93-J93)," ")</f>
        <v xml:space="preserve"> </v>
      </c>
      <c r="O93" s="691" t="str">
        <f>IF(ISERROR(VLOOKUP(B93,'Base de Datos'!$C$487:$K$1048576,7,0))=TRUE," ",(VLOOKUP(B93,'Base de Datos'!$C$487:$K$1048576,8,0)))</f>
        <v xml:space="preserve"> </v>
      </c>
      <c r="P93" s="524" t="str">
        <f>IF(ISERROR(VLOOKUP(B93,'Base de Datos'!$C$487:$N$4077,9,0))=TRUE," ",(VLOOKUP(B93,'Base de Datos'!$C$487:$N$4077,10,0)))</f>
        <v xml:space="preserve"> </v>
      </c>
      <c r="Q93" s="709"/>
      <c r="R93" s="524" t="str">
        <f>IF(ISERROR(VLOOKUP(B93,'Base de Datos'!$C$487:$N$4077,10,0))=TRUE," ",(VLOOKUP(B93,'Base de Datos'!$C$487:$N$4077,11,0)))</f>
        <v xml:space="preserve"> </v>
      </c>
      <c r="S93" s="524" t="str">
        <f>IF(ISERROR(VLOOKUP(B93,'Base de Datos'!$C$487:$N$4077,11,0))=TRUE," ",(VLOOKUP(B93,'Base de Datos'!$C$487:$N$4077,12,0)))</f>
        <v xml:space="preserve"> </v>
      </c>
      <c r="T93" s="506" t="e">
        <f>VLOOKUP(B93,'Base de Datos'!$C$487:$AU$4129,41,0)</f>
        <v>#N/A</v>
      </c>
      <c r="U93" s="694"/>
      <c r="V93" s="607"/>
    </row>
    <row r="94" spans="2:22" ht="22.8" outlineLevel="1" x14ac:dyDescent="0.3">
      <c r="B94" s="510">
        <v>84</v>
      </c>
      <c r="C94" s="506" t="str">
        <f>IF(ISERROR(VLOOKUP(B94,'Base de Datos'!$C$487:$F$4092,2,0))=TRUE,"",(VLOOKUP('Presupuesto - PAA 2017'!B94,'Base de Datos'!$C$7:$F$4092,3,0)))</f>
        <v>160152-0-2016</v>
      </c>
      <c r="D94" s="506" t="str">
        <f>IF(ISERROR(VLOOKUP(B94,'Base de Datos'!$C$487:$F$4092,3,0))=TRUE,"",(VLOOKUP('Presupuesto - PAA 2017'!B94,'Base de Datos'!$C$487:$F$4092,4,0)))</f>
        <v>EMPRESA DE TELECOMUNICACIONES DE BOGOTA S.A.   ESP</v>
      </c>
      <c r="E94" s="509">
        <f>VLOOKUP(B94,[7]PAA2017!$C$65:$AA$255,20,0)</f>
        <v>900419000</v>
      </c>
      <c r="F94" s="507" t="e">
        <f>VLOOKUP(B94,[8]SOLICITUDES!$B$3:$H$278,2,0)</f>
        <v>#N/A</v>
      </c>
      <c r="G94" s="507"/>
      <c r="H94" s="507"/>
      <c r="I94" s="507"/>
      <c r="J94" s="509">
        <f>IF(ISERROR(VLOOKUP(B94,'Base de Datos'!$C$487:$N$4092,6,0))=TRUE,"Sin Celebrar",(VLOOKUP(B94,'Base de Datos'!$C$487:$N$4092,7,0)))</f>
        <v>195049000</v>
      </c>
      <c r="K94" s="573"/>
      <c r="L94" s="553" t="str">
        <f>IF(J94=$AA$1,E94, " ")</f>
        <v xml:space="preserve"> </v>
      </c>
      <c r="M94" s="509"/>
      <c r="N94" s="509">
        <f t="shared" si="8"/>
        <v>705370000</v>
      </c>
      <c r="O94" s="691" t="str">
        <f>IF(ISERROR(VLOOKUP(B94,'Base de Datos'!$C$487:$K$1048576,7,0))=TRUE," ",(VLOOKUP(B94,'Base de Datos'!$C$487:$K$1048576,8,0)))</f>
        <v>170045-0-2017</v>
      </c>
      <c r="P94" s="524">
        <f>IF(ISERROR(VLOOKUP(B94,'Base de Datos'!$C$487:$N$4077,9,0))=TRUE," ",(VLOOKUP(B94,'Base de Datos'!$C$487:$N$4077,10,0)))</f>
        <v>42800</v>
      </c>
      <c r="Q94" s="709"/>
      <c r="R94" s="524">
        <f>IF(ISERROR(VLOOKUP(B94,'Base de Datos'!$C$487:$N$4077,10,0))=TRUE," ",(VLOOKUP(B94,'Base de Datos'!$C$487:$N$4077,11,0)))</f>
        <v>42801</v>
      </c>
      <c r="S94" s="524">
        <f>IF(ISERROR(VLOOKUP(B94,'Base de Datos'!$C$487:$N$4077,11,0))=TRUE," ",(VLOOKUP(B94,'Base de Datos'!$C$487:$N$4077,12,0)))</f>
        <v>43046</v>
      </c>
      <c r="T94" s="506" t="str">
        <f>VLOOKUP(B94,'Base de Datos'!$C$487:$AU$4129,41,0)</f>
        <v>LIQUIDADO</v>
      </c>
      <c r="U94" s="694"/>
      <c r="V94" s="607"/>
    </row>
    <row r="95" spans="2:22" ht="15" customHeight="1" outlineLevel="1" x14ac:dyDescent="0.3">
      <c r="B95" s="510">
        <v>165</v>
      </c>
      <c r="C95" s="506" t="str">
        <f>IF(ISERROR(VLOOKUP(B95,'Base de Datos'!$C$487:$F$4092,2,0))=TRUE,"",(VLOOKUP('Presupuesto - PAA 2017'!B95,'Base de Datos'!$C$7:$F$4092,3,0)))</f>
        <v>150265-0-2015</v>
      </c>
      <c r="D95" s="506" t="str">
        <f>IF(ISERROR(VLOOKUP(B95,'Base de Datos'!$C$487:$F$4092,3,0))=TRUE,"",(VLOOKUP('Presupuesto - PAA 2017'!B95,'Base de Datos'!$C$487:$F$4092,4,0)))</f>
        <v>DIRECTV COLOMBIA LTDA</v>
      </c>
      <c r="E95" s="509">
        <f>VLOOKUP(B95,[7]PAA2017!$C$65:$AA$255,20,0)</f>
        <v>1800000</v>
      </c>
      <c r="F95" s="507" t="e">
        <f>VLOOKUP(B95,[8]SOLICITUDES!$B$3:$H$278,2,0)</f>
        <v>#N/A</v>
      </c>
      <c r="G95" s="507"/>
      <c r="H95" s="507"/>
      <c r="I95" s="507"/>
      <c r="J95" s="509">
        <f>IF(ISERROR(VLOOKUP(B95,'Base de Datos'!$C$487:$N$4092,6,0))=TRUE,"Sin Celebrar",(VLOOKUP(B95,'Base de Datos'!$C$487:$N$4092,7,0)))</f>
        <v>1878120</v>
      </c>
      <c r="K95" s="573"/>
      <c r="L95" s="553" t="str">
        <f>IF(J95=$AA$1,E95, " ")</f>
        <v xml:space="preserve"> </v>
      </c>
      <c r="M95" s="509"/>
      <c r="N95" s="509" t="str">
        <f t="shared" si="8"/>
        <v xml:space="preserve"> </v>
      </c>
      <c r="O95" s="691" t="str">
        <f>IF(ISERROR(VLOOKUP(B95,'Base de Datos'!$C$487:$K$1048576,7,0))=TRUE," ",(VLOOKUP(B95,'Base de Datos'!$C$487:$K$1048576,8,0)))</f>
        <v>SHD-SMINC-29-2017</v>
      </c>
      <c r="P95" s="524">
        <f>IF(ISERROR(VLOOKUP(B95,'Base de Datos'!$C$487:$N$4077,9,0))=TRUE," ",(VLOOKUP(B95,'Base de Datos'!$C$487:$N$4077,10,0)))</f>
        <v>42961</v>
      </c>
      <c r="Q95" s="709"/>
      <c r="R95" s="524">
        <f>IF(ISERROR(VLOOKUP(B95,'Base de Datos'!$C$487:$N$4077,10,0))=TRUE," ",(VLOOKUP(B95,'Base de Datos'!$C$487:$N$4077,11,0)))</f>
        <v>42963</v>
      </c>
      <c r="S95" s="524">
        <f>IF(ISERROR(VLOOKUP(B95,'Base de Datos'!$C$487:$N$4077,11,0))=TRUE," ",(VLOOKUP(B95,'Base de Datos'!$C$487:$N$4077,12,0)))</f>
        <v>43327</v>
      </c>
      <c r="T95" s="506" t="str">
        <f>VLOOKUP(B95,'Base de Datos'!$C$487:$AU$4129,41,0)</f>
        <v>EN TRÁMITE</v>
      </c>
      <c r="U95" s="694"/>
      <c r="V95" s="607"/>
    </row>
    <row r="96" spans="2:22" ht="13.5" customHeight="1" outlineLevel="1" x14ac:dyDescent="0.3">
      <c r="B96" s="510">
        <v>190</v>
      </c>
      <c r="C96" s="506" t="str">
        <f>IF(ISERROR(VLOOKUP(B96,'Base de Datos'!$C$487:$F$4092,2,0))=TRUE,"",(VLOOKUP('Presupuesto - PAA 2017'!B96,'Base de Datos'!$C$7:$F$4092,3,0)))</f>
        <v>170326-0-2017</v>
      </c>
      <c r="D96" s="506" t="str">
        <f>IF(ISERROR(VLOOKUP(B96,'Base de Datos'!$C$487:$F$4092,3,0))=TRUE,"",(VLOOKUP('Presupuesto - PAA 2017'!B96,'Base de Datos'!$C$487:$F$4092,4,0)))</f>
        <v>USA POSTAL S.A.</v>
      </c>
      <c r="E96" s="509">
        <f>VLOOKUP(B96,[7]PAA2017!$C$65:$AA$255,20,0)</f>
        <v>28000000</v>
      </c>
      <c r="F96" s="507" t="e">
        <f>VLOOKUP(B96,[8]SOLICITUDES!$B$3:$H$278,2,0)</f>
        <v>#N/A</v>
      </c>
      <c r="G96" s="507"/>
      <c r="H96" s="507"/>
      <c r="I96" s="507"/>
      <c r="J96" s="509">
        <f>IF(ISERROR(VLOOKUP(B96,'Base de Datos'!$C$487:$N$4092,6,0))=TRUE,"Sin Celebrar",(VLOOKUP(B96,'Base de Datos'!$C$487:$N$4092,7,0)))</f>
        <v>6512000</v>
      </c>
      <c r="K96" s="573"/>
      <c r="L96" s="553" t="str">
        <f>IF(J96=$AA$1,E96, " ")</f>
        <v xml:space="preserve"> </v>
      </c>
      <c r="M96" s="509"/>
      <c r="N96" s="509">
        <f t="shared" si="8"/>
        <v>21488000</v>
      </c>
      <c r="O96" s="691" t="str">
        <f>IF(ISERROR(VLOOKUP(B96,'Base de Datos'!$C$487:$K$1048576,7,0))=TRUE," ",(VLOOKUP(B96,'Base de Datos'!$C$487:$K$1048576,8,0)))</f>
        <v>SDH-SMINC-45-2017</v>
      </c>
      <c r="P96" s="524">
        <f>IF(ISERROR(VLOOKUP(B96,'Base de Datos'!$C$487:$N$4077,9,0))=TRUE," ",(VLOOKUP(B96,'Base de Datos'!$C$487:$N$4077,10,0)))</f>
        <v>43053</v>
      </c>
      <c r="Q96" s="709"/>
      <c r="R96" s="524">
        <f>IF(ISERROR(VLOOKUP(B96,'Base de Datos'!$C$487:$N$4077,10,0))=TRUE," ",(VLOOKUP(B96,'Base de Datos'!$C$487:$N$4077,11,0)))</f>
        <v>43070</v>
      </c>
      <c r="S96" s="524">
        <f>IF(ISERROR(VLOOKUP(B96,'Base de Datos'!$C$487:$N$4077,11,0))=TRUE," ",(VLOOKUP(B96,'Base de Datos'!$C$487:$N$4077,12,0)))</f>
        <v>43190</v>
      </c>
      <c r="T96" s="506" t="str">
        <f>VLOOKUP(B96,'Base de Datos'!$C$487:$AU$4129,41,0)</f>
        <v>LIQUIDADO</v>
      </c>
      <c r="U96" s="694"/>
      <c r="V96" s="607"/>
    </row>
    <row r="97" spans="2:22" outlineLevel="1" x14ac:dyDescent="0.3">
      <c r="B97" s="510">
        <v>191</v>
      </c>
      <c r="C97" s="506" t="str">
        <f>IF(ISERROR(VLOOKUP(B97,'Base de Datos'!$C$487:$F$4092,2,0))=TRUE,"",(VLOOKUP('Presupuesto - PAA 2017'!B97,'Base de Datos'!$C$7:$F$4092,3,0)))</f>
        <v>170147-0-2017</v>
      </c>
      <c r="D97" s="506" t="str">
        <f>IF(ISERROR(VLOOKUP(B97,'Base de Datos'!$C$487:$F$4092,3,0))=TRUE,"",(VLOOKUP('Presupuesto - PAA 2017'!B97,'Base de Datos'!$C$487:$F$4092,4,0)))</f>
        <v>SERVICIOS POSTALES NACIONALES S.A.</v>
      </c>
      <c r="E97" s="509">
        <f>VLOOKUP(B97,[7]PAA2017!$C$65:$AA$255,20,0)</f>
        <v>3462000000</v>
      </c>
      <c r="F97" s="507" t="str">
        <f>VLOOKUP(B97,[8]SOLICITUDES!$B$3:$H$278,2,0)</f>
        <v>SI</v>
      </c>
      <c r="G97" s="507"/>
      <c r="H97" s="507"/>
      <c r="I97" s="507"/>
      <c r="J97" s="509">
        <f>IF(ISERROR(VLOOKUP(B97,'Base de Datos'!$C$487:$N$4092,6,0))=TRUE,"Sin Celebrar",(VLOOKUP(B97,'Base de Datos'!$C$487:$N$4092,7,0)))</f>
        <v>35763045</v>
      </c>
      <c r="K97" s="573"/>
      <c r="L97" s="553" t="str">
        <f>IF(J97=$AA$1,E97, " ")</f>
        <v xml:space="preserve"> </v>
      </c>
      <c r="M97" s="509"/>
      <c r="N97" s="509">
        <f t="shared" si="8"/>
        <v>3426236955</v>
      </c>
      <c r="O97" s="691" t="str">
        <f>IF(ISERROR(VLOOKUP(B97,'Base de Datos'!$C$487:$K$1048576,7,0))=TRUE," ",(VLOOKUP(B97,'Base de Datos'!$C$487:$K$1048576,8,0)))</f>
        <v>170147-0-2017</v>
      </c>
      <c r="P97" s="524">
        <f>IF(ISERROR(VLOOKUP(B97,'Base de Datos'!$C$487:$N$4077,9,0))=TRUE," ",(VLOOKUP(B97,'Base de Datos'!$C$487:$N$4077,10,0)))</f>
        <v>42887</v>
      </c>
      <c r="Q97" s="709"/>
      <c r="R97" s="524">
        <f>IF(ISERROR(VLOOKUP(B97,'Base de Datos'!$C$487:$N$4077,10,0))=TRUE," ",(VLOOKUP(B97,'Base de Datos'!$C$487:$N$4077,11,0)))</f>
        <v>42899</v>
      </c>
      <c r="S97" s="524">
        <f>IF(ISERROR(VLOOKUP(B97,'Base de Datos'!$C$487:$N$4077,11,0))=TRUE," ",(VLOOKUP(B97,'Base de Datos'!$C$487:$N$4077,12,0)))</f>
        <v>43186</v>
      </c>
      <c r="T97" s="506" t="str">
        <f>VLOOKUP(B97,'Base de Datos'!$C$487:$AU$4129,41,0)</f>
        <v>EN TRÁMITE</v>
      </c>
      <c r="U97" s="694"/>
      <c r="V97" s="607"/>
    </row>
    <row r="98" spans="2:22" outlineLevel="1" x14ac:dyDescent="0.3">
      <c r="B98" s="506"/>
      <c r="C98" s="506"/>
      <c r="D98" s="506" t="s">
        <v>1934</v>
      </c>
      <c r="E98" s="509">
        <f>E91-SUM(E93:E97)</f>
        <v>-4203639000</v>
      </c>
      <c r="F98" s="507"/>
      <c r="G98" s="507"/>
      <c r="H98" s="507"/>
      <c r="I98" s="507"/>
      <c r="J98" s="509"/>
      <c r="K98" s="573"/>
      <c r="L98" s="527"/>
      <c r="M98" s="509"/>
      <c r="N98" s="527" t="str">
        <f t="shared" si="8"/>
        <v xml:space="preserve"> </v>
      </c>
      <c r="O98" s="652"/>
      <c r="P98" s="524" t="str">
        <f>IF(ISERROR(VLOOKUP(B98,'Base de Datos'!$C$7:$N$315,9,0))=TRUE," ",(VLOOKUP(B98,'Base de Datos'!$C$7:$N$315,9,0)))</f>
        <v xml:space="preserve"> </v>
      </c>
      <c r="Q98" s="506"/>
      <c r="R98" s="529" t="str">
        <f>IF(ISERROR(VLOOKUP(B98,'Base de Datos'!$C$7:$N$315,10,0))=TRUE," ",(VLOOKUP(B98,'Base de Datos'!$C$7:$N$315,10,0)))</f>
        <v xml:space="preserve"> </v>
      </c>
      <c r="S98" s="529" t="str">
        <f>IF(ISERROR(VLOOKUP(B98,'Base de Datos'!$C$7:$N$315,11,0))=TRUE," ",(VLOOKUP(B98,'Base de Datos'!$C$7:$N$315,11,0)))</f>
        <v xml:space="preserve"> </v>
      </c>
      <c r="T98" s="506"/>
      <c r="U98" s="694"/>
      <c r="V98" s="607"/>
    </row>
    <row r="99" spans="2:22" outlineLevel="1" x14ac:dyDescent="0.3">
      <c r="B99" s="506"/>
      <c r="C99" s="506"/>
      <c r="D99" s="506"/>
      <c r="E99" s="509"/>
      <c r="F99" s="507"/>
      <c r="G99" s="507"/>
      <c r="H99" s="507"/>
      <c r="I99" s="507"/>
      <c r="J99" s="509"/>
      <c r="K99" s="573"/>
      <c r="L99" s="509"/>
      <c r="M99" s="509"/>
      <c r="N99" s="509"/>
      <c r="O99" s="651"/>
      <c r="P99" s="524"/>
      <c r="Q99" s="506"/>
      <c r="R99" s="524"/>
      <c r="S99" s="524"/>
      <c r="T99" s="506"/>
      <c r="U99" s="694"/>
      <c r="V99" s="607"/>
    </row>
    <row r="100" spans="2:22" ht="15" customHeight="1" x14ac:dyDescent="0.3">
      <c r="B100" s="1253" t="s">
        <v>1652</v>
      </c>
      <c r="C100" s="1253"/>
      <c r="D100" s="1253"/>
      <c r="E100" s="560">
        <v>54000000</v>
      </c>
      <c r="F100" s="561">
        <f>COUNTIF('Actualizada - presupuesto'!$E$7:$E$111,B100)</f>
        <v>11</v>
      </c>
      <c r="G100" s="561"/>
      <c r="H100" s="561"/>
      <c r="I100" s="561"/>
      <c r="J100" s="560">
        <f>SUM(J102:J114)</f>
        <v>56576000</v>
      </c>
      <c r="K100" s="580">
        <f>J100/E100</f>
        <v>1.0477037037037038</v>
      </c>
      <c r="L100" s="560" t="e">
        <f>SUM(L102:L114)</f>
        <v>#N/A</v>
      </c>
      <c r="M100" s="605">
        <v>0</v>
      </c>
      <c r="N100" s="560" t="e">
        <f>+E100-J100-L100</f>
        <v>#N/A</v>
      </c>
      <c r="O100" s="655"/>
      <c r="P100" s="562" t="str">
        <f>IF(ISERROR(VLOOKUP(B100,'Base de Datos'!$C$7:$N$315,8,0))=TRUE," ",(VLOOKUP(B100,'Base de Datos'!$C$7:$N$315,8,0)))</f>
        <v xml:space="preserve"> </v>
      </c>
      <c r="Q100" s="563"/>
      <c r="R100" s="562" t="str">
        <f>IF(ISERROR(VLOOKUP(B100,'Base de Datos'!$C$7:$N$315,9,0))=TRUE," ",(VLOOKUP(B100,'Base de Datos'!$C$7:$N$315,9,0)))</f>
        <v xml:space="preserve"> </v>
      </c>
      <c r="S100" s="562" t="str">
        <f>IF(ISERROR(VLOOKUP(B100,'Base de Datos'!$C$7:$N$315,10,0))=TRUE," ",(VLOOKUP(B100,'Base de Datos'!$C$7:$N$315,10,0)))</f>
        <v xml:space="preserve"> </v>
      </c>
      <c r="T100" s="565"/>
      <c r="U100" s="694"/>
      <c r="V100" s="607"/>
    </row>
    <row r="101" spans="2:22" ht="22.8" outlineLevel="1" x14ac:dyDescent="0.3">
      <c r="B101" s="510" t="s">
        <v>1692</v>
      </c>
      <c r="C101" s="510" t="s">
        <v>912</v>
      </c>
      <c r="D101" s="510" t="s">
        <v>1821</v>
      </c>
      <c r="E101" s="518" t="s">
        <v>1845</v>
      </c>
      <c r="F101" s="507" t="s">
        <v>1852</v>
      </c>
      <c r="G101" s="507"/>
      <c r="H101" s="507"/>
      <c r="I101" s="507"/>
      <c r="J101" s="510" t="s">
        <v>1844</v>
      </c>
      <c r="K101" s="625"/>
      <c r="L101" s="510" t="s">
        <v>1938</v>
      </c>
      <c r="M101" s="510"/>
      <c r="N101" s="510" t="s">
        <v>1939</v>
      </c>
      <c r="O101" s="650"/>
      <c r="P101" s="541" t="s">
        <v>1846</v>
      </c>
      <c r="Q101" s="510" t="s">
        <v>1847</v>
      </c>
      <c r="R101" s="510" t="s">
        <v>1848</v>
      </c>
      <c r="S101" s="510" t="s">
        <v>375</v>
      </c>
      <c r="T101" s="510" t="s">
        <v>1849</v>
      </c>
      <c r="U101" s="694"/>
      <c r="V101" s="607"/>
    </row>
    <row r="102" spans="2:22" ht="15" customHeight="1" outlineLevel="1" x14ac:dyDescent="0.3">
      <c r="B102" s="510">
        <v>166</v>
      </c>
      <c r="C102" s="506" t="str">
        <f>IF(ISERROR(VLOOKUP(B102,'Base de Datos'!$C$487:$F$4092,2,0))=TRUE,"",(VLOOKUP('Presupuesto - PAA 2017'!B102,'Base de Datos'!$C$7:$F$4092,3,0)))</f>
        <v>150232-0-2015</v>
      </c>
      <c r="D102" s="506" t="str">
        <f>IF(ISERROR(VLOOKUP(B102,'Base de Datos'!$C$487:$F$4092,3,0))=TRUE,"",(VLOOKUP('Presupuesto - PAA 2017'!B102,'Base de Datos'!$C$487:$F$4092,4,0)))</f>
        <v>POLITICAS &amp; MEDIOS INVESTIGACIONES LTDA</v>
      </c>
      <c r="E102" s="509">
        <f>VLOOKUP(B102,[7]PAA2017!$C$65:$AA$255,20,0)</f>
        <v>1150000</v>
      </c>
      <c r="F102" s="507" t="e">
        <f>VLOOKUP(B102,[8]SOLICITUDES!$B$3:$H$278,2,0)</f>
        <v>#N/A</v>
      </c>
      <c r="G102" s="507"/>
      <c r="H102" s="507"/>
      <c r="I102" s="507"/>
      <c r="J102" s="509">
        <f>IF(ISERROR(VLOOKUP(B102,'Base de Datos'!$C$487:$N$4092,6,0))=TRUE,"Sin Celebrar",(VLOOKUP(B102,'Base de Datos'!$C$487:$N$4092,7,0)))</f>
        <v>975000</v>
      </c>
      <c r="K102" s="573"/>
      <c r="L102" s="553" t="str">
        <f t="shared" ref="L102:L113" si="9">IF(J102=$AA$1,E102, " ")</f>
        <v xml:space="preserve"> </v>
      </c>
      <c r="M102" s="509"/>
      <c r="N102" s="509">
        <f t="shared" ref="N102:N113" si="10">IF(J102&lt;E102,(E102-J102)," ")</f>
        <v>175000</v>
      </c>
      <c r="O102" s="691" t="str">
        <f>IF(ISERROR(VLOOKUP(B102,'Base de Datos'!$C$487:$K$1048576,7,0))=TRUE," ",(VLOOKUP(B102,'Base de Datos'!$C$487:$K$1048576,8,0)))</f>
        <v>SDH-SMINC-34-2017</v>
      </c>
      <c r="P102" s="524">
        <f>IF(ISERROR(VLOOKUP(B102,'Base de Datos'!$C$487:$N$4077,9,0))=TRUE," ",(VLOOKUP(B102,'Base de Datos'!$C$487:$N$4077,10,0)))</f>
        <v>43003</v>
      </c>
      <c r="Q102" s="709"/>
      <c r="R102" s="524">
        <f>IF(ISERROR(VLOOKUP(B102,'Base de Datos'!$C$487:$N$4077,10,0))=TRUE," ",(VLOOKUP(B102,'Base de Datos'!$C$487:$N$4077,11,0)))</f>
        <v>43034</v>
      </c>
      <c r="S102" s="524">
        <f>IF(ISERROR(VLOOKUP(B102,'Base de Datos'!$C$487:$N$4077,11,0))=TRUE," ",(VLOOKUP(B102,'Base de Datos'!$C$487:$N$4077,12,0)))</f>
        <v>43399</v>
      </c>
      <c r="T102" s="506" t="str">
        <f>VLOOKUP(B102,'Base de Datos'!$C$487:$AU$4129,41,0)</f>
        <v>EN TRÁMITE</v>
      </c>
      <c r="U102" s="694"/>
      <c r="V102" s="607"/>
    </row>
    <row r="103" spans="2:22" ht="15" customHeight="1" outlineLevel="1" x14ac:dyDescent="0.3">
      <c r="B103" s="510">
        <v>167</v>
      </c>
      <c r="C103" s="506" t="str">
        <f>IF(ISERROR(VLOOKUP(B103,'Base de Datos'!$C$487:$F$4092,2,0))=TRUE,"",(VLOOKUP('Presupuesto - PAA 2017'!B103,'Base de Datos'!$C$7:$F$4092,3,0)))</f>
        <v>150252-0-2015</v>
      </c>
      <c r="D103" s="506" t="str">
        <f>IF(ISERROR(VLOOKUP(B103,'Base de Datos'!$C$487:$F$4092,3,0))=TRUE,"",(VLOOKUP('Presupuesto - PAA 2017'!B103,'Base de Datos'!$C$487:$F$4092,4,0)))</f>
        <v>CASA EDITORIAL EL TIEMPO SA</v>
      </c>
      <c r="E103" s="509">
        <f>VLOOKUP(B103,[7]PAA2017!$C$65:$AA$255,20,0)</f>
        <v>1250000</v>
      </c>
      <c r="F103" s="507" t="str">
        <f>VLOOKUP(B103,[8]SOLICITUDES!$B$3:$H$278,2,0)</f>
        <v>SI</v>
      </c>
      <c r="G103" s="507"/>
      <c r="H103" s="507"/>
      <c r="I103" s="507"/>
      <c r="J103" s="509">
        <f>IF(ISERROR(VLOOKUP(B103,'Base de Datos'!$C$487:$N$4092,6,0))=TRUE,"Sin Celebrar",(VLOOKUP(B103,'Base de Datos'!$C$487:$N$4092,7,0)))</f>
        <v>1317000</v>
      </c>
      <c r="K103" s="573"/>
      <c r="L103" s="553" t="str">
        <f t="shared" si="9"/>
        <v xml:space="preserve"> </v>
      </c>
      <c r="M103" s="509"/>
      <c r="N103" s="509" t="str">
        <f t="shared" si="10"/>
        <v xml:space="preserve"> </v>
      </c>
      <c r="O103" s="691" t="str">
        <f>IF(ISERROR(VLOOKUP(B103,'Base de Datos'!$C$487:$K$1048576,7,0))=TRUE," ",(VLOOKUP(B103,'Base de Datos'!$C$487:$K$1048576,8,0)))</f>
        <v>170064-0-2017</v>
      </c>
      <c r="P103" s="524">
        <f>IF(ISERROR(VLOOKUP(B103,'Base de Datos'!$C$487:$N$4077,9,0))=TRUE," ",(VLOOKUP(B103,'Base de Datos'!$C$487:$N$4077,10,0)))</f>
        <v>42816</v>
      </c>
      <c r="Q103" s="709"/>
      <c r="R103" s="524">
        <f>IF(ISERROR(VLOOKUP(B103,'Base de Datos'!$C$487:$N$4077,10,0))=TRUE," ",(VLOOKUP(B103,'Base de Datos'!$C$487:$N$4077,11,0)))</f>
        <v>42817</v>
      </c>
      <c r="S103" s="524">
        <f>IF(ISERROR(VLOOKUP(B103,'Base de Datos'!$C$487:$N$4077,11,0))=TRUE," ",(VLOOKUP(B103,'Base de Datos'!$C$487:$N$4077,12,0)))</f>
        <v>43182</v>
      </c>
      <c r="T103" s="506" t="str">
        <f>VLOOKUP(B103,'Base de Datos'!$C$487:$AU$4129,41,0)</f>
        <v>LIQUIDADO</v>
      </c>
      <c r="U103" s="694"/>
      <c r="V103" s="607"/>
    </row>
    <row r="104" spans="2:22" ht="15" customHeight="1" outlineLevel="1" x14ac:dyDescent="0.3">
      <c r="B104" s="510">
        <v>168</v>
      </c>
      <c r="C104" s="506" t="str">
        <f>IF(ISERROR(VLOOKUP(B104,'Base de Datos'!$C$487:$F$4092,2,0))=TRUE,"",(VLOOKUP('Presupuesto - PAA 2017'!B104,'Base de Datos'!$C$7:$F$4092,3,0)))</f>
        <v>150209-0-2015</v>
      </c>
      <c r="D104" s="506" t="str">
        <f>IF(ISERROR(VLOOKUP(B104,'Base de Datos'!$C$487:$F$4092,3,0))=TRUE,"",(VLOOKUP('Presupuesto - PAA 2017'!B104,'Base de Datos'!$C$487:$F$4092,4,0)))</f>
        <v>REVISTA EL CONGRESO SIGLO XXI LTDA</v>
      </c>
      <c r="E104" s="509">
        <f>VLOOKUP(B104,[7]PAA2017!$C$65:$AA$255,20,0)</f>
        <v>10000000</v>
      </c>
      <c r="F104" s="507" t="e">
        <f>VLOOKUP(B104,[8]SOLICITUDES!$B$3:$H$278,2,0)</f>
        <v>#N/A</v>
      </c>
      <c r="G104" s="507"/>
      <c r="H104" s="507"/>
      <c r="I104" s="507"/>
      <c r="J104" s="509">
        <f>IF(ISERROR(VLOOKUP(B104,'Base de Datos'!$C$487:$N$4092,6,0))=TRUE,"Sin Celebrar",(VLOOKUP(B104,'Base de Datos'!$C$487:$N$4092,7,0)))</f>
        <v>8010000</v>
      </c>
      <c r="K104" s="573"/>
      <c r="L104" s="553" t="str">
        <f t="shared" si="9"/>
        <v xml:space="preserve"> </v>
      </c>
      <c r="M104" s="509"/>
      <c r="N104" s="509">
        <f t="shared" si="10"/>
        <v>1990000</v>
      </c>
      <c r="O104" s="691" t="str">
        <f>IF(ISERROR(VLOOKUP(B104,'Base de Datos'!$C$487:$K$1048576,7,0))=TRUE," ",(VLOOKUP(B104,'Base de Datos'!$C$487:$K$1048576,8,0)))</f>
        <v>170206-0-2017</v>
      </c>
      <c r="P104" s="524">
        <f>IF(ISERROR(VLOOKUP(B104,'Base de Datos'!$C$487:$N$4077,9,0))=TRUE," ",(VLOOKUP(B104,'Base de Datos'!$C$487:$N$4077,10,0)))</f>
        <v>42962</v>
      </c>
      <c r="Q104" s="709"/>
      <c r="R104" s="524">
        <f>IF(ISERROR(VLOOKUP(B104,'Base de Datos'!$C$487:$N$4077,10,0))=TRUE," ",(VLOOKUP(B104,'Base de Datos'!$C$487:$N$4077,11,0)))</f>
        <v>42965</v>
      </c>
      <c r="S104" s="524">
        <f>IF(ISERROR(VLOOKUP(B104,'Base de Datos'!$C$487:$N$4077,11,0))=TRUE," ",(VLOOKUP(B104,'Base de Datos'!$C$487:$N$4077,12,0)))</f>
        <v>43330</v>
      </c>
      <c r="T104" s="506" t="str">
        <f>VLOOKUP(B104,'Base de Datos'!$C$487:$AU$4129,41,0)</f>
        <v>EN TRÁMITE</v>
      </c>
      <c r="U104" s="694"/>
      <c r="V104" s="607"/>
    </row>
    <row r="105" spans="2:22" ht="24.75" customHeight="1" outlineLevel="1" x14ac:dyDescent="0.3">
      <c r="B105" s="510">
        <v>169</v>
      </c>
      <c r="C105" s="506" t="str">
        <f>IF(ISERROR(VLOOKUP(B105,'Base de Datos'!$C$487:$F$4092,2,0))=TRUE,"",(VLOOKUP('Presupuesto - PAA 2017'!B105,'Base de Datos'!$C$7:$F$4092,3,0)))</f>
        <v>170095-0-2017</v>
      </c>
      <c r="D105" s="506" t="str">
        <f>IF(ISERROR(VLOOKUP(B105,'Base de Datos'!$C$487:$F$4092,3,0))=TRUE,"",(VLOOKUP('Presupuesto - PAA 2017'!B105,'Base de Datos'!$C$487:$F$4092,4,0)))</f>
        <v>D P C LTDA DESPACHOS PUBLICOS DE COLOMBIA LTDA</v>
      </c>
      <c r="E105" s="509">
        <f>VLOOKUP(B105,[7]PAA2017!$C$65:$AA$255,20,0)</f>
        <v>5000000</v>
      </c>
      <c r="F105" s="507" t="e">
        <f>VLOOKUP(B105,[8]SOLICITUDES!$B$3:$H$278,2,0)</f>
        <v>#N/A</v>
      </c>
      <c r="G105" s="507"/>
      <c r="H105" s="507"/>
      <c r="I105" s="507"/>
      <c r="J105" s="509">
        <f>IF(ISERROR(VLOOKUP(B105,'Base de Datos'!$C$487:$N$4092,6,0))=TRUE,"Sin Celebrar",(VLOOKUP(B105,'Base de Datos'!$C$487:$N$4092,7,0)))</f>
        <v>4300000</v>
      </c>
      <c r="K105" s="573"/>
      <c r="L105" s="553" t="str">
        <f t="shared" si="9"/>
        <v xml:space="preserve"> </v>
      </c>
      <c r="M105" s="509"/>
      <c r="N105" s="509">
        <f t="shared" si="10"/>
        <v>700000</v>
      </c>
      <c r="O105" s="691" t="str">
        <f>IF(ISERROR(VLOOKUP(B105,'Base de Datos'!$C$487:$K$1048576,7,0))=TRUE," ",(VLOOKUP(B105,'Base de Datos'!$C$487:$K$1048576,8,0)))</f>
        <v>170095-0-2017</v>
      </c>
      <c r="P105" s="524">
        <f>IF(ISERROR(VLOOKUP(B105,'Base de Datos'!$C$487:$N$4077,9,0))=TRUE," ",(VLOOKUP(B105,'Base de Datos'!$C$487:$N$4077,10,0)))</f>
        <v>42837</v>
      </c>
      <c r="Q105" s="709"/>
      <c r="R105" s="524">
        <f>IF(ISERROR(VLOOKUP(B105,'Base de Datos'!$C$487:$N$4077,10,0))=TRUE," ",(VLOOKUP(B105,'Base de Datos'!$C$487:$N$4077,11,0)))</f>
        <v>42849</v>
      </c>
      <c r="S105" s="524">
        <f>IF(ISERROR(VLOOKUP(B105,'Base de Datos'!$C$487:$N$4077,11,0))=TRUE," ",(VLOOKUP(B105,'Base de Datos'!$C$487:$N$4077,12,0)))</f>
        <v>43002</v>
      </c>
      <c r="T105" s="506" t="str">
        <f>VLOOKUP(B105,'Base de Datos'!$C$487:$AU$4129,41,0)</f>
        <v>LIQUIDADO</v>
      </c>
      <c r="U105" s="694"/>
      <c r="V105" s="607"/>
    </row>
    <row r="106" spans="2:22" ht="14.25" customHeight="1" outlineLevel="1" x14ac:dyDescent="0.3">
      <c r="B106" s="510">
        <v>170</v>
      </c>
      <c r="C106" s="506" t="str">
        <f>IF(ISERROR(VLOOKUP(B106,'Base de Datos'!$C$487:$F$4092,2,0))=TRUE,"",(VLOOKUP('Presupuesto - PAA 2017'!B106,'Base de Datos'!$C$7:$F$4092,3,0)))</f>
        <v>150241-0-2015</v>
      </c>
      <c r="D106" s="506" t="str">
        <f>IF(ISERROR(VLOOKUP(B106,'Base de Datos'!$C$487:$F$4092,3,0))=TRUE,"",(VLOOKUP('Presupuesto - PAA 2017'!B106,'Base de Datos'!$C$487:$F$4092,4,0)))</f>
        <v>EDITORIAL LA REPUBLICA SAS</v>
      </c>
      <c r="E106" s="509">
        <f>VLOOKUP(B106,[7]PAA2017!$C$65:$AA$255,20,0)</f>
        <v>1000000</v>
      </c>
      <c r="F106" s="507" t="e">
        <f>VLOOKUP(B106,[8]SOLICITUDES!$B$3:$H$278,2,0)</f>
        <v>#N/A</v>
      </c>
      <c r="G106" s="507"/>
      <c r="H106" s="507"/>
      <c r="I106" s="507"/>
      <c r="J106" s="509">
        <f>IF(ISERROR(VLOOKUP(B106,'Base de Datos'!$C$487:$N$4092,6,0))=TRUE,"Sin Celebrar",(VLOOKUP(B106,'Base de Datos'!$C$487:$N$4092,7,0)))</f>
        <v>840000</v>
      </c>
      <c r="K106" s="573"/>
      <c r="L106" s="553" t="str">
        <f t="shared" si="9"/>
        <v xml:space="preserve"> </v>
      </c>
      <c r="M106" s="509"/>
      <c r="N106" s="509">
        <f t="shared" si="10"/>
        <v>160000</v>
      </c>
      <c r="O106" s="691" t="str">
        <f>IF(ISERROR(VLOOKUP(B106,'Base de Datos'!$C$487:$K$1048576,7,0))=TRUE," ",(VLOOKUP(B106,'Base de Datos'!$C$487:$K$1048576,8,0)))</f>
        <v>170228-0-2017</v>
      </c>
      <c r="P106" s="524">
        <f>IF(ISERROR(VLOOKUP(B106,'Base de Datos'!$C$487:$N$4077,9,0))=TRUE," ",(VLOOKUP(B106,'Base de Datos'!$C$487:$N$4077,10,0)))</f>
        <v>42983</v>
      </c>
      <c r="Q106" s="709"/>
      <c r="R106" s="524">
        <f>IF(ISERROR(VLOOKUP(B106,'Base de Datos'!$C$487:$N$4077,10,0))=TRUE," ",(VLOOKUP(B106,'Base de Datos'!$C$487:$N$4077,11,0)))</f>
        <v>43069</v>
      </c>
      <c r="S106" s="524">
        <f>IF(ISERROR(VLOOKUP(B106,'Base de Datos'!$C$487:$N$4077,11,0))=TRUE," ",(VLOOKUP(B106,'Base de Datos'!$C$487:$N$4077,12,0)))</f>
        <v>43434</v>
      </c>
      <c r="T106" s="506" t="str">
        <f>VLOOKUP(B106,'Base de Datos'!$C$487:$AU$4129,41,0)</f>
        <v>LIQUIDADO</v>
      </c>
      <c r="U106" s="694"/>
      <c r="V106" s="607"/>
    </row>
    <row r="107" spans="2:22" ht="14.25" customHeight="1" outlineLevel="1" x14ac:dyDescent="0.3">
      <c r="B107" s="510">
        <v>171</v>
      </c>
      <c r="C107" s="506" t="str">
        <f>IF(ISERROR(VLOOKUP(B107,'Base de Datos'!$C$487:$F$4092,2,0))=TRUE,"",(VLOOKUP('Presupuesto - PAA 2017'!B107,'Base de Datos'!$C$7:$F$4092,3,0)))</f>
        <v>150219-0-2015</v>
      </c>
      <c r="D107" s="506" t="str">
        <f>IF(ISERROR(VLOOKUP(B107,'Base de Datos'!$C$487:$F$4092,3,0))=TRUE,"",(VLOOKUP('Presupuesto - PAA 2017'!B107,'Base de Datos'!$C$487:$F$4092,4,0)))</f>
        <v xml:space="preserve">COMUNICAN SA </v>
      </c>
      <c r="E107" s="509">
        <f>VLOOKUP(B107,[7]PAA2017!$C$65:$AA$255,20,0)</f>
        <v>1000000</v>
      </c>
      <c r="F107" s="507" t="e">
        <f>VLOOKUP(B107,[8]SOLICITUDES!$B$3:$H$278,2,0)</f>
        <v>#N/A</v>
      </c>
      <c r="G107" s="507"/>
      <c r="H107" s="507"/>
      <c r="I107" s="507"/>
      <c r="J107" s="509">
        <f>IF(ISERROR(VLOOKUP(B107,'Base de Datos'!$C$487:$N$4092,6,0))=TRUE,"Sin Celebrar",(VLOOKUP(B107,'Base de Datos'!$C$487:$N$4092,7,0)))</f>
        <v>1185000</v>
      </c>
      <c r="K107" s="573"/>
      <c r="L107" s="553" t="str">
        <f t="shared" si="9"/>
        <v xml:space="preserve"> </v>
      </c>
      <c r="M107" s="509"/>
      <c r="N107" s="509" t="str">
        <f t="shared" si="10"/>
        <v xml:space="preserve"> </v>
      </c>
      <c r="O107" s="691" t="str">
        <f>IF(ISERROR(VLOOKUP(B107,'Base de Datos'!$C$487:$K$1048576,7,0))=TRUE," ",(VLOOKUP(B107,'Base de Datos'!$C$487:$K$1048576,8,0)))</f>
        <v>170249-0-2017</v>
      </c>
      <c r="P107" s="524">
        <f>IF(ISERROR(VLOOKUP(B107,'Base de Datos'!$C$487:$N$4077,9,0))=TRUE," ",(VLOOKUP(B107,'Base de Datos'!$C$487:$N$4077,10,0)))</f>
        <v>42998</v>
      </c>
      <c r="Q107" s="709"/>
      <c r="R107" s="524">
        <f>IF(ISERROR(VLOOKUP(B107,'Base de Datos'!$C$487:$N$4077,10,0))=TRUE," ",(VLOOKUP(B107,'Base de Datos'!$C$487:$N$4077,11,0)))</f>
        <v>43010</v>
      </c>
      <c r="S107" s="524">
        <f>IF(ISERROR(VLOOKUP(B107,'Base de Datos'!$C$487:$N$4077,11,0))=TRUE," ",(VLOOKUP(B107,'Base de Datos'!$C$487:$N$4077,12,0)))</f>
        <v>43375</v>
      </c>
      <c r="T107" s="506" t="str">
        <f>VLOOKUP(B107,'Base de Datos'!$C$487:$AU$4129,41,0)</f>
        <v>LIQUIDADO</v>
      </c>
      <c r="U107" s="694"/>
      <c r="V107" s="607"/>
    </row>
    <row r="108" spans="2:22" ht="14.25" customHeight="1" outlineLevel="1" x14ac:dyDescent="0.3">
      <c r="B108" s="510">
        <v>172</v>
      </c>
      <c r="C108" s="506" t="str">
        <f>IF(ISERROR(VLOOKUP(B108,'Base de Datos'!$C$487:$F$4092,2,0))=TRUE,"",(VLOOKUP('Presupuesto - PAA 2017'!B108,'Base de Datos'!$C$7:$F$4092,3,0)))</f>
        <v>150215-0-2015</v>
      </c>
      <c r="D108" s="506" t="str">
        <f>IF(ISERROR(VLOOKUP(B108,'Base de Datos'!$C$487:$F$4092,3,0))=TRUE,"",(VLOOKUP('Presupuesto - PAA 2017'!B108,'Base de Datos'!$C$487:$F$4092,4,0)))</f>
        <v>EDITORIAL LA UNIDAD S.A EN EJECUCIÓN DEL ACUERDO DE REESTRUCTURACIÓN</v>
      </c>
      <c r="E108" s="509">
        <f>VLOOKUP(B108,[7]PAA2017!$C$65:$AA$255,20,0)</f>
        <v>1000000</v>
      </c>
      <c r="F108" s="507" t="e">
        <f>VLOOKUP(B108,[8]SOLICITUDES!$B$3:$H$278,2,0)</f>
        <v>#N/A</v>
      </c>
      <c r="G108" s="507"/>
      <c r="H108" s="507"/>
      <c r="I108" s="507"/>
      <c r="J108" s="509">
        <f>IF(ISERROR(VLOOKUP(B108,'Base de Datos'!$C$487:$N$4092,6,0))=TRUE,"Sin Celebrar",(VLOOKUP(B108,'Base de Datos'!$C$487:$N$4092,7,0)))</f>
        <v>960000</v>
      </c>
      <c r="K108" s="573"/>
      <c r="L108" s="553" t="str">
        <f t="shared" si="9"/>
        <v xml:space="preserve"> </v>
      </c>
      <c r="M108" s="509"/>
      <c r="N108" s="509">
        <f t="shared" si="10"/>
        <v>40000</v>
      </c>
      <c r="O108" s="691" t="str">
        <f>IF(ISERROR(VLOOKUP(B108,'Base de Datos'!$C$487:$K$1048576,7,0))=TRUE," ",(VLOOKUP(B108,'Base de Datos'!$C$487:$K$1048576,8,0)))</f>
        <v>170233-0-2017</v>
      </c>
      <c r="P108" s="524">
        <f>IF(ISERROR(VLOOKUP(B108,'Base de Datos'!$C$487:$N$4077,9,0))=TRUE," ",(VLOOKUP(B108,'Base de Datos'!$C$487:$N$4077,10,0)))</f>
        <v>42986</v>
      </c>
      <c r="Q108" s="709"/>
      <c r="R108" s="524">
        <f>IF(ISERROR(VLOOKUP(B108,'Base de Datos'!$C$487:$N$4077,10,0))=TRUE," ",(VLOOKUP(B108,'Base de Datos'!$C$487:$N$4077,11,0)))</f>
        <v>43013</v>
      </c>
      <c r="S108" s="524">
        <f>IF(ISERROR(VLOOKUP(B108,'Base de Datos'!$C$487:$N$4077,11,0))=TRUE," ",(VLOOKUP(B108,'Base de Datos'!$C$487:$N$4077,12,0)))</f>
        <v>43378</v>
      </c>
      <c r="T108" s="506" t="str">
        <f>VLOOKUP(B108,'Base de Datos'!$C$487:$AU$4129,41,0)</f>
        <v>LIQUIDADO</v>
      </c>
      <c r="U108" s="694"/>
      <c r="V108" s="607"/>
    </row>
    <row r="109" spans="2:22" ht="14.25" customHeight="1" outlineLevel="1" x14ac:dyDescent="0.3">
      <c r="B109" s="510">
        <v>173</v>
      </c>
      <c r="C109" s="506" t="str">
        <f>IF(ISERROR(VLOOKUP(B109,'Base de Datos'!$C$487:$F$4092,2,0))=TRUE,"",(VLOOKUP('Presupuesto - PAA 2017'!B109,'Base de Datos'!$C$7:$F$4092,3,0)))</f>
        <v/>
      </c>
      <c r="D109" s="506" t="str">
        <f>IF(ISERROR(VLOOKUP(B109,'Base de Datos'!$C$487:$F$4092,3,0))=TRUE,"",(VLOOKUP('Presupuesto - PAA 2017'!B109,'Base de Datos'!$C$487:$F$4092,4,0)))</f>
        <v/>
      </c>
      <c r="E109" s="509">
        <f>VLOOKUP(B109,[7]PAA2017!$C$65:$AA$255,20,0)</f>
        <v>1000000</v>
      </c>
      <c r="F109" s="507" t="e">
        <f>VLOOKUP(B109,[8]SOLICITUDES!$B$3:$H$278,2,0)</f>
        <v>#N/A</v>
      </c>
      <c r="G109" s="507"/>
      <c r="H109" s="507"/>
      <c r="I109" s="507"/>
      <c r="J109" s="509" t="str">
        <f>IF(ISERROR(VLOOKUP(B109,'Base de Datos'!$C$487:$N$4092,6,0))=TRUE,"Sin Celebrar",(VLOOKUP(B109,'Base de Datos'!$C$487:$N$4092,7,0)))</f>
        <v>Sin Celebrar</v>
      </c>
      <c r="K109" s="573"/>
      <c r="L109" s="553">
        <f t="shared" si="9"/>
        <v>1000000</v>
      </c>
      <c r="M109" s="509"/>
      <c r="N109" s="509" t="str">
        <f t="shared" si="10"/>
        <v xml:space="preserve"> </v>
      </c>
      <c r="O109" s="691" t="str">
        <f>IF(ISERROR(VLOOKUP(B109,'Base de Datos'!$C$487:$K$1048576,7,0))=TRUE," ",(VLOOKUP(B109,'Base de Datos'!$C$487:$K$1048576,8,0)))</f>
        <v xml:space="preserve"> </v>
      </c>
      <c r="P109" s="524" t="str">
        <f>IF(ISERROR(VLOOKUP(B109,'Base de Datos'!$C$487:$N$4077,9,0))=TRUE," ",(VLOOKUP(B109,'Base de Datos'!$C$487:$N$4077,10,0)))</f>
        <v xml:space="preserve"> </v>
      </c>
      <c r="Q109" s="709"/>
      <c r="R109" s="524" t="str">
        <f>IF(ISERROR(VLOOKUP(B109,'Base de Datos'!$C$487:$N$4077,10,0))=TRUE," ",(VLOOKUP(B109,'Base de Datos'!$C$487:$N$4077,11,0)))</f>
        <v xml:space="preserve"> </v>
      </c>
      <c r="S109" s="524" t="str">
        <f>IF(ISERROR(VLOOKUP(B109,'Base de Datos'!$C$487:$N$4077,11,0))=TRUE," ",(VLOOKUP(B109,'Base de Datos'!$C$487:$N$4077,12,0)))</f>
        <v xml:space="preserve"> </v>
      </c>
      <c r="T109" s="506" t="e">
        <f>VLOOKUP(B109,'Base de Datos'!$C$487:$AU$4129,41,0)</f>
        <v>#N/A</v>
      </c>
      <c r="U109" s="694"/>
      <c r="V109" s="607"/>
    </row>
    <row r="110" spans="2:22" ht="28.5" customHeight="1" outlineLevel="1" x14ac:dyDescent="0.3">
      <c r="B110" s="510">
        <v>192</v>
      </c>
      <c r="C110" s="506" t="str">
        <f>IF(ISERROR(VLOOKUP(B110,'Base de Datos'!$C$487:$F$4092,2,0))=TRUE,"",(VLOOKUP('Presupuesto - PAA 2017'!B110,'Base de Datos'!$C$7:$F$4092,3,0)))</f>
        <v>170304-0-2017</v>
      </c>
      <c r="D110" s="506" t="str">
        <f>IF(ISERROR(VLOOKUP(B110,'Base de Datos'!$C$487:$F$4092,3,0))=TRUE,"",(VLOOKUP('Presupuesto - PAA 2017'!B110,'Base de Datos'!$C$487:$F$4092,4,0)))</f>
        <v>SOLUTION COPY LTDA</v>
      </c>
      <c r="E110" s="509">
        <f>VLOOKUP(B110,[7]PAA2017!$C$65:$AA$255,20,0)</f>
        <v>233000000</v>
      </c>
      <c r="F110" s="507" t="str">
        <f>VLOOKUP(B110,[8]SOLICITUDES!$B$3:$H$278,2,0)</f>
        <v>SI</v>
      </c>
      <c r="G110" s="507"/>
      <c r="H110" s="507"/>
      <c r="I110" s="507"/>
      <c r="J110" s="509">
        <f>IF(ISERROR(VLOOKUP(B110,'Base de Datos'!$C$487:$N$4092,6,0))=TRUE,"Sin Celebrar",(VLOOKUP(B110,'Base de Datos'!$C$487:$N$4092,7,0)))</f>
        <v>38989000</v>
      </c>
      <c r="K110" s="573"/>
      <c r="L110" s="553" t="str">
        <f t="shared" si="9"/>
        <v xml:space="preserve"> </v>
      </c>
      <c r="M110" s="509"/>
      <c r="N110" s="509">
        <f t="shared" si="10"/>
        <v>194011000</v>
      </c>
      <c r="O110" s="691" t="str">
        <f>IF(ISERROR(VLOOKUP(B110,'Base de Datos'!$C$487:$K$1048576,7,0))=TRUE," ",(VLOOKUP(B110,'Base de Datos'!$C$487:$K$1048576,8,0)))</f>
        <v>SDH-SIE-10-2017</v>
      </c>
      <c r="P110" s="524">
        <f>IF(ISERROR(VLOOKUP(B110,'Base de Datos'!$C$487:$N$4077,9,0))=TRUE," ",(VLOOKUP(B110,'Base de Datos'!$C$487:$N$4077,10,0)))</f>
        <v>43040</v>
      </c>
      <c r="Q110" s="709"/>
      <c r="R110" s="524">
        <f>IF(ISERROR(VLOOKUP(B110,'Base de Datos'!$C$487:$N$4077,10,0))=TRUE," ",(VLOOKUP(B110,'Base de Datos'!$C$487:$N$4077,11,0)))</f>
        <v>43048</v>
      </c>
      <c r="S110" s="524">
        <f>IF(ISERROR(VLOOKUP(B110,'Base de Datos'!$C$487:$N$4077,11,0))=TRUE," ",(VLOOKUP(B110,'Base de Datos'!$C$487:$N$4077,12,0)))</f>
        <v>43259</v>
      </c>
      <c r="T110" s="506" t="str">
        <f>VLOOKUP(B110,'Base de Datos'!$C$487:$AU$4129,41,0)</f>
        <v>LIQUIDADO</v>
      </c>
      <c r="U110" s="694"/>
      <c r="V110" s="607"/>
    </row>
    <row r="111" spans="2:22" ht="14.25" customHeight="1" outlineLevel="1" x14ac:dyDescent="0.3">
      <c r="B111" s="510"/>
      <c r="C111" s="506" t="str">
        <f>IF(ISERROR(VLOOKUP(B111,'Base de Datos'!$C$487:$F$4092,2,0))=TRUE,"",(VLOOKUP('Presupuesto - PAA 2017'!B111,'Base de Datos'!$C$7:$F$4092,3,0)))</f>
        <v/>
      </c>
      <c r="D111" s="506" t="str">
        <f>IF(ISERROR(VLOOKUP(B111,'Base de Datos'!$C$487:$F$4092,3,0))=TRUE,"",(VLOOKUP('Presupuesto - PAA 2017'!B111,'Base de Datos'!$C$487:$F$4092,4,0)))</f>
        <v/>
      </c>
      <c r="E111" s="509" t="e">
        <f>VLOOKUP(B111,[7]PAA2017!$C$65:$AA$255,20,0)</f>
        <v>#N/A</v>
      </c>
      <c r="F111" s="507" t="e">
        <f>VLOOKUP(B111,[8]SOLICITUDES!$B$3:$H$278,2,0)</f>
        <v>#N/A</v>
      </c>
      <c r="G111" s="507"/>
      <c r="H111" s="507"/>
      <c r="I111" s="507"/>
      <c r="J111" s="509" t="str">
        <f>IF(ISERROR(VLOOKUP(B111,'Base de Datos'!$C$487:$N$4092,6,0))=TRUE,"Sin Celebrar",(VLOOKUP(B111,'Base de Datos'!$C$487:$N$4092,7,0)))</f>
        <v>Sin Celebrar</v>
      </c>
      <c r="K111" s="573"/>
      <c r="L111" s="553" t="e">
        <f t="shared" si="9"/>
        <v>#N/A</v>
      </c>
      <c r="M111" s="509"/>
      <c r="N111" s="509" t="e">
        <f t="shared" si="10"/>
        <v>#N/A</v>
      </c>
      <c r="O111" s="691" t="str">
        <f>IF(ISERROR(VLOOKUP(B111,'Base de Datos'!$C$487:$K$1048576,7,0))=TRUE," ",(VLOOKUP(B111,'Base de Datos'!$C$487:$K$1048576,8,0)))</f>
        <v xml:space="preserve"> </v>
      </c>
      <c r="P111" s="524" t="str">
        <f>IF(ISERROR(VLOOKUP(B111,'Base de Datos'!$C$487:$N$4077,9,0))=TRUE," ",(VLOOKUP(B111,'Base de Datos'!$C$487:$N$4077,10,0)))</f>
        <v xml:space="preserve"> </v>
      </c>
      <c r="Q111" s="709"/>
      <c r="R111" s="524" t="str">
        <f>IF(ISERROR(VLOOKUP(B111,'Base de Datos'!$C$487:$N$4077,10,0))=TRUE," ",(VLOOKUP(B111,'Base de Datos'!$C$487:$N$4077,11,0)))</f>
        <v xml:space="preserve"> </v>
      </c>
      <c r="S111" s="524" t="str">
        <f>IF(ISERROR(VLOOKUP(B111,'Base de Datos'!$C$487:$N$4077,11,0))=TRUE," ",(VLOOKUP(B111,'Base de Datos'!$C$487:$N$4077,12,0)))</f>
        <v xml:space="preserve"> </v>
      </c>
      <c r="T111" s="506" t="e">
        <f>VLOOKUP(B111,'Base de Datos'!$C$487:$AU$4129,41,0)</f>
        <v>#N/A</v>
      </c>
      <c r="U111" s="694"/>
      <c r="V111" s="607"/>
    </row>
    <row r="112" spans="2:22" ht="14.25" customHeight="1" outlineLevel="1" x14ac:dyDescent="0.3">
      <c r="B112" s="525"/>
      <c r="C112" s="506" t="str">
        <f>IF(ISERROR(VLOOKUP(B112,'Base de Datos'!$C$487:$F$4092,2,0))=TRUE,"",(VLOOKUP('Presupuesto - PAA 2017'!B112,'Base de Datos'!$C$7:$F$4092,3,0)))</f>
        <v/>
      </c>
      <c r="D112" s="506" t="str">
        <f>IF(ISERROR(VLOOKUP(B112,'Base de Datos'!$C$487:$F$4092,3,0))=TRUE,"",(VLOOKUP('Presupuesto - PAA 2017'!B112,'Base de Datos'!$C$487:$F$4092,4,0)))</f>
        <v/>
      </c>
      <c r="E112" s="509" t="e">
        <f>VLOOKUP(B112,[7]PAA2017!$C$65:$AA$255,20,0)</f>
        <v>#N/A</v>
      </c>
      <c r="F112" s="507" t="e">
        <f>VLOOKUP(B112,[8]SOLICITUDES!$B$3:$H$278,2,0)</f>
        <v>#N/A</v>
      </c>
      <c r="G112" s="507"/>
      <c r="H112" s="507"/>
      <c r="I112" s="507"/>
      <c r="J112" s="509" t="str">
        <f>IF(ISERROR(VLOOKUP(B112,'Base de Datos'!$C$487:$N$4092,6,0))=TRUE,"Sin Celebrar",(VLOOKUP(B112,'Base de Datos'!$C$487:$N$4092,7,0)))</f>
        <v>Sin Celebrar</v>
      </c>
      <c r="K112" s="573"/>
      <c r="L112" s="553" t="e">
        <f t="shared" si="9"/>
        <v>#N/A</v>
      </c>
      <c r="M112" s="509"/>
      <c r="N112" s="509" t="e">
        <f t="shared" si="10"/>
        <v>#N/A</v>
      </c>
      <c r="O112" s="691" t="str">
        <f>IF(ISERROR(VLOOKUP(B112,'Base de Datos'!$C$487:$K$1048576,7,0))=TRUE," ",(VLOOKUP(B112,'Base de Datos'!$C$487:$K$1048576,8,0)))</f>
        <v xml:space="preserve"> </v>
      </c>
      <c r="P112" s="524" t="str">
        <f>IF(ISERROR(VLOOKUP(B112,'Base de Datos'!$C$487:$N$4077,9,0))=TRUE," ",(VLOOKUP(B112,'Base de Datos'!$C$487:$N$4077,10,0)))</f>
        <v xml:space="preserve"> </v>
      </c>
      <c r="Q112" s="709"/>
      <c r="R112" s="524" t="str">
        <f>IF(ISERROR(VLOOKUP(B112,'Base de Datos'!$C$487:$N$4077,10,0))=TRUE," ",(VLOOKUP(B112,'Base de Datos'!$C$487:$N$4077,11,0)))</f>
        <v xml:space="preserve"> </v>
      </c>
      <c r="S112" s="524" t="str">
        <f>IF(ISERROR(VLOOKUP(B112,'Base de Datos'!$C$487:$N$4077,11,0))=TRUE," ",(VLOOKUP(B112,'Base de Datos'!$C$487:$N$4077,12,0)))</f>
        <v xml:space="preserve"> </v>
      </c>
      <c r="T112" s="506" t="e">
        <f>VLOOKUP(B112,'Base de Datos'!$C$487:$AU$4129,41,0)</f>
        <v>#N/A</v>
      </c>
      <c r="U112" s="694"/>
      <c r="V112" s="607"/>
    </row>
    <row r="113" spans="2:22" ht="24.75" customHeight="1" outlineLevel="1" x14ac:dyDescent="0.3">
      <c r="B113" s="525"/>
      <c r="C113" s="506" t="str">
        <f>IF(ISERROR(VLOOKUP(B113,'Base de Datos'!$C$487:$F$4092,2,0))=TRUE,"",(VLOOKUP('Presupuesto - PAA 2017'!B113,'Base de Datos'!$C$7:$F$4092,3,0)))</f>
        <v/>
      </c>
      <c r="D113" s="506" t="str">
        <f>IF(ISERROR(VLOOKUP(B113,'Base de Datos'!$C$487:$F$4092,3,0))=TRUE,"",(VLOOKUP('Presupuesto - PAA 2017'!B113,'Base de Datos'!$C$487:$F$4092,4,0)))</f>
        <v/>
      </c>
      <c r="E113" s="509" t="e">
        <f>VLOOKUP(B113,[7]PAA2017!$C$65:$AA$255,20,0)</f>
        <v>#N/A</v>
      </c>
      <c r="F113" s="507" t="e">
        <f>VLOOKUP(B113,[8]SOLICITUDES!$B$3:$H$278,2,0)</f>
        <v>#N/A</v>
      </c>
      <c r="G113" s="507"/>
      <c r="H113" s="507"/>
      <c r="I113" s="507"/>
      <c r="J113" s="509" t="str">
        <f>IF(ISERROR(VLOOKUP(B113,'Base de Datos'!$C$487:$N$4092,6,0))=TRUE,"Sin Celebrar",(VLOOKUP(B113,'Base de Datos'!$C$487:$N$4092,7,0)))</f>
        <v>Sin Celebrar</v>
      </c>
      <c r="K113" s="573"/>
      <c r="L113" s="553" t="e">
        <f t="shared" si="9"/>
        <v>#N/A</v>
      </c>
      <c r="M113" s="509"/>
      <c r="N113" s="509" t="e">
        <f t="shared" si="10"/>
        <v>#N/A</v>
      </c>
      <c r="O113" s="691" t="str">
        <f>IF(ISERROR(VLOOKUP(B113,'Base de Datos'!$C$487:$K$1048576,7,0))=TRUE," ",(VLOOKUP(B113,'Base de Datos'!$C$487:$K$1048576,8,0)))</f>
        <v xml:space="preserve"> </v>
      </c>
      <c r="P113" s="524" t="str">
        <f>IF(ISERROR(VLOOKUP(B113,'Base de Datos'!$C$487:$N$4077,9,0))=TRUE," ",(VLOOKUP(B113,'Base de Datos'!$C$487:$N$4077,10,0)))</f>
        <v xml:space="preserve"> </v>
      </c>
      <c r="Q113" s="709"/>
      <c r="R113" s="524" t="str">
        <f>IF(ISERROR(VLOOKUP(B113,'Base de Datos'!$C$487:$N$4077,10,0))=TRUE," ",(VLOOKUP(B113,'Base de Datos'!$C$487:$N$4077,11,0)))</f>
        <v xml:space="preserve"> </v>
      </c>
      <c r="S113" s="524" t="str">
        <f>IF(ISERROR(VLOOKUP(B113,'Base de Datos'!$C$487:$N$4077,11,0))=TRUE," ",(VLOOKUP(B113,'Base de Datos'!$C$487:$N$4077,12,0)))</f>
        <v xml:space="preserve"> </v>
      </c>
      <c r="T113" s="506" t="e">
        <f>VLOOKUP(B113,'Base de Datos'!$C$487:$AU$4129,41,0)</f>
        <v>#N/A</v>
      </c>
      <c r="U113" s="694"/>
      <c r="V113" s="607"/>
    </row>
    <row r="114" spans="2:22" outlineLevel="1" x14ac:dyDescent="0.3">
      <c r="B114" s="506"/>
      <c r="C114" s="506"/>
      <c r="D114" s="506" t="s">
        <v>1934</v>
      </c>
      <c r="E114" s="509" t="e">
        <f>E100-SUM(E102:E113)</f>
        <v>#N/A</v>
      </c>
      <c r="F114" s="507"/>
      <c r="G114" s="507"/>
      <c r="H114" s="507"/>
      <c r="I114" s="507"/>
      <c r="J114" s="509"/>
      <c r="K114" s="573"/>
      <c r="L114" s="509"/>
      <c r="M114" s="509"/>
      <c r="N114" s="527" t="e">
        <f>IF(J114&lt;E114,(E114-J114)," ")</f>
        <v>#N/A</v>
      </c>
      <c r="O114" s="652"/>
      <c r="P114" s="524" t="str">
        <f>IF(ISERROR(VLOOKUP(B114,'Base de Datos'!$C$7:$N$4077,9,0))=TRUE," ",(VLOOKUP(B114,'Base de Datos'!$C$7:$N$4077,9,0)))</f>
        <v xml:space="preserve"> </v>
      </c>
      <c r="Q114" s="506"/>
      <c r="R114" s="529" t="str">
        <f>IF(ISERROR(VLOOKUP(B114,'Base de Datos'!$C$7:$N$4077,10,0))=TRUE," ",(VLOOKUP(B114,'Base de Datos'!$C$7:$N$4077,10,0)))</f>
        <v xml:space="preserve"> </v>
      </c>
      <c r="S114" s="529" t="str">
        <f>IF(ISERROR(VLOOKUP(B114,'Base de Datos'!$C$7:$N$4077,11,0))=TRUE," ",(VLOOKUP(B114,'Base de Datos'!$C$7:$N$4077,11,0)))</f>
        <v xml:space="preserve"> </v>
      </c>
      <c r="T114" s="506"/>
      <c r="U114" s="694"/>
      <c r="V114" s="607"/>
    </row>
    <row r="115" spans="2:22" outlineLevel="1" x14ac:dyDescent="0.3">
      <c r="B115" s="506"/>
      <c r="C115" s="506"/>
      <c r="D115" s="506"/>
      <c r="E115" s="509"/>
      <c r="F115" s="507"/>
      <c r="G115" s="507"/>
      <c r="H115" s="507"/>
      <c r="I115" s="507"/>
      <c r="J115" s="509"/>
      <c r="K115" s="573"/>
      <c r="L115" s="509"/>
      <c r="M115" s="509"/>
      <c r="N115" s="509"/>
      <c r="O115" s="651"/>
      <c r="P115" s="524"/>
      <c r="Q115" s="506"/>
      <c r="R115" s="524"/>
      <c r="S115" s="524"/>
      <c r="T115" s="506"/>
      <c r="U115" s="694"/>
      <c r="V115" s="607"/>
    </row>
    <row r="116" spans="2:22" ht="15" customHeight="1" x14ac:dyDescent="0.3">
      <c r="B116" s="1254" t="s">
        <v>1653</v>
      </c>
      <c r="C116" s="1254"/>
      <c r="D116" s="1254"/>
      <c r="E116" s="530">
        <v>1188000000</v>
      </c>
      <c r="F116" s="531">
        <f>COUNTIF('Actualizada - presupuesto'!$E$7:$E$111,B116)</f>
        <v>0</v>
      </c>
      <c r="G116" s="531"/>
      <c r="H116" s="531"/>
      <c r="I116" s="531"/>
      <c r="J116" s="540">
        <f>+J117</f>
        <v>1048340161</v>
      </c>
      <c r="K116" s="582">
        <f>J116/E116</f>
        <v>0.88244121296296296</v>
      </c>
      <c r="L116" s="540" t="e">
        <f>+L117</f>
        <v>#N/A</v>
      </c>
      <c r="M116" s="540"/>
      <c r="N116" s="540" t="e">
        <f>+N117</f>
        <v>#N/A</v>
      </c>
      <c r="O116" s="658"/>
      <c r="P116" s="546" t="str">
        <f>IF(ISERROR(VLOOKUP(B116,'Base de Datos'!$C$7:$N$315,8,0))=TRUE," ",(VLOOKUP(B116,'Base de Datos'!$C$7:$N$315,8,0)))</f>
        <v xml:space="preserve"> </v>
      </c>
      <c r="Q116" s="547"/>
      <c r="R116" s="546" t="str">
        <f>IF(ISERROR(VLOOKUP(B116,'Base de Datos'!$C$7:$N$315,9,0))=TRUE," ",(VLOOKUP(B116,'Base de Datos'!$C$7:$N$315,9,0)))</f>
        <v xml:space="preserve"> </v>
      </c>
      <c r="S116" s="546" t="str">
        <f>IF(ISERROR(VLOOKUP(B116,'Base de Datos'!$C$7:$N$315,10,0))=TRUE," ",(VLOOKUP(B116,'Base de Datos'!$C$7:$N$315,10,0)))</f>
        <v xml:space="preserve"> </v>
      </c>
      <c r="T116" s="542"/>
      <c r="U116" s="694"/>
      <c r="V116" s="607"/>
    </row>
    <row r="117" spans="2:22" ht="15" customHeight="1" x14ac:dyDescent="0.3">
      <c r="B117" s="1239" t="s">
        <v>1654</v>
      </c>
      <c r="C117" s="1239"/>
      <c r="D117" s="1239"/>
      <c r="E117" s="554">
        <v>1188000000</v>
      </c>
      <c r="F117" s="559">
        <f>COUNTIF('Actualizada - presupuesto'!$E$7:$E$111,B117)</f>
        <v>17</v>
      </c>
      <c r="G117" s="559"/>
      <c r="H117" s="559"/>
      <c r="I117" s="559"/>
      <c r="J117" s="554">
        <f>SUM(J119:J136)</f>
        <v>1048340161</v>
      </c>
      <c r="K117" s="576">
        <f>J117/E117</f>
        <v>0.88244121296296296</v>
      </c>
      <c r="L117" s="554" t="e">
        <f>SUM(L119:L136)</f>
        <v>#N/A</v>
      </c>
      <c r="M117" s="554"/>
      <c r="N117" s="554" t="e">
        <f>+E117-J117-L117</f>
        <v>#N/A</v>
      </c>
      <c r="O117" s="657"/>
      <c r="P117" s="564" t="str">
        <f>IF(ISERROR(VLOOKUP(B117,'Base de Datos'!$C$7:$N$315,8,0))=TRUE," ",(VLOOKUP(B117,'Base de Datos'!$C$7:$N$315,8,0)))</f>
        <v xml:space="preserve"> </v>
      </c>
      <c r="Q117" s="565"/>
      <c r="R117" s="564" t="str">
        <f>IF(ISERROR(VLOOKUP(B117,'Base de Datos'!$C$7:$N$315,9,0))=TRUE," ",(VLOOKUP(B117,'Base de Datos'!$C$7:$N$315,9,0)))</f>
        <v xml:space="preserve"> </v>
      </c>
      <c r="S117" s="564" t="str">
        <f>IF(ISERROR(VLOOKUP(B117,'Base de Datos'!$C$7:$N$315,10,0))=TRUE," ",(VLOOKUP(B117,'Base de Datos'!$C$7:$N$315,10,0)))</f>
        <v xml:space="preserve"> </v>
      </c>
      <c r="T117" s="565"/>
      <c r="U117" s="694"/>
      <c r="V117" s="607"/>
    </row>
    <row r="118" spans="2:22" ht="22.8" outlineLevel="1" x14ac:dyDescent="0.3">
      <c r="B118" s="510" t="s">
        <v>1692</v>
      </c>
      <c r="C118" s="510" t="s">
        <v>912</v>
      </c>
      <c r="D118" s="510" t="s">
        <v>1821</v>
      </c>
      <c r="E118" s="518" t="s">
        <v>1845</v>
      </c>
      <c r="F118" s="507" t="s">
        <v>1852</v>
      </c>
      <c r="G118" s="507"/>
      <c r="H118" s="507"/>
      <c r="I118" s="507"/>
      <c r="J118" s="510" t="s">
        <v>1844</v>
      </c>
      <c r="K118" s="625"/>
      <c r="L118" s="510" t="s">
        <v>1938</v>
      </c>
      <c r="M118" s="510"/>
      <c r="N118" s="510" t="s">
        <v>1939</v>
      </c>
      <c r="O118" s="650"/>
      <c r="P118" s="541" t="s">
        <v>1846</v>
      </c>
      <c r="Q118" s="510" t="s">
        <v>1847</v>
      </c>
      <c r="R118" s="510" t="s">
        <v>1848</v>
      </c>
      <c r="S118" s="510" t="s">
        <v>375</v>
      </c>
      <c r="T118" s="510" t="s">
        <v>1849</v>
      </c>
      <c r="U118" s="694"/>
      <c r="V118" s="607"/>
    </row>
    <row r="119" spans="2:22" outlineLevel="1" x14ac:dyDescent="0.3">
      <c r="B119" s="510">
        <v>174</v>
      </c>
      <c r="C119" s="506" t="str">
        <f>IF(ISERROR(VLOOKUP(B119,'Base de Datos'!$C$487:$F$4092,2,0))=TRUE,"",(VLOOKUP('Presupuesto - PAA 2017'!B119,'Base de Datos'!$C$7:$F$4092,3,0)))</f>
        <v/>
      </c>
      <c r="D119" s="506" t="str">
        <f>IF(ISERROR(VLOOKUP(B119,'Base de Datos'!$C$487:$F$4092,3,0))=TRUE,"",(VLOOKUP('Presupuesto - PAA 2017'!B119,'Base de Datos'!$C$487:$F$4092,4,0)))</f>
        <v/>
      </c>
      <c r="E119" s="509">
        <f>VLOOKUP(B119,[7]PAA2017!$C$65:$AA$255,20,0)</f>
        <v>11000000</v>
      </c>
      <c r="F119" s="507" t="e">
        <f>VLOOKUP(B119,[8]SOLICITUDES!$B$3:$H$278,2,0)</f>
        <v>#N/A</v>
      </c>
      <c r="G119" s="507"/>
      <c r="H119" s="507"/>
      <c r="I119" s="507"/>
      <c r="J119" s="509" t="str">
        <f>IF(ISERROR(VLOOKUP(B119,'Base de Datos'!$C$487:$N$4092,6,0))=TRUE,"Sin Celebrar",(VLOOKUP(B119,'Base de Datos'!$C$487:$N$4092,7,0)))</f>
        <v>Sin Celebrar</v>
      </c>
      <c r="K119" s="573"/>
      <c r="L119" s="553">
        <f t="shared" ref="L119:L135" si="11">IF(J119=$AA$1,E119, " ")</f>
        <v>11000000</v>
      </c>
      <c r="M119" s="509"/>
      <c r="N119" s="509" t="str">
        <f t="shared" ref="N119:N135" si="12">IF(J119&lt;E119,(E119-J119)," ")</f>
        <v xml:space="preserve"> </v>
      </c>
      <c r="O119" s="691" t="str">
        <f>IF(ISERROR(VLOOKUP(B119,'Base de Datos'!$C$487:$K$1048576,7,0))=TRUE," ",(VLOOKUP(B119,'Base de Datos'!$C$487:$K$1048576,8,0)))</f>
        <v xml:space="preserve"> </v>
      </c>
      <c r="P119" s="524" t="str">
        <f>IF(ISERROR(VLOOKUP(B119,'Base de Datos'!$C$487:$N$4077,9,0))=TRUE," ",(VLOOKUP(B119,'Base de Datos'!$C$487:$N$4077,10,0)))</f>
        <v xml:space="preserve"> </v>
      </c>
      <c r="Q119" s="709"/>
      <c r="R119" s="524" t="str">
        <f>IF(ISERROR(VLOOKUP(B119,'Base de Datos'!$C$487:$N$4077,10,0))=TRUE," ",(VLOOKUP(B119,'Base de Datos'!$C$487:$N$4077,11,0)))</f>
        <v xml:space="preserve"> </v>
      </c>
      <c r="S119" s="524" t="str">
        <f>IF(ISERROR(VLOOKUP(B119,'Base de Datos'!$C$487:$N$4077,11,0))=TRUE," ",(VLOOKUP(B119,'Base de Datos'!$C$487:$N$4077,12,0)))</f>
        <v xml:space="preserve"> </v>
      </c>
      <c r="T119" s="506" t="e">
        <f>VLOOKUP(B119,'Base de Datos'!$C$487:$AU$4129,41,0)</f>
        <v>#N/A</v>
      </c>
      <c r="U119" s="694"/>
      <c r="V119" s="607"/>
    </row>
    <row r="120" spans="2:22" ht="12" customHeight="1" outlineLevel="1" x14ac:dyDescent="0.3">
      <c r="B120" s="510">
        <v>175</v>
      </c>
      <c r="C120" s="506" t="str">
        <f>IF(ISERROR(VLOOKUP(B120,'Base de Datos'!$C$487:$F$4092,2,0))=TRUE,"",(VLOOKUP('Presupuesto - PAA 2017'!B120,'Base de Datos'!$C$7:$F$4092,3,0)))</f>
        <v>150191-0-2015</v>
      </c>
      <c r="D120" s="506" t="str">
        <f>IF(ISERROR(VLOOKUP(B120,'Base de Datos'!$C$487:$F$4092,3,0))=TRUE,"",(VLOOKUP('Presupuesto - PAA 2017'!B120,'Base de Datos'!$C$487:$F$4092,4,0)))</f>
        <v>CONTRONET LTDA</v>
      </c>
      <c r="E120" s="509">
        <f>VLOOKUP(B120,[7]PAA2017!$C$65:$AA$255,20,0)</f>
        <v>7000000</v>
      </c>
      <c r="F120" s="507" t="e">
        <f>VLOOKUP(B120,[8]SOLICITUDES!$B$3:$H$278,2,0)</f>
        <v>#N/A</v>
      </c>
      <c r="G120" s="507"/>
      <c r="H120" s="507"/>
      <c r="I120" s="507"/>
      <c r="J120" s="509">
        <f>IF(ISERROR(VLOOKUP(B120,'Base de Datos'!$C$487:$N$4092,6,0))=TRUE,"Sin Celebrar",(VLOOKUP(B120,'Base de Datos'!$C$487:$N$4092,7,0)))</f>
        <v>30000000</v>
      </c>
      <c r="K120" s="573"/>
      <c r="L120" s="553" t="str">
        <f t="shared" si="11"/>
        <v xml:space="preserve"> </v>
      </c>
      <c r="M120" s="509"/>
      <c r="N120" s="509" t="str">
        <f t="shared" si="12"/>
        <v xml:space="preserve"> </v>
      </c>
      <c r="O120" s="691" t="str">
        <f>IF(ISERROR(VLOOKUP(B120,'Base de Datos'!$C$487:$K$1048576,7,0))=TRUE," ",(VLOOKUP(B120,'Base de Datos'!$C$487:$K$1048576,8,0)))</f>
        <v>SDH-SMINC-40-2018</v>
      </c>
      <c r="P120" s="524">
        <f>IF(ISERROR(VLOOKUP(B120,'Base de Datos'!$C$487:$N$4077,9,0))=TRUE," ",(VLOOKUP(B120,'Base de Datos'!$C$487:$N$4077,10,0)))</f>
        <v>43340</v>
      </c>
      <c r="Q120" s="709"/>
      <c r="R120" s="524">
        <f>IF(ISERROR(VLOOKUP(B120,'Base de Datos'!$C$487:$N$4077,10,0))=TRUE," ",(VLOOKUP(B120,'Base de Datos'!$C$487:$N$4077,11,0)))</f>
        <v>43355</v>
      </c>
      <c r="S120" s="524">
        <f>IF(ISERROR(VLOOKUP(B120,'Base de Datos'!$C$487:$N$4077,11,0))=TRUE," ",(VLOOKUP(B120,'Base de Datos'!$C$487:$N$4077,12,0)))</f>
        <v>43535</v>
      </c>
      <c r="T120" s="506" t="str">
        <f>VLOOKUP(B120,'Base de Datos'!$C$487:$AU$4129,41,0)</f>
        <v>LIQUIDADO</v>
      </c>
      <c r="U120" s="694"/>
      <c r="V120" s="607"/>
    </row>
    <row r="121" spans="2:22" ht="22.8" outlineLevel="1" x14ac:dyDescent="0.3">
      <c r="B121" s="510">
        <v>182</v>
      </c>
      <c r="C121" s="506" t="str">
        <f>IF(ISERROR(VLOOKUP(B121,'Base de Datos'!$C$487:$F$4092,2,0))=TRUE,"",(VLOOKUP('Presupuesto - PAA 2017'!B121,'Base de Datos'!$C$7:$F$4092,3,0)))</f>
        <v>150260-0-2015</v>
      </c>
      <c r="D121" s="506" t="str">
        <f>IF(ISERROR(VLOOKUP(B121,'Base de Datos'!$C$487:$F$4092,3,0))=TRUE,"",(VLOOKUP('Presupuesto - PAA 2017'!B121,'Base de Datos'!$C$487:$F$4092,4,0)))</f>
        <v>SOLUCIONES H &amp; S S.A.S</v>
      </c>
      <c r="E121" s="509">
        <f>VLOOKUP(B121,[7]PAA2017!$C$65:$AA$255,20,0)</f>
        <v>3000000</v>
      </c>
      <c r="F121" s="507" t="str">
        <f>VLOOKUP(B121,[8]SOLICITUDES!$B$3:$H$278,2,0)</f>
        <v>SI</v>
      </c>
      <c r="G121" s="507"/>
      <c r="H121" s="507"/>
      <c r="I121" s="507"/>
      <c r="J121" s="509">
        <f>IF(ISERROR(VLOOKUP(B121,'Base de Datos'!$C$487:$N$4092,6,0))=TRUE,"Sin Celebrar",(VLOOKUP(B121,'Base de Datos'!$C$487:$N$4092,7,0)))</f>
        <v>2585000</v>
      </c>
      <c r="K121" s="573"/>
      <c r="L121" s="553" t="str">
        <f t="shared" si="11"/>
        <v xml:space="preserve"> </v>
      </c>
      <c r="M121" s="509"/>
      <c r="N121" s="509">
        <f t="shared" si="12"/>
        <v>415000</v>
      </c>
      <c r="O121" s="691" t="str">
        <f>IF(ISERROR(VLOOKUP(B121,'Base de Datos'!$C$487:$K$1048576,7,0))=TRUE," ",(VLOOKUP(B121,'Base de Datos'!$C$487:$K$1048576,8,0)))</f>
        <v xml:space="preserve"> SDH-SMINC-05-2017</v>
      </c>
      <c r="P121" s="524">
        <f>IF(ISERROR(VLOOKUP(B121,'Base de Datos'!$C$487:$N$4077,9,0))=TRUE," ",(VLOOKUP(B121,'Base de Datos'!$C$487:$N$4077,10,0)))</f>
        <v>42811</v>
      </c>
      <c r="Q121" s="709"/>
      <c r="R121" s="524">
        <f>IF(ISERROR(VLOOKUP(B121,'Base de Datos'!$C$487:$N$4077,10,0))=TRUE," ",(VLOOKUP(B121,'Base de Datos'!$C$487:$N$4077,11,0)))</f>
        <v>42846</v>
      </c>
      <c r="S121" s="524">
        <f>IF(ISERROR(VLOOKUP(B121,'Base de Datos'!$C$487:$N$4077,11,0))=TRUE," ",(VLOOKUP(B121,'Base de Datos'!$C$487:$N$4077,12,0)))</f>
        <v>43211</v>
      </c>
      <c r="T121" s="506" t="str">
        <f>VLOOKUP(B121,'Base de Datos'!$C$487:$AU$4129,41,0)</f>
        <v>LIQUIDADO</v>
      </c>
      <c r="U121" s="694"/>
      <c r="V121" s="607"/>
    </row>
    <row r="122" spans="2:22" ht="13.5" customHeight="1" outlineLevel="1" x14ac:dyDescent="0.3">
      <c r="B122" s="510">
        <v>184</v>
      </c>
      <c r="C122" s="506" t="str">
        <f>IF(ISERROR(VLOOKUP(B122,'Base de Datos'!$C$487:$F$4092,2,0))=TRUE,"",(VLOOKUP('Presupuesto - PAA 2017'!B122,'Base de Datos'!$C$7:$F$4092,3,0)))</f>
        <v>150386-0-2015</v>
      </c>
      <c r="D122" s="506" t="str">
        <f>IF(ISERROR(VLOOKUP(B122,'Base de Datos'!$C$487:$F$4092,3,0))=TRUE,"",(VLOOKUP('Presupuesto - PAA 2017'!B122,'Base de Datos'!$C$487:$F$4092,4,0)))</f>
        <v>ESTACION DE SERVIICIO CARRERA 50 S.A.S</v>
      </c>
      <c r="E122" s="509">
        <f>VLOOKUP(B122,[7]PAA2017!$C$65:$AA$255,20,0)</f>
        <v>59000000</v>
      </c>
      <c r="F122" s="507" t="str">
        <f>VLOOKUP(B122,[8]SOLICITUDES!$B$3:$H$278,2,0)</f>
        <v>SI</v>
      </c>
      <c r="G122" s="507"/>
      <c r="H122" s="507"/>
      <c r="I122" s="507"/>
      <c r="J122" s="509">
        <f>IF(ISERROR(VLOOKUP(B122,'Base de Datos'!$C$487:$N$4092,6,0))=TRUE,"Sin Celebrar",(VLOOKUP(B122,'Base de Datos'!$C$487:$N$4092,7,0)))</f>
        <v>39000000</v>
      </c>
      <c r="K122" s="573"/>
      <c r="L122" s="553" t="str">
        <f t="shared" si="11"/>
        <v xml:space="preserve"> </v>
      </c>
      <c r="M122" s="509"/>
      <c r="N122" s="509">
        <f t="shared" si="12"/>
        <v>20000000</v>
      </c>
      <c r="O122" s="691" t="str">
        <f>IF(ISERROR(VLOOKUP(B122,'Base de Datos'!$C$487:$K$1048576,7,0))=TRUE," ",(VLOOKUP(B122,'Base de Datos'!$C$487:$K$1048576,8,0)))</f>
        <v>SDH-SMINC-08-2017</v>
      </c>
      <c r="P122" s="524">
        <f>IF(ISERROR(VLOOKUP(B122,'Base de Datos'!$C$487:$N$4077,9,0))=TRUE," ",(VLOOKUP(B122,'Base de Datos'!$C$487:$N$4077,10,0)))</f>
        <v>42823</v>
      </c>
      <c r="Q122" s="709"/>
      <c r="R122" s="524">
        <f>IF(ISERROR(VLOOKUP(B122,'Base de Datos'!$C$487:$N$4077,10,0))=TRUE," ",(VLOOKUP(B122,'Base de Datos'!$C$487:$N$4077,11,0)))</f>
        <v>42846</v>
      </c>
      <c r="S122" s="524">
        <f>IF(ISERROR(VLOOKUP(B122,'Base de Datos'!$C$487:$N$4077,11,0))=TRUE," ",(VLOOKUP(B122,'Base de Datos'!$C$487:$N$4077,12,0)))</f>
        <v>43186</v>
      </c>
      <c r="T122" s="506" t="str">
        <f>VLOOKUP(B122,'Base de Datos'!$C$487:$AU$4129,41,0)</f>
        <v>LIQUIDADO</v>
      </c>
      <c r="U122" s="694"/>
      <c r="V122" s="607"/>
    </row>
    <row r="123" spans="2:22" ht="10.5" customHeight="1" outlineLevel="1" x14ac:dyDescent="0.3">
      <c r="B123" s="600">
        <v>185</v>
      </c>
      <c r="C123" s="506" t="str">
        <f>IF(ISERROR(VLOOKUP(B123,'Base de Datos'!$C$487:$F$4092,2,0))=TRUE,"",(VLOOKUP('Presupuesto - PAA 2017'!B123,'Base de Datos'!$C$7:$F$4092,3,0)))</f>
        <v>150377-0-2015</v>
      </c>
      <c r="D123" s="506" t="str">
        <f>IF(ISERROR(VLOOKUP(B123,'Base de Datos'!$C$487:$F$4092,3,0))=TRUE,"",(VLOOKUP('Presupuesto - PAA 2017'!B123,'Base de Datos'!$C$487:$F$4092,4,0)))</f>
        <v>INGENIERIA Y SOLUCIONES EN CONTROL AUTOMATIZACION Y DISEÑO SAS</v>
      </c>
      <c r="E123" s="509">
        <f>VLOOKUP(B123,[7]PAA2017!$C$65:$AA$255,20,0)</f>
        <v>5000000</v>
      </c>
      <c r="F123" s="507" t="str">
        <f>VLOOKUP(B123,[8]SOLICITUDES!$B$3:$H$278,2,0)</f>
        <v>SI</v>
      </c>
      <c r="G123" s="507"/>
      <c r="H123" s="507"/>
      <c r="I123" s="507"/>
      <c r="J123" s="509">
        <f>IF(ISERROR(VLOOKUP(B123,'Base de Datos'!$C$487:$N$4092,6,0))=TRUE,"Sin Celebrar",(VLOOKUP(B123,'Base de Datos'!$C$487:$N$4092,7,0)))</f>
        <v>1802850</v>
      </c>
      <c r="K123" s="573"/>
      <c r="L123" s="553" t="str">
        <f t="shared" si="11"/>
        <v xml:space="preserve"> </v>
      </c>
      <c r="M123" s="509"/>
      <c r="N123" s="509">
        <f t="shared" si="12"/>
        <v>3197150</v>
      </c>
      <c r="O123" s="691" t="str">
        <f>IF(ISERROR(VLOOKUP(B123,'Base de Datos'!$C$487:$K$1048576,7,0))=TRUE," ",(VLOOKUP(B123,'Base de Datos'!$C$487:$K$1048576,8,0)))</f>
        <v>SDH-SMINC-13-2017</v>
      </c>
      <c r="P123" s="524">
        <f>IF(ISERROR(VLOOKUP(B123,'Base de Datos'!$C$487:$N$4077,9,0))=TRUE," ",(VLOOKUP(B123,'Base de Datos'!$C$487:$N$4077,10,0)))</f>
        <v>42877</v>
      </c>
      <c r="Q123" s="709"/>
      <c r="R123" s="524">
        <f>IF(ISERROR(VLOOKUP(B123,'Base de Datos'!$C$487:$N$4077,10,0))=TRUE," ",(VLOOKUP(B123,'Base de Datos'!$C$487:$N$4077,11,0)))</f>
        <v>42887</v>
      </c>
      <c r="S123" s="524">
        <f>IF(ISERROR(VLOOKUP(B123,'Base de Datos'!$C$487:$N$4077,11,0))=TRUE," ",(VLOOKUP(B123,'Base de Datos'!$C$487:$N$4077,12,0)))</f>
        <v>43191</v>
      </c>
      <c r="T123" s="506" t="str">
        <f>VLOOKUP(B123,'Base de Datos'!$C$487:$AU$4129,41,0)</f>
        <v>LIQUIDADO</v>
      </c>
      <c r="U123" s="694"/>
      <c r="V123" s="607"/>
    </row>
    <row r="124" spans="2:22" outlineLevel="1" x14ac:dyDescent="0.3">
      <c r="B124" s="510">
        <v>186</v>
      </c>
      <c r="C124" s="506" t="str">
        <f>IF(ISERROR(VLOOKUP(B124,'Base de Datos'!$C$487:$F$4092,2,0))=TRUE,"",(VLOOKUP('Presupuesto - PAA 2017'!B124,'Base de Datos'!$C$7:$F$4092,3,0)))</f>
        <v>150353-0-2015</v>
      </c>
      <c r="D124" s="506" t="str">
        <f>IF(ISERROR(VLOOKUP(B124,'Base de Datos'!$C$487:$F$4092,3,0))=TRUE,"",(VLOOKUP('Presupuesto - PAA 2017'!B124,'Base de Datos'!$C$487:$F$4092,4,0)))</f>
        <v xml:space="preserve">MOTORES Y MAQUINAS S.A. MOTORYSA </v>
      </c>
      <c r="E124" s="509">
        <f>VLOOKUP(B124,[7]PAA2017!$C$65:$AA$255,20,0)</f>
        <v>33000000</v>
      </c>
      <c r="F124" s="507" t="e">
        <f>VLOOKUP(B124,[8]SOLICITUDES!$B$3:$H$278,2,0)</f>
        <v>#N/A</v>
      </c>
      <c r="G124" s="507"/>
      <c r="H124" s="507"/>
      <c r="I124" s="507"/>
      <c r="J124" s="509">
        <f>IF(ISERROR(VLOOKUP(B124,'Base de Datos'!$C$487:$N$4092,6,0))=TRUE,"Sin Celebrar",(VLOOKUP(B124,'Base de Datos'!$C$487:$N$4092,7,0)))</f>
        <v>28800000</v>
      </c>
      <c r="K124" s="573"/>
      <c r="L124" s="553" t="str">
        <f t="shared" si="11"/>
        <v xml:space="preserve"> </v>
      </c>
      <c r="M124" s="509"/>
      <c r="N124" s="509">
        <f t="shared" si="12"/>
        <v>4200000</v>
      </c>
      <c r="O124" s="691">
        <f>IF(ISERROR(VLOOKUP(B124,'Base de Datos'!$C$487:$K$1048576,7,0))=TRUE," ",(VLOOKUP(B124,'Base de Datos'!$C$487:$K$1048576,8,0)))</f>
        <v>0</v>
      </c>
      <c r="P124" s="524">
        <f>IF(ISERROR(VLOOKUP(B124,'Base de Datos'!$C$487:$N$4077,9,0))=TRUE," ",(VLOOKUP(B124,'Base de Datos'!$C$487:$N$4077,10,0)))</f>
        <v>42803</v>
      </c>
      <c r="Q124" s="709"/>
      <c r="R124" s="524">
        <f>IF(ISERROR(VLOOKUP(B124,'Base de Datos'!$C$487:$N$4077,10,0))=TRUE," ",(VLOOKUP(B124,'Base de Datos'!$C$487:$N$4077,11,0)))</f>
        <v>42810</v>
      </c>
      <c r="S124" s="524">
        <f>IF(ISERROR(VLOOKUP(B124,'Base de Datos'!$C$487:$N$4077,11,0))=TRUE," ",(VLOOKUP(B124,'Base de Datos'!$C$487:$N$4077,12,0)))</f>
        <v>43175</v>
      </c>
      <c r="T124" s="506" t="str">
        <f>VLOOKUP(B124,'Base de Datos'!$C$487:$AU$4129,41,0)</f>
        <v>LIQUIDADO</v>
      </c>
      <c r="U124" s="694"/>
      <c r="V124" s="607"/>
    </row>
    <row r="125" spans="2:22" outlineLevel="1" x14ac:dyDescent="0.3">
      <c r="B125" s="510">
        <v>189</v>
      </c>
      <c r="C125" s="506" t="str">
        <f>IF(ISERROR(VLOOKUP(B125,'Base de Datos'!$C$487:$F$4092,2,0))=TRUE,"",(VLOOKUP('Presupuesto - PAA 2017'!B125,'Base de Datos'!$C$7:$F$4092,3,0)))</f>
        <v>150316-0-2015</v>
      </c>
      <c r="D125" s="506" t="str">
        <f>IF(ISERROR(VLOOKUP(B125,'Base de Datos'!$C$487:$F$4092,3,0))=TRUE,"",(VLOOKUP('Presupuesto - PAA 2017'!B125,'Base de Datos'!$C$487:$F$4092,4,0)))</f>
        <v>SERVIASEO S.A.</v>
      </c>
      <c r="E125" s="509">
        <f>VLOOKUP(B125,[7]PAA2017!$C$65:$AA$255,20,0)</f>
        <v>1708200000</v>
      </c>
      <c r="F125" s="507" t="str">
        <f>VLOOKUP(B125,[8]SOLICITUDES!$B$3:$H$278,2,0)</f>
        <v>SI</v>
      </c>
      <c r="G125" s="507"/>
      <c r="H125" s="507"/>
      <c r="I125" s="507"/>
      <c r="J125" s="509">
        <f>IF(ISERROR(VLOOKUP(B125,'Base de Datos'!$C$487:$N$4092,6,0))=TRUE,"Sin Celebrar",(VLOOKUP(B125,'Base de Datos'!$C$487:$N$4092,7,0)))</f>
        <v>270913000</v>
      </c>
      <c r="K125" s="573"/>
      <c r="L125" s="553" t="str">
        <f t="shared" si="11"/>
        <v xml:space="preserve"> </v>
      </c>
      <c r="M125" s="509"/>
      <c r="N125" s="509">
        <f t="shared" si="12"/>
        <v>1437287000</v>
      </c>
      <c r="O125" s="691" t="str">
        <f>IF(ISERROR(VLOOKUP(B125,'Base de Datos'!$C$487:$K$1048576,7,0))=TRUE," ",(VLOOKUP(B125,'Base de Datos'!$C$487:$K$1048576,8,0)))</f>
        <v xml:space="preserve"> SDH-LP-01-2017</v>
      </c>
      <c r="P125" s="524">
        <f>IF(ISERROR(VLOOKUP(B125,'Base de Datos'!$C$487:$N$4077,9,0))=TRUE," ",(VLOOKUP(B125,'Base de Datos'!$C$487:$N$4077,10,0)))</f>
        <v>42825</v>
      </c>
      <c r="Q125" s="709"/>
      <c r="R125" s="524">
        <f>IF(ISERROR(VLOOKUP(B125,'Base de Datos'!$C$487:$N$4077,10,0))=TRUE," ",(VLOOKUP(B125,'Base de Datos'!$C$487:$N$4077,11,0)))</f>
        <v>42829</v>
      </c>
      <c r="S125" s="524">
        <f>IF(ISERROR(VLOOKUP(B125,'Base de Datos'!$C$487:$N$4077,11,0))=TRUE," ",(VLOOKUP(B125,'Base de Datos'!$C$487:$N$4077,12,0)))</f>
        <v>43073</v>
      </c>
      <c r="T125" s="506" t="str">
        <f>VLOOKUP(B125,'Base de Datos'!$C$487:$AU$4129,41,0)</f>
        <v>LIQUIDADO</v>
      </c>
      <c r="U125" s="694"/>
      <c r="V125" s="607"/>
    </row>
    <row r="126" spans="2:22" ht="15" customHeight="1" outlineLevel="1" x14ac:dyDescent="0.3">
      <c r="B126" s="510">
        <v>193</v>
      </c>
      <c r="C126" s="506" t="str">
        <f>IF(ISERROR(VLOOKUP(B126,'Base de Datos'!$C$487:$F$4092,2,0))=TRUE,"",(VLOOKUP('Presupuesto - PAA 2017'!B126,'Base de Datos'!$C$7:$F$4092,3,0)))</f>
        <v>170157-0-2017</v>
      </c>
      <c r="D126" s="506" t="str">
        <f>IF(ISERROR(VLOOKUP(B126,'Base de Datos'!$C$487:$F$4092,3,0))=TRUE,"",(VLOOKUP('Presupuesto - PAA 2017'!B126,'Base de Datos'!$C$487:$F$4092,4,0)))</f>
        <v>ALL IN SERVICE SAS</v>
      </c>
      <c r="E126" s="509">
        <f>VLOOKUP(B126,[7]PAA2017!$C$65:$AA$255,20,0)</f>
        <v>149553000</v>
      </c>
      <c r="F126" s="507" t="str">
        <f>VLOOKUP(B126,[8]SOLICITUDES!$B$3:$H$278,2,0)</f>
        <v>SI</v>
      </c>
      <c r="G126" s="507"/>
      <c r="H126" s="507"/>
      <c r="I126" s="507"/>
      <c r="J126" s="509">
        <f>IF(ISERROR(VLOOKUP(B126,'Base de Datos'!$C$487:$N$4092,6,0))=TRUE,"Sin Celebrar",(VLOOKUP(B126,'Base de Datos'!$C$487:$N$4092,7,0)))</f>
        <v>29000000</v>
      </c>
      <c r="K126" s="573"/>
      <c r="L126" s="553" t="str">
        <f t="shared" si="11"/>
        <v xml:space="preserve"> </v>
      </c>
      <c r="M126" s="509"/>
      <c r="N126" s="509">
        <f t="shared" si="12"/>
        <v>120553000</v>
      </c>
      <c r="O126" s="691" t="str">
        <f>IF(ISERROR(VLOOKUP(B126,'Base de Datos'!$C$487:$K$1048576,7,0))=TRUE," ",(VLOOKUP(B126,'Base de Datos'!$C$487:$K$1048576,8,0)))</f>
        <v>SDH-SAMC-01-2017</v>
      </c>
      <c r="P126" s="524">
        <f>IF(ISERROR(VLOOKUP(B126,'Base de Datos'!$C$487:$N$4077,9,0))=TRUE," ",(VLOOKUP(B126,'Base de Datos'!$C$487:$N$4077,10,0)))</f>
        <v>42893</v>
      </c>
      <c r="Q126" s="709"/>
      <c r="R126" s="524">
        <f>IF(ISERROR(VLOOKUP(B126,'Base de Datos'!$C$487:$N$4077,10,0))=TRUE," ",(VLOOKUP(B126,'Base de Datos'!$C$487:$N$4077,11,0)))</f>
        <v>42920</v>
      </c>
      <c r="S126" s="524">
        <f>IF(ISERROR(VLOOKUP(B126,'Base de Datos'!$C$487:$N$4077,11,0))=TRUE," ",(VLOOKUP(B126,'Base de Datos'!$C$487:$N$4077,12,0)))</f>
        <v>43194</v>
      </c>
      <c r="T126" s="506" t="str">
        <f>VLOOKUP(B126,'Base de Datos'!$C$487:$AU$4129,41,0)</f>
        <v>LIQUIDADO</v>
      </c>
      <c r="U126" s="694"/>
      <c r="V126" s="607"/>
    </row>
    <row r="127" spans="2:22" outlineLevel="1" x14ac:dyDescent="0.3">
      <c r="B127" s="510">
        <v>194</v>
      </c>
      <c r="C127" s="506" t="str">
        <f>IF(ISERROR(VLOOKUP(B127,'Base de Datos'!$C$487:$F$4092,2,0))=TRUE,"",(VLOOKUP('Presupuesto - PAA 2017'!B127,'Base de Datos'!$C$7:$F$4092,3,0)))</f>
        <v>170079-0-2017</v>
      </c>
      <c r="D127" s="506" t="str">
        <f>IF(ISERROR(VLOOKUP(B127,'Base de Datos'!$C$487:$F$4092,3,0))=TRUE,"",(VLOOKUP('Presupuesto - PAA 2017'!B127,'Base de Datos'!$C$487:$F$4092,4,0)))</f>
        <v>AGR SOLUCIONES SAS</v>
      </c>
      <c r="E127" s="509">
        <f>VLOOKUP(B127,[7]PAA2017!$C$65:$AA$255,20,0)</f>
        <v>13000000</v>
      </c>
      <c r="F127" s="507" t="e">
        <f>VLOOKUP(B127,[8]SOLICITUDES!$B$3:$H$278,2,0)</f>
        <v>#N/A</v>
      </c>
      <c r="G127" s="507"/>
      <c r="H127" s="507"/>
      <c r="I127" s="507"/>
      <c r="J127" s="509">
        <f>IF(ISERROR(VLOOKUP(B127,'Base de Datos'!$C$487:$N$4092,6,0))=TRUE,"Sin Celebrar",(VLOOKUP(B127,'Base de Datos'!$C$487:$N$4092,7,0)))</f>
        <v>3725711</v>
      </c>
      <c r="K127" s="573"/>
      <c r="L127" s="553" t="str">
        <f t="shared" si="11"/>
        <v xml:space="preserve"> </v>
      </c>
      <c r="M127" s="509"/>
      <c r="N127" s="509">
        <f t="shared" si="12"/>
        <v>9274289</v>
      </c>
      <c r="O127" s="691" t="str">
        <f>IF(ISERROR(VLOOKUP(B127,'Base de Datos'!$C$487:$K$1048576,7,0))=TRUE," ",(VLOOKUP(B127,'Base de Datos'!$C$487:$K$1048576,8,0)))</f>
        <v>SDH-SMINC-09-2017</v>
      </c>
      <c r="P127" s="524">
        <f>IF(ISERROR(VLOOKUP(B127,'Base de Datos'!$C$487:$N$4077,9,0))=TRUE," ",(VLOOKUP(B127,'Base de Datos'!$C$487:$N$4077,10,0)))</f>
        <v>42823</v>
      </c>
      <c r="Q127" s="709"/>
      <c r="R127" s="524">
        <f>IF(ISERROR(VLOOKUP(B127,'Base de Datos'!$C$487:$N$4077,10,0))=TRUE," ",(VLOOKUP(B127,'Base de Datos'!$C$487:$N$4077,11,0)))</f>
        <v>42831</v>
      </c>
      <c r="S127" s="524">
        <f>IF(ISERROR(VLOOKUP(B127,'Base de Datos'!$C$487:$N$4077,11,0))=TRUE," ",(VLOOKUP(B127,'Base de Datos'!$C$487:$N$4077,12,0)))</f>
        <v>43196</v>
      </c>
      <c r="T127" s="506" t="str">
        <f>VLOOKUP(B127,'Base de Datos'!$C$487:$AU$4129,41,0)</f>
        <v>EN TRÁMITE</v>
      </c>
      <c r="U127" s="694"/>
      <c r="V127" s="607"/>
    </row>
    <row r="128" spans="2:22" ht="12" customHeight="1" outlineLevel="1" x14ac:dyDescent="0.3">
      <c r="B128" s="510">
        <v>195</v>
      </c>
      <c r="C128" s="506" t="str">
        <f>IF(ISERROR(VLOOKUP(B128,'Base de Datos'!$C$487:$F$4092,2,0))=TRUE,"",(VLOOKUP('Presupuesto - PAA 2017'!B128,'Base de Datos'!$C$7:$F$4092,3,0)))</f>
        <v>170059-0-2017</v>
      </c>
      <c r="D128" s="506" t="str">
        <f>IF(ISERROR(VLOOKUP(B128,'Base de Datos'!$C$487:$F$4092,3,0))=TRUE,"",(VLOOKUP('Presupuesto - PAA 2017'!B128,'Base de Datos'!$C$487:$F$4092,4,0)))</f>
        <v>HERNANDO BULLA ORJUELA</v>
      </c>
      <c r="E128" s="509">
        <f>VLOOKUP(B128,[7]PAA2017!$C$65:$AA$255,20,0)</f>
        <v>62000000</v>
      </c>
      <c r="F128" s="507" t="str">
        <f>VLOOKUP(B128,[8]SOLICITUDES!$B$3:$H$278,2,0)</f>
        <v>SI</v>
      </c>
      <c r="G128" s="507"/>
      <c r="H128" s="507"/>
      <c r="I128" s="507"/>
      <c r="J128" s="509">
        <f>IF(ISERROR(VLOOKUP(B128,'Base de Datos'!$C$487:$N$4092,6,0))=TRUE,"Sin Celebrar",(VLOOKUP(B128,'Base de Datos'!$C$487:$N$4092,7,0)))</f>
        <v>34535000</v>
      </c>
      <c r="K128" s="573"/>
      <c r="L128" s="553" t="str">
        <f t="shared" si="11"/>
        <v xml:space="preserve"> </v>
      </c>
      <c r="M128" s="509"/>
      <c r="N128" s="509">
        <f t="shared" si="12"/>
        <v>27465000</v>
      </c>
      <c r="O128" s="691" t="str">
        <f>IF(ISERROR(VLOOKUP(B128,'Base de Datos'!$C$487:$K$1048576,7,0))=TRUE," ",(VLOOKUP(B128,'Base de Datos'!$C$487:$K$1048576,8,0)))</f>
        <v>SDH-SMINC-07-2017</v>
      </c>
      <c r="P128" s="524">
        <f>IF(ISERROR(VLOOKUP(B128,'Base de Datos'!$C$487:$N$4077,9,0))=TRUE," ",(VLOOKUP(B128,'Base de Datos'!$C$487:$N$4077,10,0)))</f>
        <v>42811</v>
      </c>
      <c r="Q128" s="709"/>
      <c r="R128" s="524">
        <f>IF(ISERROR(VLOOKUP(B128,'Base de Datos'!$C$487:$N$4077,10,0))=TRUE," ",(VLOOKUP(B128,'Base de Datos'!$C$487:$N$4077,11,0)))</f>
        <v>42831</v>
      </c>
      <c r="S128" s="524">
        <f>IF(ISERROR(VLOOKUP(B128,'Base de Datos'!$C$487:$N$4077,11,0))=TRUE," ",(VLOOKUP(B128,'Base de Datos'!$C$487:$N$4077,12,0)))</f>
        <v>43196</v>
      </c>
      <c r="T128" s="506" t="str">
        <f>VLOOKUP(B128,'Base de Datos'!$C$487:$AU$4129,41,0)</f>
        <v>LIQUIDADO</v>
      </c>
      <c r="U128" s="694"/>
      <c r="V128" s="607"/>
    </row>
    <row r="129" spans="2:22" outlineLevel="1" x14ac:dyDescent="0.3">
      <c r="B129" s="510">
        <v>196</v>
      </c>
      <c r="C129" s="506" t="str">
        <f>IF(ISERROR(VLOOKUP(B129,'Base de Datos'!$C$487:$F$4092,2,0))=TRUE,"",(VLOOKUP('Presupuesto - PAA 2017'!B129,'Base de Datos'!$C$7:$F$4092,3,0)))</f>
        <v>160150-0-2016</v>
      </c>
      <c r="D129" s="506" t="str">
        <f>IF(ISERROR(VLOOKUP(B129,'Base de Datos'!$C$487:$F$4092,3,0))=TRUE,"",(VLOOKUP('Presupuesto - PAA 2017'!B129,'Base de Datos'!$C$487:$F$4092,4,0)))</f>
        <v>UNION TEMPORAL GRANADINA SERACIS</v>
      </c>
      <c r="E129" s="509">
        <f>VLOOKUP(B129,[7]PAA2017!$C$65:$AA$255,20,0)</f>
        <v>7711363000</v>
      </c>
      <c r="F129" s="507" t="str">
        <f>VLOOKUP(B129,[8]SOLICITUDES!$B$3:$H$278,2,0)</f>
        <v>SI</v>
      </c>
      <c r="G129" s="507"/>
      <c r="H129" s="507"/>
      <c r="I129" s="507"/>
      <c r="J129" s="509">
        <f>IF(ISERROR(VLOOKUP(B129,'Base de Datos'!$C$487:$N$4092,6,0))=TRUE,"Sin Celebrar",(VLOOKUP(B129,'Base de Datos'!$C$487:$N$4092,7,0)))</f>
        <v>578014000</v>
      </c>
      <c r="K129" s="573"/>
      <c r="L129" s="553" t="str">
        <f t="shared" si="11"/>
        <v xml:space="preserve"> </v>
      </c>
      <c r="M129" s="509"/>
      <c r="N129" s="509">
        <f t="shared" si="12"/>
        <v>7133349000</v>
      </c>
      <c r="O129" s="691" t="str">
        <f>IF(ISERROR(VLOOKUP(B129,'Base de Datos'!$C$487:$K$1048576,7,0))=TRUE," ",(VLOOKUP(B129,'Base de Datos'!$C$487:$K$1048576,8,0)))</f>
        <v>SDH-LP-02-2017</v>
      </c>
      <c r="P129" s="524">
        <f>IF(ISERROR(VLOOKUP(B129,'Base de Datos'!$C$487:$N$4077,9,0))=TRUE," ",(VLOOKUP(B129,'Base de Datos'!$C$487:$N$4077,10,0)))</f>
        <v>42929</v>
      </c>
      <c r="Q129" s="709"/>
      <c r="R129" s="524">
        <f>IF(ISERROR(VLOOKUP(B129,'Base de Datos'!$C$487:$N$4077,10,0))=TRUE," ",(VLOOKUP(B129,'Base de Datos'!$C$487:$N$4077,11,0)))</f>
        <v>42933</v>
      </c>
      <c r="S129" s="524">
        <f>IF(ISERROR(VLOOKUP(B129,'Base de Datos'!$C$487:$N$4077,11,0))=TRUE," ",(VLOOKUP(B129,'Base de Datos'!$C$487:$N$4077,12,0)))</f>
        <v>43117</v>
      </c>
      <c r="T129" s="506" t="str">
        <f>VLOOKUP(B129,'Base de Datos'!$C$487:$AU$4129,41,0)</f>
        <v>LIQUIDADO</v>
      </c>
      <c r="U129" s="694"/>
      <c r="V129" s="607"/>
    </row>
    <row r="130" spans="2:22" ht="22.8" outlineLevel="1" x14ac:dyDescent="0.3">
      <c r="B130" s="510">
        <v>198</v>
      </c>
      <c r="C130" s="506" t="str">
        <f>IF(ISERROR(VLOOKUP(B130,'Base de Datos'!$C$487:$F$4092,2,0))=TRUE,"",(VLOOKUP('Presupuesto - PAA 2017'!B130,'Base de Datos'!$C$7:$F$4092,3,0)))</f>
        <v>160161-0-2016</v>
      </c>
      <c r="D130" s="506" t="str">
        <f>IF(ISERROR(VLOOKUP(B130,'Base de Datos'!$C$487:$F$4092,3,0))=TRUE,"",(VLOOKUP('Presupuesto - PAA 2017'!B130,'Base de Datos'!$C$487:$F$4092,4,0)))</f>
        <v>SOLUCIONES Y DIAGNÓSTICOS EN INGENIERÍA ELÉCTRICA LTDA</v>
      </c>
      <c r="E130" s="509">
        <f>VLOOKUP(B130,[7]PAA2017!$C$65:$AA$255,20,0)</f>
        <v>71000000</v>
      </c>
      <c r="F130" s="507" t="str">
        <f>VLOOKUP(B130,[8]SOLICITUDES!$B$3:$H$278,2,0)</f>
        <v>SI</v>
      </c>
      <c r="G130" s="507"/>
      <c r="H130" s="507"/>
      <c r="I130" s="507"/>
      <c r="J130" s="509">
        <f>IF(ISERROR(VLOOKUP(B130,'Base de Datos'!$C$487:$N$4092,6,0))=TRUE,"Sin Celebrar",(VLOOKUP(B130,'Base de Datos'!$C$487:$N$4092,7,0)))</f>
        <v>10473600</v>
      </c>
      <c r="K130" s="573"/>
      <c r="L130" s="553" t="str">
        <f t="shared" si="11"/>
        <v xml:space="preserve"> </v>
      </c>
      <c r="M130" s="509"/>
      <c r="N130" s="509">
        <f t="shared" si="12"/>
        <v>60526400</v>
      </c>
      <c r="O130" s="691" t="str">
        <f>IF(ISERROR(VLOOKUP(B130,'Base de Datos'!$C$487:$K$1048576,7,0))=TRUE," ",(VLOOKUP(B130,'Base de Datos'!$C$487:$K$1048576,8,0)))</f>
        <v>SDH-SMINC-10-2017</v>
      </c>
      <c r="P130" s="524">
        <f>IF(ISERROR(VLOOKUP(B130,'Base de Datos'!$C$487:$N$4077,9,0))=TRUE," ",(VLOOKUP(B130,'Base de Datos'!$C$487:$N$4077,10,0)))</f>
        <v>42823</v>
      </c>
      <c r="Q130" s="709"/>
      <c r="R130" s="524">
        <f>IF(ISERROR(VLOOKUP(B130,'Base de Datos'!$C$487:$N$4077,10,0))=TRUE," ",(VLOOKUP(B130,'Base de Datos'!$C$487:$N$4077,11,0)))</f>
        <v>42857</v>
      </c>
      <c r="S130" s="524">
        <f>IF(ISERROR(VLOOKUP(B130,'Base de Datos'!$C$487:$N$4077,11,0))=TRUE," ",(VLOOKUP(B130,'Base de Datos'!$C$487:$N$4077,12,0)))</f>
        <v>43161</v>
      </c>
      <c r="T130" s="506" t="str">
        <f>VLOOKUP(B130,'Base de Datos'!$C$487:$AU$4129,41,0)</f>
        <v>LIQUIDADO</v>
      </c>
      <c r="U130" s="694"/>
      <c r="V130" s="607"/>
    </row>
    <row r="131" spans="2:22" ht="9.75" customHeight="1" outlineLevel="1" x14ac:dyDescent="0.3">
      <c r="B131" s="510">
        <v>199</v>
      </c>
      <c r="C131" s="506" t="str">
        <f>IF(ISERROR(VLOOKUP(B131,'Base de Datos'!$C$487:$F$4092,2,0))=TRUE,"",(VLOOKUP('Presupuesto - PAA 2017'!B131,'Base de Datos'!$C$7:$F$4092,3,0)))</f>
        <v>160228-0-2016</v>
      </c>
      <c r="D131" s="506" t="str">
        <f>IF(ISERROR(VLOOKUP(B131,'Base de Datos'!$C$487:$F$4092,3,0))=TRUE,"",(VLOOKUP('Presupuesto - PAA 2017'!B131,'Base de Datos'!$C$487:$F$4092,4,0)))</f>
        <v>MITSUBISHI ELECTRIC DE COLOMBIA LTDA</v>
      </c>
      <c r="E131" s="509">
        <f>VLOOKUP(B131,[7]PAA2017!$C$65:$AA$255,20,0)</f>
        <v>52000000</v>
      </c>
      <c r="F131" s="507" t="e">
        <f>VLOOKUP(B131,[8]SOLICITUDES!$B$3:$H$278,2,0)</f>
        <v>#N/A</v>
      </c>
      <c r="G131" s="507"/>
      <c r="H131" s="507"/>
      <c r="I131" s="507"/>
      <c r="J131" s="509">
        <f>IF(ISERROR(VLOOKUP(B131,'Base de Datos'!$C$487:$N$4092,6,0))=TRUE,"Sin Celebrar",(VLOOKUP(B131,'Base de Datos'!$C$487:$N$4092,7,0)))</f>
        <v>15000000</v>
      </c>
      <c r="K131" s="573"/>
      <c r="L131" s="553" t="str">
        <f t="shared" si="11"/>
        <v xml:space="preserve"> </v>
      </c>
      <c r="M131" s="509"/>
      <c r="N131" s="509">
        <f t="shared" si="12"/>
        <v>37000000</v>
      </c>
      <c r="O131" s="691" t="str">
        <f>IF(ISERROR(VLOOKUP(B131,'Base de Datos'!$C$487:$K$1048576,7,0))=TRUE," ",(VLOOKUP(B131,'Base de Datos'!$C$487:$K$1048576,8,0)))</f>
        <v>170164-0-2017</v>
      </c>
      <c r="P131" s="524">
        <f>IF(ISERROR(VLOOKUP(B131,'Base de Datos'!$C$487:$N$4077,9,0))=TRUE," ",(VLOOKUP(B131,'Base de Datos'!$C$487:$N$4077,10,0)))</f>
        <v>42906</v>
      </c>
      <c r="Q131" s="709"/>
      <c r="R131" s="524">
        <f>IF(ISERROR(VLOOKUP(B131,'Base de Datos'!$C$487:$N$4077,10,0))=TRUE," ",(VLOOKUP(B131,'Base de Datos'!$C$487:$N$4077,11,0)))</f>
        <v>42948</v>
      </c>
      <c r="S131" s="524">
        <f>IF(ISERROR(VLOOKUP(B131,'Base de Datos'!$C$487:$N$4077,11,0))=TRUE," ",(VLOOKUP(B131,'Base de Datos'!$C$487:$N$4077,12,0)))</f>
        <v>43236</v>
      </c>
      <c r="T131" s="506" t="str">
        <f>VLOOKUP(B131,'Base de Datos'!$C$487:$AU$4129,41,0)</f>
        <v>LIQUIDADO</v>
      </c>
      <c r="U131" s="694"/>
      <c r="V131" s="607"/>
    </row>
    <row r="132" spans="2:22" ht="14.25" customHeight="1" outlineLevel="1" x14ac:dyDescent="0.3">
      <c r="B132" s="510">
        <v>200</v>
      </c>
      <c r="C132" s="506" t="str">
        <f>IF(ISERROR(VLOOKUP(B132,'Base de Datos'!$C$487:$F$4092,2,0))=TRUE,"",(VLOOKUP('Presupuesto - PAA 2017'!B132,'Base de Datos'!$C$7:$F$4092,3,0)))</f>
        <v>170161-0-2017</v>
      </c>
      <c r="D132" s="506" t="str">
        <f>IF(ISERROR(VLOOKUP(B132,'Base de Datos'!$C$487:$F$4092,3,0))=TRUE,"",(VLOOKUP('Presupuesto - PAA 2017'!B132,'Base de Datos'!$C$487:$F$4092,4,0)))</f>
        <v>INGENIERIA DE BOMBAS Y PLANTAS LIMITADA</v>
      </c>
      <c r="E132" s="509">
        <f>VLOOKUP(B132,[7]PAA2017!$C$65:$AA$255,20,0)</f>
        <v>71000000</v>
      </c>
      <c r="F132" s="507" t="e">
        <f>VLOOKUP(B132,[8]SOLICITUDES!$B$3:$H$278,2,0)</f>
        <v>#N/A</v>
      </c>
      <c r="G132" s="507"/>
      <c r="H132" s="507"/>
      <c r="I132" s="507"/>
      <c r="J132" s="509">
        <f>IF(ISERROR(VLOOKUP(B132,'Base de Datos'!$C$487:$N$4092,6,0))=TRUE,"Sin Celebrar",(VLOOKUP(B132,'Base de Datos'!$C$487:$N$4092,7,0)))</f>
        <v>4491000</v>
      </c>
      <c r="K132" s="573"/>
      <c r="L132" s="553" t="str">
        <f t="shared" si="11"/>
        <v xml:space="preserve"> </v>
      </c>
      <c r="M132" s="509"/>
      <c r="N132" s="509">
        <f t="shared" si="12"/>
        <v>66509000</v>
      </c>
      <c r="O132" s="691" t="str">
        <f>IF(ISERROR(VLOOKUP(B132,'Base de Datos'!$C$487:$K$1048576,7,0))=TRUE," ",(VLOOKUP(B132,'Base de Datos'!$C$487:$K$1048576,8,0)))</f>
        <v>SDH-SMINC-17-2017</v>
      </c>
      <c r="P132" s="524">
        <f>IF(ISERROR(VLOOKUP(B132,'Base de Datos'!$C$487:$N$4077,9,0))=TRUE," ",(VLOOKUP(B132,'Base de Datos'!$C$487:$N$4077,10,0)))</f>
        <v>42894</v>
      </c>
      <c r="Q132" s="709"/>
      <c r="R132" s="524">
        <f>IF(ISERROR(VLOOKUP(B132,'Base de Datos'!$C$487:$N$4077,10,0))=TRUE," ",(VLOOKUP(B132,'Base de Datos'!$C$487:$N$4077,11,0)))</f>
        <v>42920</v>
      </c>
      <c r="S132" s="524">
        <f>IF(ISERROR(VLOOKUP(B132,'Base de Datos'!$C$487:$N$4077,11,0))=TRUE," ",(VLOOKUP(B132,'Base de Datos'!$C$487:$N$4077,12,0)))</f>
        <v>43255</v>
      </c>
      <c r="T132" s="506" t="str">
        <f>VLOOKUP(B132,'Base de Datos'!$C$487:$AU$4129,41,0)</f>
        <v>LIQUIDADO</v>
      </c>
      <c r="U132" s="694"/>
      <c r="V132" s="607"/>
    </row>
    <row r="133" spans="2:22" outlineLevel="1" x14ac:dyDescent="0.3">
      <c r="B133" s="510"/>
      <c r="C133" s="506" t="str">
        <f>IF(ISERROR(VLOOKUP(B133,'Base de Datos'!$C$487:$F$4092,2,0))=TRUE,"",(VLOOKUP('Presupuesto - PAA 2017'!B133,'Base de Datos'!$C$7:$F$4092,3,0)))</f>
        <v/>
      </c>
      <c r="D133" s="506" t="str">
        <f>IF(ISERROR(VLOOKUP(B133,'Base de Datos'!$C$487:$F$4092,3,0))=TRUE,"",(VLOOKUP('Presupuesto - PAA 2017'!B133,'Base de Datos'!$C$487:$F$4092,4,0)))</f>
        <v/>
      </c>
      <c r="E133" s="509" t="e">
        <f>VLOOKUP(B133,[7]PAA2017!$C$65:$AA$255,20,0)</f>
        <v>#N/A</v>
      </c>
      <c r="F133" s="507" t="e">
        <f>VLOOKUP(B133,[8]SOLICITUDES!$B$3:$H$278,2,0)</f>
        <v>#N/A</v>
      </c>
      <c r="G133" s="507"/>
      <c r="H133" s="507"/>
      <c r="I133" s="507"/>
      <c r="J133" s="509" t="str">
        <f>IF(ISERROR(VLOOKUP(B133,'Base de Datos'!$C$487:$N$4092,6,0))=TRUE,"Sin Celebrar",(VLOOKUP(B133,'Base de Datos'!$C$487:$N$4092,7,0)))</f>
        <v>Sin Celebrar</v>
      </c>
      <c r="K133" s="573"/>
      <c r="L133" s="553" t="e">
        <f t="shared" si="11"/>
        <v>#N/A</v>
      </c>
      <c r="M133" s="509"/>
      <c r="N133" s="509" t="e">
        <f t="shared" si="12"/>
        <v>#N/A</v>
      </c>
      <c r="O133" s="691" t="str">
        <f>IF(ISERROR(VLOOKUP(B133,'Base de Datos'!$C$487:$K$1048576,7,0))=TRUE," ",(VLOOKUP(B133,'Base de Datos'!$C$487:$K$1048576,8,0)))</f>
        <v xml:space="preserve"> </v>
      </c>
      <c r="P133" s="524" t="str">
        <f>IF(ISERROR(VLOOKUP(B133,'Base de Datos'!$C$487:$N$4077,9,0))=TRUE," ",(VLOOKUP(B133,'Base de Datos'!$C$487:$N$4077,10,0)))</f>
        <v xml:space="preserve"> </v>
      </c>
      <c r="Q133" s="709"/>
      <c r="R133" s="524" t="str">
        <f>IF(ISERROR(VLOOKUP(B133,'Base de Datos'!$C$487:$N$4077,10,0))=TRUE," ",(VLOOKUP(B133,'Base de Datos'!$C$487:$N$4077,11,0)))</f>
        <v xml:space="preserve"> </v>
      </c>
      <c r="S133" s="524" t="str">
        <f>IF(ISERROR(VLOOKUP(B133,'Base de Datos'!$C$487:$N$4077,11,0))=TRUE," ",(VLOOKUP(B133,'Base de Datos'!$C$487:$N$4077,12,0)))</f>
        <v xml:space="preserve"> </v>
      </c>
      <c r="T133" s="506" t="e">
        <f>VLOOKUP(B133,'Base de Datos'!$C$487:$AU$4129,41,0)</f>
        <v>#N/A</v>
      </c>
      <c r="U133" s="694"/>
      <c r="V133" s="607"/>
    </row>
    <row r="134" spans="2:22" outlineLevel="1" x14ac:dyDescent="0.3">
      <c r="B134" s="525"/>
      <c r="C134" s="506" t="str">
        <f>IF(ISERROR(VLOOKUP(B134,'Base de Datos'!$C$487:$F$4092,2,0))=TRUE,"",(VLOOKUP('Presupuesto - PAA 2017'!B134,'Base de Datos'!$C$7:$F$4092,3,0)))</f>
        <v/>
      </c>
      <c r="D134" s="506" t="str">
        <f>IF(ISERROR(VLOOKUP(B134,'Base de Datos'!$C$487:$F$4092,3,0))=TRUE,"",(VLOOKUP('Presupuesto - PAA 2017'!B134,'Base de Datos'!$C$487:$F$4092,4,0)))</f>
        <v/>
      </c>
      <c r="E134" s="509" t="e">
        <f>VLOOKUP(B134,[7]PAA2017!$C$65:$AA$255,20,0)</f>
        <v>#N/A</v>
      </c>
      <c r="F134" s="507" t="e">
        <f>VLOOKUP(B134,[8]SOLICITUDES!$B$3:$H$278,2,0)</f>
        <v>#N/A</v>
      </c>
      <c r="G134" s="507"/>
      <c r="H134" s="507"/>
      <c r="I134" s="507"/>
      <c r="J134" s="509" t="str">
        <f>IF(ISERROR(VLOOKUP(B134,'Base de Datos'!$C$487:$N$4092,6,0))=TRUE,"Sin Celebrar",(VLOOKUP(B134,'Base de Datos'!$C$487:$N$4092,7,0)))</f>
        <v>Sin Celebrar</v>
      </c>
      <c r="K134" s="573"/>
      <c r="L134" s="553" t="e">
        <f t="shared" si="11"/>
        <v>#N/A</v>
      </c>
      <c r="M134" s="509"/>
      <c r="N134" s="509" t="e">
        <f t="shared" si="12"/>
        <v>#N/A</v>
      </c>
      <c r="O134" s="691" t="str">
        <f>IF(ISERROR(VLOOKUP(B134,'Base de Datos'!$C$487:$K$1048576,7,0))=TRUE," ",(VLOOKUP(B134,'Base de Datos'!$C$487:$K$1048576,8,0)))</f>
        <v xml:space="preserve"> </v>
      </c>
      <c r="P134" s="524" t="str">
        <f>IF(ISERROR(VLOOKUP(B134,'Base de Datos'!$C$487:$N$4077,9,0))=TRUE," ",(VLOOKUP(B134,'Base de Datos'!$C$487:$N$4077,10,0)))</f>
        <v xml:space="preserve"> </v>
      </c>
      <c r="Q134" s="709"/>
      <c r="R134" s="524" t="str">
        <f>IF(ISERROR(VLOOKUP(B134,'Base de Datos'!$C$487:$N$4077,10,0))=TRUE," ",(VLOOKUP(B134,'Base de Datos'!$C$487:$N$4077,11,0)))</f>
        <v xml:space="preserve"> </v>
      </c>
      <c r="S134" s="524" t="str">
        <f>IF(ISERROR(VLOOKUP(B134,'Base de Datos'!$C$487:$N$4077,11,0))=TRUE," ",(VLOOKUP(B134,'Base de Datos'!$C$487:$N$4077,12,0)))</f>
        <v xml:space="preserve"> </v>
      </c>
      <c r="T134" s="506" t="e">
        <f>VLOOKUP(B134,'Base de Datos'!$C$487:$AU$4129,41,0)</f>
        <v>#N/A</v>
      </c>
      <c r="U134" s="694"/>
      <c r="V134" s="607"/>
    </row>
    <row r="135" spans="2:22" outlineLevel="1" x14ac:dyDescent="0.3">
      <c r="B135" s="525"/>
      <c r="C135" s="506" t="str">
        <f>IF(ISERROR(VLOOKUP(B135,'Base de Datos'!$C$487:$F$4092,2,0))=TRUE,"",(VLOOKUP('Presupuesto - PAA 2017'!B135,'Base de Datos'!$C$7:$F$4092,3,0)))</f>
        <v/>
      </c>
      <c r="D135" s="506" t="str">
        <f>IF(ISERROR(VLOOKUP(B135,'Base de Datos'!$C$487:$F$4092,3,0))=TRUE,"",(VLOOKUP('Presupuesto - PAA 2017'!B135,'Base de Datos'!$C$487:$F$4092,4,0)))</f>
        <v/>
      </c>
      <c r="E135" s="509" t="e">
        <f>VLOOKUP(B135,[7]PAA2017!$C$65:$AA$255,20,0)</f>
        <v>#N/A</v>
      </c>
      <c r="F135" s="507" t="e">
        <f>VLOOKUP(B135,[8]SOLICITUDES!$B$3:$H$278,2,0)</f>
        <v>#N/A</v>
      </c>
      <c r="G135" s="507"/>
      <c r="H135" s="507"/>
      <c r="I135" s="507"/>
      <c r="J135" s="509" t="str">
        <f>IF(ISERROR(VLOOKUP(B135,'Base de Datos'!$C$487:$N$4092,6,0))=TRUE,"Sin Celebrar",(VLOOKUP(B135,'Base de Datos'!$C$487:$N$4092,7,0)))</f>
        <v>Sin Celebrar</v>
      </c>
      <c r="K135" s="573"/>
      <c r="L135" s="553" t="e">
        <f t="shared" si="11"/>
        <v>#N/A</v>
      </c>
      <c r="M135" s="509"/>
      <c r="N135" s="509" t="e">
        <f t="shared" si="12"/>
        <v>#N/A</v>
      </c>
      <c r="O135" s="691" t="str">
        <f>IF(ISERROR(VLOOKUP(B135,'Base de Datos'!$C$487:$K$1048576,7,0))=TRUE," ",(VLOOKUP(B135,'Base de Datos'!$C$487:$K$1048576,8,0)))</f>
        <v xml:space="preserve"> </v>
      </c>
      <c r="P135" s="524" t="str">
        <f>IF(ISERROR(VLOOKUP(B135,'Base de Datos'!$C$487:$N$4077,9,0))=TRUE," ",(VLOOKUP(B135,'Base de Datos'!$C$487:$N$4077,10,0)))</f>
        <v xml:space="preserve"> </v>
      </c>
      <c r="Q135" s="709"/>
      <c r="R135" s="524" t="str">
        <f>IF(ISERROR(VLOOKUP(B135,'Base de Datos'!$C$487:$N$4077,10,0))=TRUE," ",(VLOOKUP(B135,'Base de Datos'!$C$487:$N$4077,11,0)))</f>
        <v xml:space="preserve"> </v>
      </c>
      <c r="S135" s="524" t="str">
        <f>IF(ISERROR(VLOOKUP(B135,'Base de Datos'!$C$487:$N$4077,11,0))=TRUE," ",(VLOOKUP(B135,'Base de Datos'!$C$487:$N$4077,12,0)))</f>
        <v xml:space="preserve"> </v>
      </c>
      <c r="T135" s="506" t="e">
        <f>VLOOKUP(B135,'Base de Datos'!$C$487:$AU$4129,41,0)</f>
        <v>#N/A</v>
      </c>
      <c r="U135" s="694"/>
      <c r="V135" s="607"/>
    </row>
    <row r="136" spans="2:22" outlineLevel="1" x14ac:dyDescent="0.3">
      <c r="B136" s="525"/>
      <c r="C136" s="526"/>
      <c r="D136" s="526" t="s">
        <v>1934</v>
      </c>
      <c r="E136" s="509" t="e">
        <f>E117-SUM(E119:E135)</f>
        <v>#N/A</v>
      </c>
      <c r="F136" s="528"/>
      <c r="G136" s="528"/>
      <c r="H136" s="528"/>
      <c r="I136" s="528"/>
      <c r="J136" s="527"/>
      <c r="K136" s="577"/>
      <c r="L136" s="527"/>
      <c r="M136" s="527"/>
      <c r="N136" s="527" t="e">
        <f>IF(J136&lt;E136,(E136-J136)," ")</f>
        <v>#N/A</v>
      </c>
      <c r="O136" s="652"/>
      <c r="P136" s="524" t="str">
        <f>IF(ISERROR(VLOOKUP(B136,'Base de Datos'!$C$7:$N$315,9,0))=TRUE," ",(VLOOKUP(B136,'Base de Datos'!$C$7:$N$315,9,0)))</f>
        <v xml:space="preserve"> </v>
      </c>
      <c r="Q136" s="526"/>
      <c r="R136" s="529" t="str">
        <f>IF(ISERROR(VLOOKUP(B136,'Base de Datos'!$C$7:$N$4077,10,0))=TRUE," ",(VLOOKUP(B136,'Base de Datos'!$C$7:$N$4077,10,0)))</f>
        <v xml:space="preserve"> </v>
      </c>
      <c r="S136" s="529" t="str">
        <f>IF(ISERROR(VLOOKUP(B136,'Base de Datos'!$C$7:$N$4077,11,0))=TRUE," ",(VLOOKUP(B136,'Base de Datos'!$C$7:$N$4077,11,0)))</f>
        <v xml:space="preserve"> </v>
      </c>
      <c r="T136" s="506"/>
      <c r="U136" s="694"/>
      <c r="V136" s="607"/>
    </row>
    <row r="137" spans="2:22" ht="12" outlineLevel="1" x14ac:dyDescent="0.3">
      <c r="B137" s="621"/>
      <c r="C137" s="621"/>
      <c r="D137" s="621"/>
      <c r="E137" s="509"/>
      <c r="F137" s="507"/>
      <c r="G137" s="507"/>
      <c r="H137" s="507"/>
      <c r="I137" s="507"/>
      <c r="J137" s="509"/>
      <c r="K137" s="573"/>
      <c r="L137" s="509"/>
      <c r="M137" s="509"/>
      <c r="N137" s="509"/>
      <c r="O137" s="651"/>
      <c r="P137" s="524"/>
      <c r="Q137" s="506"/>
      <c r="R137" s="524"/>
      <c r="S137" s="524"/>
      <c r="T137" s="506"/>
      <c r="U137" s="694"/>
      <c r="V137" s="607"/>
    </row>
    <row r="138" spans="2:22" ht="12" outlineLevel="1" x14ac:dyDescent="0.3">
      <c r="B138" s="621"/>
      <c r="C138" s="621"/>
      <c r="D138" s="621"/>
      <c r="E138" s="509"/>
      <c r="F138" s="507"/>
      <c r="G138" s="507"/>
      <c r="H138" s="507"/>
      <c r="I138" s="507"/>
      <c r="J138" s="509"/>
      <c r="K138" s="573"/>
      <c r="L138" s="509"/>
      <c r="M138" s="509"/>
      <c r="N138" s="509"/>
      <c r="O138" s="651"/>
      <c r="P138" s="524"/>
      <c r="Q138" s="506"/>
      <c r="R138" s="524"/>
      <c r="S138" s="524"/>
      <c r="T138" s="506"/>
      <c r="U138" s="694"/>
      <c r="V138" s="607"/>
    </row>
    <row r="139" spans="2:22" ht="15" customHeight="1" x14ac:dyDescent="0.3">
      <c r="B139" s="1254" t="s">
        <v>1655</v>
      </c>
      <c r="C139" s="1254"/>
      <c r="D139" s="1254"/>
      <c r="E139" s="530">
        <v>1513500000</v>
      </c>
      <c r="F139" s="531">
        <f>COUNTIF('Actualizada - presupuesto'!$E$7:$E$111,B139)</f>
        <v>0</v>
      </c>
      <c r="G139" s="531"/>
      <c r="H139" s="531"/>
      <c r="I139" s="531"/>
      <c r="J139" s="540">
        <v>1306122735</v>
      </c>
      <c r="K139" s="582">
        <f>J139/E139</f>
        <v>0.86298165510406344</v>
      </c>
      <c r="L139" s="540">
        <f>+L140+L147+L154</f>
        <v>190346405</v>
      </c>
      <c r="M139" s="540"/>
      <c r="N139" s="540">
        <f>+N140+N147+N154</f>
        <v>205289766</v>
      </c>
      <c r="O139" s="658"/>
      <c r="P139" s="546" t="str">
        <f>IF(ISERROR(VLOOKUP(B139,'Base de Datos'!$C$7:$N$315,8,0))=TRUE," ",(VLOOKUP(B139,'Base de Datos'!$C$7:$N$315,8,0)))</f>
        <v xml:space="preserve"> </v>
      </c>
      <c r="Q139" s="547"/>
      <c r="R139" s="546" t="str">
        <f>IF(ISERROR(VLOOKUP(B139,'Base de Datos'!$C$7:$N$315,9,0))=TRUE," ",(VLOOKUP(B139,'Base de Datos'!$C$7:$N$315,9,0)))</f>
        <v xml:space="preserve"> </v>
      </c>
      <c r="S139" s="546" t="str">
        <f>IF(ISERROR(VLOOKUP(B139,'Base de Datos'!$C$7:$N$315,10,0))=TRUE," ",(VLOOKUP(B139,'Base de Datos'!$C$7:$N$315,10,0)))</f>
        <v xml:space="preserve"> </v>
      </c>
      <c r="T139" s="542"/>
      <c r="U139" s="694"/>
      <c r="V139" s="607"/>
    </row>
    <row r="140" spans="2:22" ht="15" customHeight="1" x14ac:dyDescent="0.3">
      <c r="B140" s="1239" t="s">
        <v>1656</v>
      </c>
      <c r="C140" s="1239"/>
      <c r="D140" s="1239"/>
      <c r="E140" s="554">
        <v>205193000</v>
      </c>
      <c r="F140" s="559">
        <f>COUNTIF('Actualizada - presupuesto'!$E$7:$E$111,B140)</f>
        <v>2</v>
      </c>
      <c r="G140" s="559"/>
      <c r="H140" s="559"/>
      <c r="I140" s="559"/>
      <c r="J140" s="705">
        <v>188702234</v>
      </c>
      <c r="K140" s="576">
        <f>J140/E140</f>
        <v>0.91963290170717327</v>
      </c>
      <c r="L140" s="554">
        <f>SUM(L142:L145)</f>
        <v>0</v>
      </c>
      <c r="M140" s="554"/>
      <c r="N140" s="554">
        <f>+E140-J140-L140</f>
        <v>16490766</v>
      </c>
      <c r="O140" s="657"/>
      <c r="P140" s="564" t="str">
        <f>IF(ISERROR(VLOOKUP(B140,'Base de Datos'!$C$7:$N$315,8,0))=TRUE," ",(VLOOKUP(B140,'Base de Datos'!$C$7:$N$315,8,0)))</f>
        <v xml:space="preserve"> </v>
      </c>
      <c r="Q140" s="565"/>
      <c r="R140" s="564" t="str">
        <f>IF(ISERROR(VLOOKUP(B140,'Base de Datos'!$C$7:$N$315,9,0))=TRUE," ",(VLOOKUP(B140,'Base de Datos'!$C$7:$N$315,9,0)))</f>
        <v xml:space="preserve"> </v>
      </c>
      <c r="S140" s="564" t="str">
        <f>IF(ISERROR(VLOOKUP(B140,'Base de Datos'!$C$7:$N$315,10,0))=TRUE," ",(VLOOKUP(B140,'Base de Datos'!$C$7:$N$315,10,0)))</f>
        <v xml:space="preserve"> </v>
      </c>
      <c r="T140" s="565"/>
      <c r="U140" s="694"/>
      <c r="V140" s="607"/>
    </row>
    <row r="141" spans="2:22" ht="22.8" outlineLevel="1" x14ac:dyDescent="0.3">
      <c r="B141" s="510" t="s">
        <v>1692</v>
      </c>
      <c r="C141" s="510" t="s">
        <v>912</v>
      </c>
      <c r="D141" s="510" t="s">
        <v>1821</v>
      </c>
      <c r="E141" s="518" t="s">
        <v>1845</v>
      </c>
      <c r="F141" s="507" t="s">
        <v>1852</v>
      </c>
      <c r="G141" s="507"/>
      <c r="H141" s="507"/>
      <c r="I141" s="507"/>
      <c r="J141" s="510" t="s">
        <v>1844</v>
      </c>
      <c r="K141" s="625"/>
      <c r="L141" s="510" t="s">
        <v>1938</v>
      </c>
      <c r="M141" s="510"/>
      <c r="N141" s="510" t="s">
        <v>1939</v>
      </c>
      <c r="O141" s="650"/>
      <c r="P141" s="541" t="s">
        <v>1846</v>
      </c>
      <c r="Q141" s="510" t="s">
        <v>1847</v>
      </c>
      <c r="R141" s="510" t="s">
        <v>1848</v>
      </c>
      <c r="S141" s="510" t="s">
        <v>375</v>
      </c>
      <c r="T141" s="510" t="s">
        <v>1849</v>
      </c>
      <c r="U141" s="694"/>
      <c r="V141" s="607"/>
    </row>
    <row r="142" spans="2:22" ht="20.25" customHeight="1" outlineLevel="1" x14ac:dyDescent="0.3">
      <c r="B142" s="510">
        <v>203</v>
      </c>
      <c r="C142" s="506" t="str">
        <f>IF(ISERROR(VLOOKUP(B142,'Base de Datos'!$C$487:$F$4092,2,0))=TRUE,"",(VLOOKUP('Presupuesto - PAA 2017'!B142,'Base de Datos'!$C$7:$F$4092,3,0)))</f>
        <v>160269-0-2016</v>
      </c>
      <c r="D142" s="506" t="str">
        <f>IF(ISERROR(VLOOKUP(B142,'Base de Datos'!$C$487:$F$4092,3,0))=TRUE,"",(VLOOKUP('Presupuesto - PAA 2017'!B142,'Base de Datos'!$C$487:$F$4092,4,0)))</f>
        <v>PATRICIA VILLEGAS RODRIGUEZ</v>
      </c>
      <c r="E142" s="509">
        <f>VLOOKUP(B142,[7]PAA2017!$C$65:$AA$255,20,0)</f>
        <v>10000000</v>
      </c>
      <c r="F142" s="507" t="e">
        <f>VLOOKUP(B142,[8]SOLICITUDES!$B$3:$H$278,2,0)</f>
        <v>#N/A</v>
      </c>
      <c r="G142" s="507"/>
      <c r="H142" s="507"/>
      <c r="I142" s="507"/>
      <c r="J142" s="509">
        <f>IF(ISERROR(VLOOKUP(B142,'Base de Datos'!$C$487:$N$4092,6,0))=TRUE,"Sin Celebrar",(VLOOKUP(B142,'Base de Datos'!$C$487:$N$4092,7,0)))</f>
        <v>24273392</v>
      </c>
      <c r="K142" s="573"/>
      <c r="L142" s="553" t="str">
        <f>IF(J142=$AA$1,E142, " ")</f>
        <v xml:space="preserve"> </v>
      </c>
      <c r="M142" s="509"/>
      <c r="N142" s="509" t="str">
        <f>IF(J142&lt;E142,(E142-J142)," ")</f>
        <v xml:space="preserve"> </v>
      </c>
      <c r="O142" s="691" t="str">
        <f>IF(ISERROR(VLOOKUP(B142,'Base de Datos'!$C$487:$K$1048576,7,0))=TRUE," ",(VLOOKUP(B142,'Base de Datos'!$C$487:$K$1048576,8,0)))</f>
        <v>SDH-CD-74-2018</v>
      </c>
      <c r="P142" s="524">
        <f>IF(ISERROR(VLOOKUP(B142,'Base de Datos'!$C$487:$N$4077,9,0))=TRUE," ",(VLOOKUP(B142,'Base de Datos'!$C$487:$N$4077,10,0)))</f>
        <v>43381</v>
      </c>
      <c r="Q142" s="709"/>
      <c r="R142" s="524">
        <f>IF(ISERROR(VLOOKUP(B142,'Base de Datos'!$C$487:$N$4077,10,0))=TRUE," ",(VLOOKUP(B142,'Base de Datos'!$C$487:$N$4077,11,0)))</f>
        <v>43389</v>
      </c>
      <c r="S142" s="524">
        <f>IF(ISERROR(VLOOKUP(B142,'Base de Datos'!$C$487:$N$4077,11,0))=TRUE," ",(VLOOKUP(B142,'Base de Datos'!$C$487:$N$4077,12,0)))</f>
        <v>43496</v>
      </c>
      <c r="T142" s="506" t="str">
        <f>VLOOKUP(B142,'Base de Datos'!$C$487:$AU$4129,41,0)</f>
        <v>LIQUIDADO</v>
      </c>
      <c r="U142" s="694"/>
      <c r="V142" s="607"/>
    </row>
    <row r="143" spans="2:22" ht="11.25" customHeight="1" outlineLevel="1" x14ac:dyDescent="0.3">
      <c r="B143" s="525">
        <v>204</v>
      </c>
      <c r="C143" s="506" t="str">
        <f>IF(ISERROR(VLOOKUP(B143,'Base de Datos'!$C$487:$F$4092,2,0))=TRUE,"",(VLOOKUP('Presupuesto - PAA 2017'!B143,'Base de Datos'!$C$7:$F$4092,3,0)))</f>
        <v>190086-0-2019</v>
      </c>
      <c r="D143" s="506" t="str">
        <f>IF(ISERROR(VLOOKUP(B143,'Base de Datos'!$C$487:$F$4092,3,0))=TRUE,"",(VLOOKUP('Presupuesto - PAA 2017'!B143,'Base de Datos'!$C$487:$F$4092,4,0)))</f>
        <v xml:space="preserve">ANDREA PAOLA MELENDEZ PINEDA </v>
      </c>
      <c r="E143" s="509">
        <f>VLOOKUP(B143,[7]PAA2017!$C$65:$AA$255,20,0)</f>
        <v>8217738000</v>
      </c>
      <c r="F143" s="507" t="e">
        <f>VLOOKUP(B143,[8]SOLICITUDES!$B$3:$H$278,2,0)</f>
        <v>#N/A</v>
      </c>
      <c r="G143" s="507"/>
      <c r="H143" s="507"/>
      <c r="I143" s="507"/>
      <c r="J143" s="509">
        <f>IF(ISERROR(VLOOKUP(B143,'Base de Datos'!$C$487:$N$4092,6,0))=TRUE,"Sin Celebrar",(VLOOKUP(B143,'Base de Datos'!$C$487:$N$4092,7,0)))</f>
        <v>38508000</v>
      </c>
      <c r="K143" s="573"/>
      <c r="L143" s="553" t="str">
        <f>IF(J143=$AA$1,E143, " ")</f>
        <v xml:space="preserve"> </v>
      </c>
      <c r="M143" s="509"/>
      <c r="N143" s="509">
        <f>IF(J143&lt;E143,(E143-J143)," ")</f>
        <v>8179230000</v>
      </c>
      <c r="O143" s="691" t="str">
        <f>IF(ISERROR(VLOOKUP(B143,'Base de Datos'!$C$487:$K$1048576,7,0))=TRUE," ",(VLOOKUP(B143,'Base de Datos'!$C$487:$K$1048576,8,0)))</f>
        <v>SDH-CD-44-2019</v>
      </c>
      <c r="P143" s="524">
        <f>IF(ISERROR(VLOOKUP(B143,'Base de Datos'!$C$487:$N$4077,9,0))=TRUE," ",(VLOOKUP(B143,'Base de Datos'!$C$487:$N$4077,10,0)))</f>
        <v>43500</v>
      </c>
      <c r="Q143" s="709"/>
      <c r="R143" s="524">
        <f>IF(ISERROR(VLOOKUP(B143,'Base de Datos'!$C$487:$N$4077,10,0))=TRUE," ",(VLOOKUP(B143,'Base de Datos'!$C$487:$N$4077,11,0)))</f>
        <v>43504</v>
      </c>
      <c r="S143" s="524">
        <f>IF(ISERROR(VLOOKUP(B143,'Base de Datos'!$C$487:$N$4077,11,0))=TRUE," ",(VLOOKUP(B143,'Base de Datos'!$C$487:$N$4077,12,0)))</f>
        <v>43641</v>
      </c>
      <c r="T143" s="506" t="str">
        <f>VLOOKUP(B143,'Base de Datos'!$C$487:$AU$4129,41,0)</f>
        <v>LIQUIDADO</v>
      </c>
      <c r="U143" s="694"/>
      <c r="V143" s="607"/>
    </row>
    <row r="144" spans="2:22" ht="34.200000000000003" outlineLevel="1" x14ac:dyDescent="0.3">
      <c r="B144" s="525">
        <v>205</v>
      </c>
      <c r="C144" s="506" t="str">
        <f>IF(ISERROR(VLOOKUP(B144,'Base de Datos'!$C$487:$F$4092,2,0))=TRUE,"",(VLOOKUP('Presupuesto - PAA 2017'!B144,'Base de Datos'!$C$7:$F$4092,3,0)))</f>
        <v>190121-0-2019</v>
      </c>
      <c r="D144" s="506" t="str">
        <f>IF(ISERROR(VLOOKUP(B144,'Base de Datos'!$C$487:$F$4092,3,0))=TRUE,"",(VLOOKUP('Presupuesto - PAA 2017'!B144,'Base de Datos'!$C$487:$F$4092,4,0)))</f>
        <v xml:space="preserve">DIANA CAROLINA RIVEROS BEJARANO  (Cesionaria) / ANA MARIA MONROY MORA (Antes)
</v>
      </c>
      <c r="E144" s="509">
        <f>VLOOKUP(B144,[7]PAA2017!$C$65:$AA$255,20,0)</f>
        <v>0</v>
      </c>
      <c r="F144" s="507" t="e">
        <f>VLOOKUP(B144,[8]SOLICITUDES!$B$3:$H$278,2,0)</f>
        <v>#N/A</v>
      </c>
      <c r="G144" s="507"/>
      <c r="H144" s="507"/>
      <c r="I144" s="507"/>
      <c r="J144" s="509">
        <f>IF(ISERROR(VLOOKUP(B144,'Base de Datos'!$C$487:$N$4092,6,0))=TRUE,"Sin Celebrar",(VLOOKUP(B144,'Base de Datos'!$C$487:$N$4092,7,0)))</f>
        <v>33666233</v>
      </c>
      <c r="K144" s="573"/>
      <c r="L144" s="553" t="str">
        <f>IF(J144=$AA$1,E144, " ")</f>
        <v xml:space="preserve"> </v>
      </c>
      <c r="M144" s="509"/>
      <c r="N144" s="509" t="str">
        <f>IF(J144&lt;E144,(E144-J144)," ")</f>
        <v xml:space="preserve"> </v>
      </c>
      <c r="O144" s="691" t="str">
        <f>IF(ISERROR(VLOOKUP(B144,'Base de Datos'!$C$487:$K$1048576,7,0))=TRUE," ",(VLOOKUP(B144,'Base de Datos'!$C$487:$K$1048576,8,0)))</f>
        <v>SDH-CD-46-2019</v>
      </c>
      <c r="P144" s="524">
        <f>IF(ISERROR(VLOOKUP(B144,'Base de Datos'!$C$487:$N$4077,9,0))=TRUE," ",(VLOOKUP(B144,'Base de Datos'!$C$487:$N$4077,10,0)))</f>
        <v>43501</v>
      </c>
      <c r="Q144" s="709"/>
      <c r="R144" s="524">
        <f>IF(ISERROR(VLOOKUP(B144,'Base de Datos'!$C$487:$N$4077,10,0))=TRUE," ",(VLOOKUP(B144,'Base de Datos'!$C$487:$N$4077,11,0)))</f>
        <v>43504</v>
      </c>
      <c r="S144" s="524">
        <f>IF(ISERROR(VLOOKUP(B144,'Base de Datos'!$C$487:$N$4077,11,0))=TRUE," ",(VLOOKUP(B144,'Base de Datos'!$C$487:$N$4077,12,0)))</f>
        <v>43641</v>
      </c>
      <c r="T144" s="506" t="str">
        <f>VLOOKUP(B144,'Base de Datos'!$C$487:$AU$4129,41,0)</f>
        <v>LIQUIDADO</v>
      </c>
      <c r="U144" s="694"/>
      <c r="V144" s="607"/>
    </row>
    <row r="145" spans="2:22" ht="12" outlineLevel="1" x14ac:dyDescent="0.3">
      <c r="B145" s="621"/>
      <c r="C145" s="621"/>
      <c r="D145" s="506" t="s">
        <v>1934</v>
      </c>
      <c r="E145" s="509">
        <f>E140-SUM(E142:E144)</f>
        <v>-8022545000</v>
      </c>
      <c r="F145" s="507"/>
      <c r="G145" s="507"/>
      <c r="H145" s="507"/>
      <c r="I145" s="507"/>
      <c r="J145" s="509"/>
      <c r="K145" s="573"/>
      <c r="L145" s="509"/>
      <c r="M145" s="509"/>
      <c r="N145" s="527" t="str">
        <f>IF(J145&lt;E145,(E145-J145)," ")</f>
        <v xml:space="preserve"> </v>
      </c>
      <c r="O145" s="651"/>
      <c r="P145" s="524" t="str">
        <f>IF(ISERROR(VLOOKUP(B145,'Base de Datos'!$C$7:$N$315,9,0))=TRUE," ",(VLOOKUP(B145,'Base de Datos'!$C$7:$N$315,9,0)))</f>
        <v xml:space="preserve"> </v>
      </c>
      <c r="Q145" s="506"/>
      <c r="R145" s="529" t="str">
        <f>IF(ISERROR(VLOOKUP(B145,'Base de Datos'!$C$7:$N$315,10,0))=TRUE," ",(VLOOKUP(B145,'Base de Datos'!$C$7:$N$315,10,0)))</f>
        <v xml:space="preserve"> </v>
      </c>
      <c r="S145" s="529" t="str">
        <f>IF(ISERROR(VLOOKUP(B145,'Base de Datos'!$C$7:$N$315,11,0))=TRUE," ",(VLOOKUP(B145,'Base de Datos'!$C$7:$N$315,11,0)))</f>
        <v xml:space="preserve"> </v>
      </c>
      <c r="T145" s="506"/>
      <c r="U145" s="694"/>
      <c r="V145" s="607"/>
    </row>
    <row r="146" spans="2:22" outlineLevel="1" x14ac:dyDescent="0.3">
      <c r="B146" s="506"/>
      <c r="C146" s="506"/>
      <c r="D146" s="506"/>
      <c r="E146" s="509"/>
      <c r="F146" s="507"/>
      <c r="G146" s="507"/>
      <c r="H146" s="507"/>
      <c r="I146" s="507"/>
      <c r="J146" s="509"/>
      <c r="K146" s="573"/>
      <c r="L146" s="509"/>
      <c r="M146" s="509"/>
      <c r="N146" s="509"/>
      <c r="O146" s="651"/>
      <c r="P146" s="524"/>
      <c r="Q146" s="506"/>
      <c r="R146" s="524"/>
      <c r="S146" s="524"/>
      <c r="T146" s="506"/>
      <c r="U146" s="694"/>
      <c r="V146" s="607"/>
    </row>
    <row r="147" spans="2:22" ht="15" customHeight="1" x14ac:dyDescent="0.3">
      <c r="B147" s="1253" t="s">
        <v>1657</v>
      </c>
      <c r="C147" s="1253"/>
      <c r="D147" s="1253"/>
      <c r="E147" s="560">
        <v>227307000</v>
      </c>
      <c r="F147" s="561">
        <f>COUNTIF('Actualizada - presupuesto'!$E$7:$E$111,B147)</f>
        <v>2</v>
      </c>
      <c r="G147" s="561"/>
      <c r="H147" s="561"/>
      <c r="I147" s="561"/>
      <c r="J147" s="560">
        <f>SUM(J149:J151)</f>
        <v>38508000</v>
      </c>
      <c r="K147" s="580">
        <f>J147/E147</f>
        <v>0.16940965302432393</v>
      </c>
      <c r="L147" s="560">
        <f>SUM(L149:L151)</f>
        <v>0</v>
      </c>
      <c r="M147" s="560"/>
      <c r="N147" s="560">
        <f>+E147-J147-L147</f>
        <v>188799000</v>
      </c>
      <c r="O147" s="655"/>
      <c r="P147" s="562" t="str">
        <f>IF(ISERROR(VLOOKUP(B147,'Base de Datos'!$C$7:$N$315,8,0))=TRUE," ",(VLOOKUP(B147,'Base de Datos'!$C$7:$N$315,8,0)))</f>
        <v xml:space="preserve"> </v>
      </c>
      <c r="Q147" s="563"/>
      <c r="R147" s="562" t="str">
        <f>IF(ISERROR(VLOOKUP(B147,'Base de Datos'!$C$7:$N$315,9,0))=TRUE," ",(VLOOKUP(B147,'Base de Datos'!$C$7:$N$315,9,0)))</f>
        <v xml:space="preserve"> </v>
      </c>
      <c r="S147" s="562" t="str">
        <f>IF(ISERROR(VLOOKUP(B147,'Base de Datos'!$C$7:$N$315,10,0))=TRUE," ",(VLOOKUP(B147,'Base de Datos'!$C$7:$N$315,10,0)))</f>
        <v xml:space="preserve"> </v>
      </c>
      <c r="T147" s="565"/>
      <c r="U147" s="694"/>
      <c r="V147" s="607"/>
    </row>
    <row r="148" spans="2:22" ht="22.8" outlineLevel="1" x14ac:dyDescent="0.3">
      <c r="B148" s="510" t="s">
        <v>1692</v>
      </c>
      <c r="C148" s="510" t="s">
        <v>912</v>
      </c>
      <c r="D148" s="510" t="s">
        <v>1821</v>
      </c>
      <c r="E148" s="518" t="s">
        <v>1845</v>
      </c>
      <c r="F148" s="507" t="s">
        <v>1852</v>
      </c>
      <c r="G148" s="507"/>
      <c r="H148" s="507"/>
      <c r="I148" s="507"/>
      <c r="J148" s="510" t="s">
        <v>1844</v>
      </c>
      <c r="K148" s="625"/>
      <c r="L148" s="510" t="s">
        <v>1938</v>
      </c>
      <c r="M148" s="510"/>
      <c r="N148" s="510" t="s">
        <v>1939</v>
      </c>
      <c r="O148" s="650"/>
      <c r="P148" s="541" t="s">
        <v>1846</v>
      </c>
      <c r="Q148" s="510" t="s">
        <v>1847</v>
      </c>
      <c r="R148" s="510" t="s">
        <v>1848</v>
      </c>
      <c r="S148" s="510" t="s">
        <v>375</v>
      </c>
      <c r="T148" s="510" t="s">
        <v>1849</v>
      </c>
      <c r="U148" s="694"/>
      <c r="V148" s="607"/>
    </row>
    <row r="149" spans="2:22" ht="13.5" customHeight="1" outlineLevel="1" x14ac:dyDescent="0.3">
      <c r="B149" s="510">
        <v>204</v>
      </c>
      <c r="C149" s="506" t="str">
        <f>IF(ISERROR(VLOOKUP(B149,'Base de Datos'!$C$487:$F$4092,2,0))=TRUE,"",(VLOOKUP('Presupuesto - PAA 2017'!B149,'Base de Datos'!$C$7:$F$4092,3,0)))</f>
        <v>190086-0-2019</v>
      </c>
      <c r="D149" s="506" t="str">
        <f>IF(ISERROR(VLOOKUP(B149,'Base de Datos'!$C$487:$F$4092,3,0))=TRUE,"",(VLOOKUP('Presupuesto - PAA 2017'!B149,'Base de Datos'!$C$487:$F$4092,4,0)))</f>
        <v xml:space="preserve">ANDREA PAOLA MELENDEZ PINEDA </v>
      </c>
      <c r="E149" s="509">
        <f>VLOOKUP(B149,[7]PAA2017!$C$65:$AA$255,20,0)</f>
        <v>8217738000</v>
      </c>
      <c r="F149" s="507" t="e">
        <f>VLOOKUP(B149,[8]SOLICITUDES!$B$3:$H$278,2,0)</f>
        <v>#N/A</v>
      </c>
      <c r="G149" s="507"/>
      <c r="H149" s="507"/>
      <c r="I149" s="507"/>
      <c r="J149" s="509">
        <f>IF(ISERROR(VLOOKUP(B149,'Base de Datos'!$C$487:$N$4092,6,0))=TRUE,"Sin Celebrar",(VLOOKUP(B149,'Base de Datos'!$C$487:$N$4092,7,0)))</f>
        <v>38508000</v>
      </c>
      <c r="K149" s="573"/>
      <c r="L149" s="553" t="str">
        <f>IF(J149=$AA$1,E149, " ")</f>
        <v xml:space="preserve"> </v>
      </c>
      <c r="M149" s="509"/>
      <c r="N149" s="509">
        <f>IF(J149&lt;E149,(E149-J149)," ")</f>
        <v>8179230000</v>
      </c>
      <c r="O149" s="691" t="str">
        <f>IF(ISERROR(VLOOKUP(B149,'Base de Datos'!$C$487:$K$1048576,7,0))=TRUE," ",(VLOOKUP(B149,'Base de Datos'!$C$487:$K$1048576,8,0)))</f>
        <v>SDH-CD-44-2019</v>
      </c>
      <c r="P149" s="524">
        <f>IF(ISERROR(VLOOKUP(B149,'Base de Datos'!$C$487:$N$4077,9,0))=TRUE," ",(VLOOKUP(B149,'Base de Datos'!$C$487:$N$4077,10,0)))</f>
        <v>43500</v>
      </c>
      <c r="Q149" s="709"/>
      <c r="R149" s="524">
        <f>IF(ISERROR(VLOOKUP(B149,'Base de Datos'!$C$487:$N$4077,10,0))=TRUE," ",(VLOOKUP(B149,'Base de Datos'!$C$487:$N$4077,11,0)))</f>
        <v>43504</v>
      </c>
      <c r="S149" s="524">
        <f>IF(ISERROR(VLOOKUP(B149,'Base de Datos'!$C$487:$N$4077,11,0))=TRUE," ",(VLOOKUP(B149,'Base de Datos'!$C$487:$N$4077,12,0)))</f>
        <v>43641</v>
      </c>
      <c r="T149" s="506" t="str">
        <f>VLOOKUP(B149,'Base de Datos'!$C$487:$AU$4129,41,0)</f>
        <v>LIQUIDADO</v>
      </c>
      <c r="U149" s="694"/>
      <c r="V149" s="607"/>
    </row>
    <row r="150" spans="2:22" ht="21" customHeight="1" outlineLevel="1" x14ac:dyDescent="0.3">
      <c r="B150" s="525"/>
      <c r="C150" s="506"/>
      <c r="D150" s="506"/>
      <c r="E150" s="527"/>
      <c r="F150" s="507"/>
      <c r="G150" s="528"/>
      <c r="H150" s="528"/>
      <c r="I150" s="528"/>
      <c r="J150" s="509"/>
      <c r="K150" s="577"/>
      <c r="L150" s="527"/>
      <c r="M150" s="527"/>
      <c r="N150" s="527"/>
      <c r="O150" s="691"/>
      <c r="P150" s="524"/>
      <c r="Q150" s="526"/>
      <c r="R150" s="524"/>
      <c r="S150" s="524"/>
      <c r="T150" s="506"/>
      <c r="U150" s="694"/>
      <c r="V150" s="607"/>
    </row>
    <row r="151" spans="2:22" outlineLevel="1" x14ac:dyDescent="0.3">
      <c r="B151" s="510"/>
      <c r="C151" s="506"/>
      <c r="D151" s="506"/>
      <c r="E151" s="509"/>
      <c r="F151" s="507"/>
      <c r="G151" s="507"/>
      <c r="H151" s="507"/>
      <c r="I151" s="507"/>
      <c r="J151" s="527"/>
      <c r="K151" s="573"/>
      <c r="L151" s="527"/>
      <c r="M151" s="509"/>
      <c r="N151" s="527"/>
      <c r="O151" s="691"/>
      <c r="P151" s="524"/>
      <c r="Q151" s="506"/>
      <c r="R151" s="529"/>
      <c r="S151" s="529"/>
      <c r="T151" s="506"/>
      <c r="U151" s="694"/>
      <c r="V151" s="607"/>
    </row>
    <row r="152" spans="2:22" outlineLevel="1" x14ac:dyDescent="0.3">
      <c r="B152" s="510"/>
      <c r="C152" s="506"/>
      <c r="D152" s="506" t="s">
        <v>1934</v>
      </c>
      <c r="E152" s="509">
        <f>+E147-SUM(E149:E151)</f>
        <v>-7990431000</v>
      </c>
      <c r="F152" s="507"/>
      <c r="G152" s="507"/>
      <c r="H152" s="507"/>
      <c r="I152" s="507"/>
      <c r="J152" s="527"/>
      <c r="K152" s="573"/>
      <c r="L152" s="527"/>
      <c r="M152" s="509"/>
      <c r="N152" s="527" t="str">
        <f>IF(J152&lt;E152,(E152-J152)," ")</f>
        <v xml:space="preserve"> </v>
      </c>
      <c r="O152" s="691"/>
      <c r="P152" s="524"/>
      <c r="Q152" s="506"/>
      <c r="R152" s="529"/>
      <c r="S152" s="529"/>
      <c r="T152" s="506"/>
      <c r="U152" s="694"/>
      <c r="V152" s="607"/>
    </row>
    <row r="153" spans="2:22" ht="12" outlineLevel="1" x14ac:dyDescent="0.3">
      <c r="B153" s="621"/>
      <c r="C153" s="621"/>
      <c r="D153" s="621"/>
      <c r="E153" s="509"/>
      <c r="F153" s="507"/>
      <c r="G153" s="507"/>
      <c r="H153" s="507"/>
      <c r="I153" s="507"/>
      <c r="J153" s="509"/>
      <c r="K153" s="573"/>
      <c r="L153" s="509"/>
      <c r="M153" s="509"/>
      <c r="N153" s="509"/>
      <c r="O153" s="651"/>
      <c r="P153" s="524"/>
      <c r="Q153" s="506"/>
      <c r="R153" s="524"/>
      <c r="S153" s="524"/>
      <c r="T153" s="506"/>
      <c r="U153" s="694"/>
      <c r="V153" s="607"/>
    </row>
    <row r="154" spans="2:22" ht="15" customHeight="1" x14ac:dyDescent="0.3">
      <c r="B154" s="1253" t="s">
        <v>1658</v>
      </c>
      <c r="C154" s="1253"/>
      <c r="D154" s="1253"/>
      <c r="E154" s="560">
        <v>1081000000</v>
      </c>
      <c r="F154" s="561"/>
      <c r="G154" s="561"/>
      <c r="H154" s="561"/>
      <c r="I154" s="561"/>
      <c r="J154" s="560">
        <f>+J156</f>
        <v>890653595</v>
      </c>
      <c r="K154" s="580">
        <f>J154/E154</f>
        <v>0.82391636910268273</v>
      </c>
      <c r="L154" s="560">
        <f>+L156</f>
        <v>190346405</v>
      </c>
      <c r="M154" s="560"/>
      <c r="N154" s="560">
        <f>+E154-J154-L154</f>
        <v>0</v>
      </c>
      <c r="O154" s="655"/>
      <c r="P154" s="562" t="str">
        <f>IF(ISERROR(VLOOKUP(B154,'Base de Datos'!$C$7:$N$315,8,0))=TRUE," ",(VLOOKUP(B154,'Base de Datos'!$C$7:$N$315,8,0)))</f>
        <v xml:space="preserve"> </v>
      </c>
      <c r="Q154" s="563"/>
      <c r="R154" s="562" t="str">
        <f>IF(ISERROR(VLOOKUP(B154,'Base de Datos'!$C$7:$N$315,9,0))=TRUE," ",(VLOOKUP(B154,'Base de Datos'!$C$7:$N$315,9,0)))</f>
        <v xml:space="preserve"> </v>
      </c>
      <c r="S154" s="562" t="str">
        <f>IF(ISERROR(VLOOKUP(B154,'Base de Datos'!$C$7:$N$315,10,0))=TRUE," ",(VLOOKUP(B154,'Base de Datos'!$C$7:$N$315,10,0)))</f>
        <v xml:space="preserve"> </v>
      </c>
      <c r="T154" s="565"/>
      <c r="U154" s="694"/>
      <c r="V154" s="607"/>
    </row>
    <row r="155" spans="2:22" ht="24" customHeight="1" outlineLevel="1" x14ac:dyDescent="0.3">
      <c r="B155" s="510" t="s">
        <v>1692</v>
      </c>
      <c r="C155" s="510" t="s">
        <v>912</v>
      </c>
      <c r="D155" s="510" t="s">
        <v>1821</v>
      </c>
      <c r="E155" s="518" t="s">
        <v>1845</v>
      </c>
      <c r="F155" s="507" t="s">
        <v>1852</v>
      </c>
      <c r="G155" s="507"/>
      <c r="H155" s="507"/>
      <c r="I155" s="507"/>
      <c r="J155" s="510" t="s">
        <v>1844</v>
      </c>
      <c r="K155" s="625"/>
      <c r="L155" s="510" t="s">
        <v>1938</v>
      </c>
      <c r="M155" s="510"/>
      <c r="N155" s="510" t="s">
        <v>1939</v>
      </c>
      <c r="O155" s="650"/>
      <c r="P155" s="541" t="s">
        <v>1846</v>
      </c>
      <c r="Q155" s="510" t="s">
        <v>1847</v>
      </c>
      <c r="R155" s="510" t="s">
        <v>1848</v>
      </c>
      <c r="S155" s="510" t="s">
        <v>375</v>
      </c>
      <c r="T155" s="510" t="s">
        <v>1849</v>
      </c>
      <c r="U155" s="694"/>
      <c r="V155" s="607"/>
    </row>
    <row r="156" spans="2:22" ht="15" customHeight="1" outlineLevel="1" x14ac:dyDescent="0.3">
      <c r="B156" s="510"/>
      <c r="C156" s="506"/>
      <c r="D156" s="848" t="s">
        <v>2262</v>
      </c>
      <c r="E156" s="507"/>
      <c r="F156" s="509"/>
      <c r="G156" s="568"/>
      <c r="H156" s="568"/>
      <c r="I156" s="568"/>
      <c r="J156" s="553">
        <v>890653595</v>
      </c>
      <c r="K156" s="616"/>
      <c r="L156" s="553">
        <f>+E154-J156</f>
        <v>190346405</v>
      </c>
      <c r="M156" s="615"/>
      <c r="N156" s="509"/>
      <c r="O156" s="660"/>
      <c r="P156" s="617"/>
      <c r="Q156" s="618"/>
      <c r="R156" s="617"/>
      <c r="S156" s="617"/>
      <c r="T156" s="587"/>
      <c r="U156" s="694"/>
      <c r="V156" s="607"/>
    </row>
    <row r="157" spans="2:22" ht="15" customHeight="1" outlineLevel="1" x14ac:dyDescent="0.3">
      <c r="B157" s="510"/>
      <c r="C157" s="506"/>
      <c r="D157" s="506"/>
      <c r="E157" s="507"/>
      <c r="F157" s="509"/>
      <c r="G157" s="568"/>
      <c r="H157" s="568"/>
      <c r="I157" s="568"/>
      <c r="J157" s="615"/>
      <c r="K157" s="616"/>
      <c r="L157" s="615"/>
      <c r="M157" s="615"/>
      <c r="N157" s="615"/>
      <c r="O157" s="661"/>
      <c r="P157" s="617"/>
      <c r="Q157" s="618"/>
      <c r="R157" s="617"/>
      <c r="S157" s="617"/>
      <c r="T157" s="587"/>
      <c r="U157" s="694"/>
      <c r="V157" s="607"/>
    </row>
    <row r="158" spans="2:22" ht="15" customHeight="1" x14ac:dyDescent="0.3">
      <c r="B158" s="1240" t="s">
        <v>1659</v>
      </c>
      <c r="C158" s="1240"/>
      <c r="D158" s="1240"/>
      <c r="E158" s="512">
        <v>430000000</v>
      </c>
      <c r="F158" s="513"/>
      <c r="G158" s="513"/>
      <c r="H158" s="513"/>
      <c r="I158" s="513"/>
      <c r="J158" s="516">
        <f>+J159+J163+J167+J171</f>
        <v>242601380</v>
      </c>
      <c r="K158" s="582">
        <f>J158/E158</f>
        <v>0.56418925581395352</v>
      </c>
      <c r="L158" s="516">
        <f>+L159+L163+L167+L171</f>
        <v>187398620</v>
      </c>
      <c r="M158" s="516"/>
      <c r="N158" s="516">
        <f>+N159+N163+N167+N171</f>
        <v>0</v>
      </c>
      <c r="O158" s="662"/>
      <c r="P158" s="548" t="str">
        <f>IF(ISERROR(VLOOKUP(B158,'Base de Datos'!$C$7:$N$315,8,0))=TRUE," ",(VLOOKUP(B158,'Base de Datos'!$C$7:$N$315,8,0)))</f>
        <v xml:space="preserve"> </v>
      </c>
      <c r="Q158" s="542"/>
      <c r="R158" s="548" t="str">
        <f>IF(ISERROR(VLOOKUP(B158,'Base de Datos'!$C$7:$N$315,9,0))=TRUE," ",(VLOOKUP(B158,'Base de Datos'!$C$7:$N$315,9,0)))</f>
        <v xml:space="preserve"> </v>
      </c>
      <c r="S158" s="548" t="str">
        <f>IF(ISERROR(VLOOKUP(B158,'Base de Datos'!$C$7:$N$315,10,0))=TRUE," ",(VLOOKUP(B158,'Base de Datos'!$C$7:$N$315,10,0)))</f>
        <v xml:space="preserve"> </v>
      </c>
      <c r="T158" s="542"/>
      <c r="U158" s="694"/>
      <c r="V158" s="607"/>
    </row>
    <row r="159" spans="2:22" ht="15" customHeight="1" x14ac:dyDescent="0.3">
      <c r="B159" s="1238" t="s">
        <v>1660</v>
      </c>
      <c r="C159" s="1238"/>
      <c r="D159" s="1238"/>
      <c r="E159" s="516">
        <v>206250000</v>
      </c>
      <c r="F159" s="513"/>
      <c r="G159" s="513"/>
      <c r="H159" s="513"/>
      <c r="I159" s="513"/>
      <c r="J159" s="516">
        <f>+J161</f>
        <v>106215940</v>
      </c>
      <c r="K159" s="582">
        <f>J159/E159</f>
        <v>0.51498637575757578</v>
      </c>
      <c r="L159" s="516">
        <f>+E159-J159</f>
        <v>100034060</v>
      </c>
      <c r="M159" s="516"/>
      <c r="N159" s="516">
        <f>+N161</f>
        <v>0</v>
      </c>
      <c r="O159" s="662"/>
      <c r="P159" s="548" t="str">
        <f>IF(ISERROR(VLOOKUP(B159,'Base de Datos'!$C$7:$N$315,8,0))=TRUE," ",(VLOOKUP(B159,'Base de Datos'!$C$7:$N$315,8,0)))</f>
        <v xml:space="preserve"> </v>
      </c>
      <c r="Q159" s="542"/>
      <c r="R159" s="548" t="str">
        <f>IF(ISERROR(VLOOKUP(B159,'Base de Datos'!$C$7:$N$315,9,0))=TRUE," ",(VLOOKUP(B159,'Base de Datos'!$C$7:$N$315,9,0)))</f>
        <v xml:space="preserve"> </v>
      </c>
      <c r="S159" s="548" t="str">
        <f>IF(ISERROR(VLOOKUP(B159,'Base de Datos'!$C$7:$N$315,10,0))=TRUE," ",(VLOOKUP(B159,'Base de Datos'!$C$7:$N$315,10,0)))</f>
        <v xml:space="preserve"> </v>
      </c>
      <c r="T159" s="542"/>
      <c r="U159" s="694"/>
      <c r="V159" s="607"/>
    </row>
    <row r="160" spans="2:22" s="588" customFormat="1" ht="22.8" outlineLevel="1" x14ac:dyDescent="0.3">
      <c r="B160" s="510" t="s">
        <v>1692</v>
      </c>
      <c r="C160" s="510" t="s">
        <v>912</v>
      </c>
      <c r="D160" s="510" t="s">
        <v>1821</v>
      </c>
      <c r="E160" s="518" t="s">
        <v>1845</v>
      </c>
      <c r="F160" s="507" t="s">
        <v>1852</v>
      </c>
      <c r="G160" s="507"/>
      <c r="H160" s="507"/>
      <c r="I160" s="507"/>
      <c r="J160" s="510" t="s">
        <v>1844</v>
      </c>
      <c r="K160" s="625"/>
      <c r="L160" s="510" t="s">
        <v>1938</v>
      </c>
      <c r="M160" s="510"/>
      <c r="N160" s="510" t="s">
        <v>1939</v>
      </c>
      <c r="O160" s="650"/>
      <c r="P160" s="541" t="s">
        <v>1846</v>
      </c>
      <c r="Q160" s="510" t="s">
        <v>1847</v>
      </c>
      <c r="R160" s="510" t="s">
        <v>1848</v>
      </c>
      <c r="S160" s="510" t="s">
        <v>375</v>
      </c>
      <c r="T160" s="510" t="s">
        <v>1849</v>
      </c>
      <c r="U160" s="694"/>
      <c r="V160" s="607"/>
    </row>
    <row r="161" spans="2:22" s="588" customFormat="1" ht="15" customHeight="1" outlineLevel="1" x14ac:dyDescent="0.3">
      <c r="B161" s="510"/>
      <c r="C161" s="506"/>
      <c r="D161" s="848" t="s">
        <v>2262</v>
      </c>
      <c r="E161" s="507"/>
      <c r="F161" s="509"/>
      <c r="G161" s="509"/>
      <c r="H161" s="509"/>
      <c r="I161" s="509"/>
      <c r="J161" s="509">
        <v>106215940</v>
      </c>
      <c r="K161" s="509"/>
      <c r="L161" s="509">
        <f>9700000*8</f>
        <v>77600000</v>
      </c>
      <c r="M161" s="553"/>
      <c r="N161" s="553"/>
      <c r="O161" s="663"/>
      <c r="P161" s="586"/>
      <c r="Q161" s="587"/>
      <c r="R161" s="586"/>
      <c r="S161" s="586"/>
      <c r="T161" s="587"/>
      <c r="U161" s="694"/>
      <c r="V161" s="607"/>
    </row>
    <row r="162" spans="2:22" s="588" customFormat="1" ht="15" customHeight="1" outlineLevel="1" x14ac:dyDescent="0.3">
      <c r="B162" s="848"/>
      <c r="C162" s="848"/>
      <c r="D162" s="848"/>
      <c r="E162" s="553"/>
      <c r="F162" s="507"/>
      <c r="G162" s="507"/>
      <c r="H162" s="507"/>
      <c r="I162" s="507"/>
      <c r="J162" s="553"/>
      <c r="K162" s="585"/>
      <c r="L162" s="553"/>
      <c r="M162" s="553"/>
      <c r="N162" s="553"/>
      <c r="O162" s="663"/>
      <c r="P162" s="586"/>
      <c r="Q162" s="587"/>
      <c r="R162" s="586"/>
      <c r="S162" s="586"/>
      <c r="T162" s="587"/>
      <c r="U162" s="694"/>
      <c r="V162" s="607"/>
    </row>
    <row r="163" spans="2:22" ht="15" customHeight="1" x14ac:dyDescent="0.3">
      <c r="B163" s="1238" t="s">
        <v>1661</v>
      </c>
      <c r="C163" s="1238"/>
      <c r="D163" s="1238"/>
      <c r="E163" s="516">
        <v>36750000</v>
      </c>
      <c r="F163" s="513"/>
      <c r="G163" s="513"/>
      <c r="H163" s="513"/>
      <c r="I163" s="513"/>
      <c r="J163" s="516">
        <f>+J165</f>
        <v>12264940</v>
      </c>
      <c r="K163" s="582">
        <f>J163/E163</f>
        <v>0.33373986394557825</v>
      </c>
      <c r="L163" s="516">
        <f>+E163-J163</f>
        <v>24485060</v>
      </c>
      <c r="M163" s="516"/>
      <c r="N163" s="516">
        <f>+N165</f>
        <v>0</v>
      </c>
      <c r="O163" s="662"/>
      <c r="P163" s="548" t="str">
        <f>IF(ISERROR(VLOOKUP(B163,'Base de Datos'!$C$7:$N$315,8,0))=TRUE," ",(VLOOKUP(B163,'Base de Datos'!$C$7:$N$315,8,0)))</f>
        <v xml:space="preserve"> </v>
      </c>
      <c r="Q163" s="542"/>
      <c r="R163" s="548" t="str">
        <f>IF(ISERROR(VLOOKUP(B163,'Base de Datos'!$C$7:$N$315,9,0))=TRUE," ",(VLOOKUP(B163,'Base de Datos'!$C$7:$N$315,9,0)))</f>
        <v xml:space="preserve"> </v>
      </c>
      <c r="S163" s="548" t="str">
        <f>IF(ISERROR(VLOOKUP(B163,'Base de Datos'!$C$7:$N$315,10,0))=TRUE," ",(VLOOKUP(B163,'Base de Datos'!$C$7:$N$315,10,0)))</f>
        <v xml:space="preserve"> </v>
      </c>
      <c r="T163" s="542"/>
      <c r="U163" s="694"/>
      <c r="V163" s="607"/>
    </row>
    <row r="164" spans="2:22" ht="24.75" customHeight="1" outlineLevel="1" x14ac:dyDescent="0.3">
      <c r="B164" s="510" t="s">
        <v>1692</v>
      </c>
      <c r="C164" s="510" t="s">
        <v>912</v>
      </c>
      <c r="D164" s="510" t="s">
        <v>1821</v>
      </c>
      <c r="E164" s="518" t="s">
        <v>1845</v>
      </c>
      <c r="F164" s="507" t="s">
        <v>1852</v>
      </c>
      <c r="G164" s="507"/>
      <c r="H164" s="507"/>
      <c r="I164" s="507"/>
      <c r="J164" s="510" t="s">
        <v>1844</v>
      </c>
      <c r="K164" s="625"/>
      <c r="L164" s="510" t="s">
        <v>1938</v>
      </c>
      <c r="M164" s="510"/>
      <c r="N164" s="510" t="s">
        <v>1939</v>
      </c>
      <c r="O164" s="650"/>
      <c r="P164" s="541" t="s">
        <v>1846</v>
      </c>
      <c r="Q164" s="510" t="s">
        <v>1847</v>
      </c>
      <c r="R164" s="510" t="s">
        <v>1848</v>
      </c>
      <c r="S164" s="510" t="s">
        <v>375</v>
      </c>
      <c r="T164" s="510" t="s">
        <v>1849</v>
      </c>
      <c r="U164" s="694"/>
      <c r="V164" s="607"/>
    </row>
    <row r="165" spans="2:22" ht="15" customHeight="1" outlineLevel="1" x14ac:dyDescent="0.3">
      <c r="B165" s="510"/>
      <c r="C165" s="506"/>
      <c r="D165" s="848" t="s">
        <v>2262</v>
      </c>
      <c r="E165" s="507"/>
      <c r="F165" s="509"/>
      <c r="G165" s="509"/>
      <c r="H165" s="509"/>
      <c r="I165" s="509"/>
      <c r="J165" s="509">
        <v>12264940</v>
      </c>
      <c r="K165" s="509"/>
      <c r="L165" s="509">
        <f>3200000*4</f>
        <v>12800000</v>
      </c>
      <c r="M165" s="553"/>
      <c r="N165" s="553"/>
      <c r="O165" s="663"/>
      <c r="P165" s="586"/>
      <c r="Q165" s="587"/>
      <c r="R165" s="586"/>
      <c r="S165" s="586"/>
      <c r="T165" s="587"/>
      <c r="U165" s="694"/>
      <c r="V165" s="607"/>
    </row>
    <row r="166" spans="2:22" s="588" customFormat="1" ht="15" customHeight="1" outlineLevel="1" x14ac:dyDescent="0.3">
      <c r="B166" s="848"/>
      <c r="C166" s="848"/>
      <c r="D166" s="848"/>
      <c r="E166" s="553"/>
      <c r="F166" s="507"/>
      <c r="G166" s="507"/>
      <c r="H166" s="507"/>
      <c r="I166" s="507"/>
      <c r="J166" s="553"/>
      <c r="K166" s="585"/>
      <c r="L166" s="553"/>
      <c r="M166" s="553"/>
      <c r="N166" s="553"/>
      <c r="O166" s="663"/>
      <c r="P166" s="586"/>
      <c r="Q166" s="587"/>
      <c r="R166" s="586"/>
      <c r="S166" s="586"/>
      <c r="T166" s="587"/>
      <c r="U166" s="694"/>
      <c r="V166" s="607"/>
    </row>
    <row r="167" spans="2:22" ht="15" customHeight="1" x14ac:dyDescent="0.3">
      <c r="B167" s="1238" t="s">
        <v>1662</v>
      </c>
      <c r="C167" s="1238"/>
      <c r="D167" s="1238"/>
      <c r="E167" s="516">
        <v>58000000</v>
      </c>
      <c r="F167" s="513"/>
      <c r="G167" s="513"/>
      <c r="H167" s="513"/>
      <c r="I167" s="513"/>
      <c r="J167" s="516">
        <f>+J169</f>
        <v>5462970</v>
      </c>
      <c r="K167" s="582">
        <f>J167/E167</f>
        <v>9.4189137931034478E-2</v>
      </c>
      <c r="L167" s="516">
        <f>+E167-J167</f>
        <v>52537030</v>
      </c>
      <c r="M167" s="516"/>
      <c r="N167" s="516">
        <f>+N169</f>
        <v>0</v>
      </c>
      <c r="O167" s="662"/>
      <c r="P167" s="548" t="str">
        <f>IF(ISERROR(VLOOKUP(B167,'Base de Datos'!$C$7:$N$315,8,0))=TRUE," ",(VLOOKUP(B167,'Base de Datos'!$C$7:$N$315,8,0)))</f>
        <v xml:space="preserve"> </v>
      </c>
      <c r="Q167" s="542"/>
      <c r="R167" s="548" t="str">
        <f>IF(ISERROR(VLOOKUP(B167,'Base de Datos'!$C$7:$N$315,9,0))=TRUE," ",(VLOOKUP(B167,'Base de Datos'!$C$7:$N$315,9,0)))</f>
        <v xml:space="preserve"> </v>
      </c>
      <c r="S167" s="548" t="str">
        <f>IF(ISERROR(VLOOKUP(B167,'Base de Datos'!$C$7:$N$315,10,0))=TRUE," ",(VLOOKUP(B167,'Base de Datos'!$C$7:$N$315,10,0)))</f>
        <v xml:space="preserve"> </v>
      </c>
      <c r="T167" s="542"/>
      <c r="U167" s="694"/>
      <c r="V167" s="607"/>
    </row>
    <row r="168" spans="2:22" ht="23.25" customHeight="1" outlineLevel="1" x14ac:dyDescent="0.3">
      <c r="B168" s="510" t="s">
        <v>1692</v>
      </c>
      <c r="C168" s="510" t="s">
        <v>912</v>
      </c>
      <c r="D168" s="510" t="s">
        <v>1821</v>
      </c>
      <c r="E168" s="518" t="s">
        <v>1845</v>
      </c>
      <c r="F168" s="507" t="s">
        <v>1852</v>
      </c>
      <c r="G168" s="507"/>
      <c r="H168" s="507"/>
      <c r="I168" s="507"/>
      <c r="J168" s="510" t="s">
        <v>1844</v>
      </c>
      <c r="K168" s="625"/>
      <c r="L168" s="510" t="s">
        <v>1938</v>
      </c>
      <c r="M168" s="510"/>
      <c r="N168" s="510" t="s">
        <v>1939</v>
      </c>
      <c r="O168" s="650"/>
      <c r="P168" s="541" t="s">
        <v>1846</v>
      </c>
      <c r="Q168" s="510" t="s">
        <v>1847</v>
      </c>
      <c r="R168" s="510" t="s">
        <v>1848</v>
      </c>
      <c r="S168" s="510" t="s">
        <v>375</v>
      </c>
      <c r="T168" s="510" t="s">
        <v>1849</v>
      </c>
      <c r="U168" s="694"/>
      <c r="V168" s="607"/>
    </row>
    <row r="169" spans="2:22" ht="15" customHeight="1" outlineLevel="1" x14ac:dyDescent="0.3">
      <c r="B169" s="510"/>
      <c r="C169" s="506"/>
      <c r="D169" s="848" t="s">
        <v>2262</v>
      </c>
      <c r="E169" s="507"/>
      <c r="F169" s="509"/>
      <c r="G169" s="509"/>
      <c r="H169" s="509"/>
      <c r="I169" s="509"/>
      <c r="J169" s="509">
        <v>5462970</v>
      </c>
      <c r="K169" s="509"/>
      <c r="L169" s="509">
        <f>1200000*4</f>
        <v>4800000</v>
      </c>
      <c r="M169" s="553"/>
      <c r="N169" s="553"/>
      <c r="O169" s="663"/>
      <c r="P169" s="586"/>
      <c r="Q169" s="587"/>
      <c r="R169" s="586"/>
      <c r="S169" s="586"/>
      <c r="T169" s="587"/>
      <c r="U169" s="694"/>
      <c r="V169" s="607"/>
    </row>
    <row r="170" spans="2:22" s="588" customFormat="1" ht="15" customHeight="1" outlineLevel="1" x14ac:dyDescent="0.3">
      <c r="B170" s="848"/>
      <c r="C170" s="848"/>
      <c r="D170" s="848"/>
      <c r="E170" s="553"/>
      <c r="F170" s="507"/>
      <c r="G170" s="507"/>
      <c r="H170" s="507"/>
      <c r="I170" s="507"/>
      <c r="J170" s="553"/>
      <c r="K170" s="585"/>
      <c r="L170" s="553"/>
      <c r="M170" s="553"/>
      <c r="N170" s="553"/>
      <c r="O170" s="663"/>
      <c r="P170" s="586"/>
      <c r="Q170" s="587"/>
      <c r="R170" s="586"/>
      <c r="S170" s="586"/>
      <c r="T170" s="587"/>
      <c r="U170" s="694"/>
      <c r="V170" s="607"/>
    </row>
    <row r="171" spans="2:22" ht="15" customHeight="1" x14ac:dyDescent="0.3">
      <c r="B171" s="1238" t="s">
        <v>1663</v>
      </c>
      <c r="C171" s="1238"/>
      <c r="D171" s="1238"/>
      <c r="E171" s="516">
        <v>129000000</v>
      </c>
      <c r="F171" s="513"/>
      <c r="G171" s="513"/>
      <c r="H171" s="513"/>
      <c r="I171" s="513"/>
      <c r="J171" s="516">
        <f>+J173</f>
        <v>118657530</v>
      </c>
      <c r="K171" s="582">
        <f>J171/E171</f>
        <v>0.91982581395348839</v>
      </c>
      <c r="L171" s="516">
        <f>+L173</f>
        <v>10342470</v>
      </c>
      <c r="M171" s="516"/>
      <c r="N171" s="516">
        <f>+N173</f>
        <v>0</v>
      </c>
      <c r="O171" s="662"/>
      <c r="P171" s="548" t="str">
        <f>IF(ISERROR(VLOOKUP(B171,'Base de Datos'!$C$7:$N$315,8,0))=TRUE," ",(VLOOKUP(B171,'Base de Datos'!$C$7:$N$315,8,0)))</f>
        <v xml:space="preserve"> </v>
      </c>
      <c r="Q171" s="542"/>
      <c r="R171" s="548" t="str">
        <f>IF(ISERROR(VLOOKUP(B171,'Base de Datos'!$C$7:$N$315,9,0))=TRUE," ",(VLOOKUP(B171,'Base de Datos'!$C$7:$N$315,9,0)))</f>
        <v xml:space="preserve"> </v>
      </c>
      <c r="S171" s="548" t="str">
        <f>IF(ISERROR(VLOOKUP(B171,'Base de Datos'!$C$7:$N$315,10,0))=TRUE," ",(VLOOKUP(B171,'Base de Datos'!$C$7:$N$315,10,0)))</f>
        <v xml:space="preserve"> </v>
      </c>
      <c r="T171" s="542"/>
      <c r="U171" s="694"/>
      <c r="V171" s="607"/>
    </row>
    <row r="172" spans="2:22" s="588" customFormat="1" ht="21.75" customHeight="1" outlineLevel="1" x14ac:dyDescent="0.3">
      <c r="B172" s="510" t="s">
        <v>1692</v>
      </c>
      <c r="C172" s="510" t="s">
        <v>912</v>
      </c>
      <c r="D172" s="510" t="s">
        <v>1821</v>
      </c>
      <c r="E172" s="518" t="s">
        <v>1845</v>
      </c>
      <c r="F172" s="507" t="s">
        <v>1852</v>
      </c>
      <c r="G172" s="507"/>
      <c r="H172" s="507"/>
      <c r="I172" s="507"/>
      <c r="J172" s="510" t="s">
        <v>1844</v>
      </c>
      <c r="K172" s="625"/>
      <c r="L172" s="510" t="s">
        <v>1938</v>
      </c>
      <c r="M172" s="510"/>
      <c r="N172" s="510" t="s">
        <v>1939</v>
      </c>
      <c r="O172" s="650"/>
      <c r="P172" s="541" t="s">
        <v>1846</v>
      </c>
      <c r="Q172" s="510" t="s">
        <v>1847</v>
      </c>
      <c r="R172" s="510" t="s">
        <v>1848</v>
      </c>
      <c r="S172" s="510" t="s">
        <v>375</v>
      </c>
      <c r="T172" s="510" t="s">
        <v>1849</v>
      </c>
      <c r="U172" s="694"/>
      <c r="V172" s="607"/>
    </row>
    <row r="173" spans="2:22" s="588" customFormat="1" ht="15" customHeight="1" outlineLevel="1" x14ac:dyDescent="0.3">
      <c r="B173" s="600"/>
      <c r="C173" s="587"/>
      <c r="D173" s="848" t="s">
        <v>2262</v>
      </c>
      <c r="E173" s="507"/>
      <c r="F173" s="553"/>
      <c r="G173" s="553"/>
      <c r="H173" s="553"/>
      <c r="I173" s="553"/>
      <c r="J173" s="553">
        <v>118657530</v>
      </c>
      <c r="K173" s="553"/>
      <c r="L173" s="553">
        <f>+E171-J173</f>
        <v>10342470</v>
      </c>
      <c r="M173" s="553"/>
      <c r="N173" s="553"/>
      <c r="O173" s="663"/>
      <c r="P173" s="586"/>
      <c r="Q173" s="587"/>
      <c r="R173" s="586"/>
      <c r="S173" s="586"/>
      <c r="T173" s="587"/>
      <c r="U173" s="694"/>
      <c r="V173" s="607"/>
    </row>
    <row r="174" spans="2:22" s="588" customFormat="1" ht="15" customHeight="1" outlineLevel="1" x14ac:dyDescent="0.3">
      <c r="B174" s="848"/>
      <c r="C174" s="848"/>
      <c r="D174" s="848"/>
      <c r="E174" s="553"/>
      <c r="F174" s="507"/>
      <c r="G174" s="507"/>
      <c r="H174" s="507"/>
      <c r="I174" s="507"/>
      <c r="J174" s="553"/>
      <c r="K174" s="585"/>
      <c r="L174" s="553"/>
      <c r="M174" s="553"/>
      <c r="N174" s="553"/>
      <c r="O174" s="663"/>
      <c r="P174" s="586"/>
      <c r="Q174" s="587"/>
      <c r="R174" s="586"/>
      <c r="S174" s="586"/>
      <c r="T174" s="587"/>
      <c r="U174" s="694"/>
      <c r="V174" s="607"/>
    </row>
    <row r="175" spans="2:22" ht="15" customHeight="1" x14ac:dyDescent="0.3">
      <c r="B175" s="1240" t="s">
        <v>1664</v>
      </c>
      <c r="C175" s="1240"/>
      <c r="D175" s="1240"/>
      <c r="E175" s="512">
        <v>478000000</v>
      </c>
      <c r="F175" s="513"/>
      <c r="G175" s="513"/>
      <c r="H175" s="513"/>
      <c r="I175" s="513"/>
      <c r="J175" s="516">
        <f>+J176</f>
        <v>405331000</v>
      </c>
      <c r="K175" s="583"/>
      <c r="L175" s="516">
        <f>+L176</f>
        <v>0</v>
      </c>
      <c r="M175" s="516"/>
      <c r="N175" s="516">
        <f>+N176</f>
        <v>72669000</v>
      </c>
      <c r="O175" s="662"/>
      <c r="P175" s="548" t="str">
        <f>IF(ISERROR(VLOOKUP(B175,'Base de Datos'!$C$7:$N$315,8,0))=TRUE," ",(VLOOKUP(B175,'Base de Datos'!$C$7:$N$315,8,0)))</f>
        <v xml:space="preserve"> </v>
      </c>
      <c r="Q175" s="542"/>
      <c r="R175" s="548" t="str">
        <f>IF(ISERROR(VLOOKUP(B175,'Base de Datos'!$C$7:$N$315,9,0))=TRUE," ",(VLOOKUP(B175,'Base de Datos'!$C$7:$N$315,9,0)))</f>
        <v xml:space="preserve"> </v>
      </c>
      <c r="S175" s="548" t="str">
        <f>IF(ISERROR(VLOOKUP(B175,'Base de Datos'!$C$7:$N$315,10,0))=TRUE," ",(VLOOKUP(B175,'Base de Datos'!$C$7:$N$315,10,0)))</f>
        <v xml:space="preserve"> </v>
      </c>
      <c r="T175" s="542"/>
      <c r="U175" s="694"/>
      <c r="V175" s="607"/>
    </row>
    <row r="176" spans="2:22" ht="15" customHeight="1" x14ac:dyDescent="0.3">
      <c r="B176" s="1239" t="s">
        <v>1665</v>
      </c>
      <c r="C176" s="1239"/>
      <c r="D176" s="1239"/>
      <c r="E176" s="554">
        <v>478000000</v>
      </c>
      <c r="F176" s="559">
        <f>COUNTIF('Actualizada - presupuesto'!$E$7:$E$111,B176)</f>
        <v>1</v>
      </c>
      <c r="G176" s="559"/>
      <c r="H176" s="559"/>
      <c r="I176" s="559"/>
      <c r="J176" s="554">
        <f>SUM(J178)</f>
        <v>405331000</v>
      </c>
      <c r="K176" s="576">
        <f>J176/E176</f>
        <v>0.84797280334728031</v>
      </c>
      <c r="L176" s="554">
        <f>SUM(L178)</f>
        <v>0</v>
      </c>
      <c r="M176" s="554"/>
      <c r="N176" s="554">
        <f>+E176-J176-L176</f>
        <v>72669000</v>
      </c>
      <c r="O176" s="657"/>
      <c r="P176" s="564" t="str">
        <f>IF(ISERROR(VLOOKUP(B176,'Base de Datos'!$C$7:$N$315,8,0))=TRUE," ",(VLOOKUP(B176,'Base de Datos'!$C$7:$N$315,8,0)))</f>
        <v xml:space="preserve"> </v>
      </c>
      <c r="Q176" s="565"/>
      <c r="R176" s="564" t="str">
        <f>IF(ISERROR(VLOOKUP(B176,'Base de Datos'!$C$7:$N$315,9,0))=TRUE," ",(VLOOKUP(B176,'Base de Datos'!$C$7:$N$315,9,0)))</f>
        <v xml:space="preserve"> </v>
      </c>
      <c r="S176" s="564" t="str">
        <f>IF(ISERROR(VLOOKUP(B176,'Base de Datos'!$C$7:$N$315,10,0))=TRUE," ",(VLOOKUP(B176,'Base de Datos'!$C$7:$N$315,10,0)))</f>
        <v xml:space="preserve"> </v>
      </c>
      <c r="T176" s="565"/>
      <c r="U176" s="694"/>
      <c r="V176" s="607"/>
    </row>
    <row r="177" spans="2:22" ht="22.8" outlineLevel="1" x14ac:dyDescent="0.3">
      <c r="B177" s="510" t="s">
        <v>1692</v>
      </c>
      <c r="C177" s="510" t="s">
        <v>912</v>
      </c>
      <c r="D177" s="510" t="s">
        <v>1821</v>
      </c>
      <c r="E177" s="518" t="s">
        <v>1845</v>
      </c>
      <c r="F177" s="507" t="s">
        <v>1852</v>
      </c>
      <c r="G177" s="507"/>
      <c r="H177" s="507"/>
      <c r="I177" s="507"/>
      <c r="J177" s="510" t="s">
        <v>1844</v>
      </c>
      <c r="K177" s="625"/>
      <c r="L177" s="510" t="s">
        <v>1938</v>
      </c>
      <c r="M177" s="510"/>
      <c r="N177" s="510" t="s">
        <v>1939</v>
      </c>
      <c r="O177" s="650"/>
      <c r="P177" s="541" t="s">
        <v>1846</v>
      </c>
      <c r="Q177" s="510" t="s">
        <v>1847</v>
      </c>
      <c r="R177" s="510" t="s">
        <v>1848</v>
      </c>
      <c r="S177" s="510" t="s">
        <v>375</v>
      </c>
      <c r="T177" s="510" t="s">
        <v>1849</v>
      </c>
      <c r="U177" s="694"/>
      <c r="V177" s="607"/>
    </row>
    <row r="178" spans="2:22" s="588" customFormat="1" ht="24" customHeight="1" outlineLevel="1" x14ac:dyDescent="0.3">
      <c r="B178" s="679">
        <v>202</v>
      </c>
      <c r="C178" s="506" t="str">
        <f>IF(ISERROR(VLOOKUP(B178,'Base de Datos'!$C$487:$F$4092,2,0))=TRUE,"",(VLOOKUP('Presupuesto - PAA 2017'!B178,'Base de Datos'!$C$7:$F$4092,3,0)))</f>
        <v>170331-0-2017</v>
      </c>
      <c r="D178" s="506" t="str">
        <f>IF(ISERROR(VLOOKUP(B178,'Base de Datos'!$C$487:$F$4092,3,0))=TRUE,"",(VLOOKUP('Presupuesto - PAA 2017'!B178,'Base de Datos'!$C$487:$F$4092,4,0)))</f>
        <v>POLITECNICO GRANCOLOMBIANO</v>
      </c>
      <c r="E178" s="509">
        <f>VLOOKUP(B178,[7]PAA2017!$C$65:$AA$255,20,0)</f>
        <v>852000000</v>
      </c>
      <c r="F178" s="507" t="e">
        <f>VLOOKUP(B178,[8]SOLICITUDES!$B$3:$H$278,2,0)</f>
        <v>#N/A</v>
      </c>
      <c r="G178" s="507"/>
      <c r="H178" s="507"/>
      <c r="I178" s="507"/>
      <c r="J178" s="509">
        <f>IF(ISERROR(VLOOKUP(B178,'Base de Datos'!$C$487:$N$4092,6,0))=TRUE,"Sin Celebrar",(VLOOKUP(B178,'Base de Datos'!$C$487:$N$4092,7,0)))</f>
        <v>405331000</v>
      </c>
      <c r="K178" s="573"/>
      <c r="L178" s="553" t="str">
        <f>IF(J178=$AA$1,E178, " ")</f>
        <v xml:space="preserve"> </v>
      </c>
      <c r="M178" s="509"/>
      <c r="N178" s="509">
        <f>IF(J178&lt;E178,(E178-J178)," ")</f>
        <v>446669000</v>
      </c>
      <c r="O178" s="691" t="str">
        <f>IF(ISERROR(VLOOKUP(B178,'Base de Datos'!$C$487:$K$1048576,7,0))=TRUE," ",(VLOOKUP(B178,'Base de Datos'!$C$487:$K$1048576,8,0)))</f>
        <v>SDH-SAMC-11-2017</v>
      </c>
      <c r="P178" s="524">
        <f>IF(ISERROR(VLOOKUP(B178,'Base de Datos'!$C$487:$N$4077,9,0))=TRUE," ",(VLOOKUP(B178,'Base de Datos'!$C$487:$N$4077,10,0)))</f>
        <v>43063</v>
      </c>
      <c r="Q178" s="709"/>
      <c r="R178" s="524">
        <f>IF(ISERROR(VLOOKUP(B178,'Base de Datos'!$C$487:$N$4077,10,0))=TRUE," ",(VLOOKUP(B178,'Base de Datos'!$C$487:$N$4077,11,0)))</f>
        <v>43070</v>
      </c>
      <c r="S178" s="524">
        <f>IF(ISERROR(VLOOKUP(B178,'Base de Datos'!$C$487:$N$4077,11,0))=TRUE," ",(VLOOKUP(B178,'Base de Datos'!$C$487:$N$4077,12,0)))</f>
        <v>43312</v>
      </c>
      <c r="T178" s="506" t="str">
        <f>VLOOKUP(B178,'Base de Datos'!$C$487:$AU$4129,41,0)</f>
        <v>LIQUIDADO</v>
      </c>
      <c r="U178" s="694"/>
      <c r="V178" s="607"/>
    </row>
    <row r="179" spans="2:22" ht="12" outlineLevel="1" x14ac:dyDescent="0.3">
      <c r="B179" s="621"/>
      <c r="C179" s="621"/>
      <c r="D179" s="621"/>
      <c r="E179" s="509"/>
      <c r="F179" s="507"/>
      <c r="G179" s="507"/>
      <c r="H179" s="507"/>
      <c r="I179" s="507"/>
      <c r="J179" s="509"/>
      <c r="K179" s="573"/>
      <c r="L179" s="509"/>
      <c r="M179" s="509"/>
      <c r="N179" s="509"/>
      <c r="O179" s="651"/>
      <c r="P179" s="524"/>
      <c r="Q179" s="506"/>
      <c r="R179" s="524"/>
      <c r="S179" s="524"/>
      <c r="T179" s="506"/>
      <c r="U179" s="694"/>
      <c r="V179" s="607"/>
    </row>
    <row r="180" spans="2:22" ht="15" customHeight="1" x14ac:dyDescent="0.3">
      <c r="B180" s="1253" t="s">
        <v>1666</v>
      </c>
      <c r="C180" s="1253"/>
      <c r="D180" s="1253"/>
      <c r="E180" s="560">
        <v>834000000</v>
      </c>
      <c r="F180" s="561">
        <f>COUNTIF('Actualizada - presupuesto'!$E$7:$E$111,B180)</f>
        <v>3</v>
      </c>
      <c r="G180" s="561"/>
      <c r="H180" s="561"/>
      <c r="I180" s="561"/>
      <c r="J180" s="560">
        <f>SUM(J182:J186)</f>
        <v>890792320</v>
      </c>
      <c r="K180" s="580">
        <f>J180/E180</f>
        <v>1.0680963069544365</v>
      </c>
      <c r="L180" s="560" t="e">
        <f>SUM(L182:L186)</f>
        <v>#N/A</v>
      </c>
      <c r="M180" s="560"/>
      <c r="N180" s="560" t="e">
        <f>+E180-J180-L180</f>
        <v>#N/A</v>
      </c>
      <c r="O180" s="655"/>
      <c r="P180" s="562" t="str">
        <f>IF(ISERROR(VLOOKUP(B180,'Base de Datos'!$C$7:$N$315,8,0))=TRUE," ",(VLOOKUP(B180,'Base de Datos'!$C$7:$N$315,8,0)))</f>
        <v xml:space="preserve"> </v>
      </c>
      <c r="Q180" s="563"/>
      <c r="R180" s="562" t="str">
        <f>IF(ISERROR(VLOOKUP(B180,'Base de Datos'!$C$7:$N$315,9,0))=TRUE," ",(VLOOKUP(B180,'Base de Datos'!$C$7:$N$315,9,0)))</f>
        <v xml:space="preserve"> </v>
      </c>
      <c r="S180" s="562" t="str">
        <f>IF(ISERROR(VLOOKUP(B180,'Base de Datos'!$C$7:$N$315,10,0))=TRUE," ",(VLOOKUP(B180,'Base de Datos'!$C$7:$N$315,10,0)))</f>
        <v xml:space="preserve"> </v>
      </c>
      <c r="T180" s="565"/>
      <c r="U180" s="694"/>
      <c r="V180" s="607"/>
    </row>
    <row r="181" spans="2:22" ht="22.8" outlineLevel="1" x14ac:dyDescent="0.3">
      <c r="B181" s="510" t="s">
        <v>1692</v>
      </c>
      <c r="C181" s="510" t="s">
        <v>912</v>
      </c>
      <c r="D181" s="510" t="s">
        <v>1821</v>
      </c>
      <c r="E181" s="518" t="s">
        <v>1845</v>
      </c>
      <c r="F181" s="507" t="s">
        <v>1852</v>
      </c>
      <c r="G181" s="507"/>
      <c r="H181" s="507"/>
      <c r="I181" s="507"/>
      <c r="J181" s="510" t="s">
        <v>1844</v>
      </c>
      <c r="K181" s="625"/>
      <c r="L181" s="510" t="s">
        <v>1938</v>
      </c>
      <c r="M181" s="510"/>
      <c r="N181" s="510" t="s">
        <v>1939</v>
      </c>
      <c r="O181" s="650"/>
      <c r="P181" s="541" t="s">
        <v>1846</v>
      </c>
      <c r="Q181" s="510" t="s">
        <v>1847</v>
      </c>
      <c r="R181" s="510" t="s">
        <v>1848</v>
      </c>
      <c r="S181" s="510" t="s">
        <v>375</v>
      </c>
      <c r="T181" s="510" t="s">
        <v>1849</v>
      </c>
      <c r="U181" s="694"/>
      <c r="V181" s="607"/>
    </row>
    <row r="182" spans="2:22" ht="12.75" customHeight="1" outlineLevel="1" x14ac:dyDescent="0.3">
      <c r="B182" s="510">
        <v>206</v>
      </c>
      <c r="C182" s="506" t="str">
        <f>IF(ISERROR(VLOOKUP(B182,'Base de Datos'!$C$487:$F$4092,2,0))=TRUE,"",(VLOOKUP('Presupuesto - PAA 2017'!B182,'Base de Datos'!$C$7:$F$4092,3,0)))</f>
        <v>170231-0-2017</v>
      </c>
      <c r="D182" s="506" t="str">
        <f>IF(ISERROR(VLOOKUP(B182,'Base de Datos'!$C$487:$F$4092,3,0))=TRUE,"",(VLOOKUP('Presupuesto - PAA 2017'!B182,'Base de Datos'!$C$487:$F$4092,4,0)))</f>
        <v>ROYAL PARK LTDA</v>
      </c>
      <c r="E182" s="509">
        <f>VLOOKUP(B182,[7]PAA2017!$C$65:$AA$255,20,0)</f>
        <v>2196143000</v>
      </c>
      <c r="F182" s="507" t="str">
        <f>VLOOKUP(B182,[8]SOLICITUDES!$B$3:$H$278,2,0)</f>
        <v>SI</v>
      </c>
      <c r="G182" s="507"/>
      <c r="H182" s="507"/>
      <c r="I182" s="507"/>
      <c r="J182" s="509">
        <f>IF(ISERROR(VLOOKUP(B182,'Base de Datos'!$C$487:$N$4092,6,0))=TRUE,"Sin Celebrar",(VLOOKUP(B182,'Base de Datos'!$C$487:$N$4092,7,0)))</f>
        <v>855382000</v>
      </c>
      <c r="K182" s="573"/>
      <c r="L182" s="553" t="str">
        <f>IF(J182=$AA$1,E182, " ")</f>
        <v xml:space="preserve"> </v>
      </c>
      <c r="M182" s="509"/>
      <c r="N182" s="509">
        <f>IF(J182&lt;E182,(E182-J182)," ")</f>
        <v>1340761000</v>
      </c>
      <c r="O182" s="691" t="str">
        <f>IF(ISERROR(VLOOKUP(B182,'Base de Datos'!$C$487:$K$1048576,7,0))=TRUE," ",(VLOOKUP(B182,'Base de Datos'!$C$487:$K$1048576,8,0)))</f>
        <v>SDH-LP-03-2017</v>
      </c>
      <c r="P182" s="524">
        <f>IF(ISERROR(VLOOKUP(B182,'Base de Datos'!$C$487:$N$4077,9,0))=TRUE," ",(VLOOKUP(B182,'Base de Datos'!$C$487:$N$4077,10,0)))</f>
        <v>42984</v>
      </c>
      <c r="Q182" s="709"/>
      <c r="R182" s="524">
        <f>IF(ISERROR(VLOOKUP(B182,'Base de Datos'!$C$487:$N$4077,10,0))=TRUE," ",(VLOOKUP(B182,'Base de Datos'!$C$487:$N$4077,11,0)))</f>
        <v>42999</v>
      </c>
      <c r="S182" s="524">
        <f>IF(ISERROR(VLOOKUP(B182,'Base de Datos'!$C$487:$N$4077,11,0))=TRUE," ",(VLOOKUP(B182,'Base de Datos'!$C$487:$N$4077,12,0)))</f>
        <v>43241</v>
      </c>
      <c r="T182" s="506" t="str">
        <f>VLOOKUP(B182,'Base de Datos'!$C$487:$AU$4129,41,0)</f>
        <v>LIQUIDADO</v>
      </c>
      <c r="U182" s="694"/>
      <c r="V182" s="607"/>
    </row>
    <row r="183" spans="2:22" outlineLevel="1" x14ac:dyDescent="0.3">
      <c r="B183" s="510">
        <v>207</v>
      </c>
      <c r="C183" s="506" t="str">
        <f>IF(ISERROR(VLOOKUP(B183,'Base de Datos'!$C$487:$F$4092,2,0))=TRUE,"",(VLOOKUP('Presupuesto - PAA 2017'!B183,'Base de Datos'!$C$7:$F$4092,3,0)))</f>
        <v>160307-0-2016</v>
      </c>
      <c r="D183" s="506" t="str">
        <f>IF(ISERROR(VLOOKUP(B183,'Base de Datos'!$C$487:$F$4092,3,0))=TRUE,"",(VLOOKUP('Presupuesto - PAA 2017'!B183,'Base de Datos'!$C$487:$F$4092,4,0)))</f>
        <v>ALMACNES ÉXITO SA</v>
      </c>
      <c r="E183" s="509">
        <f>VLOOKUP(B183,[7]PAA2017!$C$65:$AA$255,20,0)</f>
        <v>108848000</v>
      </c>
      <c r="F183" s="507" t="e">
        <f>VLOOKUP(B183,[8]SOLICITUDES!$B$3:$H$278,2,0)</f>
        <v>#N/A</v>
      </c>
      <c r="G183" s="507"/>
      <c r="H183" s="507"/>
      <c r="I183" s="507"/>
      <c r="J183" s="509">
        <f>IF(ISERROR(VLOOKUP(B183,'Base de Datos'!$C$487:$N$4092,6,0))=TRUE,"Sin Celebrar",(VLOOKUP(B183,'Base de Datos'!$C$487:$N$4092,7,0)))</f>
        <v>35410320</v>
      </c>
      <c r="K183" s="573"/>
      <c r="L183" s="553" t="str">
        <f>IF(J183=$AA$1,E183, " ")</f>
        <v xml:space="preserve"> </v>
      </c>
      <c r="M183" s="509"/>
      <c r="N183" s="509">
        <f>IF(J183&lt;E183,(E183-J183)," ")</f>
        <v>73437680</v>
      </c>
      <c r="O183" s="691" t="str">
        <f>IF(ISERROR(VLOOKUP(B183,'Base de Datos'!$C$487:$K$1048576,7,0))=TRUE," ",(VLOOKUP(B183,'Base de Datos'!$C$487:$K$1048576,8,0)))</f>
        <v>SDH-SAMC-10-2017</v>
      </c>
      <c r="P183" s="524">
        <f>IF(ISERROR(VLOOKUP(B183,'Base de Datos'!$C$487:$N$4077,9,0))=TRUE," ",(VLOOKUP(B183,'Base de Datos'!$C$487:$N$4077,10,0)))</f>
        <v>43076</v>
      </c>
      <c r="Q183" s="709"/>
      <c r="R183" s="524">
        <f>IF(ISERROR(VLOOKUP(B183,'Base de Datos'!$C$487:$N$4077,10,0))=TRUE," ",(VLOOKUP(B183,'Base de Datos'!$C$487:$N$4077,11,0)))</f>
        <v>43091</v>
      </c>
      <c r="S183" s="524">
        <f>IF(ISERROR(VLOOKUP(B183,'Base de Datos'!$C$487:$N$4077,11,0))=TRUE," ",(VLOOKUP(B183,'Base de Datos'!$C$487:$N$4077,12,0)))</f>
        <v>43211</v>
      </c>
      <c r="T183" s="506" t="str">
        <f>VLOOKUP(B183,'Base de Datos'!$C$487:$AU$4129,41,0)</f>
        <v>LIQUIDADO</v>
      </c>
      <c r="U183" s="694"/>
      <c r="V183" s="607"/>
    </row>
    <row r="184" spans="2:22" outlineLevel="1" x14ac:dyDescent="0.3">
      <c r="B184" s="525"/>
      <c r="C184" s="506" t="str">
        <f>IF(ISERROR(VLOOKUP(B184,'Base de Datos'!$C$487:$F$4092,2,0))=TRUE,"",(VLOOKUP('Presupuesto - PAA 2017'!B184,'Base de Datos'!$C$7:$F$4092,3,0)))</f>
        <v/>
      </c>
      <c r="D184" s="506" t="str">
        <f>IF(ISERROR(VLOOKUP(B184,'Base de Datos'!$C$487:$F$4092,3,0))=TRUE,"",(VLOOKUP('Presupuesto - PAA 2017'!B184,'Base de Datos'!$C$487:$F$4092,4,0)))</f>
        <v/>
      </c>
      <c r="E184" s="509" t="e">
        <f>VLOOKUP(B184,[7]PAA2017!$C$65:$AA$255,20,0)</f>
        <v>#N/A</v>
      </c>
      <c r="F184" s="507" t="e">
        <f>VLOOKUP(B184,[8]SOLICITUDES!$B$3:$H$278,2,0)</f>
        <v>#N/A</v>
      </c>
      <c r="G184" s="507"/>
      <c r="H184" s="507"/>
      <c r="I184" s="507"/>
      <c r="J184" s="509" t="str">
        <f>IF(ISERROR(VLOOKUP(B184,'Base de Datos'!$C$487:$N$4092,6,0))=TRUE,"Sin Celebrar",(VLOOKUP(B184,'Base de Datos'!$C$487:$N$4092,7,0)))</f>
        <v>Sin Celebrar</v>
      </c>
      <c r="K184" s="573"/>
      <c r="L184" s="553" t="e">
        <f>IF(J184=$AA$1,E184, " ")</f>
        <v>#N/A</v>
      </c>
      <c r="M184" s="509"/>
      <c r="N184" s="509" t="e">
        <f>IF(J184&lt;E184,(E184-J184)," ")</f>
        <v>#N/A</v>
      </c>
      <c r="O184" s="691" t="str">
        <f>IF(ISERROR(VLOOKUP(B184,'Base de Datos'!$C$487:$K$1048576,7,0))=TRUE," ",(VLOOKUP(B184,'Base de Datos'!$C$487:$K$1048576,8,0)))</f>
        <v xml:space="preserve"> </v>
      </c>
      <c r="P184" s="524" t="str">
        <f>IF(ISERROR(VLOOKUP(B184,'Base de Datos'!$C$487:$N$4077,9,0))=TRUE," ",(VLOOKUP(B184,'Base de Datos'!$C$487:$N$4077,10,0)))</f>
        <v xml:space="preserve"> </v>
      </c>
      <c r="Q184" s="709"/>
      <c r="R184" s="524" t="str">
        <f>IF(ISERROR(VLOOKUP(B184,'Base de Datos'!$C$487:$N$4077,10,0))=TRUE," ",(VLOOKUP(B184,'Base de Datos'!$C$487:$N$4077,11,0)))</f>
        <v xml:space="preserve"> </v>
      </c>
      <c r="S184" s="524" t="str">
        <f>IF(ISERROR(VLOOKUP(B184,'Base de Datos'!$C$487:$N$4077,11,0))=TRUE," ",(VLOOKUP(B184,'Base de Datos'!$C$487:$N$4077,12,0)))</f>
        <v xml:space="preserve"> </v>
      </c>
      <c r="T184" s="506" t="e">
        <f>VLOOKUP(B184,'Base de Datos'!$C$487:$AU$4129,41,0)</f>
        <v>#N/A</v>
      </c>
      <c r="U184" s="694"/>
      <c r="V184" s="607"/>
    </row>
    <row r="185" spans="2:22" outlineLevel="1" x14ac:dyDescent="0.3">
      <c r="B185" s="525"/>
      <c r="C185" s="506" t="str">
        <f>IF(ISERROR(VLOOKUP(B185,'Base de Datos'!$C$487:$F$4092,2,0))=TRUE,"",(VLOOKUP('Presupuesto - PAA 2017'!B185,'Base de Datos'!$C$7:$F$4092,3,0)))</f>
        <v/>
      </c>
      <c r="D185" s="506" t="str">
        <f>IF(ISERROR(VLOOKUP(B185,'Base de Datos'!$C$487:$F$4092,3,0))=TRUE,"",(VLOOKUP('Presupuesto - PAA 2017'!B185,'Base de Datos'!$C$487:$F$4092,4,0)))</f>
        <v/>
      </c>
      <c r="E185" s="509" t="e">
        <f>VLOOKUP(B185,[7]PAA2017!$C$65:$AA$255,20,0)</f>
        <v>#N/A</v>
      </c>
      <c r="F185" s="507" t="e">
        <f>VLOOKUP(B185,[8]SOLICITUDES!$B$3:$H$278,2,0)</f>
        <v>#N/A</v>
      </c>
      <c r="G185" s="507"/>
      <c r="H185" s="507"/>
      <c r="I185" s="507"/>
      <c r="J185" s="509" t="str">
        <f>IF(ISERROR(VLOOKUP(B185,'Base de Datos'!$C$487:$N$4092,6,0))=TRUE,"Sin Celebrar",(VLOOKUP(B185,'Base de Datos'!$C$487:$N$4092,7,0)))</f>
        <v>Sin Celebrar</v>
      </c>
      <c r="K185" s="573"/>
      <c r="L185" s="553" t="e">
        <f>IF(J185=$AA$1,E185, " ")</f>
        <v>#N/A</v>
      </c>
      <c r="M185" s="509"/>
      <c r="N185" s="509" t="e">
        <f>IF(J185&lt;E185,(E185-J185)," ")</f>
        <v>#N/A</v>
      </c>
      <c r="O185" s="691" t="str">
        <f>IF(ISERROR(VLOOKUP(B185,'Base de Datos'!$C$487:$K$1048576,7,0))=TRUE," ",(VLOOKUP(B185,'Base de Datos'!$C$487:$K$1048576,8,0)))</f>
        <v xml:space="preserve"> </v>
      </c>
      <c r="P185" s="524" t="str">
        <f>IF(ISERROR(VLOOKUP(B185,'Base de Datos'!$C$487:$N$4077,9,0))=TRUE," ",(VLOOKUP(B185,'Base de Datos'!$C$487:$N$4077,10,0)))</f>
        <v xml:space="preserve"> </v>
      </c>
      <c r="Q185" s="709"/>
      <c r="R185" s="524" t="str">
        <f>IF(ISERROR(VLOOKUP(B185,'Base de Datos'!$C$487:$N$4077,10,0))=TRUE," ",(VLOOKUP(B185,'Base de Datos'!$C$487:$N$4077,11,0)))</f>
        <v xml:space="preserve"> </v>
      </c>
      <c r="S185" s="524" t="str">
        <f>IF(ISERROR(VLOOKUP(B185,'Base de Datos'!$C$487:$N$4077,11,0))=TRUE," ",(VLOOKUP(B185,'Base de Datos'!$C$487:$N$4077,12,0)))</f>
        <v xml:space="preserve"> </v>
      </c>
      <c r="T185" s="506" t="e">
        <f>VLOOKUP(B185,'Base de Datos'!$C$487:$AU$4129,41,0)</f>
        <v>#N/A</v>
      </c>
      <c r="U185" s="694"/>
      <c r="V185" s="607"/>
    </row>
    <row r="186" spans="2:22" outlineLevel="1" x14ac:dyDescent="0.3">
      <c r="B186" s="506"/>
      <c r="C186" s="506"/>
      <c r="D186" s="506" t="s">
        <v>1934</v>
      </c>
      <c r="E186" s="509">
        <f>E180-SUM(E182:E183)</f>
        <v>-1470991000</v>
      </c>
      <c r="F186" s="507"/>
      <c r="G186" s="507"/>
      <c r="H186" s="507"/>
      <c r="I186" s="507"/>
      <c r="J186" s="509"/>
      <c r="K186" s="573"/>
      <c r="L186" s="527"/>
      <c r="M186" s="527"/>
      <c r="N186" s="509" t="str">
        <f>IF(J186&lt;E186,(E186-J186)," ")</f>
        <v xml:space="preserve"> </v>
      </c>
      <c r="O186" s="652"/>
      <c r="P186" s="524" t="str">
        <f>IF(ISERROR(VLOOKUP(B186,'Base de Datos'!$C$7:$N$315,9,0))=TRUE," ",(VLOOKUP(B186,'Base de Datos'!$C$7:$N$315,9,0)))</f>
        <v xml:space="preserve"> </v>
      </c>
      <c r="Q186" s="506"/>
      <c r="R186" s="683" t="str">
        <f>IF(ISERROR(VLOOKUP(B186,'Base de Datos'!$C$7:$N$4077,10,0))=TRUE," ",(VLOOKUP(B186,'Base de Datos'!$C$7:$N$4077,10,0)))</f>
        <v xml:space="preserve"> </v>
      </c>
      <c r="S186" s="683" t="str">
        <f>IF(ISERROR(VLOOKUP(B186,'Base de Datos'!$C$7:$N$4077,11,0))=TRUE," ",(VLOOKUP(B186,'Base de Datos'!$C$7:$N$4077,11,0)))</f>
        <v xml:space="preserve"> </v>
      </c>
      <c r="T186" s="506"/>
      <c r="U186" s="694"/>
      <c r="V186" s="607"/>
    </row>
    <row r="187" spans="2:22" outlineLevel="1" x14ac:dyDescent="0.3">
      <c r="B187" s="506"/>
      <c r="C187" s="506"/>
      <c r="D187" s="506"/>
      <c r="E187" s="509"/>
      <c r="F187" s="507"/>
      <c r="G187" s="507"/>
      <c r="H187" s="507"/>
      <c r="I187" s="507"/>
      <c r="J187" s="509"/>
      <c r="K187" s="573"/>
      <c r="L187" s="509"/>
      <c r="M187" s="509"/>
      <c r="N187" s="509"/>
      <c r="O187" s="651"/>
      <c r="P187" s="524"/>
      <c r="Q187" s="506"/>
      <c r="R187" s="524"/>
      <c r="S187" s="524"/>
      <c r="T187" s="506"/>
      <c r="U187" s="694"/>
      <c r="V187" s="607"/>
    </row>
    <row r="188" spans="2:22" ht="15" customHeight="1" x14ac:dyDescent="0.3">
      <c r="B188" s="1257" t="s">
        <v>1667</v>
      </c>
      <c r="C188" s="1257"/>
      <c r="D188" s="1257"/>
      <c r="E188" s="560">
        <v>351721000</v>
      </c>
      <c r="F188" s="561">
        <f>COUNTIF('Actualizada - presupuesto'!$E$7:$E$111,B188)</f>
        <v>4</v>
      </c>
      <c r="G188" s="561"/>
      <c r="H188" s="561"/>
      <c r="I188" s="561"/>
      <c r="J188" s="560">
        <f>SUM(J190:J194)</f>
        <v>169703000</v>
      </c>
      <c r="K188" s="580">
        <f>J188/E188</f>
        <v>0.48249322616505697</v>
      </c>
      <c r="L188" s="560" t="e">
        <f>SUM(L190:L194)</f>
        <v>#N/A</v>
      </c>
      <c r="M188" s="560"/>
      <c r="N188" s="560" t="e">
        <f>+E188-J188-L188</f>
        <v>#N/A</v>
      </c>
      <c r="O188" s="655"/>
      <c r="P188" s="562" t="str">
        <f>IF(ISERROR(VLOOKUP(B188,'Base de Datos'!$C$7:$N$315,8,0))=TRUE," ",(VLOOKUP(B188,'Base de Datos'!$C$7:$N$315,8,0)))</f>
        <v xml:space="preserve"> </v>
      </c>
      <c r="Q188" s="563"/>
      <c r="R188" s="562" t="str">
        <f>IF(ISERROR(VLOOKUP(B188,'Base de Datos'!$C$7:$N$315,9,0))=TRUE," ",(VLOOKUP(B188,'Base de Datos'!$C$7:$N$315,9,0)))</f>
        <v xml:space="preserve"> </v>
      </c>
      <c r="S188" s="562" t="str">
        <f>IF(ISERROR(VLOOKUP(B188,'Base de Datos'!$C$7:$N$315,10,0))=TRUE," ",(VLOOKUP(B188,'Base de Datos'!$C$7:$N$315,10,0)))</f>
        <v xml:space="preserve"> </v>
      </c>
      <c r="T188" s="565"/>
      <c r="U188" s="694"/>
      <c r="V188" s="607"/>
    </row>
    <row r="189" spans="2:22" ht="22.8" outlineLevel="1" x14ac:dyDescent="0.3">
      <c r="B189" s="510" t="s">
        <v>1692</v>
      </c>
      <c r="C189" s="510" t="s">
        <v>912</v>
      </c>
      <c r="D189" s="510" t="s">
        <v>1821</v>
      </c>
      <c r="E189" s="518" t="s">
        <v>1845</v>
      </c>
      <c r="F189" s="507" t="s">
        <v>1852</v>
      </c>
      <c r="G189" s="507"/>
      <c r="H189" s="507"/>
      <c r="I189" s="507"/>
      <c r="J189" s="510" t="s">
        <v>1844</v>
      </c>
      <c r="K189" s="625"/>
      <c r="L189" s="510" t="s">
        <v>1938</v>
      </c>
      <c r="M189" s="510"/>
      <c r="N189" s="510" t="s">
        <v>1939</v>
      </c>
      <c r="O189" s="650"/>
      <c r="P189" s="541" t="s">
        <v>1846</v>
      </c>
      <c r="Q189" s="510" t="s">
        <v>1847</v>
      </c>
      <c r="R189" s="510" t="s">
        <v>1848</v>
      </c>
      <c r="S189" s="510" t="s">
        <v>375</v>
      </c>
      <c r="T189" s="510" t="s">
        <v>1849</v>
      </c>
      <c r="U189" s="694"/>
      <c r="V189" s="607"/>
    </row>
    <row r="190" spans="2:22" ht="16.5" customHeight="1" outlineLevel="1" x14ac:dyDescent="0.3">
      <c r="B190" s="510">
        <v>176</v>
      </c>
      <c r="C190" s="506" t="str">
        <f>IF(ISERROR(VLOOKUP(B190,'Base de Datos'!$C$487:$F$4092,2,0))=TRUE,"",(VLOOKUP('Presupuesto - PAA 2017'!B190,'Base de Datos'!$C$7:$F$4092,3,0)))</f>
        <v>150141-0-2015</v>
      </c>
      <c r="D190" s="506" t="str">
        <f>IF(ISERROR(VLOOKUP(B190,'Base de Datos'!$C$487:$F$4092,3,0))=TRUE,"",(VLOOKUP('Presupuesto - PAA 2017'!B190,'Base de Datos'!$C$487:$F$4092,4,0)))</f>
        <v>GRANADOS Y CONDECORACIONES</v>
      </c>
      <c r="E190" s="509">
        <f>VLOOKUP(B190,[7]PAA2017!$C$65:$AA$255,20,0)</f>
        <v>72000000</v>
      </c>
      <c r="F190" s="507" t="str">
        <f>VLOOKUP(B190,[8]SOLICITUDES!$B$3:$H$278,2,0)</f>
        <v>SI</v>
      </c>
      <c r="G190" s="507"/>
      <c r="H190" s="507"/>
      <c r="I190" s="507"/>
      <c r="J190" s="509">
        <f>IF(ISERROR(VLOOKUP(B190,'Base de Datos'!$C$487:$N$4092,6,0))=TRUE,"Sin Celebrar",(VLOOKUP(B190,'Base de Datos'!$C$487:$N$4092,7,0)))</f>
        <v>50703000</v>
      </c>
      <c r="K190" s="573"/>
      <c r="L190" s="553" t="str">
        <f>IF(J190=$AA$1,E190, " ")</f>
        <v xml:space="preserve"> </v>
      </c>
      <c r="M190" s="509"/>
      <c r="N190" s="509">
        <f>IF(J190&lt;E190,(E190-J190)," ")</f>
        <v>21297000</v>
      </c>
      <c r="O190" s="691" t="str">
        <f>IF(ISERROR(VLOOKUP(B190,'Base de Datos'!$C$487:$K$1048576,7,0))=TRUE," ",(VLOOKUP(B190,'Base de Datos'!$C$487:$K$1048576,8,0)))</f>
        <v>SDH-SMINC-12-2017</v>
      </c>
      <c r="P190" s="524">
        <f>IF(ISERROR(VLOOKUP(B190,'Base de Datos'!$C$487:$N$4077,9,0))=TRUE," ",(VLOOKUP(B190,'Base de Datos'!$C$487:$N$4077,10,0)))</f>
        <v>42846</v>
      </c>
      <c r="Q190" s="709"/>
      <c r="R190" s="524">
        <f>IF(ISERROR(VLOOKUP(B190,'Base de Datos'!$C$487:$N$4077,10,0))=TRUE," ",(VLOOKUP(B190,'Base de Datos'!$C$487:$N$4077,11,0)))</f>
        <v>42874</v>
      </c>
      <c r="S190" s="524">
        <f>IF(ISERROR(VLOOKUP(B190,'Base de Datos'!$C$487:$N$4077,11,0))=TRUE," ",(VLOOKUP(B190,'Base de Datos'!$C$487:$N$4077,12,0)))</f>
        <v>43239</v>
      </c>
      <c r="T190" s="506" t="str">
        <f>VLOOKUP(B190,'Base de Datos'!$C$487:$AU$4129,41,0)</f>
        <v>LIQUIDADO</v>
      </c>
      <c r="U190" s="694"/>
      <c r="V190" s="607"/>
    </row>
    <row r="191" spans="2:22" ht="18" customHeight="1" outlineLevel="1" x14ac:dyDescent="0.3">
      <c r="B191" s="510">
        <v>201</v>
      </c>
      <c r="C191" s="506" t="str">
        <f>IF(ISERROR(VLOOKUP(B191,'Base de Datos'!$C$487:$F$4092,2,0))=TRUE,"",(VLOOKUP('Presupuesto - PAA 2017'!B191,'Base de Datos'!$C$7:$F$4092,3,0)))</f>
        <v>160250-0-2016</v>
      </c>
      <c r="D191" s="506" t="str">
        <f>IF(ISERROR(VLOOKUP(B191,'Base de Datos'!$C$487:$F$4092,3,0))=TRUE,"",(VLOOKUP('Presupuesto - PAA 2017'!B191,'Base de Datos'!$C$487:$F$4092,4,0)))</f>
        <v>DOUGLAS TRADE SAS</v>
      </c>
      <c r="E191" s="509">
        <f>VLOOKUP(B191,[7]PAA2017!$C$65:$AA$255,20,0)</f>
        <v>317000000</v>
      </c>
      <c r="F191" s="507" t="str">
        <f>VLOOKUP(B191,[8]SOLICITUDES!$B$3:$H$278,2,0)</f>
        <v>SI</v>
      </c>
      <c r="G191" s="507"/>
      <c r="H191" s="507"/>
      <c r="I191" s="507"/>
      <c r="J191" s="509">
        <f>IF(ISERROR(VLOOKUP(B191,'Base de Datos'!$C$487:$N$4092,6,0))=TRUE,"Sin Celebrar",(VLOOKUP(B191,'Base de Datos'!$C$487:$N$4092,7,0)))</f>
        <v>119000000</v>
      </c>
      <c r="K191" s="573"/>
      <c r="L191" s="553" t="str">
        <f>IF(J191=$AA$1,E191, " ")</f>
        <v xml:space="preserve"> </v>
      </c>
      <c r="M191" s="509"/>
      <c r="N191" s="509">
        <f>IF(J191&lt;E191,(E191-J191)," ")</f>
        <v>198000000</v>
      </c>
      <c r="O191" s="691" t="str">
        <f>IF(ISERROR(VLOOKUP(B191,'Base de Datos'!$C$487:$K$1048576,7,0))=TRUE," ",(VLOOKUP(B191,'Base de Datos'!$C$487:$K$1048576,8,0)))</f>
        <v>SDH-SAMC-02-2017</v>
      </c>
      <c r="P191" s="524">
        <f>IF(ISERROR(VLOOKUP(B191,'Base de Datos'!$C$487:$N$4077,9,0))=TRUE," ",(VLOOKUP(B191,'Base de Datos'!$C$487:$N$4077,10,0)))</f>
        <v>42863</v>
      </c>
      <c r="Q191" s="709"/>
      <c r="R191" s="524">
        <f>IF(ISERROR(VLOOKUP(B191,'Base de Datos'!$C$487:$N$4077,10,0))=TRUE," ",(VLOOKUP(B191,'Base de Datos'!$C$487:$N$4077,11,0)))</f>
        <v>42872</v>
      </c>
      <c r="S191" s="524">
        <f>IF(ISERROR(VLOOKUP(B191,'Base de Datos'!$C$487:$N$4077,11,0))=TRUE," ",(VLOOKUP(B191,'Base de Datos'!$C$487:$N$4077,12,0)))</f>
        <v>43176</v>
      </c>
      <c r="T191" s="506" t="str">
        <f>VLOOKUP(B191,'Base de Datos'!$C$487:$AU$4129,41,0)</f>
        <v>LIQUIDADO</v>
      </c>
      <c r="U191" s="694"/>
      <c r="V191" s="607"/>
    </row>
    <row r="192" spans="2:22" ht="15" customHeight="1" outlineLevel="1" x14ac:dyDescent="0.3">
      <c r="B192" s="510"/>
      <c r="C192" s="506" t="str">
        <f>IF(ISERROR(VLOOKUP(B192,'Base de Datos'!$C$487:$F$4092,2,0))=TRUE,"",(VLOOKUP('Presupuesto - PAA 2017'!B192,'Base de Datos'!$C$7:$F$4092,3,0)))</f>
        <v/>
      </c>
      <c r="D192" s="506" t="str">
        <f>IF(ISERROR(VLOOKUP(B192,'Base de Datos'!$C$487:$F$4092,3,0))=TRUE,"",(VLOOKUP('Presupuesto - PAA 2017'!B192,'Base de Datos'!$C$487:$F$4092,4,0)))</f>
        <v/>
      </c>
      <c r="E192" s="509" t="e">
        <f>VLOOKUP(B192,[7]PAA2017!$C$65:$AA$255,20,0)</f>
        <v>#N/A</v>
      </c>
      <c r="F192" s="507" t="e">
        <f>VLOOKUP(B192,[8]SOLICITUDES!$B$3:$H$278,2,0)</f>
        <v>#N/A</v>
      </c>
      <c r="G192" s="507"/>
      <c r="H192" s="507"/>
      <c r="I192" s="507"/>
      <c r="J192" s="509" t="str">
        <f>IF(ISERROR(VLOOKUP(B192,'Base de Datos'!$C$487:$N$4092,6,0))=TRUE,"Sin Celebrar",(VLOOKUP(B192,'Base de Datos'!$C$487:$N$4092,7,0)))</f>
        <v>Sin Celebrar</v>
      </c>
      <c r="K192" s="573"/>
      <c r="L192" s="553" t="e">
        <f>IF(J192=$AA$1,E192, " ")</f>
        <v>#N/A</v>
      </c>
      <c r="M192" s="509"/>
      <c r="N192" s="509" t="e">
        <f>IF(J192&lt;E192,(E192-J192)," ")</f>
        <v>#N/A</v>
      </c>
      <c r="O192" s="691" t="str">
        <f>IF(ISERROR(VLOOKUP(B192,'Base de Datos'!$C$487:$K$1048576,7,0))=TRUE," ",(VLOOKUP(B192,'Base de Datos'!$C$487:$K$1048576,8,0)))</f>
        <v xml:space="preserve"> </v>
      </c>
      <c r="P192" s="524" t="str">
        <f>IF(ISERROR(VLOOKUP(B192,'Base de Datos'!$C$487:$N$4077,9,0))=TRUE," ",(VLOOKUP(B192,'Base de Datos'!$C$487:$N$4077,10,0)))</f>
        <v xml:space="preserve"> </v>
      </c>
      <c r="Q192" s="709"/>
      <c r="R192" s="524" t="str">
        <f>IF(ISERROR(VLOOKUP(B192,'Base de Datos'!$C$487:$N$4077,10,0))=TRUE," ",(VLOOKUP(B192,'Base de Datos'!$C$487:$N$4077,11,0)))</f>
        <v xml:space="preserve"> </v>
      </c>
      <c r="S192" s="524" t="str">
        <f>IF(ISERROR(VLOOKUP(B192,'Base de Datos'!$C$487:$N$4077,11,0))=TRUE," ",(VLOOKUP(B192,'Base de Datos'!$C$487:$N$4077,12,0)))</f>
        <v xml:space="preserve"> </v>
      </c>
      <c r="T192" s="506" t="e">
        <f>VLOOKUP(B192,'Base de Datos'!$C$487:$AU$4129,41,0)</f>
        <v>#N/A</v>
      </c>
      <c r="U192" s="694"/>
      <c r="V192" s="607"/>
    </row>
    <row r="193" spans="2:22" outlineLevel="1" x14ac:dyDescent="0.3">
      <c r="B193" s="525"/>
      <c r="C193" s="506" t="str">
        <f>IF(ISERROR(VLOOKUP(B193,'Base de Datos'!$C$487:$F$4092,2,0))=TRUE,"",(VLOOKUP('Presupuesto - PAA 2017'!B193,'Base de Datos'!$C$7:$F$4092,3,0)))</f>
        <v/>
      </c>
      <c r="D193" s="506" t="str">
        <f>IF(ISERROR(VLOOKUP(B193,'Base de Datos'!$C$487:$F$4092,3,0))=TRUE,"",(VLOOKUP('Presupuesto - PAA 2017'!B193,'Base de Datos'!$C$487:$F$4092,4,0)))</f>
        <v/>
      </c>
      <c r="E193" s="509" t="e">
        <f>VLOOKUP(B193,[7]PAA2017!$C$65:$AA$255,20,0)</f>
        <v>#N/A</v>
      </c>
      <c r="F193" s="507" t="e">
        <f>VLOOKUP(B193,[8]SOLICITUDES!$B$3:$H$278,2,0)</f>
        <v>#N/A</v>
      </c>
      <c r="G193" s="507"/>
      <c r="H193" s="507"/>
      <c r="I193" s="507"/>
      <c r="J193" s="509" t="str">
        <f>IF(ISERROR(VLOOKUP(B193,'Base de Datos'!$C$487:$N$4092,6,0))=TRUE,"Sin Celebrar",(VLOOKUP(B193,'Base de Datos'!$C$487:$N$4092,7,0)))</f>
        <v>Sin Celebrar</v>
      </c>
      <c r="K193" s="573"/>
      <c r="L193" s="553" t="e">
        <f>IF(J193=$AA$1,E193, " ")</f>
        <v>#N/A</v>
      </c>
      <c r="M193" s="509"/>
      <c r="N193" s="509" t="e">
        <f>IF(J193&lt;E193,(E193-J193)," ")</f>
        <v>#N/A</v>
      </c>
      <c r="O193" s="691" t="str">
        <f>IF(ISERROR(VLOOKUP(B193,'Base de Datos'!$C$487:$K$1048576,7,0))=TRUE," ",(VLOOKUP(B193,'Base de Datos'!$C$487:$K$1048576,8,0)))</f>
        <v xml:space="preserve"> </v>
      </c>
      <c r="P193" s="524" t="str">
        <f>IF(ISERROR(VLOOKUP(B193,'Base de Datos'!$C$487:$N$4077,9,0))=TRUE," ",(VLOOKUP(B193,'Base de Datos'!$C$487:$N$4077,10,0)))</f>
        <v xml:space="preserve"> </v>
      </c>
      <c r="Q193" s="709"/>
      <c r="R193" s="524" t="str">
        <f>IF(ISERROR(VLOOKUP(B193,'Base de Datos'!$C$487:$N$4077,10,0))=TRUE," ",(VLOOKUP(B193,'Base de Datos'!$C$487:$N$4077,11,0)))</f>
        <v xml:space="preserve"> </v>
      </c>
      <c r="S193" s="524" t="str">
        <f>IF(ISERROR(VLOOKUP(B193,'Base de Datos'!$C$487:$N$4077,11,0))=TRUE," ",(VLOOKUP(B193,'Base de Datos'!$C$487:$N$4077,12,0)))</f>
        <v xml:space="preserve"> </v>
      </c>
      <c r="T193" s="506" t="e">
        <f>VLOOKUP(B193,'Base de Datos'!$C$487:$AU$4129,41,0)</f>
        <v>#N/A</v>
      </c>
      <c r="U193" s="694"/>
      <c r="V193" s="607"/>
    </row>
    <row r="194" spans="2:22" outlineLevel="1" x14ac:dyDescent="0.3">
      <c r="B194" s="506"/>
      <c r="C194" s="506"/>
      <c r="D194" s="506" t="s">
        <v>1934</v>
      </c>
      <c r="E194" s="509" t="e">
        <f>+E188-SUM(E190:E193)</f>
        <v>#N/A</v>
      </c>
      <c r="F194" s="507"/>
      <c r="G194" s="507"/>
      <c r="H194" s="507"/>
      <c r="I194" s="507"/>
      <c r="J194" s="509"/>
      <c r="K194" s="573"/>
      <c r="L194" s="527"/>
      <c r="M194" s="527"/>
      <c r="N194" s="527" t="e">
        <f>IF(J194&lt;E194,(E194-J194)," ")</f>
        <v>#N/A</v>
      </c>
      <c r="O194" s="652"/>
      <c r="P194" s="524" t="str">
        <f>IF(ISERROR(VLOOKUP(B194,'Base de Datos'!$C$7:$N$315,9,0))=TRUE," ",(VLOOKUP(B194,'Base de Datos'!$C$7:$N$315,9,0)))</f>
        <v xml:space="preserve"> </v>
      </c>
      <c r="Q194" s="506"/>
      <c r="R194" s="529" t="str">
        <f>IF(ISERROR(VLOOKUP(B194,'Base de Datos'!$C$7:$N$315,10,0))=TRUE," ",(VLOOKUP(B194,'Base de Datos'!$C$7:$N$315,10,0)))</f>
        <v xml:space="preserve"> </v>
      </c>
      <c r="S194" s="529" t="str">
        <f>IF(ISERROR(VLOOKUP(B194,'Base de Datos'!$C$7:$N$315,11,0))=TRUE," ",(VLOOKUP(B194,'Base de Datos'!$C$7:$N$315,11,0)))</f>
        <v xml:space="preserve"> </v>
      </c>
      <c r="T194" s="506"/>
      <c r="U194" s="694"/>
      <c r="V194" s="607"/>
    </row>
    <row r="195" spans="2:22" outlineLevel="1" x14ac:dyDescent="0.3">
      <c r="B195" s="506"/>
      <c r="C195" s="506"/>
      <c r="D195" s="506"/>
      <c r="E195" s="509"/>
      <c r="F195" s="507"/>
      <c r="G195" s="507"/>
      <c r="H195" s="507"/>
      <c r="I195" s="507"/>
      <c r="J195" s="509"/>
      <c r="K195" s="573"/>
      <c r="L195" s="509"/>
      <c r="M195" s="509"/>
      <c r="N195" s="509"/>
      <c r="O195" s="651"/>
      <c r="P195" s="524"/>
      <c r="Q195" s="506"/>
      <c r="R195" s="524"/>
      <c r="S195" s="524"/>
      <c r="T195" s="506"/>
      <c r="U195" s="694"/>
      <c r="V195" s="607"/>
    </row>
    <row r="196" spans="2:22" ht="15" customHeight="1" x14ac:dyDescent="0.3">
      <c r="B196" s="1253" t="s">
        <v>1668</v>
      </c>
      <c r="C196" s="1253"/>
      <c r="D196" s="1253"/>
      <c r="E196" s="560">
        <v>108000000</v>
      </c>
      <c r="F196" s="561">
        <f>COUNTIF('Actualizada - presupuesto'!$E$7:$E$111,B196)</f>
        <v>3</v>
      </c>
      <c r="G196" s="561"/>
      <c r="H196" s="561"/>
      <c r="I196" s="561"/>
      <c r="J196" s="560">
        <f>SUM(J198:J202)</f>
        <v>87576032</v>
      </c>
      <c r="K196" s="580">
        <f>J196/E196</f>
        <v>0.81088918518518516</v>
      </c>
      <c r="L196" s="560">
        <f>SUM(L198:L202)</f>
        <v>0</v>
      </c>
      <c r="M196" s="560"/>
      <c r="N196" s="560">
        <f>+E196-J196-L196</f>
        <v>20423968</v>
      </c>
      <c r="O196" s="655"/>
      <c r="P196" s="562" t="str">
        <f>IF(ISERROR(VLOOKUP(B196,'Base de Datos'!$C$7:$N$315,8,0))=TRUE," ",(VLOOKUP(B196,'Base de Datos'!$C$7:$N$315,8,0)))</f>
        <v xml:space="preserve"> </v>
      </c>
      <c r="Q196" s="563"/>
      <c r="R196" s="562" t="str">
        <f>IF(ISERROR(VLOOKUP(B196,'Base de Datos'!$C$7:$N$315,9,0))=TRUE," ",(VLOOKUP(B196,'Base de Datos'!$C$7:$N$315,9,0)))</f>
        <v xml:space="preserve"> </v>
      </c>
      <c r="S196" s="562" t="str">
        <f>IF(ISERROR(VLOOKUP(B196,'Base de Datos'!$C$7:$N$315,10,0))=TRUE," ",(VLOOKUP(B196,'Base de Datos'!$C$7:$N$315,10,0)))</f>
        <v xml:space="preserve"> </v>
      </c>
      <c r="T196" s="565"/>
      <c r="U196" s="694"/>
      <c r="V196" s="607"/>
    </row>
    <row r="197" spans="2:22" ht="22.8" outlineLevel="1" x14ac:dyDescent="0.3">
      <c r="B197" s="510" t="s">
        <v>1692</v>
      </c>
      <c r="C197" s="510" t="s">
        <v>912</v>
      </c>
      <c r="D197" s="510" t="s">
        <v>1821</v>
      </c>
      <c r="E197" s="518" t="s">
        <v>1845</v>
      </c>
      <c r="F197" s="507" t="s">
        <v>1852</v>
      </c>
      <c r="G197" s="507"/>
      <c r="H197" s="507"/>
      <c r="I197" s="507"/>
      <c r="J197" s="510" t="s">
        <v>1844</v>
      </c>
      <c r="K197" s="625"/>
      <c r="L197" s="510" t="s">
        <v>1938</v>
      </c>
      <c r="M197" s="510"/>
      <c r="N197" s="510" t="s">
        <v>1939</v>
      </c>
      <c r="O197" s="650"/>
      <c r="P197" s="541" t="s">
        <v>1846</v>
      </c>
      <c r="Q197" s="510" t="s">
        <v>1847</v>
      </c>
      <c r="R197" s="510" t="s">
        <v>1848</v>
      </c>
      <c r="S197" s="510" t="s">
        <v>375</v>
      </c>
      <c r="T197" s="510" t="s">
        <v>1849</v>
      </c>
      <c r="U197" s="694"/>
      <c r="V197" s="607"/>
    </row>
    <row r="198" spans="2:22" outlineLevel="1" x14ac:dyDescent="0.3">
      <c r="B198" s="510">
        <v>208</v>
      </c>
      <c r="C198" s="506" t="str">
        <f>IF(ISERROR(VLOOKUP(B198,'Base de Datos'!$C$487:$F$4092,2,0))=TRUE,"",(VLOOKUP('Presupuesto - PAA 2017'!B198,'Base de Datos'!$C$7:$F$4092,3,0)))</f>
        <v>150192-0-2015</v>
      </c>
      <c r="D198" s="506" t="str">
        <f>IF(ISERROR(VLOOKUP(B198,'Base de Datos'!$C$487:$F$4092,3,0))=TRUE,"",(VLOOKUP('Presupuesto - PAA 2017'!B198,'Base de Datos'!$C$487:$F$4092,4,0)))</f>
        <v>MAGIQ ALL SAS</v>
      </c>
      <c r="E198" s="509">
        <f>VLOOKUP(B198,[7]PAA2017!$C$65:$AA$255,20,0)</f>
        <v>53048000</v>
      </c>
      <c r="F198" s="507" t="str">
        <f>VLOOKUP(B198,[8]SOLICITUDES!$B$3:$H$278,2,0)</f>
        <v>NO</v>
      </c>
      <c r="G198" s="507"/>
      <c r="H198" s="507"/>
      <c r="I198" s="507"/>
      <c r="J198" s="509">
        <f>IF(ISERROR(VLOOKUP(B198,'Base de Datos'!$C$487:$N$4092,6,0))=TRUE,"Sin Celebrar",(VLOOKUP(B198,'Base de Datos'!$C$487:$N$4092,7,0)))</f>
        <v>23058000</v>
      </c>
      <c r="K198" s="573"/>
      <c r="L198" s="553" t="str">
        <f>IF(J198=$AA$1,E198, " ")</f>
        <v xml:space="preserve"> </v>
      </c>
      <c r="M198" s="509"/>
      <c r="N198" s="509">
        <f>IF(J198&lt;E198,(E198-J198)," ")</f>
        <v>29990000</v>
      </c>
      <c r="O198" s="691" t="str">
        <f>IF(ISERROR(VLOOKUP(B198,'Base de Datos'!$C$487:$K$1048576,7,0))=TRUE," ",(VLOOKUP(B198,'Base de Datos'!$C$487:$K$1048576,8,0)))</f>
        <v>SDH-SMINC-26-2017</v>
      </c>
      <c r="P198" s="524">
        <f>IF(ISERROR(VLOOKUP(B198,'Base de Datos'!$C$487:$N$4077,9,0))=TRUE," ",(VLOOKUP(B198,'Base de Datos'!$C$487:$N$4077,10,0)))</f>
        <v>43013</v>
      </c>
      <c r="Q198" s="709"/>
      <c r="R198" s="524">
        <f>IF(ISERROR(VLOOKUP(B198,'Base de Datos'!$C$487:$N$4077,10,0))=TRUE," ",(VLOOKUP(B198,'Base de Datos'!$C$487:$N$4077,11,0)))</f>
        <v>43033</v>
      </c>
      <c r="S198" s="524">
        <f>IF(ISERROR(VLOOKUP(B198,'Base de Datos'!$C$487:$N$4077,11,0))=TRUE," ",(VLOOKUP(B198,'Base de Datos'!$C$487:$N$4077,12,0)))</f>
        <v>43156</v>
      </c>
      <c r="T198" s="506" t="str">
        <f>VLOOKUP(B198,'Base de Datos'!$C$487:$AU$4129,41,0)</f>
        <v>LIQUIDADO</v>
      </c>
      <c r="U198" s="694"/>
      <c r="V198" s="607"/>
    </row>
    <row r="199" spans="2:22" outlineLevel="1" x14ac:dyDescent="0.3">
      <c r="B199" s="510">
        <v>209</v>
      </c>
      <c r="C199" s="506" t="str">
        <f>IF(ISERROR(VLOOKUP(B199,'Base de Datos'!$C$487:$F$4092,2,0))=TRUE,"",(VLOOKUP('Presupuesto - PAA 2017'!B199,'Base de Datos'!$C$7:$F$4092,3,0)))</f>
        <v>160284-0-2016</v>
      </c>
      <c r="D199" s="506" t="str">
        <f>IF(ISERROR(VLOOKUP(B199,'Base de Datos'!$C$487:$F$4092,3,0))=TRUE,"",(VLOOKUP('Presupuesto - PAA 2017'!B199,'Base de Datos'!$C$487:$F$4092,4,0)))</f>
        <v>EDER GIOVANNY CASTIBLANCO ORJUELA</v>
      </c>
      <c r="E199" s="509">
        <f>VLOOKUP(B199,[7]PAA2017!$C$65:$AA$255,20,0)</f>
        <v>21606000</v>
      </c>
      <c r="F199" s="507" t="str">
        <f>VLOOKUP(B199,[8]SOLICITUDES!$B$3:$H$278,2,0)</f>
        <v>NO</v>
      </c>
      <c r="G199" s="507"/>
      <c r="H199" s="507"/>
      <c r="I199" s="507"/>
      <c r="J199" s="509">
        <f>IF(ISERROR(VLOOKUP(B199,'Base de Datos'!$C$487:$N$4092,6,0))=TRUE,"Sin Celebrar",(VLOOKUP(B199,'Base de Datos'!$C$487:$N$4092,7,0)))</f>
        <v>4606000</v>
      </c>
      <c r="K199" s="573"/>
      <c r="L199" s="553" t="str">
        <f>IF(J199=$AA$1,E199, " ")</f>
        <v xml:space="preserve"> </v>
      </c>
      <c r="M199" s="509"/>
      <c r="N199" s="509">
        <f>IF(J199&lt;E199,(E199-J199)," ")</f>
        <v>17000000</v>
      </c>
      <c r="O199" s="691" t="str">
        <f>IF(ISERROR(VLOOKUP(B199,'Base de Datos'!$C$487:$K$1048576,7,0))=TRUE," ",(VLOOKUP(B199,'Base de Datos'!$C$487:$K$1048576,8,0)))</f>
        <v>SDH-SMINC-37-2017</v>
      </c>
      <c r="P199" s="524">
        <f>IF(ISERROR(VLOOKUP(B199,'Base de Datos'!$C$487:$N$4077,9,0))=TRUE," ",(VLOOKUP(B199,'Base de Datos'!$C$487:$N$4077,10,0)))</f>
        <v>43026</v>
      </c>
      <c r="Q199" s="709"/>
      <c r="R199" s="524">
        <f>IF(ISERROR(VLOOKUP(B199,'Base de Datos'!$C$487:$N$4077,10,0))=TRUE," ",(VLOOKUP(B199,'Base de Datos'!$C$487:$N$4077,11,0)))</f>
        <v>43041</v>
      </c>
      <c r="S199" s="524">
        <f>IF(ISERROR(VLOOKUP(B199,'Base de Datos'!$C$487:$N$4077,11,0))=TRUE," ",(VLOOKUP(B199,'Base de Datos'!$C$487:$N$4077,12,0)))</f>
        <v>43133</v>
      </c>
      <c r="T199" s="506" t="str">
        <f>VLOOKUP(B199,'Base de Datos'!$C$487:$AU$4129,41,0)</f>
        <v>LIQUIDADO</v>
      </c>
      <c r="U199" s="694"/>
      <c r="V199" s="607"/>
    </row>
    <row r="200" spans="2:22" ht="22.8" outlineLevel="1" x14ac:dyDescent="0.3">
      <c r="B200" s="525">
        <v>210</v>
      </c>
      <c r="C200" s="506" t="str">
        <f>IF(ISERROR(VLOOKUP(B200,'Base de Datos'!$C$487:$F$4092,2,0))=TRUE,"",(VLOOKUP('Presupuesto - PAA 2017'!B200,'Base de Datos'!$C$7:$F$4092,3,0)))</f>
        <v>150198-0-2015</v>
      </c>
      <c r="D200" s="506" t="str">
        <f>IF(ISERROR(VLOOKUP(B200,'Base de Datos'!$C$487:$F$4092,3,0))=TRUE,"",(VLOOKUP('Presupuesto - PAA 2017'!B200,'Base de Datos'!$C$487:$F$4092,4,0)))</f>
        <v>TECNOLOGIA BIOMEDICA Y SUMINISTROS LTDA</v>
      </c>
      <c r="E200" s="509">
        <f>VLOOKUP(B200,[7]PAA2017!$C$65:$AA$255,20,0)</f>
        <v>12427000</v>
      </c>
      <c r="F200" s="507" t="str">
        <f>VLOOKUP(B200,[8]SOLICITUDES!$B$3:$H$278,2,0)</f>
        <v>NO</v>
      </c>
      <c r="G200" s="507"/>
      <c r="H200" s="507"/>
      <c r="I200" s="507"/>
      <c r="J200" s="509">
        <f>IF(ISERROR(VLOOKUP(B200,'Base de Datos'!$C$487:$N$4092,6,0))=TRUE,"Sin Celebrar",(VLOOKUP(B200,'Base de Datos'!$C$487:$N$4092,7,0)))</f>
        <v>3790032</v>
      </c>
      <c r="K200" s="573"/>
      <c r="L200" s="553" t="str">
        <f>IF(J200=$AA$1,E200, " ")</f>
        <v xml:space="preserve"> </v>
      </c>
      <c r="M200" s="509"/>
      <c r="N200" s="509">
        <f>IF(J200&lt;E200,(E200-J200)," ")</f>
        <v>8636968</v>
      </c>
      <c r="O200" s="691" t="str">
        <f>IF(ISERROR(VLOOKUP(B200,'Base de Datos'!$C$487:$K$1048576,7,0))=TRUE," ",(VLOOKUP(B200,'Base de Datos'!$C$487:$K$1048576,8,0)))</f>
        <v>SDH- SMINC-24-2017</v>
      </c>
      <c r="P200" s="524">
        <f>IF(ISERROR(VLOOKUP(B200,'Base de Datos'!$C$487:$N$4077,9,0))=TRUE," ",(VLOOKUP(B200,'Base de Datos'!$C$487:$N$4077,10,0)))</f>
        <v>42971</v>
      </c>
      <c r="Q200" s="709"/>
      <c r="R200" s="524">
        <f>IF(ISERROR(VLOOKUP(B200,'Base de Datos'!$C$487:$N$4077,10,0))=TRUE," ",(VLOOKUP(B200,'Base de Datos'!$C$487:$N$4077,11,0)))</f>
        <v>42982</v>
      </c>
      <c r="S200" s="524">
        <f>IF(ISERROR(VLOOKUP(B200,'Base de Datos'!$C$487:$N$4077,11,0))=TRUE," ",(VLOOKUP(B200,'Base de Datos'!$C$487:$N$4077,12,0)))</f>
        <v>43073</v>
      </c>
      <c r="T200" s="506" t="str">
        <f>VLOOKUP(B200,'Base de Datos'!$C$487:$AU$4129,41,0)</f>
        <v>LIQUIDADO</v>
      </c>
      <c r="U200" s="694"/>
      <c r="V200" s="607"/>
    </row>
    <row r="201" spans="2:22" ht="14.25" customHeight="1" outlineLevel="1" x14ac:dyDescent="0.3">
      <c r="B201" s="525">
        <v>211</v>
      </c>
      <c r="C201" s="506" t="str">
        <f>IF(ISERROR(VLOOKUP(B201,'Base de Datos'!$C$487:$F$4092,2,0))=TRUE,"",(VLOOKUP('Presupuesto - PAA 2017'!B201,'Base de Datos'!$C$7:$F$4092,3,0)))</f>
        <v>160165-0-2016</v>
      </c>
      <c r="D201" s="506" t="str">
        <f>IF(ISERROR(VLOOKUP(B201,'Base de Datos'!$C$487:$F$4092,3,0))=TRUE,"",(VLOOKUP('Presupuesto - PAA 2017'!B201,'Base de Datos'!$C$487:$F$4092,4,0)))</f>
        <v>MEDICAL PROTECTION LTDA. SALUD OCUPACIONAL</v>
      </c>
      <c r="E201" s="509">
        <f>VLOOKUP(B201,[7]PAA2017!$C$65:$AA$255,20,0)</f>
        <v>165122000</v>
      </c>
      <c r="F201" s="507" t="str">
        <f>VLOOKUP(B201,[8]SOLICITUDES!$B$3:$H$278,2,0)</f>
        <v>SI</v>
      </c>
      <c r="G201" s="507"/>
      <c r="H201" s="507"/>
      <c r="I201" s="507"/>
      <c r="J201" s="509">
        <f>IF(ISERROR(VLOOKUP(B201,'Base de Datos'!$C$487:$N$4092,6,0))=TRUE,"Sin Celebrar",(VLOOKUP(B201,'Base de Datos'!$C$487:$N$4092,7,0)))</f>
        <v>56122000</v>
      </c>
      <c r="K201" s="573"/>
      <c r="L201" s="553" t="str">
        <f>IF(J201=$AA$1,E201, " ")</f>
        <v xml:space="preserve"> </v>
      </c>
      <c r="M201" s="509"/>
      <c r="N201" s="509">
        <f>IF(J201&lt;E201,(E201-J201)," ")</f>
        <v>109000000</v>
      </c>
      <c r="O201" s="691" t="str">
        <f>IF(ISERROR(VLOOKUP(B201,'Base de Datos'!$C$487:$K$1048576,7,0))=TRUE," ",(VLOOKUP(B201,'Base de Datos'!$C$487:$K$1048576,8,0)))</f>
        <v>SDH-SAMC-03-2017</v>
      </c>
      <c r="P201" s="524">
        <f>IF(ISERROR(VLOOKUP(B201,'Base de Datos'!$C$487:$N$4077,9,0))=TRUE," ",(VLOOKUP(B201,'Base de Datos'!$C$487:$N$4077,10,0)))</f>
        <v>42888</v>
      </c>
      <c r="Q201" s="709"/>
      <c r="R201" s="524">
        <f>IF(ISERROR(VLOOKUP(B201,'Base de Datos'!$C$487:$N$4077,10,0))=TRUE," ",(VLOOKUP(B201,'Base de Datos'!$C$487:$N$4077,11,0)))</f>
        <v>42898</v>
      </c>
      <c r="S201" s="524">
        <f>IF(ISERROR(VLOOKUP(B201,'Base de Datos'!$C$487:$N$4077,11,0))=TRUE," ",(VLOOKUP(B201,'Base de Datos'!$C$487:$N$4077,12,0)))</f>
        <v>43263</v>
      </c>
      <c r="T201" s="506" t="str">
        <f>VLOOKUP(B201,'Base de Datos'!$C$487:$AU$4129,41,0)</f>
        <v>LIQUIDADO</v>
      </c>
      <c r="U201" s="694"/>
      <c r="V201" s="607"/>
    </row>
    <row r="202" spans="2:22" ht="12" outlineLevel="1" x14ac:dyDescent="0.3">
      <c r="B202" s="621"/>
      <c r="C202" s="621"/>
      <c r="D202" s="506" t="s">
        <v>1934</v>
      </c>
      <c r="E202" s="509">
        <f>+E196-SUM(E198:E201)</f>
        <v>-144203000</v>
      </c>
      <c r="F202" s="507"/>
      <c r="G202" s="507"/>
      <c r="H202" s="507"/>
      <c r="I202" s="507"/>
      <c r="J202" s="527"/>
      <c r="K202" s="573"/>
      <c r="L202" s="527"/>
      <c r="M202" s="527"/>
      <c r="N202" s="527" t="str">
        <f>IF(J202&lt;E202,(E202-J202)," ")</f>
        <v xml:space="preserve"> </v>
      </c>
      <c r="O202" s="691" t="str">
        <f>IF(ISERROR(VLOOKUP(B202,'Base de Datos'!$C$7:$K$1048576,7,0))=TRUE," ",(VLOOKUP(B202,'Base de Datos'!$C$7:$K$1048576,7,0)))</f>
        <v xml:space="preserve"> </v>
      </c>
      <c r="P202" s="524" t="str">
        <f>IF(ISERROR(VLOOKUP(B202,'Base de Datos'!$C$7:$N$315,9,0))=TRUE," ",(VLOOKUP(B202,'Base de Datos'!$C$7:$N$315,9,0)))</f>
        <v xml:space="preserve"> </v>
      </c>
      <c r="Q202" s="506"/>
      <c r="R202" s="529" t="str">
        <f>IF(ISERROR(VLOOKUP(B202,'Base de Datos'!$C$7:$N$315,10,0))=TRUE," ",(VLOOKUP(B202,'Base de Datos'!$C$7:$N$315,10,0)))</f>
        <v xml:space="preserve"> </v>
      </c>
      <c r="S202" s="529" t="str">
        <f>IF(ISERROR(VLOOKUP(B202,'Base de Datos'!$C$7:$N$315,11,0))=TRUE," ",(VLOOKUP(B202,'Base de Datos'!$C$7:$N$315,11,0)))</f>
        <v xml:space="preserve"> </v>
      </c>
      <c r="T202" s="506"/>
      <c r="U202" s="694"/>
      <c r="V202" s="607"/>
    </row>
    <row r="203" spans="2:22" ht="12" outlineLevel="1" x14ac:dyDescent="0.3">
      <c r="B203" s="621"/>
      <c r="C203" s="621"/>
      <c r="D203" s="621"/>
      <c r="E203" s="509"/>
      <c r="F203" s="507"/>
      <c r="G203" s="507"/>
      <c r="H203" s="507"/>
      <c r="I203" s="507"/>
      <c r="J203" s="509"/>
      <c r="K203" s="573"/>
      <c r="L203" s="509"/>
      <c r="M203" s="509"/>
      <c r="N203" s="509"/>
      <c r="O203" s="651"/>
      <c r="P203" s="524"/>
      <c r="Q203" s="506"/>
      <c r="R203" s="524"/>
      <c r="S203" s="524"/>
      <c r="T203" s="506"/>
      <c r="U203" s="694"/>
      <c r="V203" s="607"/>
    </row>
    <row r="204" spans="2:22" ht="15" customHeight="1" x14ac:dyDescent="0.3">
      <c r="B204" s="1254" t="s">
        <v>1669</v>
      </c>
      <c r="C204" s="1254"/>
      <c r="D204" s="1254"/>
      <c r="E204" s="530">
        <v>40000000</v>
      </c>
      <c r="F204" s="531">
        <f>COUNTIF('Actualizada - presupuesto'!$E$7:$E$111,B204)</f>
        <v>0</v>
      </c>
      <c r="G204" s="531"/>
      <c r="H204" s="531"/>
      <c r="I204" s="531"/>
      <c r="J204" s="540">
        <f>+J205</f>
        <v>40000000</v>
      </c>
      <c r="K204" s="582">
        <f>J204/E204</f>
        <v>1</v>
      </c>
      <c r="L204" s="540"/>
      <c r="M204" s="540"/>
      <c r="N204" s="540">
        <f>SUM(N205)</f>
        <v>0</v>
      </c>
      <c r="O204" s="658"/>
      <c r="P204" s="546" t="str">
        <f>IF(ISERROR(VLOOKUP(B204,'Base de Datos'!$C$7:$N$315,8,0))=TRUE," ",(VLOOKUP(B204,'Base de Datos'!$C$7:$N$315,8,0)))</f>
        <v xml:space="preserve"> </v>
      </c>
      <c r="Q204" s="547"/>
      <c r="R204" s="546" t="str">
        <f>IF(ISERROR(VLOOKUP(B204,'Base de Datos'!$C$7:$N$315,9,0))=TRUE," ",(VLOOKUP(B204,'Base de Datos'!$C$7:$N$315,9,0)))</f>
        <v xml:space="preserve"> </v>
      </c>
      <c r="S204" s="546" t="str">
        <f>IF(ISERROR(VLOOKUP(B204,'Base de Datos'!$C$7:$N$315,10,0))=TRUE," ",(VLOOKUP(B204,'Base de Datos'!$C$7:$N$315,10,0)))</f>
        <v xml:space="preserve"> </v>
      </c>
      <c r="T204" s="542"/>
      <c r="U204" s="694"/>
      <c r="V204" s="607"/>
    </row>
    <row r="205" spans="2:22" ht="15" customHeight="1" x14ac:dyDescent="0.3">
      <c r="B205" s="1238" t="s">
        <v>1838</v>
      </c>
      <c r="C205" s="1238"/>
      <c r="D205" s="1238"/>
      <c r="E205" s="516">
        <v>40000000</v>
      </c>
      <c r="F205" s="513">
        <f>COUNTIF('Actualizada - presupuesto'!$E$7:$E$111,B205)</f>
        <v>0</v>
      </c>
      <c r="G205" s="513"/>
      <c r="H205" s="513"/>
      <c r="I205" s="513"/>
      <c r="J205" s="516">
        <f>+J207</f>
        <v>40000000</v>
      </c>
      <c r="K205" s="583"/>
      <c r="L205" s="516"/>
      <c r="M205" s="516"/>
      <c r="N205" s="516"/>
      <c r="O205" s="662"/>
      <c r="P205" s="548" t="str">
        <f>IF(ISERROR(VLOOKUP(B205,'Base de Datos'!$C$7:$N$315,8,0))=TRUE," ",(VLOOKUP(B205,'Base de Datos'!$C$7:$N$315,8,0)))</f>
        <v xml:space="preserve"> </v>
      </c>
      <c r="Q205" s="542"/>
      <c r="R205" s="548" t="str">
        <f>IF(ISERROR(VLOOKUP(B205,'Base de Datos'!$C$7:$N$315,9,0))=TRUE," ",(VLOOKUP(B205,'Base de Datos'!$C$7:$N$315,9,0)))</f>
        <v xml:space="preserve"> </v>
      </c>
      <c r="S205" s="548" t="str">
        <f>IF(ISERROR(VLOOKUP(B205,'Base de Datos'!$C$7:$N$315,10,0))=TRUE," ",(VLOOKUP(B205,'Base de Datos'!$C$7:$N$315,10,0)))</f>
        <v xml:space="preserve"> </v>
      </c>
      <c r="T205" s="542"/>
      <c r="U205" s="694"/>
      <c r="V205" s="607"/>
    </row>
    <row r="206" spans="2:22" s="588" customFormat="1" ht="23.25" customHeight="1" outlineLevel="1" x14ac:dyDescent="0.3">
      <c r="B206" s="510" t="s">
        <v>1822</v>
      </c>
      <c r="C206" s="510" t="s">
        <v>912</v>
      </c>
      <c r="D206" s="510" t="s">
        <v>1821</v>
      </c>
      <c r="E206" s="507" t="s">
        <v>1852</v>
      </c>
      <c r="F206" s="518" t="s">
        <v>1845</v>
      </c>
      <c r="G206" s="518"/>
      <c r="H206" s="518"/>
      <c r="I206" s="518"/>
      <c r="J206" s="506" t="s">
        <v>1844</v>
      </c>
      <c r="K206" s="585"/>
      <c r="L206" s="553"/>
      <c r="M206" s="553"/>
      <c r="N206" s="553"/>
      <c r="O206" s="663"/>
      <c r="P206" s="586"/>
      <c r="Q206" s="587"/>
      <c r="R206" s="586"/>
      <c r="S206" s="586"/>
      <c r="T206" s="587"/>
      <c r="U206" s="694"/>
      <c r="V206" s="607"/>
    </row>
    <row r="207" spans="2:22" s="588" customFormat="1" ht="15" customHeight="1" outlineLevel="1" x14ac:dyDescent="0.3">
      <c r="B207" s="510"/>
      <c r="C207" s="506"/>
      <c r="D207" s="506"/>
      <c r="E207" s="507"/>
      <c r="F207" s="509">
        <v>40000000</v>
      </c>
      <c r="G207" s="509"/>
      <c r="H207" s="509"/>
      <c r="I207" s="509"/>
      <c r="J207" s="509">
        <v>40000000</v>
      </c>
      <c r="K207" s="585"/>
      <c r="L207" s="553"/>
      <c r="M207" s="553"/>
      <c r="N207" s="553"/>
      <c r="O207" s="663"/>
      <c r="P207" s="586"/>
      <c r="Q207" s="587"/>
      <c r="R207" s="586"/>
      <c r="S207" s="586"/>
      <c r="T207" s="587"/>
      <c r="U207" s="694"/>
      <c r="V207" s="607"/>
    </row>
    <row r="208" spans="2:22" s="588" customFormat="1" ht="15" customHeight="1" outlineLevel="1" x14ac:dyDescent="0.3">
      <c r="B208" s="848"/>
      <c r="C208" s="848"/>
      <c r="D208" s="848"/>
      <c r="E208" s="553"/>
      <c r="F208" s="507"/>
      <c r="G208" s="507"/>
      <c r="H208" s="507"/>
      <c r="I208" s="507"/>
      <c r="J208" s="553"/>
      <c r="K208" s="585"/>
      <c r="L208" s="553"/>
      <c r="M208" s="553"/>
      <c r="N208" s="553"/>
      <c r="O208" s="663"/>
      <c r="P208" s="586"/>
      <c r="Q208" s="587"/>
      <c r="R208" s="586"/>
      <c r="S208" s="586"/>
      <c r="T208" s="587"/>
      <c r="U208" s="694"/>
      <c r="V208" s="607"/>
    </row>
    <row r="209" spans="2:22" ht="15" customHeight="1" x14ac:dyDescent="0.3">
      <c r="B209" s="1239" t="s">
        <v>1671</v>
      </c>
      <c r="C209" s="1239"/>
      <c r="D209" s="1239"/>
      <c r="E209" s="554">
        <v>1800000000</v>
      </c>
      <c r="F209" s="559">
        <f>COUNTIF('Actualizada - presupuesto'!$E$7:$E$111,B209)</f>
        <v>2</v>
      </c>
      <c r="G209" s="559"/>
      <c r="H209" s="559"/>
      <c r="I209" s="559"/>
      <c r="J209" s="554">
        <f>SUM(J211:J213)</f>
        <v>1309999990</v>
      </c>
      <c r="K209" s="576">
        <f>J209/E209</f>
        <v>0.72777777222222217</v>
      </c>
      <c r="L209" s="554" t="e">
        <f>SUM(L211:L213)</f>
        <v>#N/A</v>
      </c>
      <c r="M209" s="554"/>
      <c r="N209" s="554" t="e">
        <f>+E209-J209-L209</f>
        <v>#N/A</v>
      </c>
      <c r="O209" s="657"/>
      <c r="P209" s="564" t="str">
        <f>IF(ISERROR(VLOOKUP(B209,'Base de Datos'!$C$7:$N$315,8,0))=TRUE," ",(VLOOKUP(B209,'Base de Datos'!$C$7:$N$315,8,0)))</f>
        <v xml:space="preserve"> </v>
      </c>
      <c r="Q209" s="565"/>
      <c r="R209" s="564" t="str">
        <f>IF(ISERROR(VLOOKUP(B209,'Base de Datos'!$C$7:$N$315,9,0))=TRUE," ",(VLOOKUP(B209,'Base de Datos'!$C$7:$N$315,9,0)))</f>
        <v xml:space="preserve"> </v>
      </c>
      <c r="S209" s="564" t="str">
        <f>IF(ISERROR(VLOOKUP(B209,'Base de Datos'!$C$7:$N$315,10,0))=TRUE," ",(VLOOKUP(B209,'Base de Datos'!$C$7:$N$315,10,0)))</f>
        <v xml:space="preserve"> </v>
      </c>
      <c r="T209" s="565"/>
      <c r="U209" s="694"/>
      <c r="V209" s="607"/>
    </row>
    <row r="210" spans="2:22" ht="22.8" outlineLevel="1" x14ac:dyDescent="0.3">
      <c r="B210" s="510" t="s">
        <v>1692</v>
      </c>
      <c r="C210" s="510" t="s">
        <v>912</v>
      </c>
      <c r="D210" s="510" t="s">
        <v>1821</v>
      </c>
      <c r="E210" s="518" t="s">
        <v>1845</v>
      </c>
      <c r="F210" s="507" t="s">
        <v>1852</v>
      </c>
      <c r="G210" s="507"/>
      <c r="H210" s="507"/>
      <c r="I210" s="507"/>
      <c r="J210" s="510" t="s">
        <v>1844</v>
      </c>
      <c r="K210" s="625"/>
      <c r="L210" s="510" t="s">
        <v>1938</v>
      </c>
      <c r="M210" s="510"/>
      <c r="N210" s="510" t="s">
        <v>1939</v>
      </c>
      <c r="O210" s="650"/>
      <c r="P210" s="541" t="s">
        <v>1846</v>
      </c>
      <c r="Q210" s="510" t="s">
        <v>1847</v>
      </c>
      <c r="R210" s="510" t="s">
        <v>1848</v>
      </c>
      <c r="S210" s="510" t="s">
        <v>375</v>
      </c>
      <c r="T210" s="510" t="s">
        <v>1849</v>
      </c>
      <c r="U210" s="694"/>
      <c r="V210" s="607"/>
    </row>
    <row r="211" spans="2:22" outlineLevel="1" x14ac:dyDescent="0.3">
      <c r="B211" s="510">
        <v>177</v>
      </c>
      <c r="C211" s="506" t="str">
        <f>IF(ISERROR(VLOOKUP(B211,'Base de Datos'!$C$487:$F$4092,2,0))=TRUE,"",(VLOOKUP('Presupuesto - PAA 2017'!B211,'Base de Datos'!$C$7:$F$4092,3,0)))</f>
        <v>150193-0-2015</v>
      </c>
      <c r="D211" s="506" t="str">
        <f>IF(ISERROR(VLOOKUP(B211,'Base de Datos'!$C$487:$F$4092,3,0))=TRUE,"",(VLOOKUP('Presupuesto - PAA 2017'!B211,'Base de Datos'!$C$487:$F$4092,4,0)))</f>
        <v>PERIODICOS Y PUBLICACIONES SA</v>
      </c>
      <c r="E211" s="509">
        <f>VLOOKUP(B211,[7]PAA2017!$C$65:$AA$255,20,0)</f>
        <v>155000000</v>
      </c>
      <c r="F211" s="507" t="e">
        <f>VLOOKUP(B211,[8]SOLICITUDES!$B$3:$H$278,2,0)</f>
        <v>#N/A</v>
      </c>
      <c r="G211" s="507"/>
      <c r="H211" s="507"/>
      <c r="I211" s="507"/>
      <c r="J211" s="509">
        <f>IF(ISERROR(VLOOKUP(B211,'Base de Datos'!$C$487:$N$4092,6,0))=TRUE,"Sin Celebrar",(VLOOKUP(B211,'Base de Datos'!$C$487:$N$4092,7,0)))</f>
        <v>400000000</v>
      </c>
      <c r="K211" s="573"/>
      <c r="L211" s="553" t="str">
        <f>IF(J211=$AA$1,E211, " ")</f>
        <v xml:space="preserve"> </v>
      </c>
      <c r="M211" s="509"/>
      <c r="N211" s="509" t="str">
        <f>IF(J211&lt;E211,(E211-J211)," ")</f>
        <v xml:space="preserve"> </v>
      </c>
      <c r="O211" s="691" t="str">
        <f>IF(ISERROR(VLOOKUP(B211,'Base de Datos'!$C$487:$K$1048576,7,0))=TRUE," ",(VLOOKUP(B211,'Base de Datos'!$C$487:$K$1048576,8,0)))</f>
        <v>SDH-SIE-24-2016</v>
      </c>
      <c r="P211" s="524">
        <f>IF(ISERROR(VLOOKUP(B211,'Base de Datos'!$C$487:$N$4077,9,0))=TRUE," ",(VLOOKUP(B211,'Base de Datos'!$C$487:$N$4077,10,0)))</f>
        <v>42746</v>
      </c>
      <c r="Q211" s="709"/>
      <c r="R211" s="524">
        <f>IF(ISERROR(VLOOKUP(B211,'Base de Datos'!$C$487:$N$4077,10,0))=TRUE," ",(VLOOKUP(B211,'Base de Datos'!$C$487:$N$4077,11,0)))</f>
        <v>42773</v>
      </c>
      <c r="S211" s="524">
        <f>IF(ISERROR(VLOOKUP(B211,'Base de Datos'!$C$487:$N$4077,11,0))=TRUE," ",(VLOOKUP(B211,'Base de Datos'!$C$487:$N$4077,12,0)))</f>
        <v>43046</v>
      </c>
      <c r="T211" s="506" t="str">
        <f>VLOOKUP(B211,'Base de Datos'!$C$487:$AU$4129,41,0)</f>
        <v>LIQUIDADO</v>
      </c>
      <c r="U211" s="694"/>
      <c r="V211" s="607"/>
    </row>
    <row r="212" spans="2:22" ht="25.5" customHeight="1" outlineLevel="1" x14ac:dyDescent="0.3">
      <c r="B212" s="525">
        <v>178</v>
      </c>
      <c r="C212" s="506" t="str">
        <f>IF(ISERROR(VLOOKUP(B212,'Base de Datos'!$C$487:$F$4092,2,0))=TRUE,"",(VLOOKUP('Presupuesto - PAA 2017'!B212,'Base de Datos'!$C$7:$F$4092,3,0)))</f>
        <v>150152-0-2015</v>
      </c>
      <c r="D212" s="506" t="str">
        <f>IF(ISERROR(VLOOKUP(B212,'Base de Datos'!$C$487:$F$4092,3,0))=TRUE,"",(VLOOKUP('Presupuesto - PAA 2017'!B212,'Base de Datos'!$C$487:$F$4092,4,0)))</f>
        <v>CANAL CAPITAL</v>
      </c>
      <c r="E212" s="509">
        <f>VLOOKUP(B212,[7]PAA2017!$C$65:$AA$255,20,0)</f>
        <v>1314000000</v>
      </c>
      <c r="F212" s="507" t="e">
        <f>VLOOKUP(B212,[8]SOLICITUDES!$B$3:$H$278,2,0)</f>
        <v>#N/A</v>
      </c>
      <c r="G212" s="507"/>
      <c r="H212" s="507"/>
      <c r="I212" s="507"/>
      <c r="J212" s="509">
        <f>IF(ISERROR(VLOOKUP(B212,'Base de Datos'!$C$487:$N$4092,6,0))=TRUE,"Sin Celebrar",(VLOOKUP(B212,'Base de Datos'!$C$487:$N$4092,7,0)))</f>
        <v>909999990</v>
      </c>
      <c r="K212" s="573"/>
      <c r="L212" s="553" t="str">
        <f>IF(J212=$AA$1,E212, " ")</f>
        <v xml:space="preserve"> </v>
      </c>
      <c r="M212" s="509"/>
      <c r="N212" s="509">
        <f>IF(J212&lt;E212,(E212-J212)," ")</f>
        <v>404000010</v>
      </c>
      <c r="O212" s="691" t="str">
        <f>IF(ISERROR(VLOOKUP(B212,'Base de Datos'!$C$487:$K$1048576,7,0))=TRUE," ",(VLOOKUP(B212,'Base de Datos'!$C$487:$K$1048576,8,0)))</f>
        <v>170185-0-2017</v>
      </c>
      <c r="P212" s="524">
        <f>IF(ISERROR(VLOOKUP(B212,'Base de Datos'!$C$487:$N$4077,9,0))=TRUE," ",(VLOOKUP(B212,'Base de Datos'!$C$487:$N$4077,10,0)))</f>
        <v>42933</v>
      </c>
      <c r="Q212" s="709"/>
      <c r="R212" s="524">
        <f>IF(ISERROR(VLOOKUP(B212,'Base de Datos'!$C$487:$N$4077,10,0))=TRUE," ",(VLOOKUP(B212,'Base de Datos'!$C$487:$N$4077,11,0)))</f>
        <v>42948</v>
      </c>
      <c r="S212" s="524">
        <f>IF(ISERROR(VLOOKUP(B212,'Base de Datos'!$C$487:$N$4077,11,0))=TRUE," ",(VLOOKUP(B212,'Base de Datos'!$C$487:$N$4077,12,0)))</f>
        <v>43221</v>
      </c>
      <c r="T212" s="506" t="str">
        <f>VLOOKUP(B212,'Base de Datos'!$C$487:$AU$4129,41,0)</f>
        <v>LIQUIDADO</v>
      </c>
      <c r="U212" s="694"/>
      <c r="V212" s="607"/>
    </row>
    <row r="213" spans="2:22" outlineLevel="1" x14ac:dyDescent="0.3">
      <c r="B213" s="510"/>
      <c r="C213" s="506" t="str">
        <f>IF(ISERROR(VLOOKUP(B213,'Base de Datos'!$C$487:$F$4092,2,0))=TRUE,"",(VLOOKUP('Presupuesto - PAA 2017'!B213,'Base de Datos'!$C$7:$F$4092,3,0)))</f>
        <v/>
      </c>
      <c r="D213" s="506" t="str">
        <f>IF(ISERROR(VLOOKUP(B213,'Base de Datos'!$C$487:$F$4092,3,0))=TRUE,"",(VLOOKUP('Presupuesto - PAA 2017'!B213,'Base de Datos'!$C$487:$F$4092,4,0)))</f>
        <v/>
      </c>
      <c r="E213" s="509" t="e">
        <f>VLOOKUP(B213,[7]PAA2017!$C$65:$AA$255,20,0)</f>
        <v>#N/A</v>
      </c>
      <c r="F213" s="507" t="e">
        <f>VLOOKUP(B213,[8]SOLICITUDES!$B$3:$H$278,2,0)</f>
        <v>#N/A</v>
      </c>
      <c r="G213" s="507"/>
      <c r="H213" s="507"/>
      <c r="I213" s="507"/>
      <c r="J213" s="509" t="str">
        <f>IF(ISERROR(VLOOKUP(B213,'Base de Datos'!$C$487:$N$4092,6,0))=TRUE,"Sin Celebrar",(VLOOKUP(B213,'Base de Datos'!$C$487:$N$4092,7,0)))</f>
        <v>Sin Celebrar</v>
      </c>
      <c r="K213" s="573"/>
      <c r="L213" s="553" t="e">
        <f>IF(J213=$AA$1,E213, " ")</f>
        <v>#N/A</v>
      </c>
      <c r="M213" s="509"/>
      <c r="N213" s="509" t="e">
        <f>IF(J213&lt;E213,(E213-J213)," ")</f>
        <v>#N/A</v>
      </c>
      <c r="O213" s="691" t="str">
        <f>IF(ISERROR(VLOOKUP(B213,'Base de Datos'!$C$487:$K$1048576,7,0))=TRUE," ",(VLOOKUP(B213,'Base de Datos'!$C$487:$K$1048576,8,0)))</f>
        <v xml:space="preserve"> </v>
      </c>
      <c r="P213" s="524" t="str">
        <f>IF(ISERROR(VLOOKUP(B213,'Base de Datos'!$C$487:$N$4077,9,0))=TRUE," ",(VLOOKUP(B213,'Base de Datos'!$C$487:$N$4077,10,0)))</f>
        <v xml:space="preserve"> </v>
      </c>
      <c r="Q213" s="709"/>
      <c r="R213" s="524" t="str">
        <f>IF(ISERROR(VLOOKUP(B213,'Base de Datos'!$C$487:$N$4077,10,0))=TRUE," ",(VLOOKUP(B213,'Base de Datos'!$C$487:$N$4077,11,0)))</f>
        <v xml:space="preserve"> </v>
      </c>
      <c r="S213" s="524" t="str">
        <f>IF(ISERROR(VLOOKUP(B213,'Base de Datos'!$C$487:$N$4077,11,0))=TRUE," ",(VLOOKUP(B213,'Base de Datos'!$C$487:$N$4077,12,0)))</f>
        <v xml:space="preserve"> </v>
      </c>
      <c r="T213" s="506" t="e">
        <f>VLOOKUP(B213,'Base de Datos'!$C$487:$AU$4129,41,0)</f>
        <v>#N/A</v>
      </c>
      <c r="U213" s="694"/>
      <c r="V213" s="607"/>
    </row>
    <row r="214" spans="2:22" ht="12" outlineLevel="1" x14ac:dyDescent="0.3">
      <c r="B214" s="510"/>
      <c r="C214" s="621"/>
      <c r="D214" s="506" t="s">
        <v>1934</v>
      </c>
      <c r="E214" s="509" t="e">
        <f>+E209-(SUM(E211:E213))</f>
        <v>#N/A</v>
      </c>
      <c r="F214" s="507"/>
      <c r="G214" s="507"/>
      <c r="H214" s="507"/>
      <c r="I214" s="507"/>
      <c r="J214" s="509"/>
      <c r="K214" s="573"/>
      <c r="L214" s="527"/>
      <c r="M214" s="509"/>
      <c r="N214" s="509"/>
      <c r="O214" s="691" t="str">
        <f>IF(ISERROR(VLOOKUP(B214,'Base de Datos'!$C$7:$K$1048576,7,0))=TRUE," ",(VLOOKUP(B214,'Base de Datos'!$C$7:$K$1048576,7,0)))</f>
        <v xml:space="preserve"> </v>
      </c>
      <c r="P214" s="524"/>
      <c r="Q214" s="506"/>
      <c r="R214" s="529"/>
      <c r="S214" s="529"/>
      <c r="T214" s="506"/>
      <c r="U214" s="694"/>
      <c r="V214" s="607"/>
    </row>
    <row r="215" spans="2:22" ht="12" outlineLevel="1" x14ac:dyDescent="0.3">
      <c r="B215" s="621"/>
      <c r="C215" s="621"/>
      <c r="D215" s="621"/>
      <c r="E215" s="509"/>
      <c r="F215" s="507"/>
      <c r="G215" s="507"/>
      <c r="H215" s="507"/>
      <c r="I215" s="507"/>
      <c r="J215" s="509"/>
      <c r="K215" s="573"/>
      <c r="L215" s="509"/>
      <c r="M215" s="509"/>
      <c r="N215" s="509"/>
      <c r="O215" s="651"/>
      <c r="P215" s="524"/>
      <c r="Q215" s="506"/>
      <c r="R215" s="524"/>
      <c r="S215" s="524"/>
      <c r="T215" s="506"/>
      <c r="U215" s="694"/>
      <c r="V215" s="607"/>
    </row>
    <row r="216" spans="2:22" ht="15" customHeight="1" x14ac:dyDescent="0.3">
      <c r="B216" s="1254" t="s">
        <v>1672</v>
      </c>
      <c r="C216" s="1254"/>
      <c r="D216" s="1254"/>
      <c r="E216" s="530">
        <v>36000000</v>
      </c>
      <c r="F216" s="531"/>
      <c r="G216" s="531"/>
      <c r="H216" s="531"/>
      <c r="I216" s="531"/>
      <c r="J216" s="540">
        <f>+J217</f>
        <v>908534</v>
      </c>
      <c r="K216" s="582">
        <f>J216/E216</f>
        <v>2.5237055555555554E-2</v>
      </c>
      <c r="L216" s="540">
        <f>+L217</f>
        <v>91466</v>
      </c>
      <c r="M216" s="540"/>
      <c r="N216" s="540">
        <f>SUM(N217)</f>
        <v>18203084</v>
      </c>
      <c r="O216" s="658"/>
      <c r="P216" s="546" t="str">
        <f>IF(ISERROR(VLOOKUP(B216,'Base de Datos'!$C$7:$N$315,8,0))=TRUE," ",(VLOOKUP(B216,'Base de Datos'!$C$7:$N$315,8,0)))</f>
        <v xml:space="preserve"> </v>
      </c>
      <c r="Q216" s="547"/>
      <c r="R216" s="546" t="str">
        <f>IF(ISERROR(VLOOKUP(B216,'Base de Datos'!$C$7:$N$315,9,0))=TRUE," ",(VLOOKUP(B216,'Base de Datos'!$C$7:$N$315,9,0)))</f>
        <v xml:space="preserve"> </v>
      </c>
      <c r="S216" s="546" t="str">
        <f>IF(ISERROR(VLOOKUP(B216,'Base de Datos'!$C$7:$N$315,10,0))=TRUE," ",(VLOOKUP(B216,'Base de Datos'!$C$7:$N$315,10,0)))</f>
        <v xml:space="preserve"> </v>
      </c>
      <c r="T216" s="542"/>
      <c r="U216" s="694"/>
      <c r="V216" s="607"/>
    </row>
    <row r="217" spans="2:22" ht="15" customHeight="1" x14ac:dyDescent="0.3">
      <c r="B217" s="1238" t="s">
        <v>1837</v>
      </c>
      <c r="C217" s="1238"/>
      <c r="D217" s="1238"/>
      <c r="E217" s="516">
        <v>1000000</v>
      </c>
      <c r="F217" s="513"/>
      <c r="G217" s="513"/>
      <c r="H217" s="513"/>
      <c r="I217" s="513"/>
      <c r="J217" s="516">
        <f>+J219</f>
        <v>908534</v>
      </c>
      <c r="K217" s="583">
        <f>J217/E217</f>
        <v>0.90853399999999995</v>
      </c>
      <c r="L217" s="516">
        <f>+L219</f>
        <v>91466</v>
      </c>
      <c r="M217" s="516"/>
      <c r="N217" s="516">
        <f>SUM(N219:N225)</f>
        <v>18203084</v>
      </c>
      <c r="O217" s="662"/>
      <c r="P217" s="548" t="str">
        <f>IF(ISERROR(VLOOKUP(B217,'Base de Datos'!$C$7:$N$315,8,0))=TRUE," ",(VLOOKUP(B217,'Base de Datos'!$C$7:$N$315,8,0)))</f>
        <v xml:space="preserve"> </v>
      </c>
      <c r="Q217" s="542"/>
      <c r="R217" s="548" t="str">
        <f>IF(ISERROR(VLOOKUP(B217,'Base de Datos'!$C$7:$N$315,9,0))=TRUE," ",(VLOOKUP(B217,'Base de Datos'!$C$7:$N$315,9,0)))</f>
        <v xml:space="preserve"> </v>
      </c>
      <c r="S217" s="548" t="str">
        <f>IF(ISERROR(VLOOKUP(B217,'Base de Datos'!$C$7:$N$315,10,0))=TRUE," ",(VLOOKUP(B217,'Base de Datos'!$C$7:$N$315,10,0)))</f>
        <v xml:space="preserve"> </v>
      </c>
      <c r="T217" s="542"/>
      <c r="U217" s="694"/>
      <c r="V217" s="607"/>
    </row>
    <row r="218" spans="2:22" s="588" customFormat="1" ht="21.75" customHeight="1" outlineLevel="1" x14ac:dyDescent="0.3">
      <c r="B218" s="510" t="s">
        <v>1692</v>
      </c>
      <c r="C218" s="510" t="s">
        <v>912</v>
      </c>
      <c r="D218" s="510" t="s">
        <v>1821</v>
      </c>
      <c r="E218" s="518" t="s">
        <v>1845</v>
      </c>
      <c r="F218" s="507" t="s">
        <v>1852</v>
      </c>
      <c r="G218" s="507"/>
      <c r="H218" s="507"/>
      <c r="I218" s="507"/>
      <c r="J218" s="510" t="s">
        <v>1844</v>
      </c>
      <c r="K218" s="625"/>
      <c r="L218" s="510" t="s">
        <v>1938</v>
      </c>
      <c r="M218" s="510"/>
      <c r="N218" s="510" t="s">
        <v>1939</v>
      </c>
      <c r="O218" s="650"/>
      <c r="P218" s="541" t="s">
        <v>1846</v>
      </c>
      <c r="Q218" s="510" t="s">
        <v>1847</v>
      </c>
      <c r="R218" s="510" t="s">
        <v>1848</v>
      </c>
      <c r="S218" s="510" t="s">
        <v>375</v>
      </c>
      <c r="T218" s="510" t="s">
        <v>1849</v>
      </c>
      <c r="U218" s="694"/>
      <c r="V218" s="607"/>
    </row>
    <row r="219" spans="2:22" s="588" customFormat="1" ht="15" customHeight="1" outlineLevel="1" x14ac:dyDescent="0.3">
      <c r="B219" s="510"/>
      <c r="C219" s="506"/>
      <c r="D219" s="506" t="s">
        <v>2264</v>
      </c>
      <c r="E219" s="553">
        <v>1000000</v>
      </c>
      <c r="F219" s="509"/>
      <c r="G219" s="509"/>
      <c r="H219" s="509"/>
      <c r="I219" s="509"/>
      <c r="J219" s="509">
        <v>908534</v>
      </c>
      <c r="K219" s="585"/>
      <c r="L219" s="509">
        <f>E219-J219</f>
        <v>91466</v>
      </c>
      <c r="M219" s="553"/>
      <c r="N219" s="506"/>
      <c r="O219" s="664"/>
      <c r="P219" s="586"/>
      <c r="Q219" s="587"/>
      <c r="R219" s="586"/>
      <c r="S219" s="586"/>
      <c r="T219" s="587"/>
      <c r="U219" s="694"/>
      <c r="V219" s="607"/>
    </row>
    <row r="220" spans="2:22" s="588" customFormat="1" ht="15" customHeight="1" outlineLevel="1" x14ac:dyDescent="0.3">
      <c r="B220" s="510"/>
      <c r="C220" s="506"/>
      <c r="D220" s="506"/>
      <c r="E220" s="553"/>
      <c r="F220" s="509"/>
      <c r="G220" s="509"/>
      <c r="H220" s="509"/>
      <c r="I220" s="509"/>
      <c r="J220" s="509"/>
      <c r="K220" s="585"/>
      <c r="L220" s="509"/>
      <c r="M220" s="553"/>
      <c r="N220" s="506"/>
      <c r="O220" s="664"/>
      <c r="P220" s="586"/>
      <c r="Q220" s="587"/>
      <c r="R220" s="586"/>
      <c r="S220" s="586"/>
      <c r="T220" s="587"/>
      <c r="U220" s="694"/>
      <c r="V220" s="607"/>
    </row>
    <row r="221" spans="2:22" s="588" customFormat="1" ht="15" customHeight="1" x14ac:dyDescent="0.3">
      <c r="B221" s="1238" t="s">
        <v>2126</v>
      </c>
      <c r="C221" s="1238"/>
      <c r="D221" s="1238"/>
      <c r="E221" s="516">
        <v>35000000</v>
      </c>
      <c r="F221" s="513"/>
      <c r="G221" s="513"/>
      <c r="H221" s="513"/>
      <c r="I221" s="513"/>
      <c r="J221" s="516">
        <f>SUM(J223:J224)</f>
        <v>25744458</v>
      </c>
      <c r="K221" s="583"/>
      <c r="L221" s="516">
        <f>SUM(L223:L224)</f>
        <v>0</v>
      </c>
      <c r="M221" s="516"/>
      <c r="N221" s="516">
        <f>+E221-J221-L221</f>
        <v>9255542</v>
      </c>
      <c r="O221" s="662"/>
      <c r="P221" s="548" t="str">
        <f>IF(ISERROR(VLOOKUP(B221,'Base de Datos'!$C$7:$N$315,8,0))=TRUE," ",(VLOOKUP(B221,'Base de Datos'!$C$7:$N$315,8,0)))</f>
        <v xml:space="preserve"> </v>
      </c>
      <c r="Q221" s="542"/>
      <c r="R221" s="548" t="str">
        <f>IF(ISERROR(VLOOKUP(B221,'Base de Datos'!$C$7:$N$315,9,0))=TRUE," ",(VLOOKUP(B221,'Base de Datos'!$C$7:$N$315,9,0)))</f>
        <v xml:space="preserve"> </v>
      </c>
      <c r="S221" s="548" t="str">
        <f>IF(ISERROR(VLOOKUP(B221,'Base de Datos'!$C$7:$N$315,10,0))=TRUE," ",(VLOOKUP(B221,'Base de Datos'!$C$7:$N$315,10,0)))</f>
        <v xml:space="preserve"> </v>
      </c>
      <c r="T221" s="542"/>
      <c r="U221" s="694"/>
      <c r="V221" s="607"/>
    </row>
    <row r="222" spans="2:22" s="588" customFormat="1" ht="24" customHeight="1" outlineLevel="1" x14ac:dyDescent="0.3">
      <c r="B222" s="510" t="s">
        <v>1692</v>
      </c>
      <c r="C222" s="510" t="s">
        <v>912</v>
      </c>
      <c r="D222" s="510" t="s">
        <v>1821</v>
      </c>
      <c r="E222" s="518" t="s">
        <v>1845</v>
      </c>
      <c r="F222" s="507" t="s">
        <v>1852</v>
      </c>
      <c r="G222" s="507"/>
      <c r="H222" s="507"/>
      <c r="I222" s="507"/>
      <c r="J222" s="510" t="s">
        <v>1844</v>
      </c>
      <c r="K222" s="625"/>
      <c r="L222" s="510" t="s">
        <v>1938</v>
      </c>
      <c r="M222" s="510"/>
      <c r="N222" s="510" t="s">
        <v>1939</v>
      </c>
      <c r="O222" s="650"/>
      <c r="P222" s="541" t="s">
        <v>1846</v>
      </c>
      <c r="Q222" s="510" t="s">
        <v>1847</v>
      </c>
      <c r="R222" s="510" t="s">
        <v>1848</v>
      </c>
      <c r="S222" s="510" t="s">
        <v>375</v>
      </c>
      <c r="T222" s="510" t="s">
        <v>1849</v>
      </c>
      <c r="U222" s="694"/>
      <c r="V222" s="607"/>
    </row>
    <row r="223" spans="2:22" s="588" customFormat="1" ht="15" customHeight="1" outlineLevel="1" x14ac:dyDescent="0.3">
      <c r="B223" s="600">
        <v>367</v>
      </c>
      <c r="C223" s="506" t="str">
        <f>IF(ISERROR(VLOOKUP(B223,'Base de Datos'!$C$7:$F$4092,2,0))=TRUE,"",(VLOOKUP('Presupuesto - PAA 2017'!B223,'Base de Datos'!$C$7:$F$4092,3,0)))</f>
        <v>150394-0-2015</v>
      </c>
      <c r="D223" s="506" t="str">
        <f>IF(ISERROR(VLOOKUP(B223,'Base de Datos'!$C$7:$F$4092,3,0))=TRUE,"",(VLOOKUP('Presupuesto - PAA 2017'!B223,'Base de Datos'!$C$7:$F$4092,4,0)))</f>
        <v>SOLUCIONES H&amp;S SAS</v>
      </c>
      <c r="E223" s="553">
        <v>23860000</v>
      </c>
      <c r="F223" s="518" t="s">
        <v>390</v>
      </c>
      <c r="G223" s="509"/>
      <c r="H223" s="509"/>
      <c r="I223" s="509"/>
      <c r="J223" s="509">
        <f>IF(ISERROR(VLOOKUP(B223,'Base de Datos'!$C$7:$N$4092,6,0))=TRUE,"Sin Celebrar",(VLOOKUP(B223,'Base de Datos'!$C$7:$N$4092,7,0)))</f>
        <v>17340258</v>
      </c>
      <c r="K223" s="585"/>
      <c r="L223" s="527" t="str">
        <f>IF(J223=$AA$1,E223, " ")</f>
        <v xml:space="preserve"> </v>
      </c>
      <c r="M223" s="527"/>
      <c r="N223" s="527">
        <f>IF(J223&lt;E223,(E223-J223)," ")</f>
        <v>6519742</v>
      </c>
      <c r="O223" s="691" t="str">
        <f>IF(ISERROR(VLOOKUP(B223,'Base de Datos'!$C$7:$K$1048576,7,0))=TRUE," ",(VLOOKUP(B223,'Base de Datos'!$C$7:$K$1048576,8,0)))</f>
        <v>SDH-SMINC-063-2015</v>
      </c>
      <c r="P223" s="524">
        <f>IF(ISERROR(VLOOKUP(B223,'Base de Datos'!$C$7:$N$4077,9,0))=TRUE," ",(VLOOKUP(B223,'Base de Datos'!$C$7:$N$4077,10,0)))</f>
        <v>42332</v>
      </c>
      <c r="Q223" s="526" t="s">
        <v>378</v>
      </c>
      <c r="R223" s="524">
        <f>IF(ISERROR(VLOOKUP(B223,'Base de Datos'!$C$7:$N$4077,10,0))=TRUE," ",(VLOOKUP(B223,'Base de Datos'!$C$7:$N$4077,11,0)))</f>
        <v>42338</v>
      </c>
      <c r="S223" s="524">
        <f>IF(ISERROR(VLOOKUP(B223,'Base de Datos'!$C$7:$N$4077,11,0))=TRUE," ",(VLOOKUP(B223,'Base de Datos'!$C$7:$N$4077,12,0)))</f>
        <v>42399</v>
      </c>
      <c r="T223" s="506" t="s">
        <v>981</v>
      </c>
      <c r="U223" s="694"/>
      <c r="V223" s="607"/>
    </row>
    <row r="224" spans="2:22" s="588" customFormat="1" ht="15" customHeight="1" outlineLevel="1" x14ac:dyDescent="0.3">
      <c r="B224" s="600">
        <v>368</v>
      </c>
      <c r="C224" s="506" t="str">
        <f>IF(ISERROR(VLOOKUP(B224,'Base de Datos'!$C$7:$F$4092,2,0))=TRUE,"",(VLOOKUP('Presupuesto - PAA 2017'!B224,'Base de Datos'!$C$7:$F$4092,3,0)))</f>
        <v>150404-0-2015</v>
      </c>
      <c r="D224" s="506" t="str">
        <f>IF(ISERROR(VLOOKUP(B224,'Base de Datos'!$C$7:$F$4092,3,0))=TRUE,"",(VLOOKUP('Presupuesto - PAA 2017'!B224,'Base de Datos'!$C$7:$F$4092,4,0)))</f>
        <v>PUBLIDRUGS LTDA</v>
      </c>
      <c r="E224" s="553">
        <v>10832000</v>
      </c>
      <c r="F224" s="518" t="s">
        <v>390</v>
      </c>
      <c r="G224" s="509"/>
      <c r="H224" s="509"/>
      <c r="I224" s="509"/>
      <c r="J224" s="509">
        <f>IF(ISERROR(VLOOKUP(B224,'Base de Datos'!$C$7:$N$4092,6,0))=TRUE,"Sin Celebrar",(VLOOKUP(B224,'Base de Datos'!$C$7:$N$4092,7,0)))</f>
        <v>8404200</v>
      </c>
      <c r="K224" s="585"/>
      <c r="L224" s="527" t="str">
        <f>IF(J224=$AA$1,E224, " ")</f>
        <v xml:space="preserve"> </v>
      </c>
      <c r="M224" s="527"/>
      <c r="N224" s="527">
        <f>IF(J224&lt;E224,(E224-J224)," ")</f>
        <v>2427800</v>
      </c>
      <c r="O224" s="691" t="str">
        <f>IF(ISERROR(VLOOKUP(B224,'Base de Datos'!$C$7:$K$1048576,7,0))=TRUE," ",(VLOOKUP(B224,'Base de Datos'!$C$7:$K$1048576,8,0)))</f>
        <v>SDH-SMINC-064-2015</v>
      </c>
      <c r="P224" s="524">
        <f>IF(ISERROR(VLOOKUP(B224,'Base de Datos'!$C$7:$N$4077,9,0))=TRUE," ",(VLOOKUP(B224,'Base de Datos'!$C$7:$N$4077,10,0)))</f>
        <v>42352</v>
      </c>
      <c r="Q224" s="526" t="s">
        <v>378</v>
      </c>
      <c r="R224" s="524">
        <f>IF(ISERROR(VLOOKUP(B224,'Base de Datos'!$C$7:$N$4077,10,0))=TRUE," ",(VLOOKUP(B224,'Base de Datos'!$C$7:$N$4077,11,0)))</f>
        <v>42383</v>
      </c>
      <c r="S224" s="524">
        <f>IF(ISERROR(VLOOKUP(B224,'Base de Datos'!$C$7:$N$4077,11,0))=TRUE," ",(VLOOKUP(B224,'Base de Datos'!$C$7:$N$4077,12,0)))</f>
        <v>42443</v>
      </c>
      <c r="T224" s="506"/>
      <c r="U224" s="694"/>
      <c r="V224" s="607"/>
    </row>
    <row r="225" spans="2:22" s="588" customFormat="1" ht="15" customHeight="1" outlineLevel="1" x14ac:dyDescent="0.3">
      <c r="B225" s="848"/>
      <c r="C225" s="848"/>
      <c r="D225" s="848"/>
      <c r="E225" s="553"/>
      <c r="F225" s="507"/>
      <c r="G225" s="507"/>
      <c r="H225" s="507"/>
      <c r="I225" s="507"/>
      <c r="J225" s="553"/>
      <c r="K225" s="585"/>
      <c r="L225" s="553"/>
      <c r="M225" s="553"/>
      <c r="N225" s="553"/>
      <c r="O225" s="663"/>
      <c r="P225" s="586"/>
      <c r="Q225" s="587"/>
      <c r="R225" s="586"/>
      <c r="S225" s="586"/>
      <c r="T225" s="587"/>
      <c r="U225" s="694"/>
      <c r="V225" s="607"/>
    </row>
    <row r="226" spans="2:22" ht="15" customHeight="1" x14ac:dyDescent="0.3">
      <c r="B226" s="1241" t="s">
        <v>1687</v>
      </c>
      <c r="C226" s="1241"/>
      <c r="D226" s="1241"/>
      <c r="E226" s="514">
        <v>8242477000</v>
      </c>
      <c r="F226" s="515"/>
      <c r="G226" s="514">
        <f t="shared" ref="G226:N230" si="13">+G227</f>
        <v>7542477000</v>
      </c>
      <c r="H226" s="514">
        <f t="shared" si="13"/>
        <v>0</v>
      </c>
      <c r="I226" s="514">
        <f t="shared" si="13"/>
        <v>7542477000</v>
      </c>
      <c r="J226" s="514">
        <f t="shared" si="13"/>
        <v>11652295575.200001</v>
      </c>
      <c r="K226" s="556">
        <f t="shared" si="13"/>
        <v>1.4136885762859879</v>
      </c>
      <c r="L226" s="514" t="e">
        <f t="shared" si="13"/>
        <v>#N/A</v>
      </c>
      <c r="M226" s="549"/>
      <c r="N226" s="514" t="e">
        <f t="shared" si="13"/>
        <v>#N/A</v>
      </c>
      <c r="O226" s="647"/>
      <c r="P226" s="549"/>
      <c r="Q226" s="544"/>
      <c r="R226" s="550" t="str">
        <f>IF(ISERROR(VLOOKUP(B226,'Base de Datos'!$C$7:$N$315,9,0))=TRUE," ",(VLOOKUP(B226,'Base de Datos'!$C$7:$N$315,9,0)))</f>
        <v xml:space="preserve"> </v>
      </c>
      <c r="S226" s="550" t="str">
        <f>IF(ISERROR(VLOOKUP(B226,'Base de Datos'!$C$7:$N$315,10,0))=TRUE," ",(VLOOKUP(B226,'Base de Datos'!$C$7:$N$315,10,0)))</f>
        <v xml:space="preserve"> </v>
      </c>
      <c r="T226" s="544"/>
      <c r="U226" s="694"/>
      <c r="V226" s="607"/>
    </row>
    <row r="227" spans="2:22" ht="15" customHeight="1" x14ac:dyDescent="0.3">
      <c r="B227" s="1240" t="s">
        <v>1686</v>
      </c>
      <c r="C227" s="1240"/>
      <c r="D227" s="1240"/>
      <c r="E227" s="512">
        <v>8242477000</v>
      </c>
      <c r="F227" s="513"/>
      <c r="G227" s="516">
        <f t="shared" si="13"/>
        <v>7542477000</v>
      </c>
      <c r="H227" s="516">
        <f t="shared" si="13"/>
        <v>0</v>
      </c>
      <c r="I227" s="516">
        <f t="shared" si="13"/>
        <v>7542477000</v>
      </c>
      <c r="J227" s="516">
        <f t="shared" si="13"/>
        <v>11652295575.200001</v>
      </c>
      <c r="K227" s="574">
        <f t="shared" si="13"/>
        <v>1.4136885762859879</v>
      </c>
      <c r="L227" s="516" t="e">
        <f t="shared" si="13"/>
        <v>#N/A</v>
      </c>
      <c r="M227" s="516"/>
      <c r="N227" s="516" t="e">
        <f t="shared" si="13"/>
        <v>#N/A</v>
      </c>
      <c r="O227" s="662"/>
      <c r="P227" s="548" t="str">
        <f>IF(ISERROR(VLOOKUP(B227,'Base de Datos'!$C$7:$N$315,8,0))=TRUE," ",(VLOOKUP(B227,'Base de Datos'!$C$7:$N$315,8,0)))</f>
        <v xml:space="preserve"> </v>
      </c>
      <c r="Q227" s="542"/>
      <c r="R227" s="548" t="str">
        <f>IF(ISERROR(VLOOKUP(B227,'Base de Datos'!$C$7:$N$315,9,0))=TRUE," ",(VLOOKUP(B227,'Base de Datos'!$C$7:$N$315,9,0)))</f>
        <v xml:space="preserve"> </v>
      </c>
      <c r="S227" s="548" t="str">
        <f>IF(ISERROR(VLOOKUP(B227,'Base de Datos'!$C$7:$N$315,10,0))=TRUE," ",(VLOOKUP(B227,'Base de Datos'!$C$7:$N$315,10,0)))</f>
        <v xml:space="preserve"> </v>
      </c>
      <c r="T227" s="542"/>
      <c r="U227" s="694"/>
      <c r="V227" s="607"/>
    </row>
    <row r="228" spans="2:22" ht="15" customHeight="1" x14ac:dyDescent="0.3">
      <c r="B228" s="1238" t="s">
        <v>1675</v>
      </c>
      <c r="C228" s="1238"/>
      <c r="D228" s="1238"/>
      <c r="E228" s="516">
        <v>8242477000</v>
      </c>
      <c r="F228" s="513"/>
      <c r="G228" s="516">
        <f t="shared" si="13"/>
        <v>7542477000</v>
      </c>
      <c r="H228" s="516">
        <f t="shared" si="13"/>
        <v>0</v>
      </c>
      <c r="I228" s="516">
        <f t="shared" si="13"/>
        <v>7542477000</v>
      </c>
      <c r="J228" s="516">
        <f t="shared" si="13"/>
        <v>11652295575.200001</v>
      </c>
      <c r="K228" s="574">
        <f t="shared" si="13"/>
        <v>1.4136885762859879</v>
      </c>
      <c r="L228" s="516" t="e">
        <f t="shared" si="13"/>
        <v>#N/A</v>
      </c>
      <c r="M228" s="516"/>
      <c r="N228" s="516" t="e">
        <f t="shared" si="13"/>
        <v>#N/A</v>
      </c>
      <c r="O228" s="662"/>
      <c r="P228" s="548" t="str">
        <f>IF(ISERROR(VLOOKUP(B228,'Base de Datos'!$C$7:$N$315,8,0))=TRUE," ",(VLOOKUP(B228,'Base de Datos'!$C$7:$N$315,8,0)))</f>
        <v xml:space="preserve"> </v>
      </c>
      <c r="Q228" s="542"/>
      <c r="R228" s="548" t="str">
        <f>IF(ISERROR(VLOOKUP(B228,'Base de Datos'!$C$7:$N$315,9,0))=TRUE," ",(VLOOKUP(B228,'Base de Datos'!$C$7:$N$315,9,0)))</f>
        <v xml:space="preserve"> </v>
      </c>
      <c r="S228" s="548" t="str">
        <f>IF(ISERROR(VLOOKUP(B228,'Base de Datos'!$C$7:$N$315,10,0))=TRUE," ",(VLOOKUP(B228,'Base de Datos'!$C$7:$N$315,10,0)))</f>
        <v xml:space="preserve"> </v>
      </c>
      <c r="T228" s="542"/>
      <c r="U228" s="694"/>
      <c r="V228" s="607"/>
    </row>
    <row r="229" spans="2:22" ht="15" customHeight="1" x14ac:dyDescent="0.3">
      <c r="B229" s="1238" t="s">
        <v>1836</v>
      </c>
      <c r="C229" s="1238"/>
      <c r="D229" s="1238"/>
      <c r="E229" s="516">
        <v>8242477000</v>
      </c>
      <c r="F229" s="513"/>
      <c r="G229" s="516">
        <f t="shared" si="13"/>
        <v>7542477000</v>
      </c>
      <c r="H229" s="516">
        <f t="shared" si="13"/>
        <v>0</v>
      </c>
      <c r="I229" s="516">
        <f t="shared" si="13"/>
        <v>7542477000</v>
      </c>
      <c r="J229" s="516">
        <f t="shared" si="13"/>
        <v>11652295575.200001</v>
      </c>
      <c r="K229" s="574">
        <f t="shared" si="13"/>
        <v>1.4136885762859879</v>
      </c>
      <c r="L229" s="516" t="e">
        <f t="shared" si="13"/>
        <v>#N/A</v>
      </c>
      <c r="M229" s="516"/>
      <c r="N229" s="516" t="e">
        <f t="shared" si="13"/>
        <v>#N/A</v>
      </c>
      <c r="O229" s="662"/>
      <c r="P229" s="548" t="str">
        <f>IF(ISERROR(VLOOKUP(B229,'Base de Datos'!$C$7:$N$315,8,0))=TRUE," ",(VLOOKUP(B229,'Base de Datos'!$C$7:$N$315,8,0)))</f>
        <v xml:space="preserve"> </v>
      </c>
      <c r="Q229" s="542"/>
      <c r="R229" s="548" t="str">
        <f>IF(ISERROR(VLOOKUP(B229,'Base de Datos'!$C$7:$N$315,9,0))=TRUE," ",(VLOOKUP(B229,'Base de Datos'!$C$7:$N$315,9,0)))</f>
        <v xml:space="preserve"> </v>
      </c>
      <c r="S229" s="548" t="str">
        <f>IF(ISERROR(VLOOKUP(B229,'Base de Datos'!$C$7:$N$315,10,0))=TRUE," ",(VLOOKUP(B229,'Base de Datos'!$C$7:$N$315,10,0)))</f>
        <v xml:space="preserve"> </v>
      </c>
      <c r="T229" s="542"/>
      <c r="U229" s="694"/>
      <c r="V229" s="607"/>
    </row>
    <row r="230" spans="2:22" ht="15" customHeight="1" x14ac:dyDescent="0.3">
      <c r="B230" s="1238" t="s">
        <v>1835</v>
      </c>
      <c r="C230" s="1238"/>
      <c r="D230" s="1238"/>
      <c r="E230" s="516">
        <v>8242477000</v>
      </c>
      <c r="F230" s="513"/>
      <c r="G230" s="516">
        <f t="shared" si="13"/>
        <v>7542477000</v>
      </c>
      <c r="H230" s="516">
        <f t="shared" si="13"/>
        <v>0</v>
      </c>
      <c r="I230" s="516">
        <f t="shared" si="13"/>
        <v>7542477000</v>
      </c>
      <c r="J230" s="516">
        <f t="shared" si="13"/>
        <v>11652295575.200001</v>
      </c>
      <c r="K230" s="574">
        <f t="shared" si="13"/>
        <v>1.4136885762859879</v>
      </c>
      <c r="L230" s="516" t="e">
        <f t="shared" si="13"/>
        <v>#N/A</v>
      </c>
      <c r="M230" s="516"/>
      <c r="N230" s="516" t="e">
        <f t="shared" si="13"/>
        <v>#N/A</v>
      </c>
      <c r="O230" s="662"/>
      <c r="P230" s="548" t="str">
        <f>IF(ISERROR(VLOOKUP(B230,'Base de Datos'!$C$7:$N$315,8,0))=TRUE," ",(VLOOKUP(B230,'Base de Datos'!$C$7:$N$315,8,0)))</f>
        <v xml:space="preserve"> </v>
      </c>
      <c r="Q230" s="542"/>
      <c r="R230" s="548" t="str">
        <f>IF(ISERROR(VLOOKUP(B230,'Base de Datos'!$C$7:$N$315,9,0))=TRUE," ",(VLOOKUP(B230,'Base de Datos'!$C$7:$N$315,9,0)))</f>
        <v xml:space="preserve"> </v>
      </c>
      <c r="S230" s="548" t="str">
        <f>IF(ISERROR(VLOOKUP(B230,'Base de Datos'!$C$7:$N$315,10,0))=TRUE," ",(VLOOKUP(B230,'Base de Datos'!$C$7:$N$315,10,0)))</f>
        <v xml:space="preserve"> </v>
      </c>
      <c r="T230" s="542"/>
      <c r="U230" s="694"/>
      <c r="V230" s="607"/>
    </row>
    <row r="231" spans="2:22" ht="15" customHeight="1" x14ac:dyDescent="0.3">
      <c r="B231" s="1239" t="s">
        <v>1873</v>
      </c>
      <c r="C231" s="1239"/>
      <c r="D231" s="1239"/>
      <c r="E231" s="554">
        <v>8242477000</v>
      </c>
      <c r="F231" s="559">
        <f>COUNTIF('Actualizada - presupuesto'!$E$7:$E$111,B231)</f>
        <v>0</v>
      </c>
      <c r="G231" s="554">
        <v>7542477000</v>
      </c>
      <c r="H231" s="559"/>
      <c r="I231" s="554">
        <v>7542477000</v>
      </c>
      <c r="J231" s="554">
        <f>+J233+J241</f>
        <v>11652295575.200001</v>
      </c>
      <c r="K231" s="576">
        <f>J231/E231</f>
        <v>1.4136885762859879</v>
      </c>
      <c r="L231" s="554" t="e">
        <f>+L233+L241</f>
        <v>#N/A</v>
      </c>
      <c r="M231" s="554"/>
      <c r="N231" s="554" t="e">
        <f>+E231-J231-L231</f>
        <v>#N/A</v>
      </c>
      <c r="O231" s="657"/>
      <c r="P231" s="564" t="str">
        <f>IF(ISERROR(VLOOKUP(B231,'Base de Datos'!$C$7:$N$315,8,0))=TRUE," ",(VLOOKUP(B231,'Base de Datos'!$C$7:$N$315,8,0)))</f>
        <v xml:space="preserve"> </v>
      </c>
      <c r="Q231" s="565"/>
      <c r="R231" s="564" t="str">
        <f>IF(ISERROR(VLOOKUP(B231,'Base de Datos'!$C$7:$N$315,9,0))=TRUE," ",(VLOOKUP(B231,'Base de Datos'!$C$7:$N$315,9,0)))</f>
        <v xml:space="preserve"> </v>
      </c>
      <c r="S231" s="564" t="str">
        <f>IF(ISERROR(VLOOKUP(B231,'Base de Datos'!$C$7:$N$315,10,0))=TRUE," ",(VLOOKUP(B231,'Base de Datos'!$C$7:$N$315,10,0)))</f>
        <v xml:space="preserve"> </v>
      </c>
      <c r="T231" s="565"/>
      <c r="U231" s="694"/>
      <c r="V231" s="607"/>
    </row>
    <row r="232" spans="2:22" ht="22.8" outlineLevel="1" x14ac:dyDescent="0.3">
      <c r="B232" s="510" t="s">
        <v>1692</v>
      </c>
      <c r="C232" s="510" t="s">
        <v>912</v>
      </c>
      <c r="D232" s="510" t="s">
        <v>1821</v>
      </c>
      <c r="E232" s="518" t="s">
        <v>1845</v>
      </c>
      <c r="F232" s="507" t="s">
        <v>1852</v>
      </c>
      <c r="G232" s="507"/>
      <c r="H232" s="507"/>
      <c r="I232" s="507"/>
      <c r="J232" s="510" t="s">
        <v>1844</v>
      </c>
      <c r="K232" s="625"/>
      <c r="L232" s="510" t="s">
        <v>1938</v>
      </c>
      <c r="M232" s="510"/>
      <c r="N232" s="510" t="s">
        <v>1939</v>
      </c>
      <c r="O232" s="650"/>
      <c r="P232" s="541" t="s">
        <v>1846</v>
      </c>
      <c r="Q232" s="510" t="s">
        <v>1847</v>
      </c>
      <c r="R232" s="510" t="s">
        <v>1848</v>
      </c>
      <c r="S232" s="510" t="s">
        <v>375</v>
      </c>
      <c r="T232" s="510" t="s">
        <v>1849</v>
      </c>
      <c r="U232" s="694"/>
      <c r="V232" s="607"/>
    </row>
    <row r="233" spans="2:22" ht="12" outlineLevel="1" x14ac:dyDescent="0.3">
      <c r="B233" s="589"/>
      <c r="C233" s="1240" t="s">
        <v>1909</v>
      </c>
      <c r="D233" s="1240"/>
      <c r="E233" s="591">
        <f>+E234</f>
        <v>400000000</v>
      </c>
      <c r="F233" s="513"/>
      <c r="G233" s="513"/>
      <c r="H233" s="513"/>
      <c r="I233" s="591">
        <v>400000000</v>
      </c>
      <c r="J233" s="595">
        <f>+J234</f>
        <v>4393265373</v>
      </c>
      <c r="K233" s="574">
        <f>+J233/I233</f>
        <v>10.9831634325</v>
      </c>
      <c r="L233" s="595" t="e">
        <f>+L234</f>
        <v>#N/A</v>
      </c>
      <c r="M233" s="516"/>
      <c r="N233" s="595" t="e">
        <f>+N234</f>
        <v>#N/A</v>
      </c>
      <c r="O233" s="665"/>
      <c r="P233" s="548" t="str">
        <f>IF(ISERROR(VLOOKUP(B233,'Base de Datos'!$C$7:$N$315,8,0))=TRUE," ",(VLOOKUP(B233,'Base de Datos'!$C$7:$N$315,8,0)))</f>
        <v xml:space="preserve"> </v>
      </c>
      <c r="Q233" s="542"/>
      <c r="R233" s="548" t="str">
        <f>IF(ISERROR(VLOOKUP(B233,'Base de Datos'!$C$7:$N$315,9,0))=TRUE," ",(VLOOKUP(B233,'Base de Datos'!$C$7:$N$315,9,0)))</f>
        <v xml:space="preserve"> </v>
      </c>
      <c r="S233" s="548" t="str">
        <f>IF(ISERROR(VLOOKUP(B233,'Base de Datos'!$C$7:$N$315,10,0))=TRUE," ",(VLOOKUP(B233,'Base de Datos'!$C$7:$N$315,10,0)))</f>
        <v xml:space="preserve"> </v>
      </c>
      <c r="T233" s="542"/>
      <c r="U233" s="694"/>
      <c r="V233" s="607"/>
    </row>
    <row r="234" spans="2:22" ht="31.5" customHeight="1" outlineLevel="1" x14ac:dyDescent="0.3">
      <c r="B234" s="510"/>
      <c r="C234" s="1255" t="s">
        <v>1910</v>
      </c>
      <c r="D234" s="1256"/>
      <c r="E234" s="610">
        <v>400000000</v>
      </c>
      <c r="F234" s="609"/>
      <c r="G234" s="609"/>
      <c r="H234" s="609"/>
      <c r="I234" s="609"/>
      <c r="J234" s="611">
        <f>SUM(J235:J239)</f>
        <v>4393265373</v>
      </c>
      <c r="K234" s="610"/>
      <c r="L234" s="611" t="e">
        <f>SUM(L235:L239)</f>
        <v>#N/A</v>
      </c>
      <c r="M234" s="612"/>
      <c r="N234" s="611" t="e">
        <f>+E234-J234-L234</f>
        <v>#N/A</v>
      </c>
      <c r="O234" s="666"/>
      <c r="P234" s="613" t="str">
        <f>IF(ISERROR(VLOOKUP(B234,'Base de Datos'!$C$7:$N$315,8,0))=TRUE," ",(VLOOKUP(B234,'Base de Datos'!$C$7:$N$315,8,0)))</f>
        <v xml:space="preserve"> </v>
      </c>
      <c r="Q234" s="614"/>
      <c r="R234" s="613" t="str">
        <f>IF(ISERROR(VLOOKUP(B234,'Base de Datos'!$C$7:$N$315,9,0))=TRUE," ",(VLOOKUP(B234,'Base de Datos'!$C$7:$N$315,9,0)))</f>
        <v xml:space="preserve"> </v>
      </c>
      <c r="S234" s="613" t="str">
        <f>IF(ISERROR(VLOOKUP(B234,'Base de Datos'!$C$7:$N$315,10,0))=TRUE," ",(VLOOKUP(B234,'Base de Datos'!$C$7:$N$315,10,0)))</f>
        <v xml:space="preserve"> </v>
      </c>
      <c r="T234" s="614"/>
      <c r="U234" s="694"/>
      <c r="V234" s="607"/>
    </row>
    <row r="235" spans="2:22" ht="13.5" customHeight="1" outlineLevel="1" x14ac:dyDescent="0.3">
      <c r="B235" s="600">
        <v>179</v>
      </c>
      <c r="C235" s="506" t="str">
        <f>IF(ISERROR(VLOOKUP(B235,'Base de Datos'!$C$487:$F$4092,2,0))=TRUE,"",(VLOOKUP('Presupuesto - PAA 2017'!B235,'Base de Datos'!$C$7:$F$4092,3,0)))</f>
        <v>150302-0-2015</v>
      </c>
      <c r="D235" s="506" t="str">
        <f>IF(ISERROR(VLOOKUP(B235,'Base de Datos'!$C$487:$F$4092,3,0))=TRUE,"",(VLOOKUP('Presupuesto - PAA 2017'!B235,'Base de Datos'!$C$487:$F$4092,4,0)))</f>
        <v>GRUPO TITANIUM SAS</v>
      </c>
      <c r="E235" s="509">
        <f>VLOOKUP(B235,[7]PAA2017!$C$65:$AA$255,20,0)</f>
        <v>300000000</v>
      </c>
      <c r="F235" s="507" t="str">
        <f>VLOOKUP(B235,[8]SOLICITUDES!$B$3:$H$278,2,0)</f>
        <v>SI</v>
      </c>
      <c r="G235" s="507"/>
      <c r="H235" s="507"/>
      <c r="I235" s="507"/>
      <c r="J235" s="509">
        <f>IF(ISERROR(VLOOKUP(B235,'Base de Datos'!$C$487:$N$4092,6,0))=TRUE,"Sin Celebrar",(VLOOKUP(B235,'Base de Datos'!$C$487:$N$4092,7,0)))</f>
        <v>241357373</v>
      </c>
      <c r="K235" s="573"/>
      <c r="L235" s="553" t="str">
        <f>IF(J235=$AA$1,E235, " ")</f>
        <v xml:space="preserve"> </v>
      </c>
      <c r="M235" s="509"/>
      <c r="N235" s="509">
        <f>IF(J235&lt;E235,(E235-J235)," ")</f>
        <v>58642627</v>
      </c>
      <c r="O235" s="691" t="str">
        <f>IF(ISERROR(VLOOKUP(B235,'Base de Datos'!$C$487:$K$1048576,7,0))=TRUE," ",(VLOOKUP(B235,'Base de Datos'!$C$487:$K$1048576,8,0)))</f>
        <v>SDH-SAMC-08-2017</v>
      </c>
      <c r="P235" s="524">
        <f>IF(ISERROR(VLOOKUP(B235,'Base de Datos'!$C$487:$N$4077,9,0))=TRUE," ",(VLOOKUP(B235,'Base de Datos'!$C$487:$N$4077,10,0)))</f>
        <v>42993</v>
      </c>
      <c r="Q235" s="709"/>
      <c r="R235" s="524">
        <f>IF(ISERROR(VLOOKUP(B235,'Base de Datos'!$C$487:$N$4077,10,0))=TRUE," ",(VLOOKUP(B235,'Base de Datos'!$C$487:$N$4077,11,0)))</f>
        <v>43053</v>
      </c>
      <c r="S235" s="524">
        <f>IF(ISERROR(VLOOKUP(B235,'Base de Datos'!$C$487:$N$4077,11,0))=TRUE," ",(VLOOKUP(B235,'Base de Datos'!$C$487:$N$4077,12,0)))</f>
        <v>43172</v>
      </c>
      <c r="T235" s="506" t="str">
        <f>VLOOKUP(B235,'Base de Datos'!$C$487:$AU$4129,41,0)</f>
        <v>LIQUIDADO</v>
      </c>
      <c r="U235" s="694"/>
      <c r="V235" s="607"/>
    </row>
    <row r="236" spans="2:22" outlineLevel="1" x14ac:dyDescent="0.3">
      <c r="B236" s="600">
        <v>180</v>
      </c>
      <c r="C236" s="506" t="str">
        <f>IF(ISERROR(VLOOKUP(B236,'Base de Datos'!$C$487:$F$4092,2,0))=TRUE,"",(VLOOKUP('Presupuesto - PAA 2017'!B236,'Base de Datos'!$C$487:$F$4092,3,0)))</f>
        <v>180192-0-2018</v>
      </c>
      <c r="D236" s="506" t="str">
        <f>IF(ISERROR(VLOOKUP(B236,'Base de Datos'!$C$487:$F$4092,3,0))=TRUE,"",(VLOOKUP('Presupuesto - PAA 2017'!B236,'Base de Datos'!$C$487:$F$4092,4,0)))</f>
        <v>TEAM MANAGEMENT INFRASTRUCTURE SAS</v>
      </c>
      <c r="E236" s="509">
        <f>VLOOKUP(B236,[7]PAA2017!$C$65:$AA$255,20,0)</f>
        <v>450000000</v>
      </c>
      <c r="F236" s="507" t="e">
        <f>VLOOKUP(B236,[8]SOLICITUDES!$B$3:$H$278,2,0)</f>
        <v>#N/A</v>
      </c>
      <c r="G236" s="507"/>
      <c r="H236" s="507"/>
      <c r="I236" s="507"/>
      <c r="J236" s="509">
        <f>IF(ISERROR(VLOOKUP(B236,'Base de Datos'!$C$487:$N$4092,6,0))=TRUE,"Sin Celebrar",(VLOOKUP(B236,'Base de Datos'!$C$487:$N$4092,7,0)))</f>
        <v>43000000</v>
      </c>
      <c r="K236" s="573"/>
      <c r="L236" s="553" t="str">
        <f>IF(J236=$AA$1,E236, " ")</f>
        <v xml:space="preserve"> </v>
      </c>
      <c r="M236" s="509"/>
      <c r="N236" s="509">
        <f>IF(J236&lt;E236,(E236-J236)," ")</f>
        <v>407000000</v>
      </c>
      <c r="O236" s="691" t="str">
        <f>IF(ISERROR(VLOOKUP(B236,'Base de Datos'!$C$487:$K$1048576,7,0))=TRUE," ",(VLOOKUP(B236,'Base de Datos'!$C$487:$K$1048576,8,0)))</f>
        <v>SDH-SMINC-35-2018</v>
      </c>
      <c r="P236" s="524">
        <f>IF(ISERROR(VLOOKUP(B236,'Base de Datos'!$C$487:$N$4077,9,0))=TRUE," ",(VLOOKUP(B236,'Base de Datos'!$C$487:$N$4077,10,0)))</f>
        <v>43278</v>
      </c>
      <c r="Q236" s="709"/>
      <c r="R236" s="524">
        <f>IF(ISERROR(VLOOKUP(B236,'Base de Datos'!$C$487:$N$4077,10,0))=TRUE," ",(VLOOKUP(B236,'Base de Datos'!$C$487:$N$4077,11,0)))</f>
        <v>43286</v>
      </c>
      <c r="S236" s="524">
        <f>IF(ISERROR(VLOOKUP(B236,'Base de Datos'!$C$487:$N$4077,11,0))=TRUE," ",(VLOOKUP(B236,'Base de Datos'!$C$487:$N$4077,12,0)))</f>
        <v>43650</v>
      </c>
      <c r="T236" s="506" t="str">
        <f>VLOOKUP(B236,'Base de Datos'!$C$487:$AU$4129,41,0)</f>
        <v>DEVUELTO</v>
      </c>
      <c r="U236" s="694"/>
      <c r="V236" s="607"/>
    </row>
    <row r="237" spans="2:22" outlineLevel="1" x14ac:dyDescent="0.3">
      <c r="B237" s="600">
        <v>181</v>
      </c>
      <c r="C237" s="506" t="str">
        <f>IF(ISERROR(VLOOKUP(B237,'Base de Datos'!$C$487:$F$4092,2,0))=TRUE,"",(VLOOKUP('Presupuesto - PAA 2017'!B237,'Base de Datos'!$C$487:$F$4092,3,0)))</f>
        <v>170002-0-2017</v>
      </c>
      <c r="D237" s="506" t="str">
        <f>IF(ISERROR(VLOOKUP(B237,'Base de Datos'!$C$487:$F$4092,3,0))=TRUE,"",(VLOOKUP('Presupuesto - PAA 2017'!B237,'Base de Datos'!$C$487:$F$4092,4,0)))</f>
        <v>UNIDAD NACIONAL DE PROTECCION - UNP</v>
      </c>
      <c r="E237" s="509">
        <f>VLOOKUP(B237,[7]PAA2017!$C$65:$AA$255,20,0)</f>
        <v>4250000000</v>
      </c>
      <c r="F237" s="507" t="str">
        <f>VLOOKUP(B237,[8]SOLICITUDES!$B$3:$H$278,2,0)</f>
        <v>SI</v>
      </c>
      <c r="G237" s="507"/>
      <c r="H237" s="507"/>
      <c r="I237" s="507"/>
      <c r="J237" s="509">
        <f>IF(ISERROR(VLOOKUP(B237,'Base de Datos'!$C$487:$N$4092,6,0))=TRUE,"Sin Celebrar",(VLOOKUP(B237,'Base de Datos'!$C$487:$N$4092,7,0)))</f>
        <v>4108908000</v>
      </c>
      <c r="K237" s="573"/>
      <c r="L237" s="553" t="str">
        <f>IF(J237=$AA$1,E237, " ")</f>
        <v xml:space="preserve"> </v>
      </c>
      <c r="M237" s="509"/>
      <c r="N237" s="509">
        <f>IF(J237&lt;E237,(E237-J237)," ")</f>
        <v>141092000</v>
      </c>
      <c r="O237" s="691" t="str">
        <f>IF(ISERROR(VLOOKUP(B237,'Base de Datos'!$C$487:$K$1048576,7,0))=TRUE," ",(VLOOKUP(B237,'Base de Datos'!$C$487:$K$1048576,8,0)))</f>
        <v>170002-0-2017</v>
      </c>
      <c r="P237" s="524">
        <f>IF(ISERROR(VLOOKUP(B237,'Base de Datos'!$C$487:$N$4077,9,0))=TRUE," ",(VLOOKUP(B237,'Base de Datos'!$C$487:$N$4077,10,0)))</f>
        <v>42748</v>
      </c>
      <c r="Q237" s="709"/>
      <c r="R237" s="524">
        <f>IF(ISERROR(VLOOKUP(B237,'Base de Datos'!$C$487:$N$4077,10,0))=TRUE," ",(VLOOKUP(B237,'Base de Datos'!$C$487:$N$4077,11,0)))</f>
        <v>42751</v>
      </c>
      <c r="S237" s="524">
        <f>IF(ISERROR(VLOOKUP(B237,'Base de Datos'!$C$487:$N$4077,11,0))=TRUE," ",(VLOOKUP(B237,'Base de Datos'!$C$487:$N$4077,12,0)))</f>
        <v>43070</v>
      </c>
      <c r="T237" s="506" t="str">
        <f>VLOOKUP(B237,'Base de Datos'!$C$487:$AU$4129,41,0)</f>
        <v>LIQUIDADO</v>
      </c>
      <c r="U237" s="694"/>
      <c r="V237" s="607"/>
    </row>
    <row r="238" spans="2:22" outlineLevel="1" x14ac:dyDescent="0.3">
      <c r="B238" s="510"/>
      <c r="C238" s="506" t="str">
        <f>IF(ISERROR(VLOOKUP(B238,'Base de Datos'!$C$487:$F$4092,2,0))=TRUE,"",(VLOOKUP('Presupuesto - PAA 2017'!B238,'Base de Datos'!$C$7:$F$4092,3,0)))</f>
        <v/>
      </c>
      <c r="D238" s="506" t="str">
        <f>IF(ISERROR(VLOOKUP(B238,'Base de Datos'!$C$487:$F$4092,3,0))=TRUE,"",(VLOOKUP('Presupuesto - PAA 2017'!B238,'Base de Datos'!$C$487:$F$4092,4,0)))</f>
        <v/>
      </c>
      <c r="E238" s="509" t="e">
        <f>VLOOKUP(B238,[7]PAA2017!$C$65:$AA$255,20,0)</f>
        <v>#N/A</v>
      </c>
      <c r="F238" s="507" t="e">
        <f>VLOOKUP(B238,[8]SOLICITUDES!$B$3:$H$278,2,0)</f>
        <v>#N/A</v>
      </c>
      <c r="G238" s="507"/>
      <c r="H238" s="507"/>
      <c r="I238" s="507"/>
      <c r="J238" s="509" t="str">
        <f>IF(ISERROR(VLOOKUP(B238,'Base de Datos'!$C$487:$N$4092,6,0))=TRUE,"Sin Celebrar",(VLOOKUP(B238,'Base de Datos'!$C$487:$N$4092,7,0)))</f>
        <v>Sin Celebrar</v>
      </c>
      <c r="K238" s="573"/>
      <c r="L238" s="553" t="e">
        <f>IF(J238=$AA$1,E238, " ")</f>
        <v>#N/A</v>
      </c>
      <c r="M238" s="509"/>
      <c r="N238" s="509" t="e">
        <f>IF(J238&lt;E238,(E238-J238)," ")</f>
        <v>#N/A</v>
      </c>
      <c r="O238" s="691" t="str">
        <f>IF(ISERROR(VLOOKUP(B238,'Base de Datos'!$C$487:$K$1048576,7,0))=TRUE," ",(VLOOKUP(B238,'Base de Datos'!$C$487:$K$1048576,8,0)))</f>
        <v xml:space="preserve"> </v>
      </c>
      <c r="P238" s="524" t="str">
        <f>IF(ISERROR(VLOOKUP(B238,'Base de Datos'!$C$487:$N$4077,9,0))=TRUE," ",(VLOOKUP(B238,'Base de Datos'!$C$487:$N$4077,10,0)))</f>
        <v xml:space="preserve"> </v>
      </c>
      <c r="Q238" s="709"/>
      <c r="R238" s="524" t="str">
        <f>IF(ISERROR(VLOOKUP(B238,'Base de Datos'!$C$487:$N$4077,10,0))=TRUE," ",(VLOOKUP(B238,'Base de Datos'!$C$487:$N$4077,11,0)))</f>
        <v xml:space="preserve"> </v>
      </c>
      <c r="S238" s="524" t="str">
        <f>IF(ISERROR(VLOOKUP(B238,'Base de Datos'!$C$487:$N$4077,11,0))=TRUE," ",(VLOOKUP(B238,'Base de Datos'!$C$487:$N$4077,12,0)))</f>
        <v xml:space="preserve"> </v>
      </c>
      <c r="T238" s="506" t="e">
        <f>VLOOKUP(B238,'Base de Datos'!$C$487:$AU$4129,41,0)</f>
        <v>#N/A</v>
      </c>
      <c r="U238" s="694"/>
      <c r="V238" s="607"/>
    </row>
    <row r="239" spans="2:22" outlineLevel="1" x14ac:dyDescent="0.3">
      <c r="B239" s="510"/>
      <c r="C239" s="506"/>
      <c r="D239" s="590" t="s">
        <v>1934</v>
      </c>
      <c r="E239" s="509" t="e">
        <f>+E234-SUM(E235:E238)</f>
        <v>#N/A</v>
      </c>
      <c r="F239" s="507"/>
      <c r="G239" s="507"/>
      <c r="H239" s="507"/>
      <c r="I239" s="507"/>
      <c r="J239" s="509"/>
      <c r="K239" s="509"/>
      <c r="L239" s="509"/>
      <c r="M239" s="509"/>
      <c r="N239" s="509" t="e">
        <f t="shared" ref="N239:N259" si="14">IF(J239&lt;E239,(E239-J239)," ")</f>
        <v>#N/A</v>
      </c>
      <c r="O239" s="651"/>
      <c r="P239" s="524" t="str">
        <f>IF(ISERROR(VLOOKUP(B239,'Base de Datos'!$C$7:$N$315,8,0))=TRUE," ",(VLOOKUP(B239,'Base de Datos'!$C$7:$N$315,8,0)))</f>
        <v xml:space="preserve"> </v>
      </c>
      <c r="Q239" s="506"/>
      <c r="R239" s="524" t="str">
        <f>IF(ISERROR(VLOOKUP(B239,'Base de Datos'!$C$7:$N$315,9,0))=TRUE," ",(VLOOKUP(B239,'Base de Datos'!$C$7:$N$315,9,0)))</f>
        <v xml:space="preserve"> </v>
      </c>
      <c r="S239" s="524" t="str">
        <f>IF(ISERROR(VLOOKUP(B239,'Base de Datos'!$C$7:$N$315,10,0))=TRUE," ",(VLOOKUP(B239,'Base de Datos'!$C$7:$N$315,10,0)))</f>
        <v xml:space="preserve"> </v>
      </c>
      <c r="T239" s="506"/>
      <c r="U239" s="694"/>
      <c r="V239" s="607"/>
    </row>
    <row r="240" spans="2:22" outlineLevel="1" x14ac:dyDescent="0.3">
      <c r="B240" s="510"/>
      <c r="C240" s="506"/>
      <c r="D240" s="590"/>
      <c r="E240" s="509"/>
      <c r="F240" s="507"/>
      <c r="G240" s="507"/>
      <c r="H240" s="507"/>
      <c r="I240" s="507"/>
      <c r="J240" s="509"/>
      <c r="K240" s="509"/>
      <c r="L240" s="509"/>
      <c r="M240" s="509"/>
      <c r="N240" s="509" t="str">
        <f t="shared" si="14"/>
        <v xml:space="preserve"> </v>
      </c>
      <c r="O240" s="651"/>
      <c r="P240" s="524" t="str">
        <f>IF(ISERROR(VLOOKUP(B240,'Base de Datos'!$C$7:$N$315,8,0))=TRUE," ",(VLOOKUP(B240,'Base de Datos'!$C$7:$N$315,8,0)))</f>
        <v xml:space="preserve"> </v>
      </c>
      <c r="Q240" s="506"/>
      <c r="R240" s="524" t="str">
        <f>IF(ISERROR(VLOOKUP(B240,'Base de Datos'!$C$7:$N$315,9,0))=TRUE," ",(VLOOKUP(B240,'Base de Datos'!$C$7:$N$315,9,0)))</f>
        <v xml:space="preserve"> </v>
      </c>
      <c r="S240" s="524" t="str">
        <f>IF(ISERROR(VLOOKUP(B240,'Base de Datos'!$C$7:$N$315,10,0))=TRUE," ",(VLOOKUP(B240,'Base de Datos'!$C$7:$N$315,10,0)))</f>
        <v xml:space="preserve"> </v>
      </c>
      <c r="T240" s="506"/>
      <c r="U240" s="694"/>
      <c r="V240" s="607"/>
    </row>
    <row r="241" spans="2:22" ht="24" customHeight="1" outlineLevel="1" x14ac:dyDescent="0.3">
      <c r="B241" s="589"/>
      <c r="C241" s="1240" t="s">
        <v>1913</v>
      </c>
      <c r="D241" s="1240"/>
      <c r="E241" s="516">
        <f>+E242+E244+E249+E251+E264</f>
        <v>7722182796</v>
      </c>
      <c r="F241" s="604"/>
      <c r="G241" s="513"/>
      <c r="H241" s="513"/>
      <c r="I241" s="513"/>
      <c r="J241" s="516">
        <f>+J242+J244+J249+J251+J264</f>
        <v>7259030202.1999998</v>
      </c>
      <c r="K241" s="574">
        <f>+J241/E241</f>
        <v>0.94002309890411972</v>
      </c>
      <c r="L241" s="516">
        <f>+L242+L244+L249+L251+L264</f>
        <v>450477000</v>
      </c>
      <c r="M241" s="509"/>
      <c r="N241" s="516">
        <f>+E241-J241-L241</f>
        <v>12675593.800000191</v>
      </c>
      <c r="O241" s="662"/>
      <c r="P241" s="548" t="str">
        <f>IF(ISERROR(VLOOKUP(B241,'Base de Datos'!$C$7:$N$315,8,0))=TRUE," ",(VLOOKUP(B241,'Base de Datos'!$C$7:$N$315,8,0)))</f>
        <v xml:space="preserve"> </v>
      </c>
      <c r="Q241" s="542"/>
      <c r="R241" s="548" t="str">
        <f>IF(ISERROR(VLOOKUP(B241,'Base de Datos'!$C$7:$N$315,9,0))=TRUE," ",(VLOOKUP(B241,'Base de Datos'!$C$7:$N$315,9,0)))</f>
        <v xml:space="preserve"> </v>
      </c>
      <c r="S241" s="548" t="str">
        <f>IF(ISERROR(VLOOKUP(B241,'Base de Datos'!$C$7:$N$315,10,0))=TRUE," ",(VLOOKUP(B241,'Base de Datos'!$C$7:$N$315,10,0)))</f>
        <v xml:space="preserve"> </v>
      </c>
      <c r="T241" s="542"/>
      <c r="U241" s="694"/>
      <c r="V241" s="607"/>
    </row>
    <row r="242" spans="2:22" ht="24.75" customHeight="1" outlineLevel="1" x14ac:dyDescent="0.3">
      <c r="B242" s="510"/>
      <c r="C242" s="1259" t="s">
        <v>1914</v>
      </c>
      <c r="D242" s="1259"/>
      <c r="E242" s="592">
        <v>450477000</v>
      </c>
      <c r="F242" s="846"/>
      <c r="G242" s="594"/>
      <c r="H242" s="594"/>
      <c r="I242" s="594"/>
      <c r="J242" s="593">
        <f>SUM(J243)</f>
        <v>0</v>
      </c>
      <c r="K242" s="596">
        <f>+J242/E242</f>
        <v>0</v>
      </c>
      <c r="L242" s="593">
        <f>SUM(L243)</f>
        <v>450477000</v>
      </c>
      <c r="M242" s="592"/>
      <c r="N242" s="622">
        <f>SUM(N243)</f>
        <v>0</v>
      </c>
      <c r="O242" s="667"/>
      <c r="P242" s="598" t="str">
        <f>IF(ISERROR(VLOOKUP(B242,'Base de Datos'!$C$7:$N$315,8,0))=TRUE," ",(VLOOKUP(B242,'Base de Datos'!$C$7:$N$315,8,0)))</f>
        <v xml:space="preserve"> </v>
      </c>
      <c r="Q242" s="846"/>
      <c r="R242" s="598" t="str">
        <f>IF(ISERROR(VLOOKUP(B242,'Base de Datos'!$C$7:$N$315,9,0))=TRUE," ",(VLOOKUP(B242,'Base de Datos'!$C$7:$N$315,9,0)))</f>
        <v xml:space="preserve"> </v>
      </c>
      <c r="S242" s="598" t="str">
        <f>IF(ISERROR(VLOOKUP(B242,'Base de Datos'!$C$7:$N$315,10,0))=TRUE," ",(VLOOKUP(B242,'Base de Datos'!$C$7:$N$315,10,0)))</f>
        <v xml:space="preserve"> </v>
      </c>
      <c r="T242" s="846"/>
      <c r="U242" s="694"/>
      <c r="V242" s="607"/>
    </row>
    <row r="243" spans="2:22" ht="15" customHeight="1" outlineLevel="1" x14ac:dyDescent="0.3">
      <c r="B243" s="510">
        <v>213</v>
      </c>
      <c r="C243" s="590"/>
      <c r="D243" s="590" t="s">
        <v>1915</v>
      </c>
      <c r="E243" s="553">
        <v>450477000</v>
      </c>
      <c r="F243" s="507" t="str">
        <f>VLOOKUP(B243,'Actualizada - presupuesto'!$D$7:$L$111,9,0)</f>
        <v>SI</v>
      </c>
      <c r="G243" s="507"/>
      <c r="H243" s="507"/>
      <c r="I243" s="507"/>
      <c r="J243" s="509" t="str">
        <f>IF(ISERROR(VLOOKUP(B243,'Base de Datos'!$C$7:$N$315,6,0))=TRUE,"Sin Celebrar",(VLOOKUP(B243,'Base de Datos'!$C$7:$N$315,6,0)))</f>
        <v>Sin Celebrar</v>
      </c>
      <c r="K243" s="509"/>
      <c r="L243" s="509">
        <f>IF(J243=$AA$1,E243, " ")</f>
        <v>450477000</v>
      </c>
      <c r="M243" s="509"/>
      <c r="N243" s="527" t="str">
        <f>IF(J243&lt;E243,(E243-J243)," ")</f>
        <v xml:space="preserve"> </v>
      </c>
      <c r="O243" s="652"/>
      <c r="P243" s="524" t="str">
        <f>IF(ISERROR(VLOOKUP(B243,'Base de Datos'!$C$7:$N$315,8,0))=TRUE," ",(VLOOKUP(B243,'Base de Datos'!$C$7:$N$315,8,0)))</f>
        <v xml:space="preserve"> </v>
      </c>
      <c r="Q243" s="506"/>
      <c r="R243" s="524" t="str">
        <f>IF(ISERROR(VLOOKUP(B243,'Base de Datos'!$C$7:$N$315,9,0))=TRUE," ",(VLOOKUP(B243,'Base de Datos'!$C$7:$N$315,9,0)))</f>
        <v xml:space="preserve"> </v>
      </c>
      <c r="S243" s="524" t="str">
        <f>IF(ISERROR(VLOOKUP(B243,'Base de Datos'!$C$7:$N$315,10,0))=TRUE," ",(VLOOKUP(B243,'Base de Datos'!$C$7:$N$315,10,0)))</f>
        <v xml:space="preserve"> </v>
      </c>
      <c r="T243" s="506" t="e">
        <f>VLOOKUP(C243,'Base de Datos'!$E$7:$AU$382,39,0)</f>
        <v>#N/A</v>
      </c>
      <c r="U243" s="694"/>
      <c r="V243" s="607"/>
    </row>
    <row r="244" spans="2:22" ht="27" customHeight="1" outlineLevel="1" x14ac:dyDescent="0.3">
      <c r="B244" s="510"/>
      <c r="C244" s="1259" t="s">
        <v>1916</v>
      </c>
      <c r="D244" s="1259"/>
      <c r="E244" s="592">
        <f>SUM(E245:E248)</f>
        <v>466869877</v>
      </c>
      <c r="F244" s="594"/>
      <c r="G244" s="594"/>
      <c r="H244" s="594"/>
      <c r="I244" s="594"/>
      <c r="J244" s="592">
        <f>SUM(J245:J248)</f>
        <v>466869877</v>
      </c>
      <c r="K244" s="596">
        <f>+J244/E244</f>
        <v>1</v>
      </c>
      <c r="L244" s="592">
        <f>SUM(L245:L248)</f>
        <v>0</v>
      </c>
      <c r="M244" s="592"/>
      <c r="N244" s="592">
        <f>+E244-J244-L244</f>
        <v>0</v>
      </c>
      <c r="O244" s="667"/>
      <c r="P244" s="598" t="str">
        <f>IF(ISERROR(VLOOKUP(B244,'Base de Datos'!$C$7:$N$315,8,0))=TRUE," ",(VLOOKUP(B244,'Base de Datos'!$C$7:$N$315,8,0)))</f>
        <v xml:space="preserve"> </v>
      </c>
      <c r="Q244" s="846"/>
      <c r="R244" s="598" t="str">
        <f>IF(ISERROR(VLOOKUP(B244,'Base de Datos'!$C$7:$N$315,9,0))=TRUE," ",(VLOOKUP(B244,'Base de Datos'!$C$7:$N$315,9,0)))</f>
        <v xml:space="preserve"> </v>
      </c>
      <c r="S244" s="598" t="str">
        <f>IF(ISERROR(VLOOKUP(B244,'Base de Datos'!$C$7:$N$315,10,0))=TRUE," ",(VLOOKUP(B244,'Base de Datos'!$C$7:$N$315,10,0)))</f>
        <v xml:space="preserve"> </v>
      </c>
      <c r="T244" s="846"/>
      <c r="U244" s="694"/>
      <c r="V244" s="607"/>
    </row>
    <row r="245" spans="2:22" outlineLevel="1" x14ac:dyDescent="0.3">
      <c r="B245" s="510">
        <v>208</v>
      </c>
      <c r="C245" s="506" t="str">
        <f>IF(ISERROR(VLOOKUP(B245,'Base de Datos'!$C$7:$F$4092,2,0))=TRUE,"",(VLOOKUP('Presupuesto - PAA 2017'!B245,'Base de Datos'!$C$7:$F$4092,3,0)))</f>
        <v>150192-0-2015</v>
      </c>
      <c r="D245" s="506" t="str">
        <f>IF(ISERROR(VLOOKUP(B245,'Base de Datos'!$C$7:$F$4092,3,0))=TRUE,"",(VLOOKUP('Presupuesto - PAA 2017'!B245,'Base de Datos'!$C$7:$F$4092,4,0)))</f>
        <v>INVERSIONES MATAY SAS</v>
      </c>
      <c r="E245" s="509">
        <v>379200000</v>
      </c>
      <c r="F245" s="507" t="str">
        <f>VLOOKUP(B245,'Actualizada - presupuesto'!$D$7:$L$111,9,0)</f>
        <v>SI</v>
      </c>
      <c r="G245" s="507"/>
      <c r="H245" s="507"/>
      <c r="I245" s="507"/>
      <c r="J245" s="509">
        <f>IF(ISERROR(VLOOKUP(B245,'Base de Datos'!$C$7:$N$4092,6,0))=TRUE,"Sin Celebrar",(VLOOKUP(B245,'Base de Datos'!$C$7:$N$4092,7,0)))</f>
        <v>379200000</v>
      </c>
      <c r="K245" s="509"/>
      <c r="L245" s="509" t="str">
        <f t="shared" ref="L245:L259" si="15">IF(J245=$AA$1,E245, " ")</f>
        <v xml:space="preserve"> </v>
      </c>
      <c r="M245" s="509"/>
      <c r="N245" s="509" t="str">
        <f t="shared" si="14"/>
        <v xml:space="preserve"> </v>
      </c>
      <c r="O245" s="691" t="str">
        <f>IF(ISERROR(VLOOKUP(B245,'Base de Datos'!$C$7:$K$1048576,7,0))=TRUE," ",(VLOOKUP(B245,'Base de Datos'!$C$7:$K$1048576,8,0)))</f>
        <v>150192-0-2015</v>
      </c>
      <c r="P245" s="524">
        <f>IF(ISERROR(VLOOKUP(B245,'Base de Datos'!$C$7:$N$4077,9,0))=TRUE," ",(VLOOKUP(B245,'Base de Datos'!$C$7:$N$4077,10,0)))</f>
        <v>42109</v>
      </c>
      <c r="Q245" s="506" t="s">
        <v>1853</v>
      </c>
      <c r="R245" s="524">
        <f>IF(ISERROR(VLOOKUP(B245,'Base de Datos'!$C$7:$N$4077,10,0))=TRUE," ",(VLOOKUP(B245,'Base de Datos'!$C$7:$N$4077,11,0)))</f>
        <v>42109</v>
      </c>
      <c r="S245" s="524">
        <f>IF(ISERROR(VLOOKUP(B245,'Base de Datos'!$C$7:$N$4077,11,0))=TRUE," ",(VLOOKUP(B245,'Base de Datos'!$C$7:$N$4077,12,0)))</f>
        <v>42429</v>
      </c>
      <c r="T245" s="506" t="str">
        <f>VLOOKUP(C245,'Base de Datos'!$E$7:$AU$382,39,0)</f>
        <v>LIQUIDADO</v>
      </c>
      <c r="U245" s="694"/>
      <c r="V245" s="607"/>
    </row>
    <row r="246" spans="2:22" outlineLevel="1" x14ac:dyDescent="0.3">
      <c r="B246" s="510">
        <v>263</v>
      </c>
      <c r="C246" s="506" t="s">
        <v>307</v>
      </c>
      <c r="D246" s="590" t="s">
        <v>1919</v>
      </c>
      <c r="E246" s="509">
        <v>87669877</v>
      </c>
      <c r="F246" s="507" t="str">
        <f>VLOOKUP(B246,'Actualizada - presupuesto'!$D$7:$L$111,9,0)</f>
        <v>SI</v>
      </c>
      <c r="G246" s="507"/>
      <c r="H246" s="507"/>
      <c r="I246" s="507"/>
      <c r="J246" s="509">
        <v>87669877</v>
      </c>
      <c r="K246" s="509"/>
      <c r="L246" s="509" t="str">
        <f t="shared" si="15"/>
        <v xml:space="preserve"> </v>
      </c>
      <c r="M246" s="509"/>
      <c r="N246" s="509" t="str">
        <f t="shared" si="14"/>
        <v xml:space="preserve"> </v>
      </c>
      <c r="O246" s="691">
        <f>IF(ISERROR(VLOOKUP(B246,'Base de Datos'!$C$7:$K$1048576,7,0))=TRUE," ",(VLOOKUP(B246,'Base de Datos'!$C$7:$K$1048576,7,0)))</f>
        <v>44000000</v>
      </c>
      <c r="P246" s="524" t="str">
        <f>IF(ISERROR(VLOOKUP(B246,'Base de Datos'!$C$7:$N$315,9,0))=TRUE," ",(VLOOKUP(B246,'Base de Datos'!$C$7:$N$315,9,0)))</f>
        <v xml:space="preserve"> </v>
      </c>
      <c r="Q246" s="506"/>
      <c r="R246" s="529" t="str">
        <f>IF(ISERROR(VLOOKUP(B246,'Base de Datos'!$C$7:$N$315,10,0))=TRUE," ",(VLOOKUP(B246,'Base de Datos'!$C$7:$N$315,10,0)))</f>
        <v xml:space="preserve"> </v>
      </c>
      <c r="S246" s="529" t="str">
        <f>IF(ISERROR(VLOOKUP(B246,'Base de Datos'!$C$7:$N$315,11,0))=TRUE," ",(VLOOKUP(B246,'Base de Datos'!$C$7:$N$315,11,0)))</f>
        <v xml:space="preserve"> </v>
      </c>
      <c r="T246" s="506" t="str">
        <f>VLOOKUP(C246,'Base de Datos'!$E$7:$AU$382,39,0)</f>
        <v>LIQUIDADO</v>
      </c>
      <c r="U246" s="694"/>
      <c r="V246" s="607"/>
    </row>
    <row r="247" spans="2:22" ht="22.8" outlineLevel="1" x14ac:dyDescent="0.3">
      <c r="B247" s="510">
        <v>209</v>
      </c>
      <c r="C247" s="526" t="str">
        <f>IF(ISERROR(VLOOKUP(B247,'Base de Datos'!$C$7:$F$4085,2,0))=TRUE,"",(VLOOKUP('Presupuesto - PAA 2017'!B247,'Base de Datos'!$C$7:$F$4085,2,0)))</f>
        <v>2016209</v>
      </c>
      <c r="D247" s="590" t="s">
        <v>1920</v>
      </c>
      <c r="E247" s="704"/>
      <c r="F247" s="507">
        <f>VLOOKUP(B247,'Actualizada - presupuesto'!$D$7:$L$111,9,0)</f>
        <v>0</v>
      </c>
      <c r="G247" s="507"/>
      <c r="H247" s="507"/>
      <c r="I247" s="507"/>
      <c r="J247" s="509" t="str">
        <f>IF(ISERROR(VLOOKUP(B247,'Base de Datos'!$C$7:$N$315,6,0))=TRUE,"Sin Celebrar",(VLOOKUP(B247,'Base de Datos'!$C$7:$N$315,6,0)))</f>
        <v>Sin Celebrar</v>
      </c>
      <c r="K247" s="509"/>
      <c r="L247" s="509"/>
      <c r="M247" s="509"/>
      <c r="N247" s="509" t="str">
        <f t="shared" si="14"/>
        <v xml:space="preserve"> </v>
      </c>
      <c r="O247" s="691">
        <f>IF(ISERROR(VLOOKUP(B247,'Base de Datos'!$C$7:$K$1048576,7,0))=TRUE," ",(VLOOKUP(B247,'Base de Datos'!$C$7:$K$1048576,7,0)))</f>
        <v>3000000</v>
      </c>
      <c r="P247" s="524" t="str">
        <f>IF(ISERROR(VLOOKUP(B247,'Base de Datos'!$C$7:$N$315,9,0))=TRUE," ",(VLOOKUP(B247,'Base de Datos'!$C$7:$N$315,9,0)))</f>
        <v xml:space="preserve"> </v>
      </c>
      <c r="Q247" s="506"/>
      <c r="R247" s="529" t="str">
        <f>IF(ISERROR(VLOOKUP(B247,'Base de Datos'!$C$7:$N$315,10,0))=TRUE," ",(VLOOKUP(B247,'Base de Datos'!$C$7:$N$315,10,0)))</f>
        <v xml:space="preserve"> </v>
      </c>
      <c r="S247" s="529" t="str">
        <f>IF(ISERROR(VLOOKUP(B247,'Base de Datos'!$C$7:$N$315,11,0))=TRUE," ",(VLOOKUP(B247,'Base de Datos'!$C$7:$N$315,11,0)))</f>
        <v xml:space="preserve"> </v>
      </c>
      <c r="T247" s="506" t="e">
        <f>VLOOKUP(C247,'Base de Datos'!$E$7:$AU$382,39,0)</f>
        <v>#N/A</v>
      </c>
      <c r="U247" s="694"/>
      <c r="V247" s="607"/>
    </row>
    <row r="248" spans="2:22" outlineLevel="1" x14ac:dyDescent="0.3">
      <c r="B248" s="510">
        <v>211</v>
      </c>
      <c r="C248" s="526" t="str">
        <f>IF(ISERROR(VLOOKUP(B248,'Base de Datos'!$C$7:$F$4085,2,0))=TRUE,"",(VLOOKUP('Presupuesto - PAA 2017'!B248,'Base de Datos'!$C$7:$F$4085,2,0)))</f>
        <v>2016211</v>
      </c>
      <c r="D248" s="590" t="s">
        <v>1921</v>
      </c>
      <c r="E248" s="704"/>
      <c r="F248" s="507">
        <f>VLOOKUP(B248,'Actualizada - presupuesto'!$D$7:$L$111,9,0)</f>
        <v>0</v>
      </c>
      <c r="G248" s="507"/>
      <c r="H248" s="507"/>
      <c r="I248" s="507"/>
      <c r="J248" s="509" t="str">
        <f>IF(ISERROR(VLOOKUP(B248,'Base de Datos'!$C$7:$N$315,6,0))=TRUE,"Sin Celebrar",(VLOOKUP(B248,'Base de Datos'!$C$7:$N$315,6,0)))</f>
        <v>Sin Celebrar</v>
      </c>
      <c r="K248" s="509"/>
      <c r="L248" s="509"/>
      <c r="M248" s="509"/>
      <c r="N248" s="509" t="str">
        <f t="shared" si="14"/>
        <v xml:space="preserve"> </v>
      </c>
      <c r="O248" s="691">
        <f>IF(ISERROR(VLOOKUP(B248,'Base de Datos'!$C$7:$K$1048576,7,0))=TRUE," ",(VLOOKUP(B248,'Base de Datos'!$C$7:$K$1048576,7,0)))</f>
        <v>12928000</v>
      </c>
      <c r="P248" s="524" t="str">
        <f>IF(ISERROR(VLOOKUP(B248,'Base de Datos'!$C$7:$N$315,9,0))=TRUE," ",(VLOOKUP(B248,'Base de Datos'!$C$7:$N$315,9,0)))</f>
        <v xml:space="preserve"> </v>
      </c>
      <c r="Q248" s="506"/>
      <c r="R248" s="529" t="str">
        <f>IF(ISERROR(VLOOKUP(B248,'Base de Datos'!$C$7:$N$315,10,0))=TRUE," ",(VLOOKUP(B248,'Base de Datos'!$C$7:$N$315,10,0)))</f>
        <v xml:space="preserve"> </v>
      </c>
      <c r="S248" s="529" t="str">
        <f>IF(ISERROR(VLOOKUP(B248,'Base de Datos'!$C$7:$N$315,11,0))=TRUE," ",(VLOOKUP(B248,'Base de Datos'!$C$7:$N$315,11,0)))</f>
        <v xml:space="preserve"> </v>
      </c>
      <c r="T248" s="506" t="e">
        <f>VLOOKUP(C248,'Base de Datos'!$E$7:$AU$382,39,0)</f>
        <v>#N/A</v>
      </c>
      <c r="U248" s="694"/>
      <c r="V248" s="607"/>
    </row>
    <row r="249" spans="2:22" ht="24.75" customHeight="1" outlineLevel="1" x14ac:dyDescent="0.3">
      <c r="B249" s="510"/>
      <c r="C249" s="1259" t="s">
        <v>1922</v>
      </c>
      <c r="D249" s="1259"/>
      <c r="E249" s="592">
        <f>+E250</f>
        <v>0</v>
      </c>
      <c r="F249" s="594"/>
      <c r="G249" s="597"/>
      <c r="H249" s="597"/>
      <c r="I249" s="597"/>
      <c r="J249" s="592">
        <f>SUM(J250)</f>
        <v>0</v>
      </c>
      <c r="K249" s="596" t="e">
        <f>+J249/E249</f>
        <v>#DIV/0!</v>
      </c>
      <c r="L249" s="592">
        <f>SUM(L250)</f>
        <v>0</v>
      </c>
      <c r="M249" s="592"/>
      <c r="N249" s="592">
        <f>+E249-J249-L249</f>
        <v>0</v>
      </c>
      <c r="O249" s="667"/>
      <c r="P249" s="598" t="str">
        <f>IF(ISERROR(VLOOKUP(B249,'Base de Datos'!$C$7:$N$315,8,0))=TRUE," ",(VLOOKUP(B249,'Base de Datos'!$C$7:$N$315,8,0)))</f>
        <v xml:space="preserve"> </v>
      </c>
      <c r="Q249" s="846"/>
      <c r="R249" s="598" t="str">
        <f>IF(ISERROR(VLOOKUP(B249,'Base de Datos'!$C$7:$N$315,9,0))=TRUE," ",(VLOOKUP(B249,'Base de Datos'!$C$7:$N$315,9,0)))</f>
        <v xml:space="preserve"> </v>
      </c>
      <c r="S249" s="598" t="str">
        <f>IF(ISERROR(VLOOKUP(B249,'Base de Datos'!$C$7:$N$315,10,0))=TRUE," ",(VLOOKUP(B249,'Base de Datos'!$C$7:$N$315,10,0)))</f>
        <v xml:space="preserve"> </v>
      </c>
      <c r="T249" s="846"/>
      <c r="U249" s="694"/>
      <c r="V249" s="607"/>
    </row>
    <row r="250" spans="2:22" ht="34.200000000000003" outlineLevel="1" x14ac:dyDescent="0.3">
      <c r="B250" s="510">
        <v>212</v>
      </c>
      <c r="C250" s="526">
        <f>IF(ISERROR(VLOOKUP(B250,'Base de Datos'!$C$7:$F$4085,2,0))=TRUE,"",(VLOOKUP('Presupuesto - PAA 2017'!B250,'Base de Datos'!$C$7:$F$4085,2,0)))</f>
        <v>0</v>
      </c>
      <c r="D250" s="590" t="s">
        <v>1923</v>
      </c>
      <c r="E250" s="704"/>
      <c r="F250" s="507">
        <f>VLOOKUP(B250,'Actualizada - presupuesto'!$D$7:$L$111,9,0)</f>
        <v>0</v>
      </c>
      <c r="G250" s="507"/>
      <c r="H250" s="507"/>
      <c r="I250" s="507"/>
      <c r="J250" s="509" t="str">
        <f>IF(ISERROR(VLOOKUP(B250,'Base de Datos'!$C$7:$N$315,6,0))=TRUE,"Sin Celebrar",(VLOOKUP(B250,'Base de Datos'!$C$7:$N$315,6,0)))</f>
        <v>Sin Celebrar</v>
      </c>
      <c r="K250" s="509"/>
      <c r="L250" s="509"/>
      <c r="M250" s="509"/>
      <c r="N250" s="509" t="str">
        <f t="shared" si="14"/>
        <v xml:space="preserve"> </v>
      </c>
      <c r="O250" s="691">
        <f>IF(ISERROR(VLOOKUP(B250,'Base de Datos'!$C$7:$K$1048576,7,0))=TRUE," ",(VLOOKUP(B250,'Base de Datos'!$C$7:$K$1048576,7,0)))</f>
        <v>480000000</v>
      </c>
      <c r="P250" s="524" t="str">
        <f>IF(ISERROR(VLOOKUP(B250,'Base de Datos'!$C$7:$N$315,9,0))=TRUE," ",(VLOOKUP(B250,'Base de Datos'!$C$7:$N$315,9,0)))</f>
        <v xml:space="preserve"> </v>
      </c>
      <c r="Q250" s="506"/>
      <c r="R250" s="529" t="str">
        <f>IF(ISERROR(VLOOKUP(B250,'Base de Datos'!$C$7:$N$315,10,0))=TRUE," ",(VLOOKUP(B250,'Base de Datos'!$C$7:$N$315,10,0)))</f>
        <v xml:space="preserve"> </v>
      </c>
      <c r="S250" s="529" t="str">
        <f>IF(ISERROR(VLOOKUP(B250,'Base de Datos'!$C$7:$N$315,11,0))=TRUE," ",(VLOOKUP(B250,'Base de Datos'!$C$7:$N$315,11,0)))</f>
        <v xml:space="preserve"> </v>
      </c>
      <c r="T250" s="506" t="e">
        <f>VLOOKUP(C250,'Base de Datos'!$E$7:$AU$382,39,0)</f>
        <v>#N/A</v>
      </c>
      <c r="U250" s="694"/>
      <c r="V250" s="607"/>
    </row>
    <row r="251" spans="2:22" outlineLevel="1" x14ac:dyDescent="0.3">
      <c r="B251" s="510"/>
      <c r="C251" s="1258" t="s">
        <v>1924</v>
      </c>
      <c r="D251" s="1258"/>
      <c r="E251" s="592">
        <f>SUM(E252:E260)</f>
        <v>2630558934</v>
      </c>
      <c r="F251" s="594"/>
      <c r="G251" s="594"/>
      <c r="H251" s="594"/>
      <c r="I251" s="594"/>
      <c r="J251" s="592">
        <f>SUM(J252:J260)</f>
        <v>2617883340.1999998</v>
      </c>
      <c r="K251" s="596">
        <f>+J251/E251</f>
        <v>0.99518140664473698</v>
      </c>
      <c r="L251" s="592">
        <f>SUM(L252:L260)</f>
        <v>0</v>
      </c>
      <c r="M251" s="592"/>
      <c r="N251" s="592">
        <f>+E251-J251-L251</f>
        <v>12675593.800000191</v>
      </c>
      <c r="O251" s="667"/>
      <c r="P251" s="598" t="str">
        <f>IF(ISERROR(VLOOKUP(B251,'Base de Datos'!$C$7:$N$315,8,0))=TRUE," ",(VLOOKUP(B251,'Base de Datos'!$C$7:$N$315,8,0)))</f>
        <v xml:space="preserve"> </v>
      </c>
      <c r="Q251" s="846"/>
      <c r="R251" s="598" t="str">
        <f>IF(ISERROR(VLOOKUP(B251,'Base de Datos'!$C$7:$N$315,9,0))=TRUE," ",(VLOOKUP(B251,'Base de Datos'!$C$7:$N$315,9,0)))</f>
        <v xml:space="preserve"> </v>
      </c>
      <c r="S251" s="598" t="str">
        <f>IF(ISERROR(VLOOKUP(B251,'Base de Datos'!$C$7:$N$315,10,0))=TRUE," ",(VLOOKUP(B251,'Base de Datos'!$C$7:$N$315,10,0)))</f>
        <v xml:space="preserve"> </v>
      </c>
      <c r="T251" s="846"/>
      <c r="U251" s="694"/>
      <c r="V251" s="607"/>
    </row>
    <row r="252" spans="2:22" s="588" customFormat="1" ht="15" customHeight="1" outlineLevel="1" x14ac:dyDescent="0.3">
      <c r="B252" s="600">
        <v>70</v>
      </c>
      <c r="C252" s="506" t="str">
        <f>IF(ISERROR(VLOOKUP(B252,'Base de Datos'!$C$7:$F$4092,2,0))=TRUE,"",(VLOOKUP('Presupuesto - PAA 2017'!B252,'Base de Datos'!$C$7:$F$4092,3,0)))</f>
        <v>150321-0-2015</v>
      </c>
      <c r="D252" s="506" t="str">
        <f>IF(ISERROR(VLOOKUP(B252,'Base de Datos'!$C$7:$F$4092,3,0))=TRUE,"",(VLOOKUP('Presupuesto - PAA 2017'!B252,'Base de Datos'!$C$7:$F$4092,4,0)))</f>
        <v>BUSINESSMIND COLOMBIA SA</v>
      </c>
      <c r="E252" s="553">
        <v>31577404</v>
      </c>
      <c r="F252" s="507" t="str">
        <f>VLOOKUP(B252,'Actualizada - presupuesto'!$D$7:$L$111,9,0)</f>
        <v>SI</v>
      </c>
      <c r="G252" s="507"/>
      <c r="H252" s="507"/>
      <c r="I252" s="507"/>
      <c r="J252" s="509">
        <f>IF(ISERROR(VLOOKUP(B252,'Base de Datos'!$C$7:$N$4092,6,0))=TRUE,"Sin Celebrar",(VLOOKUP(B252,'Base de Datos'!$C$7:$N$4092,7,0)))</f>
        <v>31577404</v>
      </c>
      <c r="K252" s="553"/>
      <c r="L252" s="553" t="str">
        <f t="shared" si="15"/>
        <v xml:space="preserve"> </v>
      </c>
      <c r="M252" s="553"/>
      <c r="N252" s="553" t="str">
        <f t="shared" si="14"/>
        <v xml:space="preserve"> </v>
      </c>
      <c r="O252" s="691" t="str">
        <f>IF(ISERROR(VLOOKUP(B252,'Base de Datos'!$C$7:$K$1048576,7,0))=TRUE," ",(VLOOKUP(B252,'Base de Datos'!$C$7:$K$1048576,8,0)))</f>
        <v>SDH-SMINC-043-2015</v>
      </c>
      <c r="P252" s="524">
        <f>IF(ISERROR(VLOOKUP(B252,'Base de Datos'!$C$7:$N$4077,9,0))=TRUE," ",(VLOOKUP(B252,'Base de Datos'!$C$7:$N$4077,10,0)))</f>
        <v>42208</v>
      </c>
      <c r="Q252" s="587" t="s">
        <v>378</v>
      </c>
      <c r="R252" s="524">
        <f>IF(ISERROR(VLOOKUP(B252,'Base de Datos'!$C$7:$N$4077,10,0))=TRUE," ",(VLOOKUP(B252,'Base de Datos'!$C$7:$N$4077,11,0)))</f>
        <v>42221</v>
      </c>
      <c r="S252" s="524">
        <f>IF(ISERROR(VLOOKUP(B252,'Base de Datos'!$C$7:$N$4077,11,0))=TRUE," ",(VLOOKUP(B252,'Base de Datos'!$C$7:$N$4077,12,0)))</f>
        <v>42282</v>
      </c>
      <c r="T252" s="506" t="str">
        <f>VLOOKUP(C252,'Base de Datos'!$E$7:$AU$382,39,0)</f>
        <v>LIQUIDADO</v>
      </c>
      <c r="U252" s="694"/>
      <c r="V252" s="607"/>
    </row>
    <row r="253" spans="2:22" s="588" customFormat="1" ht="14.25" customHeight="1" outlineLevel="1" x14ac:dyDescent="0.3">
      <c r="B253" s="600">
        <v>71</v>
      </c>
      <c r="C253" s="506" t="str">
        <f>IF(ISERROR(VLOOKUP(B253,'Base de Datos'!$C$7:$F$4092,2,0))=TRUE,"",(VLOOKUP('Presupuesto - PAA 2017'!B253,'Base de Datos'!$C$7:$F$4092,3,0)))</f>
        <v>150254-0-2015</v>
      </c>
      <c r="D253" s="506" t="str">
        <f>IF(ISERROR(VLOOKUP(B253,'Base de Datos'!$C$7:$F$4092,3,0))=TRUE,"",(VLOOKUP('Presupuesto - PAA 2017'!B253,'Base de Datos'!$C$7:$F$4092,4,0)))</f>
        <v>OFICOMCO SAS</v>
      </c>
      <c r="E253" s="553">
        <v>11167296</v>
      </c>
      <c r="F253" s="507" t="str">
        <f>VLOOKUP(B253,'Actualizada - presupuesto'!$D$7:$L$111,9,0)</f>
        <v>SI</v>
      </c>
      <c r="G253" s="507"/>
      <c r="H253" s="507"/>
      <c r="I253" s="507"/>
      <c r="J253" s="509">
        <f>IF(ISERROR(VLOOKUP(B253,'Base de Datos'!$C$7:$N$4092,6,0))=TRUE,"Sin Celebrar",(VLOOKUP(B253,'Base de Datos'!$C$7:$N$4092,7,0)))</f>
        <v>11167296</v>
      </c>
      <c r="K253" s="553"/>
      <c r="L253" s="553" t="str">
        <f t="shared" si="15"/>
        <v xml:space="preserve"> </v>
      </c>
      <c r="M253" s="553"/>
      <c r="N253" s="553" t="str">
        <f t="shared" si="14"/>
        <v xml:space="preserve"> </v>
      </c>
      <c r="O253" s="691" t="str">
        <f>IF(ISERROR(VLOOKUP(B253,'Base de Datos'!$C$7:$K$1048576,7,0))=TRUE," ",(VLOOKUP(B253,'Base de Datos'!$C$7:$K$1048576,8,0)))</f>
        <v>SDH-SMINC-32-2015</v>
      </c>
      <c r="P253" s="524">
        <f>IF(ISERROR(VLOOKUP(B253,'Base de Datos'!$C$7:$N$4077,9,0))=TRUE," ",(VLOOKUP(B253,'Base de Datos'!$C$7:$N$4077,10,0)))</f>
        <v>42167</v>
      </c>
      <c r="Q253" s="587" t="s">
        <v>378</v>
      </c>
      <c r="R253" s="524">
        <f>IF(ISERROR(VLOOKUP(B253,'Base de Datos'!$C$7:$N$4077,10,0))=TRUE," ",(VLOOKUP(B253,'Base de Datos'!$C$7:$N$4077,11,0)))</f>
        <v>42188</v>
      </c>
      <c r="S253" s="524">
        <f>IF(ISERROR(VLOOKUP(B253,'Base de Datos'!$C$7:$N$4077,11,0))=TRUE," ",(VLOOKUP(B253,'Base de Datos'!$C$7:$N$4077,12,0)))</f>
        <v>42250</v>
      </c>
      <c r="T253" s="506" t="str">
        <f>VLOOKUP(C253,'Base de Datos'!$E$7:$AU$382,39,0)</f>
        <v>LIQUIDADO</v>
      </c>
      <c r="U253" s="694"/>
      <c r="V253" s="607"/>
    </row>
    <row r="254" spans="2:22" s="588" customFormat="1" outlineLevel="1" x14ac:dyDescent="0.3">
      <c r="B254" s="600">
        <v>73</v>
      </c>
      <c r="C254" s="526">
        <f>IF(ISERROR(VLOOKUP(B254,'Base de Datos'!$C$7:$F$4085,2,0))=TRUE,"",(VLOOKUP('Presupuesto - PAA 2017'!B254,'Base de Datos'!$C$7:$F$4085,2,0)))</f>
        <v>0</v>
      </c>
      <c r="D254" s="601" t="s">
        <v>1927</v>
      </c>
      <c r="E254" s="704"/>
      <c r="F254" s="507" t="str">
        <f>VLOOKUP(B254,'Actualizada - presupuesto'!$D$7:$L$111,9,0)</f>
        <v>SI</v>
      </c>
      <c r="G254" s="587"/>
      <c r="H254" s="587"/>
      <c r="I254" s="587"/>
      <c r="J254" s="509">
        <f>IF(ISERROR(VLOOKUP(B254,'Base de Datos'!$C$7:$N$4092,6,0))=TRUE,"Sin Celebrar",(VLOOKUP(B254,'Base de Datos'!$C$7:$N$4092,7,0)))</f>
        <v>8320000</v>
      </c>
      <c r="K254" s="553"/>
      <c r="L254" s="553" t="str">
        <f t="shared" si="15"/>
        <v xml:space="preserve"> </v>
      </c>
      <c r="M254" s="587"/>
      <c r="N254" s="553" t="str">
        <f t="shared" si="14"/>
        <v xml:space="preserve"> </v>
      </c>
      <c r="O254" s="691" t="str">
        <f>IF(ISERROR(VLOOKUP(B254,'Base de Datos'!$C$7:$K$1048576,7,0))=TRUE," ",(VLOOKUP(B254,'Base de Datos'!$C$7:$K$1048576,8,0)))</f>
        <v>170186-0-2017</v>
      </c>
      <c r="P254" s="524">
        <f>IF(ISERROR(VLOOKUP(B254,'Base de Datos'!$C$7:$N$4077,9,0))=TRUE," ",(VLOOKUP(B254,'Base de Datos'!$C$7:$N$4077,10,0)))</f>
        <v>42934</v>
      </c>
      <c r="Q254" s="587"/>
      <c r="R254" s="524">
        <f>IF(ISERROR(VLOOKUP(B254,'Base de Datos'!$C$7:$N$4077,10,0))=TRUE," ",(VLOOKUP(B254,'Base de Datos'!$C$7:$N$4077,11,0)))</f>
        <v>42941</v>
      </c>
      <c r="S254" s="524">
        <f>IF(ISERROR(VLOOKUP(B254,'Base de Datos'!$C$7:$N$4077,11,0))=TRUE," ",(VLOOKUP(B254,'Base de Datos'!$C$7:$N$4077,12,0)))</f>
        <v>43215</v>
      </c>
      <c r="T254" s="506" t="e">
        <f>VLOOKUP(C254,'Base de Datos'!$E$7:$AU$382,39,0)</f>
        <v>#N/A</v>
      </c>
      <c r="U254" s="694"/>
      <c r="V254" s="607"/>
    </row>
    <row r="255" spans="2:22" s="588" customFormat="1" outlineLevel="1" x14ac:dyDescent="0.3">
      <c r="B255" s="600">
        <v>74</v>
      </c>
      <c r="C255" s="506" t="str">
        <f>IF(ISERROR(VLOOKUP(B255,'Base de Datos'!$C$7:$F$4092,2,0))=TRUE,"",(VLOOKUP('Presupuesto - PAA 2017'!B255,'Base de Datos'!$C$7:$F$4092,3,0)))</f>
        <v>150382-0-2015</v>
      </c>
      <c r="D255" s="506" t="str">
        <f>IF(ISERROR(VLOOKUP(B255,'Base de Datos'!$C$7:$F$4092,3,0))=TRUE,"",(VLOOKUP('Presupuesto - PAA 2017'!B255,'Base de Datos'!$C$7:$F$4092,4,0)))</f>
        <v>OPENLINK SISTEMAS DE REDES DE DATOS S A S</v>
      </c>
      <c r="E255" s="553">
        <v>1544000000</v>
      </c>
      <c r="F255" s="507" t="s">
        <v>390</v>
      </c>
      <c r="G255" s="587"/>
      <c r="H255" s="587"/>
      <c r="I255" s="587"/>
      <c r="J255" s="509">
        <f>IF(ISERROR(VLOOKUP(B255,'Base de Datos'!$C$7:$N$4092,6,0))=TRUE,"Sin Celebrar",(VLOOKUP(B255,'Base de Datos'!$C$7:$N$4092,7,0)))</f>
        <v>1512217703</v>
      </c>
      <c r="K255" s="553"/>
      <c r="L255" s="553" t="str">
        <f t="shared" si="15"/>
        <v xml:space="preserve"> </v>
      </c>
      <c r="M255" s="587"/>
      <c r="N255" s="553">
        <f t="shared" si="14"/>
        <v>31782297</v>
      </c>
      <c r="O255" s="691" t="str">
        <f>IF(ISERROR(VLOOKUP(B255,'Base de Datos'!$C$7:$K$1048576,7,0))=TRUE," ",(VLOOKUP(B255,'Base de Datos'!$C$7:$K$1048576,8,0)))</f>
        <v>SDH-SIE-14-2015</v>
      </c>
      <c r="P255" s="524">
        <f>IF(ISERROR(VLOOKUP(B255,'Base de Datos'!$C$7:$N$4077,9,0))=TRUE," ",(VLOOKUP(B255,'Base de Datos'!$C$7:$N$4077,10,0)))</f>
        <v>42311</v>
      </c>
      <c r="Q255" s="587"/>
      <c r="R255" s="524">
        <f>IF(ISERROR(VLOOKUP(B255,'Base de Datos'!$C$7:$N$4077,10,0))=TRUE," ",(VLOOKUP(B255,'Base de Datos'!$C$7:$N$4077,11,0)))</f>
        <v>42333</v>
      </c>
      <c r="S255" s="524">
        <f>IF(ISERROR(VLOOKUP(B255,'Base de Datos'!$C$7:$N$4077,11,0))=TRUE," ",(VLOOKUP(B255,'Base de Datos'!$C$7:$N$4077,12,0)))</f>
        <v>42515</v>
      </c>
      <c r="T255" s="506" t="str">
        <f>VLOOKUP(C255,'Base de Datos'!$E$7:$AU$382,39,0)</f>
        <v>LIQUIDADO</v>
      </c>
      <c r="U255" s="694"/>
      <c r="V255" s="607"/>
    </row>
    <row r="256" spans="2:22" s="588" customFormat="1" ht="17.25" customHeight="1" outlineLevel="1" x14ac:dyDescent="0.3">
      <c r="B256" s="600">
        <v>75</v>
      </c>
      <c r="C256" s="506" t="str">
        <f>IF(ISERROR(VLOOKUP(B256,'Base de Datos'!$C$7:$F$4092,2,0))=TRUE,"",(VLOOKUP('Presupuesto - PAA 2017'!B256,'Base de Datos'!$C$7:$F$4092,3,0)))</f>
        <v>150236-0-2015</v>
      </c>
      <c r="D256" s="506" t="str">
        <f>IF(ISERROR(VLOOKUP(B256,'Base de Datos'!$C$7:$F$4092,3,0))=TRUE,"",(VLOOKUP('Presupuesto - PAA 2017'!B256,'Base de Datos'!$C$7:$F$4092,4,0)))</f>
        <v>SISTEG SAS</v>
      </c>
      <c r="E256" s="553">
        <v>8086410</v>
      </c>
      <c r="F256" s="507" t="str">
        <f>VLOOKUP(B256,'Actualizada - presupuesto'!$D$7:$L$111,9,0)</f>
        <v>SI</v>
      </c>
      <c r="G256" s="587"/>
      <c r="H256" s="587"/>
      <c r="I256" s="587"/>
      <c r="J256" s="509">
        <f>IF(ISERROR(VLOOKUP(B256,'Base de Datos'!$C$7:$N$4092,6,0))=TRUE,"Sin Celebrar",(VLOOKUP(B256,'Base de Datos'!$C$7:$N$4092,7,0)))</f>
        <v>8086410</v>
      </c>
      <c r="K256" s="553"/>
      <c r="L256" s="553" t="str">
        <f t="shared" si="15"/>
        <v xml:space="preserve"> </v>
      </c>
      <c r="M256" s="587"/>
      <c r="N256" s="553" t="str">
        <f t="shared" si="14"/>
        <v xml:space="preserve"> </v>
      </c>
      <c r="O256" s="691" t="str">
        <f>IF(ISERROR(VLOOKUP(B256,'Base de Datos'!$C$7:$K$1048576,7,0))=TRUE," ",(VLOOKUP(B256,'Base de Datos'!$C$7:$K$1048576,8,0)))</f>
        <v>SDH-SMINC-30-2015</v>
      </c>
      <c r="P256" s="524">
        <f>IF(ISERROR(VLOOKUP(B256,'Base de Datos'!$C$7:$N$4077,9,0))=TRUE," ",(VLOOKUP(B256,'Base de Datos'!$C$7:$N$4077,10,0)))</f>
        <v>42152</v>
      </c>
      <c r="Q256" s="506" t="s">
        <v>378</v>
      </c>
      <c r="R256" s="524">
        <f>IF(ISERROR(VLOOKUP(B256,'Base de Datos'!$C$7:$N$4077,10,0))=TRUE," ",(VLOOKUP(B256,'Base de Datos'!$C$7:$N$4077,11,0)))</f>
        <v>42165</v>
      </c>
      <c r="S256" s="524">
        <f>IF(ISERROR(VLOOKUP(B256,'Base de Datos'!$C$7:$N$4077,11,0))=TRUE," ",(VLOOKUP(B256,'Base de Datos'!$C$7:$N$4077,12,0)))</f>
        <v>42226</v>
      </c>
      <c r="T256" s="506" t="str">
        <f>VLOOKUP(C256,'Base de Datos'!$E$7:$AU$382,39,0)</f>
        <v>EN TRÁMITE</v>
      </c>
      <c r="U256" s="694"/>
      <c r="V256" s="607"/>
    </row>
    <row r="257" spans="2:22" s="588" customFormat="1" outlineLevel="1" x14ac:dyDescent="0.3">
      <c r="B257" s="600">
        <v>314</v>
      </c>
      <c r="C257" s="506" t="str">
        <f>IF(ISERROR(VLOOKUP(B257,'Base de Datos'!$C$7:$F$4092,2,0))=TRUE,"",(VLOOKUP('Presupuesto - PAA 2017'!B257,'Base de Datos'!$C$7:$F$4092,3,0)))</f>
        <v>150308-0-2015</v>
      </c>
      <c r="D257" s="506" t="str">
        <f>IF(ISERROR(VLOOKUP(B257,'Base de Datos'!$C$7:$F$4092,3,0))=TRUE,"",(VLOOKUP('Presupuesto - PAA 2017'!B257,'Base de Datos'!$C$7:$F$4092,4,0)))</f>
        <v xml:space="preserve">ARANDA SOFTWARE ANDINA SAS  </v>
      </c>
      <c r="E257" s="603">
        <v>30000000</v>
      </c>
      <c r="F257" s="507" t="s">
        <v>390</v>
      </c>
      <c r="G257" s="587"/>
      <c r="H257" s="587"/>
      <c r="I257" s="587"/>
      <c r="J257" s="553">
        <v>30000000</v>
      </c>
      <c r="K257" s="587"/>
      <c r="L257" s="553" t="str">
        <f t="shared" si="15"/>
        <v xml:space="preserve"> </v>
      </c>
      <c r="M257" s="587"/>
      <c r="N257" s="553" t="str">
        <f t="shared" si="14"/>
        <v xml:space="preserve"> </v>
      </c>
      <c r="O257" s="691" t="str">
        <f>IF(ISERROR(VLOOKUP(B257,'Base de Datos'!$C$7:$K$1048576,7,0))=TRUE," ",(VLOOKUP(B257,'Base de Datos'!$C$7:$K$1048576,8,0)))</f>
        <v>150308-0-2015</v>
      </c>
      <c r="P257" s="524">
        <f>IF(ISERROR(VLOOKUP(B257,'Base de Datos'!$C$7:$N$4077,9,0))=TRUE," ",(VLOOKUP(B257,'Base de Datos'!$C$7:$N$4077,10,0)))</f>
        <v>42193</v>
      </c>
      <c r="Q257" s="587"/>
      <c r="R257" s="524">
        <f>IF(ISERROR(VLOOKUP(B257,'Base de Datos'!$C$7:$N$4077,10,0))=TRUE," ",(VLOOKUP(B257,'Base de Datos'!$C$7:$N$4077,11,0)))</f>
        <v>42199</v>
      </c>
      <c r="S257" s="524">
        <f>IF(ISERROR(VLOOKUP(B257,'Base de Datos'!$C$7:$N$4077,11,0))=TRUE," ",(VLOOKUP(B257,'Base de Datos'!$C$7:$N$4077,12,0)))</f>
        <v>42565</v>
      </c>
      <c r="T257" s="506" t="str">
        <f>VLOOKUP(C257,'Base de Datos'!$E$7:$AU$382,39,0)</f>
        <v>LIQUIDADO</v>
      </c>
      <c r="U257" s="694"/>
      <c r="V257" s="607"/>
    </row>
    <row r="258" spans="2:22" s="588" customFormat="1" outlineLevel="1" x14ac:dyDescent="0.3">
      <c r="B258" s="600">
        <v>325</v>
      </c>
      <c r="C258" s="506" t="str">
        <f>IF(ISERROR(VLOOKUP(B258,'Base de Datos'!$C$7:$F$4092,2,0))=TRUE,"",(VLOOKUP('Presupuesto - PAA 2017'!B258,'Base de Datos'!$C$7:$F$4092,3,0)))</f>
        <v>150346-0-2015</v>
      </c>
      <c r="D258" s="506" t="str">
        <f>IF(ISERROR(VLOOKUP(B258,'Base de Datos'!$C$7:$F$4092,3,0))=TRUE,"",(VLOOKUP('Presupuesto - PAA 2017'!B258,'Base de Datos'!$C$7:$F$4092,4,0)))</f>
        <v>JOHN KENNEDY LEON CASTIBLANCO</v>
      </c>
      <c r="E258" s="603">
        <v>33000000</v>
      </c>
      <c r="F258" s="507" t="s">
        <v>390</v>
      </c>
      <c r="G258" s="587"/>
      <c r="H258" s="587"/>
      <c r="I258" s="587"/>
      <c r="J258" s="509">
        <f>IF(ISERROR(VLOOKUP(B258,'Base de Datos'!$C$7:$N$4092,6,0))=TRUE,"Sin Celebrar",(VLOOKUP(B258,'Base de Datos'!$C$7:$N$4092,7,0)))</f>
        <v>33000000</v>
      </c>
      <c r="K258" s="587"/>
      <c r="L258" s="553" t="str">
        <f t="shared" si="15"/>
        <v xml:space="preserve"> </v>
      </c>
      <c r="M258" s="587"/>
      <c r="N258" s="553" t="str">
        <f t="shared" si="14"/>
        <v xml:space="preserve"> </v>
      </c>
      <c r="O258" s="691" t="str">
        <f>IF(ISERROR(VLOOKUP(B258,'Base de Datos'!$C$7:$K$1048576,7,0))=TRUE," ",(VLOOKUP(B258,'Base de Datos'!$C$7:$K$1048576,8,0)))</f>
        <v>150346-0-2015</v>
      </c>
      <c r="P258" s="524">
        <f>IF(ISERROR(VLOOKUP(B258,'Base de Datos'!$C$7:$N$4077,9,0))=TRUE," ",(VLOOKUP(B258,'Base de Datos'!$C$7:$N$4077,10,0)))</f>
        <v>42244</v>
      </c>
      <c r="Q258" s="587"/>
      <c r="R258" s="524">
        <f>IF(ISERROR(VLOOKUP(B258,'Base de Datos'!$C$7:$N$4077,10,0))=TRUE," ",(VLOOKUP(B258,'Base de Datos'!$C$7:$N$4077,11,0)))</f>
        <v>42249</v>
      </c>
      <c r="S258" s="524">
        <f>IF(ISERROR(VLOOKUP(B258,'Base de Datos'!$C$7:$N$4077,11,0))=TRUE," ",(VLOOKUP(B258,'Base de Datos'!$C$7:$N$4077,12,0)))</f>
        <v>42431</v>
      </c>
      <c r="T258" s="506" t="str">
        <f>VLOOKUP(C258,'Base de Datos'!$E$7:$AU$382,39,0)</f>
        <v>LIQUIDADO</v>
      </c>
      <c r="U258" s="694"/>
      <c r="V258" s="607"/>
    </row>
    <row r="259" spans="2:22" s="588" customFormat="1" outlineLevel="1" x14ac:dyDescent="0.3">
      <c r="B259" s="600">
        <v>326</v>
      </c>
      <c r="C259" s="506" t="str">
        <f>IF(ISERROR(VLOOKUP(B259,'Base de Datos'!$C$7:$F$4092,2,0))=TRUE,"",(VLOOKUP('Presupuesto - PAA 2017'!B259,'Base de Datos'!$C$7:$F$4092,3,0)))</f>
        <v>150340-0-2015</v>
      </c>
      <c r="D259" s="506" t="str">
        <f>IF(ISERROR(VLOOKUP(B259,'Base de Datos'!$C$7:$F$4092,3,0))=TRUE,"",(VLOOKUP('Presupuesto - PAA 2017'!B259,'Base de Datos'!$C$7:$F$4092,4,0)))</f>
        <v>RICOH COLOMBIA S.A.</v>
      </c>
      <c r="E259" s="603">
        <v>72727824</v>
      </c>
      <c r="F259" s="507" t="s">
        <v>390</v>
      </c>
      <c r="G259" s="587"/>
      <c r="H259" s="587"/>
      <c r="I259" s="587"/>
      <c r="J259" s="509">
        <f>IF(ISERROR(VLOOKUP(B259,'Base de Datos'!$C$7:$N$4092,6,0))=TRUE,"Sin Celebrar",(VLOOKUP(B259,'Base de Datos'!$C$7:$N$4092,7,0)))</f>
        <v>72727824</v>
      </c>
      <c r="K259" s="587"/>
      <c r="L259" s="553" t="str">
        <f t="shared" si="15"/>
        <v xml:space="preserve"> </v>
      </c>
      <c r="M259" s="587"/>
      <c r="N259" s="553" t="str">
        <f t="shared" si="14"/>
        <v xml:space="preserve"> </v>
      </c>
      <c r="O259" s="691" t="str">
        <f>IF(ISERROR(VLOOKUP(B259,'Base de Datos'!$C$7:$K$1048576,7,0))=TRUE," ",(VLOOKUP(B259,'Base de Datos'!$C$7:$K$1048576,8,0)))</f>
        <v>150340-0-2015</v>
      </c>
      <c r="P259" s="524">
        <f>IF(ISERROR(VLOOKUP(B259,'Base de Datos'!$C$7:$N$4077,9,0))=TRUE," ",(VLOOKUP(B259,'Base de Datos'!$C$7:$N$4077,10,0)))</f>
        <v>42236</v>
      </c>
      <c r="Q259" s="587"/>
      <c r="R259" s="524">
        <f>IF(ISERROR(VLOOKUP(B259,'Base de Datos'!$C$7:$N$4077,10,0))=TRUE," ",(VLOOKUP(B259,'Base de Datos'!$C$7:$N$4077,11,0)))</f>
        <v>42244</v>
      </c>
      <c r="S259" s="524">
        <f>IF(ISERROR(VLOOKUP(B259,'Base de Datos'!$C$7:$N$4077,11,0))=TRUE," ",(VLOOKUP(B259,'Base de Datos'!$C$7:$N$4077,12,0)))</f>
        <v>42305</v>
      </c>
      <c r="T259" s="506" t="str">
        <f>VLOOKUP(C259,'Base de Datos'!$E$7:$AU$382,39,0)</f>
        <v>LIQUIDADO</v>
      </c>
      <c r="U259" s="694"/>
      <c r="V259" s="607"/>
    </row>
    <row r="260" spans="2:22" s="588" customFormat="1" outlineLevel="1" x14ac:dyDescent="0.3">
      <c r="B260" s="600">
        <v>365</v>
      </c>
      <c r="C260" s="506" t="str">
        <f>IF(ISERROR(VLOOKUP(B260,'Base de Datos'!$C$7:$F$4092,2,0))=TRUE,"",(VLOOKUP('Presupuesto - PAA 2017'!B260,'Base de Datos'!$C$7:$F$4092,3,0)))</f>
        <v>150397-0-2015</v>
      </c>
      <c r="D260" s="506" t="str">
        <f>IF(ISERROR(VLOOKUP(B260,'Base de Datos'!$C$7:$F$4092,3,0))=TRUE,"",(VLOOKUP('Presupuesto - PAA 2017'!B260,'Base de Datos'!$C$7:$F$4092,4,0)))</f>
        <v>ORACLE COLOMBIA LTDA</v>
      </c>
      <c r="E260" s="603">
        <v>900000000</v>
      </c>
      <c r="F260" s="507" t="s">
        <v>390</v>
      </c>
      <c r="G260" s="587"/>
      <c r="H260" s="587"/>
      <c r="I260" s="587"/>
      <c r="J260" s="509">
        <f>IF(ISERROR(VLOOKUP(B260,'Base de Datos'!$C$7:$N$4092,6,0))=TRUE,"Sin Celebrar",(VLOOKUP(B260,'Base de Datos'!$C$7:$N$4092,7,0)))</f>
        <v>910786703.20000005</v>
      </c>
      <c r="K260" s="587"/>
      <c r="L260" s="553" t="str">
        <f>IF(J260=$AA$1,E260, " ")</f>
        <v xml:space="preserve"> </v>
      </c>
      <c r="M260" s="587"/>
      <c r="N260" s="553" t="str">
        <f>IF(J260&lt;E260,(E260-J260)," ")</f>
        <v xml:space="preserve"> </v>
      </c>
      <c r="O260" s="691" t="str">
        <f>IF(ISERROR(VLOOKUP(B260,'Base de Datos'!$C$7:$K$1048576,7,0))=TRUE," ",(VLOOKUP(B260,'Base de Datos'!$C$7:$K$1048576,8,0)))</f>
        <v>CCE-211-AG-2015</v>
      </c>
      <c r="P260" s="524">
        <f>IF(ISERROR(VLOOKUP(B260,'Base de Datos'!$C$7:$N$4077,9,0))=TRUE," ",(VLOOKUP(B260,'Base de Datos'!$C$7:$N$4077,10,0)))</f>
        <v>42341</v>
      </c>
      <c r="Q260" s="587" t="s">
        <v>382</v>
      </c>
      <c r="R260" s="524">
        <f>IF(ISERROR(VLOOKUP(B260,'Base de Datos'!$C$7:$N$4077,10,0))=TRUE," ",(VLOOKUP(B260,'Base de Datos'!$C$7:$N$4077,11,0)))</f>
        <v>42341</v>
      </c>
      <c r="S260" s="524">
        <f>IF(ISERROR(VLOOKUP(B260,'Base de Datos'!$C$7:$N$4077,11,0))=TRUE," ",(VLOOKUP(B260,'Base de Datos'!$C$7:$N$4077,12,0)))</f>
        <v>42524</v>
      </c>
      <c r="T260" s="506" t="s">
        <v>1991</v>
      </c>
      <c r="U260" s="694"/>
      <c r="V260" s="607"/>
    </row>
    <row r="261" spans="2:22" s="588" customFormat="1" outlineLevel="1" x14ac:dyDescent="0.3">
      <c r="B261" s="600">
        <v>365</v>
      </c>
      <c r="C261" s="506" t="s">
        <v>2373</v>
      </c>
      <c r="D261" s="506" t="s">
        <v>2360</v>
      </c>
      <c r="E261" s="603"/>
      <c r="F261" s="507"/>
      <c r="G261" s="587"/>
      <c r="H261" s="587"/>
      <c r="I261" s="587"/>
      <c r="J261" s="509">
        <v>295840339</v>
      </c>
      <c r="K261" s="587"/>
      <c r="L261" s="553"/>
      <c r="M261" s="587"/>
      <c r="N261" s="553"/>
      <c r="O261" s="691" t="s">
        <v>2361</v>
      </c>
      <c r="P261" s="524">
        <v>42349</v>
      </c>
      <c r="Q261" s="587" t="s">
        <v>382</v>
      </c>
      <c r="R261" s="524"/>
      <c r="S261" s="524"/>
      <c r="T261" s="506"/>
      <c r="U261" s="694"/>
      <c r="V261" s="607"/>
    </row>
    <row r="262" spans="2:22" s="588" customFormat="1" outlineLevel="1" x14ac:dyDescent="0.3">
      <c r="B262" s="600">
        <v>365</v>
      </c>
      <c r="C262" s="506" t="s">
        <v>2371</v>
      </c>
      <c r="D262" s="506" t="s">
        <v>2360</v>
      </c>
      <c r="E262" s="603"/>
      <c r="F262" s="507"/>
      <c r="G262" s="587"/>
      <c r="H262" s="587"/>
      <c r="I262" s="587"/>
      <c r="J262" s="509">
        <v>188315358.83000001</v>
      </c>
      <c r="K262" s="587"/>
      <c r="L262" s="553"/>
      <c r="M262" s="587"/>
      <c r="N262" s="553"/>
      <c r="O262" s="691" t="s">
        <v>2361</v>
      </c>
      <c r="P262" s="524">
        <v>42349</v>
      </c>
      <c r="Q262" s="587" t="s">
        <v>382</v>
      </c>
      <c r="R262" s="524"/>
      <c r="S262" s="524"/>
      <c r="T262" s="506"/>
      <c r="U262" s="694"/>
      <c r="V262" s="607"/>
    </row>
    <row r="263" spans="2:22" s="588" customFormat="1" outlineLevel="1" x14ac:dyDescent="0.3">
      <c r="B263" s="587"/>
      <c r="C263" s="587"/>
      <c r="D263" s="587"/>
      <c r="E263" s="603"/>
      <c r="F263" s="587"/>
      <c r="G263" s="587"/>
      <c r="H263" s="587"/>
      <c r="I263" s="587"/>
      <c r="J263" s="587"/>
      <c r="K263" s="587"/>
      <c r="L263" s="587"/>
      <c r="M263" s="587"/>
      <c r="N263" s="603"/>
      <c r="O263" s="668"/>
      <c r="P263" s="602"/>
      <c r="Q263" s="587"/>
      <c r="R263" s="587"/>
      <c r="S263" s="587"/>
      <c r="T263" s="587"/>
      <c r="U263" s="694"/>
      <c r="V263" s="607"/>
    </row>
    <row r="264" spans="2:22" outlineLevel="1" x14ac:dyDescent="0.3">
      <c r="B264" s="506"/>
      <c r="C264" s="1258" t="s">
        <v>1932</v>
      </c>
      <c r="D264" s="1258"/>
      <c r="E264" s="593">
        <f>+E265</f>
        <v>4174276985</v>
      </c>
      <c r="F264" s="846"/>
      <c r="G264" s="846"/>
      <c r="H264" s="846"/>
      <c r="I264" s="846"/>
      <c r="J264" s="593">
        <f>SUM(J265)</f>
        <v>4174276985</v>
      </c>
      <c r="K264" s="596">
        <f>+J264/E264</f>
        <v>1</v>
      </c>
      <c r="L264" s="593">
        <f>SUM(L265)</f>
        <v>0</v>
      </c>
      <c r="M264" s="846"/>
      <c r="N264" s="593" t="str">
        <f>+N265</f>
        <v xml:space="preserve"> </v>
      </c>
      <c r="O264" s="669"/>
      <c r="P264" s="599"/>
      <c r="Q264" s="846"/>
      <c r="R264" s="846"/>
      <c r="S264" s="846"/>
      <c r="T264" s="846"/>
      <c r="U264" s="694"/>
      <c r="V264" s="607"/>
    </row>
    <row r="265" spans="2:22" ht="22.8" outlineLevel="1" x14ac:dyDescent="0.3">
      <c r="B265" s="510">
        <v>210</v>
      </c>
      <c r="C265" s="506" t="str">
        <f>IF(ISERROR(VLOOKUP(B265,'Base de Datos'!$C$7:$F$4092,2,0))=TRUE,"",(VLOOKUP('Presupuesto - PAA 2017'!B265,'Base de Datos'!$C$7:$F$4092,3,0)))</f>
        <v>150198-0-2015</v>
      </c>
      <c r="D265" s="506" t="str">
        <f>IF(ISERROR(VLOOKUP(B265,'Base de Datos'!$C$7:$F$4092,3,0))=TRUE,"",(VLOOKUP('Presupuesto - PAA 2017'!B265,'Base de Datos'!$C$7:$F$4092,4,0)))</f>
        <v>UNIDAD NACIONAL DE PROTECCIÓN UNP</v>
      </c>
      <c r="E265" s="509">
        <v>4174276985</v>
      </c>
      <c r="F265" s="507" t="str">
        <f>VLOOKUP(B265,'Actualizada - presupuesto'!$D$7:$L$111,9,0)</f>
        <v>SI</v>
      </c>
      <c r="G265" s="506"/>
      <c r="H265" s="506"/>
      <c r="I265" s="506"/>
      <c r="J265" s="509">
        <f>IF(ISERROR(VLOOKUP(B265,'Base de Datos'!$C$7:$N$4092,6,0))=TRUE,"Sin Celebrar",(VLOOKUP(B265,'Base de Datos'!$C$7:$N$4092,7,0)))</f>
        <v>4174276985</v>
      </c>
      <c r="K265" s="509"/>
      <c r="L265" s="509" t="str">
        <f>IF(J265=$AA$1,E265, " ")</f>
        <v xml:space="preserve"> </v>
      </c>
      <c r="M265" s="506"/>
      <c r="N265" s="509" t="str">
        <f>IF(J265&lt;E265,(E265-J265)," ")</f>
        <v xml:space="preserve"> </v>
      </c>
      <c r="O265" s="691" t="str">
        <f>IF(ISERROR(VLOOKUP(B265,'Base de Datos'!$C$7:$K$1048576,7,0))=TRUE," ",(VLOOKUP(B265,'Base de Datos'!$C$7:$K$1048576,8,0)))</f>
        <v>150198-0-2015</v>
      </c>
      <c r="P265" s="524">
        <f>IF(ISERROR(VLOOKUP(B265,'Base de Datos'!$C$7:$N$4077,9,0))=TRUE," ",(VLOOKUP(B265,'Base de Datos'!$C$7:$N$4077,10,0)))</f>
        <v>42117</v>
      </c>
      <c r="Q265" s="506" t="s">
        <v>2092</v>
      </c>
      <c r="R265" s="524">
        <f>IF(ISERROR(VLOOKUP(B265,'Base de Datos'!$C$7:$N$4077,10,0))=TRUE," ",(VLOOKUP(B265,'Base de Datos'!$C$7:$N$4077,11,0)))</f>
        <v>42117</v>
      </c>
      <c r="S265" s="524">
        <f>IF(ISERROR(VLOOKUP(B265,'Base de Datos'!$C$7:$N$4077,11,0))=TRUE," ",(VLOOKUP(B265,'Base de Datos'!$C$7:$N$4077,12,0)))</f>
        <v>42468</v>
      </c>
      <c r="T265" s="506" t="str">
        <f>VLOOKUP(C265,'Base de Datos'!$E$7:$AU$382,39,0)</f>
        <v>LIQUIDADO</v>
      </c>
      <c r="U265" s="694"/>
      <c r="V265" s="607"/>
    </row>
    <row r="266" spans="2:22" outlineLevel="1" x14ac:dyDescent="0.3">
      <c r="B266" s="734"/>
      <c r="C266" s="735"/>
      <c r="D266" s="735"/>
      <c r="E266" s="736"/>
      <c r="F266" s="737"/>
      <c r="G266" s="735"/>
      <c r="H266" s="735"/>
      <c r="I266" s="735"/>
      <c r="J266" s="736"/>
      <c r="K266" s="736"/>
      <c r="L266" s="736"/>
      <c r="M266" s="735"/>
      <c r="N266" s="736"/>
      <c r="O266" s="738"/>
      <c r="P266" s="739"/>
      <c r="Q266" s="735"/>
      <c r="R266" s="739"/>
      <c r="S266" s="739"/>
      <c r="T266" s="735"/>
      <c r="U266" s="694"/>
      <c r="V266" s="607"/>
    </row>
    <row r="267" spans="2:22" outlineLevel="1" x14ac:dyDescent="0.3">
      <c r="B267" s="734"/>
      <c r="C267" s="735"/>
      <c r="D267" s="735"/>
      <c r="E267" s="736"/>
      <c r="F267" s="737"/>
      <c r="G267" s="735"/>
      <c r="H267" s="735"/>
      <c r="I267" s="735"/>
      <c r="J267" s="736"/>
      <c r="K267" s="736"/>
      <c r="L267" s="736"/>
      <c r="M267" s="735"/>
      <c r="N267" s="736"/>
      <c r="O267" s="738"/>
      <c r="P267" s="739"/>
      <c r="Q267" s="735"/>
      <c r="R267" s="739"/>
      <c r="S267" s="739"/>
      <c r="T267" s="735"/>
      <c r="U267" s="694"/>
      <c r="V267" s="607"/>
    </row>
    <row r="268" spans="2:22" outlineLevel="1" x14ac:dyDescent="0.3">
      <c r="B268" s="734"/>
      <c r="C268" s="735"/>
      <c r="D268" s="735"/>
      <c r="E268" s="736"/>
      <c r="F268" s="737"/>
      <c r="G268" s="735"/>
      <c r="H268" s="735"/>
      <c r="I268" s="735"/>
      <c r="J268" s="736"/>
      <c r="K268" s="736"/>
      <c r="L268" s="736"/>
      <c r="M268" s="735"/>
      <c r="N268" s="736"/>
      <c r="O268" s="738"/>
      <c r="P268" s="739"/>
      <c r="Q268" s="735"/>
      <c r="R268" s="739"/>
      <c r="S268" s="739"/>
      <c r="T268" s="735"/>
      <c r="U268" s="694"/>
      <c r="V268" s="607"/>
    </row>
    <row r="269" spans="2:22" x14ac:dyDescent="0.3">
      <c r="R269" s="670"/>
    </row>
    <row r="270" spans="2:22" ht="36" hidden="1" x14ac:dyDescent="0.3">
      <c r="B270" s="1244" t="s">
        <v>2125</v>
      </c>
      <c r="C270" s="1244"/>
      <c r="D270" s="1244"/>
      <c r="E270" s="706"/>
      <c r="F270" s="710" t="str">
        <f>+F271</f>
        <v>Valor total con adiciones</v>
      </c>
      <c r="G270" s="706" t="str">
        <f t="shared" ref="G270:T270" si="16">+G271</f>
        <v>Presupuesto Inicial</v>
      </c>
      <c r="H270" s="706" t="str">
        <f t="shared" si="16"/>
        <v>Presupuesto Modificado</v>
      </c>
      <c r="I270" s="706" t="str">
        <f t="shared" si="16"/>
        <v>Presupuesto Disponible (04-05-15)</v>
      </c>
      <c r="J270" s="711" t="str">
        <f t="shared" si="16"/>
        <v>Valor con Autorización de Giro</v>
      </c>
      <c r="K270" s="707" t="str">
        <f t="shared" si="16"/>
        <v>% EJE</v>
      </c>
      <c r="L270" s="706" t="str">
        <f t="shared" si="16"/>
        <v xml:space="preserve">SALDOS  </v>
      </c>
      <c r="M270" s="708"/>
      <c r="N270" s="706" t="str">
        <f t="shared" si="16"/>
        <v>SALDOS A LIBERAR</v>
      </c>
      <c r="O270" s="706" t="str">
        <f t="shared" si="16"/>
        <v>Estado</v>
      </c>
      <c r="P270" s="706" t="str">
        <f t="shared" si="16"/>
        <v>Observaciones</v>
      </c>
      <c r="Q270" s="706" t="str">
        <f t="shared" si="16"/>
        <v>Plazo de ejecución</v>
      </c>
      <c r="R270" s="706" t="str">
        <f t="shared" si="16"/>
        <v>Fecha de Inicio</v>
      </c>
      <c r="S270" s="706" t="str">
        <f t="shared" si="16"/>
        <v>Fecha de terminación</v>
      </c>
      <c r="T270" s="706" t="str">
        <f t="shared" si="16"/>
        <v>Responsable FC</v>
      </c>
    </row>
    <row r="271" spans="2:22" ht="36" hidden="1" x14ac:dyDescent="0.3">
      <c r="B271" s="1243" t="s">
        <v>1782</v>
      </c>
      <c r="C271" s="1243"/>
      <c r="D271" s="1243"/>
      <c r="E271" s="845" t="s">
        <v>2128</v>
      </c>
      <c r="F271" s="845" t="s">
        <v>2129</v>
      </c>
      <c r="G271" s="845" t="s">
        <v>1896</v>
      </c>
      <c r="H271" s="845" t="s">
        <v>1897</v>
      </c>
      <c r="I271" s="845" t="s">
        <v>1839</v>
      </c>
      <c r="J271" s="845" t="s">
        <v>2130</v>
      </c>
      <c r="K271" s="688" t="s">
        <v>1899</v>
      </c>
      <c r="L271" s="845" t="s">
        <v>2134</v>
      </c>
      <c r="M271" s="845" t="s">
        <v>1901</v>
      </c>
      <c r="N271" s="845" t="s">
        <v>1903</v>
      </c>
      <c r="O271" s="689" t="s">
        <v>2133</v>
      </c>
      <c r="P271" s="690" t="s">
        <v>1817</v>
      </c>
      <c r="Q271" s="845" t="s">
        <v>1847</v>
      </c>
      <c r="R271" s="845" t="s">
        <v>1848</v>
      </c>
      <c r="S271" s="845" t="s">
        <v>375</v>
      </c>
      <c r="T271" s="845" t="s">
        <v>1849</v>
      </c>
    </row>
    <row r="272" spans="2:22" ht="12" hidden="1" x14ac:dyDescent="0.3">
      <c r="B272" s="1241" t="s">
        <v>1685</v>
      </c>
      <c r="C272" s="1241"/>
      <c r="D272" s="1241"/>
      <c r="E272" s="514">
        <f>+E273+E383</f>
        <v>16001697633</v>
      </c>
      <c r="F272" s="514" t="e">
        <f>+F273+F383</f>
        <v>#VALUE!</v>
      </c>
      <c r="G272" s="514"/>
      <c r="H272" s="514"/>
      <c r="I272" s="514">
        <f>+I273+I496</f>
        <v>730500000</v>
      </c>
      <c r="J272" s="514" t="e">
        <f>+J273+J383</f>
        <v>#VALUE!</v>
      </c>
      <c r="K272" s="619" t="e">
        <f>+J272/E272</f>
        <v>#VALUE!</v>
      </c>
      <c r="L272" s="514">
        <f>+L273+L383</f>
        <v>65689090</v>
      </c>
      <c r="M272" s="514">
        <f>+M273+M521</f>
        <v>239389927</v>
      </c>
      <c r="N272" s="514">
        <f>+N273+N383</f>
        <v>0</v>
      </c>
      <c r="O272" s="647"/>
      <c r="P272" s="624"/>
      <c r="Q272" s="544"/>
      <c r="R272" s="544"/>
      <c r="S272" s="544"/>
      <c r="T272" s="544"/>
    </row>
    <row r="273" spans="2:20" ht="12" hidden="1" x14ac:dyDescent="0.3">
      <c r="B273" s="1241" t="s">
        <v>1683</v>
      </c>
      <c r="C273" s="1241"/>
      <c r="D273" s="1241"/>
      <c r="E273" s="514">
        <f>+E274+E289</f>
        <v>12961700936</v>
      </c>
      <c r="F273" s="514" t="e">
        <f>+F274+F289</f>
        <v>#VALUE!</v>
      </c>
      <c r="G273" s="514">
        <f>+G274+G332</f>
        <v>858500000</v>
      </c>
      <c r="H273" s="514">
        <f>+H274+H332</f>
        <v>128000000</v>
      </c>
      <c r="I273" s="514">
        <f>+I274+I332</f>
        <v>730500000</v>
      </c>
      <c r="J273" s="514" t="e">
        <f>+J274+J289</f>
        <v>#VALUE!</v>
      </c>
      <c r="K273" s="619" t="e">
        <f>+J273/E273</f>
        <v>#VALUE!</v>
      </c>
      <c r="L273" s="514">
        <f>+L274+L289</f>
        <v>65350825</v>
      </c>
      <c r="M273" s="514">
        <f>+M274+M325</f>
        <v>239389927</v>
      </c>
      <c r="N273" s="514">
        <f>+N274+N289</f>
        <v>0</v>
      </c>
      <c r="O273" s="647"/>
      <c r="P273" s="545"/>
      <c r="Q273" s="544"/>
      <c r="R273" s="544"/>
      <c r="S273" s="544"/>
      <c r="T273" s="544"/>
    </row>
    <row r="274" spans="2:20" ht="12" hidden="1" x14ac:dyDescent="0.3">
      <c r="B274" s="1240" t="s">
        <v>1682</v>
      </c>
      <c r="C274" s="1240"/>
      <c r="D274" s="1240"/>
      <c r="E274" s="512">
        <f>+E275</f>
        <v>256100000</v>
      </c>
      <c r="F274" s="604" t="e">
        <f>+F275</f>
        <v>#VALUE!</v>
      </c>
      <c r="G274" s="512">
        <f t="shared" ref="G274:I275" si="17">+G275</f>
        <v>858500000</v>
      </c>
      <c r="H274" s="512">
        <f t="shared" si="17"/>
        <v>128000000</v>
      </c>
      <c r="I274" s="512">
        <f t="shared" si="17"/>
        <v>730500000</v>
      </c>
      <c r="J274" s="512" t="e">
        <f>+J275</f>
        <v>#VALUE!</v>
      </c>
      <c r="K274" s="575" t="e">
        <f>+J274/E274</f>
        <v>#VALUE!</v>
      </c>
      <c r="L274" s="512">
        <f t="shared" ref="L274:N275" si="18">+L275</f>
        <v>252081</v>
      </c>
      <c r="M274" s="512">
        <f t="shared" si="18"/>
        <v>239389927</v>
      </c>
      <c r="N274" s="512">
        <f t="shared" si="18"/>
        <v>0</v>
      </c>
      <c r="O274" s="648"/>
      <c r="P274" s="543"/>
      <c r="Q274" s="542"/>
      <c r="R274" s="542"/>
      <c r="S274" s="542"/>
      <c r="T274" s="542"/>
    </row>
    <row r="275" spans="2:20" ht="12" hidden="1" x14ac:dyDescent="0.3">
      <c r="B275" s="1240" t="s">
        <v>1681</v>
      </c>
      <c r="C275" s="1240"/>
      <c r="D275" s="1240"/>
      <c r="E275" s="512">
        <f>+E276+E285</f>
        <v>256100000</v>
      </c>
      <c r="F275" s="512" t="e">
        <f>+F276+F285</f>
        <v>#VALUE!</v>
      </c>
      <c r="G275" s="512">
        <f t="shared" si="17"/>
        <v>858500000</v>
      </c>
      <c r="H275" s="512">
        <f t="shared" si="17"/>
        <v>128000000</v>
      </c>
      <c r="I275" s="512">
        <f t="shared" si="17"/>
        <v>730500000</v>
      </c>
      <c r="J275" s="512" t="e">
        <f>+J276+J285</f>
        <v>#VALUE!</v>
      </c>
      <c r="K275" s="575" t="e">
        <f>+J275/E275</f>
        <v>#VALUE!</v>
      </c>
      <c r="L275" s="512">
        <f>+L276+L285</f>
        <v>252081</v>
      </c>
      <c r="M275" s="512">
        <f t="shared" si="18"/>
        <v>239389927</v>
      </c>
      <c r="N275" s="512">
        <f>+N276+N285</f>
        <v>0</v>
      </c>
      <c r="O275" s="648"/>
      <c r="P275" s="543"/>
      <c r="Q275" s="542"/>
      <c r="R275" s="542"/>
      <c r="S275" s="542"/>
      <c r="T275" s="542"/>
    </row>
    <row r="276" spans="2:20" ht="12" hidden="1" x14ac:dyDescent="0.3">
      <c r="B276" s="1240" t="s">
        <v>1680</v>
      </c>
      <c r="C276" s="1240"/>
      <c r="D276" s="1240"/>
      <c r="E276" s="512">
        <f>+E277</f>
        <v>239600000</v>
      </c>
      <c r="F276" s="604">
        <f>+F277</f>
        <v>0</v>
      </c>
      <c r="G276" s="512">
        <f>+G277+G325+G328</f>
        <v>858500000</v>
      </c>
      <c r="H276" s="512">
        <f>+H277+H325+H328</f>
        <v>128000000</v>
      </c>
      <c r="I276" s="512">
        <f>+I277+I325+I328</f>
        <v>730500000</v>
      </c>
      <c r="J276" s="512">
        <f>+J277</f>
        <v>0</v>
      </c>
      <c r="K276" s="575">
        <f>+J276/E276</f>
        <v>0</v>
      </c>
      <c r="L276" s="512">
        <f>+L277</f>
        <v>210073</v>
      </c>
      <c r="M276" s="512">
        <f>+M277+M305+M309</f>
        <v>239389927</v>
      </c>
      <c r="N276" s="512">
        <f>+N277</f>
        <v>0</v>
      </c>
      <c r="O276" s="648"/>
      <c r="P276" s="543"/>
      <c r="Q276" s="542"/>
      <c r="R276" s="542"/>
      <c r="S276" s="542"/>
      <c r="T276" s="542"/>
    </row>
    <row r="277" spans="2:20" ht="12" hidden="1" x14ac:dyDescent="0.3">
      <c r="B277" s="1239" t="s">
        <v>1642</v>
      </c>
      <c r="C277" s="1239"/>
      <c r="D277" s="1239"/>
      <c r="E277" s="557">
        <f>SUM(E279:E283)</f>
        <v>239600000</v>
      </c>
      <c r="F277" s="557">
        <f>SUM(F279:F283)</f>
        <v>0</v>
      </c>
      <c r="G277" s="554">
        <v>858500000</v>
      </c>
      <c r="H277" s="555">
        <v>128000000</v>
      </c>
      <c r="I277" s="554">
        <f>+G277-H277</f>
        <v>730500000</v>
      </c>
      <c r="J277" s="557">
        <f>SUM(J279:J283)</f>
        <v>0</v>
      </c>
      <c r="K277" s="576" t="e">
        <f>+J277/F277</f>
        <v>#DIV/0!</v>
      </c>
      <c r="L277" s="557">
        <f>SUM(L279:L283)</f>
        <v>210073</v>
      </c>
      <c r="M277" s="558">
        <f>+E277-(J277+L277)</f>
        <v>239389927</v>
      </c>
      <c r="N277" s="557">
        <f>SUM(N279:N283)</f>
        <v>0</v>
      </c>
      <c r="O277" s="649"/>
      <c r="P277" s="557"/>
      <c r="Q277" s="565"/>
      <c r="R277" s="565"/>
      <c r="S277" s="565"/>
      <c r="T277" s="565"/>
    </row>
    <row r="278" spans="2:20" ht="22.8" hidden="1" x14ac:dyDescent="0.3">
      <c r="B278" s="510" t="s">
        <v>2127</v>
      </c>
      <c r="C278" s="510" t="s">
        <v>912</v>
      </c>
      <c r="D278" s="510" t="s">
        <v>1821</v>
      </c>
      <c r="E278" s="518" t="s">
        <v>1844</v>
      </c>
      <c r="F278" s="507" t="s">
        <v>2129</v>
      </c>
      <c r="G278" s="507"/>
      <c r="H278" s="507"/>
      <c r="I278" s="507"/>
      <c r="J278" s="510" t="s">
        <v>2130</v>
      </c>
      <c r="K278" s="625"/>
      <c r="L278" s="510" t="s">
        <v>1939</v>
      </c>
      <c r="M278" s="510"/>
      <c r="N278" s="510" t="s">
        <v>2136</v>
      </c>
      <c r="O278" s="650" t="s">
        <v>2133</v>
      </c>
      <c r="P278" s="541" t="s">
        <v>1817</v>
      </c>
      <c r="Q278" s="510" t="s">
        <v>1847</v>
      </c>
      <c r="R278" s="510" t="s">
        <v>1848</v>
      </c>
      <c r="S278" s="510" t="s">
        <v>375</v>
      </c>
      <c r="T278" s="510" t="s">
        <v>1849</v>
      </c>
    </row>
    <row r="279" spans="2:20" ht="22.5" hidden="1" customHeight="1" x14ac:dyDescent="0.3">
      <c r="B279" s="506"/>
      <c r="C279" s="506" t="s">
        <v>256</v>
      </c>
      <c r="D279" s="506" t="str">
        <f>VLOOKUP(C279,'Base de Datos'!$E$7:$AU$390,2,0)</f>
        <v>MATILDE NIETO CONTRERAS (Cesionaria) / antes ELIS ALEXANDER MORENO SALAMANCA</v>
      </c>
      <c r="E279" s="509">
        <f>VLOOKUP(C279,'Base de Datos'!$E$7:$AU$390,5,0)</f>
        <v>51500000</v>
      </c>
      <c r="F279" s="509" t="str">
        <f>VLOOKUP(C279,'Base de Datos'!$E$7:$AU$390,17,0)</f>
        <v/>
      </c>
      <c r="G279" s="509" t="e">
        <f>VLOOKUP(D279,'Base de Datos'!$E$7:$AU$390,17,0)</f>
        <v>#N/A</v>
      </c>
      <c r="H279" s="509" t="e">
        <f>VLOOKUP(E279,'Base de Datos'!$E$7:$AU$390,17,0)</f>
        <v>#N/A</v>
      </c>
      <c r="I279" s="509" t="e">
        <f>VLOOKUP(F279,'Base de Datos'!$E$7:$AU$390,17,0)</f>
        <v>#N/A</v>
      </c>
      <c r="J279" s="509" t="str">
        <f>VLOOKUP(C279,'Base de Datos'!$E$7:$AU$390,18,0)</f>
        <v/>
      </c>
      <c r="K279" s="573"/>
      <c r="L279" s="509">
        <f>VLOOKUP(C279,'Base de Datos'!$E$7:$AU$390,19,0)</f>
        <v>42041</v>
      </c>
      <c r="M279" s="506"/>
      <c r="N279" s="509" t="str">
        <f>IF(OR(O279=Hoja1!$D$17,'Presupuesto - PAA 2017'!O279=Hoja1!$D$18),'Presupuesto - PAA 2017'!L279," ")</f>
        <v xml:space="preserve"> </v>
      </c>
      <c r="O279" s="651" t="str">
        <f>VLOOKUP(C279,'Base de Datos'!$E$7:$AU$390,33,0)</f>
        <v>Dirección Financiera</v>
      </c>
      <c r="P279" s="709"/>
      <c r="Q279" s="506"/>
      <c r="R279" s="715">
        <f>VLOOKUP(C279,'Base de Datos'!$E$7:$AU$390,9,0)</f>
        <v>41677</v>
      </c>
      <c r="S279" s="715">
        <f>VLOOKUP(C279,'Base de Datos'!$E$7:$AU$390,16,0)</f>
        <v>42041</v>
      </c>
      <c r="T279" s="651">
        <f>VLOOKUP(C279,'Base de Datos'!$E$7:$AU$390,40,0)</f>
        <v>0</v>
      </c>
    </row>
    <row r="280" spans="2:20" ht="22.8" hidden="1" x14ac:dyDescent="0.3">
      <c r="B280" s="506"/>
      <c r="C280" s="506" t="s">
        <v>247</v>
      </c>
      <c r="D280" s="506" t="str">
        <f>VLOOKUP(C280,'Base de Datos'!$E$7:$AU$390,2,0)</f>
        <v>LORENZA SANTOS BARBOSA (Cesionaria) - Antes VICTOR MANUEL ARMELLA VELASQUEZ</v>
      </c>
      <c r="E280" s="509">
        <f>VLOOKUP(C280,'Base de Datos'!$E$7:$AU$390,5,0)</f>
        <v>55000000</v>
      </c>
      <c r="F280" s="509" t="str">
        <f>VLOOKUP(C280,'Base de Datos'!$E$7:$AU$390,17,0)</f>
        <v/>
      </c>
      <c r="G280" s="506"/>
      <c r="H280" s="506"/>
      <c r="I280" s="506"/>
      <c r="J280" s="509" t="str">
        <f>VLOOKUP(C280,'Base de Datos'!$E$7:$AU$390,18,0)</f>
        <v/>
      </c>
      <c r="K280" s="573"/>
      <c r="L280" s="509">
        <f>VLOOKUP(C280,'Base de Datos'!$E$7:$AU$390,19,0)</f>
        <v>42008</v>
      </c>
      <c r="M280" s="506"/>
      <c r="N280" s="509" t="str">
        <f>IF(OR(O280=Hoja1!$D$17,'Presupuesto - PAA 2017'!O280=Hoja1!$D$18),'Presupuesto - PAA 2017'!L280," ")</f>
        <v xml:space="preserve"> </v>
      </c>
      <c r="O280" s="723" t="str">
        <f>VLOOKUP(C280,'Base de Datos'!$E$7:$AU$390,33,0)</f>
        <v>Dirección Financiera</v>
      </c>
      <c r="P280" s="709" t="s">
        <v>2135</v>
      </c>
      <c r="Q280" s="506"/>
      <c r="R280" s="715">
        <f>VLOOKUP(C280,'Base de Datos'!$E$7:$AU$390,9,0)</f>
        <v>41675</v>
      </c>
      <c r="S280" s="715" t="str">
        <f>VLOOKUP(C280,'Base de Datos'!$E$7:$AU$390,16,0)</f>
        <v/>
      </c>
      <c r="T280" s="651">
        <f>VLOOKUP(C280,'Base de Datos'!$E$7:$AU$390,40,0)</f>
        <v>0</v>
      </c>
    </row>
    <row r="281" spans="2:20" hidden="1" x14ac:dyDescent="0.3">
      <c r="B281" s="506"/>
      <c r="C281" s="506" t="s">
        <v>249</v>
      </c>
      <c r="D281" s="506" t="str">
        <f>VLOOKUP(C281,'Base de Datos'!$E$7:$AU$390,2,0)</f>
        <v>NORMA CONSTANZA MEZA GÓMEZ</v>
      </c>
      <c r="E281" s="509">
        <f>VLOOKUP(C281,'Base de Datos'!$E$7:$AU$390,5,0)</f>
        <v>38500000</v>
      </c>
      <c r="F281" s="509" t="str">
        <f>VLOOKUP(C281,'Base de Datos'!$E$7:$AU$390,17,0)</f>
        <v/>
      </c>
      <c r="G281" s="506"/>
      <c r="H281" s="506"/>
      <c r="I281" s="506"/>
      <c r="J281" s="509" t="str">
        <f>VLOOKUP(C281,'Base de Datos'!$E$7:$AU$390,18,0)</f>
        <v/>
      </c>
      <c r="K281" s="573"/>
      <c r="L281" s="509">
        <f>VLOOKUP(C281,'Base de Datos'!$E$7:$AU$390,19,0)</f>
        <v>42008</v>
      </c>
      <c r="M281" s="506"/>
      <c r="N281" s="509" t="str">
        <f>IF(OR(O281=Hoja1!$D$17,'Presupuesto - PAA 2017'!O281=Hoja1!$D$18),'Presupuesto - PAA 2017'!L281," ")</f>
        <v xml:space="preserve"> </v>
      </c>
      <c r="O281" s="651" t="str">
        <f>VLOOKUP(C281,'Base de Datos'!$E$7:$AU$390,33,0)</f>
        <v>Dirección Financiera</v>
      </c>
      <c r="P281" s="709"/>
      <c r="Q281" s="506"/>
      <c r="R281" s="715">
        <f>VLOOKUP(C281,'Base de Datos'!$E$7:$AU$390,9,0)</f>
        <v>41675</v>
      </c>
      <c r="S281" s="715" t="str">
        <f>VLOOKUP(C281,'Base de Datos'!$E$7:$AU$390,16,0)</f>
        <v/>
      </c>
      <c r="T281" s="651">
        <f>VLOOKUP(C281,'Base de Datos'!$E$7:$AU$390,40,0)</f>
        <v>0</v>
      </c>
    </row>
    <row r="282" spans="2:20" hidden="1" x14ac:dyDescent="0.3">
      <c r="B282" s="506"/>
      <c r="C282" s="506" t="s">
        <v>245</v>
      </c>
      <c r="D282" s="506" t="str">
        <f>VLOOKUP(C282,'Base de Datos'!$E$7:$AU$390,2,0)</f>
        <v>FERNANDO SOTOMONTE AMAYA</v>
      </c>
      <c r="E282" s="509">
        <f>VLOOKUP(C282,'Base de Datos'!$E$7:$AU$390,5,0)</f>
        <v>55000000</v>
      </c>
      <c r="F282" s="509" t="str">
        <f>VLOOKUP(C282,'Base de Datos'!$E$7:$AU$390,17,0)</f>
        <v/>
      </c>
      <c r="G282" s="506"/>
      <c r="H282" s="506"/>
      <c r="I282" s="506"/>
      <c r="J282" s="509" t="str">
        <f>VLOOKUP(C282,'Base de Datos'!$E$7:$AU$390,18,0)</f>
        <v/>
      </c>
      <c r="K282" s="573"/>
      <c r="L282" s="509">
        <f>VLOOKUP(C282,'Base de Datos'!$E$7:$AU$390,19,0)</f>
        <v>42008</v>
      </c>
      <c r="M282" s="506"/>
      <c r="N282" s="509" t="str">
        <f>IF(OR(O282=Hoja1!$D$17,'Presupuesto - PAA 2017'!O282=Hoja1!$D$18),'Presupuesto - PAA 2017'!L282," ")</f>
        <v xml:space="preserve"> </v>
      </c>
      <c r="O282" s="651" t="str">
        <f>VLOOKUP(C282,'Base de Datos'!$E$7:$AU$390,33,0)</f>
        <v>Dirección Financiera</v>
      </c>
      <c r="P282" s="709"/>
      <c r="Q282" s="506"/>
      <c r="R282" s="715">
        <f>VLOOKUP(C282,'Base de Datos'!$E$7:$AU$390,9,0)</f>
        <v>41675</v>
      </c>
      <c r="S282" s="715" t="str">
        <f>VLOOKUP(C282,'Base de Datos'!$E$7:$AU$390,16,0)</f>
        <v/>
      </c>
      <c r="T282" s="651">
        <f>VLOOKUP(C282,'Base de Datos'!$E$7:$AU$390,40,0)</f>
        <v>0</v>
      </c>
    </row>
    <row r="283" spans="2:20" hidden="1" x14ac:dyDescent="0.3">
      <c r="B283" s="506"/>
      <c r="C283" s="506" t="s">
        <v>253</v>
      </c>
      <c r="D283" s="506" t="str">
        <f>VLOOKUP(C283,'Base de Datos'!$E$7:$AU$390,2,0)</f>
        <v>EDELMIRA ATARA GIL</v>
      </c>
      <c r="E283" s="509">
        <f>VLOOKUP(C283,'Base de Datos'!$E$7:$AU$390,5,0)</f>
        <v>39600000</v>
      </c>
      <c r="F283" s="509" t="str">
        <f>VLOOKUP(C283,'Base de Datos'!$E$7:$AU$390,17,0)</f>
        <v/>
      </c>
      <c r="G283" s="506"/>
      <c r="H283" s="506"/>
      <c r="I283" s="506"/>
      <c r="J283" s="509" t="str">
        <f>VLOOKUP(C283,'Base de Datos'!$E$7:$AU$390,18,0)</f>
        <v/>
      </c>
      <c r="K283" s="573"/>
      <c r="L283" s="509">
        <f>VLOOKUP(C283,'Base de Datos'!$E$7:$AU$390,19,0)</f>
        <v>42008</v>
      </c>
      <c r="M283" s="506"/>
      <c r="N283" s="509" t="str">
        <f>IF(OR(O283=Hoja1!$D$17,'Presupuesto - PAA 2017'!O283=Hoja1!$D$18),'Presupuesto - PAA 2017'!L283," ")</f>
        <v xml:space="preserve"> </v>
      </c>
      <c r="O283" s="651">
        <f>VLOOKUP(C283,'Base de Datos'!$E$7:$AU$390,33,0)</f>
        <v>0</v>
      </c>
      <c r="P283" s="709"/>
      <c r="Q283" s="506"/>
      <c r="R283" s="715">
        <f>VLOOKUP(C283,'Base de Datos'!$E$7:$AU$390,9,0)</f>
        <v>41675</v>
      </c>
      <c r="S283" s="715" t="str">
        <f>VLOOKUP(C283,'Base de Datos'!$E$7:$AU$390,16,0)</f>
        <v/>
      </c>
      <c r="T283" s="651">
        <f>VLOOKUP(C283,'Base de Datos'!$E$7:$AU$390,40,0)</f>
        <v>0</v>
      </c>
    </row>
    <row r="284" spans="2:20" hidden="1" x14ac:dyDescent="0.3">
      <c r="B284" s="506"/>
      <c r="C284" s="506"/>
      <c r="D284" s="506"/>
      <c r="E284" s="506"/>
      <c r="F284" s="506"/>
      <c r="G284" s="506"/>
      <c r="H284" s="506"/>
      <c r="I284" s="506"/>
      <c r="J284" s="506"/>
      <c r="K284" s="573"/>
      <c r="L284" s="506"/>
      <c r="M284" s="506"/>
      <c r="N284" s="506"/>
      <c r="O284" s="664"/>
      <c r="P284" s="709"/>
      <c r="Q284" s="506"/>
      <c r="R284" s="716"/>
      <c r="S284" s="716"/>
      <c r="T284" s="506"/>
    </row>
    <row r="285" spans="2:20" ht="12" hidden="1" x14ac:dyDescent="0.3">
      <c r="B285" s="1239" t="s">
        <v>1644</v>
      </c>
      <c r="C285" s="1239"/>
      <c r="D285" s="1239"/>
      <c r="E285" s="554">
        <f>+E287</f>
        <v>16500000</v>
      </c>
      <c r="F285" s="554" t="str">
        <f>+F287</f>
        <v/>
      </c>
      <c r="G285" s="559"/>
      <c r="H285" s="559"/>
      <c r="I285" s="559"/>
      <c r="J285" s="554" t="str">
        <f>+J287</f>
        <v/>
      </c>
      <c r="K285" s="576" t="e">
        <f>+J285/F285</f>
        <v>#VALUE!</v>
      </c>
      <c r="L285" s="554">
        <f>+L287</f>
        <v>42008</v>
      </c>
      <c r="M285" s="605">
        <v>0</v>
      </c>
      <c r="N285" s="554">
        <f>SUM(N287)</f>
        <v>0</v>
      </c>
      <c r="O285" s="657"/>
      <c r="P285" s="564" t="str">
        <f>IF(ISERROR(VLOOKUP(B285,'Base de Datos'!$C$7:$N$315,8,0))=TRUE," ",(VLOOKUP(B285,'Base de Datos'!$C$7:$N$315,8,0)))</f>
        <v xml:space="preserve"> </v>
      </c>
      <c r="Q285" s="565"/>
      <c r="R285" s="717" t="str">
        <f>IF(ISERROR(VLOOKUP(B285,'Base de Datos'!$C$7:$N$315,9,0))=TRUE," ",(VLOOKUP(B285,'Base de Datos'!$C$7:$N$315,9,0)))</f>
        <v xml:space="preserve"> </v>
      </c>
      <c r="S285" s="717" t="str">
        <f>IF(ISERROR(VLOOKUP(B285,'Base de Datos'!$C$7:$N$315,10,0))=TRUE," ",(VLOOKUP(B285,'Base de Datos'!$C$7:$N$315,10,0)))</f>
        <v xml:space="preserve"> </v>
      </c>
      <c r="T285" s="565"/>
    </row>
    <row r="286" spans="2:20" ht="22.8" hidden="1" x14ac:dyDescent="0.3">
      <c r="B286" s="510" t="s">
        <v>2127</v>
      </c>
      <c r="C286" s="510" t="s">
        <v>912</v>
      </c>
      <c r="D286" s="510" t="s">
        <v>1821</v>
      </c>
      <c r="E286" s="518" t="s">
        <v>1844</v>
      </c>
      <c r="F286" s="507" t="s">
        <v>2129</v>
      </c>
      <c r="G286" s="507"/>
      <c r="H286" s="507"/>
      <c r="I286" s="507"/>
      <c r="J286" s="510" t="s">
        <v>2130</v>
      </c>
      <c r="K286" s="625"/>
      <c r="L286" s="510" t="s">
        <v>1939</v>
      </c>
      <c r="M286" s="510"/>
      <c r="N286" s="510" t="s">
        <v>2136</v>
      </c>
      <c r="O286" s="650" t="s">
        <v>2133</v>
      </c>
      <c r="P286" s="541" t="s">
        <v>1817</v>
      </c>
      <c r="Q286" s="510" t="s">
        <v>1847</v>
      </c>
      <c r="R286" s="718" t="s">
        <v>1848</v>
      </c>
      <c r="S286" s="718" t="s">
        <v>375</v>
      </c>
      <c r="T286" s="510" t="s">
        <v>1849</v>
      </c>
    </row>
    <row r="287" spans="2:20" hidden="1" x14ac:dyDescent="0.3">
      <c r="B287" s="506"/>
      <c r="C287" s="506" t="s">
        <v>250</v>
      </c>
      <c r="D287" s="506" t="str">
        <f>VLOOKUP(C287,'Base de Datos'!$E$7:$AU$390,2,0)</f>
        <v>JORGE LUIS TRUJILLO VERA</v>
      </c>
      <c r="E287" s="509">
        <f>VLOOKUP(C287,'Base de Datos'!$E$7:$AU$390,5,0)</f>
        <v>16500000</v>
      </c>
      <c r="F287" s="509" t="str">
        <f>VLOOKUP(C287,'Base de Datos'!$E$7:$AU$390,17,0)</f>
        <v/>
      </c>
      <c r="G287" s="506"/>
      <c r="H287" s="506"/>
      <c r="I287" s="506"/>
      <c r="J287" s="509" t="str">
        <f>VLOOKUP(C287,'Base de Datos'!$E$7:$AU$390,18,0)</f>
        <v/>
      </c>
      <c r="K287" s="573"/>
      <c r="L287" s="509">
        <f>VLOOKUP(C287,'Base de Datos'!$E$7:$AU$390,19,0)</f>
        <v>42008</v>
      </c>
      <c r="M287" s="506"/>
      <c r="N287" s="509" t="str">
        <f>IF(OR(O287=Hoja1!$D$17,'Presupuesto - PAA 2017'!O287=Hoja1!$D$18),'Presupuesto - PAA 2017'!L287," ")</f>
        <v xml:space="preserve"> </v>
      </c>
      <c r="O287" s="651" t="str">
        <f>VLOOKUP(C287,'Base de Datos'!$E$7:$AU$390,33,0)</f>
        <v>Dirección Financiera</v>
      </c>
      <c r="P287" s="709"/>
      <c r="Q287" s="506"/>
      <c r="R287" s="715">
        <f>VLOOKUP(C287,'Base de Datos'!$E$7:$AU$390,9,0)</f>
        <v>41675</v>
      </c>
      <c r="S287" s="715" t="str">
        <f>VLOOKUP(C287,'Base de Datos'!$E$7:$AU$390,16,0)</f>
        <v/>
      </c>
      <c r="T287" s="651">
        <f>VLOOKUP(C287,'Base de Datos'!$E$7:$AU$390,40,0)</f>
        <v>0</v>
      </c>
    </row>
    <row r="288" spans="2:20" hidden="1" x14ac:dyDescent="0.3">
      <c r="B288" s="506"/>
      <c r="C288" s="506"/>
      <c r="D288" s="506"/>
      <c r="E288" s="506"/>
      <c r="F288" s="506"/>
      <c r="G288" s="506"/>
      <c r="H288" s="506"/>
      <c r="I288" s="506"/>
      <c r="J288" s="506"/>
      <c r="K288" s="573"/>
      <c r="L288" s="506"/>
      <c r="M288" s="506"/>
      <c r="N288" s="506"/>
      <c r="O288" s="664"/>
      <c r="P288" s="709"/>
      <c r="Q288" s="506"/>
      <c r="R288" s="716"/>
      <c r="S288" s="716"/>
      <c r="T288" s="506"/>
    </row>
    <row r="289" spans="2:22" ht="15" hidden="1" customHeight="1" x14ac:dyDescent="0.3">
      <c r="B289" s="1240" t="s">
        <v>1792</v>
      </c>
      <c r="C289" s="1240"/>
      <c r="D289" s="1240"/>
      <c r="E289" s="512">
        <f>+E290+E312+E378</f>
        <v>12705600936</v>
      </c>
      <c r="F289" s="512" t="e">
        <f>+F290+F312+F378</f>
        <v>#VALUE!</v>
      </c>
      <c r="G289" s="513"/>
      <c r="H289" s="513"/>
      <c r="I289" s="513"/>
      <c r="J289" s="512" t="e">
        <f>+J290+J312+J378</f>
        <v>#VALUE!</v>
      </c>
      <c r="K289" s="583" t="e">
        <f>+J289/F289</f>
        <v>#VALUE!</v>
      </c>
      <c r="L289" s="512">
        <f>+L290+L312+L378</f>
        <v>65098744</v>
      </c>
      <c r="M289" s="516">
        <f>M290+M334+M461</f>
        <v>235435779</v>
      </c>
      <c r="N289" s="512">
        <f>+N290+N312+N378</f>
        <v>0</v>
      </c>
      <c r="O289" s="662"/>
      <c r="P289" s="516"/>
      <c r="Q289" s="542"/>
      <c r="R289" s="719" t="str">
        <f>IF(ISERROR(VLOOKUP(B289,'Base de Datos'!$C$7:$N$315,9,0))=TRUE," ",(VLOOKUP(B289,'Base de Datos'!$C$7:$N$315,9,0)))</f>
        <v xml:space="preserve"> </v>
      </c>
      <c r="S289" s="719" t="str">
        <f>IF(ISERROR(VLOOKUP(B289,'Base de Datos'!$C$7:$N$315,10,0))=TRUE," ",(VLOOKUP(B289,'Base de Datos'!$C$7:$N$315,10,0)))</f>
        <v xml:space="preserve"> </v>
      </c>
      <c r="T289" s="542"/>
      <c r="U289" s="694"/>
      <c r="V289" s="607"/>
    </row>
    <row r="290" spans="2:22" ht="15" hidden="1" customHeight="1" x14ac:dyDescent="0.3">
      <c r="B290" s="1240" t="s">
        <v>1646</v>
      </c>
      <c r="C290" s="1240"/>
      <c r="D290" s="1240"/>
      <c r="E290" s="512">
        <f>+E291+E300+E307</f>
        <v>1397807908</v>
      </c>
      <c r="F290" s="512">
        <f>+F291+F300+F307</f>
        <v>0</v>
      </c>
      <c r="G290" s="513"/>
      <c r="H290" s="513"/>
      <c r="I290" s="513"/>
      <c r="J290" s="512">
        <f>+J291+J300+J307</f>
        <v>0</v>
      </c>
      <c r="K290" s="604"/>
      <c r="L290" s="512">
        <f>+L291+L300+L307</f>
        <v>44311050</v>
      </c>
      <c r="M290" s="604">
        <f>+M291+M319+M326</f>
        <v>235435779</v>
      </c>
      <c r="N290" s="512">
        <f>+N291+N300+N307</f>
        <v>0</v>
      </c>
      <c r="O290" s="659"/>
      <c r="P290" s="548" t="str">
        <f>IF(ISERROR(VLOOKUP(B290,'Base de Datos'!$C$7:$N$315,8,0))=TRUE," ",(VLOOKUP(B290,'Base de Datos'!$C$7:$N$315,8,0)))</f>
        <v xml:space="preserve"> </v>
      </c>
      <c r="Q290" s="542"/>
      <c r="R290" s="719" t="str">
        <f>IF(ISERROR(VLOOKUP(B290,'Base de Datos'!$C$7:$N$315,9,0))=TRUE," ",(VLOOKUP(B290,'Base de Datos'!$C$7:$N$315,9,0)))</f>
        <v xml:space="preserve"> </v>
      </c>
      <c r="S290" s="719" t="str">
        <f>IF(ISERROR(VLOOKUP(B290,'Base de Datos'!$C$7:$N$315,10,0))=TRUE," ",(VLOOKUP(B290,'Base de Datos'!$C$7:$N$315,10,0)))</f>
        <v xml:space="preserve"> </v>
      </c>
      <c r="T290" s="542"/>
      <c r="U290" s="694"/>
      <c r="V290" s="607"/>
    </row>
    <row r="291" spans="2:22" ht="12" hidden="1" x14ac:dyDescent="0.3">
      <c r="B291" s="1239" t="s">
        <v>1647</v>
      </c>
      <c r="C291" s="1239"/>
      <c r="D291" s="1239"/>
      <c r="E291" s="554">
        <f>SUM(E293:E298)</f>
        <v>264468575</v>
      </c>
      <c r="F291" s="554">
        <f>SUM(F293:F298)</f>
        <v>0</v>
      </c>
      <c r="G291" s="559"/>
      <c r="H291" s="559"/>
      <c r="I291" s="559"/>
      <c r="J291" s="554">
        <f>SUM(J293:J298)</f>
        <v>0</v>
      </c>
      <c r="K291" s="576" t="e">
        <f>+J291/F291</f>
        <v>#DIV/0!</v>
      </c>
      <c r="L291" s="554">
        <f>SUM(L293:L298)</f>
        <v>29032796</v>
      </c>
      <c r="M291" s="558">
        <f>+E291-(J291+L291)</f>
        <v>235435779</v>
      </c>
      <c r="N291" s="554">
        <f>SUM(N293:N298)</f>
        <v>0</v>
      </c>
      <c r="O291" s="657"/>
      <c r="P291" s="564" t="str">
        <f>IF(ISERROR(VLOOKUP(B291,'Base de Datos'!$C$7:$N$315,8,0))=TRUE," ",(VLOOKUP(B291,'Base de Datos'!$C$7:$N$315,8,0)))</f>
        <v xml:space="preserve"> </v>
      </c>
      <c r="Q291" s="565"/>
      <c r="R291" s="717" t="str">
        <f>IF(ISERROR(VLOOKUP(B291,'Base de Datos'!$C$7:$N$315,9,0))=TRUE," ",(VLOOKUP(B291,'Base de Datos'!$C$7:$N$315,9,0)))</f>
        <v xml:space="preserve"> </v>
      </c>
      <c r="S291" s="717" t="str">
        <f>IF(ISERROR(VLOOKUP(B291,'Base de Datos'!$C$7:$N$315,10,0))=TRUE," ",(VLOOKUP(B291,'Base de Datos'!$C$7:$N$315,10,0)))</f>
        <v xml:space="preserve"> </v>
      </c>
      <c r="T291" s="565"/>
      <c r="U291" s="508"/>
    </row>
    <row r="292" spans="2:22" ht="22.8" hidden="1" x14ac:dyDescent="0.3">
      <c r="B292" s="510" t="s">
        <v>2127</v>
      </c>
      <c r="C292" s="510" t="s">
        <v>912</v>
      </c>
      <c r="D292" s="510" t="s">
        <v>1821</v>
      </c>
      <c r="E292" s="518" t="s">
        <v>1844</v>
      </c>
      <c r="F292" s="507" t="s">
        <v>2129</v>
      </c>
      <c r="G292" s="507"/>
      <c r="H292" s="507"/>
      <c r="I292" s="507"/>
      <c r="J292" s="510" t="s">
        <v>2130</v>
      </c>
      <c r="K292" s="625"/>
      <c r="L292" s="510" t="s">
        <v>1939</v>
      </c>
      <c r="M292" s="510"/>
      <c r="N292" s="510" t="s">
        <v>2136</v>
      </c>
      <c r="O292" s="650" t="s">
        <v>2133</v>
      </c>
      <c r="P292" s="541" t="s">
        <v>1817</v>
      </c>
      <c r="Q292" s="510" t="s">
        <v>1847</v>
      </c>
      <c r="R292" s="718" t="s">
        <v>1848</v>
      </c>
      <c r="S292" s="718" t="s">
        <v>375</v>
      </c>
      <c r="T292" s="510" t="s">
        <v>1849</v>
      </c>
      <c r="U292" s="508"/>
    </row>
    <row r="293" spans="2:22" ht="22.8" hidden="1" x14ac:dyDescent="0.3">
      <c r="B293" s="506"/>
      <c r="C293" s="506" t="s">
        <v>1157</v>
      </c>
      <c r="D293" s="506" t="str">
        <f>VLOOKUP(C293,'Base de Datos'!$E$7:$AU$390,2,0)</f>
        <v>FACTOR VISUAL EAT</v>
      </c>
      <c r="E293" s="509">
        <f>VLOOKUP(C293,'Base de Datos'!$E$7:$AU$390,5,0)</f>
        <v>44544000</v>
      </c>
      <c r="F293" s="509" t="str">
        <f>VLOOKUP(C293,'Base de Datos'!$E$7:$AU$390,17,0)</f>
        <v/>
      </c>
      <c r="G293" s="506"/>
      <c r="H293" s="506"/>
      <c r="I293" s="506"/>
      <c r="J293" s="712" t="str">
        <f>VLOOKUP(C293,'Base de Datos'!$E$7:$AU$390,18,0)</f>
        <v/>
      </c>
      <c r="K293" s="573"/>
      <c r="L293" s="725">
        <v>26912000</v>
      </c>
      <c r="M293" s="506"/>
      <c r="N293" s="509" t="str">
        <f>IF(OR(O293=Hoja1!$D$17,'Presupuesto - PAA 2017'!O293=Hoja1!$D$18),'Presupuesto - PAA 2017'!L293," ")</f>
        <v xml:space="preserve"> </v>
      </c>
      <c r="O293" s="651" t="str">
        <f>VLOOKUP(C293,'Base de Datos'!$E$7:$AU$390,33,0)</f>
        <v>Dirección Administrativa</v>
      </c>
      <c r="P293" s="709"/>
      <c r="Q293" s="506"/>
      <c r="R293" s="715">
        <f>VLOOKUP(C293,'Base de Datos'!$E$7:$AU$390,9,0)</f>
        <v>41929</v>
      </c>
      <c r="S293" s="715">
        <f>VLOOKUP(C293,'Base de Datos'!$E$7:$AU$390,16,0)</f>
        <v>42477</v>
      </c>
      <c r="T293" s="651">
        <f>VLOOKUP(C293,'Base de Datos'!$E$7:$AU$390,40,0)</f>
        <v>0</v>
      </c>
      <c r="U293" s="508"/>
    </row>
    <row r="294" spans="2:22" ht="22.8" hidden="1" x14ac:dyDescent="0.3">
      <c r="B294" s="506"/>
      <c r="C294" s="506" t="s">
        <v>289</v>
      </c>
      <c r="D294" s="506" t="str">
        <f>VLOOKUP(C294,'Base de Datos'!$E$7:$AU$390,2,0)</f>
        <v>UNIPLES S.A.</v>
      </c>
      <c r="E294" s="509">
        <f>VLOOKUP(C294,'Base de Datos'!$E$7:$AU$390,5,0)</f>
        <v>9998117</v>
      </c>
      <c r="F294" s="509" t="str">
        <f>VLOOKUP(C294,'Base de Datos'!$E$7:$AU$390,17,0)</f>
        <v/>
      </c>
      <c r="G294" s="506"/>
      <c r="H294" s="506"/>
      <c r="I294" s="506"/>
      <c r="J294" s="509" t="str">
        <f>VLOOKUP(C294,'Base de Datos'!$E$7:$AU$390,18,0)</f>
        <v/>
      </c>
      <c r="K294" s="573"/>
      <c r="L294" s="509">
        <f>VLOOKUP(C294,'Base de Datos'!$E$7:$AU$390,19,0)</f>
        <v>41855</v>
      </c>
      <c r="M294" s="506"/>
      <c r="N294" s="509" t="str">
        <f>IF(OR(O294=Hoja1!$D$17,'Presupuesto - PAA 2017'!O294=Hoja1!$D$18),'Presupuesto - PAA 2017'!L294," ")</f>
        <v xml:space="preserve"> </v>
      </c>
      <c r="O294" s="651" t="str">
        <f>VLOOKUP(C294,'Base de Datos'!$E$7:$AU$390,33,0)</f>
        <v>Dirección Administrativa</v>
      </c>
      <c r="P294" s="709"/>
      <c r="Q294" s="506"/>
      <c r="R294" s="715">
        <f>VLOOKUP(C294,'Base de Datos'!$E$7:$AU$390,9,0)</f>
        <v>41794</v>
      </c>
      <c r="S294" s="715" t="str">
        <f>VLOOKUP(C294,'Base de Datos'!$E$7:$AU$390,16,0)</f>
        <v/>
      </c>
      <c r="T294" s="651">
        <f>VLOOKUP(C294,'Base de Datos'!$E$7:$AU$390,40,0)</f>
        <v>0</v>
      </c>
      <c r="U294" s="508"/>
    </row>
    <row r="295" spans="2:22" ht="22.8" hidden="1" x14ac:dyDescent="0.3">
      <c r="B295" s="506"/>
      <c r="C295" s="506" t="s">
        <v>240</v>
      </c>
      <c r="D295" s="506" t="str">
        <f>VLOOKUP(C295,'Base de Datos'!$E$7:$AU$390,2,0)</f>
        <v>UNIPLES S.A.</v>
      </c>
      <c r="E295" s="509">
        <f>VLOOKUP(C295,'Base de Datos'!$E$7:$AU$390,5,0)</f>
        <v>60000000</v>
      </c>
      <c r="F295" s="509" t="str">
        <f>VLOOKUP(C295,'Base de Datos'!$E$7:$AU$390,17,0)</f>
        <v/>
      </c>
      <c r="G295" s="506"/>
      <c r="H295" s="506"/>
      <c r="I295" s="506"/>
      <c r="J295" s="509" t="str">
        <f>VLOOKUP(C295,'Base de Datos'!$E$7:$AU$390,18,0)</f>
        <v/>
      </c>
      <c r="K295" s="573"/>
      <c r="L295" s="725">
        <v>146147</v>
      </c>
      <c r="M295" s="506"/>
      <c r="N295" s="509" t="str">
        <f>IF(OR(O295=Hoja1!$D$17,'Presupuesto - PAA 2017'!O295=Hoja1!$D$18),'Presupuesto - PAA 2017'!L295," ")</f>
        <v xml:space="preserve"> </v>
      </c>
      <c r="O295" s="651" t="str">
        <f>VLOOKUP(C295,'Base de Datos'!$E$7:$AU$390,33,0)</f>
        <v>Dirección Administrativa</v>
      </c>
      <c r="P295" s="709"/>
      <c r="Q295" s="506"/>
      <c r="R295" s="715">
        <f>VLOOKUP(C295,'Base de Datos'!$E$7:$AU$390,9,0)</f>
        <v>41655</v>
      </c>
      <c r="S295" s="715" t="str">
        <f>VLOOKUP(C295,'Base de Datos'!$E$7:$AU$390,16,0)</f>
        <v/>
      </c>
      <c r="T295" s="651">
        <f>VLOOKUP(C295,'Base de Datos'!$E$7:$AU$390,40,0)</f>
        <v>0</v>
      </c>
      <c r="U295" s="508"/>
    </row>
    <row r="296" spans="2:22" ht="22.8" hidden="1" x14ac:dyDescent="0.3">
      <c r="B296" s="506"/>
      <c r="C296" s="506" t="s">
        <v>183</v>
      </c>
      <c r="D296" s="506" t="str">
        <f>VLOOKUP(C296,'Base de Datos'!$E$7:$AU$390,2,0)</f>
        <v>CONTRONET LTDA</v>
      </c>
      <c r="E296" s="509">
        <f>VLOOKUP(C296,'Base de Datos'!$E$7:$AU$390,5,0)</f>
        <v>86923131</v>
      </c>
      <c r="F296" s="509" t="str">
        <f>VLOOKUP(C296,'Base de Datos'!$E$7:$AU$390,17,0)</f>
        <v/>
      </c>
      <c r="G296" s="506"/>
      <c r="H296" s="506"/>
      <c r="I296" s="506"/>
      <c r="J296" s="509" t="str">
        <f>VLOOKUP(C296,'Base de Datos'!$E$7:$AU$390,18,0)</f>
        <v/>
      </c>
      <c r="K296" s="573"/>
      <c r="L296" s="725">
        <v>231698</v>
      </c>
      <c r="M296" s="506"/>
      <c r="N296" s="509" t="str">
        <f>IF(OR(O296=Hoja1!$D$17,'Presupuesto - PAA 2017'!O296=Hoja1!$D$18),'Presupuesto - PAA 2017'!L296," ")</f>
        <v xml:space="preserve"> </v>
      </c>
      <c r="O296" s="651" t="str">
        <f>VLOOKUP(C296,'Base de Datos'!$E$7:$AU$390,33,0)</f>
        <v>Dirección Administrativa</v>
      </c>
      <c r="P296" s="709"/>
      <c r="Q296" s="506"/>
      <c r="R296" s="715">
        <f>VLOOKUP(C296,'Base de Datos'!$E$7:$AU$390,9,0)</f>
        <v>41506</v>
      </c>
      <c r="S296" s="715">
        <f>VLOOKUP(C296,'Base de Datos'!$E$7:$AU$390,16,0)</f>
        <v>42055</v>
      </c>
      <c r="T296" s="651">
        <f>VLOOKUP(C296,'Base de Datos'!$E$7:$AU$390,40,0)</f>
        <v>0</v>
      </c>
      <c r="U296" s="508"/>
    </row>
    <row r="297" spans="2:22" ht="22.8" hidden="1" x14ac:dyDescent="0.3">
      <c r="B297" s="506"/>
      <c r="C297" s="506" t="s">
        <v>1161</v>
      </c>
      <c r="D297" s="506" t="str">
        <f>VLOOKUP(C297,'Base de Datos'!$E$7:$AU$390,2,0)</f>
        <v>LINALCA INFORMATICA</v>
      </c>
      <c r="E297" s="509">
        <f>VLOOKUP(C297,'Base de Datos'!$E$7:$AU$390,5,0)</f>
        <v>16592327</v>
      </c>
      <c r="F297" s="509" t="str">
        <f>VLOOKUP(C297,'Base de Datos'!$E$7:$AU$390,17,0)</f>
        <v/>
      </c>
      <c r="G297" s="506"/>
      <c r="H297" s="506"/>
      <c r="I297" s="506"/>
      <c r="J297" s="509" t="str">
        <f>VLOOKUP(C297,'Base de Datos'!$E$7:$AU$390,18,0)</f>
        <v/>
      </c>
      <c r="K297" s="573"/>
      <c r="L297" s="725">
        <v>1659232</v>
      </c>
      <c r="M297" s="506"/>
      <c r="N297" s="509" t="str">
        <f>IF(OR(O297=Hoja1!$D$17,'Presupuesto - PAA 2017'!O297=Hoja1!$D$18),'Presupuesto - PAA 2017'!L297," ")</f>
        <v xml:space="preserve"> </v>
      </c>
      <c r="O297" s="651" t="str">
        <f>VLOOKUP(C297,'Base de Datos'!$E$7:$AU$390,33,0)</f>
        <v>Dirección Administrativa</v>
      </c>
      <c r="P297" s="709"/>
      <c r="Q297" s="506"/>
      <c r="R297" s="715">
        <f>VLOOKUP(C297,'Base de Datos'!$E$7:$AU$390,9,0)</f>
        <v>41936</v>
      </c>
      <c r="S297" s="715" t="str">
        <f>VLOOKUP(C297,'Base de Datos'!$E$7:$AU$390,16,0)</f>
        <v/>
      </c>
      <c r="T297" s="651">
        <f>VLOOKUP(C297,'Base de Datos'!$E$7:$AU$390,40,0)</f>
        <v>0</v>
      </c>
      <c r="U297" s="508"/>
    </row>
    <row r="298" spans="2:22" ht="22.8" hidden="1" x14ac:dyDescent="0.3">
      <c r="B298" s="506"/>
      <c r="C298" s="506" t="s">
        <v>172</v>
      </c>
      <c r="D298" s="506" t="str">
        <f>VLOOKUP(C298,'Base de Datos'!$E$7:$AU$390,2,0)</f>
        <v>COLOMBIANA DE SOFTWARE Y HARDWARE COLSOF S.A.</v>
      </c>
      <c r="E298" s="509">
        <f>VLOOKUP(C298,'Base de Datos'!$E$7:$AU$390,5,0)</f>
        <v>46411000</v>
      </c>
      <c r="F298" s="509" t="str">
        <f>VLOOKUP(C298,'Base de Datos'!$E$7:$AU$390,17,0)</f>
        <v/>
      </c>
      <c r="G298" s="506"/>
      <c r="H298" s="506"/>
      <c r="I298" s="506"/>
      <c r="J298" s="509" t="str">
        <f>VLOOKUP(C298,'Base de Datos'!$E$7:$AU$390,18,0)</f>
        <v/>
      </c>
      <c r="K298" s="573"/>
      <c r="L298" s="509">
        <f>VLOOKUP(C298,'Base de Datos'!$E$7:$AU$390,19,0)</f>
        <v>41864</v>
      </c>
      <c r="M298" s="506"/>
      <c r="N298" s="509" t="str">
        <f>IF(OR(O298=Hoja1!$D$17,'Presupuesto - PAA 2017'!O298=Hoja1!$D$18),'Presupuesto - PAA 2017'!L298," ")</f>
        <v xml:space="preserve"> </v>
      </c>
      <c r="O298" s="651" t="str">
        <f>VLOOKUP(C298,'Base de Datos'!$E$7:$AU$390,33,0)</f>
        <v>Dirección Administrativa</v>
      </c>
      <c r="P298" s="709"/>
      <c r="Q298" s="506"/>
      <c r="R298" s="715">
        <f>VLOOKUP(C298,'Base de Datos'!$E$7:$AU$390,9,0)</f>
        <v>41500</v>
      </c>
      <c r="S298" s="715">
        <f>VLOOKUP(C298,'Base de Datos'!$E$7:$AU$390,16,0)</f>
        <v>41864</v>
      </c>
      <c r="T298" s="651" t="str">
        <f>VLOOKUP(C298,'Base de Datos'!$E$7:$AU$390,40,0)</f>
        <v/>
      </c>
      <c r="U298" s="508"/>
    </row>
    <row r="299" spans="2:22" hidden="1" x14ac:dyDescent="0.3">
      <c r="B299" s="506"/>
      <c r="C299" s="506"/>
      <c r="D299" s="506"/>
      <c r="E299" s="506"/>
      <c r="F299" s="506"/>
      <c r="G299" s="506"/>
      <c r="H299" s="506"/>
      <c r="I299" s="506"/>
      <c r="J299" s="506"/>
      <c r="K299" s="573"/>
      <c r="L299" s="506"/>
      <c r="M299" s="506"/>
      <c r="N299" s="506"/>
      <c r="O299" s="664"/>
      <c r="P299" s="709"/>
      <c r="Q299" s="506"/>
      <c r="R299" s="716"/>
      <c r="S299" s="716"/>
      <c r="T299" s="506"/>
      <c r="U299" s="508"/>
    </row>
    <row r="300" spans="2:22" ht="12" hidden="1" x14ac:dyDescent="0.3">
      <c r="B300" s="1239" t="s">
        <v>1648</v>
      </c>
      <c r="C300" s="1239"/>
      <c r="D300" s="1239"/>
      <c r="E300" s="554">
        <f>SUM(E302:E305)</f>
        <v>791102333</v>
      </c>
      <c r="F300" s="554">
        <f>SUM(F302:F305)</f>
        <v>0</v>
      </c>
      <c r="G300" s="559"/>
      <c r="H300" s="559"/>
      <c r="I300" s="559"/>
      <c r="J300" s="554">
        <f>SUM(J302:J305)</f>
        <v>0</v>
      </c>
      <c r="K300" s="576" t="e">
        <f>+J300/F300</f>
        <v>#DIV/0!</v>
      </c>
      <c r="L300" s="554">
        <f>SUM(L302:L305)</f>
        <v>167941</v>
      </c>
      <c r="M300" s="605">
        <v>0</v>
      </c>
      <c r="N300" s="554">
        <f>SUM(N302:N305)</f>
        <v>0</v>
      </c>
      <c r="O300" s="657"/>
      <c r="P300" s="564" t="str">
        <f>IF(ISERROR(VLOOKUP(B300,'Base de Datos'!$C$7:$N$315,8,0))=TRUE," ",(VLOOKUP(B300,'Base de Datos'!$C$7:$N$315,8,0)))</f>
        <v xml:space="preserve"> </v>
      </c>
      <c r="Q300" s="565"/>
      <c r="R300" s="717" t="str">
        <f>IF(ISERROR(VLOOKUP(B300,'Base de Datos'!$C$7:$N$315,9,0))=TRUE," ",(VLOOKUP(B300,'Base de Datos'!$C$7:$N$315,9,0)))</f>
        <v xml:space="preserve"> </v>
      </c>
      <c r="S300" s="717" t="str">
        <f>IF(ISERROR(VLOOKUP(B300,'Base de Datos'!$C$7:$N$315,10,0))=TRUE," ",(VLOOKUP(B300,'Base de Datos'!$C$7:$N$315,10,0)))</f>
        <v xml:space="preserve"> </v>
      </c>
      <c r="T300" s="565"/>
      <c r="U300" s="508"/>
    </row>
    <row r="301" spans="2:22" ht="22.8" hidden="1" x14ac:dyDescent="0.3">
      <c r="B301" s="510" t="s">
        <v>2127</v>
      </c>
      <c r="C301" s="510" t="s">
        <v>912</v>
      </c>
      <c r="D301" s="510" t="s">
        <v>1821</v>
      </c>
      <c r="E301" s="518" t="s">
        <v>1844</v>
      </c>
      <c r="F301" s="507" t="s">
        <v>2129</v>
      </c>
      <c r="G301" s="507"/>
      <c r="H301" s="507"/>
      <c r="I301" s="507"/>
      <c r="J301" s="510" t="s">
        <v>2130</v>
      </c>
      <c r="K301" s="625"/>
      <c r="L301" s="510" t="s">
        <v>1939</v>
      </c>
      <c r="M301" s="510"/>
      <c r="N301" s="510" t="s">
        <v>2136</v>
      </c>
      <c r="O301" s="650" t="s">
        <v>2133</v>
      </c>
      <c r="P301" s="541" t="s">
        <v>1817</v>
      </c>
      <c r="Q301" s="510" t="s">
        <v>1847</v>
      </c>
      <c r="R301" s="718" t="s">
        <v>1848</v>
      </c>
      <c r="S301" s="718" t="s">
        <v>375</v>
      </c>
      <c r="T301" s="510" t="s">
        <v>1849</v>
      </c>
      <c r="U301" s="508"/>
    </row>
    <row r="302" spans="2:22" ht="22.8" hidden="1" x14ac:dyDescent="0.3">
      <c r="B302" s="506"/>
      <c r="C302" s="506" t="s">
        <v>1476</v>
      </c>
      <c r="D302" s="506" t="str">
        <f>VLOOKUP(C302,'Base de Datos'!$E$7:$AU$390,2,0)</f>
        <v>ORGANIZACIÓN TERPEL S.A.</v>
      </c>
      <c r="E302" s="509">
        <f>VLOOKUP(C302,'Base de Datos'!$E$7:$AU$390,5,0)</f>
        <v>171253333</v>
      </c>
      <c r="F302" s="509" t="str">
        <f>VLOOKUP(C302,'Base de Datos'!$E$7:$AU$390,17,0)</f>
        <v/>
      </c>
      <c r="G302" s="506"/>
      <c r="H302" s="506"/>
      <c r="I302" s="506"/>
      <c r="J302" s="509" t="str">
        <f>VLOOKUP(C302,'Base de Datos'!$E$7:$AU$390,18,0)</f>
        <v/>
      </c>
      <c r="K302" s="713"/>
      <c r="L302" s="714">
        <f>VLOOKUP(C302,'Base de Datos'!$E$7:$AU$390,19,0)</f>
        <v>42063</v>
      </c>
      <c r="M302" s="506"/>
      <c r="N302" s="509" t="str">
        <f>IF(OR(O302=Hoja1!$D$17,'Presupuesto - PAA 2017'!O302=Hoja1!$D$18),'Presupuesto - PAA 2017'!L302," ")</f>
        <v xml:space="preserve"> </v>
      </c>
      <c r="O302" s="651" t="str">
        <f>VLOOKUP(C302,'Base de Datos'!$E$7:$AU$390,33,0)</f>
        <v>Dirección Administrativa</v>
      </c>
      <c r="P302" s="709"/>
      <c r="Q302" s="506"/>
      <c r="R302" s="715">
        <f>VLOOKUP(C302,'Base de Datos'!$E$7:$AU$390,9,0)</f>
        <v>41961</v>
      </c>
      <c r="S302" s="715" t="str">
        <f>VLOOKUP(C302,'Base de Datos'!$E$7:$AU$390,16,0)</f>
        <v/>
      </c>
      <c r="T302" s="651" t="str">
        <f>VLOOKUP(C302,'Base de Datos'!$E$7:$AU$390,40,0)</f>
        <v>JULIETH ANGARITA</v>
      </c>
      <c r="U302" s="508"/>
    </row>
    <row r="303" spans="2:22" ht="22.8" hidden="1" x14ac:dyDescent="0.3">
      <c r="B303" s="506"/>
      <c r="C303" s="506" t="s">
        <v>96</v>
      </c>
      <c r="D303" s="506" t="str">
        <f>VLOOKUP(C303,'Base de Datos'!$E$7:$AU$390,2,0)</f>
        <v>ORGANIZACIÓN TERPEL S.A.</v>
      </c>
      <c r="E303" s="509">
        <f>VLOOKUP(C303,'Base de Datos'!$E$7:$AU$390,5,0)</f>
        <v>351295000</v>
      </c>
      <c r="F303" s="509" t="str">
        <f>VLOOKUP(C303,'Base de Datos'!$E$7:$AU$390,17,0)</f>
        <v/>
      </c>
      <c r="G303" s="506"/>
      <c r="H303" s="506"/>
      <c r="I303" s="506"/>
      <c r="J303" s="509" t="str">
        <f>VLOOKUP(C303,'Base de Datos'!$E$7:$AU$390,18,0)</f>
        <v/>
      </c>
      <c r="K303" s="573"/>
      <c r="L303" s="714">
        <f>VLOOKUP(C303,'Base de Datos'!$E$7:$AU$390,19,0)</f>
        <v>41820</v>
      </c>
      <c r="M303" s="506"/>
      <c r="N303" s="509" t="str">
        <f>IF(OR(O303=Hoja1!$D$17,'Presupuesto - PAA 2017'!O303=Hoja1!$D$18),'Presupuesto - PAA 2017'!L303," ")</f>
        <v xml:space="preserve"> </v>
      </c>
      <c r="O303" s="651" t="str">
        <f>VLOOKUP(C303,'Base de Datos'!$E$7:$AU$390,33,0)</f>
        <v>Dirección Administrativa</v>
      </c>
      <c r="P303" s="709"/>
      <c r="Q303" s="506"/>
      <c r="R303" s="715">
        <f>VLOOKUP(C303,'Base de Datos'!$E$7:$AU$390,9,0)</f>
        <v>41426</v>
      </c>
      <c r="S303" s="715">
        <f>VLOOKUP(C303,'Base de Datos'!$E$7:$AU$390,16,0)</f>
        <v>41820</v>
      </c>
      <c r="T303" s="651">
        <f>VLOOKUP(C303,'Base de Datos'!$E$7:$AU$390,40,0)</f>
        <v>0</v>
      </c>
      <c r="U303" s="508"/>
    </row>
    <row r="304" spans="2:22" ht="22.8" hidden="1" x14ac:dyDescent="0.3">
      <c r="B304" s="506"/>
      <c r="C304" s="506" t="s">
        <v>187</v>
      </c>
      <c r="D304" s="506" t="str">
        <f>VLOOKUP(C304,'Base de Datos'!$E$7:$AU$390,2,0)</f>
        <v>INVERSIONES LIGOL - INVERLIGOL LTD A</v>
      </c>
      <c r="E304" s="509">
        <f>VLOOKUP(C304,'Base de Datos'!$E$7:$AU$390,5,0)</f>
        <v>16804000</v>
      </c>
      <c r="F304" s="509" t="str">
        <f>VLOOKUP(C304,'Base de Datos'!$E$7:$AU$390,17,0)</f>
        <v/>
      </c>
      <c r="G304" s="506"/>
      <c r="H304" s="506"/>
      <c r="I304" s="506"/>
      <c r="J304" s="509" t="str">
        <f>VLOOKUP(C304,'Base de Datos'!$E$7:$AU$390,18,0)</f>
        <v/>
      </c>
      <c r="K304" s="573"/>
      <c r="L304" s="714">
        <f>VLOOKUP(C304,'Base de Datos'!$E$7:$AU$390,19,0)</f>
        <v>42099</v>
      </c>
      <c r="M304" s="506"/>
      <c r="N304" s="509" t="str">
        <f>IF(OR(O304=Hoja1!$D$17,'Presupuesto - PAA 2017'!O304=Hoja1!$D$18),'Presupuesto - PAA 2017'!L304," ")</f>
        <v xml:space="preserve"> </v>
      </c>
      <c r="O304" s="651" t="str">
        <f>VLOOKUP(C304,'Base de Datos'!$E$7:$AU$390,33,0)</f>
        <v>Dirección Administrativa</v>
      </c>
      <c r="P304" s="709"/>
      <c r="Q304" s="506"/>
      <c r="R304" s="715">
        <f>VLOOKUP(C304,'Base de Datos'!$E$7:$AU$390,9,0)</f>
        <v>41523</v>
      </c>
      <c r="S304" s="715">
        <f>VLOOKUP(C304,'Base de Datos'!$E$7:$AU$390,16,0)</f>
        <v>42099</v>
      </c>
      <c r="T304" s="651">
        <f>VLOOKUP(C304,'Base de Datos'!$E$7:$AU$390,40,0)</f>
        <v>0</v>
      </c>
      <c r="U304" s="508"/>
    </row>
    <row r="305" spans="2:21" ht="22.8" hidden="1" x14ac:dyDescent="0.3">
      <c r="B305" s="506"/>
      <c r="C305" s="506" t="s">
        <v>285</v>
      </c>
      <c r="D305" s="506" t="str">
        <f>VLOOKUP(C305,'Base de Datos'!$E$7:$AU$390,2,0)</f>
        <v>ORGANIZACIÓN TERPEL S.A.</v>
      </c>
      <c r="E305" s="509">
        <f>VLOOKUP(C305,'Base de Datos'!$E$7:$AU$390,5,0)</f>
        <v>251750000</v>
      </c>
      <c r="F305" s="509" t="str">
        <f>VLOOKUP(C305,'Base de Datos'!$E$7:$AU$390,17,0)</f>
        <v/>
      </c>
      <c r="G305" s="506"/>
      <c r="H305" s="506"/>
      <c r="I305" s="506"/>
      <c r="J305" s="509" t="str">
        <f>VLOOKUP(C305,'Base de Datos'!$E$7:$AU$390,18,0)</f>
        <v/>
      </c>
      <c r="K305" s="573"/>
      <c r="L305" s="714">
        <f>VLOOKUP(C305,'Base de Datos'!$E$7:$AU$390,19,0)</f>
        <v>41959</v>
      </c>
      <c r="M305" s="506"/>
      <c r="N305" s="509" t="str">
        <f>IF(OR(O305=Hoja1!$D$17,'Presupuesto - PAA 2017'!O305=Hoja1!$D$18),'Presupuesto - PAA 2017'!L305," ")</f>
        <v xml:space="preserve"> </v>
      </c>
      <c r="O305" s="651" t="str">
        <f>VLOOKUP(C305,'Base de Datos'!$E$7:$AU$390,33,0)</f>
        <v>Dirección Administrativa</v>
      </c>
      <c r="P305" s="709"/>
      <c r="Q305" s="506"/>
      <c r="R305" s="715">
        <f>VLOOKUP(C305,'Base de Datos'!$E$7:$AU$390,9,0)</f>
        <v>41806</v>
      </c>
      <c r="S305" s="715" t="str">
        <f>VLOOKUP(C305,'Base de Datos'!$E$7:$AU$390,16,0)</f>
        <v/>
      </c>
      <c r="T305" s="651">
        <f>VLOOKUP(C305,'Base de Datos'!$E$7:$AU$390,40,0)</f>
        <v>0</v>
      </c>
      <c r="U305" s="508"/>
    </row>
    <row r="306" spans="2:21" hidden="1" x14ac:dyDescent="0.3">
      <c r="B306" s="506"/>
      <c r="C306" s="506"/>
      <c r="D306" s="506"/>
      <c r="E306" s="506"/>
      <c r="F306" s="506"/>
      <c r="G306" s="506"/>
      <c r="H306" s="506"/>
      <c r="I306" s="506"/>
      <c r="J306" s="506"/>
      <c r="K306" s="573"/>
      <c r="L306" s="506"/>
      <c r="M306" s="506"/>
      <c r="N306" s="506"/>
      <c r="O306" s="664"/>
      <c r="P306" s="709"/>
      <c r="Q306" s="506"/>
      <c r="R306" s="716"/>
      <c r="S306" s="716"/>
      <c r="T306" s="506"/>
      <c r="U306" s="508"/>
    </row>
    <row r="307" spans="2:21" ht="12" hidden="1" x14ac:dyDescent="0.3">
      <c r="B307" s="1239" t="s">
        <v>1649</v>
      </c>
      <c r="C307" s="1239"/>
      <c r="D307" s="1239"/>
      <c r="E307" s="554">
        <f>SUM(E309:E310)</f>
        <v>342237000</v>
      </c>
      <c r="F307" s="554">
        <f>SUM(F309:F310)</f>
        <v>0</v>
      </c>
      <c r="G307" s="559"/>
      <c r="H307" s="559"/>
      <c r="I307" s="559"/>
      <c r="J307" s="554">
        <f>SUM(J309:J310)</f>
        <v>0</v>
      </c>
      <c r="K307" s="576" t="e">
        <f>+J307/F307</f>
        <v>#DIV/0!</v>
      </c>
      <c r="L307" s="554">
        <f>SUM(L309:L310)</f>
        <v>15110313</v>
      </c>
      <c r="M307" s="605">
        <f>+E307-(J307+L307)</f>
        <v>327126687</v>
      </c>
      <c r="N307" s="554">
        <f>SUM(N309:N310)</f>
        <v>0</v>
      </c>
      <c r="O307" s="657"/>
      <c r="P307" s="564" t="str">
        <f>IF(ISERROR(VLOOKUP(B307,'Base de Datos'!$C$7:$N$315,8,0))=TRUE," ",(VLOOKUP(B307,'Base de Datos'!$C$7:$N$315,8,0)))</f>
        <v xml:space="preserve"> </v>
      </c>
      <c r="Q307" s="565"/>
      <c r="R307" s="717" t="str">
        <f>IF(ISERROR(VLOOKUP(B307,'Base de Datos'!$C$7:$N$315,9,0))=TRUE," ",(VLOOKUP(B307,'Base de Datos'!$C$7:$N$315,9,0)))</f>
        <v xml:space="preserve"> </v>
      </c>
      <c r="S307" s="717" t="str">
        <f>IF(ISERROR(VLOOKUP(B307,'Base de Datos'!$C$7:$N$315,10,0))=TRUE," ",(VLOOKUP(B307,'Base de Datos'!$C$7:$N$315,10,0)))</f>
        <v xml:space="preserve"> </v>
      </c>
      <c r="T307" s="565"/>
    </row>
    <row r="308" spans="2:21" ht="22.8" hidden="1" x14ac:dyDescent="0.3">
      <c r="B308" s="510" t="s">
        <v>2127</v>
      </c>
      <c r="C308" s="510" t="s">
        <v>912</v>
      </c>
      <c r="D308" s="510" t="s">
        <v>1821</v>
      </c>
      <c r="E308" s="518" t="s">
        <v>1844</v>
      </c>
      <c r="F308" s="507" t="s">
        <v>2129</v>
      </c>
      <c r="G308" s="507"/>
      <c r="H308" s="507"/>
      <c r="I308" s="507"/>
      <c r="J308" s="510" t="s">
        <v>2130</v>
      </c>
      <c r="K308" s="625"/>
      <c r="L308" s="510" t="s">
        <v>1939</v>
      </c>
      <c r="M308" s="510"/>
      <c r="N308" s="510" t="s">
        <v>2136</v>
      </c>
      <c r="O308" s="650" t="s">
        <v>2133</v>
      </c>
      <c r="P308" s="541" t="s">
        <v>1817</v>
      </c>
      <c r="Q308" s="510" t="s">
        <v>1847</v>
      </c>
      <c r="R308" s="718" t="s">
        <v>1848</v>
      </c>
      <c r="S308" s="718" t="s">
        <v>375</v>
      </c>
      <c r="T308" s="510" t="s">
        <v>1849</v>
      </c>
    </row>
    <row r="309" spans="2:21" ht="21" hidden="1" customHeight="1" x14ac:dyDescent="0.3">
      <c r="B309" s="506"/>
      <c r="C309" s="506" t="s">
        <v>1418</v>
      </c>
      <c r="D309" s="506" t="str">
        <f>VLOOKUP(C309,'Base de Datos'!$E$7:$AU$390,2,0)</f>
        <v>S.O.S. SOLUCIONES DE OFICINA &amp; SUMINISTROS S.A.S.</v>
      </c>
      <c r="E309" s="509">
        <f>VLOOKUP(C309,'Base de Datos'!$E$7:$AU$390,5,0)</f>
        <v>4750000</v>
      </c>
      <c r="F309" s="509" t="str">
        <f>VLOOKUP(C309,'Base de Datos'!$E$7:$AU$390,17,0)</f>
        <v/>
      </c>
      <c r="G309" s="506"/>
      <c r="H309" s="506"/>
      <c r="I309" s="506"/>
      <c r="J309" s="509" t="str">
        <f>VLOOKUP(C309,'Base de Datos'!$E$7:$AU$390,18,0)</f>
        <v/>
      </c>
      <c r="K309" s="573"/>
      <c r="L309" s="714">
        <f>VLOOKUP(C309,'Base de Datos'!$E$7:$AU$390,19,0)</f>
        <v>42060</v>
      </c>
      <c r="M309" s="506"/>
      <c r="N309" s="509" t="str">
        <f>IF(OR(O309=Hoja1!$D$17,'Presupuesto - PAA 2017'!O309=Hoja1!$D$18),'Presupuesto - PAA 2017'!L309," ")</f>
        <v xml:space="preserve"> </v>
      </c>
      <c r="O309" s="651" t="str">
        <f>VLOOKUP(C309,'Base de Datos'!$E$7:$AU$390,33,0)</f>
        <v>Dirección Administrativa</v>
      </c>
      <c r="P309" s="709"/>
      <c r="Q309" s="506"/>
      <c r="R309" s="715">
        <f>VLOOKUP(C309,'Base de Datos'!$E$7:$AU$390,9,0)</f>
        <v>41968</v>
      </c>
      <c r="S309" s="715" t="str">
        <f>VLOOKUP(C309,'Base de Datos'!$E$7:$AU$390,16,0)</f>
        <v/>
      </c>
      <c r="T309" s="651">
        <f>VLOOKUP(C309,'Base de Datos'!$E$7:$AU$390,40,0)</f>
        <v>0</v>
      </c>
    </row>
    <row r="310" spans="2:21" ht="22.8" hidden="1" x14ac:dyDescent="0.3">
      <c r="B310" s="506"/>
      <c r="C310" s="506" t="s">
        <v>287</v>
      </c>
      <c r="D310" s="506" t="str">
        <f>VLOOKUP(C310,'Base de Datos'!$E$7:$AU$390,2,0)</f>
        <v xml:space="preserve">UNIÓN TEMPORAL EMINSER-SOLOASEO </v>
      </c>
      <c r="E310" s="509">
        <f>VLOOKUP(C310,'Base de Datos'!$E$7:$AU$390,5,0)</f>
        <v>337487000</v>
      </c>
      <c r="F310" s="509" t="str">
        <f>VLOOKUP(C310,'Base de Datos'!$E$7:$AU$390,17,0)</f>
        <v/>
      </c>
      <c r="G310" s="506"/>
      <c r="H310" s="506"/>
      <c r="I310" s="506"/>
      <c r="J310" s="509" t="str">
        <f>VLOOKUP(C310,'Base de Datos'!$E$7:$AU$390,18,0)</f>
        <v/>
      </c>
      <c r="K310" s="573"/>
      <c r="L310" s="714">
        <v>15068253</v>
      </c>
      <c r="M310" s="506"/>
      <c r="N310" s="509" t="str">
        <f>IF(OR(O310=Hoja1!$D$17,'Presupuesto - PAA 2017'!O310=Hoja1!$D$18),'Presupuesto - PAA 2017'!L310," ")</f>
        <v xml:space="preserve"> </v>
      </c>
      <c r="O310" s="651" t="str">
        <f>VLOOKUP(C310,'Base de Datos'!$E$7:$AU$390,33,0)</f>
        <v>Dirección Administrativa</v>
      </c>
      <c r="P310" s="709"/>
      <c r="Q310" s="506"/>
      <c r="R310" s="715">
        <f>VLOOKUP(C310,'Base de Datos'!$E$7:$AU$390,9,0)</f>
        <v>41811</v>
      </c>
      <c r="S310" s="715">
        <f>VLOOKUP(C310,'Base de Datos'!$E$7:$AU$390,16,0)</f>
        <v>42186</v>
      </c>
      <c r="T310" s="651" t="str">
        <f>VLOOKUP(C310,'Base de Datos'!$E$7:$AU$390,40,0)</f>
        <v>MANUEL ROJAS</v>
      </c>
    </row>
    <row r="311" spans="2:21" hidden="1" x14ac:dyDescent="0.3">
      <c r="B311" s="506"/>
      <c r="C311" s="506"/>
      <c r="D311" s="506"/>
      <c r="E311" s="506"/>
      <c r="F311" s="506"/>
      <c r="G311" s="506"/>
      <c r="H311" s="506"/>
      <c r="I311" s="506"/>
      <c r="J311" s="506"/>
      <c r="K311" s="573"/>
      <c r="L311" s="506"/>
      <c r="M311" s="506"/>
      <c r="N311" s="506"/>
      <c r="O311" s="664"/>
      <c r="P311" s="709"/>
      <c r="Q311" s="506"/>
      <c r="R311" s="716"/>
      <c r="S311" s="716"/>
      <c r="T311" s="506"/>
    </row>
    <row r="312" spans="2:21" ht="12" hidden="1" x14ac:dyDescent="0.3">
      <c r="B312" s="1240" t="s">
        <v>1650</v>
      </c>
      <c r="C312" s="1240"/>
      <c r="D312" s="1240"/>
      <c r="E312" s="512">
        <f>+E317+E323+E327+E347+E353+E359+E363+E368+E373+E313</f>
        <v>11295093028</v>
      </c>
      <c r="F312" s="512" t="e">
        <f>+F317+F323+F327+F347+F353+F359+F363+F368+F373+F313</f>
        <v>#VALUE!</v>
      </c>
      <c r="G312" s="513"/>
      <c r="H312" s="513"/>
      <c r="I312" s="513"/>
      <c r="J312" s="512" t="e">
        <f>+J317+J323+J327+J347+J353+J359+J363+J368+J373+J313</f>
        <v>#VALUE!</v>
      </c>
      <c r="K312" s="583" t="e">
        <f>+J312/F312</f>
        <v>#VALUE!</v>
      </c>
      <c r="L312" s="512">
        <f>+L317+L323+L327+L347+L353+L359+L363+L368+L373+L313</f>
        <v>20745650</v>
      </c>
      <c r="M312" s="626">
        <v>0</v>
      </c>
      <c r="N312" s="512">
        <f>+N317+N323+N327+N347+N353+N359+N363+N368+N373</f>
        <v>0</v>
      </c>
      <c r="O312" s="662"/>
      <c r="P312" s="516"/>
      <c r="Q312" s="542"/>
      <c r="R312" s="719" t="str">
        <f>IF(ISERROR(VLOOKUP(B312,'Base de Datos'!$C$7:$N$315,9,0))=TRUE," ",(VLOOKUP(B312,'Base de Datos'!$C$7:$N$315,9,0)))</f>
        <v xml:space="preserve"> </v>
      </c>
      <c r="S312" s="719" t="str">
        <f>IF(ISERROR(VLOOKUP(B312,'Base de Datos'!$C$7:$N$315,10,0))=TRUE," ",(VLOOKUP(B312,'Base de Datos'!$C$7:$N$315,10,0)))</f>
        <v xml:space="preserve"> </v>
      </c>
      <c r="T312" s="542"/>
    </row>
    <row r="313" spans="2:21" s="588" customFormat="1" ht="12" hidden="1" x14ac:dyDescent="0.3">
      <c r="B313" s="1239" t="s">
        <v>2138</v>
      </c>
      <c r="C313" s="1239"/>
      <c r="D313" s="1239"/>
      <c r="E313" s="554">
        <f>SUM(E315:E317)</f>
        <v>7365169309</v>
      </c>
      <c r="F313" s="554">
        <f>SUM(F315:F317)</f>
        <v>0</v>
      </c>
      <c r="G313" s="559"/>
      <c r="H313" s="559"/>
      <c r="I313" s="559"/>
      <c r="J313" s="554">
        <f>SUM(J315:J317)</f>
        <v>0</v>
      </c>
      <c r="K313" s="576" t="e">
        <f>+J313/F313</f>
        <v>#DIV/0!</v>
      </c>
      <c r="L313" s="554">
        <f>SUM(L315:L317)</f>
        <v>762175</v>
      </c>
      <c r="M313" s="605">
        <v>0</v>
      </c>
      <c r="N313" s="554">
        <f>SUM(N315:N317)</f>
        <v>0</v>
      </c>
      <c r="O313" s="657"/>
      <c r="P313" s="564" t="str">
        <f>IF(ISERROR(VLOOKUP(B313,'Base de Datos'!$C$7:$N$315,8,0))=TRUE," ",(VLOOKUP(B313,'Base de Datos'!$C$7:$N$315,8,0)))</f>
        <v xml:space="preserve"> </v>
      </c>
      <c r="Q313" s="565"/>
      <c r="R313" s="717" t="str">
        <f>IF(ISERROR(VLOOKUP(B313,'Base de Datos'!$C$7:$N$315,9,0))=TRUE," ",(VLOOKUP(B313,'Base de Datos'!$C$7:$N$315,9,0)))</f>
        <v xml:space="preserve"> </v>
      </c>
      <c r="S313" s="717" t="str">
        <f>IF(ISERROR(VLOOKUP(B313,'Base de Datos'!$C$7:$N$315,10,0))=TRUE," ",(VLOOKUP(B313,'Base de Datos'!$C$7:$N$315,10,0)))</f>
        <v xml:space="preserve"> </v>
      </c>
      <c r="T313" s="565"/>
      <c r="U313" s="629"/>
    </row>
    <row r="314" spans="2:21" s="588" customFormat="1" ht="22.8" hidden="1" x14ac:dyDescent="0.3">
      <c r="B314" s="510" t="s">
        <v>2127</v>
      </c>
      <c r="C314" s="510" t="s">
        <v>912</v>
      </c>
      <c r="D314" s="510" t="s">
        <v>1821</v>
      </c>
      <c r="E314" s="518" t="s">
        <v>1844</v>
      </c>
      <c r="F314" s="507" t="s">
        <v>2129</v>
      </c>
      <c r="G314" s="507"/>
      <c r="H314" s="507"/>
      <c r="I314" s="507"/>
      <c r="J314" s="510" t="s">
        <v>2130</v>
      </c>
      <c r="K314" s="625"/>
      <c r="L314" s="510" t="s">
        <v>1939</v>
      </c>
      <c r="M314" s="510"/>
      <c r="N314" s="510" t="s">
        <v>2136</v>
      </c>
      <c r="O314" s="650" t="s">
        <v>2133</v>
      </c>
      <c r="P314" s="541" t="s">
        <v>1817</v>
      </c>
      <c r="Q314" s="510" t="s">
        <v>1847</v>
      </c>
      <c r="R314" s="718" t="s">
        <v>1848</v>
      </c>
      <c r="S314" s="718" t="s">
        <v>375</v>
      </c>
      <c r="T314" s="510" t="s">
        <v>1849</v>
      </c>
      <c r="U314" s="629"/>
    </row>
    <row r="315" spans="2:21" s="588" customFormat="1" hidden="1" x14ac:dyDescent="0.3">
      <c r="B315" s="506"/>
      <c r="C315" s="729" t="s">
        <v>92</v>
      </c>
      <c r="D315" s="506" t="str">
        <f>VLOOKUP(C315,'Base de Datos'!$E$7:$AU$390,2,0)</f>
        <v>FONDO DE VIGILANCIA Y SEGURIDAD DE BOGOTÁ</v>
      </c>
      <c r="E315" s="509">
        <f>VLOOKUP(C315,'Base de Datos'!$E$7:$AU$390,5,0)</f>
        <v>7329236109</v>
      </c>
      <c r="F315" s="509" t="str">
        <f>VLOOKUP(C315,'Base de Datos'!$E$7:$AU$390,17,0)</f>
        <v/>
      </c>
      <c r="G315" s="506"/>
      <c r="H315" s="506"/>
      <c r="I315" s="506"/>
      <c r="J315" s="509" t="str">
        <f>VLOOKUP(C315,'Base de Datos'!$E$7:$AU$390,18,0)</f>
        <v/>
      </c>
      <c r="K315" s="573"/>
      <c r="L315" s="726">
        <v>613019</v>
      </c>
      <c r="M315" s="506"/>
      <c r="N315" s="509" t="str">
        <f>IF(OR(O315=Hoja1!$D$17,'Presupuesto - PAA 2017'!O315=Hoja1!$D$18),'Presupuesto - PAA 2017'!L315," ")</f>
        <v xml:space="preserve"> </v>
      </c>
      <c r="O315" s="651">
        <f>VLOOKUP(C315,'Base de Datos'!$E$7:$AU$390,32,0)</f>
        <v>0</v>
      </c>
      <c r="P315" s="709"/>
      <c r="Q315" s="506"/>
      <c r="R315" s="715">
        <f>VLOOKUP(C315,'Base de Datos'!$E$7:$AU$390,9,0)</f>
        <v>39724</v>
      </c>
      <c r="S315" s="715" t="str">
        <f>VLOOKUP(C315,'Base de Datos'!$E$7:$AU$390,16,0)</f>
        <v/>
      </c>
      <c r="T315" s="651" t="str">
        <f>VLOOKUP(C315,'Base de Datos'!$E$7:$AU$390,40,0)</f>
        <v/>
      </c>
      <c r="U315" s="629"/>
    </row>
    <row r="316" spans="2:21" s="588" customFormat="1" ht="12" hidden="1" x14ac:dyDescent="0.3">
      <c r="B316" s="847"/>
      <c r="C316" s="847"/>
      <c r="D316" s="847"/>
      <c r="E316" s="639"/>
      <c r="F316" s="639"/>
      <c r="G316" s="507"/>
      <c r="H316" s="507"/>
      <c r="I316" s="507"/>
      <c r="J316" s="639"/>
      <c r="K316" s="585"/>
      <c r="L316" s="639"/>
      <c r="M316" s="727"/>
      <c r="N316" s="639"/>
      <c r="O316" s="663"/>
      <c r="P316" s="553"/>
      <c r="Q316" s="587"/>
      <c r="R316" s="728"/>
      <c r="S316" s="728"/>
      <c r="T316" s="587"/>
      <c r="U316" s="629"/>
    </row>
    <row r="317" spans="2:21" ht="12" hidden="1" x14ac:dyDescent="0.3">
      <c r="B317" s="1239" t="s">
        <v>1651</v>
      </c>
      <c r="C317" s="1239"/>
      <c r="D317" s="1239"/>
      <c r="E317" s="554">
        <f>SUM(E319:E321)</f>
        <v>35933200</v>
      </c>
      <c r="F317" s="554">
        <f>SUM(F319:F321)</f>
        <v>0</v>
      </c>
      <c r="G317" s="559"/>
      <c r="H317" s="559"/>
      <c r="I317" s="559"/>
      <c r="J317" s="554">
        <f>SUM(J319:J321)</f>
        <v>0</v>
      </c>
      <c r="K317" s="576" t="e">
        <f>+J317/F317</f>
        <v>#DIV/0!</v>
      </c>
      <c r="L317" s="554">
        <f>SUM(L319:L321)</f>
        <v>149156</v>
      </c>
      <c r="M317" s="605">
        <v>0</v>
      </c>
      <c r="N317" s="554">
        <f>SUM(N319:N321)</f>
        <v>0</v>
      </c>
      <c r="O317" s="657"/>
      <c r="P317" s="564" t="str">
        <f>IF(ISERROR(VLOOKUP(B317,'Base de Datos'!$C$7:$N$315,8,0))=TRUE," ",(VLOOKUP(B317,'Base de Datos'!$C$7:$N$315,8,0)))</f>
        <v xml:space="preserve"> </v>
      </c>
      <c r="Q317" s="565"/>
      <c r="R317" s="717" t="str">
        <f>IF(ISERROR(VLOOKUP(B317,'Base de Datos'!$C$7:$N$315,9,0))=TRUE," ",(VLOOKUP(B317,'Base de Datos'!$C$7:$N$315,9,0)))</f>
        <v xml:space="preserve"> </v>
      </c>
      <c r="S317" s="717" t="str">
        <f>IF(ISERROR(VLOOKUP(B317,'Base de Datos'!$C$7:$N$315,10,0))=TRUE," ",(VLOOKUP(B317,'Base de Datos'!$C$7:$N$315,10,0)))</f>
        <v xml:space="preserve"> </v>
      </c>
      <c r="T317" s="565"/>
    </row>
    <row r="318" spans="2:21" ht="22.8" hidden="1" x14ac:dyDescent="0.3">
      <c r="B318" s="510" t="s">
        <v>2127</v>
      </c>
      <c r="C318" s="510" t="s">
        <v>912</v>
      </c>
      <c r="D318" s="510" t="s">
        <v>1821</v>
      </c>
      <c r="E318" s="518" t="s">
        <v>1844</v>
      </c>
      <c r="F318" s="507" t="s">
        <v>2129</v>
      </c>
      <c r="G318" s="507"/>
      <c r="H318" s="507"/>
      <c r="I318" s="507"/>
      <c r="J318" s="510" t="s">
        <v>2130</v>
      </c>
      <c r="K318" s="625"/>
      <c r="L318" s="510" t="s">
        <v>1939</v>
      </c>
      <c r="M318" s="510"/>
      <c r="N318" s="510" t="s">
        <v>2136</v>
      </c>
      <c r="O318" s="650" t="s">
        <v>2133</v>
      </c>
      <c r="P318" s="541" t="s">
        <v>1817</v>
      </c>
      <c r="Q318" s="510" t="s">
        <v>1847</v>
      </c>
      <c r="R318" s="718" t="s">
        <v>1848</v>
      </c>
      <c r="S318" s="718" t="s">
        <v>375</v>
      </c>
      <c r="T318" s="510" t="s">
        <v>1849</v>
      </c>
    </row>
    <row r="319" spans="2:21" ht="22.8" hidden="1" x14ac:dyDescent="0.3">
      <c r="B319" s="506"/>
      <c r="C319" s="506" t="s">
        <v>11</v>
      </c>
      <c r="D319" s="506" t="str">
        <f>VLOOKUP(C319,'Base de Datos'!$E$7:$AU$390,2,0)</f>
        <v>DIRECTV COLOMBIA LTDA</v>
      </c>
      <c r="E319" s="509">
        <f>VLOOKUP(C319,'Base de Datos'!$E$7:$AU$390,5,0)</f>
        <v>1633200</v>
      </c>
      <c r="F319" s="509" t="str">
        <f>VLOOKUP(C319,'Base de Datos'!$E$7:$AU$390,17,0)</f>
        <v/>
      </c>
      <c r="G319" s="506"/>
      <c r="H319" s="506"/>
      <c r="I319" s="506"/>
      <c r="J319" s="509" t="str">
        <f>VLOOKUP(C319,'Base de Datos'!$E$7:$AU$390,18,0)</f>
        <v/>
      </c>
      <c r="K319" s="573"/>
      <c r="L319" s="726">
        <v>65038</v>
      </c>
      <c r="M319" s="506"/>
      <c r="N319" s="509" t="str">
        <f>IF(OR(O319=Hoja1!$D$17,'Presupuesto - PAA 2017'!O319=Hoja1!$D$18),'Presupuesto - PAA 2017'!L319," ")</f>
        <v xml:space="preserve"> </v>
      </c>
      <c r="O319" s="651" t="str">
        <f>VLOOKUP(C319,'Base de Datos'!$E$7:$AU$390,33,0)</f>
        <v>Dirección Administrativa</v>
      </c>
      <c r="P319" s="709"/>
      <c r="Q319" s="506"/>
      <c r="R319" s="715">
        <f>VLOOKUP(C319,'Base de Datos'!$E$7:$AU$390,9,0)</f>
        <v>41288</v>
      </c>
      <c r="S319" s="715">
        <f>VLOOKUP(C319,'Base de Datos'!$E$7:$AU$390,16,0)</f>
        <v>41711</v>
      </c>
      <c r="T319" s="651" t="str">
        <f>VLOOKUP(C319,'Base de Datos'!$E$7:$AU$390,40,0)</f>
        <v/>
      </c>
    </row>
    <row r="320" spans="2:21" hidden="1" x14ac:dyDescent="0.3">
      <c r="B320" s="506"/>
      <c r="C320" s="506" t="s">
        <v>129</v>
      </c>
      <c r="D320" s="506" t="str">
        <f>VLOOKUP(C320,'Base de Datos'!$E$7:$AU$390,2,0)</f>
        <v>UNIÓN TEMPORAL INTERPOSTAL URBANEX</v>
      </c>
      <c r="E320" s="509">
        <f>VLOOKUP(C320,'Base de Datos'!$E$7:$AU$390,5,0)</f>
        <v>22300000</v>
      </c>
      <c r="F320" s="509" t="str">
        <f>VLOOKUP(C320,'Base de Datos'!$E$7:$AU$390,17,0)</f>
        <v/>
      </c>
      <c r="G320" s="506"/>
      <c r="H320" s="506"/>
      <c r="I320" s="506"/>
      <c r="J320" s="509" t="str">
        <f>VLOOKUP(C320,'Base de Datos'!$E$7:$AU$390,18,0)</f>
        <v/>
      </c>
      <c r="K320" s="573"/>
      <c r="L320" s="714">
        <f>VLOOKUP(C320,'Base de Datos'!$E$7:$AU$390,19,0)</f>
        <v>41806</v>
      </c>
      <c r="M320" s="506"/>
      <c r="N320" s="509" t="str">
        <f>IF(OR(O320=Hoja1!$D$17,'Presupuesto - PAA 2017'!O320=Hoja1!$D$18),'Presupuesto - PAA 2017'!L320," ")</f>
        <v xml:space="preserve"> </v>
      </c>
      <c r="O320" s="723" t="s">
        <v>2132</v>
      </c>
      <c r="P320" s="709" t="s">
        <v>2135</v>
      </c>
      <c r="Q320" s="506"/>
      <c r="R320" s="715">
        <f>VLOOKUP(C320,'Base de Datos'!$E$7:$AU$390,9,0)</f>
        <v>41410</v>
      </c>
      <c r="S320" s="715">
        <f>VLOOKUP(C320,'Base de Datos'!$E$7:$AU$390,16,0)</f>
        <v>41806</v>
      </c>
      <c r="T320" s="651">
        <f>VLOOKUP(C320,'Base de Datos'!$E$7:$AU$390,40,0)</f>
        <v>0</v>
      </c>
    </row>
    <row r="321" spans="2:21" ht="22.8" hidden="1" x14ac:dyDescent="0.3">
      <c r="B321" s="506"/>
      <c r="C321" s="506" t="s">
        <v>300</v>
      </c>
      <c r="D321" s="506" t="str">
        <f>VLOOKUP(C321,'Base de Datos'!$E$7:$AU$390,2,0)</f>
        <v>MUDANZAS EL NOGAL SAS</v>
      </c>
      <c r="E321" s="509">
        <f>VLOOKUP(C321,'Base de Datos'!$E$7:$AU$390,5,0)</f>
        <v>12000000</v>
      </c>
      <c r="F321" s="509" t="str">
        <f>VLOOKUP(C321,'Base de Datos'!$E$7:$AU$390,17,0)</f>
        <v/>
      </c>
      <c r="G321" s="506"/>
      <c r="H321" s="506"/>
      <c r="I321" s="506"/>
      <c r="J321" s="509" t="str">
        <f>VLOOKUP(C321,'Base de Datos'!$E$7:$AU$390,18,0)</f>
        <v/>
      </c>
      <c r="K321" s="573"/>
      <c r="L321" s="714">
        <f>VLOOKUP(C321,'Base de Datos'!$E$7:$AU$390,19,0)</f>
        <v>42312</v>
      </c>
      <c r="M321" s="506"/>
      <c r="N321" s="509" t="str">
        <f>IF(OR(O321=Hoja1!$D$17,'Presupuesto - PAA 2017'!O321=Hoja1!$D$18),'Presupuesto - PAA 2017'!L321," ")</f>
        <v xml:space="preserve"> </v>
      </c>
      <c r="O321" s="651" t="str">
        <f>VLOOKUP(C321,'Base de Datos'!$E$7:$AU$390,33,0)</f>
        <v>Dirección Administrativa</v>
      </c>
      <c r="P321" s="709"/>
      <c r="Q321" s="506"/>
      <c r="R321" s="715">
        <f>VLOOKUP(C321,'Base de Datos'!$E$7:$AU$390,9,0)</f>
        <v>41824</v>
      </c>
      <c r="S321" s="715">
        <f>VLOOKUP(C321,'Base de Datos'!$E$7:$AU$390,16,0)</f>
        <v>42312</v>
      </c>
      <c r="T321" s="651">
        <f>VLOOKUP(C321,'Base de Datos'!$E$7:$AU$390,40,0)</f>
        <v>0</v>
      </c>
    </row>
    <row r="322" spans="2:21" hidden="1" x14ac:dyDescent="0.3">
      <c r="B322" s="506"/>
      <c r="C322" s="506"/>
      <c r="D322" s="506"/>
      <c r="E322" s="506"/>
      <c r="F322" s="506"/>
      <c r="G322" s="506"/>
      <c r="H322" s="506"/>
      <c r="I322" s="506"/>
      <c r="J322" s="506"/>
      <c r="K322" s="573"/>
      <c r="L322" s="506"/>
      <c r="M322" s="506"/>
      <c r="N322" s="506"/>
      <c r="O322" s="664"/>
      <c r="P322" s="709"/>
      <c r="Q322" s="506"/>
      <c r="R322" s="716"/>
      <c r="S322" s="716"/>
      <c r="T322" s="506"/>
    </row>
    <row r="323" spans="2:21" ht="12" hidden="1" x14ac:dyDescent="0.3">
      <c r="B323" s="1239" t="s">
        <v>1652</v>
      </c>
      <c r="C323" s="1239"/>
      <c r="D323" s="1239"/>
      <c r="E323" s="554">
        <f>+E325</f>
        <v>36581760</v>
      </c>
      <c r="F323" s="554" t="str">
        <f>+F325</f>
        <v/>
      </c>
      <c r="G323" s="559"/>
      <c r="H323" s="559"/>
      <c r="I323" s="559"/>
      <c r="J323" s="554" t="str">
        <f>+J325</f>
        <v/>
      </c>
      <c r="K323" s="576" t="e">
        <f>+J323/F323</f>
        <v>#VALUE!</v>
      </c>
      <c r="L323" s="554">
        <f>+L325</f>
        <v>42186</v>
      </c>
      <c r="M323" s="605">
        <v>0</v>
      </c>
      <c r="N323" s="724">
        <f>SUM(N325:N326)</f>
        <v>0</v>
      </c>
      <c r="O323" s="657"/>
      <c r="P323" s="564" t="str">
        <f>IF(ISERROR(VLOOKUP(B323,'Base de Datos'!$C$7:$N$315,8,0))=TRUE," ",(VLOOKUP(B323,'Base de Datos'!$C$7:$N$315,8,0)))</f>
        <v xml:space="preserve"> </v>
      </c>
      <c r="Q323" s="565"/>
      <c r="R323" s="717" t="str">
        <f>IF(ISERROR(VLOOKUP(B323,'Base de Datos'!$C$7:$N$315,9,0))=TRUE," ",(VLOOKUP(B323,'Base de Datos'!$C$7:$N$315,9,0)))</f>
        <v xml:space="preserve"> </v>
      </c>
      <c r="S323" s="717" t="str">
        <f>IF(ISERROR(VLOOKUP(B323,'Base de Datos'!$C$7:$N$315,10,0))=TRUE," ",(VLOOKUP(B323,'Base de Datos'!$C$7:$N$315,10,0)))</f>
        <v xml:space="preserve"> </v>
      </c>
      <c r="T323" s="565"/>
      <c r="U323" s="508"/>
    </row>
    <row r="324" spans="2:21" ht="22.8" hidden="1" x14ac:dyDescent="0.3">
      <c r="B324" s="510" t="s">
        <v>2127</v>
      </c>
      <c r="C324" s="510" t="s">
        <v>912</v>
      </c>
      <c r="D324" s="510" t="s">
        <v>1821</v>
      </c>
      <c r="E324" s="518" t="s">
        <v>1844</v>
      </c>
      <c r="F324" s="507" t="s">
        <v>2129</v>
      </c>
      <c r="G324" s="507"/>
      <c r="H324" s="507"/>
      <c r="I324" s="507"/>
      <c r="J324" s="510" t="s">
        <v>2130</v>
      </c>
      <c r="K324" s="625"/>
      <c r="L324" s="510" t="s">
        <v>1939</v>
      </c>
      <c r="M324" s="510"/>
      <c r="N324" s="510" t="s">
        <v>2136</v>
      </c>
      <c r="O324" s="650" t="s">
        <v>2133</v>
      </c>
      <c r="P324" s="541" t="s">
        <v>1817</v>
      </c>
      <c r="Q324" s="510" t="s">
        <v>1847</v>
      </c>
      <c r="R324" s="718" t="s">
        <v>1848</v>
      </c>
      <c r="S324" s="718" t="s">
        <v>375</v>
      </c>
      <c r="T324" s="510" t="s">
        <v>1849</v>
      </c>
      <c r="U324" s="508"/>
    </row>
    <row r="325" spans="2:21" ht="22.8" hidden="1" x14ac:dyDescent="0.3">
      <c r="B325" s="506"/>
      <c r="C325" s="506" t="s">
        <v>294</v>
      </c>
      <c r="D325" s="506" t="str">
        <f>VLOOKUP(C325,'Base de Datos'!$E$7:$AU$390,2,0)</f>
        <v>T Y G MINOLTA</v>
      </c>
      <c r="E325" s="509">
        <f>VLOOKUP(C325,'Base de Datos'!$E$7:$AU$390,5,0)</f>
        <v>36581760</v>
      </c>
      <c r="F325" s="509" t="str">
        <f>VLOOKUP(C325,'Base de Datos'!$E$7:$AU$390,17,0)</f>
        <v/>
      </c>
      <c r="G325" s="506"/>
      <c r="H325" s="506"/>
      <c r="I325" s="506"/>
      <c r="J325" s="509" t="str">
        <f>VLOOKUP(C325,'Base de Datos'!$E$7:$AU$390,18,0)</f>
        <v/>
      </c>
      <c r="K325" s="573"/>
      <c r="L325" s="714">
        <f>VLOOKUP(C325,'Base de Datos'!$E$7:$AU$390,19,0)</f>
        <v>42186</v>
      </c>
      <c r="M325" s="506"/>
      <c r="N325" s="509" t="str">
        <f>IF(OR(O325=Hoja1!$D$17,'Presupuesto - PAA 2017'!O325=Hoja1!$D$18),'Presupuesto - PAA 2017'!L325," ")</f>
        <v xml:space="preserve"> </v>
      </c>
      <c r="O325" s="651" t="str">
        <f>VLOOKUP(C325,'Base de Datos'!$E$7:$AU$390,33,0)</f>
        <v>Dirección Administrativa</v>
      </c>
      <c r="P325" s="709"/>
      <c r="Q325" s="506"/>
      <c r="R325" s="715">
        <f>VLOOKUP(C325,'Base de Datos'!$E$7:$AU$390,9,0)</f>
        <v>41821</v>
      </c>
      <c r="S325" s="715">
        <f>VLOOKUP(C325,'Base de Datos'!$E$7:$AU$390,16,0)</f>
        <v>42186</v>
      </c>
      <c r="T325" s="651">
        <f>VLOOKUP(C325,'Base de Datos'!$E$7:$AU$390,40,0)</f>
        <v>0</v>
      </c>
      <c r="U325" s="508"/>
    </row>
    <row r="326" spans="2:21" hidden="1" x14ac:dyDescent="0.3">
      <c r="B326" s="506"/>
      <c r="C326" s="506"/>
      <c r="D326" s="506"/>
      <c r="E326" s="506"/>
      <c r="F326" s="506"/>
      <c r="G326" s="506"/>
      <c r="H326" s="506"/>
      <c r="I326" s="506"/>
      <c r="J326" s="506"/>
      <c r="K326" s="573"/>
      <c r="L326" s="506"/>
      <c r="M326" s="506"/>
      <c r="N326" s="506"/>
      <c r="O326" s="664"/>
      <c r="P326" s="709"/>
      <c r="Q326" s="506"/>
      <c r="R326" s="716"/>
      <c r="S326" s="716"/>
      <c r="T326" s="506"/>
      <c r="U326" s="508"/>
    </row>
    <row r="327" spans="2:21" ht="12" hidden="1" x14ac:dyDescent="0.3">
      <c r="B327" s="1240" t="s">
        <v>1653</v>
      </c>
      <c r="C327" s="1240"/>
      <c r="D327" s="1240"/>
      <c r="E327" s="512">
        <f>+E328</f>
        <v>1888405314</v>
      </c>
      <c r="F327" s="604">
        <f>+F328</f>
        <v>0</v>
      </c>
      <c r="G327" s="513"/>
      <c r="H327" s="513"/>
      <c r="I327" s="513"/>
      <c r="J327" s="604">
        <f>+J328</f>
        <v>0</v>
      </c>
      <c r="K327" s="583"/>
      <c r="L327" s="604">
        <f>+L328</f>
        <v>17734225</v>
      </c>
      <c r="M327" s="516"/>
      <c r="N327" s="604">
        <f>+N328</f>
        <v>0</v>
      </c>
      <c r="O327" s="662"/>
      <c r="P327" s="548" t="str">
        <f>IF(ISERROR(VLOOKUP(B327,'Base de Datos'!$C$7:$N$315,8,0))=TRUE," ",(VLOOKUP(B327,'Base de Datos'!$C$7:$N$315,8,0)))</f>
        <v xml:space="preserve"> </v>
      </c>
      <c r="Q327" s="542"/>
      <c r="R327" s="719" t="str">
        <f>IF(ISERROR(VLOOKUP(B327,'Base de Datos'!$C$7:$N$315,9,0))=TRUE," ",(VLOOKUP(B327,'Base de Datos'!$C$7:$N$315,9,0)))</f>
        <v xml:space="preserve"> </v>
      </c>
      <c r="S327" s="719" t="str">
        <f>IF(ISERROR(VLOOKUP(B327,'Base de Datos'!$C$7:$N$315,10,0))=TRUE," ",(VLOOKUP(B327,'Base de Datos'!$C$7:$N$315,10,0)))</f>
        <v xml:space="preserve"> </v>
      </c>
      <c r="T327" s="542"/>
      <c r="U327" s="508"/>
    </row>
    <row r="328" spans="2:21" hidden="1" x14ac:dyDescent="0.3">
      <c r="B328" s="1239" t="s">
        <v>1654</v>
      </c>
      <c r="C328" s="1239"/>
      <c r="D328" s="1239"/>
      <c r="E328" s="554">
        <f>SUM(E330:E345)</f>
        <v>1888405314</v>
      </c>
      <c r="F328" s="554">
        <f>SUM(F330:F345)</f>
        <v>0</v>
      </c>
      <c r="G328" s="559"/>
      <c r="H328" s="559"/>
      <c r="I328" s="559"/>
      <c r="J328" s="554">
        <f>SUM(J330:J345)</f>
        <v>0</v>
      </c>
      <c r="K328" s="576" t="e">
        <f>+J328/F328</f>
        <v>#DIV/0!</v>
      </c>
      <c r="L328" s="554">
        <f>SUM(L330:L345)</f>
        <v>17734225</v>
      </c>
      <c r="M328" s="554"/>
      <c r="N328" s="554">
        <f>SUM(N330:N345)</f>
        <v>0</v>
      </c>
      <c r="O328" s="657"/>
      <c r="P328" s="564" t="str">
        <f>IF(ISERROR(VLOOKUP(B328,'Base de Datos'!$C$7:$N$315,8,0))=TRUE," ",(VLOOKUP(B328,'Base de Datos'!$C$7:$N$315,8,0)))</f>
        <v xml:space="preserve"> </v>
      </c>
      <c r="Q328" s="565"/>
      <c r="R328" s="717" t="str">
        <f>IF(ISERROR(VLOOKUP(B328,'Base de Datos'!$C$7:$N$315,9,0))=TRUE," ",(VLOOKUP(B328,'Base de Datos'!$C$7:$N$315,9,0)))</f>
        <v xml:space="preserve"> </v>
      </c>
      <c r="S328" s="717" t="str">
        <f>IF(ISERROR(VLOOKUP(B328,'Base de Datos'!$C$7:$N$315,10,0))=TRUE," ",(VLOOKUP(B328,'Base de Datos'!$C$7:$N$315,10,0)))</f>
        <v xml:space="preserve"> </v>
      </c>
      <c r="T328" s="565"/>
      <c r="U328" s="508"/>
    </row>
    <row r="329" spans="2:21" ht="22.8" hidden="1" x14ac:dyDescent="0.3">
      <c r="B329" s="510" t="s">
        <v>2127</v>
      </c>
      <c r="C329" s="510" t="s">
        <v>912</v>
      </c>
      <c r="D329" s="510" t="s">
        <v>1821</v>
      </c>
      <c r="E329" s="518" t="s">
        <v>1844</v>
      </c>
      <c r="F329" s="507" t="s">
        <v>2129</v>
      </c>
      <c r="G329" s="507"/>
      <c r="H329" s="507"/>
      <c r="I329" s="507"/>
      <c r="J329" s="510" t="s">
        <v>2130</v>
      </c>
      <c r="K329" s="625"/>
      <c r="L329" s="510" t="s">
        <v>1939</v>
      </c>
      <c r="M329" s="510"/>
      <c r="N329" s="510" t="s">
        <v>2136</v>
      </c>
      <c r="O329" s="650" t="s">
        <v>2133</v>
      </c>
      <c r="P329" s="541" t="s">
        <v>1817</v>
      </c>
      <c r="Q329" s="510" t="s">
        <v>1847</v>
      </c>
      <c r="R329" s="718" t="s">
        <v>1848</v>
      </c>
      <c r="S329" s="718" t="s">
        <v>375</v>
      </c>
      <c r="T329" s="510" t="s">
        <v>1849</v>
      </c>
      <c r="U329" s="508"/>
    </row>
    <row r="330" spans="2:21" hidden="1" x14ac:dyDescent="0.3">
      <c r="B330" s="506"/>
      <c r="C330" s="506" t="s">
        <v>302</v>
      </c>
      <c r="D330" s="506" t="str">
        <f>VLOOKUP(C330,'Base de Datos'!$E$7:$AU$390,2,0)</f>
        <v>DIVIEXPORT EU</v>
      </c>
      <c r="E330" s="509">
        <f>VLOOKUP(C330,'Base de Datos'!$E$7:$AU$390,5,0)</f>
        <v>4672000</v>
      </c>
      <c r="F330" s="509" t="str">
        <f>VLOOKUP(C330,'Base de Datos'!$E$7:$AU$390,17,0)</f>
        <v/>
      </c>
      <c r="G330" s="506"/>
      <c r="H330" s="506"/>
      <c r="I330" s="506"/>
      <c r="J330" s="509" t="str">
        <f>VLOOKUP(C330,'Base de Datos'!$E$7:$AU$390,18,0)</f>
        <v/>
      </c>
      <c r="K330" s="573"/>
      <c r="L330" s="714">
        <f>VLOOKUP(C330,'Base de Datos'!$E$7:$AU$390,19,0)</f>
        <v>42050</v>
      </c>
      <c r="M330" s="506"/>
      <c r="N330" s="509" t="str">
        <f>IF(OR(O330=Hoja1!$D$17,'Presupuesto - PAA 2017'!O330=Hoja1!$D$18),'Presupuesto - PAA 2017'!L330," ")</f>
        <v xml:space="preserve"> </v>
      </c>
      <c r="O330" s="723" t="s">
        <v>2132</v>
      </c>
      <c r="P330" s="709" t="s">
        <v>2135</v>
      </c>
      <c r="Q330" s="506"/>
      <c r="R330" s="715">
        <f>VLOOKUP(C330,'Base de Datos'!$E$7:$AU$390,9,0)</f>
        <v>41835</v>
      </c>
      <c r="S330" s="715" t="str">
        <f>VLOOKUP(C330,'Base de Datos'!$E$7:$AU$390,16,0)</f>
        <v/>
      </c>
      <c r="T330" s="651">
        <f>VLOOKUP(C330,'Base de Datos'!$E$7:$AU$390,40,0)</f>
        <v>0</v>
      </c>
      <c r="U330" s="508"/>
    </row>
    <row r="331" spans="2:21" ht="22.8" hidden="1" x14ac:dyDescent="0.3">
      <c r="B331" s="506"/>
      <c r="C331" s="506" t="s">
        <v>271</v>
      </c>
      <c r="D331" s="506" t="str">
        <f>VLOOKUP(C331,'Base de Datos'!$E$7:$AU$390,2,0)</f>
        <v>MODULARES OFIMA LTDA</v>
      </c>
      <c r="E331" s="509">
        <f>VLOOKUP(C331,'Base de Datos'!$E$7:$AU$390,5,0)</f>
        <v>28000000</v>
      </c>
      <c r="F331" s="509" t="str">
        <f>VLOOKUP(C331,'Base de Datos'!$E$7:$AU$390,17,0)</f>
        <v/>
      </c>
      <c r="G331" s="506"/>
      <c r="H331" s="506"/>
      <c r="I331" s="506"/>
      <c r="J331" s="509" t="str">
        <f>VLOOKUP(C331,'Base de Datos'!$E$7:$AU$390,18,0)</f>
        <v/>
      </c>
      <c r="K331" s="573"/>
      <c r="L331" s="714">
        <f>VLOOKUP(C331,'Base de Datos'!$E$7:$AU$390,19,0)</f>
        <v>41951</v>
      </c>
      <c r="M331" s="506"/>
      <c r="N331" s="509" t="str">
        <f>IF(OR(O331=Hoja1!$D$17,'Presupuesto - PAA 2017'!O331=Hoja1!$D$18),'Presupuesto - PAA 2017'!L331," ")</f>
        <v xml:space="preserve"> </v>
      </c>
      <c r="O331" s="723" t="str">
        <f>VLOOKUP(C331,'Base de Datos'!$E$7:$AU$390,33,0)</f>
        <v>Dirección Administrativa</v>
      </c>
      <c r="P331" s="709" t="s">
        <v>2135</v>
      </c>
      <c r="Q331" s="506"/>
      <c r="R331" s="715">
        <f>VLOOKUP(C331,'Base de Datos'!$E$7:$AU$390,9,0)</f>
        <v>41738</v>
      </c>
      <c r="S331" s="715" t="str">
        <f>VLOOKUP(C331,'Base de Datos'!$E$7:$AU$390,16,0)</f>
        <v/>
      </c>
      <c r="T331" s="651">
        <f>VLOOKUP(C331,'Base de Datos'!$E$7:$AU$390,40,0)</f>
        <v>0</v>
      </c>
      <c r="U331" s="508"/>
    </row>
    <row r="332" spans="2:21" ht="22.8" hidden="1" x14ac:dyDescent="0.3">
      <c r="B332" s="506"/>
      <c r="C332" s="506" t="s">
        <v>279</v>
      </c>
      <c r="D332" s="506" t="str">
        <f>VLOOKUP(C332,'Base de Datos'!$E$7:$AU$390,2,0)</f>
        <v>HERNANDO  BULLA ORJUELA</v>
      </c>
      <c r="E332" s="509">
        <f>VLOOKUP(C332,'Base de Datos'!$E$7:$AU$390,5,0)</f>
        <v>20872000</v>
      </c>
      <c r="F332" s="509" t="str">
        <f>VLOOKUP(C332,'Base de Datos'!$E$7:$AU$390,17,0)</f>
        <v/>
      </c>
      <c r="G332" s="506"/>
      <c r="H332" s="506"/>
      <c r="I332" s="506"/>
      <c r="J332" s="509" t="str">
        <f>VLOOKUP(C332,'Base de Datos'!$E$7:$AU$390,18,0)</f>
        <v/>
      </c>
      <c r="K332" s="573"/>
      <c r="L332" s="714">
        <f>VLOOKUP(C332,'Base de Datos'!$E$7:$AU$390,19,0)</f>
        <v>42091</v>
      </c>
      <c r="M332" s="506"/>
      <c r="N332" s="509" t="str">
        <f>IF(OR(O332=Hoja1!$D$17,'Presupuesto - PAA 2017'!O332=Hoja1!$D$18),'Presupuesto - PAA 2017'!L332," ")</f>
        <v xml:space="preserve"> </v>
      </c>
      <c r="O332" s="723" t="str">
        <f>VLOOKUP(C332,'Base de Datos'!$E$7:$AU$390,33,0)</f>
        <v>Dirección Administrativa</v>
      </c>
      <c r="P332" s="709" t="s">
        <v>2135</v>
      </c>
      <c r="Q332" s="506"/>
      <c r="R332" s="715">
        <f>VLOOKUP(C332,'Base de Datos'!$E$7:$AU$390,9,0)</f>
        <v>41757</v>
      </c>
      <c r="S332" s="715">
        <f>VLOOKUP(C332,'Base de Datos'!$E$7:$AU$390,16,0)</f>
        <v>42091</v>
      </c>
      <c r="T332" s="651">
        <f>VLOOKUP(C332,'Base de Datos'!$E$7:$AU$390,40,0)</f>
        <v>0</v>
      </c>
      <c r="U332" s="508"/>
    </row>
    <row r="333" spans="2:21" ht="22.8" hidden="1" x14ac:dyDescent="0.3">
      <c r="B333" s="506"/>
      <c r="C333" s="506" t="s">
        <v>268</v>
      </c>
      <c r="D333" s="506" t="str">
        <f>VLOOKUP(C333,'Base de Datos'!$E$7:$AU$390,2,0)</f>
        <v>MITSUBISHIS ELECTRIC DE COLOMBIA LTDA</v>
      </c>
      <c r="E333" s="509">
        <f>VLOOKUP(C333,'Base de Datos'!$E$7:$AU$390,5,0)</f>
        <v>16555000</v>
      </c>
      <c r="F333" s="509" t="str">
        <f>VLOOKUP(C333,'Base de Datos'!$E$7:$AU$390,17,0)</f>
        <v/>
      </c>
      <c r="G333" s="506"/>
      <c r="H333" s="506"/>
      <c r="I333" s="506"/>
      <c r="J333" s="509" t="str">
        <f>VLOOKUP(C333,'Base de Datos'!$E$7:$AU$390,18,0)</f>
        <v/>
      </c>
      <c r="K333" s="573"/>
      <c r="L333" s="714">
        <f>VLOOKUP(C333,'Base de Datos'!$E$7:$AU$390,19,0)</f>
        <v>42096</v>
      </c>
      <c r="M333" s="506"/>
      <c r="N333" s="509" t="str">
        <f>IF(OR(O333=Hoja1!$D$17,'Presupuesto - PAA 2017'!O333=Hoja1!$D$18),'Presupuesto - PAA 2017'!L333," ")</f>
        <v xml:space="preserve"> </v>
      </c>
      <c r="O333" s="651" t="str">
        <f>VLOOKUP(C333,'Base de Datos'!$E$7:$AU$390,33,0)</f>
        <v>Dirección Administrativa</v>
      </c>
      <c r="P333" s="709"/>
      <c r="Q333" s="506"/>
      <c r="R333" s="715">
        <f>VLOOKUP(C333,'Base de Datos'!$E$7:$AU$390,9,0)</f>
        <v>41732</v>
      </c>
      <c r="S333" s="715" t="str">
        <f>VLOOKUP(C333,'Base de Datos'!$E$7:$AU$390,16,0)</f>
        <v/>
      </c>
      <c r="T333" s="651">
        <f>VLOOKUP(C333,'Base de Datos'!$E$7:$AU$390,40,0)</f>
        <v>0</v>
      </c>
      <c r="U333" s="508"/>
    </row>
    <row r="334" spans="2:21" ht="22.8" hidden="1" x14ac:dyDescent="0.3">
      <c r="B334" s="506"/>
      <c r="C334" s="506" t="s">
        <v>1490</v>
      </c>
      <c r="D334" s="506" t="str">
        <f>VLOOKUP(C334,'Base de Datos'!$E$7:$AU$390,2,0)</f>
        <v>VIGILANCIA ACOSTA LIMITADA</v>
      </c>
      <c r="E334" s="509">
        <f>VLOOKUP(C334,'Base de Datos'!$E$7:$AU$390,5,0)</f>
        <v>300000000</v>
      </c>
      <c r="F334" s="509" t="str">
        <f>VLOOKUP(C334,'Base de Datos'!$E$7:$AU$390,17,0)</f>
        <v/>
      </c>
      <c r="G334" s="506"/>
      <c r="H334" s="506"/>
      <c r="I334" s="506"/>
      <c r="J334" s="509" t="str">
        <f>VLOOKUP(C334,'Base de Datos'!$E$7:$AU$390,18,0)</f>
        <v/>
      </c>
      <c r="K334" s="573"/>
      <c r="L334" s="714">
        <f>VLOOKUP(C334,'Base de Datos'!$E$7:$AU$390,19,0)</f>
        <v>42140</v>
      </c>
      <c r="M334" s="506"/>
      <c r="N334" s="509" t="str">
        <f>IF(OR(O334=Hoja1!$D$17,'Presupuesto - PAA 2017'!O334=Hoja1!$D$18),'Presupuesto - PAA 2017'!L334," ")</f>
        <v xml:space="preserve"> </v>
      </c>
      <c r="O334" s="651" t="str">
        <f>VLOOKUP(C334,'Base de Datos'!$E$7:$AU$390,33,0)</f>
        <v>Dirección Administrativa</v>
      </c>
      <c r="P334" s="709"/>
      <c r="Q334" s="506"/>
      <c r="R334" s="715">
        <f>VLOOKUP(C334,'Base de Datos'!$E$7:$AU$390,9,0)</f>
        <v>41989</v>
      </c>
      <c r="S334" s="715" t="str">
        <f>VLOOKUP(C334,'Base de Datos'!$E$7:$AU$390,16,0)</f>
        <v/>
      </c>
      <c r="T334" s="651">
        <f>VLOOKUP(C334,'Base de Datos'!$E$7:$AU$390,40,0)</f>
        <v>0</v>
      </c>
      <c r="U334" s="508"/>
    </row>
    <row r="335" spans="2:21" ht="22.8" hidden="1" x14ac:dyDescent="0.3">
      <c r="B335" s="506"/>
      <c r="C335" s="506" t="s">
        <v>292</v>
      </c>
      <c r="D335" s="506" t="str">
        <f>VLOOKUP(C335,'Base de Datos'!$E$7:$AU$390,2,0)</f>
        <v>ELKIN MAURICIO DIMAS MONTAYA</v>
      </c>
      <c r="E335" s="509">
        <f>VLOOKUP(C335,'Base de Datos'!$E$7:$AU$390,5,0)</f>
        <v>16390000</v>
      </c>
      <c r="F335" s="509" t="str">
        <f>VLOOKUP(C335,'Base de Datos'!$E$7:$AU$390,17,0)</f>
        <v/>
      </c>
      <c r="G335" s="506"/>
      <c r="H335" s="506"/>
      <c r="I335" s="506"/>
      <c r="J335" s="509" t="str">
        <f>VLOOKUP(C335,'Base de Datos'!$E$7:$AU$390,18,0)</f>
        <v/>
      </c>
      <c r="K335" s="573"/>
      <c r="L335" s="714">
        <f>VLOOKUP(C335,'Base de Datos'!$E$7:$AU$390,19,0)</f>
        <v>42247</v>
      </c>
      <c r="M335" s="506"/>
      <c r="N335" s="509" t="str">
        <f>IF(OR(O335=Hoja1!$D$17,'Presupuesto - PAA 2017'!O335=Hoja1!$D$18),'Presupuesto - PAA 2017'!L335," ")</f>
        <v xml:space="preserve"> </v>
      </c>
      <c r="O335" s="651" t="str">
        <f>VLOOKUP(C335,'Base de Datos'!$E$7:$AU$390,33,0)</f>
        <v>Dirección Administrativa</v>
      </c>
      <c r="P335" s="709"/>
      <c r="Q335" s="506"/>
      <c r="R335" s="715">
        <f>VLOOKUP(C335,'Base de Datos'!$E$7:$AU$390,9,0)</f>
        <v>41799</v>
      </c>
      <c r="S335" s="715">
        <f>VLOOKUP(C335,'Base de Datos'!$E$7:$AU$390,16,0)</f>
        <v>42247</v>
      </c>
      <c r="T335" s="651">
        <f>VLOOKUP(C335,'Base de Datos'!$E$7:$AU$390,40,0)</f>
        <v>0</v>
      </c>
      <c r="U335" s="508"/>
    </row>
    <row r="336" spans="2:21" ht="22.8" hidden="1" x14ac:dyDescent="0.3">
      <c r="B336" s="506"/>
      <c r="C336" s="506" t="s">
        <v>401</v>
      </c>
      <c r="D336" s="506" t="str">
        <f>VLOOKUP(C336,'Base de Datos'!$E$7:$AU$390,2,0)</f>
        <v>H &amp; D OFIMAGEN</v>
      </c>
      <c r="E336" s="509">
        <f>VLOOKUP(C336,'Base de Datos'!$E$7:$AU$390,5,0)</f>
        <v>249991314</v>
      </c>
      <c r="F336" s="509" t="str">
        <f>VLOOKUP(C336,'Base de Datos'!$E$7:$AU$390,17,0)</f>
        <v/>
      </c>
      <c r="G336" s="506"/>
      <c r="H336" s="506"/>
      <c r="I336" s="506"/>
      <c r="J336" s="509" t="str">
        <f>VLOOKUP(C336,'Base de Datos'!$E$7:$AU$390,18,0)</f>
        <v/>
      </c>
      <c r="K336" s="573"/>
      <c r="L336" s="714">
        <f>VLOOKUP(C336,'Base de Datos'!$E$7:$AU$390,19,0)</f>
        <v>42216</v>
      </c>
      <c r="M336" s="506"/>
      <c r="N336" s="509" t="str">
        <f>IF(OR(O336=Hoja1!$D$17,'Presupuesto - PAA 2017'!O336=Hoja1!$D$18),'Presupuesto - PAA 2017'!L336," ")</f>
        <v xml:space="preserve"> </v>
      </c>
      <c r="O336" s="651" t="str">
        <f>VLOOKUP(C336,'Base de Datos'!$E$7:$AU$390,33,0)</f>
        <v>Dirección Administrativa</v>
      </c>
      <c r="P336" s="709"/>
      <c r="Q336" s="506"/>
      <c r="R336" s="715">
        <f>VLOOKUP(C336,'Base de Datos'!$E$7:$AU$390,9,0)</f>
        <v>41837</v>
      </c>
      <c r="S336" s="715">
        <f>VLOOKUP(C336,'Base de Datos'!$E$7:$AU$390,16,0)</f>
        <v>42216</v>
      </c>
      <c r="T336" s="651">
        <f>VLOOKUP(C336,'Base de Datos'!$E$7:$AU$390,40,0)</f>
        <v>0</v>
      </c>
      <c r="U336" s="508"/>
    </row>
    <row r="337" spans="2:21" ht="22.8" hidden="1" x14ac:dyDescent="0.3">
      <c r="B337" s="506"/>
      <c r="C337" s="506" t="s">
        <v>146</v>
      </c>
      <c r="D337" s="506" t="str">
        <f>VLOOKUP(C337,'Base de Datos'!$E$7:$AU$390,2,0)</f>
        <v xml:space="preserve">UNIÓN TEMPORAL EMINSER-SOLOASEO </v>
      </c>
      <c r="E337" s="509">
        <f>VLOOKUP(C337,'Base de Datos'!$E$7:$AU$390,5,0)</f>
        <v>301200000</v>
      </c>
      <c r="F337" s="509" t="str">
        <f>VLOOKUP(C337,'Base de Datos'!$E$7:$AU$390,17,0)</f>
        <v/>
      </c>
      <c r="G337" s="506"/>
      <c r="H337" s="506"/>
      <c r="I337" s="506"/>
      <c r="J337" s="509" t="str">
        <f>VLOOKUP(C337,'Base de Datos'!$E$7:$AU$390,18,0)</f>
        <v/>
      </c>
      <c r="K337" s="573"/>
      <c r="L337" s="726">
        <v>1021877</v>
      </c>
      <c r="M337" s="506"/>
      <c r="N337" s="509" t="str">
        <f>IF(OR(O337=Hoja1!$D$17,'Presupuesto - PAA 2017'!O337=Hoja1!$D$18),'Presupuesto - PAA 2017'!L337," ")</f>
        <v xml:space="preserve"> </v>
      </c>
      <c r="O337" s="723" t="str">
        <f>VLOOKUP(C337,'Base de Datos'!$E$7:$AU$390,33,0)</f>
        <v>Dirección Administrativa</v>
      </c>
      <c r="P337" s="709" t="s">
        <v>2135</v>
      </c>
      <c r="Q337" s="506"/>
      <c r="R337" s="715">
        <f>VLOOKUP(C337,'Base de Datos'!$E$7:$AU$390,9,0)</f>
        <v>41446</v>
      </c>
      <c r="S337" s="715">
        <f>VLOOKUP(C337,'Base de Datos'!$E$7:$AU$390,16,0)</f>
        <v>41810</v>
      </c>
      <c r="T337" s="651">
        <f>VLOOKUP(C337,'Base de Datos'!$E$7:$AU$390,40,0)</f>
        <v>0</v>
      </c>
      <c r="U337" s="508"/>
    </row>
    <row r="338" spans="2:21" ht="18.75" hidden="1" customHeight="1" x14ac:dyDescent="0.3">
      <c r="B338" s="506"/>
      <c r="C338" s="506" t="s">
        <v>400</v>
      </c>
      <c r="D338" s="506" t="str">
        <f>VLOOKUP(C338,'Base de Datos'!$E$7:$AU$390,2,0)</f>
        <v>SODINLEC LTDA</v>
      </c>
      <c r="E338" s="509">
        <f>VLOOKUP(C338,'Base de Datos'!$E$7:$AU$390,5,0)</f>
        <v>10564000</v>
      </c>
      <c r="F338" s="509" t="str">
        <f>VLOOKUP(C338,'Base de Datos'!$E$7:$AU$390,17,0)</f>
        <v/>
      </c>
      <c r="G338" s="506"/>
      <c r="H338" s="506"/>
      <c r="I338" s="506"/>
      <c r="J338" s="509" t="str">
        <f>VLOOKUP(C338,'Base de Datos'!$E$7:$AU$390,18,0)</f>
        <v/>
      </c>
      <c r="K338" s="573"/>
      <c r="L338" s="714">
        <f>VLOOKUP(C338,'Base de Datos'!$E$7:$AU$390,19,0)</f>
        <v>42096</v>
      </c>
      <c r="M338" s="506"/>
      <c r="N338" s="509" t="str">
        <f>IF(OR(O338=Hoja1!$D$17,'Presupuesto - PAA 2017'!O338=Hoja1!$D$18),'Presupuesto - PAA 2017'!L338," ")</f>
        <v xml:space="preserve"> </v>
      </c>
      <c r="O338" s="651" t="str">
        <f>VLOOKUP(C338,'Base de Datos'!$E$7:$AU$390,33,0)</f>
        <v>Dirección Administrativa</v>
      </c>
      <c r="P338" s="709"/>
      <c r="Q338" s="506"/>
      <c r="R338" s="715">
        <f>VLOOKUP(C338,'Base de Datos'!$E$7:$AU$390,9,0)</f>
        <v>41793</v>
      </c>
      <c r="S338" s="715" t="str">
        <f>VLOOKUP(C338,'Base de Datos'!$E$7:$AU$390,16,0)</f>
        <v/>
      </c>
      <c r="T338" s="651">
        <f>VLOOKUP(C338,'Base de Datos'!$E$7:$AU$390,40,0)</f>
        <v>0</v>
      </c>
      <c r="U338" s="508"/>
    </row>
    <row r="339" spans="2:21" ht="22.8" hidden="1" x14ac:dyDescent="0.3">
      <c r="B339" s="506"/>
      <c r="C339" s="506" t="s">
        <v>213</v>
      </c>
      <c r="D339" s="506" t="str">
        <f>VLOOKUP(C339,'Base de Datos'!$E$7:$AU$390,2,0)</f>
        <v>UNIÓN TEMPORAL VIGILANCIA ACOSTA LTDA  - RUMBO ASOCIADOS</v>
      </c>
      <c r="E339" s="509">
        <f>VLOOKUP(C339,'Base de Datos'!$E$7:$AU$390,5,0)</f>
        <v>533636000</v>
      </c>
      <c r="F339" s="509" t="str">
        <f>VLOOKUP(C339,'Base de Datos'!$E$7:$AU$390,17,0)</f>
        <v/>
      </c>
      <c r="G339" s="506"/>
      <c r="H339" s="506"/>
      <c r="I339" s="506"/>
      <c r="J339" s="509" t="str">
        <f>VLOOKUP(C339,'Base de Datos'!$E$7:$AU$390,18,0)</f>
        <v/>
      </c>
      <c r="K339" s="573"/>
      <c r="L339" s="714">
        <f>VLOOKUP(C339,'Base de Datos'!$E$7:$AU$390,19,0)</f>
        <v>41975</v>
      </c>
      <c r="M339" s="506"/>
      <c r="N339" s="509" t="str">
        <f>IF(OR(O339=Hoja1!$D$17,'Presupuesto - PAA 2017'!O339=Hoja1!$D$18),'Presupuesto - PAA 2017'!L339," ")</f>
        <v xml:space="preserve"> </v>
      </c>
      <c r="O339" s="723" t="str">
        <f>VLOOKUP(C339,'Base de Datos'!$E$7:$AU$390,33,0)</f>
        <v>Dirección Administrativa</v>
      </c>
      <c r="P339" s="709" t="s">
        <v>2135</v>
      </c>
      <c r="Q339" s="506"/>
      <c r="R339" s="715"/>
      <c r="S339" s="715"/>
      <c r="T339" s="651">
        <f>VLOOKUP(C339,'Base de Datos'!$E$7:$AU$390,40,0)</f>
        <v>0</v>
      </c>
      <c r="U339" s="508"/>
    </row>
    <row r="340" spans="2:21" ht="22.8" hidden="1" x14ac:dyDescent="0.3">
      <c r="B340" s="506"/>
      <c r="C340" s="506" t="s">
        <v>287</v>
      </c>
      <c r="D340" s="506" t="str">
        <f>VLOOKUP(C340,'Base de Datos'!$E$7:$AU$390,2,0)</f>
        <v xml:space="preserve">UNIÓN TEMPORAL EMINSER-SOLOASEO </v>
      </c>
      <c r="E340" s="509">
        <f>VLOOKUP(C340,'Base de Datos'!$E$7:$AU$390,5,0)</f>
        <v>337487000</v>
      </c>
      <c r="F340" s="509" t="str">
        <f>VLOOKUP(C340,'Base de Datos'!$E$7:$AU$390,17,0)</f>
        <v/>
      </c>
      <c r="G340" s="506"/>
      <c r="H340" s="506"/>
      <c r="I340" s="506"/>
      <c r="J340" s="509" t="str">
        <f>VLOOKUP(C340,'Base de Datos'!$E$7:$AU$390,18,0)</f>
        <v/>
      </c>
      <c r="K340" s="573"/>
      <c r="L340" s="714">
        <v>16123070</v>
      </c>
      <c r="M340" s="506"/>
      <c r="N340" s="509" t="str">
        <f>IF(OR(O340=Hoja1!$D$17,'Presupuesto - PAA 2017'!O340=Hoja1!$D$18),'Presupuesto - PAA 2017'!L340," ")</f>
        <v xml:space="preserve"> </v>
      </c>
      <c r="O340" s="651" t="str">
        <f>VLOOKUP(C340,'Base de Datos'!$E$7:$AU$390,33,0)</f>
        <v>Dirección Administrativa</v>
      </c>
      <c r="P340" s="709"/>
      <c r="Q340" s="506"/>
      <c r="R340" s="715">
        <f>VLOOKUP(C340,'Base de Datos'!$E$7:$AU$390,9,0)</f>
        <v>41811</v>
      </c>
      <c r="S340" s="715">
        <f>VLOOKUP(C340,'Base de Datos'!$E$7:$AU$390,16,0)</f>
        <v>42186</v>
      </c>
      <c r="T340" s="651" t="str">
        <f>VLOOKUP(C340,'Base de Datos'!$E$7:$AU$390,40,0)</f>
        <v>MANUEL ROJAS</v>
      </c>
      <c r="U340" s="508"/>
    </row>
    <row r="341" spans="2:21" ht="22.8" hidden="1" x14ac:dyDescent="0.3">
      <c r="B341" s="506"/>
      <c r="C341" s="506" t="s">
        <v>266</v>
      </c>
      <c r="D341" s="506" t="str">
        <f>VLOOKUP(C341,'Base de Datos'!$E$7:$AU$390,2,0)</f>
        <v>SYSTEM NET INGENIERÍA LTDA</v>
      </c>
      <c r="E341" s="509">
        <f>VLOOKUP(C341,'Base de Datos'!$E$7:$AU$390,5,0)</f>
        <v>4982000</v>
      </c>
      <c r="F341" s="509" t="str">
        <f>VLOOKUP(C341,'Base de Datos'!$E$7:$AU$390,17,0)</f>
        <v/>
      </c>
      <c r="G341" s="506"/>
      <c r="H341" s="506"/>
      <c r="I341" s="506"/>
      <c r="J341" s="509" t="str">
        <f>VLOOKUP(C341,'Base de Datos'!$E$7:$AU$390,18,0)</f>
        <v/>
      </c>
      <c r="K341" s="573"/>
      <c r="L341" s="714">
        <f>VLOOKUP(C341,'Base de Datos'!$E$7:$AU$390,19,0)</f>
        <v>41969</v>
      </c>
      <c r="M341" s="506"/>
      <c r="N341" s="509" t="str">
        <f>IF(OR(O341=Hoja1!$D$17,'Presupuesto - PAA 2017'!O341=Hoja1!$D$18),'Presupuesto - PAA 2017'!L341," ")</f>
        <v xml:space="preserve"> </v>
      </c>
      <c r="O341" s="651" t="str">
        <f>VLOOKUP(C341,'Base de Datos'!$E$7:$AU$390,33,0)</f>
        <v>Dirección Administrativa</v>
      </c>
      <c r="P341" s="709"/>
      <c r="Q341" s="506"/>
      <c r="R341" s="715">
        <f>VLOOKUP(C341,'Base de Datos'!$E$7:$AU$390,9,0)</f>
        <v>41725</v>
      </c>
      <c r="S341" s="715" t="str">
        <f>VLOOKUP(C341,'Base de Datos'!$E$7:$AU$390,16,0)</f>
        <v/>
      </c>
      <c r="T341" s="651">
        <f>VLOOKUP(C341,'Base de Datos'!$E$7:$AU$390,40,0)</f>
        <v>0</v>
      </c>
      <c r="U341" s="508"/>
    </row>
    <row r="342" spans="2:21" ht="22.8" hidden="1" x14ac:dyDescent="0.3">
      <c r="B342" s="506"/>
      <c r="C342" s="506" t="s">
        <v>1105</v>
      </c>
      <c r="D342" s="506" t="str">
        <f>VLOOKUP(C342,'Base de Datos'!$E$7:$AU$390,2,0)</f>
        <v>MOTORES Y MAQUINAS MOTORYSA</v>
      </c>
      <c r="E342" s="509">
        <f>VLOOKUP(C342,'Base de Datos'!$E$7:$AU$390,5,0)</f>
        <v>30000000</v>
      </c>
      <c r="F342" s="509" t="str">
        <f>VLOOKUP(C342,'Base de Datos'!$E$7:$AU$390,17,0)</f>
        <v/>
      </c>
      <c r="G342" s="506"/>
      <c r="H342" s="506"/>
      <c r="I342" s="506"/>
      <c r="J342" s="509" t="str">
        <f>VLOOKUP(C342,'Base de Datos'!$E$7:$AU$390,18,0)</f>
        <v/>
      </c>
      <c r="K342" s="573"/>
      <c r="L342" s="714">
        <f>VLOOKUP(C342,'Base de Datos'!$E$7:$AU$390,19,0)</f>
        <v>42129</v>
      </c>
      <c r="M342" s="506"/>
      <c r="N342" s="509" t="str">
        <f>IF(OR(O342=Hoja1!$D$17,'Presupuesto - PAA 2017'!O342=Hoja1!$D$18),'Presupuesto - PAA 2017'!L342," ")</f>
        <v xml:space="preserve"> </v>
      </c>
      <c r="O342" s="651" t="str">
        <f>VLOOKUP(C342,'Base de Datos'!$E$7:$AU$390,33,0)</f>
        <v>Dirección Administrativa</v>
      </c>
      <c r="P342" s="709"/>
      <c r="Q342" s="506"/>
      <c r="R342" s="715">
        <f>VLOOKUP(C342,'Base de Datos'!$E$7:$AU$390,9,0)</f>
        <v>41703</v>
      </c>
      <c r="S342" s="715">
        <f>VLOOKUP(C342,'Base de Datos'!$E$7:$AU$390,16,0)</f>
        <v>42129</v>
      </c>
      <c r="T342" s="651">
        <f>VLOOKUP(C342,'Base de Datos'!$E$7:$AU$390,40,0)</f>
        <v>0</v>
      </c>
      <c r="U342" s="508"/>
    </row>
    <row r="343" spans="2:21" ht="22.8" hidden="1" x14ac:dyDescent="0.3">
      <c r="B343" s="506"/>
      <c r="C343" s="506" t="s">
        <v>187</v>
      </c>
      <c r="D343" s="506" t="str">
        <f>VLOOKUP(C343,'Base de Datos'!$E$7:$AU$390,2,0)</f>
        <v>INVERSIONES LIGOL - INVERLIGOL LTD A</v>
      </c>
      <c r="E343" s="509">
        <f>VLOOKUP(C343,'Base de Datos'!$E$7:$AU$390,5,0)</f>
        <v>16804000</v>
      </c>
      <c r="F343" s="509" t="str">
        <f>VLOOKUP(C343,'Base de Datos'!$E$7:$AU$390,17,0)</f>
        <v/>
      </c>
      <c r="G343" s="506"/>
      <c r="H343" s="506"/>
      <c r="I343" s="506"/>
      <c r="J343" s="509" t="str">
        <f>VLOOKUP(C343,'Base de Datos'!$E$7:$AU$390,18,0)</f>
        <v/>
      </c>
      <c r="K343" s="573"/>
      <c r="L343" s="714">
        <f>VLOOKUP(C343,'Base de Datos'!$E$7:$AU$390,19,0)</f>
        <v>42099</v>
      </c>
      <c r="M343" s="506"/>
      <c r="N343" s="509" t="str">
        <f>IF(OR(O343=Hoja1!$D$17,'Presupuesto - PAA 2017'!O343=Hoja1!$D$18),'Presupuesto - PAA 2017'!L343," ")</f>
        <v xml:space="preserve"> </v>
      </c>
      <c r="O343" s="651" t="str">
        <f>VLOOKUP(C343,'Base de Datos'!$E$7:$AU$390,33,0)</f>
        <v>Dirección Administrativa</v>
      </c>
      <c r="P343" s="709"/>
      <c r="Q343" s="506"/>
      <c r="R343" s="715">
        <f>VLOOKUP(C343,'Base de Datos'!$E$7:$AU$390,9,0)</f>
        <v>41523</v>
      </c>
      <c r="S343" s="715">
        <f>VLOOKUP(C343,'Base de Datos'!$E$7:$AU$390,16,0)</f>
        <v>42099</v>
      </c>
      <c r="T343" s="651">
        <f>VLOOKUP(C343,'Base de Datos'!$E$7:$AU$390,40,0)</f>
        <v>0</v>
      </c>
      <c r="U343" s="508"/>
    </row>
    <row r="344" spans="2:21" ht="22.8" hidden="1" x14ac:dyDescent="0.3">
      <c r="B344" s="506"/>
      <c r="C344" s="506" t="s">
        <v>1100</v>
      </c>
      <c r="D344" s="506" t="str">
        <f>VLOOKUP(C344,'Base de Datos'!$E$7:$AU$390,2,0)</f>
        <v>INGENIERÍA DE BOMBAS Y PLANTAS LIMITADA</v>
      </c>
      <c r="E344" s="509">
        <f>VLOOKUP(C344,'Base de Datos'!$E$7:$AU$390,5,0)</f>
        <v>6252000</v>
      </c>
      <c r="F344" s="509" t="str">
        <f>VLOOKUP(C344,'Base de Datos'!$E$7:$AU$390,17,0)</f>
        <v/>
      </c>
      <c r="G344" s="506"/>
      <c r="H344" s="506"/>
      <c r="I344" s="506"/>
      <c r="J344" s="509" t="str">
        <f>VLOOKUP(C344,'Base de Datos'!$E$7:$AU$390,18,0)</f>
        <v/>
      </c>
      <c r="K344" s="573"/>
      <c r="L344" s="714">
        <f>VLOOKUP(C344,'Base de Datos'!$E$7:$AU$390,19,0)</f>
        <v>42207</v>
      </c>
      <c r="M344" s="506"/>
      <c r="N344" s="509" t="str">
        <f>IF(OR(O344=Hoja1!$D$17,'Presupuesto - PAA 2017'!O344=Hoja1!$D$18),'Presupuesto - PAA 2017'!L344," ")</f>
        <v xml:space="preserve"> </v>
      </c>
      <c r="O344" s="651" t="str">
        <f>VLOOKUP(C344,'Base de Datos'!$E$7:$AU$390,33,0)</f>
        <v>Dirección Administrativa</v>
      </c>
      <c r="P344" s="709"/>
      <c r="Q344" s="506"/>
      <c r="R344" s="715">
        <f>VLOOKUP(C344,'Base de Datos'!$E$7:$AU$390,9,0)</f>
        <v>41842</v>
      </c>
      <c r="S344" s="715" t="str">
        <f>VLOOKUP(C344,'Base de Datos'!$E$7:$AU$390,16,0)</f>
        <v/>
      </c>
      <c r="T344" s="651">
        <f>VLOOKUP(C344,'Base de Datos'!$E$7:$AU$390,40,0)</f>
        <v>0</v>
      </c>
      <c r="U344" s="508"/>
    </row>
    <row r="345" spans="2:21" ht="22.8" hidden="1" x14ac:dyDescent="0.3">
      <c r="B345" s="506"/>
      <c r="C345" s="506" t="s">
        <v>273</v>
      </c>
      <c r="D345" s="506" t="str">
        <f>VLOOKUP(C345,'Base de Datos'!$E$7:$AU$390,2,0)</f>
        <v>AGR SOLUCIONES S.A.S.</v>
      </c>
      <c r="E345" s="509">
        <f>VLOOKUP(C345,'Base de Datos'!$E$7:$AU$390,5,0)</f>
        <v>11000000</v>
      </c>
      <c r="F345" s="509" t="str">
        <f>VLOOKUP(C345,'Base de Datos'!$E$7:$AU$390,17,0)</f>
        <v/>
      </c>
      <c r="G345" s="506"/>
      <c r="H345" s="506"/>
      <c r="I345" s="506"/>
      <c r="J345" s="509" t="str">
        <f>VLOOKUP(C345,'Base de Datos'!$E$7:$AU$390,18,0)</f>
        <v/>
      </c>
      <c r="K345" s="573"/>
      <c r="L345" s="714">
        <f>VLOOKUP(C345,'Base de Datos'!$E$7:$AU$390,19,0)</f>
        <v>42012</v>
      </c>
      <c r="M345" s="506"/>
      <c r="N345" s="509" t="str">
        <f>IF(OR(O345=Hoja1!$D$17,'Presupuesto - PAA 2017'!O345=Hoja1!$D$18),'Presupuesto - PAA 2017'!L345," ")</f>
        <v xml:space="preserve"> </v>
      </c>
      <c r="O345" s="651" t="str">
        <f>VLOOKUP(C345,'Base de Datos'!$E$7:$AU$390,33,0)</f>
        <v>Dirección Administrativa</v>
      </c>
      <c r="P345" s="709"/>
      <c r="Q345" s="506"/>
      <c r="R345" s="715">
        <f>VLOOKUP(C345,'Base de Datos'!$E$7:$AU$390,9,0)</f>
        <v>41738</v>
      </c>
      <c r="S345" s="715" t="str">
        <f>VLOOKUP(C345,'Base de Datos'!$E$7:$AU$390,16,0)</f>
        <v/>
      </c>
      <c r="T345" s="651">
        <f>VLOOKUP(C345,'Base de Datos'!$E$7:$AU$390,40,0)</f>
        <v>0</v>
      </c>
      <c r="U345" s="508"/>
    </row>
    <row r="346" spans="2:21" hidden="1" x14ac:dyDescent="0.3">
      <c r="B346" s="506"/>
      <c r="C346" s="506"/>
      <c r="D346" s="506"/>
      <c r="E346" s="506"/>
      <c r="F346" s="506"/>
      <c r="G346" s="506"/>
      <c r="H346" s="506"/>
      <c r="I346" s="506"/>
      <c r="J346" s="506"/>
      <c r="K346" s="573"/>
      <c r="L346" s="506"/>
      <c r="M346" s="506"/>
      <c r="N346" s="506"/>
      <c r="O346" s="664"/>
      <c r="P346" s="709"/>
      <c r="Q346" s="506"/>
      <c r="R346" s="716"/>
      <c r="S346" s="716"/>
      <c r="T346" s="506"/>
      <c r="U346" s="508"/>
    </row>
    <row r="347" spans="2:21" ht="12" hidden="1" x14ac:dyDescent="0.3">
      <c r="B347" s="1240" t="s">
        <v>1655</v>
      </c>
      <c r="C347" s="1240"/>
      <c r="D347" s="1240"/>
      <c r="E347" s="512">
        <f>+E348</f>
        <v>3846133</v>
      </c>
      <c r="F347" s="512">
        <f>+F348</f>
        <v>0</v>
      </c>
      <c r="G347" s="513"/>
      <c r="H347" s="513"/>
      <c r="I347" s="513"/>
      <c r="J347" s="512">
        <f>+J348</f>
        <v>674854</v>
      </c>
      <c r="K347" s="583" t="e">
        <f>+J347/F347</f>
        <v>#DIV/0!</v>
      </c>
      <c r="L347" s="512">
        <f>+L348</f>
        <v>1678818</v>
      </c>
      <c r="M347" s="516"/>
      <c r="N347" s="512">
        <f>+N348</f>
        <v>0</v>
      </c>
      <c r="O347" s="662"/>
      <c r="P347" s="548" t="str">
        <f>IF(ISERROR(VLOOKUP(B347,'Base de Datos'!$C$7:$N$315,8,0))=TRUE," ",(VLOOKUP(B347,'Base de Datos'!$C$7:$N$315,8,0)))</f>
        <v xml:space="preserve"> </v>
      </c>
      <c r="Q347" s="542"/>
      <c r="R347" s="719" t="str">
        <f>IF(ISERROR(VLOOKUP(B347,'Base de Datos'!$C$7:$N$315,9,0))=TRUE," ",(VLOOKUP(B347,'Base de Datos'!$C$7:$N$315,9,0)))</f>
        <v xml:space="preserve"> </v>
      </c>
      <c r="S347" s="719" t="str">
        <f>IF(ISERROR(VLOOKUP(B347,'Base de Datos'!$C$7:$N$315,10,0))=TRUE," ",(VLOOKUP(B347,'Base de Datos'!$C$7:$N$315,10,0)))</f>
        <v xml:space="preserve"> </v>
      </c>
      <c r="T347" s="542"/>
      <c r="U347" s="508"/>
    </row>
    <row r="348" spans="2:21" hidden="1" x14ac:dyDescent="0.3">
      <c r="B348" s="1239" t="s">
        <v>1656</v>
      </c>
      <c r="C348" s="1239"/>
      <c r="D348" s="1239"/>
      <c r="E348" s="554">
        <f>SUM(E350:E351)</f>
        <v>3846133</v>
      </c>
      <c r="F348" s="554">
        <f>SUM(F350:F351)</f>
        <v>0</v>
      </c>
      <c r="G348" s="559"/>
      <c r="H348" s="559"/>
      <c r="I348" s="559"/>
      <c r="J348" s="554">
        <f>SUM(J350:J351)</f>
        <v>674854</v>
      </c>
      <c r="K348" s="576" t="e">
        <f>+J348/F348</f>
        <v>#DIV/0!</v>
      </c>
      <c r="L348" s="554">
        <f>SUM(L350:L351)</f>
        <v>1678818</v>
      </c>
      <c r="M348" s="554"/>
      <c r="N348" s="554">
        <f>SUM(N350:N351)</f>
        <v>0</v>
      </c>
      <c r="O348" s="657"/>
      <c r="P348" s="564" t="str">
        <f>IF(ISERROR(VLOOKUP(B348,'Base de Datos'!$C$7:$N$315,8,0))=TRUE," ",(VLOOKUP(B348,'Base de Datos'!$C$7:$N$315,8,0)))</f>
        <v xml:space="preserve"> </v>
      </c>
      <c r="Q348" s="565"/>
      <c r="R348" s="717" t="str">
        <f>IF(ISERROR(VLOOKUP(B348,'Base de Datos'!$C$7:$N$315,9,0))=TRUE," ",(VLOOKUP(B348,'Base de Datos'!$C$7:$N$315,9,0)))</f>
        <v xml:space="preserve"> </v>
      </c>
      <c r="S348" s="717" t="str">
        <f>IF(ISERROR(VLOOKUP(B348,'Base de Datos'!$C$7:$N$315,10,0))=TRUE," ",(VLOOKUP(B348,'Base de Datos'!$C$7:$N$315,10,0)))</f>
        <v xml:space="preserve"> </v>
      </c>
      <c r="T348" s="565"/>
      <c r="U348" s="508"/>
    </row>
    <row r="349" spans="2:21" ht="22.8" hidden="1" x14ac:dyDescent="0.3">
      <c r="B349" s="510" t="s">
        <v>2127</v>
      </c>
      <c r="C349" s="510" t="s">
        <v>912</v>
      </c>
      <c r="D349" s="510" t="s">
        <v>1821</v>
      </c>
      <c r="E349" s="518" t="s">
        <v>1844</v>
      </c>
      <c r="F349" s="507" t="s">
        <v>2129</v>
      </c>
      <c r="G349" s="507"/>
      <c r="H349" s="507"/>
      <c r="I349" s="507"/>
      <c r="J349" s="510" t="s">
        <v>2130</v>
      </c>
      <c r="K349" s="625"/>
      <c r="L349" s="510" t="s">
        <v>1939</v>
      </c>
      <c r="M349" s="510"/>
      <c r="N349" s="510" t="s">
        <v>2136</v>
      </c>
      <c r="O349" s="650" t="s">
        <v>2133</v>
      </c>
      <c r="P349" s="541" t="s">
        <v>1817</v>
      </c>
      <c r="Q349" s="510" t="s">
        <v>1847</v>
      </c>
      <c r="R349" s="718" t="s">
        <v>1848</v>
      </c>
      <c r="S349" s="718" t="s">
        <v>375</v>
      </c>
      <c r="T349" s="510" t="s">
        <v>1849</v>
      </c>
      <c r="U349" s="508"/>
    </row>
    <row r="350" spans="2:21" ht="34.200000000000003" hidden="1" x14ac:dyDescent="0.3">
      <c r="B350" s="506"/>
      <c r="C350" s="506" t="s">
        <v>878</v>
      </c>
      <c r="D350" s="506" t="s">
        <v>2137</v>
      </c>
      <c r="E350" s="509"/>
      <c r="F350" s="509"/>
      <c r="G350" s="506"/>
      <c r="H350" s="506"/>
      <c r="I350" s="506"/>
      <c r="J350" s="509">
        <v>674854</v>
      </c>
      <c r="K350" s="573"/>
      <c r="L350" s="714">
        <v>1636616</v>
      </c>
      <c r="M350" s="506"/>
      <c r="N350" s="509"/>
      <c r="O350" s="651"/>
      <c r="P350" s="709"/>
      <c r="Q350" s="506"/>
      <c r="R350" s="715" t="e">
        <f>VLOOKUP(C350,'Base de Datos'!$E$7:$AU$390,9,0)</f>
        <v>#N/A</v>
      </c>
      <c r="S350" s="715" t="e">
        <f>VLOOKUP(C350,'Base de Datos'!$E$7:$AU$390,16,0)</f>
        <v>#N/A</v>
      </c>
      <c r="T350" s="651"/>
      <c r="U350" s="508"/>
    </row>
    <row r="351" spans="2:21" hidden="1" x14ac:dyDescent="0.3">
      <c r="B351" s="506"/>
      <c r="C351" s="506" t="s">
        <v>919</v>
      </c>
      <c r="D351" s="506" t="str">
        <f>VLOOKUP(C351,'Base de Datos'!$E$7:$AU$390,2,0)</f>
        <v>SEGUROS GENERALES SURAMERICANA</v>
      </c>
      <c r="E351" s="509">
        <f>VLOOKUP(C351,'Base de Datos'!$E$7:$AU$390,5,0)</f>
        <v>3846133</v>
      </c>
      <c r="F351" s="509" t="str">
        <f>VLOOKUP(C351,'Base de Datos'!$E$7:$AU$390,17,0)</f>
        <v/>
      </c>
      <c r="G351" s="506"/>
      <c r="H351" s="506"/>
      <c r="I351" s="506"/>
      <c r="J351" s="509" t="str">
        <f>VLOOKUP(C351,'Base de Datos'!$E$7:$AU$390,18,0)</f>
        <v/>
      </c>
      <c r="K351" s="573"/>
      <c r="L351" s="714">
        <f>VLOOKUP(C351,'Base de Datos'!$E$7:$AU$390,19,0)</f>
        <v>42202</v>
      </c>
      <c r="M351" s="506"/>
      <c r="N351" s="509" t="str">
        <f>IF(OR(O351=Hoja1!$D$17,'Presupuesto - PAA 2017'!O351=Hoja1!$D$18),'Presupuesto - PAA 2017'!L351," ")</f>
        <v xml:space="preserve"> </v>
      </c>
      <c r="O351" s="651">
        <f>VLOOKUP(C351,'Base de Datos'!$E$7:$AU$390,32,0)</f>
        <v>0</v>
      </c>
      <c r="P351" s="709"/>
      <c r="Q351" s="506"/>
      <c r="R351" s="715">
        <f>VLOOKUP(C351,'Base de Datos'!$E$7:$AU$390,9,0)</f>
        <v>41837</v>
      </c>
      <c r="S351" s="715" t="str">
        <f>VLOOKUP(C351,'Base de Datos'!$E$7:$AU$390,16,0)</f>
        <v/>
      </c>
      <c r="T351" s="651"/>
      <c r="U351" s="508"/>
    </row>
    <row r="352" spans="2:21" hidden="1" x14ac:dyDescent="0.3">
      <c r="B352" s="506"/>
      <c r="C352" s="506"/>
      <c r="D352" s="506"/>
      <c r="E352" s="506"/>
      <c r="F352" s="506"/>
      <c r="G352" s="506"/>
      <c r="H352" s="506"/>
      <c r="I352" s="506"/>
      <c r="J352" s="506"/>
      <c r="K352" s="573"/>
      <c r="L352" s="506"/>
      <c r="M352" s="506"/>
      <c r="N352" s="506"/>
      <c r="O352" s="664"/>
      <c r="P352" s="709"/>
      <c r="Q352" s="506"/>
      <c r="R352" s="716"/>
      <c r="S352" s="716"/>
      <c r="T352" s="506"/>
      <c r="U352" s="508"/>
    </row>
    <row r="353" spans="2:21" ht="12" hidden="1" x14ac:dyDescent="0.3">
      <c r="B353" s="1240" t="s">
        <v>1664</v>
      </c>
      <c r="C353" s="1240"/>
      <c r="D353" s="1240"/>
      <c r="E353" s="512">
        <f>+E354</f>
        <v>406019488</v>
      </c>
      <c r="F353" s="604">
        <f>+F354</f>
        <v>0</v>
      </c>
      <c r="G353" s="513"/>
      <c r="H353" s="513"/>
      <c r="I353" s="513"/>
      <c r="J353" s="516">
        <f>+J354</f>
        <v>0</v>
      </c>
      <c r="K353" s="583" t="e">
        <f>+J353/F353</f>
        <v>#DIV/0!</v>
      </c>
      <c r="L353" s="516">
        <f>+L354</f>
        <v>84758</v>
      </c>
      <c r="M353" s="516"/>
      <c r="N353" s="516">
        <f>+N354</f>
        <v>0</v>
      </c>
      <c r="O353" s="662"/>
      <c r="P353" s="548" t="str">
        <f>IF(ISERROR(VLOOKUP(B353,'Base de Datos'!$C$7:$N$315,8,0))=TRUE," ",(VLOOKUP(B353,'Base de Datos'!$C$7:$N$315,8,0)))</f>
        <v xml:space="preserve"> </v>
      </c>
      <c r="Q353" s="542"/>
      <c r="R353" s="719" t="str">
        <f>IF(ISERROR(VLOOKUP(B353,'Base de Datos'!$C$7:$N$315,9,0))=TRUE," ",(VLOOKUP(B353,'Base de Datos'!$C$7:$N$315,9,0)))</f>
        <v xml:space="preserve"> </v>
      </c>
      <c r="S353" s="719" t="str">
        <f>IF(ISERROR(VLOOKUP(B353,'Base de Datos'!$C$7:$N$315,10,0))=TRUE," ",(VLOOKUP(B353,'Base de Datos'!$C$7:$N$315,10,0)))</f>
        <v xml:space="preserve"> </v>
      </c>
      <c r="T353" s="542"/>
      <c r="U353" s="508"/>
    </row>
    <row r="354" spans="2:21" hidden="1" x14ac:dyDescent="0.3">
      <c r="B354" s="1239" t="s">
        <v>1665</v>
      </c>
      <c r="C354" s="1239"/>
      <c r="D354" s="1239"/>
      <c r="E354" s="554">
        <f>SUM(E356:E357)</f>
        <v>406019488</v>
      </c>
      <c r="F354" s="554">
        <f>SUM(F356:F357)</f>
        <v>0</v>
      </c>
      <c r="G354" s="559"/>
      <c r="H354" s="559"/>
      <c r="I354" s="559"/>
      <c r="J354" s="554">
        <f>SUM(J356:J357)</f>
        <v>0</v>
      </c>
      <c r="K354" s="576" t="e">
        <f>+J354/F354</f>
        <v>#DIV/0!</v>
      </c>
      <c r="L354" s="554">
        <f>SUM(L356:L357)</f>
        <v>84758</v>
      </c>
      <c r="M354" s="554"/>
      <c r="N354" s="554">
        <f>SUM(N356:N357)</f>
        <v>0</v>
      </c>
      <c r="O354" s="657"/>
      <c r="P354" s="564" t="str">
        <f>IF(ISERROR(VLOOKUP(B354,'Base de Datos'!$C$7:$N$315,8,0))=TRUE," ",(VLOOKUP(B354,'Base de Datos'!$C$7:$N$315,8,0)))</f>
        <v xml:space="preserve"> </v>
      </c>
      <c r="Q354" s="565"/>
      <c r="R354" s="717" t="str">
        <f>IF(ISERROR(VLOOKUP(B354,'Base de Datos'!$C$7:$N$315,9,0))=TRUE," ",(VLOOKUP(B354,'Base de Datos'!$C$7:$N$315,9,0)))</f>
        <v xml:space="preserve"> </v>
      </c>
      <c r="S354" s="717" t="str">
        <f>IF(ISERROR(VLOOKUP(B354,'Base de Datos'!$C$7:$N$315,10,0))=TRUE," ",(VLOOKUP(B354,'Base de Datos'!$C$7:$N$315,10,0)))</f>
        <v xml:space="preserve"> </v>
      </c>
      <c r="T354" s="565"/>
      <c r="U354" s="508"/>
    </row>
    <row r="355" spans="2:21" ht="22.8" hidden="1" x14ac:dyDescent="0.3">
      <c r="B355" s="510" t="s">
        <v>2127</v>
      </c>
      <c r="C355" s="510" t="s">
        <v>912</v>
      </c>
      <c r="D355" s="510" t="s">
        <v>1821</v>
      </c>
      <c r="E355" s="518" t="s">
        <v>1844</v>
      </c>
      <c r="F355" s="507" t="s">
        <v>2129</v>
      </c>
      <c r="G355" s="507"/>
      <c r="H355" s="507"/>
      <c r="I355" s="507"/>
      <c r="J355" s="510" t="s">
        <v>2130</v>
      </c>
      <c r="K355" s="625"/>
      <c r="L355" s="510" t="s">
        <v>1939</v>
      </c>
      <c r="M355" s="510"/>
      <c r="N355" s="510" t="s">
        <v>2136</v>
      </c>
      <c r="O355" s="650" t="s">
        <v>2133</v>
      </c>
      <c r="P355" s="541" t="s">
        <v>1817</v>
      </c>
      <c r="Q355" s="510" t="s">
        <v>1847</v>
      </c>
      <c r="R355" s="718" t="s">
        <v>1848</v>
      </c>
      <c r="S355" s="718" t="s">
        <v>375</v>
      </c>
      <c r="T355" s="510" t="s">
        <v>1849</v>
      </c>
      <c r="U355" s="508"/>
    </row>
    <row r="356" spans="2:21" ht="22.8" hidden="1" x14ac:dyDescent="0.3">
      <c r="B356" s="506"/>
      <c r="C356" s="506" t="s">
        <v>1536</v>
      </c>
      <c r="D356" s="506" t="str">
        <f>VLOOKUP(C356,'Base de Datos'!$E$7:$AU$390,2,0)</f>
        <v>INSTITUTO COLOMBIANO DE NORMAS TÉCNICAS Y CERTIFICACIÓN ICONTEC</v>
      </c>
      <c r="E356" s="509">
        <f>VLOOKUP(C356,'Base de Datos'!$E$7:$AU$390,5,0)</f>
        <v>4961088</v>
      </c>
      <c r="F356" s="509" t="str">
        <f>VLOOKUP(C356,'Base de Datos'!$E$7:$AU$390,17,0)</f>
        <v/>
      </c>
      <c r="G356" s="506"/>
      <c r="H356" s="506"/>
      <c r="I356" s="506"/>
      <c r="J356" s="509" t="str">
        <f>VLOOKUP(C356,'Base de Datos'!$E$7:$AU$390,18,0)</f>
        <v/>
      </c>
      <c r="K356" s="573"/>
      <c r="L356" s="714">
        <f>VLOOKUP(C356,'Base de Datos'!$E$7:$AU$390,19,0)</f>
        <v>42423</v>
      </c>
      <c r="M356" s="506"/>
      <c r="N356" s="509" t="str">
        <f>IF(OR(O356=Hoja1!$D$17,'Presupuesto - PAA 2017'!O356=Hoja1!$D$18),'Presupuesto - PAA 2017'!L356," ")</f>
        <v xml:space="preserve"> </v>
      </c>
      <c r="O356" s="651" t="str">
        <f>VLOOKUP(C356,'Base de Datos'!$E$7:$AU$390,33,0)</f>
        <v>Dirección Administrativa</v>
      </c>
      <c r="P356" s="709"/>
      <c r="Q356" s="506"/>
      <c r="R356" s="715">
        <f>VLOOKUP(C356,'Base de Datos'!$E$7:$AU$390,9,0)</f>
        <v>42178</v>
      </c>
      <c r="S356" s="715" t="str">
        <f>VLOOKUP(C356,'Base de Datos'!$E$7:$AU$390,16,0)</f>
        <v/>
      </c>
      <c r="T356" s="651">
        <f>VLOOKUP(C356,'Base de Datos'!$E$7:$AU$390,40,0)</f>
        <v>0</v>
      </c>
      <c r="U356" s="508"/>
    </row>
    <row r="357" spans="2:21" ht="22.8" hidden="1" x14ac:dyDescent="0.3">
      <c r="B357" s="506"/>
      <c r="C357" s="506" t="s">
        <v>1473</v>
      </c>
      <c r="D357" s="506" t="str">
        <f>VLOOKUP(C357,'Base de Datos'!$E$7:$AU$390,2,0)</f>
        <v>CENTRO DE RECURSOS EDUCATIVOS PARA LA COMPETITIVIDAD EMPRESARIAL LTDA - CRECE</v>
      </c>
      <c r="E357" s="509">
        <f>VLOOKUP(C357,'Base de Datos'!$E$7:$AU$390,5,0)</f>
        <v>401058400</v>
      </c>
      <c r="F357" s="509" t="str">
        <f>VLOOKUP(C357,'Base de Datos'!$E$7:$AU$390,17,0)</f>
        <v/>
      </c>
      <c r="G357" s="506"/>
      <c r="H357" s="506"/>
      <c r="I357" s="506"/>
      <c r="J357" s="509" t="str">
        <f>VLOOKUP(C357,'Base de Datos'!$E$7:$AU$390,18,0)</f>
        <v/>
      </c>
      <c r="K357" s="573"/>
      <c r="L357" s="714">
        <f>VLOOKUP(C357,'Base de Datos'!$E$7:$AU$390,19,0)</f>
        <v>42335</v>
      </c>
      <c r="M357" s="506"/>
      <c r="N357" s="509" t="str">
        <f>IF(OR(O357=Hoja1!$D$17,'Presupuesto - PAA 2017'!O357=Hoja1!$D$18),'Presupuesto - PAA 2017'!L357," ")</f>
        <v xml:space="preserve"> </v>
      </c>
      <c r="O357" s="651" t="str">
        <f>VLOOKUP(C357,'Base de Datos'!$E$7:$AU$390,33,0)</f>
        <v>Dirección Administrativa</v>
      </c>
      <c r="P357" s="709"/>
      <c r="Q357" s="506"/>
      <c r="R357" s="715">
        <f>VLOOKUP(C357,'Base de Datos'!$E$7:$AU$390,9,0)</f>
        <v>42031</v>
      </c>
      <c r="S357" s="715">
        <f>VLOOKUP(C357,'Base de Datos'!$E$7:$AU$390,16,0)</f>
        <v>42335</v>
      </c>
      <c r="T357" s="651" t="str">
        <f>VLOOKUP(C357,'Base de Datos'!$E$7:$AU$390,40,0)</f>
        <v>LEIDY RIVERA</v>
      </c>
      <c r="U357" s="508"/>
    </row>
    <row r="358" spans="2:21" hidden="1" x14ac:dyDescent="0.3">
      <c r="B358" s="506"/>
      <c r="C358" s="506"/>
      <c r="D358" s="506"/>
      <c r="E358" s="506"/>
      <c r="F358" s="506"/>
      <c r="G358" s="506"/>
      <c r="H358" s="506"/>
      <c r="I358" s="506"/>
      <c r="J358" s="506"/>
      <c r="K358" s="573"/>
      <c r="L358" s="506"/>
      <c r="M358" s="506"/>
      <c r="N358" s="506"/>
      <c r="O358" s="664"/>
      <c r="P358" s="709"/>
      <c r="Q358" s="506"/>
      <c r="R358" s="716"/>
      <c r="S358" s="716"/>
      <c r="T358" s="506"/>
      <c r="U358" s="508"/>
    </row>
    <row r="359" spans="2:21" hidden="1" x14ac:dyDescent="0.3">
      <c r="B359" s="1239" t="s">
        <v>1666</v>
      </c>
      <c r="C359" s="1239"/>
      <c r="D359" s="1239"/>
      <c r="E359" s="554">
        <f>+E361</f>
        <v>336560000</v>
      </c>
      <c r="F359" s="554" t="str">
        <f>+F361</f>
        <v/>
      </c>
      <c r="G359" s="559"/>
      <c r="H359" s="559"/>
      <c r="I359" s="559"/>
      <c r="J359" s="554" t="str">
        <f>+J361</f>
        <v/>
      </c>
      <c r="K359" s="576" t="e">
        <f>+J359/F359</f>
        <v>#VALUE!</v>
      </c>
      <c r="L359" s="554">
        <f>+L361</f>
        <v>41814</v>
      </c>
      <c r="M359" s="554"/>
      <c r="N359" s="554">
        <f>SUM(N361)</f>
        <v>0</v>
      </c>
      <c r="O359" s="657"/>
      <c r="P359" s="564" t="str">
        <f>IF(ISERROR(VLOOKUP(B359,'Base de Datos'!$C$7:$N$315,8,0))=TRUE," ",(VLOOKUP(B359,'Base de Datos'!$C$7:$N$315,8,0)))</f>
        <v xml:space="preserve"> </v>
      </c>
      <c r="Q359" s="565"/>
      <c r="R359" s="717" t="str">
        <f>IF(ISERROR(VLOOKUP(B359,'Base de Datos'!$C$7:$N$315,9,0))=TRUE," ",(VLOOKUP(B359,'Base de Datos'!$C$7:$N$315,9,0)))</f>
        <v xml:space="preserve"> </v>
      </c>
      <c r="S359" s="717" t="str">
        <f>IF(ISERROR(VLOOKUP(B359,'Base de Datos'!$C$7:$N$315,10,0))=TRUE," ",(VLOOKUP(B359,'Base de Datos'!$C$7:$N$315,10,0)))</f>
        <v xml:space="preserve"> </v>
      </c>
      <c r="T359" s="565"/>
      <c r="U359" s="508"/>
    </row>
    <row r="360" spans="2:21" ht="22.8" hidden="1" x14ac:dyDescent="0.3">
      <c r="B360" s="510" t="s">
        <v>2127</v>
      </c>
      <c r="C360" s="510" t="s">
        <v>912</v>
      </c>
      <c r="D360" s="510" t="s">
        <v>1821</v>
      </c>
      <c r="E360" s="518" t="s">
        <v>1844</v>
      </c>
      <c r="F360" s="507" t="s">
        <v>2129</v>
      </c>
      <c r="G360" s="507"/>
      <c r="H360" s="507"/>
      <c r="I360" s="507"/>
      <c r="J360" s="510" t="s">
        <v>2130</v>
      </c>
      <c r="K360" s="625"/>
      <c r="L360" s="510" t="s">
        <v>1939</v>
      </c>
      <c r="M360" s="510"/>
      <c r="N360" s="510" t="s">
        <v>2136</v>
      </c>
      <c r="O360" s="650" t="s">
        <v>2133</v>
      </c>
      <c r="P360" s="541" t="s">
        <v>1817</v>
      </c>
      <c r="Q360" s="510" t="s">
        <v>1847</v>
      </c>
      <c r="R360" s="718" t="s">
        <v>1848</v>
      </c>
      <c r="S360" s="718" t="s">
        <v>375</v>
      </c>
      <c r="T360" s="510" t="s">
        <v>1849</v>
      </c>
      <c r="U360" s="508"/>
    </row>
    <row r="361" spans="2:21" ht="22.8" hidden="1" x14ac:dyDescent="0.3">
      <c r="B361" s="506"/>
      <c r="C361" s="506" t="s">
        <v>207</v>
      </c>
      <c r="D361" s="506" t="str">
        <f>VLOOKUP(C361,'Base de Datos'!$E$7:$AU$390,2,0)</f>
        <v>COMPENSAR BIENESTAR</v>
      </c>
      <c r="E361" s="509">
        <f>VLOOKUP(C361,'Base de Datos'!$E$7:$AU$390,5,0)</f>
        <v>336560000</v>
      </c>
      <c r="F361" s="509" t="str">
        <f>VLOOKUP(C361,'Base de Datos'!$E$7:$AU$390,17,0)</f>
        <v/>
      </c>
      <c r="G361" s="506"/>
      <c r="H361" s="506"/>
      <c r="I361" s="506"/>
      <c r="J361" s="509" t="str">
        <f>VLOOKUP(C361,'Base de Datos'!$E$7:$AU$390,18,0)</f>
        <v/>
      </c>
      <c r="K361" s="573"/>
      <c r="L361" s="714">
        <f>VLOOKUP(C361,'Base de Datos'!$E$7:$AU$390,19,0)</f>
        <v>41814</v>
      </c>
      <c r="M361" s="506"/>
      <c r="N361" s="509" t="str">
        <f>IF(OR(O361=Hoja1!$D$17,'Presupuesto - PAA 2017'!O361=Hoja1!$D$18),'Presupuesto - PAA 2017'!L361," ")</f>
        <v xml:space="preserve"> </v>
      </c>
      <c r="O361" s="723" t="str">
        <f>VLOOKUP(C361,'Base de Datos'!$E$7:$AU$390,33,0)</f>
        <v>Dirección Administrativa</v>
      </c>
      <c r="P361" s="709" t="s">
        <v>2135</v>
      </c>
      <c r="Q361" s="506"/>
      <c r="R361" s="715">
        <f>VLOOKUP(C361,'Base de Datos'!$E$7:$AU$390,9,0)</f>
        <v>41572</v>
      </c>
      <c r="S361" s="715" t="str">
        <f>VLOOKUP(C361,'Base de Datos'!$E$7:$AU$390,16,0)</f>
        <v/>
      </c>
      <c r="T361" s="651">
        <f>VLOOKUP(C361,'Base de Datos'!$E$7:$AU$390,40,0)</f>
        <v>0</v>
      </c>
      <c r="U361" s="508"/>
    </row>
    <row r="362" spans="2:21" hidden="1" x14ac:dyDescent="0.3">
      <c r="B362" s="506"/>
      <c r="C362" s="506"/>
      <c r="D362" s="506"/>
      <c r="E362" s="506"/>
      <c r="F362" s="506"/>
      <c r="G362" s="506"/>
      <c r="H362" s="506"/>
      <c r="I362" s="506"/>
      <c r="J362" s="506"/>
      <c r="K362" s="573"/>
      <c r="L362" s="506"/>
      <c r="M362" s="506"/>
      <c r="N362" s="506"/>
      <c r="O362" s="664"/>
      <c r="P362" s="709"/>
      <c r="Q362" s="506"/>
      <c r="R362" s="716"/>
      <c r="S362" s="716"/>
      <c r="T362" s="506"/>
      <c r="U362" s="508"/>
    </row>
    <row r="363" spans="2:21" ht="12" hidden="1" x14ac:dyDescent="0.3">
      <c r="B363" s="1242" t="s">
        <v>1667</v>
      </c>
      <c r="C363" s="1242"/>
      <c r="D363" s="1242"/>
      <c r="E363" s="554">
        <f>SUM(E365:E366)</f>
        <v>108854000</v>
      </c>
      <c r="F363" s="554">
        <f>SUM(F365:F366)</f>
        <v>0</v>
      </c>
      <c r="G363" s="559"/>
      <c r="H363" s="559"/>
      <c r="I363" s="559"/>
      <c r="J363" s="554">
        <f>SUM(J365:J366)</f>
        <v>0</v>
      </c>
      <c r="K363" s="576" t="e">
        <f>+J363/F363</f>
        <v>#DIV/0!</v>
      </c>
      <c r="L363" s="554">
        <f>SUM(L365:L366)</f>
        <v>83899</v>
      </c>
      <c r="M363" s="554"/>
      <c r="N363" s="554">
        <f>SUM(N365:N366)</f>
        <v>0</v>
      </c>
      <c r="O363" s="657"/>
      <c r="P363" s="564" t="str">
        <f>IF(ISERROR(VLOOKUP(B363,'Base de Datos'!$C$7:$N$315,8,0))=TRUE," ",(VLOOKUP(B363,'Base de Datos'!$C$7:$N$315,8,0)))</f>
        <v xml:space="preserve"> </v>
      </c>
      <c r="Q363" s="565"/>
      <c r="R363" s="717" t="str">
        <f>IF(ISERROR(VLOOKUP(B363,'Base de Datos'!$C$7:$N$315,9,0))=TRUE," ",(VLOOKUP(B363,'Base de Datos'!$C$7:$N$315,9,0)))</f>
        <v xml:space="preserve"> </v>
      </c>
      <c r="S363" s="717" t="str">
        <f>IF(ISERROR(VLOOKUP(B363,'Base de Datos'!$C$7:$N$315,10,0))=TRUE," ",(VLOOKUP(B363,'Base de Datos'!$C$7:$N$315,10,0)))</f>
        <v xml:space="preserve"> </v>
      </c>
      <c r="T363" s="565"/>
      <c r="U363" s="508"/>
    </row>
    <row r="364" spans="2:21" ht="22.8" hidden="1" x14ac:dyDescent="0.3">
      <c r="B364" s="510" t="s">
        <v>2127</v>
      </c>
      <c r="C364" s="510" t="s">
        <v>912</v>
      </c>
      <c r="D364" s="510" t="s">
        <v>1821</v>
      </c>
      <c r="E364" s="518" t="s">
        <v>1844</v>
      </c>
      <c r="F364" s="507" t="s">
        <v>2129</v>
      </c>
      <c r="G364" s="507"/>
      <c r="H364" s="507"/>
      <c r="I364" s="507"/>
      <c r="J364" s="510" t="s">
        <v>2130</v>
      </c>
      <c r="K364" s="625"/>
      <c r="L364" s="510" t="s">
        <v>1939</v>
      </c>
      <c r="M364" s="510"/>
      <c r="N364" s="510" t="s">
        <v>2136</v>
      </c>
      <c r="O364" s="650" t="s">
        <v>2133</v>
      </c>
      <c r="P364" s="541" t="s">
        <v>1817</v>
      </c>
      <c r="Q364" s="510" t="s">
        <v>1847</v>
      </c>
      <c r="R364" s="718" t="s">
        <v>1848</v>
      </c>
      <c r="S364" s="718" t="s">
        <v>375</v>
      </c>
      <c r="T364" s="510" t="s">
        <v>1849</v>
      </c>
      <c r="U364" s="508"/>
    </row>
    <row r="365" spans="2:21" ht="22.8" hidden="1" x14ac:dyDescent="0.3">
      <c r="B365" s="506"/>
      <c r="C365" s="506" t="s">
        <v>195</v>
      </c>
      <c r="D365" s="506" t="str">
        <f>VLOOKUP(C365,'Base de Datos'!$E$7:$AU$390,2,0)</f>
        <v>CAJA DE COMPENSACIÓN FAMILIAR COMPENSAR SALONES</v>
      </c>
      <c r="E365" s="509">
        <f>VLOOKUP(C365,'Base de Datos'!$E$7:$AU$390,5,0)</f>
        <v>76223000</v>
      </c>
      <c r="F365" s="509" t="str">
        <f>VLOOKUP(C365,'Base de Datos'!$E$7:$AU$390,17,0)</f>
        <v/>
      </c>
      <c r="G365" s="506"/>
      <c r="H365" s="506"/>
      <c r="I365" s="506"/>
      <c r="J365" s="509" t="str">
        <f>VLOOKUP(C365,'Base de Datos'!$E$7:$AU$390,18,0)</f>
        <v/>
      </c>
      <c r="K365" s="573"/>
      <c r="L365" s="714">
        <f>VLOOKUP(C365,'Base de Datos'!$E$7:$AU$390,19,0)</f>
        <v>41782</v>
      </c>
      <c r="M365" s="506"/>
      <c r="N365" s="509" t="str">
        <f>IF(OR(O365=Hoja1!$D$17,'Presupuesto - PAA 2017'!O365=Hoja1!$D$18),'Presupuesto - PAA 2017'!L365," ")</f>
        <v xml:space="preserve"> </v>
      </c>
      <c r="O365" s="651" t="str">
        <f>VLOOKUP(C365,'Base de Datos'!$E$7:$AU$390,33,0)</f>
        <v>Dirección Administrativa</v>
      </c>
      <c r="P365" s="709"/>
      <c r="Q365" s="506"/>
      <c r="R365" s="715">
        <f>VLOOKUP(C365,'Base de Datos'!$E$7:$AU$390,9,0)</f>
        <v>41541</v>
      </c>
      <c r="S365" s="715">
        <f>VLOOKUP(C365,'Base de Datos'!$E$7:$AU$390,16,0)</f>
        <v>41782</v>
      </c>
      <c r="T365" s="651">
        <f>VLOOKUP(C365,'Base de Datos'!$E$7:$AU$390,40,0)</f>
        <v>0</v>
      </c>
      <c r="U365" s="508"/>
    </row>
    <row r="366" spans="2:21" hidden="1" x14ac:dyDescent="0.3">
      <c r="B366" s="506"/>
      <c r="C366" s="506" t="s">
        <v>276</v>
      </c>
      <c r="D366" s="506" t="str">
        <f>VLOOKUP(C366,'Base de Datos'!$E$7:$AU$390,2,0)</f>
        <v>GRANADOS Y CONDECORACIONES</v>
      </c>
      <c r="E366" s="509">
        <f>VLOOKUP(C366,'Base de Datos'!$E$7:$AU$390,5,0)</f>
        <v>32631000</v>
      </c>
      <c r="F366" s="509" t="str">
        <f>VLOOKUP(C366,'Base de Datos'!$E$7:$AU$390,17,0)</f>
        <v/>
      </c>
      <c r="G366" s="506"/>
      <c r="H366" s="506"/>
      <c r="I366" s="506"/>
      <c r="J366" s="509" t="str">
        <f>VLOOKUP(C366,'Base de Datos'!$E$7:$AU$390,18,0)</f>
        <v/>
      </c>
      <c r="K366" s="573"/>
      <c r="L366" s="714">
        <f>VLOOKUP(C366,'Base de Datos'!$E$7:$AU$390,19,0)</f>
        <v>42117</v>
      </c>
      <c r="M366" s="506"/>
      <c r="N366" s="509" t="str">
        <f>IF(OR(O366=Hoja1!$D$17,'Presupuesto - PAA 2017'!O366=Hoja1!$D$18),'Presupuesto - PAA 2017'!L366," ")</f>
        <v xml:space="preserve"> </v>
      </c>
      <c r="O366" s="651" t="str">
        <f>VLOOKUP(C366,'Base de Datos'!$E$7:$AU$390,33,0)</f>
        <v>Secretaría General</v>
      </c>
      <c r="P366" s="709"/>
      <c r="Q366" s="506"/>
      <c r="R366" s="715">
        <f>VLOOKUP(C366,'Base de Datos'!$E$7:$AU$390,9,0)</f>
        <v>41753</v>
      </c>
      <c r="S366" s="715" t="str">
        <f>VLOOKUP(C366,'Base de Datos'!$E$7:$AU$390,16,0)</f>
        <v/>
      </c>
      <c r="T366" s="651">
        <f>VLOOKUP(C366,'Base de Datos'!$E$7:$AU$390,40,0)</f>
        <v>0</v>
      </c>
      <c r="U366" s="508"/>
    </row>
    <row r="367" spans="2:21" hidden="1" x14ac:dyDescent="0.3">
      <c r="B367" s="506"/>
      <c r="C367" s="506"/>
      <c r="D367" s="506"/>
      <c r="E367" s="506"/>
      <c r="F367" s="506"/>
      <c r="G367" s="506"/>
      <c r="H367" s="506"/>
      <c r="I367" s="506"/>
      <c r="J367" s="506"/>
      <c r="K367" s="573"/>
      <c r="L367" s="506"/>
      <c r="M367" s="506"/>
      <c r="N367" s="506"/>
      <c r="O367" s="664"/>
      <c r="P367" s="709"/>
      <c r="Q367" s="506"/>
      <c r="R367" s="716"/>
      <c r="S367" s="716"/>
      <c r="T367" s="506"/>
      <c r="U367" s="508"/>
    </row>
    <row r="368" spans="2:21" hidden="1" x14ac:dyDescent="0.3">
      <c r="B368" s="1239" t="s">
        <v>1668</v>
      </c>
      <c r="C368" s="1239"/>
      <c r="D368" s="1239"/>
      <c r="E368" s="554">
        <f>SUM(E370:E371)</f>
        <v>45986000</v>
      </c>
      <c r="F368" s="554">
        <f>SUM(F370:F371)</f>
        <v>0</v>
      </c>
      <c r="G368" s="559"/>
      <c r="H368" s="559"/>
      <c r="I368" s="559"/>
      <c r="J368" s="554">
        <f>SUM(J370:J371)</f>
        <v>0</v>
      </c>
      <c r="K368" s="576" t="e">
        <f>+J368/F368</f>
        <v>#DIV/0!</v>
      </c>
      <c r="L368" s="554">
        <f>SUM(L370:L371)</f>
        <v>84165</v>
      </c>
      <c r="M368" s="554"/>
      <c r="N368" s="554">
        <f>SUM(N370:N371)</f>
        <v>0</v>
      </c>
      <c r="O368" s="657"/>
      <c r="P368" s="564" t="str">
        <f>IF(ISERROR(VLOOKUP(B368,'Base de Datos'!$C$7:$N$315,8,0))=TRUE," ",(VLOOKUP(B368,'Base de Datos'!$C$7:$N$315,8,0)))</f>
        <v xml:space="preserve"> </v>
      </c>
      <c r="Q368" s="565"/>
      <c r="R368" s="717" t="str">
        <f>IF(ISERROR(VLOOKUP(B368,'Base de Datos'!$C$7:$N$315,9,0))=TRUE," ",(VLOOKUP(B368,'Base de Datos'!$C$7:$N$315,9,0)))</f>
        <v xml:space="preserve"> </v>
      </c>
      <c r="S368" s="717" t="str">
        <f>IF(ISERROR(VLOOKUP(B368,'Base de Datos'!$C$7:$N$315,10,0))=TRUE," ",(VLOOKUP(B368,'Base de Datos'!$C$7:$N$315,10,0)))</f>
        <v xml:space="preserve"> </v>
      </c>
      <c r="T368" s="565"/>
      <c r="U368" s="508"/>
    </row>
    <row r="369" spans="2:22" ht="22.8" hidden="1" x14ac:dyDescent="0.3">
      <c r="B369" s="510" t="s">
        <v>2127</v>
      </c>
      <c r="C369" s="510" t="s">
        <v>912</v>
      </c>
      <c r="D369" s="510" t="s">
        <v>1821</v>
      </c>
      <c r="E369" s="518" t="s">
        <v>1844</v>
      </c>
      <c r="F369" s="507" t="s">
        <v>2129</v>
      </c>
      <c r="G369" s="507"/>
      <c r="H369" s="507"/>
      <c r="I369" s="507"/>
      <c r="J369" s="510" t="s">
        <v>2130</v>
      </c>
      <c r="K369" s="625"/>
      <c r="L369" s="510" t="s">
        <v>1939</v>
      </c>
      <c r="M369" s="510"/>
      <c r="N369" s="510" t="s">
        <v>2136</v>
      </c>
      <c r="O369" s="650" t="s">
        <v>2133</v>
      </c>
      <c r="P369" s="541" t="s">
        <v>1817</v>
      </c>
      <c r="Q369" s="510" t="s">
        <v>1847</v>
      </c>
      <c r="R369" s="718" t="s">
        <v>1848</v>
      </c>
      <c r="S369" s="718" t="s">
        <v>375</v>
      </c>
      <c r="T369" s="510" t="s">
        <v>1849</v>
      </c>
      <c r="U369" s="508"/>
    </row>
    <row r="370" spans="2:22" ht="14.25" hidden="1" customHeight="1" x14ac:dyDescent="0.3">
      <c r="B370" s="506"/>
      <c r="C370" s="506" t="s">
        <v>1332</v>
      </c>
      <c r="D370" s="506" t="str">
        <f>VLOOKUP(C370,'Base de Datos'!$E$7:$AU$390,2,0)</f>
        <v>SISTEMA Y SEGURIDAD INDUSTRIAL COLOMBIANA E.U.</v>
      </c>
      <c r="E370" s="509">
        <f>VLOOKUP(C370,'Base de Datos'!$E$7:$AU$390,5,0)</f>
        <v>4136000</v>
      </c>
      <c r="F370" s="509" t="str">
        <f>VLOOKUP(C370,'Base de Datos'!$E$7:$AU$390,17,0)</f>
        <v/>
      </c>
      <c r="G370" s="506"/>
      <c r="H370" s="506"/>
      <c r="I370" s="506"/>
      <c r="J370" s="509" t="str">
        <f>VLOOKUP(C370,'Base de Datos'!$E$7:$AU$390,18,0)</f>
        <v/>
      </c>
      <c r="K370" s="573"/>
      <c r="L370" s="714">
        <f>VLOOKUP(C370,'Base de Datos'!$E$7:$AU$390,19,0)</f>
        <v>42027</v>
      </c>
      <c r="M370" s="506"/>
      <c r="N370" s="509" t="str">
        <f>IF(OR(O370=Hoja1!$D$17,'Presupuesto - PAA 2017'!O370=Hoja1!$D$18),'Presupuesto - PAA 2017'!L370," ")</f>
        <v xml:space="preserve"> </v>
      </c>
      <c r="O370" s="651" t="str">
        <f>VLOOKUP(C370,'Base de Datos'!$E$7:$AU$390,33,0)</f>
        <v>Dirección Administrativa</v>
      </c>
      <c r="P370" s="709"/>
      <c r="Q370" s="506"/>
      <c r="R370" s="715">
        <f>VLOOKUP(C370,'Base de Datos'!$E$7:$AU$390,9,0)</f>
        <v>41935</v>
      </c>
      <c r="S370" s="715" t="str">
        <f>VLOOKUP(C370,'Base de Datos'!$E$7:$AU$390,16,0)</f>
        <v/>
      </c>
      <c r="T370" s="651">
        <f>VLOOKUP(C370,'Base de Datos'!$E$7:$AU$390,40,0)</f>
        <v>0</v>
      </c>
      <c r="U370" s="508"/>
    </row>
    <row r="371" spans="2:22" ht="22.8" hidden="1" x14ac:dyDescent="0.3">
      <c r="B371" s="506"/>
      <c r="C371" s="506" t="s">
        <v>1159</v>
      </c>
      <c r="D371" s="506" t="str">
        <f>VLOOKUP(C371,'Base de Datos'!$E$7:$AU$390,2,0)</f>
        <v>CENTRO DE DIAGNOSTICO Y TRATAMIENTO CENDIATRA LTDA</v>
      </c>
      <c r="E371" s="509">
        <f>VLOOKUP(C371,'Base de Datos'!$E$7:$AU$390,5,0)</f>
        <v>41850000</v>
      </c>
      <c r="F371" s="509" t="str">
        <f>VLOOKUP(C371,'Base de Datos'!$E$7:$AU$390,17,0)</f>
        <v/>
      </c>
      <c r="G371" s="506"/>
      <c r="H371" s="506"/>
      <c r="I371" s="506"/>
      <c r="J371" s="509" t="str">
        <f>VLOOKUP(C371,'Base de Datos'!$E$7:$AU$390,18,0)</f>
        <v/>
      </c>
      <c r="K371" s="573"/>
      <c r="L371" s="714">
        <f>VLOOKUP(C371,'Base de Datos'!$E$7:$AU$390,19,0)</f>
        <v>42138</v>
      </c>
      <c r="M371" s="506"/>
      <c r="N371" s="509" t="str">
        <f>IF(OR(O371=Hoja1!$D$17,'Presupuesto - PAA 2017'!O371=Hoja1!$D$18),'Presupuesto - PAA 2017'!L371," ")</f>
        <v xml:space="preserve"> </v>
      </c>
      <c r="O371" s="651" t="str">
        <f>VLOOKUP(C371,'Base de Datos'!$E$7:$AU$390,33,0)</f>
        <v>Dirección Administrativa</v>
      </c>
      <c r="P371" s="709"/>
      <c r="Q371" s="506"/>
      <c r="R371" s="715">
        <f>VLOOKUP(C371,'Base de Datos'!$E$7:$AU$390,9,0)</f>
        <v>41926</v>
      </c>
      <c r="S371" s="715" t="str">
        <f>VLOOKUP(C371,'Base de Datos'!$E$7:$AU$390,16,0)</f>
        <v/>
      </c>
      <c r="T371" s="651">
        <f>VLOOKUP(C371,'Base de Datos'!$E$7:$AU$390,40,0)</f>
        <v>0</v>
      </c>
    </row>
    <row r="372" spans="2:22" hidden="1" x14ac:dyDescent="0.3">
      <c r="B372" s="506"/>
      <c r="C372" s="506"/>
      <c r="D372" s="506"/>
      <c r="E372" s="506"/>
      <c r="F372" s="506"/>
      <c r="G372" s="506"/>
      <c r="H372" s="506"/>
      <c r="I372" s="506"/>
      <c r="J372" s="506"/>
      <c r="K372" s="573"/>
      <c r="L372" s="506"/>
      <c r="M372" s="506"/>
      <c r="N372" s="506"/>
      <c r="O372" s="664"/>
      <c r="P372" s="709"/>
      <c r="Q372" s="506"/>
      <c r="R372" s="716"/>
      <c r="S372" s="716"/>
      <c r="T372" s="506"/>
    </row>
    <row r="373" spans="2:22" hidden="1" x14ac:dyDescent="0.3">
      <c r="B373" s="1239" t="s">
        <v>1671</v>
      </c>
      <c r="C373" s="1239"/>
      <c r="D373" s="1239"/>
      <c r="E373" s="554">
        <f>SUM(E375:E377)</f>
        <v>1067737824</v>
      </c>
      <c r="F373" s="554">
        <f>SUM(F375:F377)</f>
        <v>0</v>
      </c>
      <c r="G373" s="559"/>
      <c r="H373" s="559"/>
      <c r="I373" s="559"/>
      <c r="J373" s="554">
        <f>SUM(J375:J377)</f>
        <v>0</v>
      </c>
      <c r="K373" s="576" t="e">
        <f>+J373/F373</f>
        <v>#DIV/0!</v>
      </c>
      <c r="L373" s="554">
        <f>SUM(L375:L377)</f>
        <v>84454</v>
      </c>
      <c r="M373" s="554"/>
      <c r="N373" s="554">
        <f>SUM(N375:N377)</f>
        <v>0</v>
      </c>
      <c r="O373" s="657"/>
      <c r="P373" s="564" t="str">
        <f>IF(ISERROR(VLOOKUP(B373,'Base de Datos'!$C$7:$N$315,8,0))=TRUE," ",(VLOOKUP(B373,'Base de Datos'!$C$7:$N$315,8,0)))</f>
        <v xml:space="preserve"> </v>
      </c>
      <c r="Q373" s="565"/>
      <c r="R373" s="717" t="str">
        <f>IF(ISERROR(VLOOKUP(B373,'Base de Datos'!$C$7:$N$315,9,0))=TRUE," ",(VLOOKUP(B373,'Base de Datos'!$C$7:$N$315,9,0)))</f>
        <v xml:space="preserve"> </v>
      </c>
      <c r="S373" s="717" t="str">
        <f>IF(ISERROR(VLOOKUP(B373,'Base de Datos'!$C$7:$N$315,10,0))=TRUE," ",(VLOOKUP(B373,'Base de Datos'!$C$7:$N$315,10,0)))</f>
        <v xml:space="preserve"> </v>
      </c>
      <c r="T373" s="565"/>
    </row>
    <row r="374" spans="2:22" ht="22.8" hidden="1" x14ac:dyDescent="0.3">
      <c r="B374" s="510" t="s">
        <v>2127</v>
      </c>
      <c r="C374" s="510" t="s">
        <v>912</v>
      </c>
      <c r="D374" s="510" t="s">
        <v>1821</v>
      </c>
      <c r="E374" s="518" t="s">
        <v>1844</v>
      </c>
      <c r="F374" s="507" t="s">
        <v>2129</v>
      </c>
      <c r="G374" s="507"/>
      <c r="H374" s="507"/>
      <c r="I374" s="507"/>
      <c r="J374" s="510" t="s">
        <v>2130</v>
      </c>
      <c r="K374" s="625"/>
      <c r="L374" s="510" t="s">
        <v>1939</v>
      </c>
      <c r="M374" s="510"/>
      <c r="N374" s="510" t="s">
        <v>2136</v>
      </c>
      <c r="O374" s="650" t="s">
        <v>2133</v>
      </c>
      <c r="P374" s="541" t="s">
        <v>1817</v>
      </c>
      <c r="Q374" s="510" t="s">
        <v>1847</v>
      </c>
      <c r="R374" s="718" t="s">
        <v>1848</v>
      </c>
      <c r="S374" s="718" t="s">
        <v>375</v>
      </c>
      <c r="T374" s="510" t="s">
        <v>1849</v>
      </c>
    </row>
    <row r="375" spans="2:22" ht="22.8" hidden="1" x14ac:dyDescent="0.3">
      <c r="B375" s="506"/>
      <c r="C375" s="506" t="s">
        <v>1109</v>
      </c>
      <c r="D375" s="506" t="str">
        <f>VLOOKUP(C375,'Base de Datos'!$E$7:$AU$390,2,0)</f>
        <v>CANAL REGIONAL DE TELEVISION TEVEANDINA LTDA - TEVEANDINA LTDA</v>
      </c>
      <c r="E375" s="509">
        <f>VLOOKUP(C375,'Base de Datos'!$E$7:$AU$390,5,0)</f>
        <v>818527824</v>
      </c>
      <c r="F375" s="509" t="str">
        <f>VLOOKUP(C375,'Base de Datos'!$E$7:$AU$390,17,0)</f>
        <v/>
      </c>
      <c r="G375" s="506"/>
      <c r="H375" s="506"/>
      <c r="I375" s="506"/>
      <c r="J375" s="509" t="str">
        <f>VLOOKUP(C375,'Base de Datos'!$E$7:$AU$390,18,0)</f>
        <v/>
      </c>
      <c r="K375" s="573"/>
      <c r="L375" s="714">
        <f>VLOOKUP(C375,'Base de Datos'!$E$7:$AU$390,19,0)</f>
        <v>42116</v>
      </c>
      <c r="M375" s="506"/>
      <c r="N375" s="509" t="str">
        <f>IF(OR(O375=Hoja1!$D$17,'Presupuesto - PAA 2017'!O375=Hoja1!$D$18),'Presupuesto - PAA 2017'!L375," ")</f>
        <v xml:space="preserve"> </v>
      </c>
      <c r="O375" s="651" t="str">
        <f>VLOOKUP(C375,'Base de Datos'!$E$7:$AU$390,33,0)</f>
        <v>Oficina Asesora de Comunicaciones</v>
      </c>
      <c r="P375" s="709"/>
      <c r="Q375" s="506"/>
      <c r="R375" s="715">
        <f>VLOOKUP(C375,'Base de Datos'!$E$7:$AU$390,9,0)</f>
        <v>41921</v>
      </c>
      <c r="S375" s="715">
        <f>VLOOKUP(C375,'Base de Datos'!$E$7:$AU$390,16,0)</f>
        <v>42116</v>
      </c>
      <c r="T375" s="651">
        <f>VLOOKUP(C375,'Base de Datos'!$E$7:$AU$390,40,0)</f>
        <v>0</v>
      </c>
    </row>
    <row r="376" spans="2:22" ht="22.8" hidden="1" x14ac:dyDescent="0.3">
      <c r="B376" s="506"/>
      <c r="C376" s="506" t="s">
        <v>1528</v>
      </c>
      <c r="D376" s="506" t="str">
        <f>VLOOKUP(C376,'Base de Datos'!$E$7:$AU$390,2,0)</f>
        <v>CENTURY MEDIA SAS</v>
      </c>
      <c r="E376" s="509">
        <f>VLOOKUP(C376,'Base de Datos'!$E$7:$AU$390,5,0)</f>
        <v>249210000</v>
      </c>
      <c r="F376" s="509" t="str">
        <f>VLOOKUP(C376,'Base de Datos'!$E$7:$AU$390,17,0)</f>
        <v/>
      </c>
      <c r="G376" s="506"/>
      <c r="H376" s="506"/>
      <c r="I376" s="506"/>
      <c r="J376" s="509" t="str">
        <f>VLOOKUP(C376,'Base de Datos'!$E$7:$AU$390,18,0)</f>
        <v/>
      </c>
      <c r="K376" s="573"/>
      <c r="L376" s="714">
        <f>VLOOKUP(C376,'Base de Datos'!$E$7:$AU$390,19,0)</f>
        <v>42338</v>
      </c>
      <c r="M376" s="506"/>
      <c r="N376" s="509" t="str">
        <f>IF(OR(O376=Hoja1!$D$17,'Presupuesto - PAA 2017'!O376=Hoja1!$D$18),'Presupuesto - PAA 2017'!L376," ")</f>
        <v xml:space="preserve"> </v>
      </c>
      <c r="O376" s="651" t="str">
        <f>VLOOKUP(C376,'Base de Datos'!$E$7:$AU$390,33,0)</f>
        <v>Oficina Asesora de Comunicaciones</v>
      </c>
      <c r="P376" s="709"/>
      <c r="Q376" s="506"/>
      <c r="R376" s="715">
        <f>VLOOKUP(C376,'Base de Datos'!$E$7:$AU$390,9,0)</f>
        <v>42017</v>
      </c>
      <c r="S376" s="715">
        <f>VLOOKUP(C376,'Base de Datos'!$E$7:$AU$390,16,0)</f>
        <v>42338</v>
      </c>
      <c r="T376" s="651">
        <f>VLOOKUP(C376,'Base de Datos'!$E$7:$AU$390,40,0)</f>
        <v>0</v>
      </c>
    </row>
    <row r="377" spans="2:22" hidden="1" x14ac:dyDescent="0.3">
      <c r="B377" s="506"/>
      <c r="C377" s="506"/>
      <c r="D377" s="506"/>
      <c r="E377" s="506"/>
      <c r="F377" s="506"/>
      <c r="G377" s="506"/>
      <c r="H377" s="506"/>
      <c r="I377" s="506"/>
      <c r="J377" s="506"/>
      <c r="K377" s="573"/>
      <c r="L377" s="506"/>
      <c r="M377" s="506"/>
      <c r="N377" s="506"/>
      <c r="O377" s="664"/>
      <c r="P377" s="709"/>
      <c r="Q377" s="506"/>
      <c r="R377" s="716"/>
      <c r="S377" s="716"/>
      <c r="T377" s="506"/>
    </row>
    <row r="378" spans="2:22" ht="15" hidden="1" customHeight="1" x14ac:dyDescent="0.3">
      <c r="B378" s="1240" t="s">
        <v>1672</v>
      </c>
      <c r="C378" s="1240"/>
      <c r="D378" s="1240"/>
      <c r="E378" s="512">
        <f>+E379</f>
        <v>12700000</v>
      </c>
      <c r="F378" s="604" t="str">
        <f>+F379</f>
        <v/>
      </c>
      <c r="G378" s="513"/>
      <c r="H378" s="513"/>
      <c r="I378" s="513"/>
      <c r="J378" s="516" t="str">
        <f>+J379</f>
        <v/>
      </c>
      <c r="K378" s="583" t="e">
        <f>+J378/F378</f>
        <v>#VALUE!</v>
      </c>
      <c r="L378" s="516">
        <f>+L379</f>
        <v>42044</v>
      </c>
      <c r="M378" s="516"/>
      <c r="N378" s="516">
        <f>SUM(N379)</f>
        <v>0</v>
      </c>
      <c r="O378" s="662"/>
      <c r="P378" s="548" t="str">
        <f>IF(ISERROR(VLOOKUP(B378,'Base de Datos'!$C$7:$N$315,8,0))=TRUE," ",(VLOOKUP(B378,'Base de Datos'!$C$7:$N$315,8,0)))</f>
        <v xml:space="preserve"> </v>
      </c>
      <c r="Q378" s="542"/>
      <c r="R378" s="719" t="str">
        <f>IF(ISERROR(VLOOKUP(B378,'Base de Datos'!$C$7:$N$315,9,0))=TRUE," ",(VLOOKUP(B378,'Base de Datos'!$C$7:$N$315,9,0)))</f>
        <v xml:space="preserve"> </v>
      </c>
      <c r="S378" s="719" t="str">
        <f>IF(ISERROR(VLOOKUP(B378,'Base de Datos'!$C$7:$N$315,10,0))=TRUE," ",(VLOOKUP(B378,'Base de Datos'!$C$7:$N$315,10,0)))</f>
        <v xml:space="preserve"> </v>
      </c>
      <c r="T378" s="542"/>
      <c r="U378" s="694"/>
      <c r="V378" s="607"/>
    </row>
    <row r="379" spans="2:22" hidden="1" x14ac:dyDescent="0.3">
      <c r="B379" s="1239" t="s">
        <v>2126</v>
      </c>
      <c r="C379" s="1239"/>
      <c r="D379" s="1239"/>
      <c r="E379" s="554">
        <f>+E381</f>
        <v>12700000</v>
      </c>
      <c r="F379" s="554" t="str">
        <f>+F381</f>
        <v/>
      </c>
      <c r="G379" s="559"/>
      <c r="H379" s="559"/>
      <c r="I379" s="559"/>
      <c r="J379" s="554" t="str">
        <f>+J381</f>
        <v/>
      </c>
      <c r="K379" s="576" t="e">
        <f>+J379/F379</f>
        <v>#VALUE!</v>
      </c>
      <c r="L379" s="554">
        <f>+L381</f>
        <v>42044</v>
      </c>
      <c r="M379" s="554"/>
      <c r="N379" s="554">
        <f>+N381</f>
        <v>0</v>
      </c>
      <c r="O379" s="657"/>
      <c r="P379" s="564" t="str">
        <f>IF(ISERROR(VLOOKUP(B379,'Base de Datos'!$C$7:$N$315,8,0))=TRUE," ",(VLOOKUP(B379,'Base de Datos'!$C$7:$N$315,8,0)))</f>
        <v xml:space="preserve"> </v>
      </c>
      <c r="Q379" s="565"/>
      <c r="R379" s="717" t="str">
        <f>IF(ISERROR(VLOOKUP(B379,'Base de Datos'!$C$7:$N$315,9,0))=TRUE," ",(VLOOKUP(B379,'Base de Datos'!$C$7:$N$315,9,0)))</f>
        <v xml:space="preserve"> </v>
      </c>
      <c r="S379" s="717" t="str">
        <f>IF(ISERROR(VLOOKUP(B379,'Base de Datos'!$C$7:$N$315,10,0))=TRUE," ",(VLOOKUP(B379,'Base de Datos'!$C$7:$N$315,10,0)))</f>
        <v xml:space="preserve"> </v>
      </c>
      <c r="T379" s="565"/>
    </row>
    <row r="380" spans="2:22" ht="22.8" hidden="1" x14ac:dyDescent="0.3">
      <c r="B380" s="510" t="s">
        <v>2127</v>
      </c>
      <c r="C380" s="510" t="s">
        <v>912</v>
      </c>
      <c r="D380" s="510" t="s">
        <v>1821</v>
      </c>
      <c r="E380" s="518" t="s">
        <v>1844</v>
      </c>
      <c r="F380" s="507" t="s">
        <v>2129</v>
      </c>
      <c r="G380" s="507"/>
      <c r="H380" s="507"/>
      <c r="I380" s="507"/>
      <c r="J380" s="510" t="s">
        <v>2130</v>
      </c>
      <c r="K380" s="625"/>
      <c r="L380" s="510" t="s">
        <v>1939</v>
      </c>
      <c r="M380" s="510"/>
      <c r="N380" s="510" t="s">
        <v>2136</v>
      </c>
      <c r="O380" s="650" t="s">
        <v>2133</v>
      </c>
      <c r="P380" s="541" t="s">
        <v>1817</v>
      </c>
      <c r="Q380" s="510" t="s">
        <v>1847</v>
      </c>
      <c r="R380" s="718" t="s">
        <v>1848</v>
      </c>
      <c r="S380" s="718" t="s">
        <v>375</v>
      </c>
      <c r="T380" s="510" t="s">
        <v>1849</v>
      </c>
    </row>
    <row r="381" spans="2:22" ht="22.8" hidden="1" x14ac:dyDescent="0.3">
      <c r="B381" s="506"/>
      <c r="C381" s="506" t="s">
        <v>1484</v>
      </c>
      <c r="D381" s="506" t="str">
        <f>VLOOKUP(C381,'Base de Datos'!$E$7:$AU$390,2,0)</f>
        <v>RIGOBERTO GÓMEZ JAIMES</v>
      </c>
      <c r="E381" s="509">
        <f>VLOOKUP(C381,'Base de Datos'!$E$7:$AU$390,5,0)</f>
        <v>12700000</v>
      </c>
      <c r="F381" s="509" t="str">
        <f>VLOOKUP(C381,'Base de Datos'!$E$7:$AU$390,17,0)</f>
        <v/>
      </c>
      <c r="G381" s="506"/>
      <c r="H381" s="506"/>
      <c r="I381" s="506"/>
      <c r="J381" s="509" t="str">
        <f>VLOOKUP(C381,'Base de Datos'!$E$7:$AU$390,18,0)</f>
        <v/>
      </c>
      <c r="K381" s="573"/>
      <c r="L381" s="509">
        <f>VLOOKUP(C381,'Base de Datos'!$E$7:$AU$390,19,0)</f>
        <v>42044</v>
      </c>
      <c r="M381" s="506"/>
      <c r="N381" s="509"/>
      <c r="O381" s="723" t="str">
        <f>VLOOKUP(C381,'Base de Datos'!$E$7:$AU$390,33,0)</f>
        <v>Dirección Administrativa</v>
      </c>
      <c r="P381" s="709" t="s">
        <v>2135</v>
      </c>
      <c r="Q381" s="506"/>
      <c r="R381" s="715">
        <f>VLOOKUP(C381,'Base de Datos'!$E$7:$AU$390,9,0)</f>
        <v>41982</v>
      </c>
      <c r="S381" s="715" t="str">
        <f>VLOOKUP(C381,'Base de Datos'!$E$7:$AU$390,16,0)</f>
        <v/>
      </c>
      <c r="T381" s="651">
        <f>VLOOKUP(C381,'Base de Datos'!$E$7:$AU$390,40,0)</f>
        <v>0</v>
      </c>
    </row>
    <row r="382" spans="2:22" hidden="1" x14ac:dyDescent="0.3">
      <c r="B382" s="506"/>
      <c r="C382" s="506"/>
      <c r="D382" s="506"/>
      <c r="E382" s="506"/>
      <c r="F382" s="506"/>
      <c r="G382" s="506"/>
      <c r="H382" s="506"/>
      <c r="I382" s="506"/>
      <c r="J382" s="506"/>
      <c r="K382" s="573"/>
      <c r="L382" s="506"/>
      <c r="M382" s="506"/>
      <c r="N382" s="506"/>
      <c r="O382" s="664"/>
      <c r="P382" s="709"/>
      <c r="Q382" s="506"/>
      <c r="R382" s="716"/>
      <c r="S382" s="716"/>
      <c r="T382" s="506"/>
    </row>
    <row r="383" spans="2:22" ht="12" hidden="1" x14ac:dyDescent="0.3">
      <c r="B383" s="1241" t="s">
        <v>1687</v>
      </c>
      <c r="C383" s="1241"/>
      <c r="D383" s="1241"/>
      <c r="E383" s="514">
        <f t="shared" ref="E383:N387" si="19">+E384</f>
        <v>3039996697</v>
      </c>
      <c r="F383" s="514">
        <f t="shared" si="19"/>
        <v>0</v>
      </c>
      <c r="G383" s="514">
        <f t="shared" si="19"/>
        <v>7542477000</v>
      </c>
      <c r="H383" s="514">
        <f t="shared" si="19"/>
        <v>0</v>
      </c>
      <c r="I383" s="514">
        <f t="shared" si="19"/>
        <v>7542477000</v>
      </c>
      <c r="J383" s="514">
        <f t="shared" si="19"/>
        <v>0</v>
      </c>
      <c r="K383" s="556" t="e">
        <f t="shared" si="19"/>
        <v>#DIV/0!</v>
      </c>
      <c r="L383" s="514">
        <f t="shared" si="19"/>
        <v>338265</v>
      </c>
      <c r="M383" s="549"/>
      <c r="N383" s="514">
        <f t="shared" si="19"/>
        <v>0</v>
      </c>
      <c r="O383" s="647"/>
      <c r="P383" s="549"/>
      <c r="Q383" s="544"/>
      <c r="R383" s="720" t="str">
        <f>IF(ISERROR(VLOOKUP(B383,'Base de Datos'!$C$7:$N$315,9,0))=TRUE," ",(VLOOKUP(B383,'Base de Datos'!$C$7:$N$315,9,0)))</f>
        <v xml:space="preserve"> </v>
      </c>
      <c r="S383" s="720" t="str">
        <f>IF(ISERROR(VLOOKUP(B383,'Base de Datos'!$C$7:$N$315,10,0))=TRUE," ",(VLOOKUP(B383,'Base de Datos'!$C$7:$N$315,10,0)))</f>
        <v xml:space="preserve"> </v>
      </c>
      <c r="T383" s="544"/>
    </row>
    <row r="384" spans="2:22" ht="12" hidden="1" x14ac:dyDescent="0.3">
      <c r="B384" s="1240" t="s">
        <v>1686</v>
      </c>
      <c r="C384" s="1240"/>
      <c r="D384" s="1240"/>
      <c r="E384" s="512">
        <f t="shared" si="19"/>
        <v>3039996697</v>
      </c>
      <c r="F384" s="512">
        <f t="shared" si="19"/>
        <v>0</v>
      </c>
      <c r="G384" s="516">
        <f t="shared" si="19"/>
        <v>7542477000</v>
      </c>
      <c r="H384" s="516">
        <f t="shared" si="19"/>
        <v>0</v>
      </c>
      <c r="I384" s="516">
        <f t="shared" si="19"/>
        <v>7542477000</v>
      </c>
      <c r="J384" s="516">
        <f t="shared" si="19"/>
        <v>0</v>
      </c>
      <c r="K384" s="574" t="e">
        <f t="shared" si="19"/>
        <v>#DIV/0!</v>
      </c>
      <c r="L384" s="516">
        <f t="shared" si="19"/>
        <v>338265</v>
      </c>
      <c r="M384" s="516"/>
      <c r="N384" s="516">
        <f t="shared" si="19"/>
        <v>0</v>
      </c>
      <c r="O384" s="662"/>
      <c r="P384" s="548" t="str">
        <f>IF(ISERROR(VLOOKUP(B384,'Base de Datos'!$C$7:$N$315,8,0))=TRUE," ",(VLOOKUP(B384,'Base de Datos'!$C$7:$N$315,8,0)))</f>
        <v xml:space="preserve"> </v>
      </c>
      <c r="Q384" s="542"/>
      <c r="R384" s="719" t="str">
        <f>IF(ISERROR(VLOOKUP(B384,'Base de Datos'!$C$7:$N$315,9,0))=TRUE," ",(VLOOKUP(B384,'Base de Datos'!$C$7:$N$315,9,0)))</f>
        <v xml:space="preserve"> </v>
      </c>
      <c r="S384" s="719" t="str">
        <f>IF(ISERROR(VLOOKUP(B384,'Base de Datos'!$C$7:$N$315,10,0))=TRUE," ",(VLOOKUP(B384,'Base de Datos'!$C$7:$N$315,10,0)))</f>
        <v xml:space="preserve"> </v>
      </c>
      <c r="T384" s="542"/>
    </row>
    <row r="385" spans="2:21" hidden="1" x14ac:dyDescent="0.3">
      <c r="B385" s="1238" t="s">
        <v>1675</v>
      </c>
      <c r="C385" s="1238"/>
      <c r="D385" s="1238"/>
      <c r="E385" s="516">
        <f t="shared" si="19"/>
        <v>3039996697</v>
      </c>
      <c r="F385" s="516">
        <f t="shared" si="19"/>
        <v>0</v>
      </c>
      <c r="G385" s="516">
        <f t="shared" si="19"/>
        <v>7542477000</v>
      </c>
      <c r="H385" s="516">
        <f t="shared" si="19"/>
        <v>0</v>
      </c>
      <c r="I385" s="516">
        <f t="shared" si="19"/>
        <v>7542477000</v>
      </c>
      <c r="J385" s="516">
        <f t="shared" si="19"/>
        <v>0</v>
      </c>
      <c r="K385" s="574" t="e">
        <f t="shared" si="19"/>
        <v>#DIV/0!</v>
      </c>
      <c r="L385" s="516">
        <f t="shared" si="19"/>
        <v>338265</v>
      </c>
      <c r="M385" s="516"/>
      <c r="N385" s="516">
        <f t="shared" si="19"/>
        <v>0</v>
      </c>
      <c r="O385" s="662"/>
      <c r="P385" s="548" t="str">
        <f>IF(ISERROR(VLOOKUP(B385,'Base de Datos'!$C$7:$N$315,8,0))=TRUE," ",(VLOOKUP(B385,'Base de Datos'!$C$7:$N$315,8,0)))</f>
        <v xml:space="preserve"> </v>
      </c>
      <c r="Q385" s="542"/>
      <c r="R385" s="719" t="str">
        <f>IF(ISERROR(VLOOKUP(B385,'Base de Datos'!$C$7:$N$315,9,0))=TRUE," ",(VLOOKUP(B385,'Base de Datos'!$C$7:$N$315,9,0)))</f>
        <v xml:space="preserve"> </v>
      </c>
      <c r="S385" s="719" t="str">
        <f>IF(ISERROR(VLOOKUP(B385,'Base de Datos'!$C$7:$N$315,10,0))=TRUE," ",(VLOOKUP(B385,'Base de Datos'!$C$7:$N$315,10,0)))</f>
        <v xml:space="preserve"> </v>
      </c>
      <c r="T385" s="542"/>
    </row>
    <row r="386" spans="2:21" hidden="1" x14ac:dyDescent="0.3">
      <c r="B386" s="1238" t="s">
        <v>1836</v>
      </c>
      <c r="C386" s="1238"/>
      <c r="D386" s="1238"/>
      <c r="E386" s="516">
        <f t="shared" si="19"/>
        <v>3039996697</v>
      </c>
      <c r="F386" s="516">
        <f t="shared" si="19"/>
        <v>0</v>
      </c>
      <c r="G386" s="516">
        <f t="shared" si="19"/>
        <v>7542477000</v>
      </c>
      <c r="H386" s="516">
        <f t="shared" si="19"/>
        <v>0</v>
      </c>
      <c r="I386" s="516">
        <f t="shared" si="19"/>
        <v>7542477000</v>
      </c>
      <c r="J386" s="516">
        <f t="shared" si="19"/>
        <v>0</v>
      </c>
      <c r="K386" s="574" t="e">
        <f t="shared" si="19"/>
        <v>#DIV/0!</v>
      </c>
      <c r="L386" s="516">
        <f t="shared" si="19"/>
        <v>338265</v>
      </c>
      <c r="M386" s="516"/>
      <c r="N386" s="516">
        <f t="shared" si="19"/>
        <v>0</v>
      </c>
      <c r="O386" s="662"/>
      <c r="P386" s="548" t="str">
        <f>IF(ISERROR(VLOOKUP(B386,'Base de Datos'!$C$7:$N$315,8,0))=TRUE," ",(VLOOKUP(B386,'Base de Datos'!$C$7:$N$315,8,0)))</f>
        <v xml:space="preserve"> </v>
      </c>
      <c r="Q386" s="542"/>
      <c r="R386" s="719" t="str">
        <f>IF(ISERROR(VLOOKUP(B386,'Base de Datos'!$C$7:$N$315,9,0))=TRUE," ",(VLOOKUP(B386,'Base de Datos'!$C$7:$N$315,9,0)))</f>
        <v xml:space="preserve"> </v>
      </c>
      <c r="S386" s="719" t="str">
        <f>IF(ISERROR(VLOOKUP(B386,'Base de Datos'!$C$7:$N$315,10,0))=TRUE," ",(VLOOKUP(B386,'Base de Datos'!$C$7:$N$315,10,0)))</f>
        <v xml:space="preserve"> </v>
      </c>
      <c r="T386" s="542"/>
    </row>
    <row r="387" spans="2:21" hidden="1" x14ac:dyDescent="0.3">
      <c r="B387" s="1238" t="s">
        <v>1835</v>
      </c>
      <c r="C387" s="1238"/>
      <c r="D387" s="1238"/>
      <c r="E387" s="516">
        <f t="shared" si="19"/>
        <v>3039996697</v>
      </c>
      <c r="F387" s="516">
        <f t="shared" si="19"/>
        <v>0</v>
      </c>
      <c r="G387" s="516">
        <f t="shared" si="19"/>
        <v>7542477000</v>
      </c>
      <c r="H387" s="516">
        <f t="shared" si="19"/>
        <v>0</v>
      </c>
      <c r="I387" s="516">
        <f t="shared" si="19"/>
        <v>7542477000</v>
      </c>
      <c r="J387" s="516">
        <f t="shared" si="19"/>
        <v>0</v>
      </c>
      <c r="K387" s="574" t="e">
        <f t="shared" si="19"/>
        <v>#DIV/0!</v>
      </c>
      <c r="L387" s="516">
        <f t="shared" si="19"/>
        <v>338265</v>
      </c>
      <c r="M387" s="516"/>
      <c r="N387" s="516">
        <f t="shared" si="19"/>
        <v>0</v>
      </c>
      <c r="O387" s="662"/>
      <c r="P387" s="548" t="str">
        <f>IF(ISERROR(VLOOKUP(B387,'Base de Datos'!$C$7:$N$315,8,0))=TRUE," ",(VLOOKUP(B387,'Base de Datos'!$C$7:$N$315,8,0)))</f>
        <v xml:space="preserve"> </v>
      </c>
      <c r="Q387" s="542"/>
      <c r="R387" s="719" t="str">
        <f>IF(ISERROR(VLOOKUP(B387,'Base de Datos'!$C$7:$N$315,9,0))=TRUE," ",(VLOOKUP(B387,'Base de Datos'!$C$7:$N$315,9,0)))</f>
        <v xml:space="preserve"> </v>
      </c>
      <c r="S387" s="719" t="str">
        <f>IF(ISERROR(VLOOKUP(B387,'Base de Datos'!$C$7:$N$315,10,0))=TRUE," ",(VLOOKUP(B387,'Base de Datos'!$C$7:$N$315,10,0)))</f>
        <v xml:space="preserve"> </v>
      </c>
      <c r="T387" s="542"/>
      <c r="U387" s="508"/>
    </row>
    <row r="388" spans="2:21" hidden="1" x14ac:dyDescent="0.3">
      <c r="B388" s="1239" t="s">
        <v>1873</v>
      </c>
      <c r="C388" s="1239"/>
      <c r="D388" s="1239"/>
      <c r="E388" s="554">
        <f>SUM(E390:E397)</f>
        <v>3039996697</v>
      </c>
      <c r="F388" s="554">
        <f>SUM(F390:F397)</f>
        <v>0</v>
      </c>
      <c r="G388" s="554">
        <v>7542477000</v>
      </c>
      <c r="H388" s="559"/>
      <c r="I388" s="554">
        <v>7542477000</v>
      </c>
      <c r="J388" s="554">
        <f>SUM(J390:J397)</f>
        <v>0</v>
      </c>
      <c r="K388" s="576" t="e">
        <f>+J388/F388</f>
        <v>#DIV/0!</v>
      </c>
      <c r="L388" s="554">
        <f>SUM(L390:L397)</f>
        <v>338265</v>
      </c>
      <c r="M388" s="554"/>
      <c r="N388" s="554">
        <f>SUM(N390:N397)</f>
        <v>0</v>
      </c>
      <c r="O388" s="657"/>
      <c r="P388" s="564" t="str">
        <f>IF(ISERROR(VLOOKUP(B388,'Base de Datos'!$C$7:$N$315,8,0))=TRUE," ",(VLOOKUP(B388,'Base de Datos'!$C$7:$N$315,8,0)))</f>
        <v xml:space="preserve"> </v>
      </c>
      <c r="Q388" s="565"/>
      <c r="R388" s="717" t="str">
        <f>IF(ISERROR(VLOOKUP(B388,'Base de Datos'!$C$7:$N$315,9,0))=TRUE," ",(VLOOKUP(B388,'Base de Datos'!$C$7:$N$315,9,0)))</f>
        <v xml:space="preserve"> </v>
      </c>
      <c r="S388" s="717" t="str">
        <f>IF(ISERROR(VLOOKUP(B388,'Base de Datos'!$C$7:$N$315,10,0))=TRUE," ",(VLOOKUP(B388,'Base de Datos'!$C$7:$N$315,10,0)))</f>
        <v xml:space="preserve"> </v>
      </c>
      <c r="T388" s="565"/>
      <c r="U388" s="508"/>
    </row>
    <row r="389" spans="2:21" ht="22.8" hidden="1" x14ac:dyDescent="0.3">
      <c r="B389" s="510" t="s">
        <v>2127</v>
      </c>
      <c r="C389" s="510" t="s">
        <v>912</v>
      </c>
      <c r="D389" s="510" t="s">
        <v>1821</v>
      </c>
      <c r="E389" s="518" t="s">
        <v>1844</v>
      </c>
      <c r="F389" s="507" t="s">
        <v>2129</v>
      </c>
      <c r="G389" s="507"/>
      <c r="H389" s="507"/>
      <c r="I389" s="507"/>
      <c r="J389" s="510" t="s">
        <v>2130</v>
      </c>
      <c r="K389" s="625"/>
      <c r="L389" s="510" t="s">
        <v>1939</v>
      </c>
      <c r="M389" s="510"/>
      <c r="N389" s="510" t="s">
        <v>2136</v>
      </c>
      <c r="O389" s="650" t="s">
        <v>2133</v>
      </c>
      <c r="P389" s="541" t="s">
        <v>1817</v>
      </c>
      <c r="Q389" s="510" t="s">
        <v>1847</v>
      </c>
      <c r="R389" s="718" t="s">
        <v>1848</v>
      </c>
      <c r="S389" s="718" t="s">
        <v>375</v>
      </c>
      <c r="T389" s="510" t="s">
        <v>1849</v>
      </c>
      <c r="U389" s="508"/>
    </row>
    <row r="390" spans="2:21" ht="22.8" hidden="1" x14ac:dyDescent="0.3">
      <c r="B390" s="506"/>
      <c r="C390" s="506" t="s">
        <v>1524</v>
      </c>
      <c r="D390" s="506" t="str">
        <f>VLOOKUP(C390,'Base de Datos'!$E$7:$AU$390,2,0)</f>
        <v>M@ICROTEL LTDA</v>
      </c>
      <c r="E390" s="509">
        <f>VLOOKUP(C390,'Base de Datos'!$E$7:$AU$390,5,0)</f>
        <v>137450000</v>
      </c>
      <c r="F390" s="509" t="str">
        <f>VLOOKUP(C390,'Base de Datos'!$E$7:$AU$390,17,0)</f>
        <v/>
      </c>
      <c r="G390" s="506"/>
      <c r="H390" s="506"/>
      <c r="I390" s="506"/>
      <c r="J390" s="509" t="str">
        <f>VLOOKUP(C390,'Base de Datos'!$E$7:$AU$390,18,0)</f>
        <v/>
      </c>
      <c r="K390" s="573"/>
      <c r="L390" s="714">
        <f>VLOOKUP(C390,'Base de Datos'!$E$7:$AU$390,19,0)</f>
        <v>42383</v>
      </c>
      <c r="M390" s="506"/>
      <c r="N390" s="509" t="str">
        <f>IF(OR(O390=Hoja1!$D$17,'Presupuesto - PAA 2017'!O390=Hoja1!$D$18),'Presupuesto - PAA 2017'!L390," ")</f>
        <v xml:space="preserve"> </v>
      </c>
      <c r="O390" s="651" t="str">
        <f>VLOOKUP(C390,'Base de Datos'!$E$7:$AU$390,33,0)</f>
        <v>Dirección Administrativa</v>
      </c>
      <c r="P390" s="709"/>
      <c r="Q390" s="506"/>
      <c r="R390" s="715">
        <f>VLOOKUP(C390,'Base de Datos'!$E$7:$AU$390,9,0)</f>
        <v>42018</v>
      </c>
      <c r="S390" s="715" t="str">
        <f>VLOOKUP(C390,'Base de Datos'!$E$7:$AU$390,16,0)</f>
        <v/>
      </c>
      <c r="T390" s="651">
        <f>VLOOKUP(C390,'Base de Datos'!$E$7:$AU$390,40,0)</f>
        <v>0</v>
      </c>
      <c r="U390" s="508"/>
    </row>
    <row r="391" spans="2:21" ht="22.8" hidden="1" x14ac:dyDescent="0.3">
      <c r="B391" s="506"/>
      <c r="C391" s="506" t="s">
        <v>1115</v>
      </c>
      <c r="D391" s="506" t="str">
        <f>VLOOKUP(C391,'Base de Datos'!$E$7:$AU$390,2,0)</f>
        <v>SUMIMAS SAS</v>
      </c>
      <c r="E391" s="509">
        <f>VLOOKUP(C391,'Base de Datos'!$E$7:$AU$390,5,0)</f>
        <v>75520000</v>
      </c>
      <c r="F391" s="509" t="str">
        <f>VLOOKUP(C391,'Base de Datos'!$E$7:$AU$390,17,0)</f>
        <v/>
      </c>
      <c r="G391" s="506"/>
      <c r="H391" s="506"/>
      <c r="I391" s="506"/>
      <c r="J391" s="509" t="str">
        <f>VLOOKUP(C391,'Base de Datos'!$E$7:$AU$390,18,0)</f>
        <v/>
      </c>
      <c r="K391" s="573"/>
      <c r="L391" s="714">
        <f>VLOOKUP(C391,'Base de Datos'!$E$7:$AU$390,19,0)</f>
        <v>42294</v>
      </c>
      <c r="M391" s="506"/>
      <c r="N391" s="509" t="str">
        <f>IF(OR(O391=Hoja1!$D$17,'Presupuesto - PAA 2017'!O391=Hoja1!$D$18),'Presupuesto - PAA 2017'!L391," ")</f>
        <v xml:space="preserve"> </v>
      </c>
      <c r="O391" s="651" t="str">
        <f>VLOOKUP(C391,'Base de Datos'!$E$7:$AU$390,33,0)</f>
        <v>Dirección Administrativa</v>
      </c>
      <c r="P391" s="709"/>
      <c r="Q391" s="506"/>
      <c r="R391" s="715">
        <f>VLOOKUP(C391,'Base de Datos'!$E$7:$AU$390,9,0)</f>
        <v>41929</v>
      </c>
      <c r="S391" s="715" t="str">
        <f>VLOOKUP(C391,'Base de Datos'!$E$7:$AU$390,16,0)</f>
        <v/>
      </c>
      <c r="T391" s="651">
        <f>VLOOKUP(C391,'Base de Datos'!$E$7:$AU$390,40,0)</f>
        <v>0</v>
      </c>
      <c r="U391" s="508"/>
    </row>
    <row r="392" spans="2:21" ht="22.8" hidden="1" x14ac:dyDescent="0.3">
      <c r="B392" s="506"/>
      <c r="C392" s="506" t="s">
        <v>1358</v>
      </c>
      <c r="D392" s="506" t="str">
        <f>VLOOKUP(C392,'Base de Datos'!$E$7:$AU$390,2,0)</f>
        <v>M@ICROTEL LTDA</v>
      </c>
      <c r="E392" s="509">
        <f>VLOOKUP(C392,'Base de Datos'!$E$7:$AU$390,5,0)</f>
        <v>27235640</v>
      </c>
      <c r="F392" s="509" t="str">
        <f>VLOOKUP(C392,'Base de Datos'!$E$7:$AU$390,17,0)</f>
        <v/>
      </c>
      <c r="G392" s="506"/>
      <c r="H392" s="506"/>
      <c r="I392" s="506"/>
      <c r="J392" s="509" t="str">
        <f>VLOOKUP(C392,'Base de Datos'!$E$7:$AU$390,18,0)</f>
        <v/>
      </c>
      <c r="K392" s="573"/>
      <c r="L392" s="714">
        <f>VLOOKUP(C392,'Base de Datos'!$E$7:$AU$390,19,0)</f>
        <v>42334</v>
      </c>
      <c r="M392" s="506"/>
      <c r="N392" s="509" t="str">
        <f>IF(OR(O392=Hoja1!$D$17,'Presupuesto - PAA 2017'!O392=Hoja1!$D$18),'Presupuesto - PAA 2017'!L392," ")</f>
        <v xml:space="preserve"> </v>
      </c>
      <c r="O392" s="651" t="str">
        <f>VLOOKUP(C392,'Base de Datos'!$E$7:$AU$390,33,0)</f>
        <v>Dirección Administrativa</v>
      </c>
      <c r="P392" s="709"/>
      <c r="Q392" s="506"/>
      <c r="R392" s="715">
        <f>VLOOKUP(C392,'Base de Datos'!$E$7:$AU$390,9,0)</f>
        <v>41969</v>
      </c>
      <c r="S392" s="715" t="str">
        <f>VLOOKUP(C392,'Base de Datos'!$E$7:$AU$390,16,0)</f>
        <v/>
      </c>
      <c r="T392" s="651">
        <f>VLOOKUP(C392,'Base de Datos'!$E$7:$AU$390,40,0)</f>
        <v>0</v>
      </c>
      <c r="U392" s="508"/>
    </row>
    <row r="393" spans="2:21" ht="22.8" hidden="1" x14ac:dyDescent="0.3">
      <c r="B393" s="506"/>
      <c r="C393" s="506" t="s">
        <v>1365</v>
      </c>
      <c r="D393" s="506" t="str">
        <f>VLOOKUP(C393,'Base de Datos'!$E$7:$AU$390,2,0)</f>
        <v>CARLOS ALBERTO CASTELLANOS MEDINA</v>
      </c>
      <c r="E393" s="509">
        <f>VLOOKUP(C393,'Base de Datos'!$E$7:$AU$390,5,0)</f>
        <v>39999999</v>
      </c>
      <c r="F393" s="509" t="str">
        <f>VLOOKUP(C393,'Base de Datos'!$E$7:$AU$390,17,0)</f>
        <v/>
      </c>
      <c r="G393" s="506"/>
      <c r="H393" s="506"/>
      <c r="I393" s="506"/>
      <c r="J393" s="509" t="str">
        <f>VLOOKUP(C393,'Base de Datos'!$E$7:$AU$390,18,0)</f>
        <v/>
      </c>
      <c r="K393" s="573"/>
      <c r="L393" s="714">
        <f>VLOOKUP(C393,'Base de Datos'!$E$7:$AU$390,19,0)</f>
        <v>42504</v>
      </c>
      <c r="M393" s="506"/>
      <c r="N393" s="509" t="str">
        <f>IF(OR(O393=Hoja1!$D$17,'Presupuesto - PAA 2017'!O393=Hoja1!$D$18),'Presupuesto - PAA 2017'!L393," ")</f>
        <v xml:space="preserve"> </v>
      </c>
      <c r="O393" s="651" t="str">
        <f>VLOOKUP(C393,'Base de Datos'!$E$7:$AU$390,33,0)</f>
        <v>Dirección Administrativa</v>
      </c>
      <c r="P393" s="709"/>
      <c r="Q393" s="506"/>
      <c r="R393" s="715">
        <f>VLOOKUP(C393,'Base de Datos'!$E$7:$AU$390,9,0)</f>
        <v>41957</v>
      </c>
      <c r="S393" s="715" t="str">
        <f>VLOOKUP(C393,'Base de Datos'!$E$7:$AU$390,16,0)</f>
        <v/>
      </c>
      <c r="T393" s="651">
        <f>VLOOKUP(C393,'Base de Datos'!$E$7:$AU$390,40,0)</f>
        <v>0</v>
      </c>
      <c r="U393" s="508"/>
    </row>
    <row r="394" spans="2:21" ht="22.8" hidden="1" x14ac:dyDescent="0.3">
      <c r="B394" s="506"/>
      <c r="C394" s="506" t="s">
        <v>291</v>
      </c>
      <c r="D394" s="506" t="str">
        <f>VLOOKUP(C394,'Base de Datos'!$E$7:$AU$390,2,0)</f>
        <v>UNIDAD NACIONAL DE PROTECCIÓN</v>
      </c>
      <c r="E394" s="509">
        <f>VLOOKUP(C394,'Base de Datos'!$E$7:$AU$390,5,0)</f>
        <v>2447846100</v>
      </c>
      <c r="F394" s="509" t="str">
        <f>VLOOKUP(C394,'Base de Datos'!$E$7:$AU$390,17,0)</f>
        <v/>
      </c>
      <c r="G394" s="506"/>
      <c r="H394" s="506"/>
      <c r="I394" s="506"/>
      <c r="J394" s="509" t="str">
        <f>VLOOKUP(C394,'Base de Datos'!$E$7:$AU$390,18,0)</f>
        <v/>
      </c>
      <c r="K394" s="573"/>
      <c r="L394" s="714">
        <f>VLOOKUP(C394,'Base de Datos'!$E$7:$AU$390,19,0)</f>
        <v>42116</v>
      </c>
      <c r="M394" s="506"/>
      <c r="N394" s="509" t="str">
        <f>IF(OR(O394=Hoja1!$D$17,'Presupuesto - PAA 2017'!O394=Hoja1!$D$18),'Presupuesto - PAA 2017'!L394," ")</f>
        <v xml:space="preserve"> </v>
      </c>
      <c r="O394" s="651" t="str">
        <f>VLOOKUP(C394,'Base de Datos'!$E$7:$AU$390,33,0)</f>
        <v>Dirección Administrativa</v>
      </c>
      <c r="P394" s="709"/>
      <c r="Q394" s="506"/>
      <c r="R394" s="715">
        <f>VLOOKUP(C394,'Base de Datos'!$E$7:$AU$390,9,0)</f>
        <v>41808</v>
      </c>
      <c r="S394" s="715">
        <f>VLOOKUP(C394,'Base de Datos'!$E$7:$AU$390,16,0)</f>
        <v>42116</v>
      </c>
      <c r="T394" s="651">
        <f>VLOOKUP(C394,'Base de Datos'!$E$7:$AU$390,40,0)</f>
        <v>0</v>
      </c>
      <c r="U394" s="508"/>
    </row>
    <row r="395" spans="2:21" ht="22.8" hidden="1" x14ac:dyDescent="0.3">
      <c r="B395" s="506"/>
      <c r="C395" s="506" t="s">
        <v>1515</v>
      </c>
      <c r="D395" s="506" t="str">
        <f>VLOOKUP(C395,'Base de Datos'!$E$7:$AU$390,2,0)</f>
        <v>KAWAK SAS</v>
      </c>
      <c r="E395" s="509">
        <f>VLOOKUP(C395,'Base de Datos'!$E$7:$AU$390,5,0)</f>
        <v>64621280</v>
      </c>
      <c r="F395" s="509" t="str">
        <f>VLOOKUP(C395,'Base de Datos'!$E$7:$AU$390,17,0)</f>
        <v/>
      </c>
      <c r="G395" s="506"/>
      <c r="H395" s="506"/>
      <c r="I395" s="506"/>
      <c r="J395" s="509" t="str">
        <f>VLOOKUP(C395,'Base de Datos'!$E$7:$AU$390,18,0)</f>
        <v/>
      </c>
      <c r="K395" s="573"/>
      <c r="L395" s="714">
        <f>VLOOKUP(C395,'Base de Datos'!$E$7:$AU$390,19,0)</f>
        <v>42348</v>
      </c>
      <c r="M395" s="506"/>
      <c r="N395" s="509" t="str">
        <f>IF(OR(O395=Hoja1!$D$17,'Presupuesto - PAA 2017'!O395=Hoja1!$D$18),'Presupuesto - PAA 2017'!L395," ")</f>
        <v xml:space="preserve"> </v>
      </c>
      <c r="O395" s="651" t="str">
        <f>VLOOKUP(C395,'Base de Datos'!$E$7:$AU$390,33,0)</f>
        <v>Dirección Administrativa</v>
      </c>
      <c r="P395" s="709"/>
      <c r="Q395" s="506"/>
      <c r="R395" s="715">
        <f>VLOOKUP(C395,'Base de Datos'!$E$7:$AU$390,9,0)</f>
        <v>42045</v>
      </c>
      <c r="S395" s="715">
        <f>VLOOKUP(C395,'Base de Datos'!$E$7:$AU$390,16,0)</f>
        <v>42348</v>
      </c>
      <c r="T395" s="651">
        <f>VLOOKUP(C395,'Base de Datos'!$E$7:$AU$390,40,0)</f>
        <v>0</v>
      </c>
      <c r="U395" s="508"/>
    </row>
    <row r="396" spans="2:21" ht="22.8" hidden="1" x14ac:dyDescent="0.3">
      <c r="B396" s="506"/>
      <c r="C396" s="506" t="s">
        <v>1496</v>
      </c>
      <c r="D396" s="506" t="str">
        <f>VLOOKUP(C396,'Base de Datos'!$E$7:$AU$390,2,0)</f>
        <v>GAMMA INGENIEROS S A</v>
      </c>
      <c r="E396" s="509">
        <f>VLOOKUP(C396,'Base de Datos'!$E$7:$AU$390,5,0)</f>
        <v>187940000</v>
      </c>
      <c r="F396" s="509" t="str">
        <f>VLOOKUP(C396,'Base de Datos'!$E$7:$AU$390,17,0)</f>
        <v/>
      </c>
      <c r="G396" s="506"/>
      <c r="H396" s="506"/>
      <c r="I396" s="506"/>
      <c r="J396" s="509" t="str">
        <f>VLOOKUP(C396,'Base de Datos'!$E$7:$AU$390,18,0)</f>
        <v/>
      </c>
      <c r="K396" s="573"/>
      <c r="L396" s="714">
        <f>VLOOKUP(C396,'Base de Datos'!$E$7:$AU$390,19,0)</f>
        <v>42102</v>
      </c>
      <c r="M396" s="506"/>
      <c r="N396" s="509" t="str">
        <f>IF(OR(O396=Hoja1!$D$17,'Presupuesto - PAA 2017'!O396=Hoja1!$D$18),'Presupuesto - PAA 2017'!L396," ")</f>
        <v xml:space="preserve"> </v>
      </c>
      <c r="O396" s="651" t="str">
        <f>VLOOKUP(C396,'Base de Datos'!$E$7:$AU$390,33,0)</f>
        <v>Dirección Administrativa</v>
      </c>
      <c r="P396" s="709"/>
      <c r="Q396" s="506"/>
      <c r="R396" s="715">
        <f>VLOOKUP(C396,'Base de Datos'!$E$7:$AU$390,9,0)</f>
        <v>42023</v>
      </c>
      <c r="S396" s="715" t="str">
        <f>VLOOKUP(C396,'Base de Datos'!$E$7:$AU$390,16,0)</f>
        <v/>
      </c>
      <c r="T396" s="651">
        <f>VLOOKUP(C396,'Base de Datos'!$E$7:$AU$390,40,0)</f>
        <v>0</v>
      </c>
      <c r="U396" s="508"/>
    </row>
    <row r="397" spans="2:21" ht="22.8" hidden="1" x14ac:dyDescent="0.3">
      <c r="B397" s="506"/>
      <c r="C397" s="506" t="s">
        <v>1350</v>
      </c>
      <c r="D397" s="506" t="str">
        <f>VLOOKUP(C397,'Base de Datos'!$E$7:$AU$390,2,0)</f>
        <v>PROSEGUR TECNOLOGÍA S.A.S.</v>
      </c>
      <c r="E397" s="509">
        <f>VLOOKUP(C397,'Base de Datos'!$E$7:$AU$390,5,0)</f>
        <v>59383678</v>
      </c>
      <c r="F397" s="509" t="str">
        <f>VLOOKUP(C397,'Base de Datos'!$E$7:$AU$390,17,0)</f>
        <v/>
      </c>
      <c r="G397" s="506"/>
      <c r="H397" s="506"/>
      <c r="I397" s="506"/>
      <c r="J397" s="509" t="str">
        <f>VLOOKUP(C397,'Base de Datos'!$E$7:$AU$390,18,0)</f>
        <v/>
      </c>
      <c r="K397" s="573"/>
      <c r="L397" s="714">
        <f>VLOOKUP(C397,'Base de Datos'!$E$7:$AU$390,19,0)</f>
        <v>42184</v>
      </c>
      <c r="M397" s="506"/>
      <c r="N397" s="509" t="str">
        <f>IF(OR(O397=Hoja1!$D$17,'Presupuesto - PAA 2017'!O397=Hoja1!$D$18),'Presupuesto - PAA 2017'!L397," ")</f>
        <v xml:space="preserve"> </v>
      </c>
      <c r="O397" s="651" t="str">
        <f>VLOOKUP(C397,'Base de Datos'!$E$7:$AU$390,33,0)</f>
        <v>Dirección Administrativa</v>
      </c>
      <c r="P397" s="709"/>
      <c r="Q397" s="506"/>
      <c r="R397" s="715">
        <f>VLOOKUP(C397,'Base de Datos'!$E$7:$AU$390,9,0)</f>
        <v>41941</v>
      </c>
      <c r="S397" s="715">
        <f>VLOOKUP(C397,'Base de Datos'!$E$7:$AU$390,16,0)</f>
        <v>42184</v>
      </c>
      <c r="T397" s="651">
        <f>VLOOKUP(C397,'Base de Datos'!$E$7:$AU$390,40,0)</f>
        <v>0</v>
      </c>
      <c r="U397" s="508"/>
    </row>
    <row r="398" spans="2:21" x14ac:dyDescent="0.3">
      <c r="R398" s="721"/>
      <c r="S398" s="721"/>
      <c r="U398" s="508"/>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ColWidth="11.44140625" defaultRowHeight="11.4" outlineLevelRow="1" x14ac:dyDescent="0.3"/>
  <cols>
    <col min="1" max="1" width="2.44140625" style="508" customWidth="1"/>
    <col min="2" max="2" width="10" style="508" customWidth="1"/>
    <col min="3" max="3" width="18" style="508" customWidth="1"/>
    <col min="4" max="4" width="46.109375" style="508" customWidth="1"/>
    <col min="5" max="5" width="18.44140625" style="508" customWidth="1"/>
    <col min="6" max="6" width="15.109375" style="508" customWidth="1"/>
    <col min="7" max="7" width="14.109375" style="508" hidden="1" customWidth="1"/>
    <col min="8" max="8" width="12.6640625" style="508" hidden="1" customWidth="1"/>
    <col min="9" max="9" width="15" style="508" hidden="1" customWidth="1"/>
    <col min="10" max="10" width="16.6640625" style="508" customWidth="1"/>
    <col min="11" max="11" width="9" style="584" customWidth="1"/>
    <col min="12" max="12" width="16.6640625" style="508" customWidth="1"/>
    <col min="13" max="13" width="12.88671875" style="508" hidden="1" customWidth="1"/>
    <col min="14" max="14" width="16.6640625" style="508" customWidth="1"/>
    <col min="15" max="15" width="16.6640625" style="670" customWidth="1"/>
    <col min="16" max="16" width="15.109375" style="520" customWidth="1"/>
    <col min="17" max="19" width="11.44140625" style="508" customWidth="1"/>
    <col min="20" max="20" width="16.6640625" style="508" customWidth="1"/>
    <col min="21" max="21" width="17.5546875" style="629" bestFit="1" customWidth="1"/>
    <col min="22" max="22" width="17.88671875" style="508" bestFit="1" customWidth="1"/>
    <col min="23" max="26" width="11.44140625" style="508"/>
    <col min="27" max="27" width="6.109375" style="508" customWidth="1"/>
    <col min="28" max="16384" width="11.44140625" style="508"/>
  </cols>
  <sheetData>
    <row r="1" spans="2:27" ht="23.25" customHeight="1" thickBot="1" x14ac:dyDescent="0.35">
      <c r="B1" s="1245" t="s">
        <v>1840</v>
      </c>
      <c r="C1" s="1246"/>
      <c r="D1" s="1246"/>
      <c r="E1" s="1246"/>
      <c r="F1" s="1246"/>
      <c r="G1" s="1246"/>
      <c r="H1" s="1246"/>
      <c r="I1" s="1246"/>
      <c r="J1" s="1246"/>
      <c r="K1" s="1246"/>
      <c r="L1" s="1246"/>
      <c r="M1" s="1246"/>
      <c r="N1" s="1246"/>
      <c r="O1" s="1246"/>
      <c r="P1" s="1246"/>
      <c r="Q1" s="1246"/>
      <c r="R1" s="1246"/>
      <c r="S1" s="1246"/>
      <c r="T1" s="1247"/>
      <c r="AA1" s="508" t="s">
        <v>1902</v>
      </c>
    </row>
    <row r="2" spans="2:27" ht="36" x14ac:dyDescent="0.3">
      <c r="B2" s="1243" t="s">
        <v>1782</v>
      </c>
      <c r="C2" s="1243"/>
      <c r="D2" s="1243"/>
      <c r="E2" s="935" t="s">
        <v>2263</v>
      </c>
      <c r="F2" s="935" t="s">
        <v>1841</v>
      </c>
      <c r="G2" s="935" t="s">
        <v>1896</v>
      </c>
      <c r="H2" s="935" t="s">
        <v>1897</v>
      </c>
      <c r="I2" s="935" t="s">
        <v>1839</v>
      </c>
      <c r="J2" s="935" t="s">
        <v>1898</v>
      </c>
      <c r="K2" s="688" t="s">
        <v>1899</v>
      </c>
      <c r="L2" s="935" t="s">
        <v>1900</v>
      </c>
      <c r="M2" s="935" t="s">
        <v>1901</v>
      </c>
      <c r="N2" s="935" t="s">
        <v>1903</v>
      </c>
      <c r="O2" s="689" t="s">
        <v>1121</v>
      </c>
      <c r="P2" s="690" t="s">
        <v>1846</v>
      </c>
      <c r="Q2" s="935" t="s">
        <v>1847</v>
      </c>
      <c r="R2" s="935" t="s">
        <v>1848</v>
      </c>
      <c r="S2" s="935" t="s">
        <v>375</v>
      </c>
      <c r="T2" s="935" t="s">
        <v>1849</v>
      </c>
    </row>
    <row r="3" spans="2:27" ht="15" customHeight="1" x14ac:dyDescent="0.3">
      <c r="B3" s="1241" t="s">
        <v>1685</v>
      </c>
      <c r="C3" s="1241"/>
      <c r="D3" s="1241"/>
      <c r="E3" s="514">
        <v>31035477000</v>
      </c>
      <c r="F3" s="514"/>
      <c r="G3" s="514"/>
      <c r="H3" s="514"/>
      <c r="I3" s="514">
        <f>+I4+I226</f>
        <v>8272977000</v>
      </c>
      <c r="J3" s="514">
        <f>+J4+J226</f>
        <v>30084445618.200001</v>
      </c>
      <c r="K3" s="619">
        <f t="shared" ref="K3:K8" si="0">+J3/E3</f>
        <v>0.96935663718653331</v>
      </c>
      <c r="L3" s="514" t="e">
        <f>+L4+L226</f>
        <v>#N/A</v>
      </c>
      <c r="M3" s="514" t="e">
        <f>+M4+M251</f>
        <v>#N/A</v>
      </c>
      <c r="N3" s="514" t="e">
        <f>+N4+N226</f>
        <v>#N/A</v>
      </c>
      <c r="O3" s="514"/>
      <c r="P3" s="624"/>
      <c r="Q3" s="544"/>
      <c r="R3" s="544"/>
      <c r="S3" s="544"/>
      <c r="T3" s="544"/>
    </row>
    <row r="4" spans="2:27" ht="15" customHeight="1" x14ac:dyDescent="0.3">
      <c r="B4" s="1241" t="s">
        <v>1683</v>
      </c>
      <c r="C4" s="1241"/>
      <c r="D4" s="1241"/>
      <c r="E4" s="514">
        <v>22793000000</v>
      </c>
      <c r="F4" s="515"/>
      <c r="G4" s="514">
        <f>+G5+G58</f>
        <v>858500000</v>
      </c>
      <c r="H4" s="514">
        <f>+H5+H58</f>
        <v>128000000</v>
      </c>
      <c r="I4" s="514">
        <f>+I5+I58</f>
        <v>730500000</v>
      </c>
      <c r="J4" s="514">
        <f>+J5+J49</f>
        <v>18432150043</v>
      </c>
      <c r="K4" s="619">
        <f t="shared" si="0"/>
        <v>0.80867591115693416</v>
      </c>
      <c r="L4" s="514" t="e">
        <f>+L5+L49</f>
        <v>#N/A</v>
      </c>
      <c r="M4" s="514" t="e">
        <f>+M5+M49</f>
        <v>#N/A</v>
      </c>
      <c r="N4" s="514" t="e">
        <f>+N5+N49</f>
        <v>#N/A</v>
      </c>
      <c r="O4" s="647"/>
      <c r="P4" s="545"/>
      <c r="Q4" s="544"/>
      <c r="R4" s="544"/>
      <c r="S4" s="544"/>
      <c r="T4" s="544"/>
    </row>
    <row r="5" spans="2:27" ht="15" customHeight="1" x14ac:dyDescent="0.3">
      <c r="B5" s="1240" t="s">
        <v>1682</v>
      </c>
      <c r="C5" s="1240"/>
      <c r="D5" s="1240"/>
      <c r="E5" s="512">
        <v>13641779000</v>
      </c>
      <c r="F5" s="513"/>
      <c r="G5" s="512">
        <f t="shared" ref="G5:N6" si="1">+G6</f>
        <v>858500000</v>
      </c>
      <c r="H5" s="512">
        <f t="shared" si="1"/>
        <v>128000000</v>
      </c>
      <c r="I5" s="512">
        <f t="shared" si="1"/>
        <v>730500000</v>
      </c>
      <c r="J5" s="512">
        <f t="shared" si="1"/>
        <v>11150082539</v>
      </c>
      <c r="K5" s="575">
        <f t="shared" si="0"/>
        <v>0.8173481287887745</v>
      </c>
      <c r="L5" s="512" t="e">
        <f t="shared" si="1"/>
        <v>#N/A</v>
      </c>
      <c r="M5" s="512">
        <f t="shared" si="1"/>
        <v>-94560993</v>
      </c>
      <c r="N5" s="512" t="e">
        <f t="shared" si="1"/>
        <v>#N/A</v>
      </c>
      <c r="O5" s="648"/>
      <c r="P5" s="543"/>
      <c r="Q5" s="542"/>
      <c r="R5" s="542"/>
      <c r="S5" s="542"/>
      <c r="T5" s="542"/>
    </row>
    <row r="6" spans="2:27" ht="15" customHeight="1" x14ac:dyDescent="0.3">
      <c r="B6" s="1240" t="s">
        <v>1681</v>
      </c>
      <c r="C6" s="1240"/>
      <c r="D6" s="1240"/>
      <c r="E6" s="512">
        <v>13641779000</v>
      </c>
      <c r="F6" s="513"/>
      <c r="G6" s="512">
        <f t="shared" si="1"/>
        <v>858500000</v>
      </c>
      <c r="H6" s="512">
        <f t="shared" si="1"/>
        <v>128000000</v>
      </c>
      <c r="I6" s="512">
        <f t="shared" si="1"/>
        <v>730500000</v>
      </c>
      <c r="J6" s="512">
        <f t="shared" si="1"/>
        <v>11150082539</v>
      </c>
      <c r="K6" s="575">
        <f t="shared" si="0"/>
        <v>0.8173481287887745</v>
      </c>
      <c r="L6" s="512" t="e">
        <f t="shared" si="1"/>
        <v>#N/A</v>
      </c>
      <c r="M6" s="512">
        <f t="shared" si="1"/>
        <v>-94560993</v>
      </c>
      <c r="N6" s="512" t="e">
        <f t="shared" si="1"/>
        <v>#N/A</v>
      </c>
      <c r="O6" s="648"/>
      <c r="P6" s="543"/>
      <c r="Q6" s="542"/>
      <c r="R6" s="542"/>
      <c r="S6" s="542"/>
      <c r="T6" s="542"/>
    </row>
    <row r="7" spans="2:27" ht="15" customHeight="1" x14ac:dyDescent="0.3">
      <c r="B7" s="1240" t="s">
        <v>1680</v>
      </c>
      <c r="C7" s="1240"/>
      <c r="D7" s="1240"/>
      <c r="E7" s="512">
        <v>13548179000</v>
      </c>
      <c r="F7" s="604"/>
      <c r="G7" s="512">
        <f>+G8+G49+G52</f>
        <v>858500000</v>
      </c>
      <c r="H7" s="512">
        <f>+H8+H49+H52</f>
        <v>128000000</v>
      </c>
      <c r="I7" s="512">
        <f>+I8+I49+I52</f>
        <v>730500000</v>
      </c>
      <c r="J7" s="512">
        <f>+J8+J34+J37</f>
        <v>11150082539</v>
      </c>
      <c r="K7" s="575">
        <f t="shared" si="0"/>
        <v>0.82299492345059799</v>
      </c>
      <c r="L7" s="512" t="e">
        <f>+L8+L34+L37</f>
        <v>#N/A</v>
      </c>
      <c r="M7" s="512">
        <f>+M8+M34+M37</f>
        <v>-94560993</v>
      </c>
      <c r="N7" s="512" t="e">
        <f>+N8+N34+N37</f>
        <v>#N/A</v>
      </c>
      <c r="O7" s="648"/>
      <c r="P7" s="543"/>
      <c r="Q7" s="542"/>
      <c r="R7" s="542"/>
      <c r="S7" s="542"/>
      <c r="T7" s="542"/>
    </row>
    <row r="8" spans="2:27" ht="15" customHeight="1" x14ac:dyDescent="0.3">
      <c r="B8" s="1239" t="s">
        <v>1642</v>
      </c>
      <c r="C8" s="1239"/>
      <c r="D8" s="1239"/>
      <c r="E8" s="554">
        <v>843179000</v>
      </c>
      <c r="F8" s="559">
        <v>19</v>
      </c>
      <c r="G8" s="554">
        <v>858500000</v>
      </c>
      <c r="H8" s="555">
        <v>128000000</v>
      </c>
      <c r="I8" s="554">
        <f>+G8-H8</f>
        <v>730500000</v>
      </c>
      <c r="J8" s="557">
        <f>SUM(J10:J31)</f>
        <v>639739993</v>
      </c>
      <c r="K8" s="576">
        <f t="shared" si="0"/>
        <v>0.75872382139498251</v>
      </c>
      <c r="L8" s="557">
        <f>SUM(L10:L31)</f>
        <v>298000000</v>
      </c>
      <c r="M8" s="558">
        <f>+E8-(J8+L8)</f>
        <v>-94560993</v>
      </c>
      <c r="N8" s="605">
        <f>+E8-J8-L8</f>
        <v>-94560993</v>
      </c>
      <c r="O8" s="649"/>
      <c r="P8" s="557"/>
      <c r="Q8" s="565"/>
      <c r="R8" s="565"/>
      <c r="S8" s="565"/>
      <c r="T8" s="565"/>
    </row>
    <row r="9" spans="2:27" ht="22.8" outlineLevel="1" x14ac:dyDescent="0.3">
      <c r="B9" s="510" t="s">
        <v>3804</v>
      </c>
      <c r="C9" s="510" t="s">
        <v>912</v>
      </c>
      <c r="D9" s="510" t="s">
        <v>1821</v>
      </c>
      <c r="E9" s="518" t="s">
        <v>1845</v>
      </c>
      <c r="F9" s="507" t="s">
        <v>1852</v>
      </c>
      <c r="G9" s="507"/>
      <c r="H9" s="507"/>
      <c r="I9" s="507"/>
      <c r="J9" s="510" t="s">
        <v>1844</v>
      </c>
      <c r="K9" s="625"/>
      <c r="L9" s="510" t="s">
        <v>1938</v>
      </c>
      <c r="M9" s="510"/>
      <c r="N9" s="510" t="s">
        <v>1939</v>
      </c>
      <c r="O9" s="650"/>
      <c r="P9" s="541" t="s">
        <v>1846</v>
      </c>
      <c r="Q9" s="510" t="s">
        <v>1847</v>
      </c>
      <c r="R9" s="510" t="s">
        <v>1848</v>
      </c>
      <c r="S9" s="510" t="s">
        <v>375</v>
      </c>
      <c r="T9" s="510" t="s">
        <v>1849</v>
      </c>
    </row>
    <row r="10" spans="2:27" ht="14.25" customHeight="1" outlineLevel="1" x14ac:dyDescent="0.3">
      <c r="B10" s="510">
        <v>69</v>
      </c>
      <c r="C10" s="506" t="str">
        <f>IF(ISERROR(VLOOKUP(B10,'Base de Datos'!$C$87:$F$4092,2,0))=TRUE,"",(VLOOKUP('Presupuesto - PAA 2018'!B10,'Base de Datos'!$C$7:$F$4092,3,0)))</f>
        <v>170115-0-2017</v>
      </c>
      <c r="D10" s="506" t="str">
        <f>IF(ISERROR(VLOOKUP(B10,'Base de Datos'!$C$487:$F$4092,3,0))=TRUE,"",(VLOOKUP('Presupuesto - PAA 2018'!B10,'Base de Datos'!$C$487:$F$4092,4,0)))</f>
        <v>WIESNER FABIÁN ROBAYO SALCEDO</v>
      </c>
      <c r="E10" s="509">
        <f>VLOOKUP(B10,[7]PAA2017!$C$65:$AA$255,20,0)</f>
        <v>39000000</v>
      </c>
      <c r="F10" s="507" t="str">
        <f>VLOOKUP(B10,[8]SOLICITUDES!$B$3:$H$278,2,0)</f>
        <v>SI</v>
      </c>
      <c r="G10" s="507"/>
      <c r="H10" s="507"/>
      <c r="I10" s="507"/>
      <c r="J10" s="509">
        <f>IF(ISERROR(VLOOKUP(B10,'Base de Datos'!$C$487:$N$4092,6,0))=TRUE,"Sin Celebrar",(VLOOKUP(B10,'Base de Datos'!$C$487:$N$4092,7,0)))</f>
        <v>38999997</v>
      </c>
      <c r="K10" s="573"/>
      <c r="L10" s="553" t="str">
        <f t="shared" ref="L10:L30" si="2">IF(J10=$AA$1,E10, " ")</f>
        <v xml:space="preserve"> </v>
      </c>
      <c r="M10" s="509"/>
      <c r="N10" s="509">
        <f t="shared" ref="N10:N30" si="3">IF(J10&lt;E10,(E10-J10)," ")</f>
        <v>3</v>
      </c>
      <c r="O10" s="691" t="str">
        <f>IF(ISERROR(VLOOKUP(B10,'Base de Datos'!$C$487:$K$1048576,7,0))=TRUE," ",(VLOOKUP(B10,'Base de Datos'!$C$487:$K$1048576,8,0)))</f>
        <v>170115-0-2017</v>
      </c>
      <c r="P10" s="524">
        <f>IF(ISERROR(VLOOKUP(B10,'Base de Datos'!$C$7:$N$4077,9,0))=TRUE," ",(VLOOKUP(B10,'Base de Datos'!$C$7:$N$4077,10,0)))</f>
        <v>42851</v>
      </c>
      <c r="Q10" s="709"/>
      <c r="R10" s="524">
        <f>IF(ISERROR(VLOOKUP(B10,'Base de Datos'!$C$7:$N$4077,10,0))=TRUE," ",(VLOOKUP(B10,'Base de Datos'!$C$7:$N$4077,11,0)))</f>
        <v>42858</v>
      </c>
      <c r="S10" s="524">
        <f>IF(ISERROR(VLOOKUP(B10,'Base de Datos'!$C$7:$N$4077,11,0))=TRUE," ",(VLOOKUP(B10,'Base de Datos'!$C$7:$N$4077,12,0)))</f>
        <v>43134</v>
      </c>
      <c r="T10" s="506" t="str">
        <f>VLOOKUP(B10,'Base de Datos'!$C$487:$AU$4129,41,0)</f>
        <v>LIQUIDADO</v>
      </c>
      <c r="U10" s="694"/>
      <c r="V10" s="607"/>
    </row>
    <row r="11" spans="2:27" ht="14.25" customHeight="1" outlineLevel="1" x14ac:dyDescent="0.3">
      <c r="B11" s="510">
        <v>70</v>
      </c>
      <c r="C11" s="506" t="str">
        <f>IF(ISERROR(VLOOKUP(B11,'Base de Datos'!$C$487:$F$4092,2,0))=TRUE,"",(VLOOKUP('Presupuesto - PAA 2018'!B11,'Base de Datos'!$C$7:$F$4092,3,0)))</f>
        <v>150321-0-2015</v>
      </c>
      <c r="D11" s="506" t="str">
        <f>IF(ISERROR(VLOOKUP(B11,'Base de Datos'!$C$487:$F$4092,3,0))=TRUE,"",(VLOOKUP('Presupuesto - PAA 2018'!B11,'Base de Datos'!$C$487:$F$4092,4,0)))</f>
        <v>KHAANKO NORBERTO RUIZ RODRÍGUEZ</v>
      </c>
      <c r="E11" s="509">
        <f>VLOOKUP(B11,[7]PAA2017!$C$65:$AA$255,20,0)</f>
        <v>31000000</v>
      </c>
      <c r="F11" s="507" t="str">
        <f>VLOOKUP(B11,[8]SOLICITUDES!$B$3:$H$278,2,0)</f>
        <v>SI</v>
      </c>
      <c r="G11" s="507"/>
      <c r="H11" s="507"/>
      <c r="I11" s="507"/>
      <c r="J11" s="509">
        <f>IF(ISERROR(VLOOKUP(B11,'Base de Datos'!$C$487:$N$4092,6,0))=TRUE,"Sin Celebrar",(VLOOKUP(B11,'Base de Datos'!$C$487:$N$4092,7,0)))</f>
        <v>38999996</v>
      </c>
      <c r="K11" s="573"/>
      <c r="L11" s="553" t="str">
        <f t="shared" si="2"/>
        <v xml:space="preserve"> </v>
      </c>
      <c r="M11" s="509"/>
      <c r="N11" s="509" t="str">
        <f t="shared" si="3"/>
        <v xml:space="preserve"> </v>
      </c>
      <c r="O11" s="691" t="str">
        <f>IF(ISERROR(VLOOKUP(B11,'Base de Datos'!$C$487:$K$1048576,7,0))=TRUE," ",(VLOOKUP(B11,'Base de Datos'!$C$487:$K$1048576,8,0)))</f>
        <v>170114-0-2017</v>
      </c>
      <c r="P11" s="524">
        <f>IF(ISERROR(VLOOKUP(B11,'Base de Datos'!$C$487:$N$4077,9,0))=TRUE," ",(VLOOKUP(B11,'Base de Datos'!$C$487:$N$4077,10,0)))</f>
        <v>42850</v>
      </c>
      <c r="Q11" s="709"/>
      <c r="R11" s="524">
        <f>IF(ISERROR(VLOOKUP(B11,'Base de Datos'!$C$487:$N$4077,10,0))=TRUE," ",(VLOOKUP(B11,'Base de Datos'!$C$487:$N$4077,11,0)))</f>
        <v>42858</v>
      </c>
      <c r="S11" s="524">
        <f>IF(ISERROR(VLOOKUP(B11,'Base de Datos'!$C$487:$N$4077,11,0))=TRUE," ",(VLOOKUP(B11,'Base de Datos'!$C$487:$N$4077,12,0)))</f>
        <v>43134</v>
      </c>
      <c r="T11" s="506" t="str">
        <f>VLOOKUP(B11,'Base de Datos'!$C$487:$AU$4129,41,0)</f>
        <v>LIQUIDADO</v>
      </c>
      <c r="U11" s="694"/>
      <c r="V11" s="607"/>
    </row>
    <row r="12" spans="2:27" ht="14.25" customHeight="1" outlineLevel="1" x14ac:dyDescent="0.3">
      <c r="B12" s="510">
        <v>141</v>
      </c>
      <c r="C12" s="506" t="str">
        <f>IF(ISERROR(VLOOKUP(B12,'Base de Datos'!$C$487:$F$4092,2,0))=TRUE,"",(VLOOKUP('Presupuesto - PAA 2018'!B12,'Base de Datos'!$C$7:$F$4092,3,0)))</f>
        <v>150123-0-2015</v>
      </c>
      <c r="D12" s="506" t="str">
        <f>IF(ISERROR(VLOOKUP(B12,'Base de Datos'!$C$487:$F$4092,3,0))=TRUE,"",(VLOOKUP('Presupuesto - PAA 2018'!B12,'Base de Datos'!$C$487:$F$4092,4,0)))</f>
        <v>ANGELICA MARIA RUBIO POLANCO</v>
      </c>
      <c r="E12" s="509">
        <f>VLOOKUP(B12,[7]PAA2017!$C$65:$AA$255,20,0)</f>
        <v>57000000</v>
      </c>
      <c r="F12" s="507" t="str">
        <f>VLOOKUP(B12,[8]SOLICITUDES!$B$3:$H$278,2,0)</f>
        <v>SI</v>
      </c>
      <c r="G12" s="507"/>
      <c r="H12" s="507"/>
      <c r="I12" s="507"/>
      <c r="J12" s="509">
        <f>IF(ISERROR(VLOOKUP(B12,'Base de Datos'!$C$487:$N$4092,6,0))=TRUE,"Sin Celebrar",(VLOOKUP(B12,'Base de Datos'!$C$487:$N$4092,7,0)))</f>
        <v>5700000</v>
      </c>
      <c r="K12" s="573"/>
      <c r="L12" s="553" t="str">
        <f t="shared" si="2"/>
        <v xml:space="preserve"> </v>
      </c>
      <c r="M12" s="509"/>
      <c r="N12" s="509">
        <f t="shared" si="3"/>
        <v>51300000</v>
      </c>
      <c r="O12" s="691" t="str">
        <f>IF(ISERROR(VLOOKUP(B12,'Base de Datos'!$C$487:$K$1048576,7,0))=TRUE," ",(VLOOKUP(B12,'Base de Datos'!$C$487:$K$1048576,8,0)))</f>
        <v>170021-0-2017</v>
      </c>
      <c r="P12" s="524">
        <f>IF(ISERROR(VLOOKUP(B12,'Base de Datos'!$C$487:$N$4077,9,0))=TRUE," ",(VLOOKUP(B12,'Base de Datos'!$C$487:$N$4077,10,0)))</f>
        <v>42776</v>
      </c>
      <c r="Q12" s="709"/>
      <c r="R12" s="524">
        <f>IF(ISERROR(VLOOKUP(B12,'Base de Datos'!$C$487:$N$4077,10,0))=TRUE," ",(VLOOKUP(B12,'Base de Datos'!$C$487:$N$4077,11,0)))</f>
        <v>42781</v>
      </c>
      <c r="S12" s="524">
        <f>IF(ISERROR(VLOOKUP(B12,'Base de Datos'!$C$487:$N$4077,11,0))=TRUE," ",(VLOOKUP(B12,'Base de Datos'!$C$487:$N$4077,12,0)))</f>
        <v>42809</v>
      </c>
      <c r="T12" s="506" t="str">
        <f>VLOOKUP(B12,'Base de Datos'!$C$487:$AU$4129,41,0)</f>
        <v>LIQUIDADO</v>
      </c>
      <c r="U12" s="694"/>
      <c r="V12" s="607"/>
    </row>
    <row r="13" spans="2:27" ht="14.25" customHeight="1" outlineLevel="1" x14ac:dyDescent="0.3">
      <c r="B13" s="510">
        <v>142</v>
      </c>
      <c r="C13" s="506" t="str">
        <f>IF(ISERROR(VLOOKUP(B13,'Base de Datos'!$C$487:$F$4092,2,0))=TRUE,"",(VLOOKUP('Presupuesto - PAA 2018'!B13,'Base de Datos'!$C$7:$F$4092,3,0)))</f>
        <v>150228-0-2015</v>
      </c>
      <c r="D13" s="506" t="str">
        <f>IF(ISERROR(VLOOKUP(B13,'Base de Datos'!$C$487:$F$4092,3,0))=TRUE,"",(VLOOKUP('Presupuesto - PAA 2018'!B13,'Base de Datos'!$C$487:$F$4092,4,0)))</f>
        <v>FABIO ALEJANDRO GOMEZ CASTAÑO</v>
      </c>
      <c r="E13" s="509">
        <f>VLOOKUP(B13,[7]PAA2017!$C$65:$AA$255,20,0)</f>
        <v>45000000</v>
      </c>
      <c r="F13" s="507" t="str">
        <f>VLOOKUP(B13,[8]SOLICITUDES!$B$3:$H$278,2,0)</f>
        <v>SI</v>
      </c>
      <c r="G13" s="507"/>
      <c r="H13" s="507"/>
      <c r="I13" s="507"/>
      <c r="J13" s="509">
        <f>IF(ISERROR(VLOOKUP(B13,'Base de Datos'!$C$487:$N$4092,6,0))=TRUE,"Sin Celebrar",(VLOOKUP(B13,'Base de Datos'!$C$487:$N$4092,7,0)))</f>
        <v>51300000</v>
      </c>
      <c r="K13" s="573"/>
      <c r="L13" s="553" t="str">
        <f t="shared" si="2"/>
        <v xml:space="preserve"> </v>
      </c>
      <c r="M13" s="509"/>
      <c r="N13" s="509" t="str">
        <f t="shared" si="3"/>
        <v xml:space="preserve"> </v>
      </c>
      <c r="O13" s="691" t="str">
        <f>IF(ISERROR(VLOOKUP(B13,'Base de Datos'!$C$487:$K$1048576,7,0))=TRUE," ",(VLOOKUP(B13,'Base de Datos'!$C$487:$K$1048576,8,0)))</f>
        <v>170117-0-2017</v>
      </c>
      <c r="P13" s="524">
        <f>IF(ISERROR(VLOOKUP(B13,'Base de Datos'!$C$487:$N$4077,9,0))=TRUE," ",(VLOOKUP(B13,'Base de Datos'!$C$487:$N$4077,10,0)))</f>
        <v>42852</v>
      </c>
      <c r="Q13" s="709"/>
      <c r="R13" s="524">
        <f>IF(ISERROR(VLOOKUP(B13,'Base de Datos'!$C$487:$N$4077,10,0))=TRUE," ",(VLOOKUP(B13,'Base de Datos'!$C$487:$N$4077,11,0)))</f>
        <v>42863</v>
      </c>
      <c r="S13" s="524">
        <f>IF(ISERROR(VLOOKUP(B13,'Base de Datos'!$C$487:$N$4077,11,0))=TRUE," ",(VLOOKUP(B13,'Base de Datos'!$C$487:$N$4077,12,0)))</f>
        <v>43139</v>
      </c>
      <c r="T13" s="506" t="str">
        <f>VLOOKUP(B13,'Base de Datos'!$C$487:$AU$4129,41,0)</f>
        <v>LIQUIDADO</v>
      </c>
      <c r="U13" s="694"/>
      <c r="V13" s="607"/>
    </row>
    <row r="14" spans="2:27" ht="14.25" customHeight="1" outlineLevel="1" x14ac:dyDescent="0.3">
      <c r="B14" s="510">
        <v>143</v>
      </c>
      <c r="C14" s="506" t="str">
        <f>IF(ISERROR(VLOOKUP(B14,'Base de Datos'!$C$487:$F$4092,2,0))=TRUE,"",(VLOOKUP('Presupuesto - PAA 2018'!B14,'Base de Datos'!$C$7:$F$4092,3,0)))</f>
        <v/>
      </c>
      <c r="D14" s="506" t="str">
        <f>IF(ISERROR(VLOOKUP(B14,'Base de Datos'!$C$487:$F$4092,3,0))=TRUE,"",(VLOOKUP('Presupuesto - PAA 2018'!B14,'Base de Datos'!$C$487:$F$4092,4,0)))</f>
        <v/>
      </c>
      <c r="E14" s="509">
        <f>VLOOKUP(B14,[7]PAA2017!$C$65:$AA$255,20,0)</f>
        <v>30000000</v>
      </c>
      <c r="F14" s="507" t="e">
        <f>VLOOKUP(B14,[8]SOLICITUDES!$B$3:$H$278,2,0)</f>
        <v>#N/A</v>
      </c>
      <c r="G14" s="507"/>
      <c r="H14" s="507"/>
      <c r="I14" s="507"/>
      <c r="J14" s="509" t="str">
        <f>IF(ISERROR(VLOOKUP(B14,'Base de Datos'!$C$487:$N$4092,6,0))=TRUE,"Sin Celebrar",(VLOOKUP(B14,'Base de Datos'!$C$487:$N$4092,7,0)))</f>
        <v>Sin Celebrar</v>
      </c>
      <c r="K14" s="573"/>
      <c r="L14" s="553">
        <f t="shared" si="2"/>
        <v>30000000</v>
      </c>
      <c r="M14" s="509"/>
      <c r="N14" s="509" t="str">
        <f t="shared" si="3"/>
        <v xml:space="preserve"> </v>
      </c>
      <c r="O14" s="691" t="str">
        <f>IF(ISERROR(VLOOKUP(B14,'Base de Datos'!$C$487:$K$1048576,7,0))=TRUE," ",(VLOOKUP(B14,'Base de Datos'!$C$487:$K$1048576,8,0)))</f>
        <v xml:space="preserve"> </v>
      </c>
      <c r="P14" s="524" t="str">
        <f>IF(ISERROR(VLOOKUP(B14,'Base de Datos'!$C$487:$N$4077,9,0))=TRUE," ",(VLOOKUP(B14,'Base de Datos'!$C$487:$N$4077,10,0)))</f>
        <v xml:space="preserve"> </v>
      </c>
      <c r="Q14" s="709"/>
      <c r="R14" s="524" t="str">
        <f>IF(ISERROR(VLOOKUP(B14,'Base de Datos'!$C$487:$N$4077,10,0))=TRUE," ",(VLOOKUP(B14,'Base de Datos'!$C$487:$N$4077,11,0)))</f>
        <v xml:space="preserve"> </v>
      </c>
      <c r="S14" s="524" t="str">
        <f>IF(ISERROR(VLOOKUP(B14,'Base de Datos'!$C$487:$N$4077,11,0))=TRUE," ",(VLOOKUP(B14,'Base de Datos'!$C$487:$N$4077,12,0)))</f>
        <v xml:space="preserve"> </v>
      </c>
      <c r="T14" s="506" t="e">
        <f>VLOOKUP(B14,'Base de Datos'!$C$487:$AU$4129,41,0)</f>
        <v>#N/A</v>
      </c>
      <c r="U14" s="694"/>
      <c r="V14" s="607"/>
    </row>
    <row r="15" spans="2:27" ht="14.25" customHeight="1" outlineLevel="1" x14ac:dyDescent="0.3">
      <c r="B15" s="510">
        <v>144</v>
      </c>
      <c r="C15" s="506" t="str">
        <f>IF(ISERROR(VLOOKUP(B15,'Base de Datos'!$C$487:$F$4092,2,0))=TRUE,"",(VLOOKUP('Presupuesto - PAA 2018'!B15,'Base de Datos'!$C$7:$F$4092,3,0)))</f>
        <v>150330-0-2015</v>
      </c>
      <c r="D15" s="506" t="str">
        <f>IF(ISERROR(VLOOKUP(B15,'Base de Datos'!$C$487:$F$4092,3,0))=TRUE,"",(VLOOKUP('Presupuesto - PAA 2018'!B15,'Base de Datos'!$C$487:$F$4092,4,0)))</f>
        <v>ANABIA JULLIETH ANGARITA GALINDO</v>
      </c>
      <c r="E15" s="509">
        <f>VLOOKUP(B15,[7]PAA2017!$C$65:$AA$255,20,0)</f>
        <v>25000000</v>
      </c>
      <c r="F15" s="507" t="str">
        <f>VLOOKUP(B15,[8]SOLICITUDES!$B$3:$H$278,2,0)</f>
        <v>SI</v>
      </c>
      <c r="G15" s="507"/>
      <c r="H15" s="507"/>
      <c r="I15" s="507"/>
      <c r="J15" s="509">
        <f>IF(ISERROR(VLOOKUP(B15,'Base de Datos'!$C$487:$N$4092,6,0))=TRUE,"Sin Celebrar",(VLOOKUP(B15,'Base de Datos'!$C$487:$N$4092,7,0)))</f>
        <v>22500000</v>
      </c>
      <c r="K15" s="573"/>
      <c r="L15" s="553" t="str">
        <f t="shared" si="2"/>
        <v xml:space="preserve"> </v>
      </c>
      <c r="M15" s="509"/>
      <c r="N15" s="509">
        <f t="shared" si="3"/>
        <v>2500000</v>
      </c>
      <c r="O15" s="691" t="str">
        <f>IF(ISERROR(VLOOKUP(B15,'Base de Datos'!$C$487:$K$1048576,7,0))=TRUE," ",(VLOOKUP(B15,'Base de Datos'!$C$487:$K$1048576,8,0)))</f>
        <v>170119-0-2017</v>
      </c>
      <c r="P15" s="524">
        <f>IF(ISERROR(VLOOKUP(B15,'Base de Datos'!$C$487:$N$4077,9,0))=TRUE," ",(VLOOKUP(B15,'Base de Datos'!$C$487:$N$4077,10,0)))</f>
        <v>42853</v>
      </c>
      <c r="Q15" s="709"/>
      <c r="R15" s="524">
        <f>IF(ISERROR(VLOOKUP(B15,'Base de Datos'!$C$487:$N$4077,10,0))=TRUE," ",(VLOOKUP(B15,'Base de Datos'!$C$487:$N$4077,11,0)))</f>
        <v>42863</v>
      </c>
      <c r="S15" s="524">
        <f>IF(ISERROR(VLOOKUP(B15,'Base de Datos'!$C$487:$N$4077,11,0))=TRUE," ",(VLOOKUP(B15,'Base de Datos'!$C$487:$N$4077,12,0)))</f>
        <v>43139</v>
      </c>
      <c r="T15" s="506" t="str">
        <f>VLOOKUP(B15,'Base de Datos'!$C$487:$AU$4129,41,0)</f>
        <v>EN TRÁMITE</v>
      </c>
      <c r="U15" s="694"/>
      <c r="V15" s="607"/>
    </row>
    <row r="16" spans="2:27" ht="14.25" customHeight="1" outlineLevel="1" x14ac:dyDescent="0.3">
      <c r="B16" s="510">
        <v>145</v>
      </c>
      <c r="C16" s="506" t="str">
        <f>IF(ISERROR(VLOOKUP(B16,'Base de Datos'!$C$487:$F$4092,2,0))=TRUE,"",(VLOOKUP('Presupuesto - PAA 2018'!B16,'Base de Datos'!$C$7:$F$4092,3,0)))</f>
        <v/>
      </c>
      <c r="D16" s="506" t="str">
        <f>IF(ISERROR(VLOOKUP(B16,'Base de Datos'!$C$487:$F$4092,3,0))=TRUE,"",(VLOOKUP('Presupuesto - PAA 2018'!B16,'Base de Datos'!$C$487:$F$4092,4,0)))</f>
        <v/>
      </c>
      <c r="E16" s="509">
        <f>VLOOKUP(B16,[7]PAA2017!$C$65:$AA$255,20,0)</f>
        <v>57000000</v>
      </c>
      <c r="F16" s="507" t="e">
        <f>VLOOKUP(B16,[8]SOLICITUDES!$B$3:$H$278,2,0)</f>
        <v>#N/A</v>
      </c>
      <c r="G16" s="507"/>
      <c r="H16" s="507"/>
      <c r="I16" s="507"/>
      <c r="J16" s="509" t="str">
        <f>IF(ISERROR(VLOOKUP(B16,'Base de Datos'!$C$487:$N$4092,6,0))=TRUE,"Sin Celebrar",(VLOOKUP(B16,'Base de Datos'!$C$487:$N$4092,7,0)))</f>
        <v>Sin Celebrar</v>
      </c>
      <c r="K16" s="573"/>
      <c r="L16" s="553">
        <f t="shared" si="2"/>
        <v>57000000</v>
      </c>
      <c r="M16" s="509"/>
      <c r="N16" s="509" t="str">
        <f t="shared" si="3"/>
        <v xml:space="preserve"> </v>
      </c>
      <c r="O16" s="691" t="str">
        <f>IF(ISERROR(VLOOKUP(B16,'Base de Datos'!$C$487:$K$1048576,7,0))=TRUE," ",(VLOOKUP(B16,'Base de Datos'!$C$487:$K$1048576,8,0)))</f>
        <v xml:space="preserve"> </v>
      </c>
      <c r="P16" s="524" t="str">
        <f>IF(ISERROR(VLOOKUP(B16,'Base de Datos'!$C$487:$N$4077,9,0))=TRUE," ",(VLOOKUP(B16,'Base de Datos'!$C$487:$N$4077,10,0)))</f>
        <v xml:space="preserve"> </v>
      </c>
      <c r="Q16" s="709"/>
      <c r="R16" s="524" t="str">
        <f>IF(ISERROR(VLOOKUP(B16,'Base de Datos'!$C$487:$N$4077,10,0))=TRUE," ",(VLOOKUP(B16,'Base de Datos'!$C$487:$N$4077,11,0)))</f>
        <v xml:space="preserve"> </v>
      </c>
      <c r="S16" s="524" t="str">
        <f>IF(ISERROR(VLOOKUP(B16,'Base de Datos'!$C$487:$N$4077,11,0))=TRUE," ",(VLOOKUP(B16,'Base de Datos'!$C$487:$N$4077,12,0)))</f>
        <v xml:space="preserve"> </v>
      </c>
      <c r="T16" s="506" t="e">
        <f>VLOOKUP(B16,'Base de Datos'!$C$487:$AU$4129,41,0)</f>
        <v>#N/A</v>
      </c>
      <c r="U16" s="694"/>
      <c r="V16" s="607"/>
    </row>
    <row r="17" spans="2:22" ht="14.25" customHeight="1" outlineLevel="1" x14ac:dyDescent="0.3">
      <c r="B17" s="510">
        <v>146</v>
      </c>
      <c r="C17" s="506" t="str">
        <f>IF(ISERROR(VLOOKUP(B17,'Base de Datos'!$C$487:$F$4092,2,0))=TRUE,"",(VLOOKUP('Presupuesto - PAA 2018'!B17,'Base de Datos'!$C$7:$F$4092,3,0)))</f>
        <v>150342-0-2015</v>
      </c>
      <c r="D17" s="506" t="str">
        <f>IF(ISERROR(VLOOKUP(B17,'Base de Datos'!$C$487:$F$4092,3,0))=TRUE,"",(VLOOKUP('Presupuesto - PAA 2018'!B17,'Base de Datos'!$C$487:$F$4092,4,0)))</f>
        <v>JESUS RAFAEL AGUAS CUELLO</v>
      </c>
      <c r="E17" s="509">
        <f>VLOOKUP(B17,[7]PAA2017!$C$65:$AA$255,20,0)</f>
        <v>57000000</v>
      </c>
      <c r="F17" s="507" t="e">
        <f>VLOOKUP(B17,[8]SOLICITUDES!$B$3:$H$278,2,0)</f>
        <v>#N/A</v>
      </c>
      <c r="G17" s="507"/>
      <c r="H17" s="507"/>
      <c r="I17" s="507"/>
      <c r="J17" s="509">
        <f>IF(ISERROR(VLOOKUP(B17,'Base de Datos'!$C$487:$N$4092,6,0))=TRUE,"Sin Celebrar",(VLOOKUP(B17,'Base de Datos'!$C$487:$N$4092,7,0)))</f>
        <v>39900000</v>
      </c>
      <c r="K17" s="573"/>
      <c r="L17" s="553" t="str">
        <f t="shared" si="2"/>
        <v xml:space="preserve"> </v>
      </c>
      <c r="M17" s="509"/>
      <c r="N17" s="509">
        <f t="shared" si="3"/>
        <v>17100000</v>
      </c>
      <c r="O17" s="691" t="str">
        <f>IF(ISERROR(VLOOKUP(B17,'Base de Datos'!$C$487:$K$1048576,7,0))=TRUE," ",(VLOOKUP(B17,'Base de Datos'!$C$487:$K$1048576,8,0)))</f>
        <v>170204-0-2017</v>
      </c>
      <c r="P17" s="524">
        <f>IF(ISERROR(VLOOKUP(B17,'Base de Datos'!$C$487:$N$4077,9,0))=TRUE," ",(VLOOKUP(B17,'Base de Datos'!$C$487:$N$4077,10,0)))</f>
        <v>42961</v>
      </c>
      <c r="Q17" s="709"/>
      <c r="R17" s="524">
        <f>IF(ISERROR(VLOOKUP(B17,'Base de Datos'!$C$487:$N$4077,10,0))=TRUE," ",(VLOOKUP(B17,'Base de Datos'!$C$487:$N$4077,11,0)))</f>
        <v>42969</v>
      </c>
      <c r="S17" s="524">
        <f>IF(ISERROR(VLOOKUP(B17,'Base de Datos'!$C$487:$N$4077,11,0))=TRUE," ",(VLOOKUP(B17,'Base de Datos'!$C$487:$N$4077,12,0)))</f>
        <v>43181</v>
      </c>
      <c r="T17" s="506" t="str">
        <f>VLOOKUP(B17,'Base de Datos'!$C$487:$AU$4129,41,0)</f>
        <v>LIQUIDADO</v>
      </c>
      <c r="U17" s="694"/>
      <c r="V17" s="607"/>
    </row>
    <row r="18" spans="2:22" ht="14.25" customHeight="1" outlineLevel="1" x14ac:dyDescent="0.3">
      <c r="B18" s="510">
        <v>147</v>
      </c>
      <c r="C18" s="506" t="str">
        <f>IF(ISERROR(VLOOKUP(B18,'Base de Datos'!$C$487:$F$4092,2,0))=TRUE,"",(VLOOKUP('Presupuesto - PAA 2018'!B18,'Base de Datos'!$C$7:$F$4092,3,0)))</f>
        <v>160156-0-2016</v>
      </c>
      <c r="D18" s="506" t="str">
        <f>IF(ISERROR(VLOOKUP(B18,'Base de Datos'!$C$487:$F$4092,3,0))=TRUE,"",(VLOOKUP('Presupuesto - PAA 2018'!B18,'Base de Datos'!$C$487:$F$4092,4,0)))</f>
        <v>JAVIER IGNACIO JATIVA GARCIA</v>
      </c>
      <c r="E18" s="509">
        <f>VLOOKUP(B18,[7]PAA2017!$C$65:$AA$255,20,0)</f>
        <v>42000000</v>
      </c>
      <c r="F18" s="507" t="str">
        <f>VLOOKUP(B18,[8]SOLICITUDES!$B$3:$H$278,2,0)</f>
        <v>SI</v>
      </c>
      <c r="G18" s="507"/>
      <c r="H18" s="507"/>
      <c r="I18" s="507"/>
      <c r="J18" s="509">
        <f>IF(ISERROR(VLOOKUP(B18,'Base de Datos'!$C$487:$N$4092,6,0))=TRUE,"Sin Celebrar",(VLOOKUP(B18,'Base de Datos'!$C$487:$N$4092,7,0)))</f>
        <v>3860000</v>
      </c>
      <c r="K18" s="573"/>
      <c r="L18" s="553" t="str">
        <f t="shared" si="2"/>
        <v xml:space="preserve"> </v>
      </c>
      <c r="M18" s="509"/>
      <c r="N18" s="509">
        <f t="shared" si="3"/>
        <v>38140000</v>
      </c>
      <c r="O18" s="691" t="str">
        <f>IF(ISERROR(VLOOKUP(B18,'Base de Datos'!$C$487:$K$1048576,7,0))=TRUE," ",(VLOOKUP(B18,'Base de Datos'!$C$487:$K$1048576,8,0)))</f>
        <v>170014-0-2017</v>
      </c>
      <c r="P18" s="524">
        <f>IF(ISERROR(VLOOKUP(B18,'Base de Datos'!$C$487:$N$4077,9,0))=TRUE," ",(VLOOKUP(B18,'Base de Datos'!$C$487:$N$4077,10,0)))</f>
        <v>42772</v>
      </c>
      <c r="Q18" s="709"/>
      <c r="R18" s="524">
        <f>IF(ISERROR(VLOOKUP(B18,'Base de Datos'!$C$487:$N$4077,10,0))=TRUE," ",(VLOOKUP(B18,'Base de Datos'!$C$487:$N$4077,11,0)))</f>
        <v>42772</v>
      </c>
      <c r="S18" s="524">
        <f>IF(ISERROR(VLOOKUP(B18,'Base de Datos'!$C$487:$N$4077,11,0))=TRUE," ",(VLOOKUP(B18,'Base de Datos'!$C$487:$N$4077,12,0)))</f>
        <v>42800</v>
      </c>
      <c r="T18" s="506" t="str">
        <f>VLOOKUP(B18,'Base de Datos'!$C$487:$AU$4129,41,0)</f>
        <v>LIQUIDADO</v>
      </c>
      <c r="U18" s="694"/>
      <c r="V18" s="607"/>
    </row>
    <row r="19" spans="2:22" ht="14.25" customHeight="1" outlineLevel="1" x14ac:dyDescent="0.3">
      <c r="B19" s="510">
        <v>148</v>
      </c>
      <c r="C19" s="506" t="str">
        <f>IF(ISERROR(VLOOKUP(B19,'Base de Datos'!$C$487:$F$4092,2,0))=TRUE,"",(VLOOKUP('Presupuesto - PAA 2018'!B19,'Base de Datos'!$C$7:$F$4092,3,0)))</f>
        <v>150338-0-2015</v>
      </c>
      <c r="D19" s="506" t="str">
        <f>IF(ISERROR(VLOOKUP(B19,'Base de Datos'!$C$487:$F$4092,3,0))=TRUE,"",(VLOOKUP('Presupuesto - PAA 2018'!B19,'Base de Datos'!$C$487:$F$4092,4,0)))</f>
        <v>CLARA INES VARGAS MALAGON</v>
      </c>
      <c r="E19" s="509">
        <f>VLOOKUP(B19,[7]PAA2017!$C$65:$AA$255,20,0)</f>
        <v>63000000</v>
      </c>
      <c r="F19" s="507" t="str">
        <f>VLOOKUP(B19,[8]SOLICITUDES!$B$3:$H$278,2,0)</f>
        <v>SI</v>
      </c>
      <c r="G19" s="507"/>
      <c r="H19" s="507"/>
      <c r="I19" s="507"/>
      <c r="J19" s="509">
        <f>IF(ISERROR(VLOOKUP(B19,'Base de Datos'!$C$487:$N$4092,6,0))=TRUE,"Sin Celebrar",(VLOOKUP(B19,'Base de Datos'!$C$487:$N$4092,7,0)))</f>
        <v>51300000</v>
      </c>
      <c r="K19" s="573"/>
      <c r="L19" s="553" t="str">
        <f t="shared" si="2"/>
        <v xml:space="preserve"> </v>
      </c>
      <c r="M19" s="509"/>
      <c r="N19" s="509">
        <f t="shared" si="3"/>
        <v>11700000</v>
      </c>
      <c r="O19" s="691" t="str">
        <f>IF(ISERROR(VLOOKUP(B19,'Base de Datos'!$C$487:$K$1048576,7,0))=TRUE," ",(VLOOKUP(B19,'Base de Datos'!$C$487:$K$1048576,8,0)))</f>
        <v>170102-0-2017</v>
      </c>
      <c r="P19" s="524">
        <f>IF(ISERROR(VLOOKUP(B19,'Base de Datos'!$C$487:$N$4077,9,0))=TRUE," ",(VLOOKUP(B19,'Base de Datos'!$C$487:$N$4077,10,0)))</f>
        <v>42846</v>
      </c>
      <c r="Q19" s="709"/>
      <c r="R19" s="524">
        <f>IF(ISERROR(VLOOKUP(B19,'Base de Datos'!$C$487:$N$4077,10,0))=TRUE," ",(VLOOKUP(B19,'Base de Datos'!$C$487:$N$4077,11,0)))</f>
        <v>42850</v>
      </c>
      <c r="S19" s="524">
        <f>IF(ISERROR(VLOOKUP(B19,'Base de Datos'!$C$487:$N$4077,11,0))=TRUE," ",(VLOOKUP(B19,'Base de Datos'!$C$487:$N$4077,12,0)))</f>
        <v>43125</v>
      </c>
      <c r="T19" s="506" t="str">
        <f>VLOOKUP(B19,'Base de Datos'!$C$487:$AU$4129,41,0)</f>
        <v>LIQUIDADO</v>
      </c>
      <c r="U19" s="694"/>
      <c r="V19" s="607"/>
    </row>
    <row r="20" spans="2:22" ht="14.25" customHeight="1" outlineLevel="1" x14ac:dyDescent="0.3">
      <c r="B20" s="510">
        <v>149</v>
      </c>
      <c r="C20" s="506" t="str">
        <f>IF(ISERROR(VLOOKUP(B20,'Base de Datos'!$C$487:$F$4092,2,0))=TRUE,"",(VLOOKUP('Presupuesto - PAA 2018'!B20,'Base de Datos'!$C$7:$F$4092,3,0)))</f>
        <v>150223-0-2015</v>
      </c>
      <c r="D20" s="506" t="str">
        <f>IF(ISERROR(VLOOKUP(B20,'Base de Datos'!$C$487:$F$4092,3,0))=TRUE,"",(VLOOKUP('Presupuesto - PAA 2018'!B20,'Base de Datos'!$C$487:$F$4092,4,0)))</f>
        <v>JOANNA PATRICIA GONZALEZ PAIPA</v>
      </c>
      <c r="E20" s="509">
        <f>VLOOKUP(B20,[7]PAA2017!$C$65:$AA$255,20,0)</f>
        <v>57000000</v>
      </c>
      <c r="F20" s="507" t="str">
        <f>VLOOKUP(B20,[8]SOLICITUDES!$B$3:$H$278,2,0)</f>
        <v>SI</v>
      </c>
      <c r="G20" s="507"/>
      <c r="H20" s="507"/>
      <c r="I20" s="507"/>
      <c r="J20" s="509">
        <f>IF(ISERROR(VLOOKUP(B20,'Base de Datos'!$C$487:$N$4092,6,0))=TRUE,"Sin Celebrar",(VLOOKUP(B20,'Base de Datos'!$C$487:$N$4092,7,0)))</f>
        <v>51300000</v>
      </c>
      <c r="K20" s="573"/>
      <c r="L20" s="553" t="str">
        <f t="shared" si="2"/>
        <v xml:space="preserve"> </v>
      </c>
      <c r="M20" s="509"/>
      <c r="N20" s="509">
        <f t="shared" si="3"/>
        <v>5700000</v>
      </c>
      <c r="O20" s="691" t="str">
        <f>IF(ISERROR(VLOOKUP(B20,'Base de Datos'!$C$487:$K$1048576,7,0))=TRUE," ",(VLOOKUP(B20,'Base de Datos'!$C$487:$K$1048576,8,0)))</f>
        <v>170137-0-2017</v>
      </c>
      <c r="P20" s="524">
        <f>IF(ISERROR(VLOOKUP(B20,'Base de Datos'!$C$487:$N$4077,9,0))=TRUE," ",(VLOOKUP(B20,'Base de Datos'!$C$487:$N$4077,10,0)))</f>
        <v>42871</v>
      </c>
      <c r="Q20" s="709"/>
      <c r="R20" s="524">
        <f>IF(ISERROR(VLOOKUP(B20,'Base de Datos'!$C$487:$N$4077,10,0))=TRUE," ",(VLOOKUP(B20,'Base de Datos'!$C$487:$N$4077,11,0)))</f>
        <v>42873</v>
      </c>
      <c r="S20" s="524">
        <f>IF(ISERROR(VLOOKUP(B20,'Base de Datos'!$C$487:$N$4077,11,0))=TRUE," ",(VLOOKUP(B20,'Base de Datos'!$C$487:$N$4077,12,0)))</f>
        <v>43149</v>
      </c>
      <c r="T20" s="506" t="str">
        <f>VLOOKUP(B20,'Base de Datos'!$C$487:$AU$4129,41,0)</f>
        <v>EN TRÁMITE</v>
      </c>
      <c r="U20" s="694"/>
      <c r="V20" s="607"/>
    </row>
    <row r="21" spans="2:22" ht="14.25" customHeight="1" outlineLevel="1" x14ac:dyDescent="0.3">
      <c r="B21" s="510">
        <v>150</v>
      </c>
      <c r="C21" s="506" t="str">
        <f>IF(ISERROR(VLOOKUP(B21,'Base de Datos'!$C$487:$F$4092,2,0))=TRUE,"",(VLOOKUP('Presupuesto - PAA 2018'!B21,'Base de Datos'!$C$7:$F$4092,3,0)))</f>
        <v>150168-0-2015</v>
      </c>
      <c r="D21" s="506" t="str">
        <f>IF(ISERROR(VLOOKUP(B21,'Base de Datos'!$C$487:$F$4092,3,0))=TRUE,"",(VLOOKUP('Presupuesto - PAA 2018'!B21,'Base de Datos'!$C$487:$F$4092,4,0)))</f>
        <v>DIANA PILAR DELGADO BARRERO</v>
      </c>
      <c r="E21" s="509">
        <f>VLOOKUP(B21,[7]PAA2017!$C$65:$AA$255,20,0)</f>
        <v>57000000</v>
      </c>
      <c r="F21" s="507" t="str">
        <f>VLOOKUP(B21,[8]SOLICITUDES!$B$3:$H$278,2,0)</f>
        <v>SI</v>
      </c>
      <c r="G21" s="507"/>
      <c r="H21" s="507"/>
      <c r="I21" s="507"/>
      <c r="J21" s="509">
        <f>IF(ISERROR(VLOOKUP(B21,'Base de Datos'!$C$487:$N$4092,6,0))=TRUE,"Sin Celebrar",(VLOOKUP(B21,'Base de Datos'!$C$487:$N$4092,7,0)))</f>
        <v>51300000</v>
      </c>
      <c r="K21" s="573"/>
      <c r="L21" s="553" t="str">
        <f t="shared" si="2"/>
        <v xml:space="preserve"> </v>
      </c>
      <c r="M21" s="509"/>
      <c r="N21" s="509">
        <f t="shared" si="3"/>
        <v>5700000</v>
      </c>
      <c r="O21" s="691" t="str">
        <f>IF(ISERROR(VLOOKUP(B21,'Base de Datos'!$C$487:$K$1048576,7,0))=TRUE," ",(VLOOKUP(B21,'Base de Datos'!$C$487:$K$1048576,8,0)))</f>
        <v>170113-0-2017</v>
      </c>
      <c r="P21" s="524">
        <f>IF(ISERROR(VLOOKUP(B21,'Base de Datos'!$C$487:$N$4077,9,0))=TRUE," ",(VLOOKUP(B21,'Base de Datos'!$C$487:$N$4077,10,0)))</f>
        <v>42850</v>
      </c>
      <c r="Q21" s="709"/>
      <c r="R21" s="524">
        <f>IF(ISERROR(VLOOKUP(B21,'Base de Datos'!$C$487:$N$4077,10,0))=TRUE," ",(VLOOKUP(B21,'Base de Datos'!$C$487:$N$4077,11,0)))</f>
        <v>42857</v>
      </c>
      <c r="S21" s="524">
        <f>IF(ISERROR(VLOOKUP(B21,'Base de Datos'!$C$487:$N$4077,11,0))=TRUE," ",(VLOOKUP(B21,'Base de Datos'!$C$487:$N$4077,12,0)))</f>
        <v>43133</v>
      </c>
      <c r="T21" s="506" t="str">
        <f>VLOOKUP(B21,'Base de Datos'!$C$487:$AU$4129,41,0)</f>
        <v>LIQUIDADO</v>
      </c>
      <c r="U21" s="694"/>
      <c r="V21" s="607"/>
    </row>
    <row r="22" spans="2:22" ht="14.25" customHeight="1" outlineLevel="1" x14ac:dyDescent="0.3">
      <c r="B22" s="510">
        <v>152</v>
      </c>
      <c r="C22" s="506" t="str">
        <f>IF(ISERROR(VLOOKUP(B22,'Base de Datos'!$C$487:$F$4092,2,0))=TRUE,"",(VLOOKUP('Presupuesto - PAA 2018'!B22,'Base de Datos'!$C$7:$F$4092,3,0)))</f>
        <v>150129-0-2015</v>
      </c>
      <c r="D22" s="506" t="str">
        <f>IF(ISERROR(VLOOKUP(B22,'Base de Datos'!$C$487:$F$4092,3,0))=TRUE,"",(VLOOKUP('Presupuesto - PAA 2018'!B22,'Base de Datos'!$C$487:$F$4092,4,0)))</f>
        <v>ANDRES MAURICIO BARRERA HERNANDEZ</v>
      </c>
      <c r="E22" s="509">
        <f>VLOOKUP(B22,[7]PAA2017!$C$65:$AA$255,20,0)</f>
        <v>48000000</v>
      </c>
      <c r="F22" s="507" t="str">
        <f>VLOOKUP(B22,[8]SOLICITUDES!$B$3:$H$278,2,0)</f>
        <v>SI</v>
      </c>
      <c r="G22" s="507"/>
      <c r="H22" s="507"/>
      <c r="I22" s="507"/>
      <c r="J22" s="509">
        <f>IF(ISERROR(VLOOKUP(B22,'Base de Datos'!$C$487:$N$4092,6,0))=TRUE,"Sin Celebrar",(VLOOKUP(B22,'Base de Datos'!$C$487:$N$4092,7,0)))</f>
        <v>54000000</v>
      </c>
      <c r="K22" s="573"/>
      <c r="L22" s="553" t="str">
        <f t="shared" si="2"/>
        <v xml:space="preserve"> </v>
      </c>
      <c r="M22" s="509"/>
      <c r="N22" s="509" t="str">
        <f t="shared" si="3"/>
        <v xml:space="preserve"> </v>
      </c>
      <c r="O22" s="691" t="str">
        <f>IF(ISERROR(VLOOKUP(B22,'Base de Datos'!$C$487:$K$1048576,7,0))=TRUE," ",(VLOOKUP(B22,'Base de Datos'!$C$487:$K$1048576,8,0)))</f>
        <v>170101-0-2017</v>
      </c>
      <c r="P22" s="524">
        <f>IF(ISERROR(VLOOKUP(B22,'Base de Datos'!$C$487:$N$4077,9,0))=TRUE," ",(VLOOKUP(B22,'Base de Datos'!$C$487:$N$4077,10,0)))</f>
        <v>42846</v>
      </c>
      <c r="Q22" s="709"/>
      <c r="R22" s="524">
        <f>IF(ISERROR(VLOOKUP(B22,'Base de Datos'!$C$487:$N$4077,10,0))=TRUE," ",(VLOOKUP(B22,'Base de Datos'!$C$487:$N$4077,11,0)))</f>
        <v>42849</v>
      </c>
      <c r="S22" s="524">
        <f>IF(ISERROR(VLOOKUP(B22,'Base de Datos'!$C$487:$N$4077,11,0))=TRUE," ",(VLOOKUP(B22,'Base de Datos'!$C$487:$N$4077,12,0)))</f>
        <v>43155</v>
      </c>
      <c r="T22" s="506" t="str">
        <f>VLOOKUP(B22,'Base de Datos'!$C$487:$AU$4129,41,0)</f>
        <v>EN TRÁMITE</v>
      </c>
      <c r="U22" s="694"/>
      <c r="V22" s="607"/>
    </row>
    <row r="23" spans="2:22" ht="27" customHeight="1" outlineLevel="1" x14ac:dyDescent="0.3">
      <c r="B23" s="510">
        <v>153</v>
      </c>
      <c r="C23" s="506" t="str">
        <f>IF(ISERROR(VLOOKUP(B23,'Base de Datos'!$C$487:$F$4092,2,0))=TRUE,"",(VLOOKUP('Presupuesto - PAA 2018'!B23,'Base de Datos'!$C$7:$F$4092,3,0)))</f>
        <v/>
      </c>
      <c r="D23" s="506" t="str">
        <f>IF(ISERROR(VLOOKUP(B23,'Base de Datos'!$C$487:$F$4092,3,0))=TRUE,"",(VLOOKUP('Presupuesto - PAA 2018'!B23,'Base de Datos'!$C$487:$F$4092,4,0)))</f>
        <v/>
      </c>
      <c r="E23" s="509">
        <f>VLOOKUP(B23,[7]PAA2017!$C$65:$AA$255,20,0)</f>
        <v>97000000</v>
      </c>
      <c r="F23" s="507" t="e">
        <f>VLOOKUP(B23,[8]SOLICITUDES!$B$3:$H$278,2,0)</f>
        <v>#N/A</v>
      </c>
      <c r="G23" s="507"/>
      <c r="H23" s="507"/>
      <c r="I23" s="507"/>
      <c r="J23" s="509" t="str">
        <f>IF(ISERROR(VLOOKUP(B23,'Base de Datos'!$C$487:$N$4092,6,0))=TRUE,"Sin Celebrar",(VLOOKUP(B23,'Base de Datos'!$C$487:$N$4092,7,0)))</f>
        <v>Sin Celebrar</v>
      </c>
      <c r="K23" s="573"/>
      <c r="L23" s="553">
        <f t="shared" si="2"/>
        <v>97000000</v>
      </c>
      <c r="M23" s="509"/>
      <c r="N23" s="509" t="str">
        <f t="shared" si="3"/>
        <v xml:space="preserve"> </v>
      </c>
      <c r="O23" s="691" t="str">
        <f>IF(ISERROR(VLOOKUP(B23,'Base de Datos'!$C$487:$K$1048576,7,0))=TRUE," ",(VLOOKUP(B23,'Base de Datos'!$C$487:$K$1048576,8,0)))</f>
        <v xml:space="preserve"> </v>
      </c>
      <c r="P23" s="524" t="str">
        <f>IF(ISERROR(VLOOKUP(B23,'Base de Datos'!$C$487:$N$4077,9,0))=TRUE," ",(VLOOKUP(B23,'Base de Datos'!$C$487:$N$4077,10,0)))</f>
        <v xml:space="preserve"> </v>
      </c>
      <c r="Q23" s="709"/>
      <c r="R23" s="524" t="str">
        <f>IF(ISERROR(VLOOKUP(B23,'Base de Datos'!$C$487:$N$4077,10,0))=TRUE," ",(VLOOKUP(B23,'Base de Datos'!$C$487:$N$4077,11,0)))</f>
        <v xml:space="preserve"> </v>
      </c>
      <c r="S23" s="524" t="str">
        <f>IF(ISERROR(VLOOKUP(B23,'Base de Datos'!$C$487:$N$4077,11,0))=TRUE," ",(VLOOKUP(B23,'Base de Datos'!$C$487:$N$4077,12,0)))</f>
        <v xml:space="preserve"> </v>
      </c>
      <c r="T23" s="506" t="e">
        <f>VLOOKUP(B23,'Base de Datos'!$C$487:$AU$4129,41,0)</f>
        <v>#N/A</v>
      </c>
      <c r="U23" s="694"/>
      <c r="V23" s="607"/>
    </row>
    <row r="24" spans="2:22" ht="14.25" customHeight="1" outlineLevel="1" x14ac:dyDescent="0.3">
      <c r="B24" s="510">
        <v>154</v>
      </c>
      <c r="C24" s="506" t="str">
        <f>IF(ISERROR(VLOOKUP(B24,'Base de Datos'!$C$487:$F$4092,2,0))=TRUE,"",(VLOOKUP('Presupuesto - PAA 2018'!B24,'Base de Datos'!$C$7:$F$4092,3,0)))</f>
        <v>150229-0-2015</v>
      </c>
      <c r="D24" s="506" t="str">
        <f>IF(ISERROR(VLOOKUP(B24,'Base de Datos'!$C$487:$F$4092,3,0))=TRUE,"",(VLOOKUP('Presupuesto - PAA 2018'!B24,'Base de Datos'!$C$487:$F$4092,4,0)))</f>
        <v>MARTHA LILIANA SALAZAR GOMEZ</v>
      </c>
      <c r="E24" s="509">
        <f>VLOOKUP(B24,[7]PAA2017!$C$65:$AA$255,20,0)</f>
        <v>57000000</v>
      </c>
      <c r="F24" s="507" t="e">
        <f>VLOOKUP(B24,[8]SOLICITUDES!$B$3:$H$278,2,0)</f>
        <v>#N/A</v>
      </c>
      <c r="G24" s="507"/>
      <c r="H24" s="507"/>
      <c r="I24" s="507"/>
      <c r="J24" s="509">
        <f>IF(ISERROR(VLOOKUP(B24,'Base de Datos'!$C$487:$N$4092,6,0))=TRUE,"Sin Celebrar",(VLOOKUP(B24,'Base de Datos'!$C$487:$N$4092,7,0)))</f>
        <v>22800000</v>
      </c>
      <c r="K24" s="573"/>
      <c r="L24" s="553" t="str">
        <f t="shared" si="2"/>
        <v xml:space="preserve"> </v>
      </c>
      <c r="M24" s="509"/>
      <c r="N24" s="509">
        <f t="shared" si="3"/>
        <v>34200000</v>
      </c>
      <c r="O24" s="691" t="str">
        <f>IF(ISERROR(VLOOKUP(B24,'Base de Datos'!$C$487:$K$1048576,7,0))=TRUE," ",(VLOOKUP(B24,'Base de Datos'!$C$487:$K$1048576,8,0)))</f>
        <v>170232-0-2017</v>
      </c>
      <c r="P24" s="524">
        <f>IF(ISERROR(VLOOKUP(B24,'Base de Datos'!$C$487:$N$4077,9,0))=TRUE," ",(VLOOKUP(B24,'Base de Datos'!$C$487:$N$4077,10,0)))</f>
        <v>42984</v>
      </c>
      <c r="Q24" s="709"/>
      <c r="R24" s="524">
        <f>IF(ISERROR(VLOOKUP(B24,'Base de Datos'!$C$487:$N$4077,10,0))=TRUE," ",(VLOOKUP(B24,'Base de Datos'!$C$487:$N$4077,11,0)))</f>
        <v>42997</v>
      </c>
      <c r="S24" s="524">
        <f>IF(ISERROR(VLOOKUP(B24,'Base de Datos'!$C$487:$N$4077,11,0))=TRUE," ",(VLOOKUP(B24,'Base de Datos'!$C$487:$N$4077,12,0)))</f>
        <v>43119</v>
      </c>
      <c r="T24" s="506" t="str">
        <f>VLOOKUP(B24,'Base de Datos'!$C$487:$AU$4129,41,0)</f>
        <v>LIQUIDADO</v>
      </c>
      <c r="U24" s="694"/>
      <c r="V24" s="607"/>
    </row>
    <row r="25" spans="2:22" outlineLevel="1" x14ac:dyDescent="0.3">
      <c r="B25" s="525">
        <v>155</v>
      </c>
      <c r="C25" s="506" t="str">
        <f>IF(ISERROR(VLOOKUP(B25,'Base de Datos'!$C$487:$F$4092,2,0))=TRUE,"",(VLOOKUP('Presupuesto - PAA 2018'!B25,'Base de Datos'!$C$7:$F$4092,3,0)))</f>
        <v>150341-0-2015</v>
      </c>
      <c r="D25" s="506" t="str">
        <f>IF(ISERROR(VLOOKUP(B25,'Base de Datos'!$C$487:$F$4092,3,0))=TRUE,"",(VLOOKUP('Presupuesto - PAA 2018'!B25,'Base de Datos'!$C$487:$F$4092,4,0)))</f>
        <v>BLANCA LISBETH CAMARGO BARRERA</v>
      </c>
      <c r="E25" s="509">
        <f>VLOOKUP(B25,[7]PAA2017!$C$65:$AA$255,20,0)</f>
        <v>47000000</v>
      </c>
      <c r="F25" s="507" t="e">
        <f>VLOOKUP(B25,[8]SOLICITUDES!$B$3:$H$278,2,0)</f>
        <v>#N/A</v>
      </c>
      <c r="G25" s="507"/>
      <c r="H25" s="507"/>
      <c r="I25" s="507"/>
      <c r="J25" s="509">
        <f>IF(ISERROR(VLOOKUP(B25,'Base de Datos'!$C$487:$N$4092,6,0))=TRUE,"Sin Celebrar",(VLOOKUP(B25,'Base de Datos'!$C$487:$N$4092,7,0)))</f>
        <v>48180000</v>
      </c>
      <c r="K25" s="573"/>
      <c r="L25" s="553" t="str">
        <f t="shared" si="2"/>
        <v xml:space="preserve"> </v>
      </c>
      <c r="M25" s="509"/>
      <c r="N25" s="509" t="str">
        <f t="shared" si="3"/>
        <v xml:space="preserve"> </v>
      </c>
      <c r="O25" s="691" t="str">
        <f>IF(ISERROR(VLOOKUP(B25,'Base de Datos'!$C$487:$K$1048576,7,0))=TRUE," ",(VLOOKUP(B25,'Base de Datos'!$C$487:$K$1048576,8,0)))</f>
        <v>SDH-CD-28-2019</v>
      </c>
      <c r="P25" s="524">
        <f>IF(ISERROR(VLOOKUP(B25,'Base de Datos'!$C$487:$N$4077,9,0))=TRUE," ",(VLOOKUP(B25,'Base de Datos'!$C$487:$N$4077,10,0)))</f>
        <v>43500</v>
      </c>
      <c r="Q25" s="709"/>
      <c r="R25" s="524">
        <f>IF(ISERROR(VLOOKUP(B25,'Base de Datos'!$C$487:$N$4077,10,0))=TRUE," ",(VLOOKUP(B25,'Base de Datos'!$C$487:$N$4077,11,0)))</f>
        <v>43500</v>
      </c>
      <c r="S25" s="524">
        <f>IF(ISERROR(VLOOKUP(B25,'Base de Datos'!$C$487:$N$4077,11,0))=TRUE," ",(VLOOKUP(B25,'Base de Datos'!$C$487:$N$4077,12,0)))</f>
        <v>43641</v>
      </c>
      <c r="T25" s="506" t="str">
        <f>VLOOKUP(B25,'Base de Datos'!$C$487:$AU$4129,41,0)</f>
        <v>DEVUELTO</v>
      </c>
      <c r="U25" s="694"/>
      <c r="V25" s="607"/>
    </row>
    <row r="26" spans="2:22" outlineLevel="1" x14ac:dyDescent="0.3">
      <c r="B26" s="525">
        <v>156</v>
      </c>
      <c r="C26" s="506" t="str">
        <f>IF(ISERROR(VLOOKUP(B26,'Base de Datos'!$C$487:$F$4092,2,0))=TRUE,"",(VLOOKUP('Presupuesto - PAA 2018'!B26,'Base de Datos'!$C$7:$F$4092,3,0)))</f>
        <v>170111-0-2017</v>
      </c>
      <c r="D26" s="506" t="str">
        <f>IF(ISERROR(VLOOKUP(B26,'Base de Datos'!$C$487:$F$4092,3,0))=TRUE,"",(VLOOKUP('Presupuesto - PAA 2018'!B26,'Base de Datos'!$C$487:$F$4092,4,0)))</f>
        <v>WILSON GUERRERO VERA</v>
      </c>
      <c r="E26" s="509">
        <f>VLOOKUP(B26,[7]PAA2017!$C$65:$AA$255,20,0)</f>
        <v>57000000</v>
      </c>
      <c r="F26" s="507" t="str">
        <f>VLOOKUP(B26,[8]SOLICITUDES!$B$3:$H$278,2,0)</f>
        <v>SI</v>
      </c>
      <c r="G26" s="507"/>
      <c r="H26" s="507"/>
      <c r="I26" s="507"/>
      <c r="J26" s="509">
        <f>IF(ISERROR(VLOOKUP(B26,'Base de Datos'!$C$487:$N$4092,6,0))=TRUE,"Sin Celebrar",(VLOOKUP(B26,'Base de Datos'!$C$487:$N$4092,7,0)))</f>
        <v>57000000</v>
      </c>
      <c r="K26" s="573"/>
      <c r="L26" s="553" t="str">
        <f t="shared" si="2"/>
        <v xml:space="preserve"> </v>
      </c>
      <c r="M26" s="509"/>
      <c r="N26" s="509" t="str">
        <f t="shared" si="3"/>
        <v xml:space="preserve"> </v>
      </c>
      <c r="O26" s="691" t="str">
        <f>IF(ISERROR(VLOOKUP(B26,'Base de Datos'!$C$487:$K$1048576,7,0))=TRUE," ",(VLOOKUP(B26,'Base de Datos'!$C$487:$K$1048576,8,0)))</f>
        <v>170111-0-2017</v>
      </c>
      <c r="P26" s="524">
        <f>IF(ISERROR(VLOOKUP(B26,'Base de Datos'!$C$487:$N$4077,9,0))=TRUE," ",(VLOOKUP(B26,'Base de Datos'!$C$487:$N$4077,10,0)))</f>
        <v>42850</v>
      </c>
      <c r="Q26" s="709"/>
      <c r="R26" s="524">
        <f>IF(ISERROR(VLOOKUP(B26,'Base de Datos'!$C$487:$N$4077,10,0))=TRUE," ",(VLOOKUP(B26,'Base de Datos'!$C$487:$N$4077,11,0)))</f>
        <v>42857</v>
      </c>
      <c r="S26" s="524">
        <f>IF(ISERROR(VLOOKUP(B26,'Base de Datos'!$C$487:$N$4077,11,0))=TRUE," ",(VLOOKUP(B26,'Base de Datos'!$C$487:$N$4077,12,0)))</f>
        <v>43161</v>
      </c>
      <c r="T26" s="506" t="str">
        <f>VLOOKUP(B26,'Base de Datos'!$C$487:$AU$4129,41,0)</f>
        <v>LIQUIDADO</v>
      </c>
      <c r="U26" s="694"/>
      <c r="V26" s="607"/>
    </row>
    <row r="27" spans="2:22" ht="22.8" outlineLevel="1" x14ac:dyDescent="0.3">
      <c r="B27" s="525">
        <v>157</v>
      </c>
      <c r="C27" s="506" t="str">
        <f>IF(ISERROR(VLOOKUP(B27,'Base de Datos'!$C$487:$F$4092,2,0))=TRUE,"",(VLOOKUP('Presupuesto - PAA 2018'!B27,'Base de Datos'!$C$7:$F$4092,3,0)))</f>
        <v>150255-0-2015</v>
      </c>
      <c r="D27" s="506" t="str">
        <f>IF(ISERROR(VLOOKUP(B27,'Base de Datos'!$C$487:$F$4092,3,0))=TRUE,"",(VLOOKUP('Presupuesto - PAA 2018'!B27,'Base de Datos'!$C$487:$F$4092,4,0)))</f>
        <v>LUZ ANGELA CARDENAS MORENO (Cesionaria) / IVON ADRIANA JIMENEZ ZAPATA (Antes)</v>
      </c>
      <c r="E27" s="509">
        <f>VLOOKUP(B27,[7]PAA2017!$C$65:$AA$255,20,0)</f>
        <v>57000000</v>
      </c>
      <c r="F27" s="507" t="str">
        <f>VLOOKUP(B27,[8]SOLICITUDES!$B$3:$H$278,2,0)</f>
        <v>SI</v>
      </c>
      <c r="G27" s="507"/>
      <c r="H27" s="507"/>
      <c r="I27" s="507"/>
      <c r="J27" s="509">
        <f>IF(ISERROR(VLOOKUP(B27,'Base de Datos'!$C$487:$N$4092,6,0))=TRUE,"Sin Celebrar",(VLOOKUP(B27,'Base de Datos'!$C$487:$N$4092,7,0)))</f>
        <v>51300000</v>
      </c>
      <c r="K27" s="573"/>
      <c r="L27" s="553" t="str">
        <f t="shared" si="2"/>
        <v xml:space="preserve"> </v>
      </c>
      <c r="M27" s="509"/>
      <c r="N27" s="509">
        <f t="shared" si="3"/>
        <v>5700000</v>
      </c>
      <c r="O27" s="691" t="str">
        <f>IF(ISERROR(VLOOKUP(B27,'Base de Datos'!$C$487:$K$1048576,7,0))=TRUE," ",(VLOOKUP(B27,'Base de Datos'!$C$487:$K$1048576,8,0)))</f>
        <v>170109-0-2017</v>
      </c>
      <c r="P27" s="524">
        <f>IF(ISERROR(VLOOKUP(B27,'Base de Datos'!$C$487:$N$4077,9,0))=TRUE," ",(VLOOKUP(B27,'Base de Datos'!$C$487:$N$4077,10,0)))</f>
        <v>42849</v>
      </c>
      <c r="Q27" s="709"/>
      <c r="R27" s="524">
        <f>IF(ISERROR(VLOOKUP(B27,'Base de Datos'!$C$487:$N$4077,10,0))=TRUE," ",(VLOOKUP(B27,'Base de Datos'!$C$487:$N$4077,11,0)))</f>
        <v>42851</v>
      </c>
      <c r="S27" s="524">
        <f>IF(ISERROR(VLOOKUP(B27,'Base de Datos'!$C$487:$N$4077,11,0))=TRUE," ",(VLOOKUP(B27,'Base de Datos'!$C$487:$N$4077,12,0)))</f>
        <v>43126</v>
      </c>
      <c r="T27" s="506" t="str">
        <f>VLOOKUP(B27,'Base de Datos'!$C$487:$AU$4129,41,0)</f>
        <v>EN TRÁMITE</v>
      </c>
      <c r="U27" s="694"/>
      <c r="V27" s="607"/>
    </row>
    <row r="28" spans="2:22" outlineLevel="1" x14ac:dyDescent="0.3">
      <c r="B28" s="525">
        <v>158</v>
      </c>
      <c r="C28" s="506" t="str">
        <f>IF(ISERROR(VLOOKUP(B28,'Base de Datos'!$C$487:$F$4092,2,0))=TRUE,"",(VLOOKUP('Presupuesto - PAA 2018'!B28,'Base de Datos'!$C$7:$F$4092,3,0)))</f>
        <v>150271-0-2015</v>
      </c>
      <c r="D28" s="506" t="str">
        <f>IF(ISERROR(VLOOKUP(B28,'Base de Datos'!$C$487:$F$4092,3,0))=TRUE,"",(VLOOKUP('Presupuesto - PAA 2018'!B28,'Base de Datos'!$C$487:$F$4092,4,0)))</f>
        <v>CLAUDIA ELVIRA RODRIGUEZ POVEDA</v>
      </c>
      <c r="E28" s="509">
        <f>VLOOKUP(B28,[7]PAA2017!$C$65:$AA$255,20,0)</f>
        <v>57000000</v>
      </c>
      <c r="F28" s="507" t="str">
        <f>VLOOKUP(B28,[8]SOLICITUDES!$B$3:$H$278,2,0)</f>
        <v>SI</v>
      </c>
      <c r="G28" s="507"/>
      <c r="H28" s="507"/>
      <c r="I28" s="507"/>
      <c r="J28" s="509">
        <f>IF(ISERROR(VLOOKUP(B28,'Base de Datos'!$C$487:$N$4092,6,0))=TRUE,"Sin Celebrar",(VLOOKUP(B28,'Base de Datos'!$C$487:$N$4092,7,0)))</f>
        <v>51300000</v>
      </c>
      <c r="K28" s="573"/>
      <c r="L28" s="553" t="str">
        <f t="shared" si="2"/>
        <v xml:space="preserve"> </v>
      </c>
      <c r="M28" s="509"/>
      <c r="N28" s="509">
        <f t="shared" si="3"/>
        <v>5700000</v>
      </c>
      <c r="O28" s="691" t="str">
        <f>IF(ISERROR(VLOOKUP(B28,'Base de Datos'!$C$487:$K$1048576,7,0))=TRUE," ",(VLOOKUP(B28,'Base de Datos'!$C$487:$K$1048576,8,0)))</f>
        <v>170105-0-2017</v>
      </c>
      <c r="P28" s="524">
        <f>IF(ISERROR(VLOOKUP(B28,'Base de Datos'!$C$487:$N$4077,9,0))=TRUE," ",(VLOOKUP(B28,'Base de Datos'!$C$487:$N$4077,10,0)))</f>
        <v>42849</v>
      </c>
      <c r="Q28" s="709"/>
      <c r="R28" s="524">
        <f>IF(ISERROR(VLOOKUP(B28,'Base de Datos'!$C$487:$N$4077,10,0))=TRUE," ",(VLOOKUP(B28,'Base de Datos'!$C$487:$N$4077,11,0)))</f>
        <v>42850</v>
      </c>
      <c r="S28" s="524">
        <f>IF(ISERROR(VLOOKUP(B28,'Base de Datos'!$C$487:$N$4077,11,0))=TRUE," ",(VLOOKUP(B28,'Base de Datos'!$C$487:$N$4077,12,0)))</f>
        <v>43125</v>
      </c>
      <c r="T28" s="506" t="str">
        <f>VLOOKUP(B28,'Base de Datos'!$C$487:$AU$4129,41,0)</f>
        <v>LIQUIDADO</v>
      </c>
      <c r="U28" s="694"/>
      <c r="V28" s="607"/>
    </row>
    <row r="29" spans="2:22" outlineLevel="1" x14ac:dyDescent="0.3">
      <c r="B29" s="525">
        <v>159</v>
      </c>
      <c r="C29" s="506" t="str">
        <f>IF(ISERROR(VLOOKUP(B29,'Base de Datos'!$C$487:$F$4092,2,0))=TRUE,"",(VLOOKUP('Presupuesto - PAA 2018'!B29,'Base de Datos'!$C$7:$F$4092,3,0)))</f>
        <v/>
      </c>
      <c r="D29" s="506" t="str">
        <f>IF(ISERROR(VLOOKUP(B29,'Base de Datos'!$C$487:$F$4092,3,0))=TRUE,"",(VLOOKUP('Presupuesto - PAA 2018'!B29,'Base de Datos'!$C$487:$F$4092,4,0)))</f>
        <v/>
      </c>
      <c r="E29" s="509">
        <f>VLOOKUP(B29,[7]PAA2017!$C$65:$AA$255,20,0)</f>
        <v>57000000</v>
      </c>
      <c r="F29" s="507" t="str">
        <f>VLOOKUP(B29,[8]SOLICITUDES!$B$3:$H$278,2,0)</f>
        <v>SI</v>
      </c>
      <c r="G29" s="507"/>
      <c r="H29" s="507"/>
      <c r="I29" s="507"/>
      <c r="J29" s="509" t="str">
        <f>IF(ISERROR(VLOOKUP(B29,'Base de Datos'!$C$487:$N$4092,6,0))=TRUE,"Sin Celebrar",(VLOOKUP(B29,'Base de Datos'!$C$487:$N$4092,7,0)))</f>
        <v>Sin Celebrar</v>
      </c>
      <c r="K29" s="573"/>
      <c r="L29" s="553">
        <f t="shared" si="2"/>
        <v>57000000</v>
      </c>
      <c r="M29" s="509"/>
      <c r="N29" s="509" t="str">
        <f t="shared" si="3"/>
        <v xml:space="preserve"> </v>
      </c>
      <c r="O29" s="691" t="str">
        <f>IF(ISERROR(VLOOKUP(B29,'Base de Datos'!$C$487:$K$1048576,7,0))=TRUE," ",(VLOOKUP(B29,'Base de Datos'!$C$487:$K$1048576,8,0)))</f>
        <v xml:space="preserve"> </v>
      </c>
      <c r="P29" s="524" t="str">
        <f>IF(ISERROR(VLOOKUP(B29,'Base de Datos'!$C$487:$N$4077,9,0))=TRUE," ",(VLOOKUP(B29,'Base de Datos'!$C$487:$N$4077,10,0)))</f>
        <v xml:space="preserve"> </v>
      </c>
      <c r="Q29" s="709"/>
      <c r="R29" s="524" t="str">
        <f>IF(ISERROR(VLOOKUP(B29,'Base de Datos'!$C$487:$N$4077,10,0))=TRUE," ",(VLOOKUP(B29,'Base de Datos'!$C$487:$N$4077,11,0)))</f>
        <v xml:space="preserve"> </v>
      </c>
      <c r="S29" s="524" t="str">
        <f>IF(ISERROR(VLOOKUP(B29,'Base de Datos'!$C$487:$N$4077,11,0))=TRUE," ",(VLOOKUP(B29,'Base de Datos'!$C$487:$N$4077,12,0)))</f>
        <v xml:space="preserve"> </v>
      </c>
      <c r="T29" s="506" t="e">
        <f>VLOOKUP(B29,'Base de Datos'!$C$487:$AU$4129,41,0)</f>
        <v>#N/A</v>
      </c>
      <c r="U29" s="694"/>
      <c r="V29" s="607"/>
    </row>
    <row r="30" spans="2:22" outlineLevel="1" x14ac:dyDescent="0.3">
      <c r="B30" s="525">
        <v>160</v>
      </c>
      <c r="C30" s="506" t="str">
        <f>IF(ISERROR(VLOOKUP(B30,'Base de Datos'!$C$487:$F$4092,2,0))=TRUE,"",(VLOOKUP('Presupuesto - PAA 2018'!B30,'Base de Datos'!$C$7:$F$4092,3,0)))</f>
        <v/>
      </c>
      <c r="D30" s="506" t="str">
        <f>IF(ISERROR(VLOOKUP(B30,'Base de Datos'!$C$487:$F$4092,3,0))=TRUE,"",(VLOOKUP('Presupuesto - PAA 2018'!B30,'Base de Datos'!$C$487:$F$4092,4,0)))</f>
        <v/>
      </c>
      <c r="E30" s="509">
        <f>VLOOKUP(B30,[7]PAA2017!$C$65:$AA$255,20,0)</f>
        <v>57000000</v>
      </c>
      <c r="F30" s="507" t="e">
        <f>VLOOKUP(B30,[8]SOLICITUDES!$B$3:$H$278,2,0)</f>
        <v>#N/A</v>
      </c>
      <c r="G30" s="507"/>
      <c r="H30" s="507"/>
      <c r="I30" s="507"/>
      <c r="J30" s="509" t="str">
        <f>IF(ISERROR(VLOOKUP(B30,'Base de Datos'!$C$487:$N$4092,6,0))=TRUE,"Sin Celebrar",(VLOOKUP(B30,'Base de Datos'!$C$487:$N$4092,7,0)))</f>
        <v>Sin Celebrar</v>
      </c>
      <c r="K30" s="573"/>
      <c r="L30" s="553">
        <f t="shared" si="2"/>
        <v>57000000</v>
      </c>
      <c r="M30" s="509"/>
      <c r="N30" s="509" t="str">
        <f t="shared" si="3"/>
        <v xml:space="preserve"> </v>
      </c>
      <c r="O30" s="691" t="str">
        <f>IF(ISERROR(VLOOKUP(B30,'Base de Datos'!$C$487:$K$1048576,7,0))=TRUE," ",(VLOOKUP(B30,'Base de Datos'!$C$487:$K$1048576,8,0)))</f>
        <v xml:space="preserve"> </v>
      </c>
      <c r="P30" s="524" t="str">
        <f>IF(ISERROR(VLOOKUP(B30,'Base de Datos'!$C$487:$N$4077,9,0))=TRUE," ",(VLOOKUP(B30,'Base de Datos'!$C$487:$N$4077,10,0)))</f>
        <v xml:space="preserve"> </v>
      </c>
      <c r="Q30" s="709"/>
      <c r="R30" s="524" t="str">
        <f>IF(ISERROR(VLOOKUP(B30,'Base de Datos'!$C$487:$N$4077,10,0))=TRUE," ",(VLOOKUP(B30,'Base de Datos'!$C$487:$N$4077,11,0)))</f>
        <v xml:space="preserve"> </v>
      </c>
      <c r="S30" s="524" t="str">
        <f>IF(ISERROR(VLOOKUP(B30,'Base de Datos'!$C$487:$N$4077,11,0))=TRUE," ",(VLOOKUP(B30,'Base de Datos'!$C$487:$N$4077,12,0)))</f>
        <v xml:space="preserve"> </v>
      </c>
      <c r="T30" s="506" t="e">
        <f>VLOOKUP(B30,'Base de Datos'!$C$487:$AU$4129,41,0)</f>
        <v>#N/A</v>
      </c>
      <c r="U30" s="694"/>
      <c r="V30" s="607"/>
    </row>
    <row r="31" spans="2:22" ht="12" outlineLevel="1" thickBot="1" x14ac:dyDescent="0.35">
      <c r="B31" s="525"/>
      <c r="C31" s="526"/>
      <c r="D31" s="526"/>
      <c r="E31" s="527"/>
      <c r="F31" s="528"/>
      <c r="G31" s="528"/>
      <c r="H31" s="528"/>
      <c r="I31" s="528"/>
      <c r="J31" s="509"/>
      <c r="K31" s="577"/>
      <c r="L31" s="527" t="str">
        <f>IF(J31=$AA$1,E31, " ")</f>
        <v xml:space="preserve"> </v>
      </c>
      <c r="M31" s="527"/>
      <c r="N31" s="527" t="str">
        <f>IF(J31&lt;E31,(E31-J31)," ")</f>
        <v xml:space="preserve"> </v>
      </c>
      <c r="O31" s="652"/>
      <c r="P31" s="529" t="str">
        <f>IF(ISERROR(VLOOKUP(B31,'Base de Datos'!$C$7:$N$315,9,0))=TRUE," ",(VLOOKUP(B31,'Base de Datos'!$C$7:$N$315,9,0)))</f>
        <v xml:space="preserve"> </v>
      </c>
      <c r="Q31" s="526"/>
      <c r="R31" s="529" t="str">
        <f>IF(ISERROR(VLOOKUP(B31,'Base de Datos'!$C$7:$N$315,10,0))=TRUE," ",(VLOOKUP(B31,'Base de Datos'!$C$7:$N$315,10,0)))</f>
        <v xml:space="preserve"> </v>
      </c>
      <c r="S31" s="529" t="str">
        <f>IF(ISERROR(VLOOKUP(B31,'Base de Datos'!$C$7:$N$315,11,0))=TRUE," ",(VLOOKUP(B31,'Base de Datos'!$C$7:$N$315,11,0)))</f>
        <v xml:space="preserve"> </v>
      </c>
      <c r="T31" s="526"/>
      <c r="U31" s="694"/>
      <c r="V31" s="607"/>
    </row>
    <row r="32" spans="2:22" ht="12" outlineLevel="1" x14ac:dyDescent="0.3">
      <c r="B32" s="1249"/>
      <c r="C32" s="1250"/>
      <c r="D32" s="1250"/>
      <c r="E32" s="532"/>
      <c r="F32" s="532"/>
      <c r="G32" s="532"/>
      <c r="H32" s="532"/>
      <c r="I32" s="532"/>
      <c r="J32" s="532"/>
      <c r="K32" s="578"/>
      <c r="L32" s="532"/>
      <c r="M32" s="532"/>
      <c r="N32" s="532"/>
      <c r="O32" s="653"/>
      <c r="P32" s="533"/>
      <c r="Q32" s="534"/>
      <c r="R32" s="533"/>
      <c r="S32" s="533"/>
      <c r="T32" s="535"/>
      <c r="U32" s="694"/>
      <c r="V32" s="607"/>
    </row>
    <row r="33" spans="2:22" ht="12.6" outlineLevel="1" thickBot="1" x14ac:dyDescent="0.35">
      <c r="B33" s="1251"/>
      <c r="C33" s="1252"/>
      <c r="D33" s="1252"/>
      <c r="E33" s="536"/>
      <c r="F33" s="552"/>
      <c r="G33" s="552"/>
      <c r="H33" s="552"/>
      <c r="I33" s="552"/>
      <c r="J33" s="536"/>
      <c r="K33" s="579"/>
      <c r="L33" s="536"/>
      <c r="M33" s="536"/>
      <c r="N33" s="536"/>
      <c r="O33" s="654"/>
      <c r="P33" s="537"/>
      <c r="Q33" s="538"/>
      <c r="R33" s="537"/>
      <c r="S33" s="537"/>
      <c r="T33" s="539"/>
      <c r="U33" s="694"/>
      <c r="V33" s="607"/>
    </row>
    <row r="34" spans="2:22" ht="15" customHeight="1" x14ac:dyDescent="0.3">
      <c r="B34" s="1253" t="s">
        <v>1643</v>
      </c>
      <c r="C34" s="1253"/>
      <c r="D34" s="1253"/>
      <c r="E34" s="560">
        <v>12705000000</v>
      </c>
      <c r="F34" s="561">
        <f>COUNTIF('Actualizada - presupuesto'!$E$7:$E$111,B34)</f>
        <v>0</v>
      </c>
      <c r="G34" s="561"/>
      <c r="H34" s="561"/>
      <c r="I34" s="554">
        <v>12745000000</v>
      </c>
      <c r="J34" s="560">
        <f>+J35</f>
        <v>10479835080</v>
      </c>
      <c r="K34" s="580">
        <f>J35/I34</f>
        <v>0.82227030835621817</v>
      </c>
      <c r="L34" s="560">
        <f>E34-J34</f>
        <v>2225164920</v>
      </c>
      <c r="M34" s="605">
        <f>+E34-(J34+L34)</f>
        <v>0</v>
      </c>
      <c r="N34" s="560">
        <f>+E34-J34-L34</f>
        <v>0</v>
      </c>
      <c r="O34" s="655"/>
      <c r="P34" s="562" t="str">
        <f>IF(ISERROR(VLOOKUP(B34,'Base de Datos'!$C$7:$N$315,8,0))=TRUE," ",(VLOOKUP(B34,'Base de Datos'!$C$7:$N$315,8,0)))</f>
        <v xml:space="preserve"> </v>
      </c>
      <c r="Q34" s="563"/>
      <c r="R34" s="562" t="str">
        <f>IF(ISERROR(VLOOKUP(B34,'Base de Datos'!$C$7:$N$315,9,0))=TRUE," ",(VLOOKUP(B34,'Base de Datos'!$C$7:$N$315,9,0)))</f>
        <v xml:space="preserve"> </v>
      </c>
      <c r="S34" s="562" t="str">
        <f>IF(ISERROR(VLOOKUP(B34,'Base de Datos'!$C$7:$N$315,10,0))=TRUE," ",(VLOOKUP(B34,'Base de Datos'!$C$7:$N$315,10,0)))</f>
        <v xml:space="preserve"> </v>
      </c>
      <c r="T34" s="686"/>
      <c r="U34" s="694"/>
      <c r="V34" s="607"/>
    </row>
    <row r="35" spans="2:22" s="571" customFormat="1" ht="15" customHeight="1" outlineLevel="1" x14ac:dyDescent="0.3">
      <c r="B35" s="566"/>
      <c r="C35" s="566"/>
      <c r="D35" s="936" t="s">
        <v>2262</v>
      </c>
      <c r="E35" s="567"/>
      <c r="F35" s="568"/>
      <c r="G35" s="568"/>
      <c r="H35" s="568"/>
      <c r="I35" s="568"/>
      <c r="J35" s="553">
        <v>10479835080</v>
      </c>
      <c r="K35" s="581"/>
      <c r="L35" s="567"/>
      <c r="M35" s="567"/>
      <c r="N35" s="567"/>
      <c r="O35" s="656"/>
      <c r="P35" s="569"/>
      <c r="Q35" s="570"/>
      <c r="R35" s="569"/>
      <c r="S35" s="569"/>
      <c r="T35" s="687"/>
      <c r="U35" s="694"/>
      <c r="V35" s="607"/>
    </row>
    <row r="36" spans="2:22" s="571" customFormat="1" ht="15" customHeight="1" outlineLevel="1" x14ac:dyDescent="0.3">
      <c r="B36" s="566"/>
      <c r="C36" s="566"/>
      <c r="D36" s="566"/>
      <c r="E36" s="567"/>
      <c r="F36" s="568"/>
      <c r="G36" s="568"/>
      <c r="H36" s="568"/>
      <c r="I36" s="568"/>
      <c r="J36" s="567"/>
      <c r="K36" s="581"/>
      <c r="L36" s="567"/>
      <c r="M36" s="567"/>
      <c r="N36" s="567"/>
      <c r="O36" s="656"/>
      <c r="P36" s="569"/>
      <c r="Q36" s="570"/>
      <c r="R36" s="569"/>
      <c r="S36" s="569"/>
      <c r="T36" s="687"/>
      <c r="U36" s="694"/>
      <c r="V36" s="607"/>
    </row>
    <row r="37" spans="2:22" ht="15" customHeight="1" x14ac:dyDescent="0.3">
      <c r="B37" s="1239" t="s">
        <v>1644</v>
      </c>
      <c r="C37" s="1239"/>
      <c r="D37" s="1239"/>
      <c r="E37" s="554">
        <v>93600000</v>
      </c>
      <c r="F37" s="559">
        <v>3</v>
      </c>
      <c r="G37" s="559"/>
      <c r="H37" s="559"/>
      <c r="I37" s="559"/>
      <c r="J37" s="554">
        <f>SUM(J39:J47)</f>
        <v>30507466</v>
      </c>
      <c r="K37" s="576">
        <f>J37/E37</f>
        <v>0.32593446581196583</v>
      </c>
      <c r="L37" s="554" t="e">
        <f>SUM(L39:L47)</f>
        <v>#N/A</v>
      </c>
      <c r="M37" s="605">
        <v>0</v>
      </c>
      <c r="N37" s="554" t="e">
        <f>+E37-J37-L37</f>
        <v>#N/A</v>
      </c>
      <c r="O37" s="657"/>
      <c r="P37" s="564" t="str">
        <f>IF(ISERROR(VLOOKUP(B37,'Base de Datos'!$C$7:$N$315,8,0))=TRUE," ",(VLOOKUP(B37,'Base de Datos'!$C$7:$N$315,8,0)))</f>
        <v xml:space="preserve"> </v>
      </c>
      <c r="Q37" s="565"/>
      <c r="R37" s="564" t="str">
        <f>IF(ISERROR(VLOOKUP(B37,'Base de Datos'!$C$7:$N$315,9,0))=TRUE," ",(VLOOKUP(B37,'Base de Datos'!$C$7:$N$315,9,0)))</f>
        <v xml:space="preserve"> </v>
      </c>
      <c r="S37" s="564" t="str">
        <f>IF(ISERROR(VLOOKUP(B37,'Base de Datos'!$C$7:$N$315,10,0))=TRUE," ",(VLOOKUP(B37,'Base de Datos'!$C$7:$N$315,10,0)))</f>
        <v xml:space="preserve"> </v>
      </c>
      <c r="T37" s="565"/>
      <c r="U37" s="694"/>
      <c r="V37" s="607"/>
    </row>
    <row r="38" spans="2:22" ht="22.8" outlineLevel="1" x14ac:dyDescent="0.3">
      <c r="B38" s="510" t="s">
        <v>1692</v>
      </c>
      <c r="C38" s="510" t="s">
        <v>912</v>
      </c>
      <c r="D38" s="510" t="s">
        <v>1821</v>
      </c>
      <c r="E38" s="518" t="s">
        <v>1845</v>
      </c>
      <c r="F38" s="507" t="s">
        <v>1852</v>
      </c>
      <c r="G38" s="507"/>
      <c r="H38" s="507"/>
      <c r="I38" s="507"/>
      <c r="J38" s="510" t="s">
        <v>1844</v>
      </c>
      <c r="K38" s="625"/>
      <c r="L38" s="510" t="s">
        <v>1938</v>
      </c>
      <c r="M38" s="510"/>
      <c r="N38" s="510" t="s">
        <v>1939</v>
      </c>
      <c r="O38" s="650"/>
      <c r="P38" s="541" t="s">
        <v>1846</v>
      </c>
      <c r="Q38" s="510" t="s">
        <v>1847</v>
      </c>
      <c r="R38" s="510" t="s">
        <v>1848</v>
      </c>
      <c r="S38" s="510" t="s">
        <v>375</v>
      </c>
      <c r="T38" s="510" t="s">
        <v>1849</v>
      </c>
      <c r="U38" s="694"/>
      <c r="V38" s="607"/>
    </row>
    <row r="39" spans="2:22" outlineLevel="1" x14ac:dyDescent="0.3">
      <c r="B39" s="525">
        <v>161</v>
      </c>
      <c r="C39" s="506" t="str">
        <f>IF(ISERROR(VLOOKUP(B39,'Base de Datos'!$C$487:$F$4092,2,0))=TRUE,"",(VLOOKUP('Presupuesto - PAA 2018'!B39,'Base de Datos'!$C$7:$F$4092,3,0)))</f>
        <v/>
      </c>
      <c r="D39" s="506" t="str">
        <f>IF(ISERROR(VLOOKUP(B39,'Base de Datos'!$C$487:$F$4092,3,0))=TRUE,"",(VLOOKUP('Presupuesto - PAA 2018'!B39,'Base de Datos'!$C$487:$F$4092,4,0)))</f>
        <v/>
      </c>
      <c r="E39" s="509">
        <f>VLOOKUP(B39,[7]PAA2017!$C$65:$AA$255,20,0)</f>
        <v>22500000</v>
      </c>
      <c r="F39" s="507" t="str">
        <f>VLOOKUP(B39,[8]SOLICITUDES!$B$3:$H$278,2,0)</f>
        <v>SI</v>
      </c>
      <c r="G39" s="528"/>
      <c r="H39" s="528"/>
      <c r="I39" s="528"/>
      <c r="J39" s="509" t="str">
        <f>IF(ISERROR(VLOOKUP(B39,'Base de Datos'!$C$487:$N$4092,6,0))=TRUE,"Sin Celebrar",(VLOOKUP(B39,'Base de Datos'!$C$487:$N$4092,7,0)))</f>
        <v>Sin Celebrar</v>
      </c>
      <c r="K39" s="577"/>
      <c r="L39" s="553">
        <f t="shared" ref="L39:L46" si="4">IF(J39=$AA$1,E39, " ")</f>
        <v>22500000</v>
      </c>
      <c r="M39" s="527"/>
      <c r="N39" s="509" t="str">
        <f t="shared" ref="N39:N47" si="5">IF(J39&lt;E39,(E39-J39)," ")</f>
        <v xml:space="preserve"> </v>
      </c>
      <c r="O39" s="691" t="str">
        <f>IF(ISERROR(VLOOKUP(B39,'Base de Datos'!$C$487:$K$1048576,7,0))=TRUE," ",(VLOOKUP(B39,'Base de Datos'!$C$487:$K$1048576,8,0)))</f>
        <v xml:space="preserve"> </v>
      </c>
      <c r="P39" s="524" t="str">
        <f>IF(ISERROR(VLOOKUP(B39,'Base de Datos'!$C$487:$N$4077,9,0))=TRUE," ",(VLOOKUP(B39,'Base de Datos'!$C$487:$N$4077,10,0)))</f>
        <v xml:space="preserve"> </v>
      </c>
      <c r="Q39" s="709"/>
      <c r="R39" s="524" t="str">
        <f>IF(ISERROR(VLOOKUP(B39,'Base de Datos'!$C$487:$N$4077,10,0))=TRUE," ",(VLOOKUP(B39,'Base de Datos'!$C$487:$N$4077,11,0)))</f>
        <v xml:space="preserve"> </v>
      </c>
      <c r="S39" s="524" t="str">
        <f>IF(ISERROR(VLOOKUP(B39,'Base de Datos'!$C$487:$N$4077,11,0))=TRUE," ",(VLOOKUP(B39,'Base de Datos'!$C$487:$N$4077,12,0)))</f>
        <v xml:space="preserve"> </v>
      </c>
      <c r="T39" s="506" t="e">
        <f>VLOOKUP(B39,'Base de Datos'!$C$487:$AU$4129,41,0)</f>
        <v>#N/A</v>
      </c>
      <c r="U39" s="694"/>
      <c r="V39" s="607"/>
    </row>
    <row r="40" spans="2:22" outlineLevel="1" x14ac:dyDescent="0.3">
      <c r="B40" s="525">
        <v>162</v>
      </c>
      <c r="C40" s="506" t="str">
        <f>IF(ISERROR(VLOOKUP(B40,'Base de Datos'!$C$487:$F$4092,2,0))=TRUE,"",(VLOOKUP('Presupuesto - PAA 2018'!B40,'Base de Datos'!$C$7:$F$4092,3,0)))</f>
        <v/>
      </c>
      <c r="D40" s="506" t="str">
        <f>IF(ISERROR(VLOOKUP(B40,'Base de Datos'!$C$487:$F$4092,3,0))=TRUE,"",(VLOOKUP('Presupuesto - PAA 2018'!B40,'Base de Datos'!$C$487:$F$4092,4,0)))</f>
        <v/>
      </c>
      <c r="E40" s="509">
        <f>VLOOKUP(B40,[7]PAA2017!$C$65:$AA$255,20,0)</f>
        <v>22500000</v>
      </c>
      <c r="F40" s="507" t="e">
        <f>VLOOKUP(B40,[8]SOLICITUDES!$B$3:$H$278,2,0)</f>
        <v>#N/A</v>
      </c>
      <c r="G40" s="528"/>
      <c r="H40" s="528"/>
      <c r="I40" s="528"/>
      <c r="J40" s="509" t="str">
        <f>IF(ISERROR(VLOOKUP(B40,'Base de Datos'!$C$487:$N$4092,6,0))=TRUE,"Sin Celebrar",(VLOOKUP(B40,'Base de Datos'!$C$487:$N$4092,7,0)))</f>
        <v>Sin Celebrar</v>
      </c>
      <c r="K40" s="577"/>
      <c r="L40" s="553">
        <f t="shared" si="4"/>
        <v>22500000</v>
      </c>
      <c r="M40" s="527"/>
      <c r="N40" s="509" t="str">
        <f t="shared" si="5"/>
        <v xml:space="preserve"> </v>
      </c>
      <c r="O40" s="691" t="str">
        <f>IF(ISERROR(VLOOKUP(B40,'Base de Datos'!$C$487:$K$1048576,7,0))=TRUE," ",(VLOOKUP(B40,'Base de Datos'!$C$487:$K$1048576,8,0)))</f>
        <v xml:space="preserve"> </v>
      </c>
      <c r="P40" s="524" t="str">
        <f>IF(ISERROR(VLOOKUP(B40,'Base de Datos'!$C$487:$N$4077,9,0))=TRUE," ",(VLOOKUP(B40,'Base de Datos'!$C$487:$N$4077,10,0)))</f>
        <v xml:space="preserve"> </v>
      </c>
      <c r="Q40" s="709"/>
      <c r="R40" s="524" t="str">
        <f>IF(ISERROR(VLOOKUP(B40,'Base de Datos'!$C$487:$N$4077,10,0))=TRUE," ",(VLOOKUP(B40,'Base de Datos'!$C$487:$N$4077,11,0)))</f>
        <v xml:space="preserve"> </v>
      </c>
      <c r="S40" s="524" t="str">
        <f>IF(ISERROR(VLOOKUP(B40,'Base de Datos'!$C$487:$N$4077,11,0))=TRUE," ",(VLOOKUP(B40,'Base de Datos'!$C$487:$N$4077,12,0)))</f>
        <v xml:space="preserve"> </v>
      </c>
      <c r="T40" s="506" t="e">
        <f>VLOOKUP(B40,'Base de Datos'!$C$487:$AU$4129,41,0)</f>
        <v>#N/A</v>
      </c>
      <c r="U40" s="694"/>
      <c r="V40" s="607"/>
    </row>
    <row r="41" spans="2:22" outlineLevel="1" x14ac:dyDescent="0.3">
      <c r="B41" s="525">
        <v>163</v>
      </c>
      <c r="C41" s="506" t="str">
        <f>IF(ISERROR(VLOOKUP(B41,'Base de Datos'!$C$487:$F$4092,2,0))=TRUE,"",(VLOOKUP('Presupuesto - PAA 2018'!B41,'Base de Datos'!$C$7:$F$4092,3,0)))</f>
        <v>170139-0-2017</v>
      </c>
      <c r="D41" s="506" t="str">
        <f>IF(ISERROR(VLOOKUP(B41,'Base de Datos'!$C$487:$F$4092,3,0))=TRUE,"",(VLOOKUP('Presupuesto - PAA 2018'!B41,'Base de Datos'!$C$487:$F$4092,4,0)))</f>
        <v>BRAYAN JEFERSON VARON AGUIRRE</v>
      </c>
      <c r="E41" s="509">
        <f>VLOOKUP(B41,[7]PAA2017!$C$65:$AA$255,20,0)</f>
        <v>22500000</v>
      </c>
      <c r="F41" s="507" t="str">
        <f>VLOOKUP(B41,[8]SOLICITUDES!$B$3:$H$278,2,0)</f>
        <v>SI</v>
      </c>
      <c r="G41" s="528"/>
      <c r="H41" s="528"/>
      <c r="I41" s="528"/>
      <c r="J41" s="509">
        <f>IF(ISERROR(VLOOKUP(B41,'Base de Datos'!$C$487:$N$4092,6,0))=TRUE,"Sin Celebrar",(VLOOKUP(B41,'Base de Datos'!$C$487:$N$4092,7,0)))</f>
        <v>13500000</v>
      </c>
      <c r="K41" s="577"/>
      <c r="L41" s="553" t="str">
        <f t="shared" si="4"/>
        <v xml:space="preserve"> </v>
      </c>
      <c r="M41" s="527"/>
      <c r="N41" s="509">
        <f t="shared" si="5"/>
        <v>9000000</v>
      </c>
      <c r="O41" s="691" t="str">
        <f>IF(ISERROR(VLOOKUP(B41,'Base de Datos'!$C$487:$K$1048576,7,0))=TRUE," ",(VLOOKUP(B41,'Base de Datos'!$C$487:$K$1048576,8,0)))</f>
        <v>170139-0-2017</v>
      </c>
      <c r="P41" s="524">
        <f>IF(ISERROR(VLOOKUP(B41,'Base de Datos'!$C$487:$N$4077,9,0))=TRUE," ",(VLOOKUP(B41,'Base de Datos'!$C$487:$N$4077,10,0)))</f>
        <v>42872</v>
      </c>
      <c r="Q41" s="709"/>
      <c r="R41" s="524">
        <f>IF(ISERROR(VLOOKUP(B41,'Base de Datos'!$C$487:$N$4077,10,0))=TRUE," ",(VLOOKUP(B41,'Base de Datos'!$C$487:$N$4077,11,0)))</f>
        <v>42887</v>
      </c>
      <c r="S41" s="524">
        <f>IF(ISERROR(VLOOKUP(B41,'Base de Datos'!$C$487:$N$4077,11,0))=TRUE," ",(VLOOKUP(B41,'Base de Datos'!$C$487:$N$4077,12,0)))</f>
        <v>43160</v>
      </c>
      <c r="T41" s="506" t="str">
        <f>VLOOKUP(B41,'Base de Datos'!$C$487:$AU$4129,41,0)</f>
        <v>EN TRÁMITE</v>
      </c>
      <c r="U41" s="694"/>
      <c r="V41" s="607"/>
    </row>
    <row r="42" spans="2:22" outlineLevel="1" x14ac:dyDescent="0.3">
      <c r="B42" s="525">
        <v>164</v>
      </c>
      <c r="C42" s="506" t="str">
        <f>IF(ISERROR(VLOOKUP(B42,'Base de Datos'!$C$487:$F$4092,2,0))=TRUE,"",(VLOOKUP('Presupuesto - PAA 2018'!B42,'Base de Datos'!$C$7:$F$4092,3,0)))</f>
        <v>150358-0-2015</v>
      </c>
      <c r="D42" s="506" t="str">
        <f>IF(ISERROR(VLOOKUP(B42,'Base de Datos'!$C$487:$F$4092,3,0))=TRUE,"",(VLOOKUP('Presupuesto - PAA 2018'!B42,'Base de Datos'!$C$487:$F$4092,4,0)))</f>
        <v>MANUEL FELIPE VEGA NOVOA</v>
      </c>
      <c r="E42" s="509">
        <f>VLOOKUP(B42,[7]PAA2017!$C$65:$AA$255,20,0)</f>
        <v>22500000</v>
      </c>
      <c r="F42" s="507" t="e">
        <f>VLOOKUP(B42,[8]SOLICITUDES!$B$3:$H$278,2,0)</f>
        <v>#N/A</v>
      </c>
      <c r="G42" s="528"/>
      <c r="H42" s="528"/>
      <c r="I42" s="528"/>
      <c r="J42" s="509">
        <f>IF(ISERROR(VLOOKUP(B42,'Base de Datos'!$C$487:$N$4092,6,0))=TRUE,"Sin Celebrar",(VLOOKUP(B42,'Base de Datos'!$C$487:$N$4092,7,0)))</f>
        <v>17007466</v>
      </c>
      <c r="K42" s="577"/>
      <c r="L42" s="553" t="str">
        <f t="shared" si="4"/>
        <v xml:space="preserve"> </v>
      </c>
      <c r="M42" s="527"/>
      <c r="N42" s="509">
        <f t="shared" si="5"/>
        <v>5492534</v>
      </c>
      <c r="O42" s="691" t="str">
        <f>IF(ISERROR(VLOOKUP(B42,'Base de Datos'!$C$487:$K$1048576,7,0))=TRUE," ",(VLOOKUP(B42,'Base de Datos'!$C$487:$K$1048576,8,0)))</f>
        <v>SDH-CD-45-2019</v>
      </c>
      <c r="P42" s="524">
        <f>IF(ISERROR(VLOOKUP(B42,'Base de Datos'!$C$487:$N$4077,9,0))=TRUE," ",(VLOOKUP(B42,'Base de Datos'!$C$487:$N$4077,10,0)))</f>
        <v>43501</v>
      </c>
      <c r="Q42" s="709"/>
      <c r="R42" s="524">
        <f>IF(ISERROR(VLOOKUP(B42,'Base de Datos'!$C$487:$N$4077,10,0))=TRUE," ",(VLOOKUP(B42,'Base de Datos'!$C$487:$N$4077,11,0)))</f>
        <v>43504</v>
      </c>
      <c r="S42" s="524">
        <f>IF(ISERROR(VLOOKUP(B42,'Base de Datos'!$C$487:$N$4077,11,0))=TRUE," ",(VLOOKUP(B42,'Base de Datos'!$C$487:$N$4077,12,0)))</f>
        <v>43641</v>
      </c>
      <c r="T42" s="506" t="str">
        <f>VLOOKUP(B42,'Base de Datos'!$C$487:$AU$4129,41,0)</f>
        <v>LIQUIDADO</v>
      </c>
      <c r="U42" s="694"/>
      <c r="V42" s="607"/>
    </row>
    <row r="43" spans="2:22" outlineLevel="1" x14ac:dyDescent="0.3">
      <c r="B43" s="525"/>
      <c r="C43" s="506" t="str">
        <f>IF(ISERROR(VLOOKUP(B43,'Base de Datos'!$C$487:$F$4092,2,0))=TRUE,"",(VLOOKUP('Presupuesto - PAA 2018'!B43,'Base de Datos'!$C$7:$F$4092,3,0)))</f>
        <v/>
      </c>
      <c r="D43" s="506" t="str">
        <f>IF(ISERROR(VLOOKUP(B43,'Base de Datos'!$C$487:$F$4092,3,0))=TRUE,"",(VLOOKUP('Presupuesto - PAA 2018'!B43,'Base de Datos'!$C$487:$F$4092,4,0)))</f>
        <v/>
      </c>
      <c r="E43" s="509" t="e">
        <f>VLOOKUP(B43,[7]PAA2017!$C$65:$AA$255,20,0)</f>
        <v>#N/A</v>
      </c>
      <c r="F43" s="507" t="e">
        <f>VLOOKUP(B43,[8]SOLICITUDES!$B$3:$H$278,2,0)</f>
        <v>#N/A</v>
      </c>
      <c r="G43" s="528"/>
      <c r="H43" s="528"/>
      <c r="I43" s="528"/>
      <c r="J43" s="509" t="str">
        <f>IF(ISERROR(VLOOKUP(B43,'Base de Datos'!$C$487:$N$4092,6,0))=TRUE,"Sin Celebrar",(VLOOKUP(B43,'Base de Datos'!$C$487:$N$4092,7,0)))</f>
        <v>Sin Celebrar</v>
      </c>
      <c r="K43" s="577"/>
      <c r="L43" s="553" t="e">
        <f t="shared" si="4"/>
        <v>#N/A</v>
      </c>
      <c r="M43" s="527"/>
      <c r="N43" s="509" t="e">
        <f t="shared" si="5"/>
        <v>#N/A</v>
      </c>
      <c r="O43" s="691" t="str">
        <f>IF(ISERROR(VLOOKUP(B43,'Base de Datos'!$C$487:$K$1048576,7,0))=TRUE," ",(VLOOKUP(B43,'Base de Datos'!$C$487:$K$1048576,8,0)))</f>
        <v xml:space="preserve"> </v>
      </c>
      <c r="P43" s="524" t="str">
        <f>IF(ISERROR(VLOOKUP(B43,'Base de Datos'!$C$487:$N$4077,9,0))=TRUE," ",(VLOOKUP(B43,'Base de Datos'!$C$487:$N$4077,10,0)))</f>
        <v xml:space="preserve"> </v>
      </c>
      <c r="Q43" s="709"/>
      <c r="R43" s="524" t="str">
        <f>IF(ISERROR(VLOOKUP(B43,'Base de Datos'!$C$487:$N$4077,10,0))=TRUE," ",(VLOOKUP(B43,'Base de Datos'!$C$487:$N$4077,11,0)))</f>
        <v xml:space="preserve"> </v>
      </c>
      <c r="S43" s="524" t="str">
        <f>IF(ISERROR(VLOOKUP(B43,'Base de Datos'!$C$487:$N$4077,11,0))=TRUE," ",(VLOOKUP(B43,'Base de Datos'!$C$487:$N$4077,12,0)))</f>
        <v xml:space="preserve"> </v>
      </c>
      <c r="T43" s="506" t="e">
        <f>VLOOKUP(B43,'Base de Datos'!$C$487:$AU$4129,41,0)</f>
        <v>#N/A</v>
      </c>
      <c r="U43" s="694"/>
      <c r="V43" s="607"/>
    </row>
    <row r="44" spans="2:22" outlineLevel="1" x14ac:dyDescent="0.3">
      <c r="B44" s="525"/>
      <c r="C44" s="506" t="str">
        <f>IF(ISERROR(VLOOKUP(B44,'Base de Datos'!$C$487:$F$4092,2,0))=TRUE,"",(VLOOKUP('Presupuesto - PAA 2018'!B44,'Base de Datos'!$C$7:$F$4092,3,0)))</f>
        <v/>
      </c>
      <c r="D44" s="506" t="str">
        <f>IF(ISERROR(VLOOKUP(B44,'Base de Datos'!$C$487:$F$4092,3,0))=TRUE,"",(VLOOKUP('Presupuesto - PAA 2018'!B44,'Base de Datos'!$C$487:$F$4092,4,0)))</f>
        <v/>
      </c>
      <c r="E44" s="509" t="e">
        <f>VLOOKUP(B44,[7]PAA2017!$C$65:$AA$255,20,0)</f>
        <v>#N/A</v>
      </c>
      <c r="F44" s="507" t="e">
        <f>VLOOKUP(B44,[8]SOLICITUDES!$B$3:$H$278,2,0)</f>
        <v>#N/A</v>
      </c>
      <c r="G44" s="528"/>
      <c r="H44" s="528"/>
      <c r="I44" s="528"/>
      <c r="J44" s="509" t="str">
        <f>IF(ISERROR(VLOOKUP(B44,'Base de Datos'!$C$487:$N$4092,6,0))=TRUE,"Sin Celebrar",(VLOOKUP(B44,'Base de Datos'!$C$487:$N$4092,7,0)))</f>
        <v>Sin Celebrar</v>
      </c>
      <c r="K44" s="577"/>
      <c r="L44" s="553" t="e">
        <f t="shared" si="4"/>
        <v>#N/A</v>
      </c>
      <c r="M44" s="527"/>
      <c r="N44" s="509" t="e">
        <f t="shared" si="5"/>
        <v>#N/A</v>
      </c>
      <c r="O44" s="691" t="str">
        <f>IF(ISERROR(VLOOKUP(B44,'Base de Datos'!$C$487:$K$1048576,7,0))=TRUE," ",(VLOOKUP(B44,'Base de Datos'!$C$487:$K$1048576,8,0)))</f>
        <v xml:space="preserve"> </v>
      </c>
      <c r="P44" s="524" t="str">
        <f>IF(ISERROR(VLOOKUP(B44,'Base de Datos'!$C$487:$N$4077,9,0))=TRUE," ",(VLOOKUP(B44,'Base de Datos'!$C$487:$N$4077,10,0)))</f>
        <v xml:space="preserve"> </v>
      </c>
      <c r="Q44" s="709"/>
      <c r="R44" s="524" t="str">
        <f>IF(ISERROR(VLOOKUP(B44,'Base de Datos'!$C$487:$N$4077,10,0))=TRUE," ",(VLOOKUP(B44,'Base de Datos'!$C$487:$N$4077,11,0)))</f>
        <v xml:space="preserve"> </v>
      </c>
      <c r="S44" s="524" t="str">
        <f>IF(ISERROR(VLOOKUP(B44,'Base de Datos'!$C$487:$N$4077,11,0))=TRUE," ",(VLOOKUP(B44,'Base de Datos'!$C$487:$N$4077,12,0)))</f>
        <v xml:space="preserve"> </v>
      </c>
      <c r="T44" s="506" t="e">
        <f>VLOOKUP(B44,'Base de Datos'!$C$487:$AU$4129,41,0)</f>
        <v>#N/A</v>
      </c>
      <c r="U44" s="694"/>
      <c r="V44" s="607"/>
    </row>
    <row r="45" spans="2:22" outlineLevel="1" x14ac:dyDescent="0.3">
      <c r="B45" s="525"/>
      <c r="C45" s="506" t="str">
        <f>IF(ISERROR(VLOOKUP(B45,'Base de Datos'!$C$487:$F$4092,2,0))=TRUE,"",(VLOOKUP('Presupuesto - PAA 2018'!B45,'Base de Datos'!$C$7:$F$4092,3,0)))</f>
        <v/>
      </c>
      <c r="D45" s="506" t="str">
        <f>IF(ISERROR(VLOOKUP(B45,'Base de Datos'!$C$487:$F$4092,3,0))=TRUE,"",(VLOOKUP('Presupuesto - PAA 2018'!B45,'Base de Datos'!$C$487:$F$4092,4,0)))</f>
        <v/>
      </c>
      <c r="E45" s="509" t="e">
        <f>VLOOKUP(B45,[7]PAA2017!$C$65:$AA$255,20,0)</f>
        <v>#N/A</v>
      </c>
      <c r="F45" s="507" t="e">
        <f>VLOOKUP(B45,[8]SOLICITUDES!$B$3:$H$278,2,0)</f>
        <v>#N/A</v>
      </c>
      <c r="G45" s="528"/>
      <c r="H45" s="528"/>
      <c r="I45" s="528"/>
      <c r="J45" s="509" t="str">
        <f>IF(ISERROR(VLOOKUP(B45,'Base de Datos'!$C$487:$N$4092,6,0))=TRUE,"Sin Celebrar",(VLOOKUP(B45,'Base de Datos'!$C$487:$N$4092,7,0)))</f>
        <v>Sin Celebrar</v>
      </c>
      <c r="K45" s="577"/>
      <c r="L45" s="553" t="e">
        <f t="shared" si="4"/>
        <v>#N/A</v>
      </c>
      <c r="M45" s="527"/>
      <c r="N45" s="509" t="e">
        <f t="shared" si="5"/>
        <v>#N/A</v>
      </c>
      <c r="O45" s="691" t="str">
        <f>IF(ISERROR(VLOOKUP(B45,'Base de Datos'!$C$487:$K$1048576,7,0))=TRUE," ",(VLOOKUP(B45,'Base de Datos'!$C$487:$K$1048576,8,0)))</f>
        <v xml:space="preserve"> </v>
      </c>
      <c r="P45" s="524" t="str">
        <f>IF(ISERROR(VLOOKUP(B45,'Base de Datos'!$C$487:$N$4077,9,0))=TRUE," ",(VLOOKUP(B45,'Base de Datos'!$C$487:$N$4077,10,0)))</f>
        <v xml:space="preserve"> </v>
      </c>
      <c r="Q45" s="709"/>
      <c r="R45" s="524" t="str">
        <f>IF(ISERROR(VLOOKUP(B45,'Base de Datos'!$C$487:$N$4077,10,0))=TRUE," ",(VLOOKUP(B45,'Base de Datos'!$C$487:$N$4077,11,0)))</f>
        <v xml:space="preserve"> </v>
      </c>
      <c r="S45" s="524" t="str">
        <f>IF(ISERROR(VLOOKUP(B45,'Base de Datos'!$C$487:$N$4077,11,0))=TRUE," ",(VLOOKUP(B45,'Base de Datos'!$C$487:$N$4077,12,0)))</f>
        <v xml:space="preserve"> </v>
      </c>
      <c r="T45" s="506" t="e">
        <f>VLOOKUP(B45,'Base de Datos'!$C$487:$AU$4129,41,0)</f>
        <v>#N/A</v>
      </c>
      <c r="U45" s="694"/>
      <c r="V45" s="607"/>
    </row>
    <row r="46" spans="2:22" outlineLevel="1" x14ac:dyDescent="0.3">
      <c r="B46" s="525"/>
      <c r="C46" s="506" t="str">
        <f>IF(ISERROR(VLOOKUP(B46,'Base de Datos'!$C$487:$F$4092,2,0))=TRUE,"",(VLOOKUP('Presupuesto - PAA 2018'!B46,'Base de Datos'!$C$7:$F$4092,3,0)))</f>
        <v/>
      </c>
      <c r="D46" s="506" t="str">
        <f>IF(ISERROR(VLOOKUP(B46,'Base de Datos'!$C$487:$F$4092,3,0))=TRUE,"",(VLOOKUP('Presupuesto - PAA 2018'!B46,'Base de Datos'!$C$487:$F$4092,4,0)))</f>
        <v/>
      </c>
      <c r="E46" s="509" t="e">
        <f>VLOOKUP(B46,[7]PAA2017!$C$65:$AA$255,20,0)</f>
        <v>#N/A</v>
      </c>
      <c r="F46" s="507" t="e">
        <f>VLOOKUP(B46,[8]SOLICITUDES!$B$3:$H$278,2,0)</f>
        <v>#N/A</v>
      </c>
      <c r="G46" s="528"/>
      <c r="H46" s="528"/>
      <c r="I46" s="528"/>
      <c r="J46" s="509" t="str">
        <f>IF(ISERROR(VLOOKUP(B46,'Base de Datos'!$C$487:$N$4092,6,0))=TRUE,"Sin Celebrar",(VLOOKUP(B46,'Base de Datos'!$C$487:$N$4092,7,0)))</f>
        <v>Sin Celebrar</v>
      </c>
      <c r="K46" s="577"/>
      <c r="L46" s="553" t="e">
        <f t="shared" si="4"/>
        <v>#N/A</v>
      </c>
      <c r="M46" s="527"/>
      <c r="N46" s="509" t="e">
        <f t="shared" si="5"/>
        <v>#N/A</v>
      </c>
      <c r="O46" s="691" t="str">
        <f>IF(ISERROR(VLOOKUP(B46,'Base de Datos'!$C$487:$K$1048576,7,0))=TRUE," ",(VLOOKUP(B46,'Base de Datos'!$C$487:$K$1048576,8,0)))</f>
        <v xml:space="preserve"> </v>
      </c>
      <c r="P46" s="524" t="str">
        <f>IF(ISERROR(VLOOKUP(B46,'Base de Datos'!$C$487:$N$4077,9,0))=TRUE," ",(VLOOKUP(B46,'Base de Datos'!$C$487:$N$4077,10,0)))</f>
        <v xml:space="preserve"> </v>
      </c>
      <c r="Q46" s="709"/>
      <c r="R46" s="524" t="str">
        <f>IF(ISERROR(VLOOKUP(B46,'Base de Datos'!$C$487:$N$4077,10,0))=TRUE," ",(VLOOKUP(B46,'Base de Datos'!$C$487:$N$4077,11,0)))</f>
        <v xml:space="preserve"> </v>
      </c>
      <c r="S46" s="524" t="str">
        <f>IF(ISERROR(VLOOKUP(B46,'Base de Datos'!$C$487:$N$4077,11,0))=TRUE," ",(VLOOKUP(B46,'Base de Datos'!$C$487:$N$4077,12,0)))</f>
        <v xml:space="preserve"> </v>
      </c>
      <c r="T46" s="506" t="e">
        <f>VLOOKUP(B46,'Base de Datos'!$C$487:$AU$4129,41,0)</f>
        <v>#N/A</v>
      </c>
      <c r="U46" s="694"/>
      <c r="V46" s="607"/>
    </row>
    <row r="47" spans="2:22" outlineLevel="1" x14ac:dyDescent="0.3">
      <c r="B47" s="525"/>
      <c r="C47" s="526"/>
      <c r="D47" s="526" t="s">
        <v>1934</v>
      </c>
      <c r="E47" s="509" t="e">
        <f>E37-SUM(E39:E46)</f>
        <v>#N/A</v>
      </c>
      <c r="F47" s="528"/>
      <c r="G47" s="528"/>
      <c r="H47" s="528"/>
      <c r="I47" s="528"/>
      <c r="J47" s="509"/>
      <c r="K47" s="577"/>
      <c r="L47" s="527"/>
      <c r="M47" s="527"/>
      <c r="N47" s="527" t="e">
        <f t="shared" si="5"/>
        <v>#N/A</v>
      </c>
      <c r="O47" s="652"/>
      <c r="P47" s="529"/>
      <c r="Q47" s="526"/>
      <c r="R47" s="529"/>
      <c r="S47" s="529"/>
      <c r="T47" s="506"/>
      <c r="U47" s="694"/>
      <c r="V47" s="607"/>
    </row>
    <row r="48" spans="2:22" ht="12" outlineLevel="1" x14ac:dyDescent="0.3">
      <c r="B48" s="1248"/>
      <c r="C48" s="1248"/>
      <c r="D48" s="1248"/>
      <c r="E48" s="509"/>
      <c r="F48" s="507"/>
      <c r="G48" s="507"/>
      <c r="H48" s="507"/>
      <c r="I48" s="507"/>
      <c r="J48" s="509"/>
      <c r="K48" s="573"/>
      <c r="L48" s="509"/>
      <c r="M48" s="509"/>
      <c r="N48" s="509"/>
      <c r="O48" s="651"/>
      <c r="P48" s="524"/>
      <c r="Q48" s="506"/>
      <c r="R48" s="524"/>
      <c r="S48" s="524"/>
      <c r="T48" s="506"/>
      <c r="U48" s="694"/>
      <c r="V48" s="607"/>
    </row>
    <row r="49" spans="2:22" ht="15" customHeight="1" x14ac:dyDescent="0.3">
      <c r="B49" s="1254" t="s">
        <v>1792</v>
      </c>
      <c r="C49" s="1254"/>
      <c r="D49" s="1254"/>
      <c r="E49" s="530">
        <v>9151221000</v>
      </c>
      <c r="F49" s="606"/>
      <c r="G49" s="531"/>
      <c r="H49" s="531"/>
      <c r="I49" s="531"/>
      <c r="J49" s="540">
        <f>J50+J90+J216</f>
        <v>7282067504</v>
      </c>
      <c r="K49" s="582">
        <f>J49/E49</f>
        <v>0.79574818529680358</v>
      </c>
      <c r="L49" s="540" t="e">
        <f>L50+L90+L216</f>
        <v>#N/A</v>
      </c>
      <c r="M49" s="540" t="e">
        <f>M50+M90+M216</f>
        <v>#N/A</v>
      </c>
      <c r="N49" s="540" t="e">
        <f>N50+N90+N216</f>
        <v>#N/A</v>
      </c>
      <c r="O49" s="658"/>
      <c r="P49" s="540"/>
      <c r="Q49" s="547"/>
      <c r="R49" s="546" t="str">
        <f>IF(ISERROR(VLOOKUP(B49,'Base de Datos'!$C$7:$N$315,9,0))=TRUE," ",(VLOOKUP(B49,'Base de Datos'!$C$7:$N$315,9,0)))</f>
        <v xml:space="preserve"> </v>
      </c>
      <c r="S49" s="546" t="str">
        <f>IF(ISERROR(VLOOKUP(B49,'Base de Datos'!$C$7:$N$315,10,0))=TRUE," ",(VLOOKUP(B49,'Base de Datos'!$C$7:$N$315,10,0)))</f>
        <v xml:space="preserve"> </v>
      </c>
      <c r="T49" s="542"/>
      <c r="U49" s="694"/>
      <c r="V49" s="607"/>
    </row>
    <row r="50" spans="2:22" ht="15" customHeight="1" x14ac:dyDescent="0.3">
      <c r="B50" s="1240" t="s">
        <v>1646</v>
      </c>
      <c r="C50" s="1240"/>
      <c r="D50" s="1240"/>
      <c r="E50" s="512">
        <v>2089000000</v>
      </c>
      <c r="F50" s="604"/>
      <c r="G50" s="513"/>
      <c r="H50" s="513"/>
      <c r="I50" s="513"/>
      <c r="J50" s="604">
        <f>+J51+J75+J82</f>
        <v>1484914187</v>
      </c>
      <c r="K50" s="604"/>
      <c r="L50" s="604" t="e">
        <f>+L51+L75+L82</f>
        <v>#N/A</v>
      </c>
      <c r="M50" s="604" t="e">
        <f>+M51+M75+M82</f>
        <v>#N/A</v>
      </c>
      <c r="N50" s="604" t="e">
        <f>+N51+N75+N82</f>
        <v>#N/A</v>
      </c>
      <c r="O50" s="659"/>
      <c r="P50" s="548" t="str">
        <f>IF(ISERROR(VLOOKUP(B50,'Base de Datos'!$C$7:$N$315,8,0))=TRUE," ",(VLOOKUP(B50,'Base de Datos'!$C$7:$N$315,8,0)))</f>
        <v xml:space="preserve"> </v>
      </c>
      <c r="Q50" s="542"/>
      <c r="R50" s="548" t="str">
        <f>IF(ISERROR(VLOOKUP(B50,'Base de Datos'!$C$7:$N$315,9,0))=TRUE," ",(VLOOKUP(B50,'Base de Datos'!$C$7:$N$315,9,0)))</f>
        <v xml:space="preserve"> </v>
      </c>
      <c r="S50" s="548" t="str">
        <f>IF(ISERROR(VLOOKUP(B50,'Base de Datos'!$C$7:$N$315,10,0))=TRUE," ",(VLOOKUP(B50,'Base de Datos'!$C$7:$N$315,10,0)))</f>
        <v xml:space="preserve"> </v>
      </c>
      <c r="T50" s="542"/>
      <c r="U50" s="694"/>
      <c r="V50" s="607"/>
    </row>
    <row r="51" spans="2:22" ht="15" customHeight="1" x14ac:dyDescent="0.3">
      <c r="B51" s="1239" t="s">
        <v>1647</v>
      </c>
      <c r="C51" s="1239"/>
      <c r="D51" s="1239"/>
      <c r="E51" s="554">
        <v>1414000000</v>
      </c>
      <c r="F51" s="559">
        <f>COUNTIF('Actualizada - presupuesto'!$E$7:$E$111,B51)</f>
        <v>15</v>
      </c>
      <c r="G51" s="559"/>
      <c r="H51" s="559"/>
      <c r="I51" s="559"/>
      <c r="J51" s="554">
        <f>SUM(J54:J72)</f>
        <v>655548587</v>
      </c>
      <c r="K51" s="576">
        <f>J51/E51</f>
        <v>0.46361286209335217</v>
      </c>
      <c r="L51" s="554" t="e">
        <f>SUM(L54:L72)</f>
        <v>#N/A</v>
      </c>
      <c r="M51" s="558" t="e">
        <f>+E51-(J51+L51)</f>
        <v>#N/A</v>
      </c>
      <c r="N51" s="554" t="e">
        <f>+E51-J51-L51</f>
        <v>#N/A</v>
      </c>
      <c r="O51" s="657"/>
      <c r="P51" s="564" t="str">
        <f>IF(ISERROR(VLOOKUP(B51,'Base de Datos'!$C$7:$N$315,8,0))=TRUE," ",(VLOOKUP(B51,'Base de Datos'!$C$7:$N$315,8,0)))</f>
        <v xml:space="preserve"> </v>
      </c>
      <c r="Q51" s="565"/>
      <c r="R51" s="564" t="str">
        <f>IF(ISERROR(VLOOKUP(B51,'Base de Datos'!$C$7:$N$315,9,0))=TRUE," ",(VLOOKUP(B51,'Base de Datos'!$C$7:$N$315,9,0)))</f>
        <v xml:space="preserve"> </v>
      </c>
      <c r="S51" s="564" t="str">
        <f>IF(ISERROR(VLOOKUP(B51,'Base de Datos'!$C$7:$N$315,10,0))=TRUE," ",(VLOOKUP(B51,'Base de Datos'!$C$7:$N$315,10,0)))</f>
        <v xml:space="preserve"> </v>
      </c>
      <c r="T51" s="565"/>
      <c r="U51" s="694"/>
      <c r="V51" s="607"/>
    </row>
    <row r="52" spans="2:22" ht="22.8" outlineLevel="1" x14ac:dyDescent="0.3">
      <c r="B52" s="510" t="s">
        <v>1692</v>
      </c>
      <c r="C52" s="510" t="s">
        <v>912</v>
      </c>
      <c r="D52" s="510" t="s">
        <v>1821</v>
      </c>
      <c r="E52" s="518" t="s">
        <v>1845</v>
      </c>
      <c r="F52" s="507" t="s">
        <v>1852</v>
      </c>
      <c r="G52" s="507"/>
      <c r="H52" s="507"/>
      <c r="I52" s="507"/>
      <c r="J52" s="510" t="s">
        <v>1844</v>
      </c>
      <c r="K52" s="625"/>
      <c r="L52" s="510" t="s">
        <v>1938</v>
      </c>
      <c r="M52" s="510"/>
      <c r="N52" s="510" t="s">
        <v>1939</v>
      </c>
      <c r="O52" s="650"/>
      <c r="P52" s="541" t="s">
        <v>1846</v>
      </c>
      <c r="Q52" s="510" t="s">
        <v>1847</v>
      </c>
      <c r="R52" s="510" t="s">
        <v>1848</v>
      </c>
      <c r="S52" s="510" t="s">
        <v>375</v>
      </c>
      <c r="T52" s="510" t="s">
        <v>1849</v>
      </c>
      <c r="U52" s="694"/>
      <c r="V52" s="607"/>
    </row>
    <row r="53" spans="2:22" outlineLevel="1" x14ac:dyDescent="0.3">
      <c r="B53" s="510">
        <v>63</v>
      </c>
      <c r="C53" s="506" t="str">
        <f>IF(ISERROR(VLOOKUP(B53,'Base de Datos'!$C$487:$F$4092,2,0))=TRUE,"",(VLOOKUP('Presupuesto - PAA 2018'!B53,'Base de Datos'!$C$7:$F$4092,3,0)))</f>
        <v>150249-0-2015</v>
      </c>
      <c r="D53" s="506" t="str">
        <f>IF(ISERROR(VLOOKUP(B53,'Base de Datos'!$C$487:$F$4092,3,0))=TRUE,"",(VLOOKUP('Presupuesto - PAA 2018'!B53,'Base de Datos'!$C$487:$F$4092,4,0)))</f>
        <v>MONRAK INGENIERIA LTDA</v>
      </c>
      <c r="E53" s="509">
        <f>VLOOKUP(B53,[7]PAA2017!$C$65:$AA$255,20,0)</f>
        <v>8638000</v>
      </c>
      <c r="F53" s="507" t="e">
        <f>VLOOKUP(B53,[8]SOLICITUDES!$B$3:$H$278,2,0)</f>
        <v>#N/A</v>
      </c>
      <c r="G53" s="507"/>
      <c r="H53" s="507"/>
      <c r="I53" s="507"/>
      <c r="J53" s="509">
        <f>IF(ISERROR(VLOOKUP(B53,'Base de Datos'!$C$487:$N$4092,6,0))=TRUE,"Sin Celebrar",(VLOOKUP(B53,'Base de Datos'!$C$487:$N$4092,7,0)))</f>
        <v>1800000</v>
      </c>
      <c r="K53" s="573"/>
      <c r="L53" s="553" t="str">
        <f t="shared" ref="L53:L67" si="6">IF(J53=$AA$1,E53, " ")</f>
        <v xml:space="preserve"> </v>
      </c>
      <c r="M53" s="509"/>
      <c r="N53" s="509">
        <f t="shared" ref="N53:N67" si="7">IF(J53&lt;E53,(E53-J53)," ")</f>
        <v>6838000</v>
      </c>
      <c r="O53" s="691" t="str">
        <f>IF(ISERROR(VLOOKUP(B53,'Base de Datos'!$C$487:$K$1048576,7,0))=TRUE," ",(VLOOKUP(B53,'Base de Datos'!$C$487:$K$1048576,8,0)))</f>
        <v>SDH-SMINC-44-2018</v>
      </c>
      <c r="P53" s="524">
        <f>IF(ISERROR(VLOOKUP(B53,'Base de Datos'!$C$487:$N$4077,9,0))=TRUE," ",(VLOOKUP(B53,'Base de Datos'!$C$487:$N$4077,10,0)))</f>
        <v>43390</v>
      </c>
      <c r="Q53" s="709"/>
      <c r="R53" s="524">
        <f>IF(ISERROR(VLOOKUP(B53,'Base de Datos'!$C$487:$N$4077,10,0))=TRUE," ",(VLOOKUP(B53,'Base de Datos'!$C$487:$N$4077,11,0)))</f>
        <v>43397</v>
      </c>
      <c r="S53" s="524">
        <f>IF(ISERROR(VLOOKUP(B53,'Base de Datos'!$C$487:$N$4077,11,0))=TRUE," ",(VLOOKUP(B53,'Base de Datos'!$C$487:$N$4077,12,0)))</f>
        <v>43761</v>
      </c>
      <c r="T53" s="506" t="str">
        <f>VLOOKUP(B53,'Base de Datos'!$C$487:$AU$4129,41,0)</f>
        <v>NO</v>
      </c>
      <c r="U53" s="694"/>
      <c r="V53" s="607"/>
    </row>
    <row r="54" spans="2:22" ht="12" customHeight="1" outlineLevel="1" x14ac:dyDescent="0.3">
      <c r="B54" s="510">
        <v>73</v>
      </c>
      <c r="C54" s="506" t="str">
        <f>IF(ISERROR(VLOOKUP(B54,'Base de Datos'!$C$487:$F$4092,2,0))=TRUE,"",(VLOOKUP('Presupuesto - PAA 2018'!B54,'Base de Datos'!$C$7:$F$4092,3,0)))</f>
        <v>170186-0-2017</v>
      </c>
      <c r="D54" s="506" t="str">
        <f>IF(ISERROR(VLOOKUP(B54,'Base de Datos'!$C$487:$F$4092,3,0))=TRUE,"",(VLOOKUP('Presupuesto - PAA 2018'!B54,'Base de Datos'!$C$487:$F$4092,4,0)))</f>
        <v xml:space="preserve">INFORMATICA DOCUMENTAL SAS </v>
      </c>
      <c r="E54" s="509">
        <f>VLOOKUP(B54,[7]PAA2017!$C$65:$AA$255,20,0)</f>
        <v>8320000</v>
      </c>
      <c r="F54" s="507" t="e">
        <f>VLOOKUP(B54,[8]SOLICITUDES!$B$3:$H$278,2,0)</f>
        <v>#N/A</v>
      </c>
      <c r="G54" s="507"/>
      <c r="H54" s="507"/>
      <c r="I54" s="507"/>
      <c r="J54" s="509">
        <f>IF(ISERROR(VLOOKUP(B54,'Base de Datos'!$C$487:$N$4092,6,0))=TRUE,"Sin Celebrar",(VLOOKUP(B54,'Base de Datos'!$C$487:$N$4092,7,0)))</f>
        <v>8320000</v>
      </c>
      <c r="K54" s="573"/>
      <c r="L54" s="553" t="str">
        <f t="shared" si="6"/>
        <v xml:space="preserve"> </v>
      </c>
      <c r="M54" s="509"/>
      <c r="N54" s="509" t="str">
        <f t="shared" si="7"/>
        <v xml:space="preserve"> </v>
      </c>
      <c r="O54" s="691" t="str">
        <f>IF(ISERROR(VLOOKUP(B54,'Base de Datos'!$C$487:$K$1048576,7,0))=TRUE," ",(VLOOKUP(B54,'Base de Datos'!$C$487:$K$1048576,8,0)))</f>
        <v>170186-0-2017</v>
      </c>
      <c r="P54" s="524">
        <f>IF(ISERROR(VLOOKUP(B54,'Base de Datos'!$C$487:$N$4077,9,0))=TRUE," ",(VLOOKUP(B54,'Base de Datos'!$C$487:$N$4077,10,0)))</f>
        <v>42934</v>
      </c>
      <c r="Q54" s="709"/>
      <c r="R54" s="524">
        <f>IF(ISERROR(VLOOKUP(B54,'Base de Datos'!$C$487:$N$4077,10,0))=TRUE," ",(VLOOKUP(B54,'Base de Datos'!$C$487:$N$4077,11,0)))</f>
        <v>42941</v>
      </c>
      <c r="S54" s="524">
        <f>IF(ISERROR(VLOOKUP(B54,'Base de Datos'!$C$487:$N$4077,11,0))=TRUE," ",(VLOOKUP(B54,'Base de Datos'!$C$487:$N$4077,12,0)))</f>
        <v>43215</v>
      </c>
      <c r="T54" s="506" t="str">
        <f>VLOOKUP(B54,'Base de Datos'!$C$487:$AU$4129,41,0)</f>
        <v>LIQUIDADO</v>
      </c>
      <c r="U54" s="694"/>
      <c r="V54" s="607"/>
    </row>
    <row r="55" spans="2:22" ht="15" customHeight="1" outlineLevel="1" x14ac:dyDescent="0.3">
      <c r="B55" s="510">
        <v>74</v>
      </c>
      <c r="C55" s="506" t="str">
        <f>IF(ISERROR(VLOOKUP(B55,'Base de Datos'!$C$487:$F$4092,2,0))=TRUE,"",(VLOOKUP('Presupuesto - PAA 2018'!B55,'Base de Datos'!$C$7:$F$4092,3,0)))</f>
        <v/>
      </c>
      <c r="D55" s="506" t="str">
        <f>IF(ISERROR(VLOOKUP(B55,'Base de Datos'!$C$487:$F$4092,3,0))=TRUE,"",(VLOOKUP('Presupuesto - PAA 2018'!B55,'Base de Datos'!$C$487:$F$4092,4,0)))</f>
        <v/>
      </c>
      <c r="E55" s="509">
        <f>VLOOKUP(B55,[7]PAA2017!$C$65:$AA$255,20,0)</f>
        <v>20000000</v>
      </c>
      <c r="F55" s="507" t="e">
        <f>VLOOKUP(B55,[8]SOLICITUDES!$B$3:$H$278,2,0)</f>
        <v>#N/A</v>
      </c>
      <c r="G55" s="507"/>
      <c r="H55" s="507"/>
      <c r="I55" s="507"/>
      <c r="J55" s="509" t="str">
        <f>IF(ISERROR(VLOOKUP(B55,'Base de Datos'!$C$487:$N$4092,6,0))=TRUE,"Sin Celebrar",(VLOOKUP(B55,'Base de Datos'!$C$487:$N$4092,7,0)))</f>
        <v>Sin Celebrar</v>
      </c>
      <c r="K55" s="573"/>
      <c r="L55" s="553">
        <f t="shared" si="6"/>
        <v>20000000</v>
      </c>
      <c r="M55" s="509"/>
      <c r="N55" s="509" t="str">
        <f t="shared" si="7"/>
        <v xml:space="preserve"> </v>
      </c>
      <c r="O55" s="691" t="str">
        <f>IF(ISERROR(VLOOKUP(B55,'Base de Datos'!$C$487:$K$1048576,7,0))=TRUE," ",(VLOOKUP(B55,'Base de Datos'!$C$487:$K$1048576,8,0)))</f>
        <v xml:space="preserve"> </v>
      </c>
      <c r="P55" s="524" t="str">
        <f>IF(ISERROR(VLOOKUP(B55,'Base de Datos'!$C$487:$N$4077,9,0))=TRUE," ",(VLOOKUP(B55,'Base de Datos'!$C$487:$N$4077,10,0)))</f>
        <v xml:space="preserve"> </v>
      </c>
      <c r="Q55" s="709"/>
      <c r="R55" s="524" t="str">
        <f>IF(ISERROR(VLOOKUP(B55,'Base de Datos'!$C$487:$N$4077,10,0))=TRUE," ",(VLOOKUP(B55,'Base de Datos'!$C$487:$N$4077,11,0)))</f>
        <v xml:space="preserve"> </v>
      </c>
      <c r="S55" s="524" t="str">
        <f>IF(ISERROR(VLOOKUP(B55,'Base de Datos'!$C$487:$N$4077,11,0))=TRUE," ",(VLOOKUP(B55,'Base de Datos'!$C$487:$N$4077,12,0)))</f>
        <v xml:space="preserve"> </v>
      </c>
      <c r="T55" s="506" t="e">
        <f>VLOOKUP(B55,'Base de Datos'!$C$487:$AU$4129,41,0)</f>
        <v>#N/A</v>
      </c>
      <c r="U55" s="694"/>
      <c r="V55" s="607"/>
    </row>
    <row r="56" spans="2:22" ht="15" customHeight="1" outlineLevel="1" x14ac:dyDescent="0.3">
      <c r="B56" s="510">
        <v>75</v>
      </c>
      <c r="C56" s="506" t="str">
        <f>IF(ISERROR(VLOOKUP(B56,'Base de Datos'!$C$487:$F$4092,2,0))=TRUE,"",(VLOOKUP('Presupuesto - PAA 2018'!B56,'Base de Datos'!$C$7:$F$4092,3,0)))</f>
        <v>150236-0-2015</v>
      </c>
      <c r="D56" s="506" t="str">
        <f>IF(ISERROR(VLOOKUP(B56,'Base de Datos'!$C$487:$F$4092,3,0))=TRUE,"",(VLOOKUP('Presupuesto - PAA 2018'!B56,'Base de Datos'!$C$487:$F$4092,4,0)))</f>
        <v xml:space="preserve">ARANDA SOFTWARE ANDINA SAS  </v>
      </c>
      <c r="E56" s="509">
        <f>VLOOKUP(B56,[7]PAA2017!$C$65:$AA$255,20,0)</f>
        <v>80000000</v>
      </c>
      <c r="F56" s="507" t="e">
        <f>VLOOKUP(B56,[8]SOLICITUDES!$B$3:$H$278,2,0)</f>
        <v>#N/A</v>
      </c>
      <c r="G56" s="507"/>
      <c r="H56" s="507"/>
      <c r="I56" s="507"/>
      <c r="J56" s="509">
        <f>IF(ISERROR(VLOOKUP(B56,'Base de Datos'!$C$487:$N$4092,6,0))=TRUE,"Sin Celebrar",(VLOOKUP(B56,'Base de Datos'!$C$487:$N$4092,7,0)))</f>
        <v>63846922</v>
      </c>
      <c r="K56" s="573"/>
      <c r="L56" s="553" t="str">
        <f t="shared" si="6"/>
        <v xml:space="preserve"> </v>
      </c>
      <c r="M56" s="509"/>
      <c r="N56" s="509">
        <f t="shared" si="7"/>
        <v>16153078</v>
      </c>
      <c r="O56" s="691" t="str">
        <f>IF(ISERROR(VLOOKUP(B56,'Base de Datos'!$C$487:$K$1048576,7,0))=TRUE," ",(VLOOKUP(B56,'Base de Datos'!$C$487:$K$1048576,8,0)))</f>
        <v>170148-0-2017</v>
      </c>
      <c r="P56" s="524">
        <f>IF(ISERROR(VLOOKUP(B56,'Base de Datos'!$C$487:$N$4077,9,0))=TRUE," ",(VLOOKUP(B56,'Base de Datos'!$C$487:$N$4077,10,0)))</f>
        <v>42887</v>
      </c>
      <c r="Q56" s="709"/>
      <c r="R56" s="524">
        <f>IF(ISERROR(VLOOKUP(B56,'Base de Datos'!$C$487:$N$4077,10,0))=TRUE," ",(VLOOKUP(B56,'Base de Datos'!$C$487:$N$4077,11,0)))</f>
        <v>42898</v>
      </c>
      <c r="S56" s="524">
        <f>IF(ISERROR(VLOOKUP(B56,'Base de Datos'!$C$487:$N$4077,11,0))=TRUE," ",(VLOOKUP(B56,'Base de Datos'!$C$487:$N$4077,12,0)))</f>
        <v>43202</v>
      </c>
      <c r="T56" s="506" t="str">
        <f>VLOOKUP(B56,'Base de Datos'!$C$487:$AU$4129,41,0)</f>
        <v>LIQUIDADO</v>
      </c>
      <c r="U56" s="694"/>
      <c r="V56" s="607"/>
    </row>
    <row r="57" spans="2:22" ht="15" customHeight="1" outlineLevel="1" x14ac:dyDescent="0.3">
      <c r="B57" s="510">
        <v>76</v>
      </c>
      <c r="C57" s="506" t="str">
        <f>IF(ISERROR(VLOOKUP(B57,'Base de Datos'!$C$487:$F$4092,2,0))=TRUE,"",(VLOOKUP('Presupuesto - PAA 2018'!B57,'Base de Datos'!$C$7:$F$4092,3,0)))</f>
        <v>170309-0-2017</v>
      </c>
      <c r="D57" s="506" t="str">
        <f>IF(ISERROR(VLOOKUP(B57,'Base de Datos'!$C$487:$F$4092,3,0))=TRUE,"",(VLOOKUP('Presupuesto - PAA 2018'!B57,'Base de Datos'!$C$487:$F$4092,4,0)))</f>
        <v>BRANCH OF MICROSOFT COLOMBIA INC</v>
      </c>
      <c r="E57" s="509">
        <f>VLOOKUP(B57,[7]PAA2017!$C$65:$AA$255,20,0)</f>
        <v>228488000</v>
      </c>
      <c r="F57" s="507" t="e">
        <f>VLOOKUP(B57,[8]SOLICITUDES!$B$3:$H$278,2,0)</f>
        <v>#N/A</v>
      </c>
      <c r="G57" s="507"/>
      <c r="H57" s="507"/>
      <c r="I57" s="507"/>
      <c r="J57" s="509">
        <f>IF(ISERROR(VLOOKUP(B57,'Base de Datos'!$C$487:$N$4092,6,0))=TRUE,"Sin Celebrar",(VLOOKUP(B57,'Base de Datos'!$C$487:$N$4092,7,0)))</f>
        <v>228000000</v>
      </c>
      <c r="K57" s="573"/>
      <c r="L57" s="553" t="str">
        <f t="shared" si="6"/>
        <v xml:space="preserve"> </v>
      </c>
      <c r="M57" s="509"/>
      <c r="N57" s="509">
        <f t="shared" si="7"/>
        <v>488000</v>
      </c>
      <c r="O57" s="691" t="str">
        <f>IF(ISERROR(VLOOKUP(B57,'Base de Datos'!$C$487:$K$1048576,7,0))=TRUE," ",(VLOOKUP(B57,'Base de Datos'!$C$487:$K$1048576,8,0)))</f>
        <v>170309-0-2017</v>
      </c>
      <c r="P57" s="524">
        <f>IF(ISERROR(VLOOKUP(B57,'Base de Datos'!$C$487:$N$4077,9,0))=TRUE," ",(VLOOKUP(B57,'Base de Datos'!$C$487:$N$4077,10,0)))</f>
        <v>43042</v>
      </c>
      <c r="Q57" s="709"/>
      <c r="R57" s="524">
        <f>IF(ISERROR(VLOOKUP(B57,'Base de Datos'!$C$487:$N$4077,10,0))=TRUE," ",(VLOOKUP(B57,'Base de Datos'!$C$487:$N$4077,11,0)))</f>
        <v>43075</v>
      </c>
      <c r="S57" s="524">
        <f>IF(ISERROR(VLOOKUP(B57,'Base de Datos'!$C$487:$N$4077,11,0))=TRUE," ",(VLOOKUP(B57,'Base de Datos'!$C$487:$N$4077,12,0)))</f>
        <v>43439</v>
      </c>
      <c r="T57" s="506" t="str">
        <f>VLOOKUP(B57,'Base de Datos'!$C$487:$AU$4129,41,0)</f>
        <v>EN TRÁMITE</v>
      </c>
      <c r="U57" s="694"/>
      <c r="V57" s="607"/>
    </row>
    <row r="58" spans="2:22" ht="15" customHeight="1" outlineLevel="1" x14ac:dyDescent="0.3">
      <c r="B58" s="510">
        <v>77</v>
      </c>
      <c r="C58" s="506" t="str">
        <f>IF(ISERROR(VLOOKUP(B58,'Base de Datos'!$C$487:$F$4092,2,0))=TRUE,"",(VLOOKUP('Presupuesto - PAA 2018'!B58,'Base de Datos'!$C$7:$F$4092,3,0)))</f>
        <v>170154-0-2017</v>
      </c>
      <c r="D58" s="506" t="str">
        <f>IF(ISERROR(VLOOKUP(B58,'Base de Datos'!$C$487:$F$4092,3,0))=TRUE,"",(VLOOKUP('Presupuesto - PAA 2018'!B58,'Base de Datos'!$C$487:$F$4092,4,0)))</f>
        <v>BUSINESSMIND COLOMBIA S.A.</v>
      </c>
      <c r="E58" s="509">
        <f>VLOOKUP(B58,[7]PAA2017!$C$65:$AA$255,20,0)</f>
        <v>91000000</v>
      </c>
      <c r="F58" s="507" t="e">
        <f>VLOOKUP(B58,[8]SOLICITUDES!$B$3:$H$278,2,0)</f>
        <v>#N/A</v>
      </c>
      <c r="G58" s="507"/>
      <c r="H58" s="507"/>
      <c r="I58" s="507"/>
      <c r="J58" s="509">
        <f>IF(ISERROR(VLOOKUP(B58,'Base de Datos'!$C$487:$N$4092,6,0))=TRUE,"Sin Celebrar",(VLOOKUP(B58,'Base de Datos'!$C$487:$N$4092,7,0)))</f>
        <v>110600000</v>
      </c>
      <c r="K58" s="573"/>
      <c r="L58" s="553" t="str">
        <f t="shared" si="6"/>
        <v xml:space="preserve"> </v>
      </c>
      <c r="M58" s="509"/>
      <c r="N58" s="509" t="str">
        <f t="shared" si="7"/>
        <v xml:space="preserve"> </v>
      </c>
      <c r="O58" s="691" t="str">
        <f>IF(ISERROR(VLOOKUP(B58,'Base de Datos'!$C$487:$K$1048576,7,0))=TRUE," ",(VLOOKUP(B58,'Base de Datos'!$C$487:$K$1048576,8,0)))</f>
        <v>SDH-SAMC-04-2017</v>
      </c>
      <c r="P58" s="524">
        <f>IF(ISERROR(VLOOKUP(B58,'Base de Datos'!$C$487:$N$4077,9,0))=TRUE," ",(VLOOKUP(B58,'Base de Datos'!$C$487:$N$4077,10,0)))</f>
        <v>42891</v>
      </c>
      <c r="Q58" s="709"/>
      <c r="R58" s="524">
        <f>IF(ISERROR(VLOOKUP(B58,'Base de Datos'!$C$487:$N$4077,10,0))=TRUE," ",(VLOOKUP(B58,'Base de Datos'!$C$487:$N$4077,11,0)))</f>
        <v>42906</v>
      </c>
      <c r="S58" s="524">
        <f>IF(ISERROR(VLOOKUP(B58,'Base de Datos'!$C$487:$N$4077,11,0))=TRUE," ",(VLOOKUP(B58,'Base de Datos'!$C$487:$N$4077,12,0)))</f>
        <v>43210</v>
      </c>
      <c r="T58" s="506" t="str">
        <f>VLOOKUP(B58,'Base de Datos'!$C$487:$AU$4129,41,0)</f>
        <v>EN TRÁMITE</v>
      </c>
      <c r="U58" s="694"/>
      <c r="V58" s="607"/>
    </row>
    <row r="59" spans="2:22" ht="15" customHeight="1" outlineLevel="1" x14ac:dyDescent="0.3">
      <c r="B59" s="510">
        <v>78</v>
      </c>
      <c r="C59" s="506" t="str">
        <f>IF(ISERROR(VLOOKUP(B59,'Base de Datos'!$C$487:$F$4092,2,0))=TRUE,"",(VLOOKUP('Presupuesto - PAA 2018'!B59,'Base de Datos'!$C$7:$F$4092,3,0)))</f>
        <v>170345-0-2017</v>
      </c>
      <c r="D59" s="506" t="str">
        <f>IF(ISERROR(VLOOKUP(B59,'Base de Datos'!$C$487:$F$4092,3,0))=TRUE,"",(VLOOKUP('Presupuesto - PAA 2018'!B59,'Base de Datos'!$C$487:$F$4092,4,0)))</f>
        <v>GRUPO EMPRESARIAL SOLUCIONES CUATRO EN UNO SAS</v>
      </c>
      <c r="E59" s="509">
        <f>VLOOKUP(B59,[7]PAA2017!$C$65:$AA$255,20,0)</f>
        <v>18000000</v>
      </c>
      <c r="F59" s="507" t="e">
        <f>VLOOKUP(B59,[8]SOLICITUDES!$B$3:$H$278,2,0)</f>
        <v>#N/A</v>
      </c>
      <c r="G59" s="507"/>
      <c r="H59" s="507"/>
      <c r="I59" s="507"/>
      <c r="J59" s="509">
        <f>IF(ISERROR(VLOOKUP(B59,'Base de Datos'!$C$487:$N$4092,6,0))=TRUE,"Sin Celebrar",(VLOOKUP(B59,'Base de Datos'!$C$487:$N$4092,7,0)))</f>
        <v>11637012</v>
      </c>
      <c r="K59" s="573"/>
      <c r="L59" s="553" t="str">
        <f t="shared" si="6"/>
        <v xml:space="preserve"> </v>
      </c>
      <c r="M59" s="509"/>
      <c r="N59" s="509">
        <f t="shared" si="7"/>
        <v>6362988</v>
      </c>
      <c r="O59" s="691" t="str">
        <f>IF(ISERROR(VLOOKUP(B59,'Base de Datos'!$C$487:$K$1048576,7,0))=TRUE," ",(VLOOKUP(B59,'Base de Datos'!$C$487:$K$1048576,8,0)))</f>
        <v>SDH-SMINC-046-2017</v>
      </c>
      <c r="P59" s="524">
        <f>IF(ISERROR(VLOOKUP(B59,'Base de Datos'!$C$487:$N$4077,9,0))=TRUE," ",(VLOOKUP(B59,'Base de Datos'!$C$487:$N$4077,10,0)))</f>
        <v>43075</v>
      </c>
      <c r="Q59" s="709"/>
      <c r="R59" s="524">
        <f>IF(ISERROR(VLOOKUP(B59,'Base de Datos'!$C$487:$N$4077,10,0))=TRUE," ",(VLOOKUP(B59,'Base de Datos'!$C$487:$N$4077,11,0)))</f>
        <v>43096</v>
      </c>
      <c r="S59" s="524">
        <f>IF(ISERROR(VLOOKUP(B59,'Base de Datos'!$C$487:$N$4077,11,0))=TRUE," ",(VLOOKUP(B59,'Base de Datos'!$C$487:$N$4077,12,0)))</f>
        <v>43369</v>
      </c>
      <c r="T59" s="506" t="str">
        <f>VLOOKUP(B59,'Base de Datos'!$C$487:$AU$4129,41,0)</f>
        <v>LIQUIDADO</v>
      </c>
      <c r="U59" s="694"/>
      <c r="V59" s="607"/>
    </row>
    <row r="60" spans="2:22" ht="15" customHeight="1" outlineLevel="1" x14ac:dyDescent="0.3">
      <c r="B60" s="510">
        <v>79</v>
      </c>
      <c r="C60" s="506" t="str">
        <f>IF(ISERROR(VLOOKUP(B60,'Base de Datos'!$C$487:$F$4092,2,0))=TRUE,"",(VLOOKUP('Presupuesto - PAA 2018'!B60,'Base de Datos'!$C$7:$F$4092,3,0)))</f>
        <v>170329-0-2017</v>
      </c>
      <c r="D60" s="506" t="str">
        <f>IF(ISERROR(VLOOKUP(B60,'Base de Datos'!$C$487:$F$4092,3,0))=TRUE,"",(VLOOKUP('Presupuesto - PAA 2018'!B60,'Base de Datos'!$C$487:$F$4092,4,0)))</f>
        <v>CARLOS ALBERTO CASTELLANOS MEDINA</v>
      </c>
      <c r="E60" s="509">
        <f>VLOOKUP(B60,[7]PAA2017!$C$65:$AA$255,20,0)</f>
        <v>12500000</v>
      </c>
      <c r="F60" s="507" t="e">
        <f>VLOOKUP(B60,[8]SOLICITUDES!$B$3:$H$278,2,0)</f>
        <v>#N/A</v>
      </c>
      <c r="G60" s="507"/>
      <c r="H60" s="507"/>
      <c r="I60" s="507"/>
      <c r="J60" s="509">
        <f>IF(ISERROR(VLOOKUP(B60,'Base de Datos'!$C$487:$N$4092,6,0))=TRUE,"Sin Celebrar",(VLOOKUP(B60,'Base de Datos'!$C$487:$N$4092,7,0)))</f>
        <v>12500004</v>
      </c>
      <c r="K60" s="573"/>
      <c r="L60" s="553" t="str">
        <f t="shared" si="6"/>
        <v xml:space="preserve"> </v>
      </c>
      <c r="M60" s="509"/>
      <c r="N60" s="509" t="str">
        <f t="shared" si="7"/>
        <v xml:space="preserve"> </v>
      </c>
      <c r="O60" s="691" t="str">
        <f>IF(ISERROR(VLOOKUP(B60,'Base de Datos'!$C$487:$K$1048576,7,0))=TRUE," ",(VLOOKUP(B60,'Base de Datos'!$C$487:$K$1048576,8,0)))</f>
        <v>SDH-SMINC-47-2017</v>
      </c>
      <c r="P60" s="524">
        <f>IF(ISERROR(VLOOKUP(B60,'Base de Datos'!$C$487:$N$4077,9,0))=TRUE," ",(VLOOKUP(B60,'Base de Datos'!$C$487:$N$4077,10,0)))</f>
        <v>43060</v>
      </c>
      <c r="Q60" s="709"/>
      <c r="R60" s="524">
        <f>IF(ISERROR(VLOOKUP(B60,'Base de Datos'!$C$487:$N$4077,10,0))=TRUE," ",(VLOOKUP(B60,'Base de Datos'!$C$487:$N$4077,11,0)))</f>
        <v>43096</v>
      </c>
      <c r="S60" s="524">
        <f>IF(ISERROR(VLOOKUP(B60,'Base de Datos'!$C$487:$N$4077,11,0))=TRUE," ",(VLOOKUP(B60,'Base de Datos'!$C$487:$N$4077,12,0)))</f>
        <v>43460</v>
      </c>
      <c r="T60" s="506" t="str">
        <f>VLOOKUP(B60,'Base de Datos'!$C$487:$AU$4129,41,0)</f>
        <v>LIQUIDADO</v>
      </c>
      <c r="U60" s="694"/>
      <c r="V60" s="607"/>
    </row>
    <row r="61" spans="2:22" ht="15" customHeight="1" outlineLevel="1" x14ac:dyDescent="0.3">
      <c r="B61" s="510">
        <v>80</v>
      </c>
      <c r="C61" s="506" t="str">
        <f>IF(ISERROR(VLOOKUP(B61,'Base de Datos'!$C$487:$F$4092,2,0))=TRUE,"",(VLOOKUP('Presupuesto - PAA 2018'!B61,'Base de Datos'!$C$7:$F$4092,3,0)))</f>
        <v/>
      </c>
      <c r="D61" s="506" t="str">
        <f>IF(ISERROR(VLOOKUP(B61,'Base de Datos'!$C$487:$F$4092,3,0))=TRUE,"",(VLOOKUP('Presupuesto - PAA 2018'!B61,'Base de Datos'!$C$487:$F$4092,4,0)))</f>
        <v/>
      </c>
      <c r="E61" s="509">
        <f>VLOOKUP(B61,[7]PAA2017!$C$65:$AA$255,20,0)</f>
        <v>86500000</v>
      </c>
      <c r="F61" s="507" t="e">
        <f>VLOOKUP(B61,[8]SOLICITUDES!$B$3:$H$278,2,0)</f>
        <v>#N/A</v>
      </c>
      <c r="G61" s="507"/>
      <c r="H61" s="507"/>
      <c r="I61" s="507"/>
      <c r="J61" s="509" t="str">
        <f>IF(ISERROR(VLOOKUP(B61,'Base de Datos'!$C$487:$N$4092,6,0))=TRUE,"Sin Celebrar",(VLOOKUP(B61,'Base de Datos'!$C$487:$N$4092,7,0)))</f>
        <v>Sin Celebrar</v>
      </c>
      <c r="K61" s="573"/>
      <c r="L61" s="553">
        <f t="shared" si="6"/>
        <v>86500000</v>
      </c>
      <c r="M61" s="509"/>
      <c r="N61" s="509" t="str">
        <f t="shared" si="7"/>
        <v xml:space="preserve"> </v>
      </c>
      <c r="O61" s="691" t="str">
        <f>IF(ISERROR(VLOOKUP(B61,'Base de Datos'!$C$487:$K$1048576,7,0))=TRUE," ",(VLOOKUP(B61,'Base de Datos'!$C$487:$K$1048576,8,0)))</f>
        <v xml:space="preserve"> </v>
      </c>
      <c r="P61" s="524" t="str">
        <f>IF(ISERROR(VLOOKUP(B61,'Base de Datos'!$C$487:$N$4077,9,0))=TRUE," ",(VLOOKUP(B61,'Base de Datos'!$C$487:$N$4077,10,0)))</f>
        <v xml:space="preserve"> </v>
      </c>
      <c r="Q61" s="709"/>
      <c r="R61" s="524" t="str">
        <f>IF(ISERROR(VLOOKUP(B61,'Base de Datos'!$C$487:$N$4077,10,0))=TRUE," ",(VLOOKUP(B61,'Base de Datos'!$C$487:$N$4077,11,0)))</f>
        <v xml:space="preserve"> </v>
      </c>
      <c r="S61" s="524" t="str">
        <f>IF(ISERROR(VLOOKUP(B61,'Base de Datos'!$C$487:$N$4077,11,0))=TRUE," ",(VLOOKUP(B61,'Base de Datos'!$C$487:$N$4077,12,0)))</f>
        <v xml:space="preserve"> </v>
      </c>
      <c r="T61" s="506" t="e">
        <f>VLOOKUP(B61,'Base de Datos'!$C$487:$AU$4129,41,0)</f>
        <v>#N/A</v>
      </c>
      <c r="U61" s="694"/>
      <c r="V61" s="607"/>
    </row>
    <row r="62" spans="2:22" ht="15" customHeight="1" outlineLevel="1" x14ac:dyDescent="0.3">
      <c r="B62" s="510">
        <v>81</v>
      </c>
      <c r="C62" s="506" t="str">
        <f>IF(ISERROR(VLOOKUP(B62,'Base de Datos'!$C$487:$F$4092,2,0))=TRUE,"",(VLOOKUP('Presupuesto - PAA 2018'!B62,'Base de Datos'!$C$7:$F$4092,3,0)))</f>
        <v>170041-0-2017</v>
      </c>
      <c r="D62" s="506" t="str">
        <f>IF(ISERROR(VLOOKUP(B62,'Base de Datos'!$C$487:$F$4092,3,0))=TRUE,"",(VLOOKUP('Presupuesto - PAA 2018'!B62,'Base de Datos'!$C$487:$F$4092,4,0)))</f>
        <v>SOLUCIONES ICG SAS</v>
      </c>
      <c r="E62" s="509">
        <f>VLOOKUP(B62,[7]PAA2017!$C$65:$AA$255,20,0)</f>
        <v>50000000</v>
      </c>
      <c r="F62" s="507" t="e">
        <f>VLOOKUP(B62,[8]SOLICITUDES!$B$3:$H$278,2,0)</f>
        <v>#N/A</v>
      </c>
      <c r="G62" s="507"/>
      <c r="H62" s="507"/>
      <c r="I62" s="507"/>
      <c r="J62" s="509">
        <f>IF(ISERROR(VLOOKUP(B62,'Base de Datos'!$C$487:$N$4092,6,0))=TRUE,"Sin Celebrar",(VLOOKUP(B62,'Base de Datos'!$C$487:$N$4092,7,0)))</f>
        <v>65851149</v>
      </c>
      <c r="K62" s="573"/>
      <c r="L62" s="553" t="str">
        <f t="shared" si="6"/>
        <v xml:space="preserve"> </v>
      </c>
      <c r="M62" s="509"/>
      <c r="N62" s="509" t="str">
        <f t="shared" si="7"/>
        <v xml:space="preserve"> </v>
      </c>
      <c r="O62" s="691" t="str">
        <f>IF(ISERROR(VLOOKUP(B62,'Base de Datos'!$C$487:$K$1048576,7,0))=TRUE," ",(VLOOKUP(B62,'Base de Datos'!$C$487:$K$1048576,8,0)))</f>
        <v>SDH-SMINC-01-2017</v>
      </c>
      <c r="P62" s="524">
        <f>IF(ISERROR(VLOOKUP(B62,'Base de Datos'!$C$487:$N$4077,9,0))=TRUE," ",(VLOOKUP(B62,'Base de Datos'!$C$487:$N$4077,10,0)))</f>
        <v>42795</v>
      </c>
      <c r="Q62" s="709"/>
      <c r="R62" s="524">
        <f>IF(ISERROR(VLOOKUP(B62,'Base de Datos'!$C$487:$N$4077,10,0))=TRUE," ",(VLOOKUP(B62,'Base de Datos'!$C$487:$N$4077,11,0)))</f>
        <v>42815</v>
      </c>
      <c r="S62" s="524">
        <f>IF(ISERROR(VLOOKUP(B62,'Base de Datos'!$C$487:$N$4077,11,0))=TRUE," ",(VLOOKUP(B62,'Base de Datos'!$C$487:$N$4077,12,0)))</f>
        <v>43180</v>
      </c>
      <c r="T62" s="506" t="str">
        <f>VLOOKUP(B62,'Base de Datos'!$C$487:$AU$4129,41,0)</f>
        <v>LIQUIDADO</v>
      </c>
      <c r="U62" s="694"/>
      <c r="V62" s="607"/>
    </row>
    <row r="63" spans="2:22" ht="15" customHeight="1" outlineLevel="1" x14ac:dyDescent="0.3">
      <c r="B63" s="510">
        <v>82</v>
      </c>
      <c r="C63" s="506" t="str">
        <f>IF(ISERROR(VLOOKUP(B63,'Base de Datos'!$C$487:$F$4092,2,0))=TRUE,"",(VLOOKUP('Presupuesto - PAA 2018'!B63,'Base de Datos'!$C$7:$F$4092,3,0)))</f>
        <v>160112-0-2016</v>
      </c>
      <c r="D63" s="506" t="str">
        <f>IF(ISERROR(VLOOKUP(B63,'Base de Datos'!$C$487:$F$4092,3,0))=TRUE,"",(VLOOKUP('Presupuesto - PAA 2018'!B63,'Base de Datos'!$C$487:$F$4092,4,0)))</f>
        <v>FACTOR VISUAL EAT</v>
      </c>
      <c r="E63" s="509">
        <f>VLOOKUP(B63,[7]PAA2017!$C$65:$AA$255,20,0)</f>
        <v>50000000</v>
      </c>
      <c r="F63" s="507" t="e">
        <f>VLOOKUP(B63,[8]SOLICITUDES!$B$3:$H$278,2,0)</f>
        <v>#N/A</v>
      </c>
      <c r="G63" s="507"/>
      <c r="H63" s="507"/>
      <c r="I63" s="507"/>
      <c r="J63" s="509">
        <f>IF(ISERROR(VLOOKUP(B63,'Base de Datos'!$C$487:$N$4092,6,0))=TRUE,"Sin Celebrar",(VLOOKUP(B63,'Base de Datos'!$C$487:$N$4092,7,0)))</f>
        <v>49980000</v>
      </c>
      <c r="K63" s="573"/>
      <c r="L63" s="553" t="str">
        <f t="shared" si="6"/>
        <v xml:space="preserve"> </v>
      </c>
      <c r="M63" s="509"/>
      <c r="N63" s="509">
        <f t="shared" si="7"/>
        <v>20000</v>
      </c>
      <c r="O63" s="691" t="str">
        <f>IF(ISERROR(VLOOKUP(B63,'Base de Datos'!$C$487:$K$1048576,7,0))=TRUE," ",(VLOOKUP(B63,'Base de Datos'!$C$487:$K$1048576,8,0)))</f>
        <v>170136-0-2017</v>
      </c>
      <c r="P63" s="524">
        <f>IF(ISERROR(VLOOKUP(B63,'Base de Datos'!$C$487:$N$4077,9,0))=TRUE," ",(VLOOKUP(B63,'Base de Datos'!$C$487:$N$4077,10,0)))</f>
        <v>42871</v>
      </c>
      <c r="Q63" s="709"/>
      <c r="R63" s="524">
        <f>IF(ISERROR(VLOOKUP(B63,'Base de Datos'!$C$487:$N$4077,10,0))=TRUE," ",(VLOOKUP(B63,'Base de Datos'!$C$487:$N$4077,11,0)))</f>
        <v>42874</v>
      </c>
      <c r="S63" s="524">
        <f>IF(ISERROR(VLOOKUP(B63,'Base de Datos'!$C$487:$N$4077,11,0))=TRUE," ",(VLOOKUP(B63,'Base de Datos'!$C$487:$N$4077,12,0)))</f>
        <v>43239</v>
      </c>
      <c r="T63" s="506" t="str">
        <f>VLOOKUP(B63,'Base de Datos'!$C$487:$AU$4129,41,0)</f>
        <v>LIQUIDADO</v>
      </c>
      <c r="U63" s="694"/>
      <c r="V63" s="607"/>
    </row>
    <row r="64" spans="2:22" ht="15" customHeight="1" outlineLevel="1" x14ac:dyDescent="0.3">
      <c r="B64" s="510">
        <v>83</v>
      </c>
      <c r="C64" s="506" t="str">
        <f>IF(ISERROR(VLOOKUP(B64,'Base de Datos'!$C$487:$F$4092,2,0))=TRUE,"",(VLOOKUP('Presupuesto - PAA 2018'!B64,'Base de Datos'!$C$7:$F$4092,3,0)))</f>
        <v/>
      </c>
      <c r="D64" s="506" t="str">
        <f>IF(ISERROR(VLOOKUP(B64,'Base de Datos'!$C$487:$F$4092,3,0))=TRUE,"",(VLOOKUP('Presupuesto - PAA 2018'!B64,'Base de Datos'!$C$487:$F$4092,4,0)))</f>
        <v/>
      </c>
      <c r="E64" s="509">
        <f>VLOOKUP(B64,[7]PAA2017!$C$65:$AA$255,20,0)</f>
        <v>900000</v>
      </c>
      <c r="F64" s="507" t="e">
        <f>VLOOKUP(B64,[8]SOLICITUDES!$B$3:$H$278,2,0)</f>
        <v>#N/A</v>
      </c>
      <c r="G64" s="507"/>
      <c r="H64" s="507"/>
      <c r="I64" s="507"/>
      <c r="J64" s="509" t="str">
        <f>IF(ISERROR(VLOOKUP(B64,'Base de Datos'!$C$487:$N$4092,6,0))=TRUE,"Sin Celebrar",(VLOOKUP(B64,'Base de Datos'!$C$487:$N$4092,7,0)))</f>
        <v>Sin Celebrar</v>
      </c>
      <c r="K64" s="573"/>
      <c r="L64" s="553">
        <f t="shared" si="6"/>
        <v>900000</v>
      </c>
      <c r="M64" s="509"/>
      <c r="N64" s="509" t="str">
        <f t="shared" si="7"/>
        <v xml:space="preserve"> </v>
      </c>
      <c r="O64" s="691" t="str">
        <f>IF(ISERROR(VLOOKUP(B64,'Base de Datos'!$C$487:$K$1048576,7,0))=TRUE," ",(VLOOKUP(B64,'Base de Datos'!$C$487:$K$1048576,8,0)))</f>
        <v xml:space="preserve"> </v>
      </c>
      <c r="P64" s="524" t="str">
        <f>IF(ISERROR(VLOOKUP(B64,'Base de Datos'!$C$487:$N$4077,9,0))=TRUE," ",(VLOOKUP(B64,'Base de Datos'!$C$487:$N$4077,10,0)))</f>
        <v xml:space="preserve"> </v>
      </c>
      <c r="Q64" s="709"/>
      <c r="R64" s="524" t="str">
        <f>IF(ISERROR(VLOOKUP(B64,'Base de Datos'!$C$487:$N$4077,10,0))=TRUE," ",(VLOOKUP(B64,'Base de Datos'!$C$487:$N$4077,11,0)))</f>
        <v xml:space="preserve"> </v>
      </c>
      <c r="S64" s="524" t="str">
        <f>IF(ISERROR(VLOOKUP(B64,'Base de Datos'!$C$487:$N$4077,11,0))=TRUE," ",(VLOOKUP(B64,'Base de Datos'!$C$487:$N$4077,12,0)))</f>
        <v xml:space="preserve"> </v>
      </c>
      <c r="T64" s="506" t="e">
        <f>VLOOKUP(B64,'Base de Datos'!$C$487:$AU$4129,41,0)</f>
        <v>#N/A</v>
      </c>
      <c r="U64" s="694"/>
      <c r="V64" s="607"/>
    </row>
    <row r="65" spans="2:22" ht="15" customHeight="1" outlineLevel="1" x14ac:dyDescent="0.3">
      <c r="B65" s="510">
        <v>85</v>
      </c>
      <c r="C65" s="506" t="str">
        <f>IF(ISERROR(VLOOKUP(B65,'Base de Datos'!$C$487:$F$4092,2,0))=TRUE,"",(VLOOKUP('Presupuesto - PAA 2018'!B65,'Base de Datos'!$C$7:$F$4092,3,0)))</f>
        <v>180099-0-2018</v>
      </c>
      <c r="D65" s="506" t="str">
        <f>IF(ISERROR(VLOOKUP(B65,'Base de Datos'!$C$487:$F$4092,3,0))=TRUE,"",(VLOOKUP('Presupuesto - PAA 2018'!B65,'Base de Datos'!$C$487:$F$4092,4,0)))</f>
        <v>JUAN DIEGO ESPÍTIA ROA</v>
      </c>
      <c r="E65" s="509">
        <f>VLOOKUP(B65,[7]PAA2017!$C$65:$AA$255,20,0)</f>
        <v>1913332000</v>
      </c>
      <c r="F65" s="507" t="e">
        <f>VLOOKUP(B65,[8]SOLICITUDES!$B$3:$H$278,2,0)</f>
        <v>#N/A</v>
      </c>
      <c r="G65" s="507"/>
      <c r="H65" s="507"/>
      <c r="I65" s="507"/>
      <c r="J65" s="509">
        <f>IF(ISERROR(VLOOKUP(B65,'Base de Datos'!$C$487:$N$4092,6,0))=TRUE,"Sin Celebrar",(VLOOKUP(B65,'Base de Datos'!$C$487:$N$4092,7,0)))</f>
        <v>70452000</v>
      </c>
      <c r="K65" s="573"/>
      <c r="L65" s="553" t="str">
        <f t="shared" si="6"/>
        <v xml:space="preserve"> </v>
      </c>
      <c r="M65" s="509"/>
      <c r="N65" s="509">
        <f t="shared" si="7"/>
        <v>1842880000</v>
      </c>
      <c r="O65" s="691" t="str">
        <f>IF(ISERROR(VLOOKUP(B65,'Base de Datos'!$C$487:$K$1048576,7,0))=TRUE," ",(VLOOKUP(B65,'Base de Datos'!$C$487:$K$1048576,8,0)))</f>
        <v>180099-0-2018</v>
      </c>
      <c r="P65" s="524">
        <f>IF(ISERROR(VLOOKUP(B65,'Base de Datos'!$C$487:$N$4077,9,0))=TRUE," ",(VLOOKUP(B65,'Base de Datos'!$C$487:$N$4077,10,0)))</f>
        <v>43126</v>
      </c>
      <c r="Q65" s="709"/>
      <c r="R65" s="524">
        <f>IF(ISERROR(VLOOKUP(B65,'Base de Datos'!$C$487:$N$4077,10,0))=TRUE," ",(VLOOKUP(B65,'Base de Datos'!$C$487:$N$4077,11,0)))</f>
        <v>43132</v>
      </c>
      <c r="S65" s="524">
        <f>IF(ISERROR(VLOOKUP(B65,'Base de Datos'!$C$487:$N$4077,11,0))=TRUE," ",(VLOOKUP(B65,'Base de Datos'!$C$487:$N$4077,12,0)))</f>
        <v>43496</v>
      </c>
      <c r="T65" s="506" t="str">
        <f>VLOOKUP(B65,'Base de Datos'!$C$487:$AU$4129,41,0)</f>
        <v>LIQUIDADO</v>
      </c>
      <c r="U65" s="694"/>
      <c r="V65" s="607"/>
    </row>
    <row r="66" spans="2:22" ht="19.5" customHeight="1" outlineLevel="1" x14ac:dyDescent="0.3">
      <c r="B66" s="510">
        <v>86</v>
      </c>
      <c r="C66" s="506" t="str">
        <f>IF(ISERROR(VLOOKUP(B66,'Base de Datos'!$C$487:$F$4092,2,0))=TRUE,"",(VLOOKUP('Presupuesto - PAA 2018'!B66,'Base de Datos'!$C$7:$F$4092,3,0)))</f>
        <v>160214-0-2016</v>
      </c>
      <c r="D66" s="506" t="str">
        <f>IF(ISERROR(VLOOKUP(B66,'Base de Datos'!$C$487:$F$4092,3,0))=TRUE,"",(VLOOKUP('Presupuesto - PAA 2018'!B66,'Base de Datos'!$C$487:$F$4092,4,0)))</f>
        <v>SEAN ELECTRONICA LIMITADA</v>
      </c>
      <c r="E66" s="509">
        <f>VLOOKUP(B66,[7]PAA2017!$C$65:$AA$255,20,0)</f>
        <v>160000000</v>
      </c>
      <c r="F66" s="507" t="e">
        <f>VLOOKUP(B66,[8]SOLICITUDES!$B$3:$H$278,2,0)</f>
        <v>#N/A</v>
      </c>
      <c r="G66" s="507"/>
      <c r="H66" s="507"/>
      <c r="I66" s="507"/>
      <c r="J66" s="509">
        <f>IF(ISERROR(VLOOKUP(B66,'Base de Datos'!$C$487:$N$4092,6,0))=TRUE,"Sin Celebrar",(VLOOKUP(B66,'Base de Datos'!$C$487:$N$4092,7,0)))</f>
        <v>30000000</v>
      </c>
      <c r="K66" s="573"/>
      <c r="L66" s="553" t="str">
        <f t="shared" si="6"/>
        <v xml:space="preserve"> </v>
      </c>
      <c r="M66" s="509"/>
      <c r="N66" s="509">
        <f t="shared" si="7"/>
        <v>130000000</v>
      </c>
      <c r="O66" s="691" t="str">
        <f>IF(ISERROR(VLOOKUP(B66,'Base de Datos'!$C$487:$K$1048576,7,0))=TRUE," ",(VLOOKUP(B66,'Base de Datos'!$C$487:$K$1048576,8,0)))</f>
        <v>SDH-SMINC-30-2017</v>
      </c>
      <c r="P66" s="524">
        <f>IF(ISERROR(VLOOKUP(B66,'Base de Datos'!$C$487:$N$4077,9,0))=TRUE," ",(VLOOKUP(B66,'Base de Datos'!$C$487:$N$4077,10,0)))</f>
        <v>42993</v>
      </c>
      <c r="Q66" s="709"/>
      <c r="R66" s="524">
        <f>IF(ISERROR(VLOOKUP(B66,'Base de Datos'!$C$487:$N$4077,10,0))=TRUE," ",(VLOOKUP(B66,'Base de Datos'!$C$487:$N$4077,11,0)))</f>
        <v>43020</v>
      </c>
      <c r="S66" s="524">
        <f>IF(ISERROR(VLOOKUP(B66,'Base de Datos'!$C$487:$N$4077,11,0))=TRUE," ",(VLOOKUP(B66,'Base de Datos'!$C$487:$N$4077,12,0)))</f>
        <v>43202</v>
      </c>
      <c r="T66" s="506" t="str">
        <f>VLOOKUP(B66,'Base de Datos'!$C$487:$AU$4129,41,0)</f>
        <v>LIQUIDADO</v>
      </c>
      <c r="U66" s="694"/>
      <c r="V66" s="607"/>
    </row>
    <row r="67" spans="2:22" ht="15" customHeight="1" outlineLevel="1" x14ac:dyDescent="0.3">
      <c r="B67" s="849">
        <v>87</v>
      </c>
      <c r="C67" s="506" t="str">
        <f>IF(ISERROR(VLOOKUP(B67,'Base de Datos'!$C$487:$F$4092,2,0))=TRUE,"",(VLOOKUP('Presupuesto - PAA 2018'!B67,'Base de Datos'!$C$7:$F$4092,3,0)))</f>
        <v/>
      </c>
      <c r="D67" s="506" t="str">
        <f>IF(ISERROR(VLOOKUP(B67,'Base de Datos'!$C$487:$F$4092,3,0))=TRUE,"",(VLOOKUP('Presupuesto - PAA 2018'!B67,'Base de Datos'!$C$487:$F$4092,4,0)))</f>
        <v/>
      </c>
      <c r="E67" s="509">
        <f>VLOOKUP(B67,[7]PAA2017!$C$65:$AA$255,20,0)</f>
        <v>7047070000</v>
      </c>
      <c r="F67" s="507" t="e">
        <f>VLOOKUP(B67,[8]SOLICITUDES!$B$3:$H$278,2,0)</f>
        <v>#N/A</v>
      </c>
      <c r="G67" s="507"/>
      <c r="H67" s="507"/>
      <c r="I67" s="507"/>
      <c r="J67" s="509" t="str">
        <f>IF(ISERROR(VLOOKUP(B67,'Base de Datos'!$C$487:$N$4092,6,0))=TRUE,"Sin Celebrar",(VLOOKUP(B67,'Base de Datos'!$C$487:$N$4092,7,0)))</f>
        <v>Sin Celebrar</v>
      </c>
      <c r="K67" s="573"/>
      <c r="L67" s="553">
        <f t="shared" si="6"/>
        <v>7047070000</v>
      </c>
      <c r="M67" s="509"/>
      <c r="N67" s="509" t="str">
        <f t="shared" si="7"/>
        <v xml:space="preserve"> </v>
      </c>
      <c r="O67" s="691" t="str">
        <f>IF(ISERROR(VLOOKUP(B67,'Base de Datos'!$C$487:$K$1048576,7,0))=TRUE," ",(VLOOKUP(B67,'Base de Datos'!$C$487:$K$1048576,8,0)))</f>
        <v xml:space="preserve"> </v>
      </c>
      <c r="P67" s="524" t="str">
        <f>IF(ISERROR(VLOOKUP(B67,'Base de Datos'!$C$487:$N$4077,9,0))=TRUE," ",(VLOOKUP(B67,'Base de Datos'!$C$487:$N$4077,10,0)))</f>
        <v xml:space="preserve"> </v>
      </c>
      <c r="Q67" s="709"/>
      <c r="R67" s="524" t="str">
        <f>IF(ISERROR(VLOOKUP(B67,'Base de Datos'!$C$487:$N$4077,10,0))=TRUE," ",(VLOOKUP(B67,'Base de Datos'!$C$487:$N$4077,11,0)))</f>
        <v xml:space="preserve"> </v>
      </c>
      <c r="S67" s="524" t="str">
        <f>IF(ISERROR(VLOOKUP(B67,'Base de Datos'!$C$487:$N$4077,11,0))=TRUE," ",(VLOOKUP(B67,'Base de Datos'!$C$487:$N$4077,12,0)))</f>
        <v xml:space="preserve"> </v>
      </c>
      <c r="T67" s="506" t="e">
        <f>VLOOKUP(B67,'Base de Datos'!$C$487:$AU$4129,41,0)</f>
        <v>#N/A</v>
      </c>
      <c r="U67" s="694"/>
      <c r="V67" s="607"/>
    </row>
    <row r="68" spans="2:22" ht="21" customHeight="1" outlineLevel="1" x14ac:dyDescent="0.3">
      <c r="B68" s="525">
        <v>88</v>
      </c>
      <c r="C68" s="506" t="str">
        <f>IF(ISERROR(VLOOKUP(B68,'Base de Datos'!$C$487:$F$4092,2,0))=TRUE,"",(VLOOKUP('Presupuesto - PAA 2018'!B68,'Base de Datos'!$C$7:$F$4092,3,0)))</f>
        <v>160314-0-2016</v>
      </c>
      <c r="D68" s="506" t="str">
        <f>IF(ISERROR(VLOOKUP(B68,'Base de Datos'!$C$487:$F$4092,3,0))=TRUE,"",(VLOOKUP('Presupuesto - PAA 2018'!B68,'Base de Datos'!$C$487:$F$4092,4,0)))</f>
        <v>COMPAÑÍA COMERCIAL CURACAO DE COLOMBIA SA</v>
      </c>
      <c r="E68" s="509">
        <f>VLOOKUP(B68,[7]PAA2017!$C$65:$AA$255,20,0)</f>
        <v>22000000</v>
      </c>
      <c r="F68" s="507" t="str">
        <f>VLOOKUP(B68,[8]SOLICITUDES!$B$3:$H$278,2,0)</f>
        <v>SI</v>
      </c>
      <c r="G68" s="507"/>
      <c r="H68" s="507"/>
      <c r="I68" s="507"/>
      <c r="J68" s="509">
        <f>IF(ISERROR(VLOOKUP(B68,'Base de Datos'!$C$487:$N$4092,6,0))=TRUE,"Sin Celebrar",(VLOOKUP(B68,'Base de Datos'!$C$487:$N$4092,7,0)))</f>
        <v>4361500</v>
      </c>
      <c r="K68" s="573"/>
      <c r="L68" s="553" t="str">
        <f>IF(J68=$AA$1,E68, " ")</f>
        <v xml:space="preserve"> </v>
      </c>
      <c r="M68" s="509"/>
      <c r="N68" s="509">
        <f>IF(J68&lt;E68,(E68-J68)," ")</f>
        <v>17638500</v>
      </c>
      <c r="O68" s="691" t="str">
        <f>IF(ISERROR(VLOOKUP(B68,'Base de Datos'!$C$487:$K$1048576,7,0))=TRUE," ",(VLOOKUP(B68,'Base de Datos'!$C$487:$K$1048576,8,0)))</f>
        <v>SDH-SMINC-16-2017</v>
      </c>
      <c r="P68" s="524">
        <f>IF(ISERROR(VLOOKUP(B68,'Base de Datos'!$C$487:$N$4077,9,0))=TRUE," ",(VLOOKUP(B68,'Base de Datos'!$C$487:$N$4077,10,0)))</f>
        <v>42909</v>
      </c>
      <c r="Q68" s="709"/>
      <c r="R68" s="524">
        <f>IF(ISERROR(VLOOKUP(B68,'Base de Datos'!$C$487:$N$4077,10,0))=TRUE," ",(VLOOKUP(B68,'Base de Datos'!$C$487:$N$4077,11,0)))</f>
        <v>42922</v>
      </c>
      <c r="S68" s="524">
        <f>IF(ISERROR(VLOOKUP(B68,'Base de Datos'!$C$487:$N$4077,11,0))=TRUE," ",(VLOOKUP(B68,'Base de Datos'!$C$487:$N$4077,12,0)))</f>
        <v>42984</v>
      </c>
      <c r="T68" s="506" t="str">
        <f>VLOOKUP(B68,'Base de Datos'!$C$487:$AU$4129,41,0)</f>
        <v>LIQUIDADO</v>
      </c>
      <c r="U68" s="694"/>
      <c r="V68" s="607"/>
    </row>
    <row r="69" spans="2:22" ht="21" customHeight="1" outlineLevel="1" x14ac:dyDescent="0.3">
      <c r="B69" s="525"/>
      <c r="C69" s="506" t="str">
        <f>IF(ISERROR(VLOOKUP(B69,'Base de Datos'!$C$487:$F$4092,2,0))=TRUE,"",(VLOOKUP('Presupuesto - PAA 2018'!B69,'Base de Datos'!$C$7:$F$4092,3,0)))</f>
        <v/>
      </c>
      <c r="D69" s="506" t="str">
        <f>IF(ISERROR(VLOOKUP(B69,'Base de Datos'!$C$487:$F$4092,3,0))=TRUE,"",(VLOOKUP('Presupuesto - PAA 2018'!B69,'Base de Datos'!$C$487:$F$4092,4,0)))</f>
        <v/>
      </c>
      <c r="E69" s="509" t="e">
        <f>VLOOKUP(B69,[7]PAA2017!$C$65:$AA$255,20,0)</f>
        <v>#N/A</v>
      </c>
      <c r="F69" s="507" t="e">
        <f>VLOOKUP(B69,[8]SOLICITUDES!$B$3:$H$278,2,0)</f>
        <v>#N/A</v>
      </c>
      <c r="G69" s="507"/>
      <c r="H69" s="507"/>
      <c r="I69" s="507"/>
      <c r="J69" s="509" t="str">
        <f>IF(ISERROR(VLOOKUP(B69,'Base de Datos'!$C$487:$N$4092,6,0))=TRUE,"Sin Celebrar",(VLOOKUP(B69,'Base de Datos'!$C$487:$N$4092,7,0)))</f>
        <v>Sin Celebrar</v>
      </c>
      <c r="K69" s="573"/>
      <c r="L69" s="553" t="e">
        <f>IF(J69=$AA$1,E69, " ")</f>
        <v>#N/A</v>
      </c>
      <c r="M69" s="509"/>
      <c r="N69" s="509" t="e">
        <f>IF(J69&lt;E69,(E69-J69)," ")</f>
        <v>#N/A</v>
      </c>
      <c r="O69" s="691" t="str">
        <f>IF(ISERROR(VLOOKUP(B69,'Base de Datos'!$C$487:$K$1048576,7,0))=TRUE," ",(VLOOKUP(B69,'Base de Datos'!$C$487:$K$1048576,8,0)))</f>
        <v xml:space="preserve"> </v>
      </c>
      <c r="P69" s="524" t="str">
        <f>IF(ISERROR(VLOOKUP(B69,'Base de Datos'!$C$487:$N$4077,9,0))=TRUE," ",(VLOOKUP(B69,'Base de Datos'!$C$487:$N$4077,10,0)))</f>
        <v xml:space="preserve"> </v>
      </c>
      <c r="Q69" s="709"/>
      <c r="R69" s="524" t="str">
        <f>IF(ISERROR(VLOOKUP(B69,'Base de Datos'!$C$487:$N$4077,10,0))=TRUE," ",(VLOOKUP(B69,'Base de Datos'!$C$487:$N$4077,11,0)))</f>
        <v xml:space="preserve"> </v>
      </c>
      <c r="S69" s="524" t="str">
        <f>IF(ISERROR(VLOOKUP(B69,'Base de Datos'!$C$487:$N$4077,11,0))=TRUE," ",(VLOOKUP(B69,'Base de Datos'!$C$487:$N$4077,12,0)))</f>
        <v xml:space="preserve"> </v>
      </c>
      <c r="T69" s="506" t="e">
        <f>VLOOKUP(B69,'Base de Datos'!$C$487:$AU$4129,41,0)</f>
        <v>#N/A</v>
      </c>
      <c r="U69" s="694"/>
      <c r="V69" s="607"/>
    </row>
    <row r="70" spans="2:22" ht="21" customHeight="1" outlineLevel="1" x14ac:dyDescent="0.3">
      <c r="B70" s="525"/>
      <c r="C70" s="506" t="str">
        <f>IF(ISERROR(VLOOKUP(B70,'Base de Datos'!$C$487:$F$4092,2,0))=TRUE,"",(VLOOKUP('Presupuesto - PAA 2018'!B70,'Base de Datos'!$C$7:$F$4092,3,0)))</f>
        <v/>
      </c>
      <c r="D70" s="506" t="str">
        <f>IF(ISERROR(VLOOKUP(B70,'Base de Datos'!$C$487:$F$4092,3,0))=TRUE,"",(VLOOKUP('Presupuesto - PAA 2018'!B70,'Base de Datos'!$C$487:$F$4092,4,0)))</f>
        <v/>
      </c>
      <c r="E70" s="509" t="e">
        <f>VLOOKUP(B70,[7]PAA2017!$C$65:$AA$255,20,0)</f>
        <v>#N/A</v>
      </c>
      <c r="F70" s="507" t="e">
        <f>VLOOKUP(B70,[8]SOLICITUDES!$B$3:$H$278,2,0)</f>
        <v>#N/A</v>
      </c>
      <c r="G70" s="507"/>
      <c r="H70" s="507"/>
      <c r="I70" s="507"/>
      <c r="J70" s="509" t="str">
        <f>IF(ISERROR(VLOOKUP(B70,'Base de Datos'!$C$487:$N$4092,6,0))=TRUE,"Sin Celebrar",(VLOOKUP(B70,'Base de Datos'!$C$487:$N$4092,7,0)))</f>
        <v>Sin Celebrar</v>
      </c>
      <c r="K70" s="573"/>
      <c r="L70" s="553" t="e">
        <f>IF(J70=$AA$1,E70, " ")</f>
        <v>#N/A</v>
      </c>
      <c r="M70" s="509"/>
      <c r="N70" s="509" t="e">
        <f>IF(J70&lt;E70,(E70-J70)," ")</f>
        <v>#N/A</v>
      </c>
      <c r="O70" s="691" t="str">
        <f>IF(ISERROR(VLOOKUP(B70,'Base de Datos'!$C$487:$K$1048576,7,0))=TRUE," ",(VLOOKUP(B70,'Base de Datos'!$C$487:$K$1048576,8,0)))</f>
        <v xml:space="preserve"> </v>
      </c>
      <c r="P70" s="524" t="str">
        <f>IF(ISERROR(VLOOKUP(B70,'Base de Datos'!$C$487:$N$4077,9,0))=TRUE," ",(VLOOKUP(B70,'Base de Datos'!$C$487:$N$4077,10,0)))</f>
        <v xml:space="preserve"> </v>
      </c>
      <c r="Q70" s="709"/>
      <c r="R70" s="524" t="str">
        <f>IF(ISERROR(VLOOKUP(B70,'Base de Datos'!$C$487:$N$4077,10,0))=TRUE," ",(VLOOKUP(B70,'Base de Datos'!$C$487:$N$4077,11,0)))</f>
        <v xml:space="preserve"> </v>
      </c>
      <c r="S70" s="524" t="str">
        <f>IF(ISERROR(VLOOKUP(B70,'Base de Datos'!$C$487:$N$4077,11,0))=TRUE," ",(VLOOKUP(B70,'Base de Datos'!$C$487:$N$4077,12,0)))</f>
        <v xml:space="preserve"> </v>
      </c>
      <c r="T70" s="506" t="e">
        <f>VLOOKUP(B70,'Base de Datos'!$C$487:$AU$4129,41,0)</f>
        <v>#N/A</v>
      </c>
      <c r="U70" s="694"/>
      <c r="V70" s="607"/>
    </row>
    <row r="71" spans="2:22" outlineLevel="1" x14ac:dyDescent="0.3">
      <c r="B71" s="525"/>
      <c r="C71" s="506" t="str">
        <f>IF(ISERROR(VLOOKUP(B71,'Base de Datos'!$C$487:$F$4092,2,0))=TRUE,"",(VLOOKUP('Presupuesto - PAA 2018'!B71,'Base de Datos'!$C$7:$F$4092,3,0)))</f>
        <v/>
      </c>
      <c r="D71" s="506" t="str">
        <f>IF(ISERROR(VLOOKUP(B71,'Base de Datos'!$C$487:$F$4092,3,0))=TRUE,"",(VLOOKUP('Presupuesto - PAA 2018'!B71,'Base de Datos'!$C$487:$F$4092,4,0)))</f>
        <v/>
      </c>
      <c r="E71" s="509" t="e">
        <f>VLOOKUP(B71,[7]PAA2017!$C$65:$AA$255,20,0)</f>
        <v>#N/A</v>
      </c>
      <c r="F71" s="507" t="e">
        <f>VLOOKUP(B71,[8]SOLICITUDES!$B$3:$H$278,2,0)</f>
        <v>#N/A</v>
      </c>
      <c r="G71" s="507"/>
      <c r="H71" s="507"/>
      <c r="I71" s="507"/>
      <c r="J71" s="509" t="str">
        <f>IF(ISERROR(VLOOKUP(B71,'Base de Datos'!$C$487:$N$4092,6,0))=TRUE,"Sin Celebrar",(VLOOKUP(B71,'Base de Datos'!$C$487:$N$4092,7,0)))</f>
        <v>Sin Celebrar</v>
      </c>
      <c r="K71" s="573"/>
      <c r="L71" s="553" t="e">
        <f>IF(J71=$AA$1,E71, " ")</f>
        <v>#N/A</v>
      </c>
      <c r="M71" s="509"/>
      <c r="N71" s="509" t="e">
        <f>IF(J71&lt;E71,(E71-J71)," ")</f>
        <v>#N/A</v>
      </c>
      <c r="O71" s="691" t="str">
        <f>IF(ISERROR(VLOOKUP(B71,'Base de Datos'!$C$487:$K$1048576,7,0))=TRUE," ",(VLOOKUP(B71,'Base de Datos'!$C$487:$K$1048576,8,0)))</f>
        <v xml:space="preserve"> </v>
      </c>
      <c r="P71" s="524" t="str">
        <f>IF(ISERROR(VLOOKUP(B71,'Base de Datos'!$C$487:$N$4077,9,0))=TRUE," ",(VLOOKUP(B71,'Base de Datos'!$C$487:$N$4077,10,0)))</f>
        <v xml:space="preserve"> </v>
      </c>
      <c r="Q71" s="709"/>
      <c r="R71" s="524" t="str">
        <f>IF(ISERROR(VLOOKUP(B71,'Base de Datos'!$C$487:$N$4077,10,0))=TRUE," ",(VLOOKUP(B71,'Base de Datos'!$C$487:$N$4077,11,0)))</f>
        <v xml:space="preserve"> </v>
      </c>
      <c r="S71" s="524" t="str">
        <f>IF(ISERROR(VLOOKUP(B71,'Base de Datos'!$C$487:$N$4077,11,0))=TRUE," ",(VLOOKUP(B71,'Base de Datos'!$C$487:$N$4077,12,0)))</f>
        <v xml:space="preserve"> </v>
      </c>
      <c r="T71" s="506" t="e">
        <f>VLOOKUP(B71,'Base de Datos'!$C$487:$AU$4129,41,0)</f>
        <v>#N/A</v>
      </c>
      <c r="U71" s="694"/>
      <c r="V71" s="607"/>
    </row>
    <row r="72" spans="2:22" outlineLevel="1" x14ac:dyDescent="0.3">
      <c r="B72" s="525"/>
      <c r="C72" s="526"/>
      <c r="D72" s="526" t="s">
        <v>1934</v>
      </c>
      <c r="E72" s="674" t="e">
        <f>E51-SUM(E53:E70)</f>
        <v>#N/A</v>
      </c>
      <c r="F72" s="528"/>
      <c r="G72" s="528"/>
      <c r="H72" s="528"/>
      <c r="I72" s="528"/>
      <c r="J72" s="509"/>
      <c r="K72" s="577"/>
      <c r="L72" s="509"/>
      <c r="M72" s="527"/>
      <c r="N72" s="509" t="e">
        <f>IF(J72&lt;E72,(E72-J72)," ")</f>
        <v>#N/A</v>
      </c>
      <c r="O72" s="691" t="str">
        <f>IF(ISERROR(VLOOKUP(B72,'Base de Datos'!$C$7:$K$1048576,7,0))=TRUE," ",(VLOOKUP(B72,'Base de Datos'!$C$7:$K$1048576,7,0)))</f>
        <v xml:space="preserve"> </v>
      </c>
      <c r="P72" s="524" t="str">
        <f>IF(ISERROR(VLOOKUP(B72,'Base de Datos'!$C$7:$N$4077,9,0))=TRUE," ",(VLOOKUP(B72,'Base de Datos'!$C$7:$N$4077,9,0)))</f>
        <v xml:space="preserve"> </v>
      </c>
      <c r="Q72" s="526"/>
      <c r="R72" s="529" t="str">
        <f>IF(ISERROR(VLOOKUP(B72,'Base de Datos'!$C$7:$N$315,10,0))=TRUE," ",(VLOOKUP(B72,'Base de Datos'!$C$7:$N$315,10,0)))</f>
        <v xml:space="preserve"> </v>
      </c>
      <c r="S72" s="529" t="str">
        <f>IF(ISERROR(VLOOKUP(B72,'Base de Datos'!$C$7:$N$315,11,0))=TRUE," ",(VLOOKUP(B72,'Base de Datos'!$C$7:$N$315,11,0)))</f>
        <v xml:space="preserve"> </v>
      </c>
      <c r="T72" s="506"/>
      <c r="U72" s="694"/>
      <c r="V72" s="607"/>
    </row>
    <row r="73" spans="2:22" ht="12" outlineLevel="1" x14ac:dyDescent="0.3">
      <c r="B73" s="1248"/>
      <c r="C73" s="1248"/>
      <c r="D73" s="1248"/>
      <c r="E73" s="509"/>
      <c r="F73" s="507"/>
      <c r="G73" s="507"/>
      <c r="H73" s="507"/>
      <c r="I73" s="507"/>
      <c r="J73" s="509"/>
      <c r="K73" s="573"/>
      <c r="L73" s="509"/>
      <c r="M73" s="509"/>
      <c r="N73" s="509"/>
      <c r="O73" s="651"/>
      <c r="P73" s="524"/>
      <c r="Q73" s="506"/>
      <c r="R73" s="524"/>
      <c r="S73" s="524"/>
      <c r="T73" s="506"/>
      <c r="U73" s="694"/>
      <c r="V73" s="607"/>
    </row>
    <row r="74" spans="2:22" ht="12" outlineLevel="1" x14ac:dyDescent="0.3">
      <c r="B74" s="1248"/>
      <c r="C74" s="1248"/>
      <c r="D74" s="1248"/>
      <c r="E74" s="509"/>
      <c r="F74" s="507"/>
      <c r="G74" s="507"/>
      <c r="H74" s="507"/>
      <c r="I74" s="507"/>
      <c r="J74" s="509"/>
      <c r="K74" s="573"/>
      <c r="L74" s="509"/>
      <c r="M74" s="509"/>
      <c r="N74" s="509"/>
      <c r="O74" s="651"/>
      <c r="P74" s="524"/>
      <c r="Q74" s="506"/>
      <c r="R74" s="524"/>
      <c r="S74" s="524"/>
      <c r="T74" s="506"/>
      <c r="U74" s="694"/>
      <c r="V74" s="607"/>
    </row>
    <row r="75" spans="2:22" ht="15" customHeight="1" x14ac:dyDescent="0.3">
      <c r="B75" s="1253" t="s">
        <v>1648</v>
      </c>
      <c r="C75" s="1253"/>
      <c r="D75" s="1253"/>
      <c r="E75" s="560">
        <v>452000000</v>
      </c>
      <c r="F75" s="561">
        <f>COUNTIF('Actualizada - presupuesto'!$E$7:$E$111,B75)</f>
        <v>3</v>
      </c>
      <c r="G75" s="561"/>
      <c r="H75" s="561"/>
      <c r="I75" s="561"/>
      <c r="J75" s="560">
        <f>SUM(J77:J80)</f>
        <v>472000000</v>
      </c>
      <c r="K75" s="580">
        <f>J75/E75</f>
        <v>1.0442477876106195</v>
      </c>
      <c r="L75" s="560">
        <f>SUM(L77:L80)</f>
        <v>0</v>
      </c>
      <c r="M75" s="605">
        <v>0</v>
      </c>
      <c r="N75" s="560">
        <f>+E75-J75-L75</f>
        <v>-20000000</v>
      </c>
      <c r="O75" s="655"/>
      <c r="P75" s="562" t="str">
        <f>IF(ISERROR(VLOOKUP(B75,'Base de Datos'!$C$7:$N$315,8,0))=TRUE," ",(VLOOKUP(B75,'Base de Datos'!$C$7:$N$315,8,0)))</f>
        <v xml:space="preserve"> </v>
      </c>
      <c r="Q75" s="563"/>
      <c r="R75" s="562" t="str">
        <f>IF(ISERROR(VLOOKUP(B75,'Base de Datos'!$C$7:$N$315,9,0))=TRUE," ",(VLOOKUP(B75,'Base de Datos'!$C$7:$N$315,9,0)))</f>
        <v xml:space="preserve"> </v>
      </c>
      <c r="S75" s="562" t="str">
        <f>IF(ISERROR(VLOOKUP(B75,'Base de Datos'!$C$7:$N$315,10,0))=TRUE," ",(VLOOKUP(B75,'Base de Datos'!$C$7:$N$315,10,0)))</f>
        <v xml:space="preserve"> </v>
      </c>
      <c r="T75" s="565"/>
      <c r="U75" s="694"/>
      <c r="V75" s="607"/>
    </row>
    <row r="76" spans="2:22" ht="22.8" outlineLevel="1" x14ac:dyDescent="0.3">
      <c r="B76" s="510" t="s">
        <v>1692</v>
      </c>
      <c r="C76" s="510" t="s">
        <v>912</v>
      </c>
      <c r="D76" s="510" t="s">
        <v>1821</v>
      </c>
      <c r="E76" s="518" t="s">
        <v>1845</v>
      </c>
      <c r="F76" s="507" t="s">
        <v>1852</v>
      </c>
      <c r="G76" s="507"/>
      <c r="H76" s="507"/>
      <c r="I76" s="507"/>
      <c r="J76" s="510" t="s">
        <v>1844</v>
      </c>
      <c r="K76" s="625"/>
      <c r="L76" s="510" t="s">
        <v>1938</v>
      </c>
      <c r="M76" s="510"/>
      <c r="N76" s="510" t="s">
        <v>1939</v>
      </c>
      <c r="O76" s="650"/>
      <c r="P76" s="541" t="s">
        <v>1846</v>
      </c>
      <c r="Q76" s="510" t="s">
        <v>1847</v>
      </c>
      <c r="R76" s="510" t="s">
        <v>1848</v>
      </c>
      <c r="S76" s="510" t="s">
        <v>375</v>
      </c>
      <c r="T76" s="525" t="s">
        <v>1849</v>
      </c>
      <c r="U76" s="694"/>
      <c r="V76" s="607"/>
    </row>
    <row r="77" spans="2:22" outlineLevel="1" x14ac:dyDescent="0.3">
      <c r="B77" s="510">
        <v>184</v>
      </c>
      <c r="C77" s="506" t="str">
        <f>IF(ISERROR(VLOOKUP(B77,'Base de Datos'!$C$487:$F$4092,2,0))=TRUE,"",(VLOOKUP('Presupuesto - PAA 2018'!B77,'Base de Datos'!$C$7:$F$4092,3,0)))</f>
        <v>150386-0-2015</v>
      </c>
      <c r="D77" s="506" t="str">
        <f>IF(ISERROR(VLOOKUP(B77,'Base de Datos'!$C$487:$F$4092,3,0))=TRUE,"",(VLOOKUP('Presupuesto - PAA 2018'!B77,'Base de Datos'!$C$487:$F$4092,4,0)))</f>
        <v>ESTACION DE SERVIICIO CARRERA 50 S.A.S</v>
      </c>
      <c r="E77" s="509">
        <f>VLOOKUP(B77,[7]PAA2017!$C$65:$AA$255,20,0)</f>
        <v>59000000</v>
      </c>
      <c r="F77" s="507" t="str">
        <f>VLOOKUP(B77,[8]SOLICITUDES!$B$3:$H$278,2,0)</f>
        <v>SI</v>
      </c>
      <c r="G77" s="507"/>
      <c r="H77" s="507"/>
      <c r="I77" s="507"/>
      <c r="J77" s="509">
        <f>IF(ISERROR(VLOOKUP(B77,'Base de Datos'!$C$487:$N$4092,6,0))=TRUE,"Sin Celebrar",(VLOOKUP(B77,'Base de Datos'!$C$487:$N$4092,7,0)))</f>
        <v>39000000</v>
      </c>
      <c r="K77" s="573"/>
      <c r="L77" s="553" t="str">
        <f>IF(J77=$AA$1,E77, " ")</f>
        <v xml:space="preserve"> </v>
      </c>
      <c r="M77" s="509"/>
      <c r="N77" s="509">
        <f>IF(J77&lt;E77,(E77-J77)," ")</f>
        <v>20000000</v>
      </c>
      <c r="O77" s="691" t="str">
        <f>IF(ISERROR(VLOOKUP(B77,'Base de Datos'!$C$487:$K$1048576,7,0))=TRUE," ",(VLOOKUP(B77,'Base de Datos'!$C$487:$K$1048576,8,0)))</f>
        <v>SDH-SMINC-08-2017</v>
      </c>
      <c r="P77" s="524">
        <f>IF(ISERROR(VLOOKUP(B77,'Base de Datos'!$C$487:$N$4077,9,0))=TRUE," ",(VLOOKUP(B77,'Base de Datos'!$C$487:$N$4077,10,0)))</f>
        <v>42823</v>
      </c>
      <c r="Q77" s="709"/>
      <c r="R77" s="524">
        <f>IF(ISERROR(VLOOKUP(B77,'Base de Datos'!$C$487:$N$4077,10,0))=TRUE," ",(VLOOKUP(B77,'Base de Datos'!$C$487:$N$4077,11,0)))</f>
        <v>42846</v>
      </c>
      <c r="S77" s="524">
        <f>IF(ISERROR(VLOOKUP(B77,'Base de Datos'!$C$487:$N$4077,11,0))=TRUE," ",(VLOOKUP(B77,'Base de Datos'!$C$487:$N$4077,12,0)))</f>
        <v>43186</v>
      </c>
      <c r="T77" s="506" t="str">
        <f>VLOOKUP(B77,'Base de Datos'!$C$487:$AU$4129,41,0)</f>
        <v>LIQUIDADO</v>
      </c>
      <c r="U77" s="694"/>
      <c r="V77" s="607"/>
    </row>
    <row r="78" spans="2:22" ht="22.8" outlineLevel="1" x14ac:dyDescent="0.3">
      <c r="B78" s="510">
        <v>183</v>
      </c>
      <c r="C78" s="506" t="str">
        <f>IF(ISERROR(VLOOKUP(B78,'Base de Datos'!$C$487:$F$4092,2,0))=TRUE,"",(VLOOKUP('Presupuesto - PAA 2018'!B78,'Base de Datos'!$C$7:$F$4092,3,0)))</f>
        <v>170004-0-2017</v>
      </c>
      <c r="D78" s="506" t="str">
        <f>IF(ISERROR(VLOOKUP(B78,'Base de Datos'!$C$487:$F$4092,3,0))=TRUE,"",(VLOOKUP('Presupuesto - PAA 2018'!B78,'Base de Datos'!$C$487:$F$4092,4,0)))</f>
        <v>UT AUTOGAS GRUPO EDS</v>
      </c>
      <c r="E78" s="509">
        <f>VLOOKUP(B78,[7]PAA2017!$C$65:$AA$255,20,0)</f>
        <v>493000000</v>
      </c>
      <c r="F78" s="507" t="str">
        <f>VLOOKUP(B78,[8]SOLICITUDES!$B$3:$H$278,2,0)</f>
        <v>SI</v>
      </c>
      <c r="G78" s="507"/>
      <c r="H78" s="507"/>
      <c r="I78" s="507"/>
      <c r="J78" s="509">
        <f>IF(ISERROR(VLOOKUP(B78,'Base de Datos'!$C$487:$N$4092,6,0))=TRUE,"Sin Celebrar",(VLOOKUP(B78,'Base de Datos'!$C$487:$N$4092,7,0)))</f>
        <v>433000000</v>
      </c>
      <c r="K78" s="573"/>
      <c r="L78" s="553" t="str">
        <f>IF(J78=$AA$1,E78, " ")</f>
        <v xml:space="preserve"> </v>
      </c>
      <c r="M78" s="509"/>
      <c r="N78" s="509">
        <f>IF(J78&lt;E78,(E78-J78)," ")</f>
        <v>60000000</v>
      </c>
      <c r="O78" s="691" t="str">
        <f>IF(ISERROR(VLOOKUP(B78,'Base de Datos'!$C$487:$K$1048576,7,0))=TRUE," ",(VLOOKUP(B78,'Base de Datos'!$C$487:$K$1048576,8,0)))</f>
        <v>Orden de compra 13628</v>
      </c>
      <c r="P78" s="524">
        <f>IF(ISERROR(VLOOKUP(B78,'Base de Datos'!$C$487:$N$4077,9,0))=TRUE," ",(VLOOKUP(B78,'Base de Datos'!$C$487:$N$4077,10,0)))</f>
        <v>42754</v>
      </c>
      <c r="Q78" s="709" t="s">
        <v>1853</v>
      </c>
      <c r="R78" s="524">
        <f>IF(ISERROR(VLOOKUP(B78,'Base de Datos'!$C$487:$N$4077,10,0))=TRUE," ",(VLOOKUP(B78,'Base de Datos'!$C$487:$N$4077,11,0)))</f>
        <v>42767</v>
      </c>
      <c r="S78" s="524">
        <f>IF(ISERROR(VLOOKUP(B78,'Base de Datos'!$C$487:$N$4077,11,0))=TRUE," ",(VLOOKUP(B78,'Base de Datos'!$C$487:$N$4077,12,0)))</f>
        <v>43100</v>
      </c>
      <c r="T78" s="506" t="str">
        <f>VLOOKUP(B78,'Base de Datos'!$C$487:$AU$4129,41,0)</f>
        <v>LIQUIDADO</v>
      </c>
      <c r="U78" s="694"/>
      <c r="V78" s="607"/>
    </row>
    <row r="79" spans="2:22" outlineLevel="1" x14ac:dyDescent="0.3">
      <c r="B79" s="525"/>
      <c r="C79" s="506" t="str">
        <f>IF(ISERROR(VLOOKUP(B79,'Base de Datos'!$C$7:$F$4092,2,0))=TRUE,"",(VLOOKUP('Presupuesto - PAA 2018'!B79,'Base de Datos'!$C$7:$F$4092,3,0)))</f>
        <v/>
      </c>
      <c r="D79" s="506" t="str">
        <f>IF(ISERROR(VLOOKUP(B79,'Base de Datos'!$C$7:$F$4092,3,0))=TRUE,"",(VLOOKUP('Presupuesto - PAA 2018'!B79,'Base de Datos'!$C$7:$F$4092,4,0)))</f>
        <v/>
      </c>
      <c r="E79" s="527"/>
      <c r="F79" s="507" t="e">
        <f>VLOOKUP(B79,'Actualizada - presupuesto'!$D$7:$L$111,9,0)</f>
        <v>#N/A</v>
      </c>
      <c r="G79" s="528"/>
      <c r="H79" s="528"/>
      <c r="I79" s="528"/>
      <c r="J79" s="509" t="str">
        <f>IF(ISERROR(VLOOKUP(B79,'Base de Datos'!$C$7:$N$4092,6,0))=TRUE,"Sin Celebrar",(VLOOKUP(B79,'Base de Datos'!$C$7:$N$4092,7,0)))</f>
        <v>Sin Celebrar</v>
      </c>
      <c r="K79" s="577"/>
      <c r="L79" s="553">
        <f>IF(J79=$AA$1,E79, " ")</f>
        <v>0</v>
      </c>
      <c r="M79" s="527"/>
      <c r="N79" s="527" t="str">
        <f>IF(J79&lt;E79,(E79-J79)," ")</f>
        <v xml:space="preserve"> </v>
      </c>
      <c r="O79" s="691" t="str">
        <f>IF(ISERROR(VLOOKUP(B79,'Base de Datos'!$C$7:$K$1048576,7,0))=TRUE," ",(VLOOKUP(B79,'Base de Datos'!$C$7:$K$1048576,8,0)))</f>
        <v xml:space="preserve"> </v>
      </c>
      <c r="P79" s="524" t="str">
        <f>IF(ISERROR(VLOOKUP(B79,'Base de Datos'!$C$7:$N$4077,9,0))=TRUE," ",(VLOOKUP(B79,'Base de Datos'!$C$7:$N$4077,10,0)))</f>
        <v xml:space="preserve"> </v>
      </c>
      <c r="Q79" s="526"/>
      <c r="R79" s="524" t="str">
        <f>IF(ISERROR(VLOOKUP(B79,'Base de Datos'!$C$7:$N$4077,10,0))=TRUE," ",(VLOOKUP(B79,'Base de Datos'!$C$7:$N$4077,11,0)))</f>
        <v xml:space="preserve"> </v>
      </c>
      <c r="S79" s="524" t="str">
        <f>IF(ISERROR(VLOOKUP(B79,'Base de Datos'!$C$7:$N$4077,11,0))=TRUE," ",(VLOOKUP(B79,'Base de Datos'!$C$7:$N$4077,12,0)))</f>
        <v xml:space="preserve"> </v>
      </c>
      <c r="T79" s="506" t="e">
        <f>VLOOKUP(C79,'Base de Datos'!$E$7:$AU$382,39,0)</f>
        <v>#N/A</v>
      </c>
      <c r="U79" s="694"/>
      <c r="V79" s="607"/>
    </row>
    <row r="80" spans="2:22" ht="12" outlineLevel="1" x14ac:dyDescent="0.3">
      <c r="B80" s="621"/>
      <c r="C80" s="621"/>
      <c r="D80" s="506" t="s">
        <v>1937</v>
      </c>
      <c r="E80" s="509">
        <f>E75-(SUM(E77:E79))</f>
        <v>-100000000</v>
      </c>
      <c r="F80" s="620"/>
      <c r="G80" s="507"/>
      <c r="H80" s="507"/>
      <c r="I80" s="507"/>
      <c r="J80" s="527"/>
      <c r="K80" s="573"/>
      <c r="L80" s="527"/>
      <c r="M80" s="509"/>
      <c r="N80" s="527" t="str">
        <f>IF(J80&lt;E80,(E80-J80)," ")</f>
        <v xml:space="preserve"> </v>
      </c>
      <c r="O80" s="652"/>
      <c r="P80" s="524" t="str">
        <f>IF(ISERROR(VLOOKUP(B80,'Base de Datos'!$C$7:$N$315,9,0))=TRUE," ",(VLOOKUP(B80,'Base de Datos'!$C$7:$N$315,9,0)))</f>
        <v xml:space="preserve"> </v>
      </c>
      <c r="Q80" s="506"/>
      <c r="R80" s="529" t="str">
        <f>IF(ISERROR(VLOOKUP(B80,'Base de Datos'!$C$7:$N$315,10,0))=TRUE," ",(VLOOKUP(B80,'Base de Datos'!$C$7:$N$315,10,0)))</f>
        <v xml:space="preserve"> </v>
      </c>
      <c r="S80" s="529" t="str">
        <f>IF(ISERROR(VLOOKUP(B80,'Base de Datos'!$C$7:$N$315,11,0))=TRUE," ",(VLOOKUP(B80,'Base de Datos'!$C$7:$N$315,11,0)))</f>
        <v xml:space="preserve"> </v>
      </c>
      <c r="T80" s="693"/>
      <c r="U80" s="694"/>
      <c r="V80" s="607"/>
    </row>
    <row r="81" spans="2:22" ht="12" outlineLevel="1" x14ac:dyDescent="0.3">
      <c r="B81" s="621"/>
      <c r="C81" s="621"/>
      <c r="D81" s="621"/>
      <c r="E81" s="509"/>
      <c r="F81" s="620"/>
      <c r="G81" s="620"/>
      <c r="H81" s="620"/>
      <c r="I81" s="620"/>
      <c r="J81" s="509"/>
      <c r="K81" s="573"/>
      <c r="L81" s="509"/>
      <c r="M81" s="509"/>
      <c r="N81" s="509"/>
      <c r="O81" s="651"/>
      <c r="P81" s="524"/>
      <c r="Q81" s="506"/>
      <c r="R81" s="524"/>
      <c r="S81" s="524"/>
      <c r="T81" s="506"/>
      <c r="U81" s="694"/>
      <c r="V81" s="607"/>
    </row>
    <row r="82" spans="2:22" ht="15" customHeight="1" x14ac:dyDescent="0.3">
      <c r="B82" s="1253" t="s">
        <v>1649</v>
      </c>
      <c r="C82" s="1253"/>
      <c r="D82" s="1253"/>
      <c r="E82" s="560">
        <v>223000000</v>
      </c>
      <c r="F82" s="561">
        <f>COUNTIF('Actualizada - presupuesto'!$E$7:$E$111,B82)</f>
        <v>4</v>
      </c>
      <c r="G82" s="561"/>
      <c r="H82" s="561"/>
      <c r="I82" s="561"/>
      <c r="J82" s="560">
        <f>SUM(J84:J88)</f>
        <v>357365600</v>
      </c>
      <c r="K82" s="580">
        <f>J82/E82</f>
        <v>1.6025363228699552</v>
      </c>
      <c r="L82" s="560" t="e">
        <f>SUM(L84:L88)</f>
        <v>#N/A</v>
      </c>
      <c r="M82" s="605" t="e">
        <f>+E82-(J82+L82)</f>
        <v>#N/A</v>
      </c>
      <c r="N82" s="560" t="e">
        <f>+E82-J82-L82</f>
        <v>#N/A</v>
      </c>
      <c r="O82" s="655"/>
      <c r="P82" s="562" t="str">
        <f>IF(ISERROR(VLOOKUP(B82,'Base de Datos'!$C$7:$N$315,8,0))=TRUE," ",(VLOOKUP(B82,'Base de Datos'!$C$7:$N$315,8,0)))</f>
        <v xml:space="preserve"> </v>
      </c>
      <c r="Q82" s="563"/>
      <c r="R82" s="562" t="str">
        <f>IF(ISERROR(VLOOKUP(B82,'Base de Datos'!$C$7:$N$315,9,0))=TRUE," ",(VLOOKUP(B82,'Base de Datos'!$C$7:$N$315,9,0)))</f>
        <v xml:space="preserve"> </v>
      </c>
      <c r="S82" s="562" t="str">
        <f>IF(ISERROR(VLOOKUP(B82,'Base de Datos'!$C$7:$N$315,10,0))=TRUE," ",(VLOOKUP(B82,'Base de Datos'!$C$7:$N$315,10,0)))</f>
        <v xml:space="preserve"> </v>
      </c>
      <c r="T82" s="565"/>
      <c r="U82" s="694"/>
      <c r="V82" s="607"/>
    </row>
    <row r="83" spans="2:22" ht="22.8" outlineLevel="1" x14ac:dyDescent="0.3">
      <c r="B83" s="510" t="s">
        <v>1692</v>
      </c>
      <c r="C83" s="510" t="s">
        <v>912</v>
      </c>
      <c r="D83" s="510" t="s">
        <v>1821</v>
      </c>
      <c r="E83" s="518" t="s">
        <v>1845</v>
      </c>
      <c r="F83" s="507" t="s">
        <v>1852</v>
      </c>
      <c r="G83" s="507"/>
      <c r="H83" s="507"/>
      <c r="I83" s="507"/>
      <c r="J83" s="510" t="s">
        <v>1844</v>
      </c>
      <c r="K83" s="625"/>
      <c r="L83" s="510" t="s">
        <v>1938</v>
      </c>
      <c r="M83" s="510"/>
      <c r="N83" s="510" t="s">
        <v>1939</v>
      </c>
      <c r="O83" s="650"/>
      <c r="P83" s="541" t="s">
        <v>1846</v>
      </c>
      <c r="Q83" s="510" t="s">
        <v>1847</v>
      </c>
      <c r="R83" s="510" t="s">
        <v>1848</v>
      </c>
      <c r="S83" s="510" t="s">
        <v>375</v>
      </c>
      <c r="T83" s="510" t="s">
        <v>1849</v>
      </c>
      <c r="U83" s="694"/>
      <c r="V83" s="607"/>
    </row>
    <row r="84" spans="2:22" outlineLevel="1" x14ac:dyDescent="0.3">
      <c r="B84" s="510">
        <v>187</v>
      </c>
      <c r="C84" s="506" t="str">
        <f>IF(ISERROR(VLOOKUP(B84,'Base de Datos'!$C$487:$F$4092,2,0))=TRUE,"",(VLOOKUP('Presupuesto - PAA 2018'!B84,'Base de Datos'!$C$7:$F$4092,3,0)))</f>
        <v>150348-0-2015</v>
      </c>
      <c r="D84" s="506" t="str">
        <f>IF(ISERROR(VLOOKUP(B84,'Base de Datos'!$C$487:$F$4092,3,0))=TRUE,"",(VLOOKUP('Presupuesto - PAA 2018'!B84,'Base de Datos'!$C$487:$F$4092,4,0)))</f>
        <v>COMERCIALIZADORA VIMEL LTDA</v>
      </c>
      <c r="E84" s="509">
        <f>VLOOKUP(B84,[7]PAA2017!$C$65:$AA$255,20,0)</f>
        <v>49000000</v>
      </c>
      <c r="F84" s="507" t="str">
        <f>VLOOKUP(B84,[8]SOLICITUDES!$B$3:$H$278,2,0)</f>
        <v>SI</v>
      </c>
      <c r="G84" s="507"/>
      <c r="H84" s="507"/>
      <c r="I84" s="507"/>
      <c r="J84" s="509">
        <f>IF(ISERROR(VLOOKUP(B84,'Base de Datos'!$C$487:$N$4092,6,0))=TRUE,"Sin Celebrar",(VLOOKUP(B84,'Base de Datos'!$C$487:$N$4092,7,0)))</f>
        <v>6711600</v>
      </c>
      <c r="K84" s="573"/>
      <c r="L84" s="553" t="str">
        <f>IF(J84=$AA$1,E84, " ")</f>
        <v xml:space="preserve"> </v>
      </c>
      <c r="M84" s="509"/>
      <c r="N84" s="509">
        <f>IF(J84&lt;E84,(E84-J84)," ")</f>
        <v>42288400</v>
      </c>
      <c r="O84" s="691" t="str">
        <f>IF(ISERROR(VLOOKUP(B84,'Base de Datos'!$C$487:$K$1048576,7,0))=TRUE," ",(VLOOKUP(B84,'Base de Datos'!$C$487:$K$1048576,8,0)))</f>
        <v>SDH-SMINC-31-2017</v>
      </c>
      <c r="P84" s="524">
        <f>IF(ISERROR(VLOOKUP(B84,'Base de Datos'!$C$487:$N$4077,9,0))=TRUE," ",(VLOOKUP(B84,'Base de Datos'!$C$487:$N$4077,10,0)))</f>
        <v>42996</v>
      </c>
      <c r="Q84" s="709"/>
      <c r="R84" s="524">
        <f>IF(ISERROR(VLOOKUP(B84,'Base de Datos'!$C$487:$N$4077,10,0))=TRUE," ",(VLOOKUP(B84,'Base de Datos'!$C$487:$N$4077,11,0)))</f>
        <v>43004</v>
      </c>
      <c r="S84" s="524">
        <f>IF(ISERROR(VLOOKUP(B84,'Base de Datos'!$C$487:$N$4077,11,0))=TRUE," ",(VLOOKUP(B84,'Base de Datos'!$C$487:$N$4077,12,0)))</f>
        <v>43185</v>
      </c>
      <c r="T84" s="506" t="str">
        <f>VLOOKUP(B84,'Base de Datos'!$C$487:$AU$4129,41,0)</f>
        <v>LIQUIDADO</v>
      </c>
      <c r="U84" s="694"/>
      <c r="V84" s="607"/>
    </row>
    <row r="85" spans="2:22" ht="17.25" customHeight="1" outlineLevel="1" x14ac:dyDescent="0.3">
      <c r="B85" s="510">
        <v>188</v>
      </c>
      <c r="C85" s="506" t="str">
        <f>IF(ISERROR(VLOOKUP(B85,'Base de Datos'!$C$487:$F$4092,2,0))=TRUE,"",(VLOOKUP('Presupuesto - PAA 2018'!B85,'Base de Datos'!$C$7:$F$4092,3,0)))</f>
        <v>150300-0-2015</v>
      </c>
      <c r="D85" s="506" t="str">
        <f>IF(ISERROR(VLOOKUP(B85,'Base de Datos'!$C$487:$F$4092,3,0))=TRUE,"",(VLOOKUP('Presupuesto - PAA 2018'!B85,'Base de Datos'!$C$487:$F$4092,4,0)))</f>
        <v>INSTITUCIONAL STAR SERVICES Ltda.</v>
      </c>
      <c r="E85" s="509">
        <f>VLOOKUP(B85,[7]PAA2017!$C$65:$AA$255,20,0)</f>
        <v>128000000</v>
      </c>
      <c r="F85" s="507" t="e">
        <f>VLOOKUP(B85,[8]SOLICITUDES!$B$3:$H$278,2,0)</f>
        <v>#N/A</v>
      </c>
      <c r="G85" s="507"/>
      <c r="H85" s="507"/>
      <c r="I85" s="507"/>
      <c r="J85" s="509">
        <f>IF(ISERROR(VLOOKUP(B85,'Base de Datos'!$C$487:$N$4092,6,0))=TRUE,"Sin Celebrar",(VLOOKUP(B85,'Base de Datos'!$C$487:$N$4092,7,0)))</f>
        <v>79741000</v>
      </c>
      <c r="K85" s="573"/>
      <c r="L85" s="553" t="str">
        <f>IF(J85=$AA$1,E85, " ")</f>
        <v xml:space="preserve"> </v>
      </c>
      <c r="M85" s="509"/>
      <c r="N85" s="509">
        <f>IF(J85&lt;E85,(E85-J85)," ")</f>
        <v>48259000</v>
      </c>
      <c r="O85" s="691" t="str">
        <f>IF(ISERROR(VLOOKUP(B85,'Base de Datos'!$C$487:$K$1048576,7,0))=TRUE," ",(VLOOKUP(B85,'Base de Datos'!$C$487:$K$1048576,8,0)))</f>
        <v>SDH-SIE-09-2017</v>
      </c>
      <c r="P85" s="524" t="str">
        <f>IF(ISERROR(VLOOKUP(B85,'Base de Datos'!$C$487:$N$4077,9,0))=TRUE," ",(VLOOKUP(B85,'Base de Datos'!$C$487:$N$4077,10,0)))</f>
        <v>03/112017</v>
      </c>
      <c r="Q85" s="709"/>
      <c r="R85" s="524">
        <f>IF(ISERROR(VLOOKUP(B85,'Base de Datos'!$C$487:$N$4077,10,0))=TRUE," ",(VLOOKUP(B85,'Base de Datos'!$C$487:$N$4077,11,0)))</f>
        <v>43059</v>
      </c>
      <c r="S85" s="524">
        <f>IF(ISERROR(VLOOKUP(B85,'Base de Datos'!$C$487:$N$4077,11,0))=TRUE," ",(VLOOKUP(B85,'Base de Datos'!$C$487:$N$4077,12,0)))</f>
        <v>43286</v>
      </c>
      <c r="T85" s="506" t="str">
        <f>VLOOKUP(B85,'Base de Datos'!$C$487:$AU$4129,41,0)</f>
        <v>LIQUIDADO</v>
      </c>
      <c r="U85" s="694"/>
      <c r="V85" s="607"/>
    </row>
    <row r="86" spans="2:22" outlineLevel="1" x14ac:dyDescent="0.3">
      <c r="B86" s="510">
        <v>189</v>
      </c>
      <c r="C86" s="506" t="str">
        <f>IF(ISERROR(VLOOKUP(B86,'Base de Datos'!$C$487:$F$4092,2,0))=TRUE,"",(VLOOKUP('Presupuesto - PAA 2018'!B86,'Base de Datos'!$C$7:$F$4092,3,0)))</f>
        <v>150316-0-2015</v>
      </c>
      <c r="D86" s="506" t="str">
        <f>IF(ISERROR(VLOOKUP(B86,'Base de Datos'!$C$487:$F$4092,3,0))=TRUE,"",(VLOOKUP('Presupuesto - PAA 2018'!B86,'Base de Datos'!$C$487:$F$4092,4,0)))</f>
        <v>SERVIASEO S.A.</v>
      </c>
      <c r="E86" s="509">
        <f>VLOOKUP(B86,[7]PAA2017!$C$65:$AA$255,20,0)</f>
        <v>1708200000</v>
      </c>
      <c r="F86" s="507" t="str">
        <f>VLOOKUP(B86,[8]SOLICITUDES!$B$3:$H$278,2,0)</f>
        <v>SI</v>
      </c>
      <c r="G86" s="507"/>
      <c r="H86" s="507"/>
      <c r="I86" s="507"/>
      <c r="J86" s="509">
        <f>IF(ISERROR(VLOOKUP(B86,'Base de Datos'!$C$487:$N$4092,6,0))=TRUE,"Sin Celebrar",(VLOOKUP(B86,'Base de Datos'!$C$487:$N$4092,7,0)))</f>
        <v>270913000</v>
      </c>
      <c r="K86" s="573"/>
      <c r="L86" s="553" t="str">
        <f>IF(J86=$AA$1,E86, " ")</f>
        <v xml:space="preserve"> </v>
      </c>
      <c r="M86" s="509"/>
      <c r="N86" s="509">
        <f>IF(J86&lt;E86,(E86-J86)," ")</f>
        <v>1437287000</v>
      </c>
      <c r="O86" s="691" t="str">
        <f>IF(ISERROR(VLOOKUP(B86,'Base de Datos'!$C$487:$K$1048576,7,0))=TRUE," ",(VLOOKUP(B86,'Base de Datos'!$C$487:$K$1048576,8,0)))</f>
        <v xml:space="preserve"> SDH-LP-01-2017</v>
      </c>
      <c r="P86" s="524">
        <f>IF(ISERROR(VLOOKUP(B86,'Base de Datos'!$C$487:$N$4077,9,0))=TRUE," ",(VLOOKUP(B86,'Base de Datos'!$C$487:$N$4077,10,0)))</f>
        <v>42825</v>
      </c>
      <c r="Q86" s="709"/>
      <c r="R86" s="524">
        <f>IF(ISERROR(VLOOKUP(B86,'Base de Datos'!$C$487:$N$4077,10,0))=TRUE," ",(VLOOKUP(B86,'Base de Datos'!$C$487:$N$4077,11,0)))</f>
        <v>42829</v>
      </c>
      <c r="S86" s="524">
        <f>IF(ISERROR(VLOOKUP(B86,'Base de Datos'!$C$487:$N$4077,11,0))=TRUE," ",(VLOOKUP(B86,'Base de Datos'!$C$487:$N$4077,12,0)))</f>
        <v>43073</v>
      </c>
      <c r="T86" s="506" t="str">
        <f>VLOOKUP(B86,'Base de Datos'!$C$487:$AU$4129,41,0)</f>
        <v>LIQUIDADO</v>
      </c>
      <c r="U86" s="694"/>
      <c r="V86" s="607"/>
    </row>
    <row r="87" spans="2:22" ht="16.5" customHeight="1" outlineLevel="1" x14ac:dyDescent="0.3">
      <c r="B87" s="525"/>
      <c r="C87" s="506" t="str">
        <f>IF(ISERROR(VLOOKUP(B87,'Base de Datos'!$C$487:$F$4092,2,0))=TRUE,"",(VLOOKUP('Presupuesto - PAA 2018'!B87,'Base de Datos'!$C$7:$F$4092,3,0)))</f>
        <v/>
      </c>
      <c r="D87" s="506" t="str">
        <f>IF(ISERROR(VLOOKUP(B87,'Base de Datos'!$C$487:$F$4092,3,0))=TRUE,"",(VLOOKUP('Presupuesto - PAA 2018'!B87,'Base de Datos'!$C$487:$F$4092,4,0)))</f>
        <v/>
      </c>
      <c r="E87" s="509" t="e">
        <f>VLOOKUP(B87,[7]PAA2017!$C$65:$AA$255,20,0)</f>
        <v>#N/A</v>
      </c>
      <c r="F87" s="507" t="e">
        <f>VLOOKUP(B87,[8]SOLICITUDES!$B$3:$H$278,2,0)</f>
        <v>#N/A</v>
      </c>
      <c r="G87" s="507"/>
      <c r="H87" s="507"/>
      <c r="I87" s="507"/>
      <c r="J87" s="509" t="str">
        <f>IF(ISERROR(VLOOKUP(B87,'Base de Datos'!$C$487:$N$4092,6,0))=TRUE,"Sin Celebrar",(VLOOKUP(B87,'Base de Datos'!$C$487:$N$4092,7,0)))</f>
        <v>Sin Celebrar</v>
      </c>
      <c r="K87" s="573"/>
      <c r="L87" s="553" t="e">
        <f>IF(J87=$AA$1,E87, " ")</f>
        <v>#N/A</v>
      </c>
      <c r="M87" s="509"/>
      <c r="N87" s="509" t="e">
        <f>IF(J87&lt;E87,(E87-J87)," ")</f>
        <v>#N/A</v>
      </c>
      <c r="O87" s="691" t="str">
        <f>IF(ISERROR(VLOOKUP(B87,'Base de Datos'!$C$487:$K$1048576,7,0))=TRUE," ",(VLOOKUP(B87,'Base de Datos'!$C$487:$K$1048576,8,0)))</f>
        <v xml:space="preserve"> </v>
      </c>
      <c r="P87" s="524" t="str">
        <f>IF(ISERROR(VLOOKUP(B87,'Base de Datos'!$C$487:$N$4077,9,0))=TRUE," ",(VLOOKUP(B87,'Base de Datos'!$C$487:$N$4077,10,0)))</f>
        <v xml:space="preserve"> </v>
      </c>
      <c r="Q87" s="709"/>
      <c r="R87" s="524" t="str">
        <f>IF(ISERROR(VLOOKUP(B87,'Base de Datos'!$C$487:$N$4077,10,0))=TRUE," ",(VLOOKUP(B87,'Base de Datos'!$C$487:$N$4077,11,0)))</f>
        <v xml:space="preserve"> </v>
      </c>
      <c r="S87" s="524" t="str">
        <f>IF(ISERROR(VLOOKUP(B87,'Base de Datos'!$C$487:$N$4077,11,0))=TRUE," ",(VLOOKUP(B87,'Base de Datos'!$C$487:$N$4077,12,0)))</f>
        <v xml:space="preserve"> </v>
      </c>
      <c r="T87" s="506" t="e">
        <f>VLOOKUP(B87,'Base de Datos'!$C$487:$AU$4129,41,0)</f>
        <v>#N/A</v>
      </c>
      <c r="U87" s="694"/>
      <c r="V87" s="607"/>
    </row>
    <row r="88" spans="2:22" ht="12" outlineLevel="1" x14ac:dyDescent="0.3">
      <c r="B88" s="621"/>
      <c r="C88" s="621"/>
      <c r="D88" s="506" t="s">
        <v>1934</v>
      </c>
      <c r="E88" s="509" t="e">
        <f>E82-SUM(E84:E87)</f>
        <v>#N/A</v>
      </c>
      <c r="F88" s="507"/>
      <c r="G88" s="507"/>
      <c r="H88" s="507"/>
      <c r="I88" s="507"/>
      <c r="J88" s="509"/>
      <c r="K88" s="573"/>
      <c r="L88" s="527"/>
      <c r="M88" s="509"/>
      <c r="N88" s="527" t="e">
        <f>IF(J88&lt;E88,(E88-J88)," ")</f>
        <v>#N/A</v>
      </c>
      <c r="O88" s="652"/>
      <c r="P88" s="524" t="str">
        <f>IF(ISERROR(VLOOKUP(B88,'Base de Datos'!$C$7:$N$315,9,0))=TRUE," ",(VLOOKUP(B88,'Base de Datos'!$C$7:$N$315,9,0)))</f>
        <v xml:space="preserve"> </v>
      </c>
      <c r="Q88" s="506"/>
      <c r="R88" s="529" t="str">
        <f>IF(ISERROR(VLOOKUP(B88,'Base de Datos'!$C$7:$N$315,10,0))=TRUE," ",(VLOOKUP(B88,'Base de Datos'!$C$7:$N$315,10,0)))</f>
        <v xml:space="preserve"> </v>
      </c>
      <c r="S88" s="529" t="str">
        <f>IF(ISERROR(VLOOKUP(B88,'Base de Datos'!$C$7:$N$315,11,0))=TRUE," ",(VLOOKUP(B88,'Base de Datos'!$C$7:$N$315,11,0)))</f>
        <v xml:space="preserve"> </v>
      </c>
      <c r="T88" s="506"/>
      <c r="U88" s="694"/>
      <c r="V88" s="607"/>
    </row>
    <row r="89" spans="2:22" ht="12" outlineLevel="1" x14ac:dyDescent="0.3">
      <c r="B89" s="621"/>
      <c r="C89" s="621"/>
      <c r="D89" s="621"/>
      <c r="E89" s="509"/>
      <c r="F89" s="507"/>
      <c r="G89" s="507"/>
      <c r="H89" s="507"/>
      <c r="I89" s="507"/>
      <c r="J89" s="509"/>
      <c r="K89" s="573"/>
      <c r="L89" s="509"/>
      <c r="M89" s="509"/>
      <c r="N89" s="509"/>
      <c r="O89" s="651"/>
      <c r="P89" s="524"/>
      <c r="Q89" s="506"/>
      <c r="R89" s="524"/>
      <c r="S89" s="524"/>
      <c r="T89" s="506"/>
      <c r="U89" s="694"/>
      <c r="V89" s="607"/>
    </row>
    <row r="90" spans="2:22" ht="15" customHeight="1" x14ac:dyDescent="0.3">
      <c r="B90" s="1254" t="s">
        <v>1650</v>
      </c>
      <c r="C90" s="1254"/>
      <c r="D90" s="1254"/>
      <c r="E90" s="530">
        <v>7026221000</v>
      </c>
      <c r="F90" s="531">
        <f>COUNTIF('Actualizada - presupuesto'!$E$7:$E$111,B90)</f>
        <v>0</v>
      </c>
      <c r="G90" s="531"/>
      <c r="H90" s="531"/>
      <c r="I90" s="531"/>
      <c r="J90" s="540">
        <f>+J91+J100+J116+J139+J158+J175+J180+J188+J196+J204+J209</f>
        <v>5796244783</v>
      </c>
      <c r="K90" s="583">
        <f>J90/E90</f>
        <v>0.82494484346564101</v>
      </c>
      <c r="L90" s="540" t="e">
        <f>+L91+L100+L116+L139+L158+L175+L180+L188+L196+L204+L209</f>
        <v>#N/A</v>
      </c>
      <c r="M90" s="626">
        <v>0</v>
      </c>
      <c r="N90" s="540" t="e">
        <f>+N91+N100+N116+N139+N158+N175+N180+N188+N196+N204+N209</f>
        <v>#N/A</v>
      </c>
      <c r="O90" s="658"/>
      <c r="P90" s="540"/>
      <c r="Q90" s="547"/>
      <c r="R90" s="546" t="str">
        <f>IF(ISERROR(VLOOKUP(B90,'Base de Datos'!$C$7:$N$315,9,0))=TRUE," ",(VLOOKUP(B90,'Base de Datos'!$C$7:$N$315,9,0)))</f>
        <v xml:space="preserve"> </v>
      </c>
      <c r="S90" s="546" t="str">
        <f>IF(ISERROR(VLOOKUP(B90,'Base de Datos'!$C$7:$N$315,10,0))=TRUE," ",(VLOOKUP(B90,'Base de Datos'!$C$7:$N$315,10,0)))</f>
        <v xml:space="preserve"> </v>
      </c>
      <c r="T90" s="542"/>
      <c r="U90" s="694"/>
      <c r="V90" s="607"/>
    </row>
    <row r="91" spans="2:22" ht="15" customHeight="1" x14ac:dyDescent="0.3">
      <c r="B91" s="1239" t="s">
        <v>1651</v>
      </c>
      <c r="C91" s="1239"/>
      <c r="D91" s="1239"/>
      <c r="E91" s="554">
        <v>229000000</v>
      </c>
      <c r="F91" s="559">
        <f>COUNTIF('Actualizada - presupuesto'!$E$7:$E$111,B91)</f>
        <v>5</v>
      </c>
      <c r="G91" s="559"/>
      <c r="H91" s="559"/>
      <c r="I91" s="559"/>
      <c r="J91" s="554">
        <f>SUM(J93:J98)</f>
        <v>239202165</v>
      </c>
      <c r="K91" s="576">
        <f>J91/E91</f>
        <v>1.0445509388646288</v>
      </c>
      <c r="L91" s="554">
        <f>SUM(L93:L98)</f>
        <v>40420000</v>
      </c>
      <c r="M91" s="605">
        <v>0</v>
      </c>
      <c r="N91" s="554">
        <f>+E91-J91-L91</f>
        <v>-50622165</v>
      </c>
      <c r="O91" s="657"/>
      <c r="P91" s="564" t="str">
        <f>IF(ISERROR(VLOOKUP(B91,'Base de Datos'!$C$7:$N$315,8,0))=TRUE," ",(VLOOKUP(B91,'Base de Datos'!$C$7:$N$315,8,0)))</f>
        <v xml:space="preserve"> </v>
      </c>
      <c r="Q91" s="565"/>
      <c r="R91" s="564" t="str">
        <f>IF(ISERROR(VLOOKUP(B91,'Base de Datos'!$C$7:$N$315,9,0))=TRUE," ",(VLOOKUP(B91,'Base de Datos'!$C$7:$N$315,9,0)))</f>
        <v xml:space="preserve"> </v>
      </c>
      <c r="S91" s="564" t="str">
        <f>IF(ISERROR(VLOOKUP(B91,'Base de Datos'!$C$7:$N$315,10,0))=TRUE," ",(VLOOKUP(B91,'Base de Datos'!$C$7:$N$315,10,0)))</f>
        <v xml:space="preserve"> </v>
      </c>
      <c r="T91" s="565"/>
      <c r="U91" s="694"/>
      <c r="V91" s="607"/>
    </row>
    <row r="92" spans="2:22" ht="22.8" outlineLevel="1" x14ac:dyDescent="0.3">
      <c r="B92" s="510" t="s">
        <v>1692</v>
      </c>
      <c r="C92" s="510" t="s">
        <v>912</v>
      </c>
      <c r="D92" s="510" t="s">
        <v>1821</v>
      </c>
      <c r="E92" s="518" t="s">
        <v>1845</v>
      </c>
      <c r="F92" s="507" t="s">
        <v>1852</v>
      </c>
      <c r="G92" s="507"/>
      <c r="H92" s="507"/>
      <c r="I92" s="507"/>
      <c r="J92" s="510" t="s">
        <v>1844</v>
      </c>
      <c r="K92" s="625"/>
      <c r="L92" s="510" t="s">
        <v>1938</v>
      </c>
      <c r="M92" s="510"/>
      <c r="N92" s="510" t="s">
        <v>1939</v>
      </c>
      <c r="O92" s="650"/>
      <c r="P92" s="541" t="s">
        <v>1846</v>
      </c>
      <c r="Q92" s="510" t="s">
        <v>1847</v>
      </c>
      <c r="R92" s="510" t="s">
        <v>1848</v>
      </c>
      <c r="S92" s="510" t="s">
        <v>375</v>
      </c>
      <c r="T92" s="510" t="s">
        <v>1849</v>
      </c>
      <c r="U92" s="694"/>
      <c r="V92" s="607"/>
    </row>
    <row r="93" spans="2:22" ht="24" customHeight="1" outlineLevel="1" x14ac:dyDescent="0.3">
      <c r="B93" s="510">
        <v>71</v>
      </c>
      <c r="C93" s="506" t="str">
        <f>IF(ISERROR(VLOOKUP(B93,'Base de Datos'!$C$487:$F$4092,2,0))=TRUE,"",(VLOOKUP('Presupuesto - PAA 2018'!B93,'Base de Datos'!$C$7:$F$4092,3,0)))</f>
        <v/>
      </c>
      <c r="D93" s="506" t="str">
        <f>IF(ISERROR(VLOOKUP(B93,'Base de Datos'!$C$487:$F$4092,3,0))=TRUE,"",(VLOOKUP('Presupuesto - PAA 2018'!B93,'Base de Datos'!$C$487:$F$4092,4,0)))</f>
        <v/>
      </c>
      <c r="E93" s="509">
        <f>VLOOKUP(B93,[7]PAA2017!$C$65:$AA$255,20,0)</f>
        <v>40420000</v>
      </c>
      <c r="F93" s="507" t="e">
        <f>VLOOKUP(B93,[8]SOLICITUDES!$B$3:$H$278,2,0)</f>
        <v>#N/A</v>
      </c>
      <c r="G93" s="507"/>
      <c r="H93" s="507"/>
      <c r="I93" s="507"/>
      <c r="J93" s="509" t="str">
        <f>IF(ISERROR(VLOOKUP(B93,'Base de Datos'!$C$487:$N$4092,6,0))=TRUE,"Sin Celebrar",(VLOOKUP(B93,'Base de Datos'!$C$487:$N$4092,7,0)))</f>
        <v>Sin Celebrar</v>
      </c>
      <c r="K93" s="573"/>
      <c r="L93" s="553">
        <f>IF(J93=$AA$1,E93, " ")</f>
        <v>40420000</v>
      </c>
      <c r="M93" s="509"/>
      <c r="N93" s="509" t="str">
        <f t="shared" ref="N93:N98" si="8">IF(J93&lt;E93,(E93-J93)," ")</f>
        <v xml:space="preserve"> </v>
      </c>
      <c r="O93" s="691" t="str">
        <f>IF(ISERROR(VLOOKUP(B93,'Base de Datos'!$C$487:$K$1048576,7,0))=TRUE," ",(VLOOKUP(B93,'Base de Datos'!$C$487:$K$1048576,8,0)))</f>
        <v xml:space="preserve"> </v>
      </c>
      <c r="P93" s="524" t="str">
        <f>IF(ISERROR(VLOOKUP(B93,'Base de Datos'!$C$487:$N$4077,9,0))=TRUE," ",(VLOOKUP(B93,'Base de Datos'!$C$487:$N$4077,10,0)))</f>
        <v xml:space="preserve"> </v>
      </c>
      <c r="Q93" s="709"/>
      <c r="R93" s="524" t="str">
        <f>IF(ISERROR(VLOOKUP(B93,'Base de Datos'!$C$487:$N$4077,10,0))=TRUE," ",(VLOOKUP(B93,'Base de Datos'!$C$487:$N$4077,11,0)))</f>
        <v xml:space="preserve"> </v>
      </c>
      <c r="S93" s="524" t="str">
        <f>IF(ISERROR(VLOOKUP(B93,'Base de Datos'!$C$487:$N$4077,11,0))=TRUE," ",(VLOOKUP(B93,'Base de Datos'!$C$487:$N$4077,12,0)))</f>
        <v xml:space="preserve"> </v>
      </c>
      <c r="T93" s="506" t="e">
        <f>VLOOKUP(B93,'Base de Datos'!$C$487:$AU$4129,41,0)</f>
        <v>#N/A</v>
      </c>
      <c r="U93" s="694"/>
      <c r="V93" s="607"/>
    </row>
    <row r="94" spans="2:22" ht="22.8" outlineLevel="1" x14ac:dyDescent="0.3">
      <c r="B94" s="510">
        <v>84</v>
      </c>
      <c r="C94" s="506" t="str">
        <f>IF(ISERROR(VLOOKUP(B94,'Base de Datos'!$C$487:$F$4092,2,0))=TRUE,"",(VLOOKUP('Presupuesto - PAA 2018'!B94,'Base de Datos'!$C$7:$F$4092,3,0)))</f>
        <v>160152-0-2016</v>
      </c>
      <c r="D94" s="506" t="str">
        <f>IF(ISERROR(VLOOKUP(B94,'Base de Datos'!$C$487:$F$4092,3,0))=TRUE,"",(VLOOKUP('Presupuesto - PAA 2018'!B94,'Base de Datos'!$C$487:$F$4092,4,0)))</f>
        <v>EMPRESA DE TELECOMUNICACIONES DE BOGOTA S.A.   ESP</v>
      </c>
      <c r="E94" s="509">
        <f>VLOOKUP(B94,[7]PAA2017!$C$65:$AA$255,20,0)</f>
        <v>900419000</v>
      </c>
      <c r="F94" s="507" t="e">
        <f>VLOOKUP(B94,[8]SOLICITUDES!$B$3:$H$278,2,0)</f>
        <v>#N/A</v>
      </c>
      <c r="G94" s="507"/>
      <c r="H94" s="507"/>
      <c r="I94" s="507"/>
      <c r="J94" s="509">
        <f>IF(ISERROR(VLOOKUP(B94,'Base de Datos'!$C$487:$N$4092,6,0))=TRUE,"Sin Celebrar",(VLOOKUP(B94,'Base de Datos'!$C$487:$N$4092,7,0)))</f>
        <v>195049000</v>
      </c>
      <c r="K94" s="573"/>
      <c r="L94" s="553" t="str">
        <f>IF(J94=$AA$1,E94, " ")</f>
        <v xml:space="preserve"> </v>
      </c>
      <c r="M94" s="509"/>
      <c r="N94" s="509">
        <f t="shared" si="8"/>
        <v>705370000</v>
      </c>
      <c r="O94" s="691" t="str">
        <f>IF(ISERROR(VLOOKUP(B94,'Base de Datos'!$C$487:$K$1048576,7,0))=TRUE," ",(VLOOKUP(B94,'Base de Datos'!$C$487:$K$1048576,8,0)))</f>
        <v>170045-0-2017</v>
      </c>
      <c r="P94" s="524">
        <f>IF(ISERROR(VLOOKUP(B94,'Base de Datos'!$C$487:$N$4077,9,0))=TRUE," ",(VLOOKUP(B94,'Base de Datos'!$C$487:$N$4077,10,0)))</f>
        <v>42800</v>
      </c>
      <c r="Q94" s="709"/>
      <c r="R94" s="524">
        <f>IF(ISERROR(VLOOKUP(B94,'Base de Datos'!$C$487:$N$4077,10,0))=TRUE," ",(VLOOKUP(B94,'Base de Datos'!$C$487:$N$4077,11,0)))</f>
        <v>42801</v>
      </c>
      <c r="S94" s="524">
        <f>IF(ISERROR(VLOOKUP(B94,'Base de Datos'!$C$487:$N$4077,11,0))=TRUE," ",(VLOOKUP(B94,'Base de Datos'!$C$487:$N$4077,12,0)))</f>
        <v>43046</v>
      </c>
      <c r="T94" s="506" t="str">
        <f>VLOOKUP(B94,'Base de Datos'!$C$487:$AU$4129,41,0)</f>
        <v>LIQUIDADO</v>
      </c>
      <c r="U94" s="694"/>
      <c r="V94" s="607"/>
    </row>
    <row r="95" spans="2:22" ht="15" customHeight="1" outlineLevel="1" x14ac:dyDescent="0.3">
      <c r="B95" s="510">
        <v>165</v>
      </c>
      <c r="C95" s="506" t="str">
        <f>IF(ISERROR(VLOOKUP(B95,'Base de Datos'!$C$487:$F$4092,2,0))=TRUE,"",(VLOOKUP('Presupuesto - PAA 2018'!B95,'Base de Datos'!$C$7:$F$4092,3,0)))</f>
        <v>150265-0-2015</v>
      </c>
      <c r="D95" s="506" t="str">
        <f>IF(ISERROR(VLOOKUP(B95,'Base de Datos'!$C$487:$F$4092,3,0))=TRUE,"",(VLOOKUP('Presupuesto - PAA 2018'!B95,'Base de Datos'!$C$487:$F$4092,4,0)))</f>
        <v>DIRECTV COLOMBIA LTDA</v>
      </c>
      <c r="E95" s="509">
        <f>VLOOKUP(B95,[7]PAA2017!$C$65:$AA$255,20,0)</f>
        <v>1800000</v>
      </c>
      <c r="F95" s="507" t="e">
        <f>VLOOKUP(B95,[8]SOLICITUDES!$B$3:$H$278,2,0)</f>
        <v>#N/A</v>
      </c>
      <c r="G95" s="507"/>
      <c r="H95" s="507"/>
      <c r="I95" s="507"/>
      <c r="J95" s="509">
        <f>IF(ISERROR(VLOOKUP(B95,'Base de Datos'!$C$487:$N$4092,6,0))=TRUE,"Sin Celebrar",(VLOOKUP(B95,'Base de Datos'!$C$487:$N$4092,7,0)))</f>
        <v>1878120</v>
      </c>
      <c r="K95" s="573"/>
      <c r="L95" s="553" t="str">
        <f>IF(J95=$AA$1,E95, " ")</f>
        <v xml:space="preserve"> </v>
      </c>
      <c r="M95" s="509"/>
      <c r="N95" s="509" t="str">
        <f t="shared" si="8"/>
        <v xml:space="preserve"> </v>
      </c>
      <c r="O95" s="691" t="str">
        <f>IF(ISERROR(VLOOKUP(B95,'Base de Datos'!$C$487:$K$1048576,7,0))=TRUE," ",(VLOOKUP(B95,'Base de Datos'!$C$487:$K$1048576,8,0)))</f>
        <v>SHD-SMINC-29-2017</v>
      </c>
      <c r="P95" s="524">
        <f>IF(ISERROR(VLOOKUP(B95,'Base de Datos'!$C$487:$N$4077,9,0))=TRUE," ",(VLOOKUP(B95,'Base de Datos'!$C$487:$N$4077,10,0)))</f>
        <v>42961</v>
      </c>
      <c r="Q95" s="709"/>
      <c r="R95" s="524">
        <f>IF(ISERROR(VLOOKUP(B95,'Base de Datos'!$C$487:$N$4077,10,0))=TRUE," ",(VLOOKUP(B95,'Base de Datos'!$C$487:$N$4077,11,0)))</f>
        <v>42963</v>
      </c>
      <c r="S95" s="524">
        <f>IF(ISERROR(VLOOKUP(B95,'Base de Datos'!$C$487:$N$4077,11,0))=TRUE," ",(VLOOKUP(B95,'Base de Datos'!$C$487:$N$4077,12,0)))</f>
        <v>43327</v>
      </c>
      <c r="T95" s="506" t="str">
        <f>VLOOKUP(B95,'Base de Datos'!$C$487:$AU$4129,41,0)</f>
        <v>EN TRÁMITE</v>
      </c>
      <c r="U95" s="694"/>
      <c r="V95" s="607"/>
    </row>
    <row r="96" spans="2:22" ht="13.5" customHeight="1" outlineLevel="1" x14ac:dyDescent="0.3">
      <c r="B96" s="510">
        <v>190</v>
      </c>
      <c r="C96" s="506" t="str">
        <f>IF(ISERROR(VLOOKUP(B96,'Base de Datos'!$C$487:$F$4092,2,0))=TRUE,"",(VLOOKUP('Presupuesto - PAA 2018'!B96,'Base de Datos'!$C$7:$F$4092,3,0)))</f>
        <v>170326-0-2017</v>
      </c>
      <c r="D96" s="506" t="str">
        <f>IF(ISERROR(VLOOKUP(B96,'Base de Datos'!$C$487:$F$4092,3,0))=TRUE,"",(VLOOKUP('Presupuesto - PAA 2018'!B96,'Base de Datos'!$C$487:$F$4092,4,0)))</f>
        <v>USA POSTAL S.A.</v>
      </c>
      <c r="E96" s="509">
        <f>VLOOKUP(B96,[7]PAA2017!$C$65:$AA$255,20,0)</f>
        <v>28000000</v>
      </c>
      <c r="F96" s="507" t="e">
        <f>VLOOKUP(B96,[8]SOLICITUDES!$B$3:$H$278,2,0)</f>
        <v>#N/A</v>
      </c>
      <c r="G96" s="507"/>
      <c r="H96" s="507"/>
      <c r="I96" s="507"/>
      <c r="J96" s="509">
        <f>IF(ISERROR(VLOOKUP(B96,'Base de Datos'!$C$487:$N$4092,6,0))=TRUE,"Sin Celebrar",(VLOOKUP(B96,'Base de Datos'!$C$487:$N$4092,7,0)))</f>
        <v>6512000</v>
      </c>
      <c r="K96" s="573"/>
      <c r="L96" s="553" t="str">
        <f>IF(J96=$AA$1,E96, " ")</f>
        <v xml:space="preserve"> </v>
      </c>
      <c r="M96" s="509"/>
      <c r="N96" s="509">
        <f t="shared" si="8"/>
        <v>21488000</v>
      </c>
      <c r="O96" s="691" t="str">
        <f>IF(ISERROR(VLOOKUP(B96,'Base de Datos'!$C$487:$K$1048576,7,0))=TRUE," ",(VLOOKUP(B96,'Base de Datos'!$C$487:$K$1048576,8,0)))</f>
        <v>SDH-SMINC-45-2017</v>
      </c>
      <c r="P96" s="524">
        <f>IF(ISERROR(VLOOKUP(B96,'Base de Datos'!$C$487:$N$4077,9,0))=TRUE," ",(VLOOKUP(B96,'Base de Datos'!$C$487:$N$4077,10,0)))</f>
        <v>43053</v>
      </c>
      <c r="Q96" s="709"/>
      <c r="R96" s="524">
        <f>IF(ISERROR(VLOOKUP(B96,'Base de Datos'!$C$487:$N$4077,10,0))=TRUE," ",(VLOOKUP(B96,'Base de Datos'!$C$487:$N$4077,11,0)))</f>
        <v>43070</v>
      </c>
      <c r="S96" s="524">
        <f>IF(ISERROR(VLOOKUP(B96,'Base de Datos'!$C$487:$N$4077,11,0))=TRUE," ",(VLOOKUP(B96,'Base de Datos'!$C$487:$N$4077,12,0)))</f>
        <v>43190</v>
      </c>
      <c r="T96" s="506" t="str">
        <f>VLOOKUP(B96,'Base de Datos'!$C$487:$AU$4129,41,0)</f>
        <v>LIQUIDADO</v>
      </c>
      <c r="U96" s="694"/>
      <c r="V96" s="607"/>
    </row>
    <row r="97" spans="2:22" outlineLevel="1" x14ac:dyDescent="0.3">
      <c r="B97" s="510">
        <v>191</v>
      </c>
      <c r="C97" s="506" t="str">
        <f>IF(ISERROR(VLOOKUP(B97,'Base de Datos'!$C$487:$F$4092,2,0))=TRUE,"",(VLOOKUP('Presupuesto - PAA 2018'!B97,'Base de Datos'!$C$7:$F$4092,3,0)))</f>
        <v>170147-0-2017</v>
      </c>
      <c r="D97" s="506" t="str">
        <f>IF(ISERROR(VLOOKUP(B97,'Base de Datos'!$C$487:$F$4092,3,0))=TRUE,"",(VLOOKUP('Presupuesto - PAA 2018'!B97,'Base de Datos'!$C$487:$F$4092,4,0)))</f>
        <v>SERVICIOS POSTALES NACIONALES S.A.</v>
      </c>
      <c r="E97" s="509">
        <f>VLOOKUP(B97,[7]PAA2017!$C$65:$AA$255,20,0)</f>
        <v>3462000000</v>
      </c>
      <c r="F97" s="507" t="str">
        <f>VLOOKUP(B97,[8]SOLICITUDES!$B$3:$H$278,2,0)</f>
        <v>SI</v>
      </c>
      <c r="G97" s="507"/>
      <c r="H97" s="507"/>
      <c r="I97" s="507"/>
      <c r="J97" s="509">
        <f>IF(ISERROR(VLOOKUP(B97,'Base de Datos'!$C$487:$N$4092,6,0))=TRUE,"Sin Celebrar",(VLOOKUP(B97,'Base de Datos'!$C$487:$N$4092,7,0)))</f>
        <v>35763045</v>
      </c>
      <c r="K97" s="573"/>
      <c r="L97" s="553" t="str">
        <f>IF(J97=$AA$1,E97, " ")</f>
        <v xml:space="preserve"> </v>
      </c>
      <c r="M97" s="509"/>
      <c r="N97" s="509">
        <f t="shared" si="8"/>
        <v>3426236955</v>
      </c>
      <c r="O97" s="691" t="str">
        <f>IF(ISERROR(VLOOKUP(B97,'Base de Datos'!$C$487:$K$1048576,7,0))=TRUE," ",(VLOOKUP(B97,'Base de Datos'!$C$487:$K$1048576,8,0)))</f>
        <v>170147-0-2017</v>
      </c>
      <c r="P97" s="524">
        <f>IF(ISERROR(VLOOKUP(B97,'Base de Datos'!$C$487:$N$4077,9,0))=TRUE," ",(VLOOKUP(B97,'Base de Datos'!$C$487:$N$4077,10,0)))</f>
        <v>42887</v>
      </c>
      <c r="Q97" s="709"/>
      <c r="R97" s="524">
        <f>IF(ISERROR(VLOOKUP(B97,'Base de Datos'!$C$487:$N$4077,10,0))=TRUE," ",(VLOOKUP(B97,'Base de Datos'!$C$487:$N$4077,11,0)))</f>
        <v>42899</v>
      </c>
      <c r="S97" s="524">
        <f>IF(ISERROR(VLOOKUP(B97,'Base de Datos'!$C$487:$N$4077,11,0))=TRUE," ",(VLOOKUP(B97,'Base de Datos'!$C$487:$N$4077,12,0)))</f>
        <v>43186</v>
      </c>
      <c r="T97" s="506" t="str">
        <f>VLOOKUP(B97,'Base de Datos'!$C$487:$AU$4129,41,0)</f>
        <v>EN TRÁMITE</v>
      </c>
      <c r="U97" s="694"/>
      <c r="V97" s="607"/>
    </row>
    <row r="98" spans="2:22" outlineLevel="1" x14ac:dyDescent="0.3">
      <c r="B98" s="506"/>
      <c r="C98" s="506"/>
      <c r="D98" s="506" t="s">
        <v>1934</v>
      </c>
      <c r="E98" s="509">
        <f>E91-SUM(E93:E97)</f>
        <v>-4203639000</v>
      </c>
      <c r="F98" s="507"/>
      <c r="G98" s="507"/>
      <c r="H98" s="507"/>
      <c r="I98" s="507"/>
      <c r="J98" s="509"/>
      <c r="K98" s="573"/>
      <c r="L98" s="527"/>
      <c r="M98" s="509"/>
      <c r="N98" s="527" t="str">
        <f t="shared" si="8"/>
        <v xml:space="preserve"> </v>
      </c>
      <c r="O98" s="652"/>
      <c r="P98" s="524" t="str">
        <f>IF(ISERROR(VLOOKUP(B98,'Base de Datos'!$C$7:$N$315,9,0))=TRUE," ",(VLOOKUP(B98,'Base de Datos'!$C$7:$N$315,9,0)))</f>
        <v xml:space="preserve"> </v>
      </c>
      <c r="Q98" s="506"/>
      <c r="R98" s="529" t="str">
        <f>IF(ISERROR(VLOOKUP(B98,'Base de Datos'!$C$7:$N$315,10,0))=TRUE," ",(VLOOKUP(B98,'Base de Datos'!$C$7:$N$315,10,0)))</f>
        <v xml:space="preserve"> </v>
      </c>
      <c r="S98" s="529" t="str">
        <f>IF(ISERROR(VLOOKUP(B98,'Base de Datos'!$C$7:$N$315,11,0))=TRUE," ",(VLOOKUP(B98,'Base de Datos'!$C$7:$N$315,11,0)))</f>
        <v xml:space="preserve"> </v>
      </c>
      <c r="T98" s="506"/>
      <c r="U98" s="694"/>
      <c r="V98" s="607"/>
    </row>
    <row r="99" spans="2:22" outlineLevel="1" x14ac:dyDescent="0.3">
      <c r="B99" s="506"/>
      <c r="C99" s="506"/>
      <c r="D99" s="506"/>
      <c r="E99" s="509"/>
      <c r="F99" s="507"/>
      <c r="G99" s="507"/>
      <c r="H99" s="507"/>
      <c r="I99" s="507"/>
      <c r="J99" s="509"/>
      <c r="K99" s="573"/>
      <c r="L99" s="509"/>
      <c r="M99" s="509"/>
      <c r="N99" s="509"/>
      <c r="O99" s="651"/>
      <c r="P99" s="524"/>
      <c r="Q99" s="506"/>
      <c r="R99" s="524"/>
      <c r="S99" s="524"/>
      <c r="T99" s="506"/>
      <c r="U99" s="694"/>
      <c r="V99" s="607"/>
    </row>
    <row r="100" spans="2:22" ht="15" customHeight="1" x14ac:dyDescent="0.3">
      <c r="B100" s="1253" t="s">
        <v>1652</v>
      </c>
      <c r="C100" s="1253"/>
      <c r="D100" s="1253"/>
      <c r="E100" s="560">
        <v>54000000</v>
      </c>
      <c r="F100" s="561">
        <f>COUNTIF('Actualizada - presupuesto'!$E$7:$E$111,B100)</f>
        <v>11</v>
      </c>
      <c r="G100" s="561"/>
      <c r="H100" s="561"/>
      <c r="I100" s="561"/>
      <c r="J100" s="560">
        <f>SUM(J102:J114)</f>
        <v>56576000</v>
      </c>
      <c r="K100" s="580">
        <f>J100/E100</f>
        <v>1.0477037037037038</v>
      </c>
      <c r="L100" s="560" t="e">
        <f>SUM(L102:L114)</f>
        <v>#N/A</v>
      </c>
      <c r="M100" s="605">
        <v>0</v>
      </c>
      <c r="N100" s="560" t="e">
        <f>+E100-J100-L100</f>
        <v>#N/A</v>
      </c>
      <c r="O100" s="655"/>
      <c r="P100" s="562" t="str">
        <f>IF(ISERROR(VLOOKUP(B100,'Base de Datos'!$C$7:$N$315,8,0))=TRUE," ",(VLOOKUP(B100,'Base de Datos'!$C$7:$N$315,8,0)))</f>
        <v xml:space="preserve"> </v>
      </c>
      <c r="Q100" s="563"/>
      <c r="R100" s="562" t="str">
        <f>IF(ISERROR(VLOOKUP(B100,'Base de Datos'!$C$7:$N$315,9,0))=TRUE," ",(VLOOKUP(B100,'Base de Datos'!$C$7:$N$315,9,0)))</f>
        <v xml:space="preserve"> </v>
      </c>
      <c r="S100" s="562" t="str">
        <f>IF(ISERROR(VLOOKUP(B100,'Base de Datos'!$C$7:$N$315,10,0))=TRUE," ",(VLOOKUP(B100,'Base de Datos'!$C$7:$N$315,10,0)))</f>
        <v xml:space="preserve"> </v>
      </c>
      <c r="T100" s="565"/>
      <c r="U100" s="694"/>
      <c r="V100" s="607"/>
    </row>
    <row r="101" spans="2:22" ht="22.8" outlineLevel="1" x14ac:dyDescent="0.3">
      <c r="B101" s="510" t="s">
        <v>1692</v>
      </c>
      <c r="C101" s="510" t="s">
        <v>912</v>
      </c>
      <c r="D101" s="510" t="s">
        <v>1821</v>
      </c>
      <c r="E101" s="518" t="s">
        <v>1845</v>
      </c>
      <c r="F101" s="507" t="s">
        <v>1852</v>
      </c>
      <c r="G101" s="507"/>
      <c r="H101" s="507"/>
      <c r="I101" s="507"/>
      <c r="J101" s="510" t="s">
        <v>1844</v>
      </c>
      <c r="K101" s="625"/>
      <c r="L101" s="510" t="s">
        <v>1938</v>
      </c>
      <c r="M101" s="510"/>
      <c r="N101" s="510" t="s">
        <v>1939</v>
      </c>
      <c r="O101" s="650"/>
      <c r="P101" s="541" t="s">
        <v>1846</v>
      </c>
      <c r="Q101" s="510" t="s">
        <v>1847</v>
      </c>
      <c r="R101" s="510" t="s">
        <v>1848</v>
      </c>
      <c r="S101" s="510" t="s">
        <v>375</v>
      </c>
      <c r="T101" s="510" t="s">
        <v>1849</v>
      </c>
      <c r="U101" s="694"/>
      <c r="V101" s="607"/>
    </row>
    <row r="102" spans="2:22" ht="15" customHeight="1" outlineLevel="1" x14ac:dyDescent="0.3">
      <c r="B102" s="510">
        <v>166</v>
      </c>
      <c r="C102" s="506" t="str">
        <f>IF(ISERROR(VLOOKUP(B102,'Base de Datos'!$C$487:$F$4092,2,0))=TRUE,"",(VLOOKUP('Presupuesto - PAA 2018'!B102,'Base de Datos'!$C$7:$F$4092,3,0)))</f>
        <v>150232-0-2015</v>
      </c>
      <c r="D102" s="506" t="str">
        <f>IF(ISERROR(VLOOKUP(B102,'Base de Datos'!$C$487:$F$4092,3,0))=TRUE,"",(VLOOKUP('Presupuesto - PAA 2018'!B102,'Base de Datos'!$C$487:$F$4092,4,0)))</f>
        <v>POLITICAS &amp; MEDIOS INVESTIGACIONES LTDA</v>
      </c>
      <c r="E102" s="509">
        <f>VLOOKUP(B102,[7]PAA2017!$C$65:$AA$255,20,0)</f>
        <v>1150000</v>
      </c>
      <c r="F102" s="507" t="e">
        <f>VLOOKUP(B102,[8]SOLICITUDES!$B$3:$H$278,2,0)</f>
        <v>#N/A</v>
      </c>
      <c r="G102" s="507"/>
      <c r="H102" s="507"/>
      <c r="I102" s="507"/>
      <c r="J102" s="509">
        <f>IF(ISERROR(VLOOKUP(B102,'Base de Datos'!$C$487:$N$4092,6,0))=TRUE,"Sin Celebrar",(VLOOKUP(B102,'Base de Datos'!$C$487:$N$4092,7,0)))</f>
        <v>975000</v>
      </c>
      <c r="K102" s="573"/>
      <c r="L102" s="553" t="str">
        <f t="shared" ref="L102:L113" si="9">IF(J102=$AA$1,E102, " ")</f>
        <v xml:space="preserve"> </v>
      </c>
      <c r="M102" s="509"/>
      <c r="N102" s="509">
        <f t="shared" ref="N102:N113" si="10">IF(J102&lt;E102,(E102-J102)," ")</f>
        <v>175000</v>
      </c>
      <c r="O102" s="691" t="str">
        <f>IF(ISERROR(VLOOKUP(B102,'Base de Datos'!$C$487:$K$1048576,7,0))=TRUE," ",(VLOOKUP(B102,'Base de Datos'!$C$487:$K$1048576,8,0)))</f>
        <v>SDH-SMINC-34-2017</v>
      </c>
      <c r="P102" s="524">
        <f>IF(ISERROR(VLOOKUP(B102,'Base de Datos'!$C$487:$N$4077,9,0))=TRUE," ",(VLOOKUP(B102,'Base de Datos'!$C$487:$N$4077,10,0)))</f>
        <v>43003</v>
      </c>
      <c r="Q102" s="709"/>
      <c r="R102" s="524">
        <f>IF(ISERROR(VLOOKUP(B102,'Base de Datos'!$C$487:$N$4077,10,0))=TRUE," ",(VLOOKUP(B102,'Base de Datos'!$C$487:$N$4077,11,0)))</f>
        <v>43034</v>
      </c>
      <c r="S102" s="524">
        <f>IF(ISERROR(VLOOKUP(B102,'Base de Datos'!$C$487:$N$4077,11,0))=TRUE," ",(VLOOKUP(B102,'Base de Datos'!$C$487:$N$4077,12,0)))</f>
        <v>43399</v>
      </c>
      <c r="T102" s="506" t="str">
        <f>VLOOKUP(B102,'Base de Datos'!$C$487:$AU$4129,41,0)</f>
        <v>EN TRÁMITE</v>
      </c>
      <c r="U102" s="694"/>
      <c r="V102" s="607"/>
    </row>
    <row r="103" spans="2:22" ht="15" customHeight="1" outlineLevel="1" x14ac:dyDescent="0.3">
      <c r="B103" s="510">
        <v>167</v>
      </c>
      <c r="C103" s="506" t="str">
        <f>IF(ISERROR(VLOOKUP(B103,'Base de Datos'!$C$487:$F$4092,2,0))=TRUE,"",(VLOOKUP('Presupuesto - PAA 2018'!B103,'Base de Datos'!$C$7:$F$4092,3,0)))</f>
        <v>150252-0-2015</v>
      </c>
      <c r="D103" s="506" t="str">
        <f>IF(ISERROR(VLOOKUP(B103,'Base de Datos'!$C$487:$F$4092,3,0))=TRUE,"",(VLOOKUP('Presupuesto - PAA 2018'!B103,'Base de Datos'!$C$487:$F$4092,4,0)))</f>
        <v>CASA EDITORIAL EL TIEMPO SA</v>
      </c>
      <c r="E103" s="509">
        <f>VLOOKUP(B103,[7]PAA2017!$C$65:$AA$255,20,0)</f>
        <v>1250000</v>
      </c>
      <c r="F103" s="507" t="str">
        <f>VLOOKUP(B103,[8]SOLICITUDES!$B$3:$H$278,2,0)</f>
        <v>SI</v>
      </c>
      <c r="G103" s="507"/>
      <c r="H103" s="507"/>
      <c r="I103" s="507"/>
      <c r="J103" s="509">
        <f>IF(ISERROR(VLOOKUP(B103,'Base de Datos'!$C$487:$N$4092,6,0))=TRUE,"Sin Celebrar",(VLOOKUP(B103,'Base de Datos'!$C$487:$N$4092,7,0)))</f>
        <v>1317000</v>
      </c>
      <c r="K103" s="573"/>
      <c r="L103" s="553" t="str">
        <f t="shared" si="9"/>
        <v xml:space="preserve"> </v>
      </c>
      <c r="M103" s="509"/>
      <c r="N103" s="509" t="str">
        <f t="shared" si="10"/>
        <v xml:space="preserve"> </v>
      </c>
      <c r="O103" s="691" t="str">
        <f>IF(ISERROR(VLOOKUP(B103,'Base de Datos'!$C$487:$K$1048576,7,0))=TRUE," ",(VLOOKUP(B103,'Base de Datos'!$C$487:$K$1048576,8,0)))</f>
        <v>170064-0-2017</v>
      </c>
      <c r="P103" s="524">
        <f>IF(ISERROR(VLOOKUP(B103,'Base de Datos'!$C$487:$N$4077,9,0))=TRUE," ",(VLOOKUP(B103,'Base de Datos'!$C$487:$N$4077,10,0)))</f>
        <v>42816</v>
      </c>
      <c r="Q103" s="709"/>
      <c r="R103" s="524">
        <f>IF(ISERROR(VLOOKUP(B103,'Base de Datos'!$C$487:$N$4077,10,0))=TRUE," ",(VLOOKUP(B103,'Base de Datos'!$C$487:$N$4077,11,0)))</f>
        <v>42817</v>
      </c>
      <c r="S103" s="524">
        <f>IF(ISERROR(VLOOKUP(B103,'Base de Datos'!$C$487:$N$4077,11,0))=TRUE," ",(VLOOKUP(B103,'Base de Datos'!$C$487:$N$4077,12,0)))</f>
        <v>43182</v>
      </c>
      <c r="T103" s="506" t="str">
        <f>VLOOKUP(B103,'Base de Datos'!$C$487:$AU$4129,41,0)</f>
        <v>LIQUIDADO</v>
      </c>
      <c r="U103" s="694"/>
      <c r="V103" s="607"/>
    </row>
    <row r="104" spans="2:22" ht="15" customHeight="1" outlineLevel="1" x14ac:dyDescent="0.3">
      <c r="B104" s="510">
        <v>168</v>
      </c>
      <c r="C104" s="506" t="str">
        <f>IF(ISERROR(VLOOKUP(B104,'Base de Datos'!$C$487:$F$4092,2,0))=TRUE,"",(VLOOKUP('Presupuesto - PAA 2018'!B104,'Base de Datos'!$C$7:$F$4092,3,0)))</f>
        <v>150209-0-2015</v>
      </c>
      <c r="D104" s="506" t="str">
        <f>IF(ISERROR(VLOOKUP(B104,'Base de Datos'!$C$487:$F$4092,3,0))=TRUE,"",(VLOOKUP('Presupuesto - PAA 2018'!B104,'Base de Datos'!$C$487:$F$4092,4,0)))</f>
        <v>REVISTA EL CONGRESO SIGLO XXI LTDA</v>
      </c>
      <c r="E104" s="509">
        <f>VLOOKUP(B104,[7]PAA2017!$C$65:$AA$255,20,0)</f>
        <v>10000000</v>
      </c>
      <c r="F104" s="507" t="e">
        <f>VLOOKUP(B104,[8]SOLICITUDES!$B$3:$H$278,2,0)</f>
        <v>#N/A</v>
      </c>
      <c r="G104" s="507"/>
      <c r="H104" s="507"/>
      <c r="I104" s="507"/>
      <c r="J104" s="509">
        <f>IF(ISERROR(VLOOKUP(B104,'Base de Datos'!$C$487:$N$4092,6,0))=TRUE,"Sin Celebrar",(VLOOKUP(B104,'Base de Datos'!$C$487:$N$4092,7,0)))</f>
        <v>8010000</v>
      </c>
      <c r="K104" s="573"/>
      <c r="L104" s="553" t="str">
        <f t="shared" si="9"/>
        <v xml:space="preserve"> </v>
      </c>
      <c r="M104" s="509"/>
      <c r="N104" s="509">
        <f t="shared" si="10"/>
        <v>1990000</v>
      </c>
      <c r="O104" s="691" t="str">
        <f>IF(ISERROR(VLOOKUP(B104,'Base de Datos'!$C$487:$K$1048576,7,0))=TRUE," ",(VLOOKUP(B104,'Base de Datos'!$C$487:$K$1048576,8,0)))</f>
        <v>170206-0-2017</v>
      </c>
      <c r="P104" s="524">
        <f>IF(ISERROR(VLOOKUP(B104,'Base de Datos'!$C$487:$N$4077,9,0))=TRUE," ",(VLOOKUP(B104,'Base de Datos'!$C$487:$N$4077,10,0)))</f>
        <v>42962</v>
      </c>
      <c r="Q104" s="709"/>
      <c r="R104" s="524">
        <f>IF(ISERROR(VLOOKUP(B104,'Base de Datos'!$C$487:$N$4077,10,0))=TRUE," ",(VLOOKUP(B104,'Base de Datos'!$C$487:$N$4077,11,0)))</f>
        <v>42965</v>
      </c>
      <c r="S104" s="524">
        <f>IF(ISERROR(VLOOKUP(B104,'Base de Datos'!$C$487:$N$4077,11,0))=TRUE," ",(VLOOKUP(B104,'Base de Datos'!$C$487:$N$4077,12,0)))</f>
        <v>43330</v>
      </c>
      <c r="T104" s="506" t="str">
        <f>VLOOKUP(B104,'Base de Datos'!$C$487:$AU$4129,41,0)</f>
        <v>EN TRÁMITE</v>
      </c>
      <c r="U104" s="694"/>
      <c r="V104" s="607"/>
    </row>
    <row r="105" spans="2:22" ht="24.75" customHeight="1" outlineLevel="1" x14ac:dyDescent="0.3">
      <c r="B105" s="510">
        <v>169</v>
      </c>
      <c r="C105" s="506" t="str">
        <f>IF(ISERROR(VLOOKUP(B105,'Base de Datos'!$C$487:$F$4092,2,0))=TRUE,"",(VLOOKUP('Presupuesto - PAA 2018'!B105,'Base de Datos'!$C$7:$F$4092,3,0)))</f>
        <v>170095-0-2017</v>
      </c>
      <c r="D105" s="506" t="str">
        <f>IF(ISERROR(VLOOKUP(B105,'Base de Datos'!$C$487:$F$4092,3,0))=TRUE,"",(VLOOKUP('Presupuesto - PAA 2018'!B105,'Base de Datos'!$C$487:$F$4092,4,0)))</f>
        <v>D P C LTDA DESPACHOS PUBLICOS DE COLOMBIA LTDA</v>
      </c>
      <c r="E105" s="509">
        <f>VLOOKUP(B105,[7]PAA2017!$C$65:$AA$255,20,0)</f>
        <v>5000000</v>
      </c>
      <c r="F105" s="507" t="e">
        <f>VLOOKUP(B105,[8]SOLICITUDES!$B$3:$H$278,2,0)</f>
        <v>#N/A</v>
      </c>
      <c r="G105" s="507"/>
      <c r="H105" s="507"/>
      <c r="I105" s="507"/>
      <c r="J105" s="509">
        <f>IF(ISERROR(VLOOKUP(B105,'Base de Datos'!$C$487:$N$4092,6,0))=TRUE,"Sin Celebrar",(VLOOKUP(B105,'Base de Datos'!$C$487:$N$4092,7,0)))</f>
        <v>4300000</v>
      </c>
      <c r="K105" s="573"/>
      <c r="L105" s="553" t="str">
        <f t="shared" si="9"/>
        <v xml:space="preserve"> </v>
      </c>
      <c r="M105" s="509"/>
      <c r="N105" s="509">
        <f t="shared" si="10"/>
        <v>700000</v>
      </c>
      <c r="O105" s="691" t="str">
        <f>IF(ISERROR(VLOOKUP(B105,'Base de Datos'!$C$487:$K$1048576,7,0))=TRUE," ",(VLOOKUP(B105,'Base de Datos'!$C$487:$K$1048576,8,0)))</f>
        <v>170095-0-2017</v>
      </c>
      <c r="P105" s="524">
        <f>IF(ISERROR(VLOOKUP(B105,'Base de Datos'!$C$487:$N$4077,9,0))=TRUE," ",(VLOOKUP(B105,'Base de Datos'!$C$487:$N$4077,10,0)))</f>
        <v>42837</v>
      </c>
      <c r="Q105" s="709"/>
      <c r="R105" s="524">
        <f>IF(ISERROR(VLOOKUP(B105,'Base de Datos'!$C$487:$N$4077,10,0))=TRUE," ",(VLOOKUP(B105,'Base de Datos'!$C$487:$N$4077,11,0)))</f>
        <v>42849</v>
      </c>
      <c r="S105" s="524">
        <f>IF(ISERROR(VLOOKUP(B105,'Base de Datos'!$C$487:$N$4077,11,0))=TRUE," ",(VLOOKUP(B105,'Base de Datos'!$C$487:$N$4077,12,0)))</f>
        <v>43002</v>
      </c>
      <c r="T105" s="506" t="str">
        <f>VLOOKUP(B105,'Base de Datos'!$C$487:$AU$4129,41,0)</f>
        <v>LIQUIDADO</v>
      </c>
      <c r="U105" s="694"/>
      <c r="V105" s="607"/>
    </row>
    <row r="106" spans="2:22" ht="14.25" customHeight="1" outlineLevel="1" x14ac:dyDescent="0.3">
      <c r="B106" s="510">
        <v>170</v>
      </c>
      <c r="C106" s="506" t="str">
        <f>IF(ISERROR(VLOOKUP(B106,'Base de Datos'!$C$487:$F$4092,2,0))=TRUE,"",(VLOOKUP('Presupuesto - PAA 2018'!B106,'Base de Datos'!$C$7:$F$4092,3,0)))</f>
        <v>150241-0-2015</v>
      </c>
      <c r="D106" s="506" t="str">
        <f>IF(ISERROR(VLOOKUP(B106,'Base de Datos'!$C$487:$F$4092,3,0))=TRUE,"",(VLOOKUP('Presupuesto - PAA 2018'!B106,'Base de Datos'!$C$487:$F$4092,4,0)))</f>
        <v>EDITORIAL LA REPUBLICA SAS</v>
      </c>
      <c r="E106" s="509">
        <f>VLOOKUP(B106,[7]PAA2017!$C$65:$AA$255,20,0)</f>
        <v>1000000</v>
      </c>
      <c r="F106" s="507" t="e">
        <f>VLOOKUP(B106,[8]SOLICITUDES!$B$3:$H$278,2,0)</f>
        <v>#N/A</v>
      </c>
      <c r="G106" s="507"/>
      <c r="H106" s="507"/>
      <c r="I106" s="507"/>
      <c r="J106" s="509">
        <f>IF(ISERROR(VLOOKUP(B106,'Base de Datos'!$C$487:$N$4092,6,0))=TRUE,"Sin Celebrar",(VLOOKUP(B106,'Base de Datos'!$C$487:$N$4092,7,0)))</f>
        <v>840000</v>
      </c>
      <c r="K106" s="573"/>
      <c r="L106" s="553" t="str">
        <f t="shared" si="9"/>
        <v xml:space="preserve"> </v>
      </c>
      <c r="M106" s="509"/>
      <c r="N106" s="509">
        <f t="shared" si="10"/>
        <v>160000</v>
      </c>
      <c r="O106" s="691" t="str">
        <f>IF(ISERROR(VLOOKUP(B106,'Base de Datos'!$C$487:$K$1048576,7,0))=TRUE," ",(VLOOKUP(B106,'Base de Datos'!$C$487:$K$1048576,8,0)))</f>
        <v>170228-0-2017</v>
      </c>
      <c r="P106" s="524">
        <f>IF(ISERROR(VLOOKUP(B106,'Base de Datos'!$C$487:$N$4077,9,0))=TRUE," ",(VLOOKUP(B106,'Base de Datos'!$C$487:$N$4077,10,0)))</f>
        <v>42983</v>
      </c>
      <c r="Q106" s="709"/>
      <c r="R106" s="524">
        <f>IF(ISERROR(VLOOKUP(B106,'Base de Datos'!$C$487:$N$4077,10,0))=TRUE," ",(VLOOKUP(B106,'Base de Datos'!$C$487:$N$4077,11,0)))</f>
        <v>43069</v>
      </c>
      <c r="S106" s="524">
        <f>IF(ISERROR(VLOOKUP(B106,'Base de Datos'!$C$487:$N$4077,11,0))=TRUE," ",(VLOOKUP(B106,'Base de Datos'!$C$487:$N$4077,12,0)))</f>
        <v>43434</v>
      </c>
      <c r="T106" s="506" t="str">
        <f>VLOOKUP(B106,'Base de Datos'!$C$487:$AU$4129,41,0)</f>
        <v>LIQUIDADO</v>
      </c>
      <c r="U106" s="694"/>
      <c r="V106" s="607"/>
    </row>
    <row r="107" spans="2:22" ht="14.25" customHeight="1" outlineLevel="1" x14ac:dyDescent="0.3">
      <c r="B107" s="510">
        <v>171</v>
      </c>
      <c r="C107" s="506" t="str">
        <f>IF(ISERROR(VLOOKUP(B107,'Base de Datos'!$C$487:$F$4092,2,0))=TRUE,"",(VLOOKUP('Presupuesto - PAA 2018'!B107,'Base de Datos'!$C$7:$F$4092,3,0)))</f>
        <v>150219-0-2015</v>
      </c>
      <c r="D107" s="506" t="str">
        <f>IF(ISERROR(VLOOKUP(B107,'Base de Datos'!$C$487:$F$4092,3,0))=TRUE,"",(VLOOKUP('Presupuesto - PAA 2018'!B107,'Base de Datos'!$C$487:$F$4092,4,0)))</f>
        <v xml:space="preserve">COMUNICAN SA </v>
      </c>
      <c r="E107" s="509">
        <f>VLOOKUP(B107,[7]PAA2017!$C$65:$AA$255,20,0)</f>
        <v>1000000</v>
      </c>
      <c r="F107" s="507" t="e">
        <f>VLOOKUP(B107,[8]SOLICITUDES!$B$3:$H$278,2,0)</f>
        <v>#N/A</v>
      </c>
      <c r="G107" s="507"/>
      <c r="H107" s="507"/>
      <c r="I107" s="507"/>
      <c r="J107" s="509">
        <f>IF(ISERROR(VLOOKUP(B107,'Base de Datos'!$C$487:$N$4092,6,0))=TRUE,"Sin Celebrar",(VLOOKUP(B107,'Base de Datos'!$C$487:$N$4092,7,0)))</f>
        <v>1185000</v>
      </c>
      <c r="K107" s="573"/>
      <c r="L107" s="553" t="str">
        <f t="shared" si="9"/>
        <v xml:space="preserve"> </v>
      </c>
      <c r="M107" s="509"/>
      <c r="N107" s="509" t="str">
        <f t="shared" si="10"/>
        <v xml:space="preserve"> </v>
      </c>
      <c r="O107" s="691" t="str">
        <f>IF(ISERROR(VLOOKUP(B107,'Base de Datos'!$C$487:$K$1048576,7,0))=TRUE," ",(VLOOKUP(B107,'Base de Datos'!$C$487:$K$1048576,8,0)))</f>
        <v>170249-0-2017</v>
      </c>
      <c r="P107" s="524">
        <f>IF(ISERROR(VLOOKUP(B107,'Base de Datos'!$C$487:$N$4077,9,0))=TRUE," ",(VLOOKUP(B107,'Base de Datos'!$C$487:$N$4077,10,0)))</f>
        <v>42998</v>
      </c>
      <c r="Q107" s="709"/>
      <c r="R107" s="524">
        <f>IF(ISERROR(VLOOKUP(B107,'Base de Datos'!$C$487:$N$4077,10,0))=TRUE," ",(VLOOKUP(B107,'Base de Datos'!$C$487:$N$4077,11,0)))</f>
        <v>43010</v>
      </c>
      <c r="S107" s="524">
        <f>IF(ISERROR(VLOOKUP(B107,'Base de Datos'!$C$487:$N$4077,11,0))=TRUE," ",(VLOOKUP(B107,'Base de Datos'!$C$487:$N$4077,12,0)))</f>
        <v>43375</v>
      </c>
      <c r="T107" s="506" t="str">
        <f>VLOOKUP(B107,'Base de Datos'!$C$487:$AU$4129,41,0)</f>
        <v>LIQUIDADO</v>
      </c>
      <c r="U107" s="694"/>
      <c r="V107" s="607"/>
    </row>
    <row r="108" spans="2:22" ht="14.25" customHeight="1" outlineLevel="1" x14ac:dyDescent="0.3">
      <c r="B108" s="510">
        <v>172</v>
      </c>
      <c r="C108" s="506" t="str">
        <f>IF(ISERROR(VLOOKUP(B108,'Base de Datos'!$C$487:$F$4092,2,0))=TRUE,"",(VLOOKUP('Presupuesto - PAA 2018'!B108,'Base de Datos'!$C$7:$F$4092,3,0)))</f>
        <v>150215-0-2015</v>
      </c>
      <c r="D108" s="506" t="str">
        <f>IF(ISERROR(VLOOKUP(B108,'Base de Datos'!$C$487:$F$4092,3,0))=TRUE,"",(VLOOKUP('Presupuesto - PAA 2018'!B108,'Base de Datos'!$C$487:$F$4092,4,0)))</f>
        <v>EDITORIAL LA UNIDAD S.A EN EJECUCIÓN DEL ACUERDO DE REESTRUCTURACIÓN</v>
      </c>
      <c r="E108" s="509">
        <f>VLOOKUP(B108,[7]PAA2017!$C$65:$AA$255,20,0)</f>
        <v>1000000</v>
      </c>
      <c r="F108" s="507" t="e">
        <f>VLOOKUP(B108,[8]SOLICITUDES!$B$3:$H$278,2,0)</f>
        <v>#N/A</v>
      </c>
      <c r="G108" s="507"/>
      <c r="H108" s="507"/>
      <c r="I108" s="507"/>
      <c r="J108" s="509">
        <f>IF(ISERROR(VLOOKUP(B108,'Base de Datos'!$C$487:$N$4092,6,0))=TRUE,"Sin Celebrar",(VLOOKUP(B108,'Base de Datos'!$C$487:$N$4092,7,0)))</f>
        <v>960000</v>
      </c>
      <c r="K108" s="573"/>
      <c r="L108" s="553" t="str">
        <f t="shared" si="9"/>
        <v xml:space="preserve"> </v>
      </c>
      <c r="M108" s="509"/>
      <c r="N108" s="509">
        <f t="shared" si="10"/>
        <v>40000</v>
      </c>
      <c r="O108" s="691" t="str">
        <f>IF(ISERROR(VLOOKUP(B108,'Base de Datos'!$C$487:$K$1048576,7,0))=TRUE," ",(VLOOKUP(B108,'Base de Datos'!$C$487:$K$1048576,8,0)))</f>
        <v>170233-0-2017</v>
      </c>
      <c r="P108" s="524">
        <f>IF(ISERROR(VLOOKUP(B108,'Base de Datos'!$C$487:$N$4077,9,0))=TRUE," ",(VLOOKUP(B108,'Base de Datos'!$C$487:$N$4077,10,0)))</f>
        <v>42986</v>
      </c>
      <c r="Q108" s="709"/>
      <c r="R108" s="524">
        <f>IF(ISERROR(VLOOKUP(B108,'Base de Datos'!$C$487:$N$4077,10,0))=TRUE," ",(VLOOKUP(B108,'Base de Datos'!$C$487:$N$4077,11,0)))</f>
        <v>43013</v>
      </c>
      <c r="S108" s="524">
        <f>IF(ISERROR(VLOOKUP(B108,'Base de Datos'!$C$487:$N$4077,11,0))=TRUE," ",(VLOOKUP(B108,'Base de Datos'!$C$487:$N$4077,12,0)))</f>
        <v>43378</v>
      </c>
      <c r="T108" s="506" t="str">
        <f>VLOOKUP(B108,'Base de Datos'!$C$487:$AU$4129,41,0)</f>
        <v>LIQUIDADO</v>
      </c>
      <c r="U108" s="694"/>
      <c r="V108" s="607"/>
    </row>
    <row r="109" spans="2:22" ht="14.25" customHeight="1" outlineLevel="1" x14ac:dyDescent="0.3">
      <c r="B109" s="510">
        <v>173</v>
      </c>
      <c r="C109" s="506" t="str">
        <f>IF(ISERROR(VLOOKUP(B109,'Base de Datos'!$C$487:$F$4092,2,0))=TRUE,"",(VLOOKUP('Presupuesto - PAA 2018'!B109,'Base de Datos'!$C$7:$F$4092,3,0)))</f>
        <v/>
      </c>
      <c r="D109" s="506" t="str">
        <f>IF(ISERROR(VLOOKUP(B109,'Base de Datos'!$C$487:$F$4092,3,0))=TRUE,"",(VLOOKUP('Presupuesto - PAA 2018'!B109,'Base de Datos'!$C$487:$F$4092,4,0)))</f>
        <v/>
      </c>
      <c r="E109" s="509">
        <f>VLOOKUP(B109,[7]PAA2017!$C$65:$AA$255,20,0)</f>
        <v>1000000</v>
      </c>
      <c r="F109" s="507" t="e">
        <f>VLOOKUP(B109,[8]SOLICITUDES!$B$3:$H$278,2,0)</f>
        <v>#N/A</v>
      </c>
      <c r="G109" s="507"/>
      <c r="H109" s="507"/>
      <c r="I109" s="507"/>
      <c r="J109" s="509" t="str">
        <f>IF(ISERROR(VLOOKUP(B109,'Base de Datos'!$C$487:$N$4092,6,0))=TRUE,"Sin Celebrar",(VLOOKUP(B109,'Base de Datos'!$C$487:$N$4092,7,0)))</f>
        <v>Sin Celebrar</v>
      </c>
      <c r="K109" s="573"/>
      <c r="L109" s="553">
        <f t="shared" si="9"/>
        <v>1000000</v>
      </c>
      <c r="M109" s="509"/>
      <c r="N109" s="509" t="str">
        <f t="shared" si="10"/>
        <v xml:space="preserve"> </v>
      </c>
      <c r="O109" s="691" t="str">
        <f>IF(ISERROR(VLOOKUP(B109,'Base de Datos'!$C$487:$K$1048576,7,0))=TRUE," ",(VLOOKUP(B109,'Base de Datos'!$C$487:$K$1048576,8,0)))</f>
        <v xml:space="preserve"> </v>
      </c>
      <c r="P109" s="524" t="str">
        <f>IF(ISERROR(VLOOKUP(B109,'Base de Datos'!$C$487:$N$4077,9,0))=TRUE," ",(VLOOKUP(B109,'Base de Datos'!$C$487:$N$4077,10,0)))</f>
        <v xml:space="preserve"> </v>
      </c>
      <c r="Q109" s="709"/>
      <c r="R109" s="524" t="str">
        <f>IF(ISERROR(VLOOKUP(B109,'Base de Datos'!$C$487:$N$4077,10,0))=TRUE," ",(VLOOKUP(B109,'Base de Datos'!$C$487:$N$4077,11,0)))</f>
        <v xml:space="preserve"> </v>
      </c>
      <c r="S109" s="524" t="str">
        <f>IF(ISERROR(VLOOKUP(B109,'Base de Datos'!$C$487:$N$4077,11,0))=TRUE," ",(VLOOKUP(B109,'Base de Datos'!$C$487:$N$4077,12,0)))</f>
        <v xml:space="preserve"> </v>
      </c>
      <c r="T109" s="506" t="e">
        <f>VLOOKUP(B109,'Base de Datos'!$C$487:$AU$4129,41,0)</f>
        <v>#N/A</v>
      </c>
      <c r="U109" s="694"/>
      <c r="V109" s="607"/>
    </row>
    <row r="110" spans="2:22" ht="28.5" customHeight="1" outlineLevel="1" x14ac:dyDescent="0.3">
      <c r="B110" s="510">
        <v>192</v>
      </c>
      <c r="C110" s="506" t="str">
        <f>IF(ISERROR(VLOOKUP(B110,'Base de Datos'!$C$487:$F$4092,2,0))=TRUE,"",(VLOOKUP('Presupuesto - PAA 2018'!B110,'Base de Datos'!$C$7:$F$4092,3,0)))</f>
        <v>170304-0-2017</v>
      </c>
      <c r="D110" s="506" t="str">
        <f>IF(ISERROR(VLOOKUP(B110,'Base de Datos'!$C$487:$F$4092,3,0))=TRUE,"",(VLOOKUP('Presupuesto - PAA 2018'!B110,'Base de Datos'!$C$487:$F$4092,4,0)))</f>
        <v>SOLUTION COPY LTDA</v>
      </c>
      <c r="E110" s="509">
        <f>VLOOKUP(B110,[7]PAA2017!$C$65:$AA$255,20,0)</f>
        <v>233000000</v>
      </c>
      <c r="F110" s="507" t="str">
        <f>VLOOKUP(B110,[8]SOLICITUDES!$B$3:$H$278,2,0)</f>
        <v>SI</v>
      </c>
      <c r="G110" s="507"/>
      <c r="H110" s="507"/>
      <c r="I110" s="507"/>
      <c r="J110" s="509">
        <f>IF(ISERROR(VLOOKUP(B110,'Base de Datos'!$C$487:$N$4092,6,0))=TRUE,"Sin Celebrar",(VLOOKUP(B110,'Base de Datos'!$C$487:$N$4092,7,0)))</f>
        <v>38989000</v>
      </c>
      <c r="K110" s="573"/>
      <c r="L110" s="553" t="str">
        <f t="shared" si="9"/>
        <v xml:space="preserve"> </v>
      </c>
      <c r="M110" s="509"/>
      <c r="N110" s="509">
        <f t="shared" si="10"/>
        <v>194011000</v>
      </c>
      <c r="O110" s="691" t="str">
        <f>IF(ISERROR(VLOOKUP(B110,'Base de Datos'!$C$487:$K$1048576,7,0))=TRUE," ",(VLOOKUP(B110,'Base de Datos'!$C$487:$K$1048576,8,0)))</f>
        <v>SDH-SIE-10-2017</v>
      </c>
      <c r="P110" s="524">
        <f>IF(ISERROR(VLOOKUP(B110,'Base de Datos'!$C$487:$N$4077,9,0))=TRUE," ",(VLOOKUP(B110,'Base de Datos'!$C$487:$N$4077,10,0)))</f>
        <v>43040</v>
      </c>
      <c r="Q110" s="709"/>
      <c r="R110" s="524">
        <f>IF(ISERROR(VLOOKUP(B110,'Base de Datos'!$C$487:$N$4077,10,0))=TRUE," ",(VLOOKUP(B110,'Base de Datos'!$C$487:$N$4077,11,0)))</f>
        <v>43048</v>
      </c>
      <c r="S110" s="524">
        <f>IF(ISERROR(VLOOKUP(B110,'Base de Datos'!$C$487:$N$4077,11,0))=TRUE," ",(VLOOKUP(B110,'Base de Datos'!$C$487:$N$4077,12,0)))</f>
        <v>43259</v>
      </c>
      <c r="T110" s="506" t="str">
        <f>VLOOKUP(B110,'Base de Datos'!$C$487:$AU$4129,41,0)</f>
        <v>LIQUIDADO</v>
      </c>
      <c r="U110" s="694"/>
      <c r="V110" s="607"/>
    </row>
    <row r="111" spans="2:22" ht="14.25" customHeight="1" outlineLevel="1" x14ac:dyDescent="0.3">
      <c r="B111" s="510"/>
      <c r="C111" s="506" t="str">
        <f>IF(ISERROR(VLOOKUP(B111,'Base de Datos'!$C$487:$F$4092,2,0))=TRUE,"",(VLOOKUP('Presupuesto - PAA 2018'!B111,'Base de Datos'!$C$7:$F$4092,3,0)))</f>
        <v/>
      </c>
      <c r="D111" s="506" t="str">
        <f>IF(ISERROR(VLOOKUP(B111,'Base de Datos'!$C$487:$F$4092,3,0))=TRUE,"",(VLOOKUP('Presupuesto - PAA 2018'!B111,'Base de Datos'!$C$487:$F$4092,4,0)))</f>
        <v/>
      </c>
      <c r="E111" s="509" t="e">
        <f>VLOOKUP(B111,[7]PAA2017!$C$65:$AA$255,20,0)</f>
        <v>#N/A</v>
      </c>
      <c r="F111" s="507" t="e">
        <f>VLOOKUP(B111,[8]SOLICITUDES!$B$3:$H$278,2,0)</f>
        <v>#N/A</v>
      </c>
      <c r="G111" s="507"/>
      <c r="H111" s="507"/>
      <c r="I111" s="507"/>
      <c r="J111" s="509" t="str">
        <f>IF(ISERROR(VLOOKUP(B111,'Base de Datos'!$C$487:$N$4092,6,0))=TRUE,"Sin Celebrar",(VLOOKUP(B111,'Base de Datos'!$C$487:$N$4092,7,0)))</f>
        <v>Sin Celebrar</v>
      </c>
      <c r="K111" s="573"/>
      <c r="L111" s="553" t="e">
        <f t="shared" si="9"/>
        <v>#N/A</v>
      </c>
      <c r="M111" s="509"/>
      <c r="N111" s="509" t="e">
        <f t="shared" si="10"/>
        <v>#N/A</v>
      </c>
      <c r="O111" s="691" t="str">
        <f>IF(ISERROR(VLOOKUP(B111,'Base de Datos'!$C$487:$K$1048576,7,0))=TRUE," ",(VLOOKUP(B111,'Base de Datos'!$C$487:$K$1048576,8,0)))</f>
        <v xml:space="preserve"> </v>
      </c>
      <c r="P111" s="524" t="str">
        <f>IF(ISERROR(VLOOKUP(B111,'Base de Datos'!$C$487:$N$4077,9,0))=TRUE," ",(VLOOKUP(B111,'Base de Datos'!$C$487:$N$4077,10,0)))</f>
        <v xml:space="preserve"> </v>
      </c>
      <c r="Q111" s="709"/>
      <c r="R111" s="524" t="str">
        <f>IF(ISERROR(VLOOKUP(B111,'Base de Datos'!$C$487:$N$4077,10,0))=TRUE," ",(VLOOKUP(B111,'Base de Datos'!$C$487:$N$4077,11,0)))</f>
        <v xml:space="preserve"> </v>
      </c>
      <c r="S111" s="524" t="str">
        <f>IF(ISERROR(VLOOKUP(B111,'Base de Datos'!$C$487:$N$4077,11,0))=TRUE," ",(VLOOKUP(B111,'Base de Datos'!$C$487:$N$4077,12,0)))</f>
        <v xml:space="preserve"> </v>
      </c>
      <c r="T111" s="506" t="e">
        <f>VLOOKUP(B111,'Base de Datos'!$C$487:$AU$4129,41,0)</f>
        <v>#N/A</v>
      </c>
      <c r="U111" s="694"/>
      <c r="V111" s="607"/>
    </row>
    <row r="112" spans="2:22" ht="14.25" customHeight="1" outlineLevel="1" x14ac:dyDescent="0.3">
      <c r="B112" s="525"/>
      <c r="C112" s="506" t="str">
        <f>IF(ISERROR(VLOOKUP(B112,'Base de Datos'!$C$487:$F$4092,2,0))=TRUE,"",(VLOOKUP('Presupuesto - PAA 2018'!B112,'Base de Datos'!$C$7:$F$4092,3,0)))</f>
        <v/>
      </c>
      <c r="D112" s="506" t="str">
        <f>IF(ISERROR(VLOOKUP(B112,'Base de Datos'!$C$487:$F$4092,3,0))=TRUE,"",(VLOOKUP('Presupuesto - PAA 2018'!B112,'Base de Datos'!$C$487:$F$4092,4,0)))</f>
        <v/>
      </c>
      <c r="E112" s="509" t="e">
        <f>VLOOKUP(B112,[7]PAA2017!$C$65:$AA$255,20,0)</f>
        <v>#N/A</v>
      </c>
      <c r="F112" s="507" t="e">
        <f>VLOOKUP(B112,[8]SOLICITUDES!$B$3:$H$278,2,0)</f>
        <v>#N/A</v>
      </c>
      <c r="G112" s="507"/>
      <c r="H112" s="507"/>
      <c r="I112" s="507"/>
      <c r="J112" s="509" t="str">
        <f>IF(ISERROR(VLOOKUP(B112,'Base de Datos'!$C$487:$N$4092,6,0))=TRUE,"Sin Celebrar",(VLOOKUP(B112,'Base de Datos'!$C$487:$N$4092,7,0)))</f>
        <v>Sin Celebrar</v>
      </c>
      <c r="K112" s="573"/>
      <c r="L112" s="553" t="e">
        <f t="shared" si="9"/>
        <v>#N/A</v>
      </c>
      <c r="M112" s="509"/>
      <c r="N112" s="509" t="e">
        <f t="shared" si="10"/>
        <v>#N/A</v>
      </c>
      <c r="O112" s="691" t="str">
        <f>IF(ISERROR(VLOOKUP(B112,'Base de Datos'!$C$487:$K$1048576,7,0))=TRUE," ",(VLOOKUP(B112,'Base de Datos'!$C$487:$K$1048576,8,0)))</f>
        <v xml:space="preserve"> </v>
      </c>
      <c r="P112" s="524" t="str">
        <f>IF(ISERROR(VLOOKUP(B112,'Base de Datos'!$C$487:$N$4077,9,0))=TRUE," ",(VLOOKUP(B112,'Base de Datos'!$C$487:$N$4077,10,0)))</f>
        <v xml:space="preserve"> </v>
      </c>
      <c r="Q112" s="709"/>
      <c r="R112" s="524" t="str">
        <f>IF(ISERROR(VLOOKUP(B112,'Base de Datos'!$C$487:$N$4077,10,0))=TRUE," ",(VLOOKUP(B112,'Base de Datos'!$C$487:$N$4077,11,0)))</f>
        <v xml:space="preserve"> </v>
      </c>
      <c r="S112" s="524" t="str">
        <f>IF(ISERROR(VLOOKUP(B112,'Base de Datos'!$C$487:$N$4077,11,0))=TRUE," ",(VLOOKUP(B112,'Base de Datos'!$C$487:$N$4077,12,0)))</f>
        <v xml:space="preserve"> </v>
      </c>
      <c r="T112" s="506" t="e">
        <f>VLOOKUP(B112,'Base de Datos'!$C$487:$AU$4129,41,0)</f>
        <v>#N/A</v>
      </c>
      <c r="U112" s="694"/>
      <c r="V112" s="607"/>
    </row>
    <row r="113" spans="2:22" ht="24.75" customHeight="1" outlineLevel="1" x14ac:dyDescent="0.3">
      <c r="B113" s="525"/>
      <c r="C113" s="506" t="str">
        <f>IF(ISERROR(VLOOKUP(B113,'Base de Datos'!$C$487:$F$4092,2,0))=TRUE,"",(VLOOKUP('Presupuesto - PAA 2018'!B113,'Base de Datos'!$C$7:$F$4092,3,0)))</f>
        <v/>
      </c>
      <c r="D113" s="506" t="str">
        <f>IF(ISERROR(VLOOKUP(B113,'Base de Datos'!$C$487:$F$4092,3,0))=TRUE,"",(VLOOKUP('Presupuesto - PAA 2018'!B113,'Base de Datos'!$C$487:$F$4092,4,0)))</f>
        <v/>
      </c>
      <c r="E113" s="509" t="e">
        <f>VLOOKUP(B113,[7]PAA2017!$C$65:$AA$255,20,0)</f>
        <v>#N/A</v>
      </c>
      <c r="F113" s="507" t="e">
        <f>VLOOKUP(B113,[8]SOLICITUDES!$B$3:$H$278,2,0)</f>
        <v>#N/A</v>
      </c>
      <c r="G113" s="507"/>
      <c r="H113" s="507"/>
      <c r="I113" s="507"/>
      <c r="J113" s="509" t="str">
        <f>IF(ISERROR(VLOOKUP(B113,'Base de Datos'!$C$487:$N$4092,6,0))=TRUE,"Sin Celebrar",(VLOOKUP(B113,'Base de Datos'!$C$487:$N$4092,7,0)))</f>
        <v>Sin Celebrar</v>
      </c>
      <c r="K113" s="573"/>
      <c r="L113" s="553" t="e">
        <f t="shared" si="9"/>
        <v>#N/A</v>
      </c>
      <c r="M113" s="509"/>
      <c r="N113" s="509" t="e">
        <f t="shared" si="10"/>
        <v>#N/A</v>
      </c>
      <c r="O113" s="691" t="str">
        <f>IF(ISERROR(VLOOKUP(B113,'Base de Datos'!$C$487:$K$1048576,7,0))=TRUE," ",(VLOOKUP(B113,'Base de Datos'!$C$487:$K$1048576,8,0)))</f>
        <v xml:space="preserve"> </v>
      </c>
      <c r="P113" s="524" t="str">
        <f>IF(ISERROR(VLOOKUP(B113,'Base de Datos'!$C$487:$N$4077,9,0))=TRUE," ",(VLOOKUP(B113,'Base de Datos'!$C$487:$N$4077,10,0)))</f>
        <v xml:space="preserve"> </v>
      </c>
      <c r="Q113" s="709"/>
      <c r="R113" s="524" t="str">
        <f>IF(ISERROR(VLOOKUP(B113,'Base de Datos'!$C$487:$N$4077,10,0))=TRUE," ",(VLOOKUP(B113,'Base de Datos'!$C$487:$N$4077,11,0)))</f>
        <v xml:space="preserve"> </v>
      </c>
      <c r="S113" s="524" t="str">
        <f>IF(ISERROR(VLOOKUP(B113,'Base de Datos'!$C$487:$N$4077,11,0))=TRUE," ",(VLOOKUP(B113,'Base de Datos'!$C$487:$N$4077,12,0)))</f>
        <v xml:space="preserve"> </v>
      </c>
      <c r="T113" s="506" t="e">
        <f>VLOOKUP(B113,'Base de Datos'!$C$487:$AU$4129,41,0)</f>
        <v>#N/A</v>
      </c>
      <c r="U113" s="694"/>
      <c r="V113" s="607"/>
    </row>
    <row r="114" spans="2:22" outlineLevel="1" x14ac:dyDescent="0.3">
      <c r="B114" s="506"/>
      <c r="C114" s="506"/>
      <c r="D114" s="506" t="s">
        <v>1934</v>
      </c>
      <c r="E114" s="509" t="e">
        <f>E100-SUM(E102:E113)</f>
        <v>#N/A</v>
      </c>
      <c r="F114" s="507"/>
      <c r="G114" s="507"/>
      <c r="H114" s="507"/>
      <c r="I114" s="507"/>
      <c r="J114" s="509"/>
      <c r="K114" s="573"/>
      <c r="L114" s="509"/>
      <c r="M114" s="509"/>
      <c r="N114" s="527" t="e">
        <f>IF(J114&lt;E114,(E114-J114)," ")</f>
        <v>#N/A</v>
      </c>
      <c r="O114" s="652"/>
      <c r="P114" s="524" t="str">
        <f>IF(ISERROR(VLOOKUP(B114,'Base de Datos'!$C$7:$N$4077,9,0))=TRUE," ",(VLOOKUP(B114,'Base de Datos'!$C$7:$N$4077,9,0)))</f>
        <v xml:space="preserve"> </v>
      </c>
      <c r="Q114" s="506"/>
      <c r="R114" s="529" t="str">
        <f>IF(ISERROR(VLOOKUP(B114,'Base de Datos'!$C$7:$N$4077,10,0))=TRUE," ",(VLOOKUP(B114,'Base de Datos'!$C$7:$N$4077,10,0)))</f>
        <v xml:space="preserve"> </v>
      </c>
      <c r="S114" s="529" t="str">
        <f>IF(ISERROR(VLOOKUP(B114,'Base de Datos'!$C$7:$N$4077,11,0))=TRUE," ",(VLOOKUP(B114,'Base de Datos'!$C$7:$N$4077,11,0)))</f>
        <v xml:space="preserve"> </v>
      </c>
      <c r="T114" s="506"/>
      <c r="U114" s="694"/>
      <c r="V114" s="607"/>
    </row>
    <row r="115" spans="2:22" outlineLevel="1" x14ac:dyDescent="0.3">
      <c r="B115" s="506"/>
      <c r="C115" s="506"/>
      <c r="D115" s="506"/>
      <c r="E115" s="509"/>
      <c r="F115" s="507"/>
      <c r="G115" s="507"/>
      <c r="H115" s="507"/>
      <c r="I115" s="507"/>
      <c r="J115" s="509"/>
      <c r="K115" s="573"/>
      <c r="L115" s="509"/>
      <c r="M115" s="509"/>
      <c r="N115" s="509"/>
      <c r="O115" s="651"/>
      <c r="P115" s="524"/>
      <c r="Q115" s="506"/>
      <c r="R115" s="524"/>
      <c r="S115" s="524"/>
      <c r="T115" s="506"/>
      <c r="U115" s="694"/>
      <c r="V115" s="607"/>
    </row>
    <row r="116" spans="2:22" ht="15" customHeight="1" x14ac:dyDescent="0.3">
      <c r="B116" s="1254" t="s">
        <v>1653</v>
      </c>
      <c r="C116" s="1254"/>
      <c r="D116" s="1254"/>
      <c r="E116" s="530">
        <v>1188000000</v>
      </c>
      <c r="F116" s="531">
        <f>COUNTIF('Actualizada - presupuesto'!$E$7:$E$111,B116)</f>
        <v>0</v>
      </c>
      <c r="G116" s="531"/>
      <c r="H116" s="531"/>
      <c r="I116" s="531"/>
      <c r="J116" s="540">
        <f>+J117</f>
        <v>1048340161</v>
      </c>
      <c r="K116" s="582">
        <f>J116/E116</f>
        <v>0.88244121296296296</v>
      </c>
      <c r="L116" s="540" t="e">
        <f>+L117</f>
        <v>#N/A</v>
      </c>
      <c r="M116" s="540"/>
      <c r="N116" s="540" t="e">
        <f>+N117</f>
        <v>#N/A</v>
      </c>
      <c r="O116" s="658"/>
      <c r="P116" s="546" t="str">
        <f>IF(ISERROR(VLOOKUP(B116,'Base de Datos'!$C$7:$N$315,8,0))=TRUE," ",(VLOOKUP(B116,'Base de Datos'!$C$7:$N$315,8,0)))</f>
        <v xml:space="preserve"> </v>
      </c>
      <c r="Q116" s="547"/>
      <c r="R116" s="546" t="str">
        <f>IF(ISERROR(VLOOKUP(B116,'Base de Datos'!$C$7:$N$315,9,0))=TRUE," ",(VLOOKUP(B116,'Base de Datos'!$C$7:$N$315,9,0)))</f>
        <v xml:space="preserve"> </v>
      </c>
      <c r="S116" s="546" t="str">
        <f>IF(ISERROR(VLOOKUP(B116,'Base de Datos'!$C$7:$N$315,10,0))=TRUE," ",(VLOOKUP(B116,'Base de Datos'!$C$7:$N$315,10,0)))</f>
        <v xml:space="preserve"> </v>
      </c>
      <c r="T116" s="542"/>
      <c r="U116" s="694"/>
      <c r="V116" s="607"/>
    </row>
    <row r="117" spans="2:22" ht="15" customHeight="1" x14ac:dyDescent="0.3">
      <c r="B117" s="1239" t="s">
        <v>1654</v>
      </c>
      <c r="C117" s="1239"/>
      <c r="D117" s="1239"/>
      <c r="E117" s="554">
        <v>1188000000</v>
      </c>
      <c r="F117" s="559">
        <f>COUNTIF('Actualizada - presupuesto'!$E$7:$E$111,B117)</f>
        <v>17</v>
      </c>
      <c r="G117" s="559"/>
      <c r="H117" s="559"/>
      <c r="I117" s="559"/>
      <c r="J117" s="554">
        <f>SUM(J119:J136)</f>
        <v>1048340161</v>
      </c>
      <c r="K117" s="576">
        <f>J117/E117</f>
        <v>0.88244121296296296</v>
      </c>
      <c r="L117" s="554" t="e">
        <f>SUM(L119:L136)</f>
        <v>#N/A</v>
      </c>
      <c r="M117" s="554"/>
      <c r="N117" s="554" t="e">
        <f>+E117-J117-L117</f>
        <v>#N/A</v>
      </c>
      <c r="O117" s="657"/>
      <c r="P117" s="564" t="str">
        <f>IF(ISERROR(VLOOKUP(B117,'Base de Datos'!$C$7:$N$315,8,0))=TRUE," ",(VLOOKUP(B117,'Base de Datos'!$C$7:$N$315,8,0)))</f>
        <v xml:space="preserve"> </v>
      </c>
      <c r="Q117" s="565"/>
      <c r="R117" s="564" t="str">
        <f>IF(ISERROR(VLOOKUP(B117,'Base de Datos'!$C$7:$N$315,9,0))=TRUE," ",(VLOOKUP(B117,'Base de Datos'!$C$7:$N$315,9,0)))</f>
        <v xml:space="preserve"> </v>
      </c>
      <c r="S117" s="564" t="str">
        <f>IF(ISERROR(VLOOKUP(B117,'Base de Datos'!$C$7:$N$315,10,0))=TRUE," ",(VLOOKUP(B117,'Base de Datos'!$C$7:$N$315,10,0)))</f>
        <v xml:space="preserve"> </v>
      </c>
      <c r="T117" s="565"/>
      <c r="U117" s="694"/>
      <c r="V117" s="607"/>
    </row>
    <row r="118" spans="2:22" ht="22.8" outlineLevel="1" x14ac:dyDescent="0.3">
      <c r="B118" s="510" t="s">
        <v>1692</v>
      </c>
      <c r="C118" s="510" t="s">
        <v>912</v>
      </c>
      <c r="D118" s="510" t="s">
        <v>1821</v>
      </c>
      <c r="E118" s="518" t="s">
        <v>1845</v>
      </c>
      <c r="F118" s="507" t="s">
        <v>1852</v>
      </c>
      <c r="G118" s="507"/>
      <c r="H118" s="507"/>
      <c r="I118" s="507"/>
      <c r="J118" s="510" t="s">
        <v>1844</v>
      </c>
      <c r="K118" s="625"/>
      <c r="L118" s="510" t="s">
        <v>1938</v>
      </c>
      <c r="M118" s="510"/>
      <c r="N118" s="510" t="s">
        <v>1939</v>
      </c>
      <c r="O118" s="650"/>
      <c r="P118" s="541" t="s">
        <v>1846</v>
      </c>
      <c r="Q118" s="510" t="s">
        <v>1847</v>
      </c>
      <c r="R118" s="510" t="s">
        <v>1848</v>
      </c>
      <c r="S118" s="510" t="s">
        <v>375</v>
      </c>
      <c r="T118" s="510" t="s">
        <v>1849</v>
      </c>
      <c r="U118" s="694"/>
      <c r="V118" s="607"/>
    </row>
    <row r="119" spans="2:22" outlineLevel="1" x14ac:dyDescent="0.3">
      <c r="B119" s="510">
        <v>174</v>
      </c>
      <c r="C119" s="506" t="str">
        <f>IF(ISERROR(VLOOKUP(B119,'Base de Datos'!$C$487:$F$4092,2,0))=TRUE,"",(VLOOKUP('Presupuesto - PAA 2018'!B119,'Base de Datos'!$C$7:$F$4092,3,0)))</f>
        <v/>
      </c>
      <c r="D119" s="506" t="str">
        <f>IF(ISERROR(VLOOKUP(B119,'Base de Datos'!$C$487:$F$4092,3,0))=TRUE,"",(VLOOKUP('Presupuesto - PAA 2018'!B119,'Base de Datos'!$C$487:$F$4092,4,0)))</f>
        <v/>
      </c>
      <c r="E119" s="509">
        <f>VLOOKUP(B119,[7]PAA2017!$C$65:$AA$255,20,0)</f>
        <v>11000000</v>
      </c>
      <c r="F119" s="507" t="e">
        <f>VLOOKUP(B119,[8]SOLICITUDES!$B$3:$H$278,2,0)</f>
        <v>#N/A</v>
      </c>
      <c r="G119" s="507"/>
      <c r="H119" s="507"/>
      <c r="I119" s="507"/>
      <c r="J119" s="509" t="str">
        <f>IF(ISERROR(VLOOKUP(B119,'Base de Datos'!$C$487:$N$4092,6,0))=TRUE,"Sin Celebrar",(VLOOKUP(B119,'Base de Datos'!$C$487:$N$4092,7,0)))</f>
        <v>Sin Celebrar</v>
      </c>
      <c r="K119" s="573"/>
      <c r="L119" s="553">
        <f t="shared" ref="L119:L135" si="11">IF(J119=$AA$1,E119, " ")</f>
        <v>11000000</v>
      </c>
      <c r="M119" s="509"/>
      <c r="N119" s="509" t="str">
        <f t="shared" ref="N119:N135" si="12">IF(J119&lt;E119,(E119-J119)," ")</f>
        <v xml:space="preserve"> </v>
      </c>
      <c r="O119" s="691" t="str">
        <f>IF(ISERROR(VLOOKUP(B119,'Base de Datos'!$C$487:$K$1048576,7,0))=TRUE," ",(VLOOKUP(B119,'Base de Datos'!$C$487:$K$1048576,8,0)))</f>
        <v xml:space="preserve"> </v>
      </c>
      <c r="P119" s="524" t="str">
        <f>IF(ISERROR(VLOOKUP(B119,'Base de Datos'!$C$487:$N$4077,9,0))=TRUE," ",(VLOOKUP(B119,'Base de Datos'!$C$487:$N$4077,10,0)))</f>
        <v xml:space="preserve"> </v>
      </c>
      <c r="Q119" s="709"/>
      <c r="R119" s="524" t="str">
        <f>IF(ISERROR(VLOOKUP(B119,'Base de Datos'!$C$487:$N$4077,10,0))=TRUE," ",(VLOOKUP(B119,'Base de Datos'!$C$487:$N$4077,11,0)))</f>
        <v xml:space="preserve"> </v>
      </c>
      <c r="S119" s="524" t="str">
        <f>IF(ISERROR(VLOOKUP(B119,'Base de Datos'!$C$487:$N$4077,11,0))=TRUE," ",(VLOOKUP(B119,'Base de Datos'!$C$487:$N$4077,12,0)))</f>
        <v xml:space="preserve"> </v>
      </c>
      <c r="T119" s="506" t="e">
        <f>VLOOKUP(B119,'Base de Datos'!$C$487:$AU$4129,41,0)</f>
        <v>#N/A</v>
      </c>
      <c r="U119" s="694"/>
      <c r="V119" s="607"/>
    </row>
    <row r="120" spans="2:22" ht="12" customHeight="1" outlineLevel="1" x14ac:dyDescent="0.3">
      <c r="B120" s="510">
        <v>175</v>
      </c>
      <c r="C120" s="506" t="str">
        <f>IF(ISERROR(VLOOKUP(B120,'Base de Datos'!$C$487:$F$4092,2,0))=TRUE,"",(VLOOKUP('Presupuesto - PAA 2018'!B120,'Base de Datos'!$C$7:$F$4092,3,0)))</f>
        <v>150191-0-2015</v>
      </c>
      <c r="D120" s="506" t="str">
        <f>IF(ISERROR(VLOOKUP(B120,'Base de Datos'!$C$487:$F$4092,3,0))=TRUE,"",(VLOOKUP('Presupuesto - PAA 2018'!B120,'Base de Datos'!$C$487:$F$4092,4,0)))</f>
        <v>CONTRONET LTDA</v>
      </c>
      <c r="E120" s="509">
        <f>VLOOKUP(B120,[7]PAA2017!$C$65:$AA$255,20,0)</f>
        <v>7000000</v>
      </c>
      <c r="F120" s="507" t="e">
        <f>VLOOKUP(B120,[8]SOLICITUDES!$B$3:$H$278,2,0)</f>
        <v>#N/A</v>
      </c>
      <c r="G120" s="507"/>
      <c r="H120" s="507"/>
      <c r="I120" s="507"/>
      <c r="J120" s="509">
        <f>IF(ISERROR(VLOOKUP(B120,'Base de Datos'!$C$487:$N$4092,6,0))=TRUE,"Sin Celebrar",(VLOOKUP(B120,'Base de Datos'!$C$487:$N$4092,7,0)))</f>
        <v>30000000</v>
      </c>
      <c r="K120" s="573"/>
      <c r="L120" s="553" t="str">
        <f t="shared" si="11"/>
        <v xml:space="preserve"> </v>
      </c>
      <c r="M120" s="509"/>
      <c r="N120" s="509" t="str">
        <f t="shared" si="12"/>
        <v xml:space="preserve"> </v>
      </c>
      <c r="O120" s="691" t="str">
        <f>IF(ISERROR(VLOOKUP(B120,'Base de Datos'!$C$487:$K$1048576,7,0))=TRUE," ",(VLOOKUP(B120,'Base de Datos'!$C$487:$K$1048576,8,0)))</f>
        <v>SDH-SMINC-40-2018</v>
      </c>
      <c r="P120" s="524">
        <f>IF(ISERROR(VLOOKUP(B120,'Base de Datos'!$C$487:$N$4077,9,0))=TRUE," ",(VLOOKUP(B120,'Base de Datos'!$C$487:$N$4077,10,0)))</f>
        <v>43340</v>
      </c>
      <c r="Q120" s="709"/>
      <c r="R120" s="524">
        <f>IF(ISERROR(VLOOKUP(B120,'Base de Datos'!$C$487:$N$4077,10,0))=TRUE," ",(VLOOKUP(B120,'Base de Datos'!$C$487:$N$4077,11,0)))</f>
        <v>43355</v>
      </c>
      <c r="S120" s="524">
        <f>IF(ISERROR(VLOOKUP(B120,'Base de Datos'!$C$487:$N$4077,11,0))=TRUE," ",(VLOOKUP(B120,'Base de Datos'!$C$487:$N$4077,12,0)))</f>
        <v>43535</v>
      </c>
      <c r="T120" s="506" t="str">
        <f>VLOOKUP(B120,'Base de Datos'!$C$487:$AU$4129,41,0)</f>
        <v>LIQUIDADO</v>
      </c>
      <c r="U120" s="694"/>
      <c r="V120" s="607"/>
    </row>
    <row r="121" spans="2:22" ht="22.8" outlineLevel="1" x14ac:dyDescent="0.3">
      <c r="B121" s="510">
        <v>182</v>
      </c>
      <c r="C121" s="506" t="str">
        <f>IF(ISERROR(VLOOKUP(B121,'Base de Datos'!$C$487:$F$4092,2,0))=TRUE,"",(VLOOKUP('Presupuesto - PAA 2018'!B121,'Base de Datos'!$C$7:$F$4092,3,0)))</f>
        <v>150260-0-2015</v>
      </c>
      <c r="D121" s="506" t="str">
        <f>IF(ISERROR(VLOOKUP(B121,'Base de Datos'!$C$487:$F$4092,3,0))=TRUE,"",(VLOOKUP('Presupuesto - PAA 2018'!B121,'Base de Datos'!$C$487:$F$4092,4,0)))</f>
        <v>SOLUCIONES H &amp; S S.A.S</v>
      </c>
      <c r="E121" s="509">
        <f>VLOOKUP(B121,[7]PAA2017!$C$65:$AA$255,20,0)</f>
        <v>3000000</v>
      </c>
      <c r="F121" s="507" t="str">
        <f>VLOOKUP(B121,[8]SOLICITUDES!$B$3:$H$278,2,0)</f>
        <v>SI</v>
      </c>
      <c r="G121" s="507"/>
      <c r="H121" s="507"/>
      <c r="I121" s="507"/>
      <c r="J121" s="509">
        <f>IF(ISERROR(VLOOKUP(B121,'Base de Datos'!$C$487:$N$4092,6,0))=TRUE,"Sin Celebrar",(VLOOKUP(B121,'Base de Datos'!$C$487:$N$4092,7,0)))</f>
        <v>2585000</v>
      </c>
      <c r="K121" s="573"/>
      <c r="L121" s="553" t="str">
        <f t="shared" si="11"/>
        <v xml:space="preserve"> </v>
      </c>
      <c r="M121" s="509"/>
      <c r="N121" s="509">
        <f t="shared" si="12"/>
        <v>415000</v>
      </c>
      <c r="O121" s="691" t="str">
        <f>IF(ISERROR(VLOOKUP(B121,'Base de Datos'!$C$487:$K$1048576,7,0))=TRUE," ",(VLOOKUP(B121,'Base de Datos'!$C$487:$K$1048576,8,0)))</f>
        <v xml:space="preserve"> SDH-SMINC-05-2017</v>
      </c>
      <c r="P121" s="524">
        <f>IF(ISERROR(VLOOKUP(B121,'Base de Datos'!$C$487:$N$4077,9,0))=TRUE," ",(VLOOKUP(B121,'Base de Datos'!$C$487:$N$4077,10,0)))</f>
        <v>42811</v>
      </c>
      <c r="Q121" s="709"/>
      <c r="R121" s="524">
        <f>IF(ISERROR(VLOOKUP(B121,'Base de Datos'!$C$487:$N$4077,10,0))=TRUE," ",(VLOOKUP(B121,'Base de Datos'!$C$487:$N$4077,11,0)))</f>
        <v>42846</v>
      </c>
      <c r="S121" s="524">
        <f>IF(ISERROR(VLOOKUP(B121,'Base de Datos'!$C$487:$N$4077,11,0))=TRUE," ",(VLOOKUP(B121,'Base de Datos'!$C$487:$N$4077,12,0)))</f>
        <v>43211</v>
      </c>
      <c r="T121" s="506" t="str">
        <f>VLOOKUP(B121,'Base de Datos'!$C$487:$AU$4129,41,0)</f>
        <v>LIQUIDADO</v>
      </c>
      <c r="U121" s="694"/>
      <c r="V121" s="607"/>
    </row>
    <row r="122" spans="2:22" ht="13.5" customHeight="1" outlineLevel="1" x14ac:dyDescent="0.3">
      <c r="B122" s="510">
        <v>184</v>
      </c>
      <c r="C122" s="506" t="str">
        <f>IF(ISERROR(VLOOKUP(B122,'Base de Datos'!$C$487:$F$4092,2,0))=TRUE,"",(VLOOKUP('Presupuesto - PAA 2018'!B122,'Base de Datos'!$C$7:$F$4092,3,0)))</f>
        <v>150386-0-2015</v>
      </c>
      <c r="D122" s="506" t="str">
        <f>IF(ISERROR(VLOOKUP(B122,'Base de Datos'!$C$487:$F$4092,3,0))=TRUE,"",(VLOOKUP('Presupuesto - PAA 2018'!B122,'Base de Datos'!$C$487:$F$4092,4,0)))</f>
        <v>ESTACION DE SERVIICIO CARRERA 50 S.A.S</v>
      </c>
      <c r="E122" s="509">
        <f>VLOOKUP(B122,[7]PAA2017!$C$65:$AA$255,20,0)</f>
        <v>59000000</v>
      </c>
      <c r="F122" s="507" t="str">
        <f>VLOOKUP(B122,[8]SOLICITUDES!$B$3:$H$278,2,0)</f>
        <v>SI</v>
      </c>
      <c r="G122" s="507"/>
      <c r="H122" s="507"/>
      <c r="I122" s="507"/>
      <c r="J122" s="509">
        <f>IF(ISERROR(VLOOKUP(B122,'Base de Datos'!$C$487:$N$4092,6,0))=TRUE,"Sin Celebrar",(VLOOKUP(B122,'Base de Datos'!$C$487:$N$4092,7,0)))</f>
        <v>39000000</v>
      </c>
      <c r="K122" s="573"/>
      <c r="L122" s="553" t="str">
        <f t="shared" si="11"/>
        <v xml:space="preserve"> </v>
      </c>
      <c r="M122" s="509"/>
      <c r="N122" s="509">
        <f t="shared" si="12"/>
        <v>20000000</v>
      </c>
      <c r="O122" s="691" t="str">
        <f>IF(ISERROR(VLOOKUP(B122,'Base de Datos'!$C$487:$K$1048576,7,0))=TRUE," ",(VLOOKUP(B122,'Base de Datos'!$C$487:$K$1048576,8,0)))</f>
        <v>SDH-SMINC-08-2017</v>
      </c>
      <c r="P122" s="524">
        <f>IF(ISERROR(VLOOKUP(B122,'Base de Datos'!$C$487:$N$4077,9,0))=TRUE," ",(VLOOKUP(B122,'Base de Datos'!$C$487:$N$4077,10,0)))</f>
        <v>42823</v>
      </c>
      <c r="Q122" s="709"/>
      <c r="R122" s="524">
        <f>IF(ISERROR(VLOOKUP(B122,'Base de Datos'!$C$487:$N$4077,10,0))=TRUE," ",(VLOOKUP(B122,'Base de Datos'!$C$487:$N$4077,11,0)))</f>
        <v>42846</v>
      </c>
      <c r="S122" s="524">
        <f>IF(ISERROR(VLOOKUP(B122,'Base de Datos'!$C$487:$N$4077,11,0))=TRUE," ",(VLOOKUP(B122,'Base de Datos'!$C$487:$N$4077,12,0)))</f>
        <v>43186</v>
      </c>
      <c r="T122" s="506" t="str">
        <f>VLOOKUP(B122,'Base de Datos'!$C$487:$AU$4129,41,0)</f>
        <v>LIQUIDADO</v>
      </c>
      <c r="U122" s="694"/>
      <c r="V122" s="607"/>
    </row>
    <row r="123" spans="2:22" ht="10.5" customHeight="1" outlineLevel="1" x14ac:dyDescent="0.3">
      <c r="B123" s="600">
        <v>185</v>
      </c>
      <c r="C123" s="506" t="str">
        <f>IF(ISERROR(VLOOKUP(B123,'Base de Datos'!$C$487:$F$4092,2,0))=TRUE,"",(VLOOKUP('Presupuesto - PAA 2018'!B123,'Base de Datos'!$C$7:$F$4092,3,0)))</f>
        <v>150377-0-2015</v>
      </c>
      <c r="D123" s="506" t="str">
        <f>IF(ISERROR(VLOOKUP(B123,'Base de Datos'!$C$487:$F$4092,3,0))=TRUE,"",(VLOOKUP('Presupuesto - PAA 2018'!B123,'Base de Datos'!$C$487:$F$4092,4,0)))</f>
        <v>INGENIERIA Y SOLUCIONES EN CONTROL AUTOMATIZACION Y DISEÑO SAS</v>
      </c>
      <c r="E123" s="509">
        <f>VLOOKUP(B123,[7]PAA2017!$C$65:$AA$255,20,0)</f>
        <v>5000000</v>
      </c>
      <c r="F123" s="507" t="str">
        <f>VLOOKUP(B123,[8]SOLICITUDES!$B$3:$H$278,2,0)</f>
        <v>SI</v>
      </c>
      <c r="G123" s="507"/>
      <c r="H123" s="507"/>
      <c r="I123" s="507"/>
      <c r="J123" s="509">
        <f>IF(ISERROR(VLOOKUP(B123,'Base de Datos'!$C$487:$N$4092,6,0))=TRUE,"Sin Celebrar",(VLOOKUP(B123,'Base de Datos'!$C$487:$N$4092,7,0)))</f>
        <v>1802850</v>
      </c>
      <c r="K123" s="573"/>
      <c r="L123" s="553" t="str">
        <f t="shared" si="11"/>
        <v xml:space="preserve"> </v>
      </c>
      <c r="M123" s="509"/>
      <c r="N123" s="509">
        <f t="shared" si="12"/>
        <v>3197150</v>
      </c>
      <c r="O123" s="691" t="str">
        <f>IF(ISERROR(VLOOKUP(B123,'Base de Datos'!$C$487:$K$1048576,7,0))=TRUE," ",(VLOOKUP(B123,'Base de Datos'!$C$487:$K$1048576,8,0)))</f>
        <v>SDH-SMINC-13-2017</v>
      </c>
      <c r="P123" s="524">
        <f>IF(ISERROR(VLOOKUP(B123,'Base de Datos'!$C$487:$N$4077,9,0))=TRUE," ",(VLOOKUP(B123,'Base de Datos'!$C$487:$N$4077,10,0)))</f>
        <v>42877</v>
      </c>
      <c r="Q123" s="709"/>
      <c r="R123" s="524">
        <f>IF(ISERROR(VLOOKUP(B123,'Base de Datos'!$C$487:$N$4077,10,0))=TRUE," ",(VLOOKUP(B123,'Base de Datos'!$C$487:$N$4077,11,0)))</f>
        <v>42887</v>
      </c>
      <c r="S123" s="524">
        <f>IF(ISERROR(VLOOKUP(B123,'Base de Datos'!$C$487:$N$4077,11,0))=TRUE," ",(VLOOKUP(B123,'Base de Datos'!$C$487:$N$4077,12,0)))</f>
        <v>43191</v>
      </c>
      <c r="T123" s="506" t="str">
        <f>VLOOKUP(B123,'Base de Datos'!$C$487:$AU$4129,41,0)</f>
        <v>LIQUIDADO</v>
      </c>
      <c r="U123" s="694"/>
      <c r="V123" s="607"/>
    </row>
    <row r="124" spans="2:22" outlineLevel="1" x14ac:dyDescent="0.3">
      <c r="B124" s="510">
        <v>186</v>
      </c>
      <c r="C124" s="506" t="str">
        <f>IF(ISERROR(VLOOKUP(B124,'Base de Datos'!$C$487:$F$4092,2,0))=TRUE,"",(VLOOKUP('Presupuesto - PAA 2018'!B124,'Base de Datos'!$C$7:$F$4092,3,0)))</f>
        <v>150353-0-2015</v>
      </c>
      <c r="D124" s="506" t="str">
        <f>IF(ISERROR(VLOOKUP(B124,'Base de Datos'!$C$487:$F$4092,3,0))=TRUE,"",(VLOOKUP('Presupuesto - PAA 2018'!B124,'Base de Datos'!$C$487:$F$4092,4,0)))</f>
        <v xml:space="preserve">MOTORES Y MAQUINAS S.A. MOTORYSA </v>
      </c>
      <c r="E124" s="509">
        <f>VLOOKUP(B124,[7]PAA2017!$C$65:$AA$255,20,0)</f>
        <v>33000000</v>
      </c>
      <c r="F124" s="507" t="e">
        <f>VLOOKUP(B124,[8]SOLICITUDES!$B$3:$H$278,2,0)</f>
        <v>#N/A</v>
      </c>
      <c r="G124" s="507"/>
      <c r="H124" s="507"/>
      <c r="I124" s="507"/>
      <c r="J124" s="509">
        <f>IF(ISERROR(VLOOKUP(B124,'Base de Datos'!$C$487:$N$4092,6,0))=TRUE,"Sin Celebrar",(VLOOKUP(B124,'Base de Datos'!$C$487:$N$4092,7,0)))</f>
        <v>28800000</v>
      </c>
      <c r="K124" s="573"/>
      <c r="L124" s="553" t="str">
        <f t="shared" si="11"/>
        <v xml:space="preserve"> </v>
      </c>
      <c r="M124" s="509"/>
      <c r="N124" s="509">
        <f t="shared" si="12"/>
        <v>4200000</v>
      </c>
      <c r="O124" s="691">
        <f>IF(ISERROR(VLOOKUP(B124,'Base de Datos'!$C$487:$K$1048576,7,0))=TRUE," ",(VLOOKUP(B124,'Base de Datos'!$C$487:$K$1048576,8,0)))</f>
        <v>0</v>
      </c>
      <c r="P124" s="524">
        <f>IF(ISERROR(VLOOKUP(B124,'Base de Datos'!$C$487:$N$4077,9,0))=TRUE," ",(VLOOKUP(B124,'Base de Datos'!$C$487:$N$4077,10,0)))</f>
        <v>42803</v>
      </c>
      <c r="Q124" s="709"/>
      <c r="R124" s="524">
        <f>IF(ISERROR(VLOOKUP(B124,'Base de Datos'!$C$487:$N$4077,10,0))=TRUE," ",(VLOOKUP(B124,'Base de Datos'!$C$487:$N$4077,11,0)))</f>
        <v>42810</v>
      </c>
      <c r="S124" s="524">
        <f>IF(ISERROR(VLOOKUP(B124,'Base de Datos'!$C$487:$N$4077,11,0))=TRUE," ",(VLOOKUP(B124,'Base de Datos'!$C$487:$N$4077,12,0)))</f>
        <v>43175</v>
      </c>
      <c r="T124" s="506" t="str">
        <f>VLOOKUP(B124,'Base de Datos'!$C$487:$AU$4129,41,0)</f>
        <v>LIQUIDADO</v>
      </c>
      <c r="U124" s="694"/>
      <c r="V124" s="607"/>
    </row>
    <row r="125" spans="2:22" outlineLevel="1" x14ac:dyDescent="0.3">
      <c r="B125" s="510">
        <v>189</v>
      </c>
      <c r="C125" s="506" t="str">
        <f>IF(ISERROR(VLOOKUP(B125,'Base de Datos'!$C$487:$F$4092,2,0))=TRUE,"",(VLOOKUP('Presupuesto - PAA 2018'!B125,'Base de Datos'!$C$7:$F$4092,3,0)))</f>
        <v>150316-0-2015</v>
      </c>
      <c r="D125" s="506" t="str">
        <f>IF(ISERROR(VLOOKUP(B125,'Base de Datos'!$C$487:$F$4092,3,0))=TRUE,"",(VLOOKUP('Presupuesto - PAA 2018'!B125,'Base de Datos'!$C$487:$F$4092,4,0)))</f>
        <v>SERVIASEO S.A.</v>
      </c>
      <c r="E125" s="509">
        <f>VLOOKUP(B125,[7]PAA2017!$C$65:$AA$255,20,0)</f>
        <v>1708200000</v>
      </c>
      <c r="F125" s="507" t="str">
        <f>VLOOKUP(B125,[8]SOLICITUDES!$B$3:$H$278,2,0)</f>
        <v>SI</v>
      </c>
      <c r="G125" s="507"/>
      <c r="H125" s="507"/>
      <c r="I125" s="507"/>
      <c r="J125" s="509">
        <f>IF(ISERROR(VLOOKUP(B125,'Base de Datos'!$C$487:$N$4092,6,0))=TRUE,"Sin Celebrar",(VLOOKUP(B125,'Base de Datos'!$C$487:$N$4092,7,0)))</f>
        <v>270913000</v>
      </c>
      <c r="K125" s="573"/>
      <c r="L125" s="553" t="str">
        <f t="shared" si="11"/>
        <v xml:space="preserve"> </v>
      </c>
      <c r="M125" s="509"/>
      <c r="N125" s="509">
        <f t="shared" si="12"/>
        <v>1437287000</v>
      </c>
      <c r="O125" s="691" t="str">
        <f>IF(ISERROR(VLOOKUP(B125,'Base de Datos'!$C$487:$K$1048576,7,0))=TRUE," ",(VLOOKUP(B125,'Base de Datos'!$C$487:$K$1048576,8,0)))</f>
        <v xml:space="preserve"> SDH-LP-01-2017</v>
      </c>
      <c r="P125" s="524">
        <f>IF(ISERROR(VLOOKUP(B125,'Base de Datos'!$C$487:$N$4077,9,0))=TRUE," ",(VLOOKUP(B125,'Base de Datos'!$C$487:$N$4077,10,0)))</f>
        <v>42825</v>
      </c>
      <c r="Q125" s="709"/>
      <c r="R125" s="524">
        <f>IF(ISERROR(VLOOKUP(B125,'Base de Datos'!$C$487:$N$4077,10,0))=TRUE," ",(VLOOKUP(B125,'Base de Datos'!$C$487:$N$4077,11,0)))</f>
        <v>42829</v>
      </c>
      <c r="S125" s="524">
        <f>IF(ISERROR(VLOOKUP(B125,'Base de Datos'!$C$487:$N$4077,11,0))=TRUE," ",(VLOOKUP(B125,'Base de Datos'!$C$487:$N$4077,12,0)))</f>
        <v>43073</v>
      </c>
      <c r="T125" s="506" t="str">
        <f>VLOOKUP(B125,'Base de Datos'!$C$487:$AU$4129,41,0)</f>
        <v>LIQUIDADO</v>
      </c>
      <c r="U125" s="694"/>
      <c r="V125" s="607"/>
    </row>
    <row r="126" spans="2:22" ht="15" customHeight="1" outlineLevel="1" x14ac:dyDescent="0.3">
      <c r="B126" s="510">
        <v>193</v>
      </c>
      <c r="C126" s="506" t="str">
        <f>IF(ISERROR(VLOOKUP(B126,'Base de Datos'!$C$487:$F$4092,2,0))=TRUE,"",(VLOOKUP('Presupuesto - PAA 2018'!B126,'Base de Datos'!$C$7:$F$4092,3,0)))</f>
        <v>170157-0-2017</v>
      </c>
      <c r="D126" s="506" t="str">
        <f>IF(ISERROR(VLOOKUP(B126,'Base de Datos'!$C$487:$F$4092,3,0))=TRUE,"",(VLOOKUP('Presupuesto - PAA 2018'!B126,'Base de Datos'!$C$487:$F$4092,4,0)))</f>
        <v>ALL IN SERVICE SAS</v>
      </c>
      <c r="E126" s="509">
        <f>VLOOKUP(B126,[7]PAA2017!$C$65:$AA$255,20,0)</f>
        <v>149553000</v>
      </c>
      <c r="F126" s="507" t="str">
        <f>VLOOKUP(B126,[8]SOLICITUDES!$B$3:$H$278,2,0)</f>
        <v>SI</v>
      </c>
      <c r="G126" s="507"/>
      <c r="H126" s="507"/>
      <c r="I126" s="507"/>
      <c r="J126" s="509">
        <f>IF(ISERROR(VLOOKUP(B126,'Base de Datos'!$C$487:$N$4092,6,0))=TRUE,"Sin Celebrar",(VLOOKUP(B126,'Base de Datos'!$C$487:$N$4092,7,0)))</f>
        <v>29000000</v>
      </c>
      <c r="K126" s="573"/>
      <c r="L126" s="553" t="str">
        <f t="shared" si="11"/>
        <v xml:space="preserve"> </v>
      </c>
      <c r="M126" s="509"/>
      <c r="N126" s="509">
        <f t="shared" si="12"/>
        <v>120553000</v>
      </c>
      <c r="O126" s="691" t="str">
        <f>IF(ISERROR(VLOOKUP(B126,'Base de Datos'!$C$487:$K$1048576,7,0))=TRUE," ",(VLOOKUP(B126,'Base de Datos'!$C$487:$K$1048576,8,0)))</f>
        <v>SDH-SAMC-01-2017</v>
      </c>
      <c r="P126" s="524">
        <f>IF(ISERROR(VLOOKUP(B126,'Base de Datos'!$C$487:$N$4077,9,0))=TRUE," ",(VLOOKUP(B126,'Base de Datos'!$C$487:$N$4077,10,0)))</f>
        <v>42893</v>
      </c>
      <c r="Q126" s="709"/>
      <c r="R126" s="524">
        <f>IF(ISERROR(VLOOKUP(B126,'Base de Datos'!$C$487:$N$4077,10,0))=TRUE," ",(VLOOKUP(B126,'Base de Datos'!$C$487:$N$4077,11,0)))</f>
        <v>42920</v>
      </c>
      <c r="S126" s="524">
        <f>IF(ISERROR(VLOOKUP(B126,'Base de Datos'!$C$487:$N$4077,11,0))=TRUE," ",(VLOOKUP(B126,'Base de Datos'!$C$487:$N$4077,12,0)))</f>
        <v>43194</v>
      </c>
      <c r="T126" s="506" t="str">
        <f>VLOOKUP(B126,'Base de Datos'!$C$487:$AU$4129,41,0)</f>
        <v>LIQUIDADO</v>
      </c>
      <c r="U126" s="694"/>
      <c r="V126" s="607"/>
    </row>
    <row r="127" spans="2:22" outlineLevel="1" x14ac:dyDescent="0.3">
      <c r="B127" s="510">
        <v>194</v>
      </c>
      <c r="C127" s="506" t="str">
        <f>IF(ISERROR(VLOOKUP(B127,'Base de Datos'!$C$487:$F$4092,2,0))=TRUE,"",(VLOOKUP('Presupuesto - PAA 2018'!B127,'Base de Datos'!$C$7:$F$4092,3,0)))</f>
        <v>170079-0-2017</v>
      </c>
      <c r="D127" s="506" t="str">
        <f>IF(ISERROR(VLOOKUP(B127,'Base de Datos'!$C$487:$F$4092,3,0))=TRUE,"",(VLOOKUP('Presupuesto - PAA 2018'!B127,'Base de Datos'!$C$487:$F$4092,4,0)))</f>
        <v>AGR SOLUCIONES SAS</v>
      </c>
      <c r="E127" s="509">
        <f>VLOOKUP(B127,[7]PAA2017!$C$65:$AA$255,20,0)</f>
        <v>13000000</v>
      </c>
      <c r="F127" s="507" t="e">
        <f>VLOOKUP(B127,[8]SOLICITUDES!$B$3:$H$278,2,0)</f>
        <v>#N/A</v>
      </c>
      <c r="G127" s="507"/>
      <c r="H127" s="507"/>
      <c r="I127" s="507"/>
      <c r="J127" s="509">
        <f>IF(ISERROR(VLOOKUP(B127,'Base de Datos'!$C$487:$N$4092,6,0))=TRUE,"Sin Celebrar",(VLOOKUP(B127,'Base de Datos'!$C$487:$N$4092,7,0)))</f>
        <v>3725711</v>
      </c>
      <c r="K127" s="573"/>
      <c r="L127" s="553" t="str">
        <f t="shared" si="11"/>
        <v xml:space="preserve"> </v>
      </c>
      <c r="M127" s="509"/>
      <c r="N127" s="509">
        <f t="shared" si="12"/>
        <v>9274289</v>
      </c>
      <c r="O127" s="691" t="str">
        <f>IF(ISERROR(VLOOKUP(B127,'Base de Datos'!$C$487:$K$1048576,7,0))=TRUE," ",(VLOOKUP(B127,'Base de Datos'!$C$487:$K$1048576,8,0)))</f>
        <v>SDH-SMINC-09-2017</v>
      </c>
      <c r="P127" s="524">
        <f>IF(ISERROR(VLOOKUP(B127,'Base de Datos'!$C$487:$N$4077,9,0))=TRUE," ",(VLOOKUP(B127,'Base de Datos'!$C$487:$N$4077,10,0)))</f>
        <v>42823</v>
      </c>
      <c r="Q127" s="709"/>
      <c r="R127" s="524">
        <f>IF(ISERROR(VLOOKUP(B127,'Base de Datos'!$C$487:$N$4077,10,0))=TRUE," ",(VLOOKUP(B127,'Base de Datos'!$C$487:$N$4077,11,0)))</f>
        <v>42831</v>
      </c>
      <c r="S127" s="524">
        <f>IF(ISERROR(VLOOKUP(B127,'Base de Datos'!$C$487:$N$4077,11,0))=TRUE," ",(VLOOKUP(B127,'Base de Datos'!$C$487:$N$4077,12,0)))</f>
        <v>43196</v>
      </c>
      <c r="T127" s="506" t="str">
        <f>VLOOKUP(B127,'Base de Datos'!$C$487:$AU$4129,41,0)</f>
        <v>EN TRÁMITE</v>
      </c>
      <c r="U127" s="694"/>
      <c r="V127" s="607"/>
    </row>
    <row r="128" spans="2:22" ht="12" customHeight="1" outlineLevel="1" x14ac:dyDescent="0.3">
      <c r="B128" s="510">
        <v>195</v>
      </c>
      <c r="C128" s="506" t="str">
        <f>IF(ISERROR(VLOOKUP(B128,'Base de Datos'!$C$487:$F$4092,2,0))=TRUE,"",(VLOOKUP('Presupuesto - PAA 2018'!B128,'Base de Datos'!$C$7:$F$4092,3,0)))</f>
        <v>170059-0-2017</v>
      </c>
      <c r="D128" s="506" t="str">
        <f>IF(ISERROR(VLOOKUP(B128,'Base de Datos'!$C$487:$F$4092,3,0))=TRUE,"",(VLOOKUP('Presupuesto - PAA 2018'!B128,'Base de Datos'!$C$487:$F$4092,4,0)))</f>
        <v>HERNANDO BULLA ORJUELA</v>
      </c>
      <c r="E128" s="509">
        <f>VLOOKUP(B128,[7]PAA2017!$C$65:$AA$255,20,0)</f>
        <v>62000000</v>
      </c>
      <c r="F128" s="507" t="str">
        <f>VLOOKUP(B128,[8]SOLICITUDES!$B$3:$H$278,2,0)</f>
        <v>SI</v>
      </c>
      <c r="G128" s="507"/>
      <c r="H128" s="507"/>
      <c r="I128" s="507"/>
      <c r="J128" s="509">
        <f>IF(ISERROR(VLOOKUP(B128,'Base de Datos'!$C$487:$N$4092,6,0))=TRUE,"Sin Celebrar",(VLOOKUP(B128,'Base de Datos'!$C$487:$N$4092,7,0)))</f>
        <v>34535000</v>
      </c>
      <c r="K128" s="573"/>
      <c r="L128" s="553" t="str">
        <f t="shared" si="11"/>
        <v xml:space="preserve"> </v>
      </c>
      <c r="M128" s="509"/>
      <c r="N128" s="509">
        <f t="shared" si="12"/>
        <v>27465000</v>
      </c>
      <c r="O128" s="691" t="str">
        <f>IF(ISERROR(VLOOKUP(B128,'Base de Datos'!$C$487:$K$1048576,7,0))=TRUE," ",(VLOOKUP(B128,'Base de Datos'!$C$487:$K$1048576,8,0)))</f>
        <v>SDH-SMINC-07-2017</v>
      </c>
      <c r="P128" s="524">
        <f>IF(ISERROR(VLOOKUP(B128,'Base de Datos'!$C$487:$N$4077,9,0))=TRUE," ",(VLOOKUP(B128,'Base de Datos'!$C$487:$N$4077,10,0)))</f>
        <v>42811</v>
      </c>
      <c r="Q128" s="709"/>
      <c r="R128" s="524">
        <f>IF(ISERROR(VLOOKUP(B128,'Base de Datos'!$C$487:$N$4077,10,0))=TRUE," ",(VLOOKUP(B128,'Base de Datos'!$C$487:$N$4077,11,0)))</f>
        <v>42831</v>
      </c>
      <c r="S128" s="524">
        <f>IF(ISERROR(VLOOKUP(B128,'Base de Datos'!$C$487:$N$4077,11,0))=TRUE," ",(VLOOKUP(B128,'Base de Datos'!$C$487:$N$4077,12,0)))</f>
        <v>43196</v>
      </c>
      <c r="T128" s="506" t="str">
        <f>VLOOKUP(B128,'Base de Datos'!$C$487:$AU$4129,41,0)</f>
        <v>LIQUIDADO</v>
      </c>
      <c r="U128" s="694"/>
      <c r="V128" s="607"/>
    </row>
    <row r="129" spans="2:22" outlineLevel="1" x14ac:dyDescent="0.3">
      <c r="B129" s="510">
        <v>196</v>
      </c>
      <c r="C129" s="506" t="str">
        <f>IF(ISERROR(VLOOKUP(B129,'Base de Datos'!$C$487:$F$4092,2,0))=TRUE,"",(VLOOKUP('Presupuesto - PAA 2018'!B129,'Base de Datos'!$C$7:$F$4092,3,0)))</f>
        <v>160150-0-2016</v>
      </c>
      <c r="D129" s="506" t="str">
        <f>IF(ISERROR(VLOOKUP(B129,'Base de Datos'!$C$487:$F$4092,3,0))=TRUE,"",(VLOOKUP('Presupuesto - PAA 2018'!B129,'Base de Datos'!$C$487:$F$4092,4,0)))</f>
        <v>UNION TEMPORAL GRANADINA SERACIS</v>
      </c>
      <c r="E129" s="509">
        <f>VLOOKUP(B129,[7]PAA2017!$C$65:$AA$255,20,0)</f>
        <v>7711363000</v>
      </c>
      <c r="F129" s="507" t="str">
        <f>VLOOKUP(B129,[8]SOLICITUDES!$B$3:$H$278,2,0)</f>
        <v>SI</v>
      </c>
      <c r="G129" s="507"/>
      <c r="H129" s="507"/>
      <c r="I129" s="507"/>
      <c r="J129" s="509">
        <f>IF(ISERROR(VLOOKUP(B129,'Base de Datos'!$C$487:$N$4092,6,0))=TRUE,"Sin Celebrar",(VLOOKUP(B129,'Base de Datos'!$C$487:$N$4092,7,0)))</f>
        <v>578014000</v>
      </c>
      <c r="K129" s="573"/>
      <c r="L129" s="553" t="str">
        <f t="shared" si="11"/>
        <v xml:space="preserve"> </v>
      </c>
      <c r="M129" s="509"/>
      <c r="N129" s="509">
        <f t="shared" si="12"/>
        <v>7133349000</v>
      </c>
      <c r="O129" s="691" t="str">
        <f>IF(ISERROR(VLOOKUP(B129,'Base de Datos'!$C$487:$K$1048576,7,0))=TRUE," ",(VLOOKUP(B129,'Base de Datos'!$C$487:$K$1048576,8,0)))</f>
        <v>SDH-LP-02-2017</v>
      </c>
      <c r="P129" s="524">
        <f>IF(ISERROR(VLOOKUP(B129,'Base de Datos'!$C$487:$N$4077,9,0))=TRUE," ",(VLOOKUP(B129,'Base de Datos'!$C$487:$N$4077,10,0)))</f>
        <v>42929</v>
      </c>
      <c r="Q129" s="709"/>
      <c r="R129" s="524">
        <f>IF(ISERROR(VLOOKUP(B129,'Base de Datos'!$C$487:$N$4077,10,0))=TRUE," ",(VLOOKUP(B129,'Base de Datos'!$C$487:$N$4077,11,0)))</f>
        <v>42933</v>
      </c>
      <c r="S129" s="524">
        <f>IF(ISERROR(VLOOKUP(B129,'Base de Datos'!$C$487:$N$4077,11,0))=TRUE," ",(VLOOKUP(B129,'Base de Datos'!$C$487:$N$4077,12,0)))</f>
        <v>43117</v>
      </c>
      <c r="T129" s="506" t="str">
        <f>VLOOKUP(B129,'Base de Datos'!$C$487:$AU$4129,41,0)</f>
        <v>LIQUIDADO</v>
      </c>
      <c r="U129" s="694"/>
      <c r="V129" s="607"/>
    </row>
    <row r="130" spans="2:22" ht="22.8" outlineLevel="1" x14ac:dyDescent="0.3">
      <c r="B130" s="510">
        <v>198</v>
      </c>
      <c r="C130" s="506" t="str">
        <f>IF(ISERROR(VLOOKUP(B130,'Base de Datos'!$C$487:$F$4092,2,0))=TRUE,"",(VLOOKUP('Presupuesto - PAA 2018'!B130,'Base de Datos'!$C$7:$F$4092,3,0)))</f>
        <v>160161-0-2016</v>
      </c>
      <c r="D130" s="506" t="str">
        <f>IF(ISERROR(VLOOKUP(B130,'Base de Datos'!$C$487:$F$4092,3,0))=TRUE,"",(VLOOKUP('Presupuesto - PAA 2018'!B130,'Base de Datos'!$C$487:$F$4092,4,0)))</f>
        <v>SOLUCIONES Y DIAGNÓSTICOS EN INGENIERÍA ELÉCTRICA LTDA</v>
      </c>
      <c r="E130" s="509">
        <f>VLOOKUP(B130,[7]PAA2017!$C$65:$AA$255,20,0)</f>
        <v>71000000</v>
      </c>
      <c r="F130" s="507" t="str">
        <f>VLOOKUP(B130,[8]SOLICITUDES!$B$3:$H$278,2,0)</f>
        <v>SI</v>
      </c>
      <c r="G130" s="507"/>
      <c r="H130" s="507"/>
      <c r="I130" s="507"/>
      <c r="J130" s="509">
        <f>IF(ISERROR(VLOOKUP(B130,'Base de Datos'!$C$487:$N$4092,6,0))=TRUE,"Sin Celebrar",(VLOOKUP(B130,'Base de Datos'!$C$487:$N$4092,7,0)))</f>
        <v>10473600</v>
      </c>
      <c r="K130" s="573"/>
      <c r="L130" s="553" t="str">
        <f t="shared" si="11"/>
        <v xml:space="preserve"> </v>
      </c>
      <c r="M130" s="509"/>
      <c r="N130" s="509">
        <f t="shared" si="12"/>
        <v>60526400</v>
      </c>
      <c r="O130" s="691" t="str">
        <f>IF(ISERROR(VLOOKUP(B130,'Base de Datos'!$C$487:$K$1048576,7,0))=TRUE," ",(VLOOKUP(B130,'Base de Datos'!$C$487:$K$1048576,8,0)))</f>
        <v>SDH-SMINC-10-2017</v>
      </c>
      <c r="P130" s="524">
        <f>IF(ISERROR(VLOOKUP(B130,'Base de Datos'!$C$487:$N$4077,9,0))=TRUE," ",(VLOOKUP(B130,'Base de Datos'!$C$487:$N$4077,10,0)))</f>
        <v>42823</v>
      </c>
      <c r="Q130" s="709"/>
      <c r="R130" s="524">
        <f>IF(ISERROR(VLOOKUP(B130,'Base de Datos'!$C$487:$N$4077,10,0))=TRUE," ",(VLOOKUP(B130,'Base de Datos'!$C$487:$N$4077,11,0)))</f>
        <v>42857</v>
      </c>
      <c r="S130" s="524">
        <f>IF(ISERROR(VLOOKUP(B130,'Base de Datos'!$C$487:$N$4077,11,0))=TRUE," ",(VLOOKUP(B130,'Base de Datos'!$C$487:$N$4077,12,0)))</f>
        <v>43161</v>
      </c>
      <c r="T130" s="506" t="str">
        <f>VLOOKUP(B130,'Base de Datos'!$C$487:$AU$4129,41,0)</f>
        <v>LIQUIDADO</v>
      </c>
      <c r="U130" s="694"/>
      <c r="V130" s="607"/>
    </row>
    <row r="131" spans="2:22" ht="9.75" customHeight="1" outlineLevel="1" x14ac:dyDescent="0.3">
      <c r="B131" s="510">
        <v>199</v>
      </c>
      <c r="C131" s="506" t="str">
        <f>IF(ISERROR(VLOOKUP(B131,'Base de Datos'!$C$487:$F$4092,2,0))=TRUE,"",(VLOOKUP('Presupuesto - PAA 2018'!B131,'Base de Datos'!$C$7:$F$4092,3,0)))</f>
        <v>160228-0-2016</v>
      </c>
      <c r="D131" s="506" t="str">
        <f>IF(ISERROR(VLOOKUP(B131,'Base de Datos'!$C$487:$F$4092,3,0))=TRUE,"",(VLOOKUP('Presupuesto - PAA 2018'!B131,'Base de Datos'!$C$487:$F$4092,4,0)))</f>
        <v>MITSUBISHI ELECTRIC DE COLOMBIA LTDA</v>
      </c>
      <c r="E131" s="509">
        <f>VLOOKUP(B131,[7]PAA2017!$C$65:$AA$255,20,0)</f>
        <v>52000000</v>
      </c>
      <c r="F131" s="507" t="e">
        <f>VLOOKUP(B131,[8]SOLICITUDES!$B$3:$H$278,2,0)</f>
        <v>#N/A</v>
      </c>
      <c r="G131" s="507"/>
      <c r="H131" s="507"/>
      <c r="I131" s="507"/>
      <c r="J131" s="509">
        <f>IF(ISERROR(VLOOKUP(B131,'Base de Datos'!$C$487:$N$4092,6,0))=TRUE,"Sin Celebrar",(VLOOKUP(B131,'Base de Datos'!$C$487:$N$4092,7,0)))</f>
        <v>15000000</v>
      </c>
      <c r="K131" s="573"/>
      <c r="L131" s="553" t="str">
        <f t="shared" si="11"/>
        <v xml:space="preserve"> </v>
      </c>
      <c r="M131" s="509"/>
      <c r="N131" s="509">
        <f t="shared" si="12"/>
        <v>37000000</v>
      </c>
      <c r="O131" s="691" t="str">
        <f>IF(ISERROR(VLOOKUP(B131,'Base de Datos'!$C$487:$K$1048576,7,0))=TRUE," ",(VLOOKUP(B131,'Base de Datos'!$C$487:$K$1048576,8,0)))</f>
        <v>170164-0-2017</v>
      </c>
      <c r="P131" s="524">
        <f>IF(ISERROR(VLOOKUP(B131,'Base de Datos'!$C$487:$N$4077,9,0))=TRUE," ",(VLOOKUP(B131,'Base de Datos'!$C$487:$N$4077,10,0)))</f>
        <v>42906</v>
      </c>
      <c r="Q131" s="709"/>
      <c r="R131" s="524">
        <f>IF(ISERROR(VLOOKUP(B131,'Base de Datos'!$C$487:$N$4077,10,0))=TRUE," ",(VLOOKUP(B131,'Base de Datos'!$C$487:$N$4077,11,0)))</f>
        <v>42948</v>
      </c>
      <c r="S131" s="524">
        <f>IF(ISERROR(VLOOKUP(B131,'Base de Datos'!$C$487:$N$4077,11,0))=TRUE," ",(VLOOKUP(B131,'Base de Datos'!$C$487:$N$4077,12,0)))</f>
        <v>43236</v>
      </c>
      <c r="T131" s="506" t="str">
        <f>VLOOKUP(B131,'Base de Datos'!$C$487:$AU$4129,41,0)</f>
        <v>LIQUIDADO</v>
      </c>
      <c r="U131" s="694"/>
      <c r="V131" s="607"/>
    </row>
    <row r="132" spans="2:22" ht="14.25" customHeight="1" outlineLevel="1" x14ac:dyDescent="0.3">
      <c r="B132" s="510">
        <v>200</v>
      </c>
      <c r="C132" s="506" t="str">
        <f>IF(ISERROR(VLOOKUP(B132,'Base de Datos'!$C$487:$F$4092,2,0))=TRUE,"",(VLOOKUP('Presupuesto - PAA 2018'!B132,'Base de Datos'!$C$7:$F$4092,3,0)))</f>
        <v>170161-0-2017</v>
      </c>
      <c r="D132" s="506" t="str">
        <f>IF(ISERROR(VLOOKUP(B132,'Base de Datos'!$C$487:$F$4092,3,0))=TRUE,"",(VLOOKUP('Presupuesto - PAA 2018'!B132,'Base de Datos'!$C$487:$F$4092,4,0)))</f>
        <v>INGENIERIA DE BOMBAS Y PLANTAS LIMITADA</v>
      </c>
      <c r="E132" s="509">
        <f>VLOOKUP(B132,[7]PAA2017!$C$65:$AA$255,20,0)</f>
        <v>71000000</v>
      </c>
      <c r="F132" s="507" t="e">
        <f>VLOOKUP(B132,[8]SOLICITUDES!$B$3:$H$278,2,0)</f>
        <v>#N/A</v>
      </c>
      <c r="G132" s="507"/>
      <c r="H132" s="507"/>
      <c r="I132" s="507"/>
      <c r="J132" s="509">
        <f>IF(ISERROR(VLOOKUP(B132,'Base de Datos'!$C$487:$N$4092,6,0))=TRUE,"Sin Celebrar",(VLOOKUP(B132,'Base de Datos'!$C$487:$N$4092,7,0)))</f>
        <v>4491000</v>
      </c>
      <c r="K132" s="573"/>
      <c r="L132" s="553" t="str">
        <f t="shared" si="11"/>
        <v xml:space="preserve"> </v>
      </c>
      <c r="M132" s="509"/>
      <c r="N132" s="509">
        <f t="shared" si="12"/>
        <v>66509000</v>
      </c>
      <c r="O132" s="691" t="str">
        <f>IF(ISERROR(VLOOKUP(B132,'Base de Datos'!$C$487:$K$1048576,7,0))=TRUE," ",(VLOOKUP(B132,'Base de Datos'!$C$487:$K$1048576,8,0)))</f>
        <v>SDH-SMINC-17-2017</v>
      </c>
      <c r="P132" s="524">
        <f>IF(ISERROR(VLOOKUP(B132,'Base de Datos'!$C$487:$N$4077,9,0))=TRUE," ",(VLOOKUP(B132,'Base de Datos'!$C$487:$N$4077,10,0)))</f>
        <v>42894</v>
      </c>
      <c r="Q132" s="709"/>
      <c r="R132" s="524">
        <f>IF(ISERROR(VLOOKUP(B132,'Base de Datos'!$C$487:$N$4077,10,0))=TRUE," ",(VLOOKUP(B132,'Base de Datos'!$C$487:$N$4077,11,0)))</f>
        <v>42920</v>
      </c>
      <c r="S132" s="524">
        <f>IF(ISERROR(VLOOKUP(B132,'Base de Datos'!$C$487:$N$4077,11,0))=TRUE," ",(VLOOKUP(B132,'Base de Datos'!$C$487:$N$4077,12,0)))</f>
        <v>43255</v>
      </c>
      <c r="T132" s="506" t="str">
        <f>VLOOKUP(B132,'Base de Datos'!$C$487:$AU$4129,41,0)</f>
        <v>LIQUIDADO</v>
      </c>
      <c r="U132" s="694"/>
      <c r="V132" s="607"/>
    </row>
    <row r="133" spans="2:22" outlineLevel="1" x14ac:dyDescent="0.3">
      <c r="B133" s="510"/>
      <c r="C133" s="506" t="str">
        <f>IF(ISERROR(VLOOKUP(B133,'Base de Datos'!$C$487:$F$4092,2,0))=TRUE,"",(VLOOKUP('Presupuesto - PAA 2018'!B133,'Base de Datos'!$C$7:$F$4092,3,0)))</f>
        <v/>
      </c>
      <c r="D133" s="506" t="str">
        <f>IF(ISERROR(VLOOKUP(B133,'Base de Datos'!$C$487:$F$4092,3,0))=TRUE,"",(VLOOKUP('Presupuesto - PAA 2018'!B133,'Base de Datos'!$C$487:$F$4092,4,0)))</f>
        <v/>
      </c>
      <c r="E133" s="509" t="e">
        <f>VLOOKUP(B133,[7]PAA2017!$C$65:$AA$255,20,0)</f>
        <v>#N/A</v>
      </c>
      <c r="F133" s="507" t="e">
        <f>VLOOKUP(B133,[8]SOLICITUDES!$B$3:$H$278,2,0)</f>
        <v>#N/A</v>
      </c>
      <c r="G133" s="507"/>
      <c r="H133" s="507"/>
      <c r="I133" s="507"/>
      <c r="J133" s="509" t="str">
        <f>IF(ISERROR(VLOOKUP(B133,'Base de Datos'!$C$487:$N$4092,6,0))=TRUE,"Sin Celebrar",(VLOOKUP(B133,'Base de Datos'!$C$487:$N$4092,7,0)))</f>
        <v>Sin Celebrar</v>
      </c>
      <c r="K133" s="573"/>
      <c r="L133" s="553" t="e">
        <f t="shared" si="11"/>
        <v>#N/A</v>
      </c>
      <c r="M133" s="509"/>
      <c r="N133" s="509" t="e">
        <f t="shared" si="12"/>
        <v>#N/A</v>
      </c>
      <c r="O133" s="691" t="str">
        <f>IF(ISERROR(VLOOKUP(B133,'Base de Datos'!$C$487:$K$1048576,7,0))=TRUE," ",(VLOOKUP(B133,'Base de Datos'!$C$487:$K$1048576,8,0)))</f>
        <v xml:space="preserve"> </v>
      </c>
      <c r="P133" s="524" t="str">
        <f>IF(ISERROR(VLOOKUP(B133,'Base de Datos'!$C$487:$N$4077,9,0))=TRUE," ",(VLOOKUP(B133,'Base de Datos'!$C$487:$N$4077,10,0)))</f>
        <v xml:space="preserve"> </v>
      </c>
      <c r="Q133" s="709"/>
      <c r="R133" s="524" t="str">
        <f>IF(ISERROR(VLOOKUP(B133,'Base de Datos'!$C$487:$N$4077,10,0))=TRUE," ",(VLOOKUP(B133,'Base de Datos'!$C$487:$N$4077,11,0)))</f>
        <v xml:space="preserve"> </v>
      </c>
      <c r="S133" s="524" t="str">
        <f>IF(ISERROR(VLOOKUP(B133,'Base de Datos'!$C$487:$N$4077,11,0))=TRUE," ",(VLOOKUP(B133,'Base de Datos'!$C$487:$N$4077,12,0)))</f>
        <v xml:space="preserve"> </v>
      </c>
      <c r="T133" s="506" t="e">
        <f>VLOOKUP(B133,'Base de Datos'!$C$487:$AU$4129,41,0)</f>
        <v>#N/A</v>
      </c>
      <c r="U133" s="694"/>
      <c r="V133" s="607"/>
    </row>
    <row r="134" spans="2:22" outlineLevel="1" x14ac:dyDescent="0.3">
      <c r="B134" s="525"/>
      <c r="C134" s="506" t="str">
        <f>IF(ISERROR(VLOOKUP(B134,'Base de Datos'!$C$487:$F$4092,2,0))=TRUE,"",(VLOOKUP('Presupuesto - PAA 2018'!B134,'Base de Datos'!$C$7:$F$4092,3,0)))</f>
        <v/>
      </c>
      <c r="D134" s="506" t="str">
        <f>IF(ISERROR(VLOOKUP(B134,'Base de Datos'!$C$487:$F$4092,3,0))=TRUE,"",(VLOOKUP('Presupuesto - PAA 2018'!B134,'Base de Datos'!$C$487:$F$4092,4,0)))</f>
        <v/>
      </c>
      <c r="E134" s="509" t="e">
        <f>VLOOKUP(B134,[7]PAA2017!$C$65:$AA$255,20,0)</f>
        <v>#N/A</v>
      </c>
      <c r="F134" s="507" t="e">
        <f>VLOOKUP(B134,[8]SOLICITUDES!$B$3:$H$278,2,0)</f>
        <v>#N/A</v>
      </c>
      <c r="G134" s="507"/>
      <c r="H134" s="507"/>
      <c r="I134" s="507"/>
      <c r="J134" s="509" t="str">
        <f>IF(ISERROR(VLOOKUP(B134,'Base de Datos'!$C$487:$N$4092,6,0))=TRUE,"Sin Celebrar",(VLOOKUP(B134,'Base de Datos'!$C$487:$N$4092,7,0)))</f>
        <v>Sin Celebrar</v>
      </c>
      <c r="K134" s="573"/>
      <c r="L134" s="553" t="e">
        <f t="shared" si="11"/>
        <v>#N/A</v>
      </c>
      <c r="M134" s="509"/>
      <c r="N134" s="509" t="e">
        <f t="shared" si="12"/>
        <v>#N/A</v>
      </c>
      <c r="O134" s="691" t="str">
        <f>IF(ISERROR(VLOOKUP(B134,'Base de Datos'!$C$487:$K$1048576,7,0))=TRUE," ",(VLOOKUP(B134,'Base de Datos'!$C$487:$K$1048576,8,0)))</f>
        <v xml:space="preserve"> </v>
      </c>
      <c r="P134" s="524" t="str">
        <f>IF(ISERROR(VLOOKUP(B134,'Base de Datos'!$C$487:$N$4077,9,0))=TRUE," ",(VLOOKUP(B134,'Base de Datos'!$C$487:$N$4077,10,0)))</f>
        <v xml:space="preserve"> </v>
      </c>
      <c r="Q134" s="709"/>
      <c r="R134" s="524" t="str">
        <f>IF(ISERROR(VLOOKUP(B134,'Base de Datos'!$C$487:$N$4077,10,0))=TRUE," ",(VLOOKUP(B134,'Base de Datos'!$C$487:$N$4077,11,0)))</f>
        <v xml:space="preserve"> </v>
      </c>
      <c r="S134" s="524" t="str">
        <f>IF(ISERROR(VLOOKUP(B134,'Base de Datos'!$C$487:$N$4077,11,0))=TRUE," ",(VLOOKUP(B134,'Base de Datos'!$C$487:$N$4077,12,0)))</f>
        <v xml:space="preserve"> </v>
      </c>
      <c r="T134" s="506" t="e">
        <f>VLOOKUP(B134,'Base de Datos'!$C$487:$AU$4129,41,0)</f>
        <v>#N/A</v>
      </c>
      <c r="U134" s="694"/>
      <c r="V134" s="607"/>
    </row>
    <row r="135" spans="2:22" outlineLevel="1" x14ac:dyDescent="0.3">
      <c r="B135" s="525"/>
      <c r="C135" s="506" t="str">
        <f>IF(ISERROR(VLOOKUP(B135,'Base de Datos'!$C$487:$F$4092,2,0))=TRUE,"",(VLOOKUP('Presupuesto - PAA 2018'!B135,'Base de Datos'!$C$7:$F$4092,3,0)))</f>
        <v/>
      </c>
      <c r="D135" s="506" t="str">
        <f>IF(ISERROR(VLOOKUP(B135,'Base de Datos'!$C$487:$F$4092,3,0))=TRUE,"",(VLOOKUP('Presupuesto - PAA 2018'!B135,'Base de Datos'!$C$487:$F$4092,4,0)))</f>
        <v/>
      </c>
      <c r="E135" s="509" t="e">
        <f>VLOOKUP(B135,[7]PAA2017!$C$65:$AA$255,20,0)</f>
        <v>#N/A</v>
      </c>
      <c r="F135" s="507" t="e">
        <f>VLOOKUP(B135,[8]SOLICITUDES!$B$3:$H$278,2,0)</f>
        <v>#N/A</v>
      </c>
      <c r="G135" s="507"/>
      <c r="H135" s="507"/>
      <c r="I135" s="507"/>
      <c r="J135" s="509" t="str">
        <f>IF(ISERROR(VLOOKUP(B135,'Base de Datos'!$C$487:$N$4092,6,0))=TRUE,"Sin Celebrar",(VLOOKUP(B135,'Base de Datos'!$C$487:$N$4092,7,0)))</f>
        <v>Sin Celebrar</v>
      </c>
      <c r="K135" s="573"/>
      <c r="L135" s="553" t="e">
        <f t="shared" si="11"/>
        <v>#N/A</v>
      </c>
      <c r="M135" s="509"/>
      <c r="N135" s="509" t="e">
        <f t="shared" si="12"/>
        <v>#N/A</v>
      </c>
      <c r="O135" s="691" t="str">
        <f>IF(ISERROR(VLOOKUP(B135,'Base de Datos'!$C$487:$K$1048576,7,0))=TRUE," ",(VLOOKUP(B135,'Base de Datos'!$C$487:$K$1048576,8,0)))</f>
        <v xml:space="preserve"> </v>
      </c>
      <c r="P135" s="524" t="str">
        <f>IF(ISERROR(VLOOKUP(B135,'Base de Datos'!$C$487:$N$4077,9,0))=TRUE," ",(VLOOKUP(B135,'Base de Datos'!$C$487:$N$4077,10,0)))</f>
        <v xml:space="preserve"> </v>
      </c>
      <c r="Q135" s="709"/>
      <c r="R135" s="524" t="str">
        <f>IF(ISERROR(VLOOKUP(B135,'Base de Datos'!$C$487:$N$4077,10,0))=TRUE," ",(VLOOKUP(B135,'Base de Datos'!$C$487:$N$4077,11,0)))</f>
        <v xml:space="preserve"> </v>
      </c>
      <c r="S135" s="524" t="str">
        <f>IF(ISERROR(VLOOKUP(B135,'Base de Datos'!$C$487:$N$4077,11,0))=TRUE," ",(VLOOKUP(B135,'Base de Datos'!$C$487:$N$4077,12,0)))</f>
        <v xml:space="preserve"> </v>
      </c>
      <c r="T135" s="506" t="e">
        <f>VLOOKUP(B135,'Base de Datos'!$C$487:$AU$4129,41,0)</f>
        <v>#N/A</v>
      </c>
      <c r="U135" s="694"/>
      <c r="V135" s="607"/>
    </row>
    <row r="136" spans="2:22" outlineLevel="1" x14ac:dyDescent="0.3">
      <c r="B136" s="525"/>
      <c r="C136" s="526"/>
      <c r="D136" s="526" t="s">
        <v>1934</v>
      </c>
      <c r="E136" s="509" t="e">
        <f>E117-SUM(E119:E135)</f>
        <v>#N/A</v>
      </c>
      <c r="F136" s="528"/>
      <c r="G136" s="528"/>
      <c r="H136" s="528"/>
      <c r="I136" s="528"/>
      <c r="J136" s="527"/>
      <c r="K136" s="577"/>
      <c r="L136" s="527"/>
      <c r="M136" s="527"/>
      <c r="N136" s="527" t="e">
        <f>IF(J136&lt;E136,(E136-J136)," ")</f>
        <v>#N/A</v>
      </c>
      <c r="O136" s="652"/>
      <c r="P136" s="524" t="str">
        <f>IF(ISERROR(VLOOKUP(B136,'Base de Datos'!$C$7:$N$315,9,0))=TRUE," ",(VLOOKUP(B136,'Base de Datos'!$C$7:$N$315,9,0)))</f>
        <v xml:space="preserve"> </v>
      </c>
      <c r="Q136" s="526"/>
      <c r="R136" s="529" t="str">
        <f>IF(ISERROR(VLOOKUP(B136,'Base de Datos'!$C$7:$N$4077,10,0))=TRUE," ",(VLOOKUP(B136,'Base de Datos'!$C$7:$N$4077,10,0)))</f>
        <v xml:space="preserve"> </v>
      </c>
      <c r="S136" s="529" t="str">
        <f>IF(ISERROR(VLOOKUP(B136,'Base de Datos'!$C$7:$N$4077,11,0))=TRUE," ",(VLOOKUP(B136,'Base de Datos'!$C$7:$N$4077,11,0)))</f>
        <v xml:space="preserve"> </v>
      </c>
      <c r="T136" s="506"/>
      <c r="U136" s="694"/>
      <c r="V136" s="607"/>
    </row>
    <row r="137" spans="2:22" ht="12" outlineLevel="1" x14ac:dyDescent="0.3">
      <c r="B137" s="621"/>
      <c r="C137" s="621"/>
      <c r="D137" s="621"/>
      <c r="E137" s="509"/>
      <c r="F137" s="507"/>
      <c r="G137" s="507"/>
      <c r="H137" s="507"/>
      <c r="I137" s="507"/>
      <c r="J137" s="509"/>
      <c r="K137" s="573"/>
      <c r="L137" s="509"/>
      <c r="M137" s="509"/>
      <c r="N137" s="509"/>
      <c r="O137" s="651"/>
      <c r="P137" s="524"/>
      <c r="Q137" s="506"/>
      <c r="R137" s="524"/>
      <c r="S137" s="524"/>
      <c r="T137" s="506"/>
      <c r="U137" s="694"/>
      <c r="V137" s="607"/>
    </row>
    <row r="138" spans="2:22" ht="12" outlineLevel="1" x14ac:dyDescent="0.3">
      <c r="B138" s="621"/>
      <c r="C138" s="621"/>
      <c r="D138" s="621"/>
      <c r="E138" s="509"/>
      <c r="F138" s="507"/>
      <c r="G138" s="507"/>
      <c r="H138" s="507"/>
      <c r="I138" s="507"/>
      <c r="J138" s="509"/>
      <c r="K138" s="573"/>
      <c r="L138" s="509"/>
      <c r="M138" s="509"/>
      <c r="N138" s="509"/>
      <c r="O138" s="651"/>
      <c r="P138" s="524"/>
      <c r="Q138" s="506"/>
      <c r="R138" s="524"/>
      <c r="S138" s="524"/>
      <c r="T138" s="506"/>
      <c r="U138" s="694"/>
      <c r="V138" s="607"/>
    </row>
    <row r="139" spans="2:22" ht="15" customHeight="1" x14ac:dyDescent="0.3">
      <c r="B139" s="1254" t="s">
        <v>1655</v>
      </c>
      <c r="C139" s="1254"/>
      <c r="D139" s="1254"/>
      <c r="E139" s="530">
        <v>1513500000</v>
      </c>
      <c r="F139" s="531">
        <f>COUNTIF('Actualizada - presupuesto'!$E$7:$E$111,B139)</f>
        <v>0</v>
      </c>
      <c r="G139" s="531"/>
      <c r="H139" s="531"/>
      <c r="I139" s="531"/>
      <c r="J139" s="540">
        <v>1306122735</v>
      </c>
      <c r="K139" s="582">
        <f>J139/E139</f>
        <v>0.86298165510406344</v>
      </c>
      <c r="L139" s="540">
        <f>+L140+L147+L154</f>
        <v>190346405</v>
      </c>
      <c r="M139" s="540"/>
      <c r="N139" s="540">
        <f>+N140+N147+N154</f>
        <v>205289766</v>
      </c>
      <c r="O139" s="658"/>
      <c r="P139" s="546" t="str">
        <f>IF(ISERROR(VLOOKUP(B139,'Base de Datos'!$C$7:$N$315,8,0))=TRUE," ",(VLOOKUP(B139,'Base de Datos'!$C$7:$N$315,8,0)))</f>
        <v xml:space="preserve"> </v>
      </c>
      <c r="Q139" s="547"/>
      <c r="R139" s="546" t="str">
        <f>IF(ISERROR(VLOOKUP(B139,'Base de Datos'!$C$7:$N$315,9,0))=TRUE," ",(VLOOKUP(B139,'Base de Datos'!$C$7:$N$315,9,0)))</f>
        <v xml:space="preserve"> </v>
      </c>
      <c r="S139" s="546" t="str">
        <f>IF(ISERROR(VLOOKUP(B139,'Base de Datos'!$C$7:$N$315,10,0))=TRUE," ",(VLOOKUP(B139,'Base de Datos'!$C$7:$N$315,10,0)))</f>
        <v xml:space="preserve"> </v>
      </c>
      <c r="T139" s="542"/>
      <c r="U139" s="694"/>
      <c r="V139" s="607"/>
    </row>
    <row r="140" spans="2:22" ht="15" customHeight="1" x14ac:dyDescent="0.3">
      <c r="B140" s="1239" t="s">
        <v>1656</v>
      </c>
      <c r="C140" s="1239"/>
      <c r="D140" s="1239"/>
      <c r="E140" s="554">
        <v>205193000</v>
      </c>
      <c r="F140" s="559">
        <f>COUNTIF('Actualizada - presupuesto'!$E$7:$E$111,B140)</f>
        <v>2</v>
      </c>
      <c r="G140" s="559"/>
      <c r="H140" s="559"/>
      <c r="I140" s="559"/>
      <c r="J140" s="705">
        <v>188702234</v>
      </c>
      <c r="K140" s="576">
        <f>J140/E140</f>
        <v>0.91963290170717327</v>
      </c>
      <c r="L140" s="554">
        <f>SUM(L142:L145)</f>
        <v>0</v>
      </c>
      <c r="M140" s="554"/>
      <c r="N140" s="554">
        <f>+E140-J140-L140</f>
        <v>16490766</v>
      </c>
      <c r="O140" s="657"/>
      <c r="P140" s="564" t="str">
        <f>IF(ISERROR(VLOOKUP(B140,'Base de Datos'!$C$7:$N$315,8,0))=TRUE," ",(VLOOKUP(B140,'Base de Datos'!$C$7:$N$315,8,0)))</f>
        <v xml:space="preserve"> </v>
      </c>
      <c r="Q140" s="565"/>
      <c r="R140" s="564" t="str">
        <f>IF(ISERROR(VLOOKUP(B140,'Base de Datos'!$C$7:$N$315,9,0))=TRUE," ",(VLOOKUP(B140,'Base de Datos'!$C$7:$N$315,9,0)))</f>
        <v xml:space="preserve"> </v>
      </c>
      <c r="S140" s="564" t="str">
        <f>IF(ISERROR(VLOOKUP(B140,'Base de Datos'!$C$7:$N$315,10,0))=TRUE," ",(VLOOKUP(B140,'Base de Datos'!$C$7:$N$315,10,0)))</f>
        <v xml:space="preserve"> </v>
      </c>
      <c r="T140" s="565"/>
      <c r="U140" s="694"/>
      <c r="V140" s="607"/>
    </row>
    <row r="141" spans="2:22" ht="22.8" outlineLevel="1" x14ac:dyDescent="0.3">
      <c r="B141" s="510" t="s">
        <v>1692</v>
      </c>
      <c r="C141" s="510" t="s">
        <v>912</v>
      </c>
      <c r="D141" s="510" t="s">
        <v>1821</v>
      </c>
      <c r="E141" s="518" t="s">
        <v>1845</v>
      </c>
      <c r="F141" s="507" t="s">
        <v>1852</v>
      </c>
      <c r="G141" s="507"/>
      <c r="H141" s="507"/>
      <c r="I141" s="507"/>
      <c r="J141" s="510" t="s">
        <v>1844</v>
      </c>
      <c r="K141" s="625"/>
      <c r="L141" s="510" t="s">
        <v>1938</v>
      </c>
      <c r="M141" s="510"/>
      <c r="N141" s="510" t="s">
        <v>1939</v>
      </c>
      <c r="O141" s="650"/>
      <c r="P141" s="541" t="s">
        <v>1846</v>
      </c>
      <c r="Q141" s="510" t="s">
        <v>1847</v>
      </c>
      <c r="R141" s="510" t="s">
        <v>1848</v>
      </c>
      <c r="S141" s="510" t="s">
        <v>375</v>
      </c>
      <c r="T141" s="510" t="s">
        <v>1849</v>
      </c>
      <c r="U141" s="694"/>
      <c r="V141" s="607"/>
    </row>
    <row r="142" spans="2:22" ht="20.25" customHeight="1" outlineLevel="1" x14ac:dyDescent="0.3">
      <c r="B142" s="510">
        <v>203</v>
      </c>
      <c r="C142" s="506" t="str">
        <f>IF(ISERROR(VLOOKUP(B142,'Base de Datos'!$C$487:$F$4092,2,0))=TRUE,"",(VLOOKUP('Presupuesto - PAA 2018'!B142,'Base de Datos'!$C$7:$F$4092,3,0)))</f>
        <v>160269-0-2016</v>
      </c>
      <c r="D142" s="506" t="str">
        <f>IF(ISERROR(VLOOKUP(B142,'Base de Datos'!$C$487:$F$4092,3,0))=TRUE,"",(VLOOKUP('Presupuesto - PAA 2018'!B142,'Base de Datos'!$C$487:$F$4092,4,0)))</f>
        <v>PATRICIA VILLEGAS RODRIGUEZ</v>
      </c>
      <c r="E142" s="509">
        <f>VLOOKUP(B142,[7]PAA2017!$C$65:$AA$255,20,0)</f>
        <v>10000000</v>
      </c>
      <c r="F142" s="507" t="e">
        <f>VLOOKUP(B142,[8]SOLICITUDES!$B$3:$H$278,2,0)</f>
        <v>#N/A</v>
      </c>
      <c r="G142" s="507"/>
      <c r="H142" s="507"/>
      <c r="I142" s="507"/>
      <c r="J142" s="509">
        <f>IF(ISERROR(VLOOKUP(B142,'Base de Datos'!$C$487:$N$4092,6,0))=TRUE,"Sin Celebrar",(VLOOKUP(B142,'Base de Datos'!$C$487:$N$4092,7,0)))</f>
        <v>24273392</v>
      </c>
      <c r="K142" s="573"/>
      <c r="L142" s="553" t="str">
        <f>IF(J142=$AA$1,E142, " ")</f>
        <v xml:space="preserve"> </v>
      </c>
      <c r="M142" s="509"/>
      <c r="N142" s="509" t="str">
        <f>IF(J142&lt;E142,(E142-J142)," ")</f>
        <v xml:space="preserve"> </v>
      </c>
      <c r="O142" s="691" t="str">
        <f>IF(ISERROR(VLOOKUP(B142,'Base de Datos'!$C$487:$K$1048576,7,0))=TRUE," ",(VLOOKUP(B142,'Base de Datos'!$C$487:$K$1048576,8,0)))</f>
        <v>SDH-CD-74-2018</v>
      </c>
      <c r="P142" s="524">
        <f>IF(ISERROR(VLOOKUP(B142,'Base de Datos'!$C$487:$N$4077,9,0))=TRUE," ",(VLOOKUP(B142,'Base de Datos'!$C$487:$N$4077,10,0)))</f>
        <v>43381</v>
      </c>
      <c r="Q142" s="709"/>
      <c r="R142" s="524">
        <f>IF(ISERROR(VLOOKUP(B142,'Base de Datos'!$C$487:$N$4077,10,0))=TRUE," ",(VLOOKUP(B142,'Base de Datos'!$C$487:$N$4077,11,0)))</f>
        <v>43389</v>
      </c>
      <c r="S142" s="524">
        <f>IF(ISERROR(VLOOKUP(B142,'Base de Datos'!$C$487:$N$4077,11,0))=TRUE," ",(VLOOKUP(B142,'Base de Datos'!$C$487:$N$4077,12,0)))</f>
        <v>43496</v>
      </c>
      <c r="T142" s="506" t="str">
        <f>VLOOKUP(B142,'Base de Datos'!$C$487:$AU$4129,41,0)</f>
        <v>LIQUIDADO</v>
      </c>
      <c r="U142" s="694"/>
      <c r="V142" s="607"/>
    </row>
    <row r="143" spans="2:22" ht="11.25" customHeight="1" outlineLevel="1" x14ac:dyDescent="0.3">
      <c r="B143" s="525">
        <v>204</v>
      </c>
      <c r="C143" s="506" t="str">
        <f>IF(ISERROR(VLOOKUP(B143,'Base de Datos'!$C$487:$F$4092,2,0))=TRUE,"",(VLOOKUP('Presupuesto - PAA 2018'!B143,'Base de Datos'!$C$7:$F$4092,3,0)))</f>
        <v>190086-0-2019</v>
      </c>
      <c r="D143" s="506" t="str">
        <f>IF(ISERROR(VLOOKUP(B143,'Base de Datos'!$C$487:$F$4092,3,0))=TRUE,"",(VLOOKUP('Presupuesto - PAA 2018'!B143,'Base de Datos'!$C$487:$F$4092,4,0)))</f>
        <v xml:space="preserve">ANDREA PAOLA MELENDEZ PINEDA </v>
      </c>
      <c r="E143" s="509">
        <f>VLOOKUP(B143,[7]PAA2017!$C$65:$AA$255,20,0)</f>
        <v>8217738000</v>
      </c>
      <c r="F143" s="507" t="e">
        <f>VLOOKUP(B143,[8]SOLICITUDES!$B$3:$H$278,2,0)</f>
        <v>#N/A</v>
      </c>
      <c r="G143" s="507"/>
      <c r="H143" s="507"/>
      <c r="I143" s="507"/>
      <c r="J143" s="509">
        <f>IF(ISERROR(VLOOKUP(B143,'Base de Datos'!$C$487:$N$4092,6,0))=TRUE,"Sin Celebrar",(VLOOKUP(B143,'Base de Datos'!$C$487:$N$4092,7,0)))</f>
        <v>38508000</v>
      </c>
      <c r="K143" s="573"/>
      <c r="L143" s="553" t="str">
        <f>IF(J143=$AA$1,E143, " ")</f>
        <v xml:space="preserve"> </v>
      </c>
      <c r="M143" s="509"/>
      <c r="N143" s="509">
        <f>IF(J143&lt;E143,(E143-J143)," ")</f>
        <v>8179230000</v>
      </c>
      <c r="O143" s="691" t="str">
        <f>IF(ISERROR(VLOOKUP(B143,'Base de Datos'!$C$487:$K$1048576,7,0))=TRUE," ",(VLOOKUP(B143,'Base de Datos'!$C$487:$K$1048576,8,0)))</f>
        <v>SDH-CD-44-2019</v>
      </c>
      <c r="P143" s="524">
        <f>IF(ISERROR(VLOOKUP(B143,'Base de Datos'!$C$487:$N$4077,9,0))=TRUE," ",(VLOOKUP(B143,'Base de Datos'!$C$487:$N$4077,10,0)))</f>
        <v>43500</v>
      </c>
      <c r="Q143" s="709"/>
      <c r="R143" s="524">
        <f>IF(ISERROR(VLOOKUP(B143,'Base de Datos'!$C$487:$N$4077,10,0))=TRUE," ",(VLOOKUP(B143,'Base de Datos'!$C$487:$N$4077,11,0)))</f>
        <v>43504</v>
      </c>
      <c r="S143" s="524">
        <f>IF(ISERROR(VLOOKUP(B143,'Base de Datos'!$C$487:$N$4077,11,0))=TRUE," ",(VLOOKUP(B143,'Base de Datos'!$C$487:$N$4077,12,0)))</f>
        <v>43641</v>
      </c>
      <c r="T143" s="506" t="str">
        <f>VLOOKUP(B143,'Base de Datos'!$C$487:$AU$4129,41,0)</f>
        <v>LIQUIDADO</v>
      </c>
      <c r="U143" s="694"/>
      <c r="V143" s="607"/>
    </row>
    <row r="144" spans="2:22" ht="34.200000000000003" outlineLevel="1" x14ac:dyDescent="0.3">
      <c r="B144" s="525">
        <v>205</v>
      </c>
      <c r="C144" s="506" t="str">
        <f>IF(ISERROR(VLOOKUP(B144,'Base de Datos'!$C$487:$F$4092,2,0))=TRUE,"",(VLOOKUP('Presupuesto - PAA 2018'!B144,'Base de Datos'!$C$7:$F$4092,3,0)))</f>
        <v>190121-0-2019</v>
      </c>
      <c r="D144" s="506" t="str">
        <f>IF(ISERROR(VLOOKUP(B144,'Base de Datos'!$C$487:$F$4092,3,0))=TRUE,"",(VLOOKUP('Presupuesto - PAA 2018'!B144,'Base de Datos'!$C$487:$F$4092,4,0)))</f>
        <v xml:space="preserve">DIANA CAROLINA RIVEROS BEJARANO  (Cesionaria) / ANA MARIA MONROY MORA (Antes)
</v>
      </c>
      <c r="E144" s="509">
        <f>VLOOKUP(B144,[7]PAA2017!$C$65:$AA$255,20,0)</f>
        <v>0</v>
      </c>
      <c r="F144" s="507" t="e">
        <f>VLOOKUP(B144,[8]SOLICITUDES!$B$3:$H$278,2,0)</f>
        <v>#N/A</v>
      </c>
      <c r="G144" s="507"/>
      <c r="H144" s="507"/>
      <c r="I144" s="507"/>
      <c r="J144" s="509">
        <f>IF(ISERROR(VLOOKUP(B144,'Base de Datos'!$C$487:$N$4092,6,0))=TRUE,"Sin Celebrar",(VLOOKUP(B144,'Base de Datos'!$C$487:$N$4092,7,0)))</f>
        <v>33666233</v>
      </c>
      <c r="K144" s="573"/>
      <c r="L144" s="553" t="str">
        <f>IF(J144=$AA$1,E144, " ")</f>
        <v xml:space="preserve"> </v>
      </c>
      <c r="M144" s="509"/>
      <c r="N144" s="509" t="str">
        <f>IF(J144&lt;E144,(E144-J144)," ")</f>
        <v xml:space="preserve"> </v>
      </c>
      <c r="O144" s="691" t="str">
        <f>IF(ISERROR(VLOOKUP(B144,'Base de Datos'!$C$487:$K$1048576,7,0))=TRUE," ",(VLOOKUP(B144,'Base de Datos'!$C$487:$K$1048576,8,0)))</f>
        <v>SDH-CD-46-2019</v>
      </c>
      <c r="P144" s="524">
        <f>IF(ISERROR(VLOOKUP(B144,'Base de Datos'!$C$487:$N$4077,9,0))=TRUE," ",(VLOOKUP(B144,'Base de Datos'!$C$487:$N$4077,10,0)))</f>
        <v>43501</v>
      </c>
      <c r="Q144" s="709"/>
      <c r="R144" s="524">
        <f>IF(ISERROR(VLOOKUP(B144,'Base de Datos'!$C$487:$N$4077,10,0))=TRUE," ",(VLOOKUP(B144,'Base de Datos'!$C$487:$N$4077,11,0)))</f>
        <v>43504</v>
      </c>
      <c r="S144" s="524">
        <f>IF(ISERROR(VLOOKUP(B144,'Base de Datos'!$C$487:$N$4077,11,0))=TRUE," ",(VLOOKUP(B144,'Base de Datos'!$C$487:$N$4077,12,0)))</f>
        <v>43641</v>
      </c>
      <c r="T144" s="506" t="str">
        <f>VLOOKUP(B144,'Base de Datos'!$C$487:$AU$4129,41,0)</f>
        <v>LIQUIDADO</v>
      </c>
      <c r="U144" s="694"/>
      <c r="V144" s="607"/>
    </row>
    <row r="145" spans="2:22" ht="12" outlineLevel="1" x14ac:dyDescent="0.3">
      <c r="B145" s="621"/>
      <c r="C145" s="621"/>
      <c r="D145" s="506" t="s">
        <v>1934</v>
      </c>
      <c r="E145" s="509">
        <f>E140-SUM(E142:E144)</f>
        <v>-8022545000</v>
      </c>
      <c r="F145" s="507"/>
      <c r="G145" s="507"/>
      <c r="H145" s="507"/>
      <c r="I145" s="507"/>
      <c r="J145" s="509"/>
      <c r="K145" s="573"/>
      <c r="L145" s="509"/>
      <c r="M145" s="509"/>
      <c r="N145" s="527" t="str">
        <f>IF(J145&lt;E145,(E145-J145)," ")</f>
        <v xml:space="preserve"> </v>
      </c>
      <c r="O145" s="651"/>
      <c r="P145" s="524" t="str">
        <f>IF(ISERROR(VLOOKUP(B145,'Base de Datos'!$C$7:$N$315,9,0))=TRUE," ",(VLOOKUP(B145,'Base de Datos'!$C$7:$N$315,9,0)))</f>
        <v xml:space="preserve"> </v>
      </c>
      <c r="Q145" s="506"/>
      <c r="R145" s="529" t="str">
        <f>IF(ISERROR(VLOOKUP(B145,'Base de Datos'!$C$7:$N$315,10,0))=TRUE," ",(VLOOKUP(B145,'Base de Datos'!$C$7:$N$315,10,0)))</f>
        <v xml:space="preserve"> </v>
      </c>
      <c r="S145" s="529" t="str">
        <f>IF(ISERROR(VLOOKUP(B145,'Base de Datos'!$C$7:$N$315,11,0))=TRUE," ",(VLOOKUP(B145,'Base de Datos'!$C$7:$N$315,11,0)))</f>
        <v xml:space="preserve"> </v>
      </c>
      <c r="T145" s="506"/>
      <c r="U145" s="694"/>
      <c r="V145" s="607"/>
    </row>
    <row r="146" spans="2:22" outlineLevel="1" x14ac:dyDescent="0.3">
      <c r="B146" s="506"/>
      <c r="C146" s="506"/>
      <c r="D146" s="506"/>
      <c r="E146" s="509"/>
      <c r="F146" s="507"/>
      <c r="G146" s="507"/>
      <c r="H146" s="507"/>
      <c r="I146" s="507"/>
      <c r="J146" s="509"/>
      <c r="K146" s="573"/>
      <c r="L146" s="509"/>
      <c r="M146" s="509"/>
      <c r="N146" s="509"/>
      <c r="O146" s="651"/>
      <c r="P146" s="524"/>
      <c r="Q146" s="506"/>
      <c r="R146" s="524"/>
      <c r="S146" s="524"/>
      <c r="T146" s="506"/>
      <c r="U146" s="694"/>
      <c r="V146" s="607"/>
    </row>
    <row r="147" spans="2:22" ht="15" customHeight="1" x14ac:dyDescent="0.3">
      <c r="B147" s="1253" t="s">
        <v>1657</v>
      </c>
      <c r="C147" s="1253"/>
      <c r="D147" s="1253"/>
      <c r="E147" s="560">
        <v>227307000</v>
      </c>
      <c r="F147" s="561">
        <f>COUNTIF('Actualizada - presupuesto'!$E$7:$E$111,B147)</f>
        <v>2</v>
      </c>
      <c r="G147" s="561"/>
      <c r="H147" s="561"/>
      <c r="I147" s="561"/>
      <c r="J147" s="560">
        <f>SUM(J149:J151)</f>
        <v>38508000</v>
      </c>
      <c r="K147" s="580">
        <f>J147/E147</f>
        <v>0.16940965302432393</v>
      </c>
      <c r="L147" s="560">
        <f>SUM(L149:L151)</f>
        <v>0</v>
      </c>
      <c r="M147" s="560"/>
      <c r="N147" s="560">
        <f>+E147-J147-L147</f>
        <v>188799000</v>
      </c>
      <c r="O147" s="655"/>
      <c r="P147" s="562" t="str">
        <f>IF(ISERROR(VLOOKUP(B147,'Base de Datos'!$C$7:$N$315,8,0))=TRUE," ",(VLOOKUP(B147,'Base de Datos'!$C$7:$N$315,8,0)))</f>
        <v xml:space="preserve"> </v>
      </c>
      <c r="Q147" s="563"/>
      <c r="R147" s="562" t="str">
        <f>IF(ISERROR(VLOOKUP(B147,'Base de Datos'!$C$7:$N$315,9,0))=TRUE," ",(VLOOKUP(B147,'Base de Datos'!$C$7:$N$315,9,0)))</f>
        <v xml:space="preserve"> </v>
      </c>
      <c r="S147" s="562" t="str">
        <f>IF(ISERROR(VLOOKUP(B147,'Base de Datos'!$C$7:$N$315,10,0))=TRUE," ",(VLOOKUP(B147,'Base de Datos'!$C$7:$N$315,10,0)))</f>
        <v xml:space="preserve"> </v>
      </c>
      <c r="T147" s="565"/>
      <c r="U147" s="694"/>
      <c r="V147" s="607"/>
    </row>
    <row r="148" spans="2:22" ht="22.8" outlineLevel="1" x14ac:dyDescent="0.3">
      <c r="B148" s="510" t="s">
        <v>1692</v>
      </c>
      <c r="C148" s="510" t="s">
        <v>912</v>
      </c>
      <c r="D148" s="510" t="s">
        <v>1821</v>
      </c>
      <c r="E148" s="518" t="s">
        <v>1845</v>
      </c>
      <c r="F148" s="507" t="s">
        <v>1852</v>
      </c>
      <c r="G148" s="507"/>
      <c r="H148" s="507"/>
      <c r="I148" s="507"/>
      <c r="J148" s="510" t="s">
        <v>1844</v>
      </c>
      <c r="K148" s="625"/>
      <c r="L148" s="510" t="s">
        <v>1938</v>
      </c>
      <c r="M148" s="510"/>
      <c r="N148" s="510" t="s">
        <v>1939</v>
      </c>
      <c r="O148" s="650"/>
      <c r="P148" s="541" t="s">
        <v>1846</v>
      </c>
      <c r="Q148" s="510" t="s">
        <v>1847</v>
      </c>
      <c r="R148" s="510" t="s">
        <v>1848</v>
      </c>
      <c r="S148" s="510" t="s">
        <v>375</v>
      </c>
      <c r="T148" s="510" t="s">
        <v>1849</v>
      </c>
      <c r="U148" s="694"/>
      <c r="V148" s="607"/>
    </row>
    <row r="149" spans="2:22" ht="13.5" customHeight="1" outlineLevel="1" x14ac:dyDescent="0.3">
      <c r="B149" s="510">
        <v>204</v>
      </c>
      <c r="C149" s="506" t="str">
        <f>IF(ISERROR(VLOOKUP(B149,'Base de Datos'!$C$487:$F$4092,2,0))=TRUE,"",(VLOOKUP('Presupuesto - PAA 2018'!B149,'Base de Datos'!$C$7:$F$4092,3,0)))</f>
        <v>190086-0-2019</v>
      </c>
      <c r="D149" s="506" t="str">
        <f>IF(ISERROR(VLOOKUP(B149,'Base de Datos'!$C$487:$F$4092,3,0))=TRUE,"",(VLOOKUP('Presupuesto - PAA 2018'!B149,'Base de Datos'!$C$487:$F$4092,4,0)))</f>
        <v xml:space="preserve">ANDREA PAOLA MELENDEZ PINEDA </v>
      </c>
      <c r="E149" s="509">
        <f>VLOOKUP(B149,[7]PAA2017!$C$65:$AA$255,20,0)</f>
        <v>8217738000</v>
      </c>
      <c r="F149" s="507" t="e">
        <f>VLOOKUP(B149,[8]SOLICITUDES!$B$3:$H$278,2,0)</f>
        <v>#N/A</v>
      </c>
      <c r="G149" s="507"/>
      <c r="H149" s="507"/>
      <c r="I149" s="507"/>
      <c r="J149" s="509">
        <f>IF(ISERROR(VLOOKUP(B149,'Base de Datos'!$C$487:$N$4092,6,0))=TRUE,"Sin Celebrar",(VLOOKUP(B149,'Base de Datos'!$C$487:$N$4092,7,0)))</f>
        <v>38508000</v>
      </c>
      <c r="K149" s="573"/>
      <c r="L149" s="553" t="str">
        <f>IF(J149=$AA$1,E149, " ")</f>
        <v xml:space="preserve"> </v>
      </c>
      <c r="M149" s="509"/>
      <c r="N149" s="509">
        <f>IF(J149&lt;E149,(E149-J149)," ")</f>
        <v>8179230000</v>
      </c>
      <c r="O149" s="691" t="str">
        <f>IF(ISERROR(VLOOKUP(B149,'Base de Datos'!$C$487:$K$1048576,7,0))=TRUE," ",(VLOOKUP(B149,'Base de Datos'!$C$487:$K$1048576,8,0)))</f>
        <v>SDH-CD-44-2019</v>
      </c>
      <c r="P149" s="524">
        <f>IF(ISERROR(VLOOKUP(B149,'Base de Datos'!$C$487:$N$4077,9,0))=TRUE," ",(VLOOKUP(B149,'Base de Datos'!$C$487:$N$4077,10,0)))</f>
        <v>43500</v>
      </c>
      <c r="Q149" s="709"/>
      <c r="R149" s="524">
        <f>IF(ISERROR(VLOOKUP(B149,'Base de Datos'!$C$487:$N$4077,10,0))=TRUE," ",(VLOOKUP(B149,'Base de Datos'!$C$487:$N$4077,11,0)))</f>
        <v>43504</v>
      </c>
      <c r="S149" s="524">
        <f>IF(ISERROR(VLOOKUP(B149,'Base de Datos'!$C$487:$N$4077,11,0))=TRUE," ",(VLOOKUP(B149,'Base de Datos'!$C$487:$N$4077,12,0)))</f>
        <v>43641</v>
      </c>
      <c r="T149" s="506" t="str">
        <f>VLOOKUP(B149,'Base de Datos'!$C$487:$AU$4129,41,0)</f>
        <v>LIQUIDADO</v>
      </c>
      <c r="U149" s="694"/>
      <c r="V149" s="607"/>
    </row>
    <row r="150" spans="2:22" ht="21" customHeight="1" outlineLevel="1" x14ac:dyDescent="0.3">
      <c r="B150" s="525"/>
      <c r="C150" s="506"/>
      <c r="D150" s="506"/>
      <c r="E150" s="527"/>
      <c r="F150" s="507"/>
      <c r="G150" s="528"/>
      <c r="H150" s="528"/>
      <c r="I150" s="528"/>
      <c r="J150" s="509"/>
      <c r="K150" s="577"/>
      <c r="L150" s="527"/>
      <c r="M150" s="527"/>
      <c r="N150" s="527"/>
      <c r="O150" s="691"/>
      <c r="P150" s="524"/>
      <c r="Q150" s="526"/>
      <c r="R150" s="524"/>
      <c r="S150" s="524"/>
      <c r="T150" s="506"/>
      <c r="U150" s="694"/>
      <c r="V150" s="607"/>
    </row>
    <row r="151" spans="2:22" outlineLevel="1" x14ac:dyDescent="0.3">
      <c r="B151" s="510"/>
      <c r="C151" s="506"/>
      <c r="D151" s="506"/>
      <c r="E151" s="509"/>
      <c r="F151" s="507"/>
      <c r="G151" s="507"/>
      <c r="H151" s="507"/>
      <c r="I151" s="507"/>
      <c r="J151" s="527"/>
      <c r="K151" s="573"/>
      <c r="L151" s="527"/>
      <c r="M151" s="509"/>
      <c r="N151" s="527"/>
      <c r="O151" s="691"/>
      <c r="P151" s="524"/>
      <c r="Q151" s="506"/>
      <c r="R151" s="529"/>
      <c r="S151" s="529"/>
      <c r="T151" s="506"/>
      <c r="U151" s="694"/>
      <c r="V151" s="607"/>
    </row>
    <row r="152" spans="2:22" outlineLevel="1" x14ac:dyDescent="0.3">
      <c r="B152" s="510"/>
      <c r="C152" s="506"/>
      <c r="D152" s="506" t="s">
        <v>1934</v>
      </c>
      <c r="E152" s="509">
        <f>+E147-SUM(E149:E151)</f>
        <v>-7990431000</v>
      </c>
      <c r="F152" s="507"/>
      <c r="G152" s="507"/>
      <c r="H152" s="507"/>
      <c r="I152" s="507"/>
      <c r="J152" s="527"/>
      <c r="K152" s="573"/>
      <c r="L152" s="527"/>
      <c r="M152" s="509"/>
      <c r="N152" s="527" t="str">
        <f>IF(J152&lt;E152,(E152-J152)," ")</f>
        <v xml:space="preserve"> </v>
      </c>
      <c r="O152" s="691"/>
      <c r="P152" s="524"/>
      <c r="Q152" s="506"/>
      <c r="R152" s="529"/>
      <c r="S152" s="529"/>
      <c r="T152" s="506"/>
      <c r="U152" s="694"/>
      <c r="V152" s="607"/>
    </row>
    <row r="153" spans="2:22" ht="12" outlineLevel="1" x14ac:dyDescent="0.3">
      <c r="B153" s="621"/>
      <c r="C153" s="621"/>
      <c r="D153" s="621"/>
      <c r="E153" s="509"/>
      <c r="F153" s="507"/>
      <c r="G153" s="507"/>
      <c r="H153" s="507"/>
      <c r="I153" s="507"/>
      <c r="J153" s="509"/>
      <c r="K153" s="573"/>
      <c r="L153" s="509"/>
      <c r="M153" s="509"/>
      <c r="N153" s="509"/>
      <c r="O153" s="651"/>
      <c r="P153" s="524"/>
      <c r="Q153" s="506"/>
      <c r="R153" s="524"/>
      <c r="S153" s="524"/>
      <c r="T153" s="506"/>
      <c r="U153" s="694"/>
      <c r="V153" s="607"/>
    </row>
    <row r="154" spans="2:22" ht="15" customHeight="1" x14ac:dyDescent="0.3">
      <c r="B154" s="1253" t="s">
        <v>1658</v>
      </c>
      <c r="C154" s="1253"/>
      <c r="D154" s="1253"/>
      <c r="E154" s="560">
        <v>1081000000</v>
      </c>
      <c r="F154" s="561"/>
      <c r="G154" s="561"/>
      <c r="H154" s="561"/>
      <c r="I154" s="561"/>
      <c r="J154" s="560">
        <f>+J156</f>
        <v>890653595</v>
      </c>
      <c r="K154" s="580">
        <f>J154/E154</f>
        <v>0.82391636910268273</v>
      </c>
      <c r="L154" s="560">
        <f>+L156</f>
        <v>190346405</v>
      </c>
      <c r="M154" s="560"/>
      <c r="N154" s="560">
        <f>+E154-J154-L154</f>
        <v>0</v>
      </c>
      <c r="O154" s="655"/>
      <c r="P154" s="562" t="str">
        <f>IF(ISERROR(VLOOKUP(B154,'Base de Datos'!$C$7:$N$315,8,0))=TRUE," ",(VLOOKUP(B154,'Base de Datos'!$C$7:$N$315,8,0)))</f>
        <v xml:space="preserve"> </v>
      </c>
      <c r="Q154" s="563"/>
      <c r="R154" s="562" t="str">
        <f>IF(ISERROR(VLOOKUP(B154,'Base de Datos'!$C$7:$N$315,9,0))=TRUE," ",(VLOOKUP(B154,'Base de Datos'!$C$7:$N$315,9,0)))</f>
        <v xml:space="preserve"> </v>
      </c>
      <c r="S154" s="562" t="str">
        <f>IF(ISERROR(VLOOKUP(B154,'Base de Datos'!$C$7:$N$315,10,0))=TRUE," ",(VLOOKUP(B154,'Base de Datos'!$C$7:$N$315,10,0)))</f>
        <v xml:space="preserve"> </v>
      </c>
      <c r="T154" s="565"/>
      <c r="U154" s="694"/>
      <c r="V154" s="607"/>
    </row>
    <row r="155" spans="2:22" ht="24" customHeight="1" outlineLevel="1" x14ac:dyDescent="0.3">
      <c r="B155" s="510" t="s">
        <v>1692</v>
      </c>
      <c r="C155" s="510" t="s">
        <v>912</v>
      </c>
      <c r="D155" s="510" t="s">
        <v>1821</v>
      </c>
      <c r="E155" s="518" t="s">
        <v>1845</v>
      </c>
      <c r="F155" s="507" t="s">
        <v>1852</v>
      </c>
      <c r="G155" s="507"/>
      <c r="H155" s="507"/>
      <c r="I155" s="507"/>
      <c r="J155" s="510" t="s">
        <v>1844</v>
      </c>
      <c r="K155" s="625"/>
      <c r="L155" s="510" t="s">
        <v>1938</v>
      </c>
      <c r="M155" s="510"/>
      <c r="N155" s="510" t="s">
        <v>1939</v>
      </c>
      <c r="O155" s="650"/>
      <c r="P155" s="541" t="s">
        <v>1846</v>
      </c>
      <c r="Q155" s="510" t="s">
        <v>1847</v>
      </c>
      <c r="R155" s="510" t="s">
        <v>1848</v>
      </c>
      <c r="S155" s="510" t="s">
        <v>375</v>
      </c>
      <c r="T155" s="510" t="s">
        <v>1849</v>
      </c>
      <c r="U155" s="694"/>
      <c r="V155" s="607"/>
    </row>
    <row r="156" spans="2:22" ht="15" customHeight="1" outlineLevel="1" x14ac:dyDescent="0.3">
      <c r="B156" s="510"/>
      <c r="C156" s="506"/>
      <c r="D156" s="936" t="s">
        <v>2262</v>
      </c>
      <c r="E156" s="507"/>
      <c r="F156" s="509"/>
      <c r="G156" s="568"/>
      <c r="H156" s="568"/>
      <c r="I156" s="568"/>
      <c r="J156" s="553">
        <v>890653595</v>
      </c>
      <c r="K156" s="616"/>
      <c r="L156" s="553">
        <f>+E154-J156</f>
        <v>190346405</v>
      </c>
      <c r="M156" s="615"/>
      <c r="N156" s="509"/>
      <c r="O156" s="660"/>
      <c r="P156" s="617"/>
      <c r="Q156" s="618"/>
      <c r="R156" s="617"/>
      <c r="S156" s="617"/>
      <c r="T156" s="587"/>
      <c r="U156" s="694"/>
      <c r="V156" s="607"/>
    </row>
    <row r="157" spans="2:22" ht="15" customHeight="1" outlineLevel="1" x14ac:dyDescent="0.3">
      <c r="B157" s="510"/>
      <c r="C157" s="506"/>
      <c r="D157" s="506"/>
      <c r="E157" s="507"/>
      <c r="F157" s="509"/>
      <c r="G157" s="568"/>
      <c r="H157" s="568"/>
      <c r="I157" s="568"/>
      <c r="J157" s="615"/>
      <c r="K157" s="616"/>
      <c r="L157" s="615"/>
      <c r="M157" s="615"/>
      <c r="N157" s="615"/>
      <c r="O157" s="661"/>
      <c r="P157" s="617"/>
      <c r="Q157" s="618"/>
      <c r="R157" s="617"/>
      <c r="S157" s="617"/>
      <c r="T157" s="587"/>
      <c r="U157" s="694"/>
      <c r="V157" s="607"/>
    </row>
    <row r="158" spans="2:22" ht="15" customHeight="1" x14ac:dyDescent="0.3">
      <c r="B158" s="1240" t="s">
        <v>1659</v>
      </c>
      <c r="C158" s="1240"/>
      <c r="D158" s="1240"/>
      <c r="E158" s="512">
        <v>430000000</v>
      </c>
      <c r="F158" s="513"/>
      <c r="G158" s="513"/>
      <c r="H158" s="513"/>
      <c r="I158" s="513"/>
      <c r="J158" s="516">
        <f>+J159+J163+J167+J171</f>
        <v>242601380</v>
      </c>
      <c r="K158" s="582">
        <f>J158/E158</f>
        <v>0.56418925581395352</v>
      </c>
      <c r="L158" s="516">
        <f>+L159+L163+L167+L171</f>
        <v>187398620</v>
      </c>
      <c r="M158" s="516"/>
      <c r="N158" s="516">
        <f>+N159+N163+N167+N171</f>
        <v>0</v>
      </c>
      <c r="O158" s="662"/>
      <c r="P158" s="548" t="str">
        <f>IF(ISERROR(VLOOKUP(B158,'Base de Datos'!$C$7:$N$315,8,0))=TRUE," ",(VLOOKUP(B158,'Base de Datos'!$C$7:$N$315,8,0)))</f>
        <v xml:space="preserve"> </v>
      </c>
      <c r="Q158" s="542"/>
      <c r="R158" s="548" t="str">
        <f>IF(ISERROR(VLOOKUP(B158,'Base de Datos'!$C$7:$N$315,9,0))=TRUE," ",(VLOOKUP(B158,'Base de Datos'!$C$7:$N$315,9,0)))</f>
        <v xml:space="preserve"> </v>
      </c>
      <c r="S158" s="548" t="str">
        <f>IF(ISERROR(VLOOKUP(B158,'Base de Datos'!$C$7:$N$315,10,0))=TRUE," ",(VLOOKUP(B158,'Base de Datos'!$C$7:$N$315,10,0)))</f>
        <v xml:space="preserve"> </v>
      </c>
      <c r="T158" s="542"/>
      <c r="U158" s="694"/>
      <c r="V158" s="607"/>
    </row>
    <row r="159" spans="2:22" ht="15" customHeight="1" x14ac:dyDescent="0.3">
      <c r="B159" s="1238" t="s">
        <v>1660</v>
      </c>
      <c r="C159" s="1238"/>
      <c r="D159" s="1238"/>
      <c r="E159" s="516">
        <v>206250000</v>
      </c>
      <c r="F159" s="513"/>
      <c r="G159" s="513"/>
      <c r="H159" s="513"/>
      <c r="I159" s="513"/>
      <c r="J159" s="516">
        <f>+J161</f>
        <v>106215940</v>
      </c>
      <c r="K159" s="582">
        <f>J159/E159</f>
        <v>0.51498637575757578</v>
      </c>
      <c r="L159" s="516">
        <f>+E159-J159</f>
        <v>100034060</v>
      </c>
      <c r="M159" s="516"/>
      <c r="N159" s="516">
        <f>+N161</f>
        <v>0</v>
      </c>
      <c r="O159" s="662"/>
      <c r="P159" s="548" t="str">
        <f>IF(ISERROR(VLOOKUP(B159,'Base de Datos'!$C$7:$N$315,8,0))=TRUE," ",(VLOOKUP(B159,'Base de Datos'!$C$7:$N$315,8,0)))</f>
        <v xml:space="preserve"> </v>
      </c>
      <c r="Q159" s="542"/>
      <c r="R159" s="548" t="str">
        <f>IF(ISERROR(VLOOKUP(B159,'Base de Datos'!$C$7:$N$315,9,0))=TRUE," ",(VLOOKUP(B159,'Base de Datos'!$C$7:$N$315,9,0)))</f>
        <v xml:space="preserve"> </v>
      </c>
      <c r="S159" s="548" t="str">
        <f>IF(ISERROR(VLOOKUP(B159,'Base de Datos'!$C$7:$N$315,10,0))=TRUE," ",(VLOOKUP(B159,'Base de Datos'!$C$7:$N$315,10,0)))</f>
        <v xml:space="preserve"> </v>
      </c>
      <c r="T159" s="542"/>
      <c r="U159" s="694"/>
      <c r="V159" s="607"/>
    </row>
    <row r="160" spans="2:22" s="588" customFormat="1" ht="22.8" outlineLevel="1" x14ac:dyDescent="0.3">
      <c r="B160" s="510" t="s">
        <v>1692</v>
      </c>
      <c r="C160" s="510" t="s">
        <v>912</v>
      </c>
      <c r="D160" s="510" t="s">
        <v>1821</v>
      </c>
      <c r="E160" s="518" t="s">
        <v>1845</v>
      </c>
      <c r="F160" s="507" t="s">
        <v>1852</v>
      </c>
      <c r="G160" s="507"/>
      <c r="H160" s="507"/>
      <c r="I160" s="507"/>
      <c r="J160" s="510" t="s">
        <v>1844</v>
      </c>
      <c r="K160" s="625"/>
      <c r="L160" s="510" t="s">
        <v>1938</v>
      </c>
      <c r="M160" s="510"/>
      <c r="N160" s="510" t="s">
        <v>1939</v>
      </c>
      <c r="O160" s="650"/>
      <c r="P160" s="541" t="s">
        <v>1846</v>
      </c>
      <c r="Q160" s="510" t="s">
        <v>1847</v>
      </c>
      <c r="R160" s="510" t="s">
        <v>1848</v>
      </c>
      <c r="S160" s="510" t="s">
        <v>375</v>
      </c>
      <c r="T160" s="510" t="s">
        <v>1849</v>
      </c>
      <c r="U160" s="694"/>
      <c r="V160" s="607"/>
    </row>
    <row r="161" spans="2:22" s="588" customFormat="1" ht="15" customHeight="1" outlineLevel="1" x14ac:dyDescent="0.3">
      <c r="B161" s="510"/>
      <c r="C161" s="506"/>
      <c r="D161" s="936" t="s">
        <v>2262</v>
      </c>
      <c r="E161" s="507"/>
      <c r="F161" s="509"/>
      <c r="G161" s="509"/>
      <c r="H161" s="509"/>
      <c r="I161" s="509"/>
      <c r="J161" s="509">
        <v>106215940</v>
      </c>
      <c r="K161" s="509"/>
      <c r="L161" s="509">
        <f>9700000*8</f>
        <v>77600000</v>
      </c>
      <c r="M161" s="553"/>
      <c r="N161" s="553"/>
      <c r="O161" s="663"/>
      <c r="P161" s="586"/>
      <c r="Q161" s="587"/>
      <c r="R161" s="586"/>
      <c r="S161" s="586"/>
      <c r="T161" s="587"/>
      <c r="U161" s="694"/>
      <c r="V161" s="607"/>
    </row>
    <row r="162" spans="2:22" s="588" customFormat="1" ht="15" customHeight="1" outlineLevel="1" x14ac:dyDescent="0.3">
      <c r="B162" s="936"/>
      <c r="C162" s="936"/>
      <c r="D162" s="936"/>
      <c r="E162" s="553"/>
      <c r="F162" s="507"/>
      <c r="G162" s="507"/>
      <c r="H162" s="507"/>
      <c r="I162" s="507"/>
      <c r="J162" s="553"/>
      <c r="K162" s="585"/>
      <c r="L162" s="553"/>
      <c r="M162" s="553"/>
      <c r="N162" s="553"/>
      <c r="O162" s="663"/>
      <c r="P162" s="586"/>
      <c r="Q162" s="587"/>
      <c r="R162" s="586"/>
      <c r="S162" s="586"/>
      <c r="T162" s="587"/>
      <c r="U162" s="694"/>
      <c r="V162" s="607"/>
    </row>
    <row r="163" spans="2:22" ht="15" customHeight="1" x14ac:dyDescent="0.3">
      <c r="B163" s="1238" t="s">
        <v>1661</v>
      </c>
      <c r="C163" s="1238"/>
      <c r="D163" s="1238"/>
      <c r="E163" s="516">
        <v>36750000</v>
      </c>
      <c r="F163" s="513"/>
      <c r="G163" s="513"/>
      <c r="H163" s="513"/>
      <c r="I163" s="513"/>
      <c r="J163" s="516">
        <f>+J165</f>
        <v>12264940</v>
      </c>
      <c r="K163" s="582">
        <f>J163/E163</f>
        <v>0.33373986394557825</v>
      </c>
      <c r="L163" s="516">
        <f>+E163-J163</f>
        <v>24485060</v>
      </c>
      <c r="M163" s="516"/>
      <c r="N163" s="516">
        <f>+N165</f>
        <v>0</v>
      </c>
      <c r="O163" s="662"/>
      <c r="P163" s="548" t="str">
        <f>IF(ISERROR(VLOOKUP(B163,'Base de Datos'!$C$7:$N$315,8,0))=TRUE," ",(VLOOKUP(B163,'Base de Datos'!$C$7:$N$315,8,0)))</f>
        <v xml:space="preserve"> </v>
      </c>
      <c r="Q163" s="542"/>
      <c r="R163" s="548" t="str">
        <f>IF(ISERROR(VLOOKUP(B163,'Base de Datos'!$C$7:$N$315,9,0))=TRUE," ",(VLOOKUP(B163,'Base de Datos'!$C$7:$N$315,9,0)))</f>
        <v xml:space="preserve"> </v>
      </c>
      <c r="S163" s="548" t="str">
        <f>IF(ISERROR(VLOOKUP(B163,'Base de Datos'!$C$7:$N$315,10,0))=TRUE," ",(VLOOKUP(B163,'Base de Datos'!$C$7:$N$315,10,0)))</f>
        <v xml:space="preserve"> </v>
      </c>
      <c r="T163" s="542"/>
      <c r="U163" s="694"/>
      <c r="V163" s="607"/>
    </row>
    <row r="164" spans="2:22" ht="24.75" customHeight="1" outlineLevel="1" x14ac:dyDescent="0.3">
      <c r="B164" s="510" t="s">
        <v>1692</v>
      </c>
      <c r="C164" s="510" t="s">
        <v>912</v>
      </c>
      <c r="D164" s="510" t="s">
        <v>1821</v>
      </c>
      <c r="E164" s="518" t="s">
        <v>1845</v>
      </c>
      <c r="F164" s="507" t="s">
        <v>1852</v>
      </c>
      <c r="G164" s="507"/>
      <c r="H164" s="507"/>
      <c r="I164" s="507"/>
      <c r="J164" s="510" t="s">
        <v>1844</v>
      </c>
      <c r="K164" s="625"/>
      <c r="L164" s="510" t="s">
        <v>1938</v>
      </c>
      <c r="M164" s="510"/>
      <c r="N164" s="510" t="s">
        <v>1939</v>
      </c>
      <c r="O164" s="650"/>
      <c r="P164" s="541" t="s">
        <v>1846</v>
      </c>
      <c r="Q164" s="510" t="s">
        <v>1847</v>
      </c>
      <c r="R164" s="510" t="s">
        <v>1848</v>
      </c>
      <c r="S164" s="510" t="s">
        <v>375</v>
      </c>
      <c r="T164" s="510" t="s">
        <v>1849</v>
      </c>
      <c r="U164" s="694"/>
      <c r="V164" s="607"/>
    </row>
    <row r="165" spans="2:22" ht="15" customHeight="1" outlineLevel="1" x14ac:dyDescent="0.3">
      <c r="B165" s="510"/>
      <c r="C165" s="506"/>
      <c r="D165" s="936" t="s">
        <v>2262</v>
      </c>
      <c r="E165" s="507"/>
      <c r="F165" s="509"/>
      <c r="G165" s="509"/>
      <c r="H165" s="509"/>
      <c r="I165" s="509"/>
      <c r="J165" s="509">
        <v>12264940</v>
      </c>
      <c r="K165" s="509"/>
      <c r="L165" s="509">
        <f>3200000*4</f>
        <v>12800000</v>
      </c>
      <c r="M165" s="553"/>
      <c r="N165" s="553"/>
      <c r="O165" s="663"/>
      <c r="P165" s="586"/>
      <c r="Q165" s="587"/>
      <c r="R165" s="586"/>
      <c r="S165" s="586"/>
      <c r="T165" s="587"/>
      <c r="U165" s="694"/>
      <c r="V165" s="607"/>
    </row>
    <row r="166" spans="2:22" s="588" customFormat="1" ht="15" customHeight="1" outlineLevel="1" x14ac:dyDescent="0.3">
      <c r="B166" s="936"/>
      <c r="C166" s="936"/>
      <c r="D166" s="936"/>
      <c r="E166" s="553"/>
      <c r="F166" s="507"/>
      <c r="G166" s="507"/>
      <c r="H166" s="507"/>
      <c r="I166" s="507"/>
      <c r="J166" s="553"/>
      <c r="K166" s="585"/>
      <c r="L166" s="553"/>
      <c r="M166" s="553"/>
      <c r="N166" s="553"/>
      <c r="O166" s="663"/>
      <c r="P166" s="586"/>
      <c r="Q166" s="587"/>
      <c r="R166" s="586"/>
      <c r="S166" s="586"/>
      <c r="T166" s="587"/>
      <c r="U166" s="694"/>
      <c r="V166" s="607"/>
    </row>
    <row r="167" spans="2:22" ht="15" customHeight="1" x14ac:dyDescent="0.3">
      <c r="B167" s="1238" t="s">
        <v>1662</v>
      </c>
      <c r="C167" s="1238"/>
      <c r="D167" s="1238"/>
      <c r="E167" s="516">
        <v>58000000</v>
      </c>
      <c r="F167" s="513"/>
      <c r="G167" s="513"/>
      <c r="H167" s="513"/>
      <c r="I167" s="513"/>
      <c r="J167" s="516">
        <f>+J169</f>
        <v>5462970</v>
      </c>
      <c r="K167" s="582">
        <f>J167/E167</f>
        <v>9.4189137931034478E-2</v>
      </c>
      <c r="L167" s="516">
        <f>+E167-J167</f>
        <v>52537030</v>
      </c>
      <c r="M167" s="516"/>
      <c r="N167" s="516">
        <f>+N169</f>
        <v>0</v>
      </c>
      <c r="O167" s="662"/>
      <c r="P167" s="548" t="str">
        <f>IF(ISERROR(VLOOKUP(B167,'Base de Datos'!$C$7:$N$315,8,0))=TRUE," ",(VLOOKUP(B167,'Base de Datos'!$C$7:$N$315,8,0)))</f>
        <v xml:space="preserve"> </v>
      </c>
      <c r="Q167" s="542"/>
      <c r="R167" s="548" t="str">
        <f>IF(ISERROR(VLOOKUP(B167,'Base de Datos'!$C$7:$N$315,9,0))=TRUE," ",(VLOOKUP(B167,'Base de Datos'!$C$7:$N$315,9,0)))</f>
        <v xml:space="preserve"> </v>
      </c>
      <c r="S167" s="548" t="str">
        <f>IF(ISERROR(VLOOKUP(B167,'Base de Datos'!$C$7:$N$315,10,0))=TRUE," ",(VLOOKUP(B167,'Base de Datos'!$C$7:$N$315,10,0)))</f>
        <v xml:space="preserve"> </v>
      </c>
      <c r="T167" s="542"/>
      <c r="U167" s="694"/>
      <c r="V167" s="607"/>
    </row>
    <row r="168" spans="2:22" ht="23.25" customHeight="1" outlineLevel="1" x14ac:dyDescent="0.3">
      <c r="B168" s="510" t="s">
        <v>1692</v>
      </c>
      <c r="C168" s="510" t="s">
        <v>912</v>
      </c>
      <c r="D168" s="510" t="s">
        <v>1821</v>
      </c>
      <c r="E168" s="518" t="s">
        <v>1845</v>
      </c>
      <c r="F168" s="507" t="s">
        <v>1852</v>
      </c>
      <c r="G168" s="507"/>
      <c r="H168" s="507"/>
      <c r="I168" s="507"/>
      <c r="J168" s="510" t="s">
        <v>1844</v>
      </c>
      <c r="K168" s="625"/>
      <c r="L168" s="510" t="s">
        <v>1938</v>
      </c>
      <c r="M168" s="510"/>
      <c r="N168" s="510" t="s">
        <v>1939</v>
      </c>
      <c r="O168" s="650"/>
      <c r="P168" s="541" t="s">
        <v>1846</v>
      </c>
      <c r="Q168" s="510" t="s">
        <v>1847</v>
      </c>
      <c r="R168" s="510" t="s">
        <v>1848</v>
      </c>
      <c r="S168" s="510" t="s">
        <v>375</v>
      </c>
      <c r="T168" s="510" t="s">
        <v>1849</v>
      </c>
      <c r="U168" s="694"/>
      <c r="V168" s="607"/>
    </row>
    <row r="169" spans="2:22" ht="15" customHeight="1" outlineLevel="1" x14ac:dyDescent="0.3">
      <c r="B169" s="510"/>
      <c r="C169" s="506"/>
      <c r="D169" s="936" t="s">
        <v>2262</v>
      </c>
      <c r="E169" s="507"/>
      <c r="F169" s="509"/>
      <c r="G169" s="509"/>
      <c r="H169" s="509"/>
      <c r="I169" s="509"/>
      <c r="J169" s="509">
        <v>5462970</v>
      </c>
      <c r="K169" s="509"/>
      <c r="L169" s="509">
        <f>1200000*4</f>
        <v>4800000</v>
      </c>
      <c r="M169" s="553"/>
      <c r="N169" s="553"/>
      <c r="O169" s="663"/>
      <c r="P169" s="586"/>
      <c r="Q169" s="587"/>
      <c r="R169" s="586"/>
      <c r="S169" s="586"/>
      <c r="T169" s="587"/>
      <c r="U169" s="694"/>
      <c r="V169" s="607"/>
    </row>
    <row r="170" spans="2:22" s="588" customFormat="1" ht="15" customHeight="1" outlineLevel="1" x14ac:dyDescent="0.3">
      <c r="B170" s="936"/>
      <c r="C170" s="936"/>
      <c r="D170" s="936"/>
      <c r="E170" s="553"/>
      <c r="F170" s="507"/>
      <c r="G170" s="507"/>
      <c r="H170" s="507"/>
      <c r="I170" s="507"/>
      <c r="J170" s="553"/>
      <c r="K170" s="585"/>
      <c r="L170" s="553"/>
      <c r="M170" s="553"/>
      <c r="N170" s="553"/>
      <c r="O170" s="663"/>
      <c r="P170" s="586"/>
      <c r="Q170" s="587"/>
      <c r="R170" s="586"/>
      <c r="S170" s="586"/>
      <c r="T170" s="587"/>
      <c r="U170" s="694"/>
      <c r="V170" s="607"/>
    </row>
    <row r="171" spans="2:22" ht="15" customHeight="1" x14ac:dyDescent="0.3">
      <c r="B171" s="1238" t="s">
        <v>1663</v>
      </c>
      <c r="C171" s="1238"/>
      <c r="D171" s="1238"/>
      <c r="E171" s="516">
        <v>129000000</v>
      </c>
      <c r="F171" s="513"/>
      <c r="G171" s="513"/>
      <c r="H171" s="513"/>
      <c r="I171" s="513"/>
      <c r="J171" s="516">
        <f>+J173</f>
        <v>118657530</v>
      </c>
      <c r="K171" s="582">
        <f>J171/E171</f>
        <v>0.91982581395348839</v>
      </c>
      <c r="L171" s="516">
        <f>+L173</f>
        <v>10342470</v>
      </c>
      <c r="M171" s="516"/>
      <c r="N171" s="516">
        <f>+N173</f>
        <v>0</v>
      </c>
      <c r="O171" s="662"/>
      <c r="P171" s="548" t="str">
        <f>IF(ISERROR(VLOOKUP(B171,'Base de Datos'!$C$7:$N$315,8,0))=TRUE," ",(VLOOKUP(B171,'Base de Datos'!$C$7:$N$315,8,0)))</f>
        <v xml:space="preserve"> </v>
      </c>
      <c r="Q171" s="542"/>
      <c r="R171" s="548" t="str">
        <f>IF(ISERROR(VLOOKUP(B171,'Base de Datos'!$C$7:$N$315,9,0))=TRUE," ",(VLOOKUP(B171,'Base de Datos'!$C$7:$N$315,9,0)))</f>
        <v xml:space="preserve"> </v>
      </c>
      <c r="S171" s="548" t="str">
        <f>IF(ISERROR(VLOOKUP(B171,'Base de Datos'!$C$7:$N$315,10,0))=TRUE," ",(VLOOKUP(B171,'Base de Datos'!$C$7:$N$315,10,0)))</f>
        <v xml:space="preserve"> </v>
      </c>
      <c r="T171" s="542"/>
      <c r="U171" s="694"/>
      <c r="V171" s="607"/>
    </row>
    <row r="172" spans="2:22" s="588" customFormat="1" ht="21.75" customHeight="1" outlineLevel="1" x14ac:dyDescent="0.3">
      <c r="B172" s="510" t="s">
        <v>1692</v>
      </c>
      <c r="C172" s="510" t="s">
        <v>912</v>
      </c>
      <c r="D172" s="510" t="s">
        <v>1821</v>
      </c>
      <c r="E172" s="518" t="s">
        <v>1845</v>
      </c>
      <c r="F172" s="507" t="s">
        <v>1852</v>
      </c>
      <c r="G172" s="507"/>
      <c r="H172" s="507"/>
      <c r="I172" s="507"/>
      <c r="J172" s="510" t="s">
        <v>1844</v>
      </c>
      <c r="K172" s="625"/>
      <c r="L172" s="510" t="s">
        <v>1938</v>
      </c>
      <c r="M172" s="510"/>
      <c r="N172" s="510" t="s">
        <v>1939</v>
      </c>
      <c r="O172" s="650"/>
      <c r="P172" s="541" t="s">
        <v>1846</v>
      </c>
      <c r="Q172" s="510" t="s">
        <v>1847</v>
      </c>
      <c r="R172" s="510" t="s">
        <v>1848</v>
      </c>
      <c r="S172" s="510" t="s">
        <v>375</v>
      </c>
      <c r="T172" s="510" t="s">
        <v>1849</v>
      </c>
      <c r="U172" s="694"/>
      <c r="V172" s="607"/>
    </row>
    <row r="173" spans="2:22" s="588" customFormat="1" ht="15" customHeight="1" outlineLevel="1" x14ac:dyDescent="0.3">
      <c r="B173" s="600"/>
      <c r="C173" s="587"/>
      <c r="D173" s="936" t="s">
        <v>2262</v>
      </c>
      <c r="E173" s="507"/>
      <c r="F173" s="553"/>
      <c r="G173" s="553"/>
      <c r="H173" s="553"/>
      <c r="I173" s="553"/>
      <c r="J173" s="553">
        <v>118657530</v>
      </c>
      <c r="K173" s="553"/>
      <c r="L173" s="553">
        <f>+E171-J173</f>
        <v>10342470</v>
      </c>
      <c r="M173" s="553"/>
      <c r="N173" s="553"/>
      <c r="O173" s="663"/>
      <c r="P173" s="586"/>
      <c r="Q173" s="587"/>
      <c r="R173" s="586"/>
      <c r="S173" s="586"/>
      <c r="T173" s="587"/>
      <c r="U173" s="694"/>
      <c r="V173" s="607"/>
    </row>
    <row r="174" spans="2:22" s="588" customFormat="1" ht="15" customHeight="1" outlineLevel="1" x14ac:dyDescent="0.3">
      <c r="B174" s="936"/>
      <c r="C174" s="936"/>
      <c r="D174" s="936"/>
      <c r="E174" s="553"/>
      <c r="F174" s="507"/>
      <c r="G174" s="507"/>
      <c r="H174" s="507"/>
      <c r="I174" s="507"/>
      <c r="J174" s="553"/>
      <c r="K174" s="585"/>
      <c r="L174" s="553"/>
      <c r="M174" s="553"/>
      <c r="N174" s="553"/>
      <c r="O174" s="663"/>
      <c r="P174" s="586"/>
      <c r="Q174" s="587"/>
      <c r="R174" s="586"/>
      <c r="S174" s="586"/>
      <c r="T174" s="587"/>
      <c r="U174" s="694"/>
      <c r="V174" s="607"/>
    </row>
    <row r="175" spans="2:22" ht="15" customHeight="1" x14ac:dyDescent="0.3">
      <c r="B175" s="1240" t="s">
        <v>1664</v>
      </c>
      <c r="C175" s="1240"/>
      <c r="D175" s="1240"/>
      <c r="E175" s="512">
        <v>478000000</v>
      </c>
      <c r="F175" s="513"/>
      <c r="G175" s="513"/>
      <c r="H175" s="513"/>
      <c r="I175" s="513"/>
      <c r="J175" s="516">
        <f>+J176</f>
        <v>405331000</v>
      </c>
      <c r="K175" s="583"/>
      <c r="L175" s="516">
        <f>+L176</f>
        <v>0</v>
      </c>
      <c r="M175" s="516"/>
      <c r="N175" s="516">
        <f>+N176</f>
        <v>72669000</v>
      </c>
      <c r="O175" s="662"/>
      <c r="P175" s="548" t="str">
        <f>IF(ISERROR(VLOOKUP(B175,'Base de Datos'!$C$7:$N$315,8,0))=TRUE," ",(VLOOKUP(B175,'Base de Datos'!$C$7:$N$315,8,0)))</f>
        <v xml:space="preserve"> </v>
      </c>
      <c r="Q175" s="542"/>
      <c r="R175" s="548" t="str">
        <f>IF(ISERROR(VLOOKUP(B175,'Base de Datos'!$C$7:$N$315,9,0))=TRUE," ",(VLOOKUP(B175,'Base de Datos'!$C$7:$N$315,9,0)))</f>
        <v xml:space="preserve"> </v>
      </c>
      <c r="S175" s="548" t="str">
        <f>IF(ISERROR(VLOOKUP(B175,'Base de Datos'!$C$7:$N$315,10,0))=TRUE," ",(VLOOKUP(B175,'Base de Datos'!$C$7:$N$315,10,0)))</f>
        <v xml:space="preserve"> </v>
      </c>
      <c r="T175" s="542"/>
      <c r="U175" s="694"/>
      <c r="V175" s="607"/>
    </row>
    <row r="176" spans="2:22" ht="15" customHeight="1" x14ac:dyDescent="0.3">
      <c r="B176" s="1239" t="s">
        <v>1665</v>
      </c>
      <c r="C176" s="1239"/>
      <c r="D176" s="1239"/>
      <c r="E176" s="554">
        <v>478000000</v>
      </c>
      <c r="F176" s="559">
        <f>COUNTIF('Actualizada - presupuesto'!$E$7:$E$111,B176)</f>
        <v>1</v>
      </c>
      <c r="G176" s="559"/>
      <c r="H176" s="559"/>
      <c r="I176" s="559"/>
      <c r="J176" s="554">
        <f>SUM(J178)</f>
        <v>405331000</v>
      </c>
      <c r="K176" s="576">
        <f>J176/E176</f>
        <v>0.84797280334728031</v>
      </c>
      <c r="L176" s="554">
        <f>SUM(L178)</f>
        <v>0</v>
      </c>
      <c r="M176" s="554"/>
      <c r="N176" s="554">
        <f>+E176-J176-L176</f>
        <v>72669000</v>
      </c>
      <c r="O176" s="657"/>
      <c r="P176" s="564" t="str">
        <f>IF(ISERROR(VLOOKUP(B176,'Base de Datos'!$C$7:$N$315,8,0))=TRUE," ",(VLOOKUP(B176,'Base de Datos'!$C$7:$N$315,8,0)))</f>
        <v xml:space="preserve"> </v>
      </c>
      <c r="Q176" s="565"/>
      <c r="R176" s="564" t="str">
        <f>IF(ISERROR(VLOOKUP(B176,'Base de Datos'!$C$7:$N$315,9,0))=TRUE," ",(VLOOKUP(B176,'Base de Datos'!$C$7:$N$315,9,0)))</f>
        <v xml:space="preserve"> </v>
      </c>
      <c r="S176" s="564" t="str">
        <f>IF(ISERROR(VLOOKUP(B176,'Base de Datos'!$C$7:$N$315,10,0))=TRUE," ",(VLOOKUP(B176,'Base de Datos'!$C$7:$N$315,10,0)))</f>
        <v xml:space="preserve"> </v>
      </c>
      <c r="T176" s="565"/>
      <c r="U176" s="694"/>
      <c r="V176" s="607"/>
    </row>
    <row r="177" spans="2:22" ht="22.8" outlineLevel="1" x14ac:dyDescent="0.3">
      <c r="B177" s="510" t="s">
        <v>1692</v>
      </c>
      <c r="C177" s="510" t="s">
        <v>912</v>
      </c>
      <c r="D177" s="510" t="s">
        <v>1821</v>
      </c>
      <c r="E177" s="518" t="s">
        <v>1845</v>
      </c>
      <c r="F177" s="507" t="s">
        <v>1852</v>
      </c>
      <c r="G177" s="507"/>
      <c r="H177" s="507"/>
      <c r="I177" s="507"/>
      <c r="J177" s="510" t="s">
        <v>1844</v>
      </c>
      <c r="K177" s="625"/>
      <c r="L177" s="510" t="s">
        <v>1938</v>
      </c>
      <c r="M177" s="510"/>
      <c r="N177" s="510" t="s">
        <v>1939</v>
      </c>
      <c r="O177" s="650"/>
      <c r="P177" s="541" t="s">
        <v>1846</v>
      </c>
      <c r="Q177" s="510" t="s">
        <v>1847</v>
      </c>
      <c r="R177" s="510" t="s">
        <v>1848</v>
      </c>
      <c r="S177" s="510" t="s">
        <v>375</v>
      </c>
      <c r="T177" s="510" t="s">
        <v>1849</v>
      </c>
      <c r="U177" s="694"/>
      <c r="V177" s="607"/>
    </row>
    <row r="178" spans="2:22" s="588" customFormat="1" ht="24" customHeight="1" outlineLevel="1" x14ac:dyDescent="0.3">
      <c r="B178" s="679">
        <v>202</v>
      </c>
      <c r="C178" s="506" t="str">
        <f>IF(ISERROR(VLOOKUP(B178,'Base de Datos'!$C$487:$F$4092,2,0))=TRUE,"",(VLOOKUP('Presupuesto - PAA 2018'!B178,'Base de Datos'!$C$7:$F$4092,3,0)))</f>
        <v>170331-0-2017</v>
      </c>
      <c r="D178" s="506" t="str">
        <f>IF(ISERROR(VLOOKUP(B178,'Base de Datos'!$C$487:$F$4092,3,0))=TRUE,"",(VLOOKUP('Presupuesto - PAA 2018'!B178,'Base de Datos'!$C$487:$F$4092,4,0)))</f>
        <v>POLITECNICO GRANCOLOMBIANO</v>
      </c>
      <c r="E178" s="509">
        <f>VLOOKUP(B178,[7]PAA2017!$C$65:$AA$255,20,0)</f>
        <v>852000000</v>
      </c>
      <c r="F178" s="507" t="e">
        <f>VLOOKUP(B178,[8]SOLICITUDES!$B$3:$H$278,2,0)</f>
        <v>#N/A</v>
      </c>
      <c r="G178" s="507"/>
      <c r="H178" s="507"/>
      <c r="I178" s="507"/>
      <c r="J178" s="509">
        <f>IF(ISERROR(VLOOKUP(B178,'Base de Datos'!$C$487:$N$4092,6,0))=TRUE,"Sin Celebrar",(VLOOKUP(B178,'Base de Datos'!$C$487:$N$4092,7,0)))</f>
        <v>405331000</v>
      </c>
      <c r="K178" s="573"/>
      <c r="L178" s="553" t="str">
        <f>IF(J178=$AA$1,E178, " ")</f>
        <v xml:space="preserve"> </v>
      </c>
      <c r="M178" s="509"/>
      <c r="N178" s="509">
        <f>IF(J178&lt;E178,(E178-J178)," ")</f>
        <v>446669000</v>
      </c>
      <c r="O178" s="691" t="str">
        <f>IF(ISERROR(VLOOKUP(B178,'Base de Datos'!$C$487:$K$1048576,7,0))=TRUE," ",(VLOOKUP(B178,'Base de Datos'!$C$487:$K$1048576,8,0)))</f>
        <v>SDH-SAMC-11-2017</v>
      </c>
      <c r="P178" s="524">
        <f>IF(ISERROR(VLOOKUP(B178,'Base de Datos'!$C$487:$N$4077,9,0))=TRUE," ",(VLOOKUP(B178,'Base de Datos'!$C$487:$N$4077,10,0)))</f>
        <v>43063</v>
      </c>
      <c r="Q178" s="709"/>
      <c r="R178" s="524">
        <f>IF(ISERROR(VLOOKUP(B178,'Base de Datos'!$C$487:$N$4077,10,0))=TRUE," ",(VLOOKUP(B178,'Base de Datos'!$C$487:$N$4077,11,0)))</f>
        <v>43070</v>
      </c>
      <c r="S178" s="524">
        <f>IF(ISERROR(VLOOKUP(B178,'Base de Datos'!$C$487:$N$4077,11,0))=TRUE," ",(VLOOKUP(B178,'Base de Datos'!$C$487:$N$4077,12,0)))</f>
        <v>43312</v>
      </c>
      <c r="T178" s="506" t="str">
        <f>VLOOKUP(B178,'Base de Datos'!$C$487:$AU$4129,41,0)</f>
        <v>LIQUIDADO</v>
      </c>
      <c r="U178" s="694"/>
      <c r="V178" s="607"/>
    </row>
    <row r="179" spans="2:22" ht="12" outlineLevel="1" x14ac:dyDescent="0.3">
      <c r="B179" s="621"/>
      <c r="C179" s="621"/>
      <c r="D179" s="621"/>
      <c r="E179" s="509"/>
      <c r="F179" s="507"/>
      <c r="G179" s="507"/>
      <c r="H179" s="507"/>
      <c r="I179" s="507"/>
      <c r="J179" s="509"/>
      <c r="K179" s="573"/>
      <c r="L179" s="509"/>
      <c r="M179" s="509"/>
      <c r="N179" s="509"/>
      <c r="O179" s="651"/>
      <c r="P179" s="524"/>
      <c r="Q179" s="506"/>
      <c r="R179" s="524"/>
      <c r="S179" s="524"/>
      <c r="T179" s="506"/>
      <c r="U179" s="694"/>
      <c r="V179" s="607"/>
    </row>
    <row r="180" spans="2:22" ht="15" customHeight="1" x14ac:dyDescent="0.3">
      <c r="B180" s="1253" t="s">
        <v>1666</v>
      </c>
      <c r="C180" s="1253"/>
      <c r="D180" s="1253"/>
      <c r="E180" s="560">
        <v>834000000</v>
      </c>
      <c r="F180" s="561">
        <f>COUNTIF('Actualizada - presupuesto'!$E$7:$E$111,B180)</f>
        <v>3</v>
      </c>
      <c r="G180" s="561"/>
      <c r="H180" s="561"/>
      <c r="I180" s="561"/>
      <c r="J180" s="560">
        <f>SUM(J182:J186)</f>
        <v>890792320</v>
      </c>
      <c r="K180" s="580">
        <f>J180/E180</f>
        <v>1.0680963069544365</v>
      </c>
      <c r="L180" s="560" t="e">
        <f>SUM(L182:L186)</f>
        <v>#N/A</v>
      </c>
      <c r="M180" s="560"/>
      <c r="N180" s="560" t="e">
        <f>+E180-J180-L180</f>
        <v>#N/A</v>
      </c>
      <c r="O180" s="655"/>
      <c r="P180" s="562" t="str">
        <f>IF(ISERROR(VLOOKUP(B180,'Base de Datos'!$C$7:$N$315,8,0))=TRUE," ",(VLOOKUP(B180,'Base de Datos'!$C$7:$N$315,8,0)))</f>
        <v xml:space="preserve"> </v>
      </c>
      <c r="Q180" s="563"/>
      <c r="R180" s="562" t="str">
        <f>IF(ISERROR(VLOOKUP(B180,'Base de Datos'!$C$7:$N$315,9,0))=TRUE," ",(VLOOKUP(B180,'Base de Datos'!$C$7:$N$315,9,0)))</f>
        <v xml:space="preserve"> </v>
      </c>
      <c r="S180" s="562" t="str">
        <f>IF(ISERROR(VLOOKUP(B180,'Base de Datos'!$C$7:$N$315,10,0))=TRUE," ",(VLOOKUP(B180,'Base de Datos'!$C$7:$N$315,10,0)))</f>
        <v xml:space="preserve"> </v>
      </c>
      <c r="T180" s="565"/>
      <c r="U180" s="694"/>
      <c r="V180" s="607"/>
    </row>
    <row r="181" spans="2:22" ht="22.8" outlineLevel="1" x14ac:dyDescent="0.3">
      <c r="B181" s="510" t="s">
        <v>1692</v>
      </c>
      <c r="C181" s="510" t="s">
        <v>912</v>
      </c>
      <c r="D181" s="510" t="s">
        <v>1821</v>
      </c>
      <c r="E181" s="518" t="s">
        <v>1845</v>
      </c>
      <c r="F181" s="507" t="s">
        <v>1852</v>
      </c>
      <c r="G181" s="507"/>
      <c r="H181" s="507"/>
      <c r="I181" s="507"/>
      <c r="J181" s="510" t="s">
        <v>1844</v>
      </c>
      <c r="K181" s="625"/>
      <c r="L181" s="510" t="s">
        <v>1938</v>
      </c>
      <c r="M181" s="510"/>
      <c r="N181" s="510" t="s">
        <v>1939</v>
      </c>
      <c r="O181" s="650"/>
      <c r="P181" s="541" t="s">
        <v>1846</v>
      </c>
      <c r="Q181" s="510" t="s">
        <v>1847</v>
      </c>
      <c r="R181" s="510" t="s">
        <v>1848</v>
      </c>
      <c r="S181" s="510" t="s">
        <v>375</v>
      </c>
      <c r="T181" s="510" t="s">
        <v>1849</v>
      </c>
      <c r="U181" s="694"/>
      <c r="V181" s="607"/>
    </row>
    <row r="182" spans="2:22" ht="12.75" customHeight="1" outlineLevel="1" x14ac:dyDescent="0.3">
      <c r="B182" s="510">
        <v>206</v>
      </c>
      <c r="C182" s="506" t="str">
        <f>IF(ISERROR(VLOOKUP(B182,'Base de Datos'!$C$487:$F$4092,2,0))=TRUE,"",(VLOOKUP('Presupuesto - PAA 2018'!B182,'Base de Datos'!$C$7:$F$4092,3,0)))</f>
        <v>170231-0-2017</v>
      </c>
      <c r="D182" s="506" t="str">
        <f>IF(ISERROR(VLOOKUP(B182,'Base de Datos'!$C$487:$F$4092,3,0))=TRUE,"",(VLOOKUP('Presupuesto - PAA 2018'!B182,'Base de Datos'!$C$487:$F$4092,4,0)))</f>
        <v>ROYAL PARK LTDA</v>
      </c>
      <c r="E182" s="509">
        <f>VLOOKUP(B182,[7]PAA2017!$C$65:$AA$255,20,0)</f>
        <v>2196143000</v>
      </c>
      <c r="F182" s="507" t="str">
        <f>VLOOKUP(B182,[8]SOLICITUDES!$B$3:$H$278,2,0)</f>
        <v>SI</v>
      </c>
      <c r="G182" s="507"/>
      <c r="H182" s="507"/>
      <c r="I182" s="507"/>
      <c r="J182" s="509">
        <f>IF(ISERROR(VLOOKUP(B182,'Base de Datos'!$C$487:$N$4092,6,0))=TRUE,"Sin Celebrar",(VLOOKUP(B182,'Base de Datos'!$C$487:$N$4092,7,0)))</f>
        <v>855382000</v>
      </c>
      <c r="K182" s="573"/>
      <c r="L182" s="553" t="str">
        <f>IF(J182=$AA$1,E182, " ")</f>
        <v xml:space="preserve"> </v>
      </c>
      <c r="M182" s="509"/>
      <c r="N182" s="509">
        <f>IF(J182&lt;E182,(E182-J182)," ")</f>
        <v>1340761000</v>
      </c>
      <c r="O182" s="691" t="str">
        <f>IF(ISERROR(VLOOKUP(B182,'Base de Datos'!$C$487:$K$1048576,7,0))=TRUE," ",(VLOOKUP(B182,'Base de Datos'!$C$487:$K$1048576,8,0)))</f>
        <v>SDH-LP-03-2017</v>
      </c>
      <c r="P182" s="524">
        <f>IF(ISERROR(VLOOKUP(B182,'Base de Datos'!$C$487:$N$4077,9,0))=TRUE," ",(VLOOKUP(B182,'Base de Datos'!$C$487:$N$4077,10,0)))</f>
        <v>42984</v>
      </c>
      <c r="Q182" s="709"/>
      <c r="R182" s="524">
        <f>IF(ISERROR(VLOOKUP(B182,'Base de Datos'!$C$487:$N$4077,10,0))=TRUE," ",(VLOOKUP(B182,'Base de Datos'!$C$487:$N$4077,11,0)))</f>
        <v>42999</v>
      </c>
      <c r="S182" s="524">
        <f>IF(ISERROR(VLOOKUP(B182,'Base de Datos'!$C$487:$N$4077,11,0))=TRUE," ",(VLOOKUP(B182,'Base de Datos'!$C$487:$N$4077,12,0)))</f>
        <v>43241</v>
      </c>
      <c r="T182" s="506" t="str">
        <f>VLOOKUP(B182,'Base de Datos'!$C$487:$AU$4129,41,0)</f>
        <v>LIQUIDADO</v>
      </c>
      <c r="U182" s="694"/>
      <c r="V182" s="607"/>
    </row>
    <row r="183" spans="2:22" outlineLevel="1" x14ac:dyDescent="0.3">
      <c r="B183" s="510">
        <v>207</v>
      </c>
      <c r="C183" s="506" t="str">
        <f>IF(ISERROR(VLOOKUP(B183,'Base de Datos'!$C$487:$F$4092,2,0))=TRUE,"",(VLOOKUP('Presupuesto - PAA 2018'!B183,'Base de Datos'!$C$7:$F$4092,3,0)))</f>
        <v>160307-0-2016</v>
      </c>
      <c r="D183" s="506" t="str">
        <f>IF(ISERROR(VLOOKUP(B183,'Base de Datos'!$C$487:$F$4092,3,0))=TRUE,"",(VLOOKUP('Presupuesto - PAA 2018'!B183,'Base de Datos'!$C$487:$F$4092,4,0)))</f>
        <v>ALMACNES ÉXITO SA</v>
      </c>
      <c r="E183" s="509">
        <f>VLOOKUP(B183,[7]PAA2017!$C$65:$AA$255,20,0)</f>
        <v>108848000</v>
      </c>
      <c r="F183" s="507" t="e">
        <f>VLOOKUP(B183,[8]SOLICITUDES!$B$3:$H$278,2,0)</f>
        <v>#N/A</v>
      </c>
      <c r="G183" s="507"/>
      <c r="H183" s="507"/>
      <c r="I183" s="507"/>
      <c r="J183" s="509">
        <f>IF(ISERROR(VLOOKUP(B183,'Base de Datos'!$C$487:$N$4092,6,0))=TRUE,"Sin Celebrar",(VLOOKUP(B183,'Base de Datos'!$C$487:$N$4092,7,0)))</f>
        <v>35410320</v>
      </c>
      <c r="K183" s="573"/>
      <c r="L183" s="553" t="str">
        <f>IF(J183=$AA$1,E183, " ")</f>
        <v xml:space="preserve"> </v>
      </c>
      <c r="M183" s="509"/>
      <c r="N183" s="509">
        <f>IF(J183&lt;E183,(E183-J183)," ")</f>
        <v>73437680</v>
      </c>
      <c r="O183" s="691" t="str">
        <f>IF(ISERROR(VLOOKUP(B183,'Base de Datos'!$C$487:$K$1048576,7,0))=TRUE," ",(VLOOKUP(B183,'Base de Datos'!$C$487:$K$1048576,8,0)))</f>
        <v>SDH-SAMC-10-2017</v>
      </c>
      <c r="P183" s="524">
        <f>IF(ISERROR(VLOOKUP(B183,'Base de Datos'!$C$487:$N$4077,9,0))=TRUE," ",(VLOOKUP(B183,'Base de Datos'!$C$487:$N$4077,10,0)))</f>
        <v>43076</v>
      </c>
      <c r="Q183" s="709"/>
      <c r="R183" s="524">
        <f>IF(ISERROR(VLOOKUP(B183,'Base de Datos'!$C$487:$N$4077,10,0))=TRUE," ",(VLOOKUP(B183,'Base de Datos'!$C$487:$N$4077,11,0)))</f>
        <v>43091</v>
      </c>
      <c r="S183" s="524">
        <f>IF(ISERROR(VLOOKUP(B183,'Base de Datos'!$C$487:$N$4077,11,0))=TRUE," ",(VLOOKUP(B183,'Base de Datos'!$C$487:$N$4077,12,0)))</f>
        <v>43211</v>
      </c>
      <c r="T183" s="506" t="str">
        <f>VLOOKUP(B183,'Base de Datos'!$C$487:$AU$4129,41,0)</f>
        <v>LIQUIDADO</v>
      </c>
      <c r="U183" s="694"/>
      <c r="V183" s="607"/>
    </row>
    <row r="184" spans="2:22" outlineLevel="1" x14ac:dyDescent="0.3">
      <c r="B184" s="525"/>
      <c r="C184" s="506" t="str">
        <f>IF(ISERROR(VLOOKUP(B184,'Base de Datos'!$C$487:$F$4092,2,0))=TRUE,"",(VLOOKUP('Presupuesto - PAA 2018'!B184,'Base de Datos'!$C$7:$F$4092,3,0)))</f>
        <v/>
      </c>
      <c r="D184" s="506" t="str">
        <f>IF(ISERROR(VLOOKUP(B184,'Base de Datos'!$C$487:$F$4092,3,0))=TRUE,"",(VLOOKUP('Presupuesto - PAA 2018'!B184,'Base de Datos'!$C$487:$F$4092,4,0)))</f>
        <v/>
      </c>
      <c r="E184" s="509" t="e">
        <f>VLOOKUP(B184,[7]PAA2017!$C$65:$AA$255,20,0)</f>
        <v>#N/A</v>
      </c>
      <c r="F184" s="507" t="e">
        <f>VLOOKUP(B184,[8]SOLICITUDES!$B$3:$H$278,2,0)</f>
        <v>#N/A</v>
      </c>
      <c r="G184" s="507"/>
      <c r="H184" s="507"/>
      <c r="I184" s="507"/>
      <c r="J184" s="509" t="str">
        <f>IF(ISERROR(VLOOKUP(B184,'Base de Datos'!$C$487:$N$4092,6,0))=TRUE,"Sin Celebrar",(VLOOKUP(B184,'Base de Datos'!$C$487:$N$4092,7,0)))</f>
        <v>Sin Celebrar</v>
      </c>
      <c r="K184" s="573"/>
      <c r="L184" s="553" t="e">
        <f>IF(J184=$AA$1,E184, " ")</f>
        <v>#N/A</v>
      </c>
      <c r="M184" s="509"/>
      <c r="N184" s="509" t="e">
        <f>IF(J184&lt;E184,(E184-J184)," ")</f>
        <v>#N/A</v>
      </c>
      <c r="O184" s="691" t="str">
        <f>IF(ISERROR(VLOOKUP(B184,'Base de Datos'!$C$487:$K$1048576,7,0))=TRUE," ",(VLOOKUP(B184,'Base de Datos'!$C$487:$K$1048576,8,0)))</f>
        <v xml:space="preserve"> </v>
      </c>
      <c r="P184" s="524" t="str">
        <f>IF(ISERROR(VLOOKUP(B184,'Base de Datos'!$C$487:$N$4077,9,0))=TRUE," ",(VLOOKUP(B184,'Base de Datos'!$C$487:$N$4077,10,0)))</f>
        <v xml:space="preserve"> </v>
      </c>
      <c r="Q184" s="709"/>
      <c r="R184" s="524" t="str">
        <f>IF(ISERROR(VLOOKUP(B184,'Base de Datos'!$C$487:$N$4077,10,0))=TRUE," ",(VLOOKUP(B184,'Base de Datos'!$C$487:$N$4077,11,0)))</f>
        <v xml:space="preserve"> </v>
      </c>
      <c r="S184" s="524" t="str">
        <f>IF(ISERROR(VLOOKUP(B184,'Base de Datos'!$C$487:$N$4077,11,0))=TRUE," ",(VLOOKUP(B184,'Base de Datos'!$C$487:$N$4077,12,0)))</f>
        <v xml:space="preserve"> </v>
      </c>
      <c r="T184" s="506" t="e">
        <f>VLOOKUP(B184,'Base de Datos'!$C$487:$AU$4129,41,0)</f>
        <v>#N/A</v>
      </c>
      <c r="U184" s="694"/>
      <c r="V184" s="607"/>
    </row>
    <row r="185" spans="2:22" outlineLevel="1" x14ac:dyDescent="0.3">
      <c r="B185" s="525"/>
      <c r="C185" s="506" t="str">
        <f>IF(ISERROR(VLOOKUP(B185,'Base de Datos'!$C$487:$F$4092,2,0))=TRUE,"",(VLOOKUP('Presupuesto - PAA 2018'!B185,'Base de Datos'!$C$7:$F$4092,3,0)))</f>
        <v/>
      </c>
      <c r="D185" s="506" t="str">
        <f>IF(ISERROR(VLOOKUP(B185,'Base de Datos'!$C$487:$F$4092,3,0))=TRUE,"",(VLOOKUP('Presupuesto - PAA 2018'!B185,'Base de Datos'!$C$487:$F$4092,4,0)))</f>
        <v/>
      </c>
      <c r="E185" s="509" t="e">
        <f>VLOOKUP(B185,[7]PAA2017!$C$65:$AA$255,20,0)</f>
        <v>#N/A</v>
      </c>
      <c r="F185" s="507" t="e">
        <f>VLOOKUP(B185,[8]SOLICITUDES!$B$3:$H$278,2,0)</f>
        <v>#N/A</v>
      </c>
      <c r="G185" s="507"/>
      <c r="H185" s="507"/>
      <c r="I185" s="507"/>
      <c r="J185" s="509" t="str">
        <f>IF(ISERROR(VLOOKUP(B185,'Base de Datos'!$C$487:$N$4092,6,0))=TRUE,"Sin Celebrar",(VLOOKUP(B185,'Base de Datos'!$C$487:$N$4092,7,0)))</f>
        <v>Sin Celebrar</v>
      </c>
      <c r="K185" s="573"/>
      <c r="L185" s="553" t="e">
        <f>IF(J185=$AA$1,E185, " ")</f>
        <v>#N/A</v>
      </c>
      <c r="M185" s="509"/>
      <c r="N185" s="509" t="e">
        <f>IF(J185&lt;E185,(E185-J185)," ")</f>
        <v>#N/A</v>
      </c>
      <c r="O185" s="691" t="str">
        <f>IF(ISERROR(VLOOKUP(B185,'Base de Datos'!$C$487:$K$1048576,7,0))=TRUE," ",(VLOOKUP(B185,'Base de Datos'!$C$487:$K$1048576,8,0)))</f>
        <v xml:space="preserve"> </v>
      </c>
      <c r="P185" s="524" t="str">
        <f>IF(ISERROR(VLOOKUP(B185,'Base de Datos'!$C$487:$N$4077,9,0))=TRUE," ",(VLOOKUP(B185,'Base de Datos'!$C$487:$N$4077,10,0)))</f>
        <v xml:space="preserve"> </v>
      </c>
      <c r="Q185" s="709"/>
      <c r="R185" s="524" t="str">
        <f>IF(ISERROR(VLOOKUP(B185,'Base de Datos'!$C$487:$N$4077,10,0))=TRUE," ",(VLOOKUP(B185,'Base de Datos'!$C$487:$N$4077,11,0)))</f>
        <v xml:space="preserve"> </v>
      </c>
      <c r="S185" s="524" t="str">
        <f>IF(ISERROR(VLOOKUP(B185,'Base de Datos'!$C$487:$N$4077,11,0))=TRUE," ",(VLOOKUP(B185,'Base de Datos'!$C$487:$N$4077,12,0)))</f>
        <v xml:space="preserve"> </v>
      </c>
      <c r="T185" s="506" t="e">
        <f>VLOOKUP(B185,'Base de Datos'!$C$487:$AU$4129,41,0)</f>
        <v>#N/A</v>
      </c>
      <c r="U185" s="694"/>
      <c r="V185" s="607"/>
    </row>
    <row r="186" spans="2:22" outlineLevel="1" x14ac:dyDescent="0.3">
      <c r="B186" s="506"/>
      <c r="C186" s="506"/>
      <c r="D186" s="506" t="s">
        <v>1934</v>
      </c>
      <c r="E186" s="509">
        <f>E180-SUM(E182:E183)</f>
        <v>-1470991000</v>
      </c>
      <c r="F186" s="507"/>
      <c r="G186" s="507"/>
      <c r="H186" s="507"/>
      <c r="I186" s="507"/>
      <c r="J186" s="509"/>
      <c r="K186" s="573"/>
      <c r="L186" s="527"/>
      <c r="M186" s="527"/>
      <c r="N186" s="509" t="str">
        <f>IF(J186&lt;E186,(E186-J186)," ")</f>
        <v xml:space="preserve"> </v>
      </c>
      <c r="O186" s="652"/>
      <c r="P186" s="524" t="str">
        <f>IF(ISERROR(VLOOKUP(B186,'Base de Datos'!$C$7:$N$315,9,0))=TRUE," ",(VLOOKUP(B186,'Base de Datos'!$C$7:$N$315,9,0)))</f>
        <v xml:space="preserve"> </v>
      </c>
      <c r="Q186" s="506"/>
      <c r="R186" s="683" t="str">
        <f>IF(ISERROR(VLOOKUP(B186,'Base de Datos'!$C$7:$N$4077,10,0))=TRUE," ",(VLOOKUP(B186,'Base de Datos'!$C$7:$N$4077,10,0)))</f>
        <v xml:space="preserve"> </v>
      </c>
      <c r="S186" s="683" t="str">
        <f>IF(ISERROR(VLOOKUP(B186,'Base de Datos'!$C$7:$N$4077,11,0))=TRUE," ",(VLOOKUP(B186,'Base de Datos'!$C$7:$N$4077,11,0)))</f>
        <v xml:space="preserve"> </v>
      </c>
      <c r="T186" s="506"/>
      <c r="U186" s="694"/>
      <c r="V186" s="607"/>
    </row>
    <row r="187" spans="2:22" outlineLevel="1" x14ac:dyDescent="0.3">
      <c r="B187" s="506"/>
      <c r="C187" s="506"/>
      <c r="D187" s="506"/>
      <c r="E187" s="509"/>
      <c r="F187" s="507"/>
      <c r="G187" s="507"/>
      <c r="H187" s="507"/>
      <c r="I187" s="507"/>
      <c r="J187" s="509"/>
      <c r="K187" s="573"/>
      <c r="L187" s="509"/>
      <c r="M187" s="509"/>
      <c r="N187" s="509"/>
      <c r="O187" s="651"/>
      <c r="P187" s="524"/>
      <c r="Q187" s="506"/>
      <c r="R187" s="524"/>
      <c r="S187" s="524"/>
      <c r="T187" s="506"/>
      <c r="U187" s="694"/>
      <c r="V187" s="607"/>
    </row>
    <row r="188" spans="2:22" ht="15" customHeight="1" x14ac:dyDescent="0.3">
      <c r="B188" s="1257" t="s">
        <v>1667</v>
      </c>
      <c r="C188" s="1257"/>
      <c r="D188" s="1257"/>
      <c r="E188" s="560">
        <v>351721000</v>
      </c>
      <c r="F188" s="561">
        <f>COUNTIF('Actualizada - presupuesto'!$E$7:$E$111,B188)</f>
        <v>4</v>
      </c>
      <c r="G188" s="561"/>
      <c r="H188" s="561"/>
      <c r="I188" s="561"/>
      <c r="J188" s="560">
        <f>SUM(J190:J194)</f>
        <v>169703000</v>
      </c>
      <c r="K188" s="580">
        <f>J188/E188</f>
        <v>0.48249322616505697</v>
      </c>
      <c r="L188" s="560" t="e">
        <f>SUM(L190:L194)</f>
        <v>#N/A</v>
      </c>
      <c r="M188" s="560"/>
      <c r="N188" s="560" t="e">
        <f>+E188-J188-L188</f>
        <v>#N/A</v>
      </c>
      <c r="O188" s="655"/>
      <c r="P188" s="562" t="str">
        <f>IF(ISERROR(VLOOKUP(B188,'Base de Datos'!$C$7:$N$315,8,0))=TRUE," ",(VLOOKUP(B188,'Base de Datos'!$C$7:$N$315,8,0)))</f>
        <v xml:space="preserve"> </v>
      </c>
      <c r="Q188" s="563"/>
      <c r="R188" s="562" t="str">
        <f>IF(ISERROR(VLOOKUP(B188,'Base de Datos'!$C$7:$N$315,9,0))=TRUE," ",(VLOOKUP(B188,'Base de Datos'!$C$7:$N$315,9,0)))</f>
        <v xml:space="preserve"> </v>
      </c>
      <c r="S188" s="562" t="str">
        <f>IF(ISERROR(VLOOKUP(B188,'Base de Datos'!$C$7:$N$315,10,0))=TRUE," ",(VLOOKUP(B188,'Base de Datos'!$C$7:$N$315,10,0)))</f>
        <v xml:space="preserve"> </v>
      </c>
      <c r="T188" s="565"/>
      <c r="U188" s="694"/>
      <c r="V188" s="607"/>
    </row>
    <row r="189" spans="2:22" ht="22.8" outlineLevel="1" x14ac:dyDescent="0.3">
      <c r="B189" s="510" t="s">
        <v>1692</v>
      </c>
      <c r="C189" s="510" t="s">
        <v>912</v>
      </c>
      <c r="D189" s="510" t="s">
        <v>1821</v>
      </c>
      <c r="E189" s="518" t="s">
        <v>1845</v>
      </c>
      <c r="F189" s="507" t="s">
        <v>1852</v>
      </c>
      <c r="G189" s="507"/>
      <c r="H189" s="507"/>
      <c r="I189" s="507"/>
      <c r="J189" s="510" t="s">
        <v>1844</v>
      </c>
      <c r="K189" s="625"/>
      <c r="L189" s="510" t="s">
        <v>1938</v>
      </c>
      <c r="M189" s="510"/>
      <c r="N189" s="510" t="s">
        <v>1939</v>
      </c>
      <c r="O189" s="650"/>
      <c r="P189" s="541" t="s">
        <v>1846</v>
      </c>
      <c r="Q189" s="510" t="s">
        <v>1847</v>
      </c>
      <c r="R189" s="510" t="s">
        <v>1848</v>
      </c>
      <c r="S189" s="510" t="s">
        <v>375</v>
      </c>
      <c r="T189" s="510" t="s">
        <v>1849</v>
      </c>
      <c r="U189" s="694"/>
      <c r="V189" s="607"/>
    </row>
    <row r="190" spans="2:22" ht="16.5" customHeight="1" outlineLevel="1" x14ac:dyDescent="0.3">
      <c r="B190" s="510">
        <v>176</v>
      </c>
      <c r="C190" s="506" t="str">
        <f>IF(ISERROR(VLOOKUP(B190,'Base de Datos'!$C$487:$F$4092,2,0))=TRUE,"",(VLOOKUP('Presupuesto - PAA 2018'!B190,'Base de Datos'!$C$7:$F$4092,3,0)))</f>
        <v>150141-0-2015</v>
      </c>
      <c r="D190" s="506" t="str">
        <f>IF(ISERROR(VLOOKUP(B190,'Base de Datos'!$C$487:$F$4092,3,0))=TRUE,"",(VLOOKUP('Presupuesto - PAA 2018'!B190,'Base de Datos'!$C$487:$F$4092,4,0)))</f>
        <v>GRANADOS Y CONDECORACIONES</v>
      </c>
      <c r="E190" s="509">
        <f>VLOOKUP(B190,[7]PAA2017!$C$65:$AA$255,20,0)</f>
        <v>72000000</v>
      </c>
      <c r="F190" s="507" t="str">
        <f>VLOOKUP(B190,[8]SOLICITUDES!$B$3:$H$278,2,0)</f>
        <v>SI</v>
      </c>
      <c r="G190" s="507"/>
      <c r="H190" s="507"/>
      <c r="I190" s="507"/>
      <c r="J190" s="509">
        <f>IF(ISERROR(VLOOKUP(B190,'Base de Datos'!$C$487:$N$4092,6,0))=TRUE,"Sin Celebrar",(VLOOKUP(B190,'Base de Datos'!$C$487:$N$4092,7,0)))</f>
        <v>50703000</v>
      </c>
      <c r="K190" s="573"/>
      <c r="L190" s="553" t="str">
        <f>IF(J190=$AA$1,E190, " ")</f>
        <v xml:space="preserve"> </v>
      </c>
      <c r="M190" s="509"/>
      <c r="N190" s="509">
        <f>IF(J190&lt;E190,(E190-J190)," ")</f>
        <v>21297000</v>
      </c>
      <c r="O190" s="691" t="str">
        <f>IF(ISERROR(VLOOKUP(B190,'Base de Datos'!$C$487:$K$1048576,7,0))=TRUE," ",(VLOOKUP(B190,'Base de Datos'!$C$487:$K$1048576,8,0)))</f>
        <v>SDH-SMINC-12-2017</v>
      </c>
      <c r="P190" s="524">
        <f>IF(ISERROR(VLOOKUP(B190,'Base de Datos'!$C$487:$N$4077,9,0))=TRUE," ",(VLOOKUP(B190,'Base de Datos'!$C$487:$N$4077,10,0)))</f>
        <v>42846</v>
      </c>
      <c r="Q190" s="709"/>
      <c r="R190" s="524">
        <f>IF(ISERROR(VLOOKUP(B190,'Base de Datos'!$C$487:$N$4077,10,0))=TRUE," ",(VLOOKUP(B190,'Base de Datos'!$C$487:$N$4077,11,0)))</f>
        <v>42874</v>
      </c>
      <c r="S190" s="524">
        <f>IF(ISERROR(VLOOKUP(B190,'Base de Datos'!$C$487:$N$4077,11,0))=TRUE," ",(VLOOKUP(B190,'Base de Datos'!$C$487:$N$4077,12,0)))</f>
        <v>43239</v>
      </c>
      <c r="T190" s="506" t="str">
        <f>VLOOKUP(B190,'Base de Datos'!$C$487:$AU$4129,41,0)</f>
        <v>LIQUIDADO</v>
      </c>
      <c r="U190" s="694"/>
      <c r="V190" s="607"/>
    </row>
    <row r="191" spans="2:22" ht="18" customHeight="1" outlineLevel="1" x14ac:dyDescent="0.3">
      <c r="B191" s="510">
        <v>201</v>
      </c>
      <c r="C191" s="506" t="str">
        <f>IF(ISERROR(VLOOKUP(B191,'Base de Datos'!$C$487:$F$4092,2,0))=TRUE,"",(VLOOKUP('Presupuesto - PAA 2018'!B191,'Base de Datos'!$C$7:$F$4092,3,0)))</f>
        <v>160250-0-2016</v>
      </c>
      <c r="D191" s="506" t="str">
        <f>IF(ISERROR(VLOOKUP(B191,'Base de Datos'!$C$487:$F$4092,3,0))=TRUE,"",(VLOOKUP('Presupuesto - PAA 2018'!B191,'Base de Datos'!$C$487:$F$4092,4,0)))</f>
        <v>DOUGLAS TRADE SAS</v>
      </c>
      <c r="E191" s="509">
        <f>VLOOKUP(B191,[7]PAA2017!$C$65:$AA$255,20,0)</f>
        <v>317000000</v>
      </c>
      <c r="F191" s="507" t="str">
        <f>VLOOKUP(B191,[8]SOLICITUDES!$B$3:$H$278,2,0)</f>
        <v>SI</v>
      </c>
      <c r="G191" s="507"/>
      <c r="H191" s="507"/>
      <c r="I191" s="507"/>
      <c r="J191" s="509">
        <f>IF(ISERROR(VLOOKUP(B191,'Base de Datos'!$C$487:$N$4092,6,0))=TRUE,"Sin Celebrar",(VLOOKUP(B191,'Base de Datos'!$C$487:$N$4092,7,0)))</f>
        <v>119000000</v>
      </c>
      <c r="K191" s="573"/>
      <c r="L191" s="553" t="str">
        <f>IF(J191=$AA$1,E191, " ")</f>
        <v xml:space="preserve"> </v>
      </c>
      <c r="M191" s="509"/>
      <c r="N191" s="509">
        <f>IF(J191&lt;E191,(E191-J191)," ")</f>
        <v>198000000</v>
      </c>
      <c r="O191" s="691" t="str">
        <f>IF(ISERROR(VLOOKUP(B191,'Base de Datos'!$C$487:$K$1048576,7,0))=TRUE," ",(VLOOKUP(B191,'Base de Datos'!$C$487:$K$1048576,8,0)))</f>
        <v>SDH-SAMC-02-2017</v>
      </c>
      <c r="P191" s="524">
        <f>IF(ISERROR(VLOOKUP(B191,'Base de Datos'!$C$487:$N$4077,9,0))=TRUE," ",(VLOOKUP(B191,'Base de Datos'!$C$487:$N$4077,10,0)))</f>
        <v>42863</v>
      </c>
      <c r="Q191" s="709"/>
      <c r="R191" s="524">
        <f>IF(ISERROR(VLOOKUP(B191,'Base de Datos'!$C$487:$N$4077,10,0))=TRUE," ",(VLOOKUP(B191,'Base de Datos'!$C$487:$N$4077,11,0)))</f>
        <v>42872</v>
      </c>
      <c r="S191" s="524">
        <f>IF(ISERROR(VLOOKUP(B191,'Base de Datos'!$C$487:$N$4077,11,0))=TRUE," ",(VLOOKUP(B191,'Base de Datos'!$C$487:$N$4077,12,0)))</f>
        <v>43176</v>
      </c>
      <c r="T191" s="506" t="str">
        <f>VLOOKUP(B191,'Base de Datos'!$C$487:$AU$4129,41,0)</f>
        <v>LIQUIDADO</v>
      </c>
      <c r="U191" s="694"/>
      <c r="V191" s="607"/>
    </row>
    <row r="192" spans="2:22" ht="15" customHeight="1" outlineLevel="1" x14ac:dyDescent="0.3">
      <c r="B192" s="510"/>
      <c r="C192" s="506" t="str">
        <f>IF(ISERROR(VLOOKUP(B192,'Base de Datos'!$C$487:$F$4092,2,0))=TRUE,"",(VLOOKUP('Presupuesto - PAA 2018'!B192,'Base de Datos'!$C$7:$F$4092,3,0)))</f>
        <v/>
      </c>
      <c r="D192" s="506" t="str">
        <f>IF(ISERROR(VLOOKUP(B192,'Base de Datos'!$C$487:$F$4092,3,0))=TRUE,"",(VLOOKUP('Presupuesto - PAA 2018'!B192,'Base de Datos'!$C$487:$F$4092,4,0)))</f>
        <v/>
      </c>
      <c r="E192" s="509" t="e">
        <f>VLOOKUP(B192,[7]PAA2017!$C$65:$AA$255,20,0)</f>
        <v>#N/A</v>
      </c>
      <c r="F192" s="507" t="e">
        <f>VLOOKUP(B192,[8]SOLICITUDES!$B$3:$H$278,2,0)</f>
        <v>#N/A</v>
      </c>
      <c r="G192" s="507"/>
      <c r="H192" s="507"/>
      <c r="I192" s="507"/>
      <c r="J192" s="509" t="str">
        <f>IF(ISERROR(VLOOKUP(B192,'Base de Datos'!$C$487:$N$4092,6,0))=TRUE,"Sin Celebrar",(VLOOKUP(B192,'Base de Datos'!$C$487:$N$4092,7,0)))</f>
        <v>Sin Celebrar</v>
      </c>
      <c r="K192" s="573"/>
      <c r="L192" s="553" t="e">
        <f>IF(J192=$AA$1,E192, " ")</f>
        <v>#N/A</v>
      </c>
      <c r="M192" s="509"/>
      <c r="N192" s="509" t="e">
        <f>IF(J192&lt;E192,(E192-J192)," ")</f>
        <v>#N/A</v>
      </c>
      <c r="O192" s="691" t="str">
        <f>IF(ISERROR(VLOOKUP(B192,'Base de Datos'!$C$487:$K$1048576,7,0))=TRUE," ",(VLOOKUP(B192,'Base de Datos'!$C$487:$K$1048576,8,0)))</f>
        <v xml:space="preserve"> </v>
      </c>
      <c r="P192" s="524" t="str">
        <f>IF(ISERROR(VLOOKUP(B192,'Base de Datos'!$C$487:$N$4077,9,0))=TRUE," ",(VLOOKUP(B192,'Base de Datos'!$C$487:$N$4077,10,0)))</f>
        <v xml:space="preserve"> </v>
      </c>
      <c r="Q192" s="709"/>
      <c r="R192" s="524" t="str">
        <f>IF(ISERROR(VLOOKUP(B192,'Base de Datos'!$C$487:$N$4077,10,0))=TRUE," ",(VLOOKUP(B192,'Base de Datos'!$C$487:$N$4077,11,0)))</f>
        <v xml:space="preserve"> </v>
      </c>
      <c r="S192" s="524" t="str">
        <f>IF(ISERROR(VLOOKUP(B192,'Base de Datos'!$C$487:$N$4077,11,0))=TRUE," ",(VLOOKUP(B192,'Base de Datos'!$C$487:$N$4077,12,0)))</f>
        <v xml:space="preserve"> </v>
      </c>
      <c r="T192" s="506" t="e">
        <f>VLOOKUP(B192,'Base de Datos'!$C$487:$AU$4129,41,0)</f>
        <v>#N/A</v>
      </c>
      <c r="U192" s="694"/>
      <c r="V192" s="607"/>
    </row>
    <row r="193" spans="2:22" outlineLevel="1" x14ac:dyDescent="0.3">
      <c r="B193" s="525"/>
      <c r="C193" s="506" t="str">
        <f>IF(ISERROR(VLOOKUP(B193,'Base de Datos'!$C$487:$F$4092,2,0))=TRUE,"",(VLOOKUP('Presupuesto - PAA 2018'!B193,'Base de Datos'!$C$7:$F$4092,3,0)))</f>
        <v/>
      </c>
      <c r="D193" s="506" t="str">
        <f>IF(ISERROR(VLOOKUP(B193,'Base de Datos'!$C$487:$F$4092,3,0))=TRUE,"",(VLOOKUP('Presupuesto - PAA 2018'!B193,'Base de Datos'!$C$487:$F$4092,4,0)))</f>
        <v/>
      </c>
      <c r="E193" s="509" t="e">
        <f>VLOOKUP(B193,[7]PAA2017!$C$65:$AA$255,20,0)</f>
        <v>#N/A</v>
      </c>
      <c r="F193" s="507" t="e">
        <f>VLOOKUP(B193,[8]SOLICITUDES!$B$3:$H$278,2,0)</f>
        <v>#N/A</v>
      </c>
      <c r="G193" s="507"/>
      <c r="H193" s="507"/>
      <c r="I193" s="507"/>
      <c r="J193" s="509" t="str">
        <f>IF(ISERROR(VLOOKUP(B193,'Base de Datos'!$C$487:$N$4092,6,0))=TRUE,"Sin Celebrar",(VLOOKUP(B193,'Base de Datos'!$C$487:$N$4092,7,0)))</f>
        <v>Sin Celebrar</v>
      </c>
      <c r="K193" s="573"/>
      <c r="L193" s="553" t="e">
        <f>IF(J193=$AA$1,E193, " ")</f>
        <v>#N/A</v>
      </c>
      <c r="M193" s="509"/>
      <c r="N193" s="509" t="e">
        <f>IF(J193&lt;E193,(E193-J193)," ")</f>
        <v>#N/A</v>
      </c>
      <c r="O193" s="691" t="str">
        <f>IF(ISERROR(VLOOKUP(B193,'Base de Datos'!$C$487:$K$1048576,7,0))=TRUE," ",(VLOOKUP(B193,'Base de Datos'!$C$487:$K$1048576,8,0)))</f>
        <v xml:space="preserve"> </v>
      </c>
      <c r="P193" s="524" t="str">
        <f>IF(ISERROR(VLOOKUP(B193,'Base de Datos'!$C$487:$N$4077,9,0))=TRUE," ",(VLOOKUP(B193,'Base de Datos'!$C$487:$N$4077,10,0)))</f>
        <v xml:space="preserve"> </v>
      </c>
      <c r="Q193" s="709"/>
      <c r="R193" s="524" t="str">
        <f>IF(ISERROR(VLOOKUP(B193,'Base de Datos'!$C$487:$N$4077,10,0))=TRUE," ",(VLOOKUP(B193,'Base de Datos'!$C$487:$N$4077,11,0)))</f>
        <v xml:space="preserve"> </v>
      </c>
      <c r="S193" s="524" t="str">
        <f>IF(ISERROR(VLOOKUP(B193,'Base de Datos'!$C$487:$N$4077,11,0))=TRUE," ",(VLOOKUP(B193,'Base de Datos'!$C$487:$N$4077,12,0)))</f>
        <v xml:space="preserve"> </v>
      </c>
      <c r="T193" s="506" t="e">
        <f>VLOOKUP(B193,'Base de Datos'!$C$487:$AU$4129,41,0)</f>
        <v>#N/A</v>
      </c>
      <c r="U193" s="694"/>
      <c r="V193" s="607"/>
    </row>
    <row r="194" spans="2:22" outlineLevel="1" x14ac:dyDescent="0.3">
      <c r="B194" s="506"/>
      <c r="C194" s="506"/>
      <c r="D194" s="506" t="s">
        <v>1934</v>
      </c>
      <c r="E194" s="509" t="e">
        <f>+E188-SUM(E190:E193)</f>
        <v>#N/A</v>
      </c>
      <c r="F194" s="507"/>
      <c r="G194" s="507"/>
      <c r="H194" s="507"/>
      <c r="I194" s="507"/>
      <c r="J194" s="509"/>
      <c r="K194" s="573"/>
      <c r="L194" s="527"/>
      <c r="M194" s="527"/>
      <c r="N194" s="527" t="e">
        <f>IF(J194&lt;E194,(E194-J194)," ")</f>
        <v>#N/A</v>
      </c>
      <c r="O194" s="652"/>
      <c r="P194" s="524" t="str">
        <f>IF(ISERROR(VLOOKUP(B194,'Base de Datos'!$C$7:$N$315,9,0))=TRUE," ",(VLOOKUP(B194,'Base de Datos'!$C$7:$N$315,9,0)))</f>
        <v xml:space="preserve"> </v>
      </c>
      <c r="Q194" s="506"/>
      <c r="R194" s="529" t="str">
        <f>IF(ISERROR(VLOOKUP(B194,'Base de Datos'!$C$7:$N$315,10,0))=TRUE," ",(VLOOKUP(B194,'Base de Datos'!$C$7:$N$315,10,0)))</f>
        <v xml:space="preserve"> </v>
      </c>
      <c r="S194" s="529" t="str">
        <f>IF(ISERROR(VLOOKUP(B194,'Base de Datos'!$C$7:$N$315,11,0))=TRUE," ",(VLOOKUP(B194,'Base de Datos'!$C$7:$N$315,11,0)))</f>
        <v xml:space="preserve"> </v>
      </c>
      <c r="T194" s="506"/>
      <c r="U194" s="694"/>
      <c r="V194" s="607"/>
    </row>
    <row r="195" spans="2:22" outlineLevel="1" x14ac:dyDescent="0.3">
      <c r="B195" s="506"/>
      <c r="C195" s="506"/>
      <c r="D195" s="506"/>
      <c r="E195" s="509"/>
      <c r="F195" s="507"/>
      <c r="G195" s="507"/>
      <c r="H195" s="507"/>
      <c r="I195" s="507"/>
      <c r="J195" s="509"/>
      <c r="K195" s="573"/>
      <c r="L195" s="509"/>
      <c r="M195" s="509"/>
      <c r="N195" s="509"/>
      <c r="O195" s="651"/>
      <c r="P195" s="524"/>
      <c r="Q195" s="506"/>
      <c r="R195" s="524"/>
      <c r="S195" s="524"/>
      <c r="T195" s="506"/>
      <c r="U195" s="694"/>
      <c r="V195" s="607"/>
    </row>
    <row r="196" spans="2:22" ht="15" customHeight="1" x14ac:dyDescent="0.3">
      <c r="B196" s="1253" t="s">
        <v>1668</v>
      </c>
      <c r="C196" s="1253"/>
      <c r="D196" s="1253"/>
      <c r="E196" s="560">
        <v>108000000</v>
      </c>
      <c r="F196" s="561">
        <f>COUNTIF('Actualizada - presupuesto'!$E$7:$E$111,B196)</f>
        <v>3</v>
      </c>
      <c r="G196" s="561"/>
      <c r="H196" s="561"/>
      <c r="I196" s="561"/>
      <c r="J196" s="560">
        <f>SUM(J198:J202)</f>
        <v>87576032</v>
      </c>
      <c r="K196" s="580">
        <f>J196/E196</f>
        <v>0.81088918518518516</v>
      </c>
      <c r="L196" s="560">
        <f>SUM(L198:L202)</f>
        <v>0</v>
      </c>
      <c r="M196" s="560"/>
      <c r="N196" s="560">
        <f>+E196-J196-L196</f>
        <v>20423968</v>
      </c>
      <c r="O196" s="655"/>
      <c r="P196" s="562" t="str">
        <f>IF(ISERROR(VLOOKUP(B196,'Base de Datos'!$C$7:$N$315,8,0))=TRUE," ",(VLOOKUP(B196,'Base de Datos'!$C$7:$N$315,8,0)))</f>
        <v xml:space="preserve"> </v>
      </c>
      <c r="Q196" s="563"/>
      <c r="R196" s="562" t="str">
        <f>IF(ISERROR(VLOOKUP(B196,'Base de Datos'!$C$7:$N$315,9,0))=TRUE," ",(VLOOKUP(B196,'Base de Datos'!$C$7:$N$315,9,0)))</f>
        <v xml:space="preserve"> </v>
      </c>
      <c r="S196" s="562" t="str">
        <f>IF(ISERROR(VLOOKUP(B196,'Base de Datos'!$C$7:$N$315,10,0))=TRUE," ",(VLOOKUP(B196,'Base de Datos'!$C$7:$N$315,10,0)))</f>
        <v xml:space="preserve"> </v>
      </c>
      <c r="T196" s="565"/>
      <c r="U196" s="694"/>
      <c r="V196" s="607"/>
    </row>
    <row r="197" spans="2:22" ht="22.8" outlineLevel="1" x14ac:dyDescent="0.3">
      <c r="B197" s="510" t="s">
        <v>1692</v>
      </c>
      <c r="C197" s="510" t="s">
        <v>912</v>
      </c>
      <c r="D197" s="510" t="s">
        <v>1821</v>
      </c>
      <c r="E197" s="518" t="s">
        <v>1845</v>
      </c>
      <c r="F197" s="507" t="s">
        <v>1852</v>
      </c>
      <c r="G197" s="507"/>
      <c r="H197" s="507"/>
      <c r="I197" s="507"/>
      <c r="J197" s="510" t="s">
        <v>1844</v>
      </c>
      <c r="K197" s="625"/>
      <c r="L197" s="510" t="s">
        <v>1938</v>
      </c>
      <c r="M197" s="510"/>
      <c r="N197" s="510" t="s">
        <v>1939</v>
      </c>
      <c r="O197" s="650"/>
      <c r="P197" s="541" t="s">
        <v>1846</v>
      </c>
      <c r="Q197" s="510" t="s">
        <v>1847</v>
      </c>
      <c r="R197" s="510" t="s">
        <v>1848</v>
      </c>
      <c r="S197" s="510" t="s">
        <v>375</v>
      </c>
      <c r="T197" s="510" t="s">
        <v>1849</v>
      </c>
      <c r="U197" s="694"/>
      <c r="V197" s="607"/>
    </row>
    <row r="198" spans="2:22" outlineLevel="1" x14ac:dyDescent="0.3">
      <c r="B198" s="510">
        <v>208</v>
      </c>
      <c r="C198" s="506" t="str">
        <f>IF(ISERROR(VLOOKUP(B198,'Base de Datos'!$C$487:$F$4092,2,0))=TRUE,"",(VLOOKUP('Presupuesto - PAA 2018'!B198,'Base de Datos'!$C$7:$F$4092,3,0)))</f>
        <v>150192-0-2015</v>
      </c>
      <c r="D198" s="506" t="str">
        <f>IF(ISERROR(VLOOKUP(B198,'Base de Datos'!$C$487:$F$4092,3,0))=TRUE,"",(VLOOKUP('Presupuesto - PAA 2018'!B198,'Base de Datos'!$C$487:$F$4092,4,0)))</f>
        <v>MAGIQ ALL SAS</v>
      </c>
      <c r="E198" s="509">
        <f>VLOOKUP(B198,[7]PAA2017!$C$65:$AA$255,20,0)</f>
        <v>53048000</v>
      </c>
      <c r="F198" s="507" t="str">
        <f>VLOOKUP(B198,[8]SOLICITUDES!$B$3:$H$278,2,0)</f>
        <v>NO</v>
      </c>
      <c r="G198" s="507"/>
      <c r="H198" s="507"/>
      <c r="I198" s="507"/>
      <c r="J198" s="509">
        <f>IF(ISERROR(VLOOKUP(B198,'Base de Datos'!$C$487:$N$4092,6,0))=TRUE,"Sin Celebrar",(VLOOKUP(B198,'Base de Datos'!$C$487:$N$4092,7,0)))</f>
        <v>23058000</v>
      </c>
      <c r="K198" s="573"/>
      <c r="L198" s="553" t="str">
        <f>IF(J198=$AA$1,E198, " ")</f>
        <v xml:space="preserve"> </v>
      </c>
      <c r="M198" s="509"/>
      <c r="N198" s="509">
        <f>IF(J198&lt;E198,(E198-J198)," ")</f>
        <v>29990000</v>
      </c>
      <c r="O198" s="691" t="str">
        <f>IF(ISERROR(VLOOKUP(B198,'Base de Datos'!$C$487:$K$1048576,7,0))=TRUE," ",(VLOOKUP(B198,'Base de Datos'!$C$487:$K$1048576,8,0)))</f>
        <v>SDH-SMINC-26-2017</v>
      </c>
      <c r="P198" s="524">
        <f>IF(ISERROR(VLOOKUP(B198,'Base de Datos'!$C$487:$N$4077,9,0))=TRUE," ",(VLOOKUP(B198,'Base de Datos'!$C$487:$N$4077,10,0)))</f>
        <v>43013</v>
      </c>
      <c r="Q198" s="709"/>
      <c r="R198" s="524">
        <f>IF(ISERROR(VLOOKUP(B198,'Base de Datos'!$C$487:$N$4077,10,0))=TRUE," ",(VLOOKUP(B198,'Base de Datos'!$C$487:$N$4077,11,0)))</f>
        <v>43033</v>
      </c>
      <c r="S198" s="524">
        <f>IF(ISERROR(VLOOKUP(B198,'Base de Datos'!$C$487:$N$4077,11,0))=TRUE," ",(VLOOKUP(B198,'Base de Datos'!$C$487:$N$4077,12,0)))</f>
        <v>43156</v>
      </c>
      <c r="T198" s="506" t="str">
        <f>VLOOKUP(B198,'Base de Datos'!$C$487:$AU$4129,41,0)</f>
        <v>LIQUIDADO</v>
      </c>
      <c r="U198" s="694"/>
      <c r="V198" s="607"/>
    </row>
    <row r="199" spans="2:22" outlineLevel="1" x14ac:dyDescent="0.3">
      <c r="B199" s="510">
        <v>209</v>
      </c>
      <c r="C199" s="506" t="str">
        <f>IF(ISERROR(VLOOKUP(B199,'Base de Datos'!$C$487:$F$4092,2,0))=TRUE,"",(VLOOKUP('Presupuesto - PAA 2018'!B199,'Base de Datos'!$C$7:$F$4092,3,0)))</f>
        <v>160284-0-2016</v>
      </c>
      <c r="D199" s="506" t="str">
        <f>IF(ISERROR(VLOOKUP(B199,'Base de Datos'!$C$487:$F$4092,3,0))=TRUE,"",(VLOOKUP('Presupuesto - PAA 2018'!B199,'Base de Datos'!$C$487:$F$4092,4,0)))</f>
        <v>EDER GIOVANNY CASTIBLANCO ORJUELA</v>
      </c>
      <c r="E199" s="509">
        <f>VLOOKUP(B199,[7]PAA2017!$C$65:$AA$255,20,0)</f>
        <v>21606000</v>
      </c>
      <c r="F199" s="507" t="str">
        <f>VLOOKUP(B199,[8]SOLICITUDES!$B$3:$H$278,2,0)</f>
        <v>NO</v>
      </c>
      <c r="G199" s="507"/>
      <c r="H199" s="507"/>
      <c r="I199" s="507"/>
      <c r="J199" s="509">
        <f>IF(ISERROR(VLOOKUP(B199,'Base de Datos'!$C$487:$N$4092,6,0))=TRUE,"Sin Celebrar",(VLOOKUP(B199,'Base de Datos'!$C$487:$N$4092,7,0)))</f>
        <v>4606000</v>
      </c>
      <c r="K199" s="573"/>
      <c r="L199" s="553" t="str">
        <f>IF(J199=$AA$1,E199, " ")</f>
        <v xml:space="preserve"> </v>
      </c>
      <c r="M199" s="509"/>
      <c r="N199" s="509">
        <f>IF(J199&lt;E199,(E199-J199)," ")</f>
        <v>17000000</v>
      </c>
      <c r="O199" s="691" t="str">
        <f>IF(ISERROR(VLOOKUP(B199,'Base de Datos'!$C$487:$K$1048576,7,0))=TRUE," ",(VLOOKUP(B199,'Base de Datos'!$C$487:$K$1048576,8,0)))</f>
        <v>SDH-SMINC-37-2017</v>
      </c>
      <c r="P199" s="524">
        <f>IF(ISERROR(VLOOKUP(B199,'Base de Datos'!$C$487:$N$4077,9,0))=TRUE," ",(VLOOKUP(B199,'Base de Datos'!$C$487:$N$4077,10,0)))</f>
        <v>43026</v>
      </c>
      <c r="Q199" s="709"/>
      <c r="R199" s="524">
        <f>IF(ISERROR(VLOOKUP(B199,'Base de Datos'!$C$487:$N$4077,10,0))=TRUE," ",(VLOOKUP(B199,'Base de Datos'!$C$487:$N$4077,11,0)))</f>
        <v>43041</v>
      </c>
      <c r="S199" s="524">
        <f>IF(ISERROR(VLOOKUP(B199,'Base de Datos'!$C$487:$N$4077,11,0))=TRUE," ",(VLOOKUP(B199,'Base de Datos'!$C$487:$N$4077,12,0)))</f>
        <v>43133</v>
      </c>
      <c r="T199" s="506" t="str">
        <f>VLOOKUP(B199,'Base de Datos'!$C$487:$AU$4129,41,0)</f>
        <v>LIQUIDADO</v>
      </c>
      <c r="U199" s="694"/>
      <c r="V199" s="607"/>
    </row>
    <row r="200" spans="2:22" ht="22.8" outlineLevel="1" x14ac:dyDescent="0.3">
      <c r="B200" s="525">
        <v>210</v>
      </c>
      <c r="C200" s="506" t="str">
        <f>IF(ISERROR(VLOOKUP(B200,'Base de Datos'!$C$487:$F$4092,2,0))=TRUE,"",(VLOOKUP('Presupuesto - PAA 2018'!B200,'Base de Datos'!$C$7:$F$4092,3,0)))</f>
        <v>150198-0-2015</v>
      </c>
      <c r="D200" s="506" t="str">
        <f>IF(ISERROR(VLOOKUP(B200,'Base de Datos'!$C$487:$F$4092,3,0))=TRUE,"",(VLOOKUP('Presupuesto - PAA 2018'!B200,'Base de Datos'!$C$487:$F$4092,4,0)))</f>
        <v>TECNOLOGIA BIOMEDICA Y SUMINISTROS LTDA</v>
      </c>
      <c r="E200" s="509">
        <f>VLOOKUP(B200,[7]PAA2017!$C$65:$AA$255,20,0)</f>
        <v>12427000</v>
      </c>
      <c r="F200" s="507" t="str">
        <f>VLOOKUP(B200,[8]SOLICITUDES!$B$3:$H$278,2,0)</f>
        <v>NO</v>
      </c>
      <c r="G200" s="507"/>
      <c r="H200" s="507"/>
      <c r="I200" s="507"/>
      <c r="J200" s="509">
        <f>IF(ISERROR(VLOOKUP(B200,'Base de Datos'!$C$487:$N$4092,6,0))=TRUE,"Sin Celebrar",(VLOOKUP(B200,'Base de Datos'!$C$487:$N$4092,7,0)))</f>
        <v>3790032</v>
      </c>
      <c r="K200" s="573"/>
      <c r="L200" s="553" t="str">
        <f>IF(J200=$AA$1,E200, " ")</f>
        <v xml:space="preserve"> </v>
      </c>
      <c r="M200" s="509"/>
      <c r="N200" s="509">
        <f>IF(J200&lt;E200,(E200-J200)," ")</f>
        <v>8636968</v>
      </c>
      <c r="O200" s="691" t="str">
        <f>IF(ISERROR(VLOOKUP(B200,'Base de Datos'!$C$487:$K$1048576,7,0))=TRUE," ",(VLOOKUP(B200,'Base de Datos'!$C$487:$K$1048576,8,0)))</f>
        <v>SDH- SMINC-24-2017</v>
      </c>
      <c r="P200" s="524">
        <f>IF(ISERROR(VLOOKUP(B200,'Base de Datos'!$C$487:$N$4077,9,0))=TRUE," ",(VLOOKUP(B200,'Base de Datos'!$C$487:$N$4077,10,0)))</f>
        <v>42971</v>
      </c>
      <c r="Q200" s="709"/>
      <c r="R200" s="524">
        <f>IF(ISERROR(VLOOKUP(B200,'Base de Datos'!$C$487:$N$4077,10,0))=TRUE," ",(VLOOKUP(B200,'Base de Datos'!$C$487:$N$4077,11,0)))</f>
        <v>42982</v>
      </c>
      <c r="S200" s="524">
        <f>IF(ISERROR(VLOOKUP(B200,'Base de Datos'!$C$487:$N$4077,11,0))=TRUE," ",(VLOOKUP(B200,'Base de Datos'!$C$487:$N$4077,12,0)))</f>
        <v>43073</v>
      </c>
      <c r="T200" s="506" t="str">
        <f>VLOOKUP(B200,'Base de Datos'!$C$487:$AU$4129,41,0)</f>
        <v>LIQUIDADO</v>
      </c>
      <c r="U200" s="694"/>
      <c r="V200" s="607"/>
    </row>
    <row r="201" spans="2:22" ht="14.25" customHeight="1" outlineLevel="1" x14ac:dyDescent="0.3">
      <c r="B201" s="525">
        <v>211</v>
      </c>
      <c r="C201" s="506" t="str">
        <f>IF(ISERROR(VLOOKUP(B201,'Base de Datos'!$C$487:$F$4092,2,0))=TRUE,"",(VLOOKUP('Presupuesto - PAA 2018'!B201,'Base de Datos'!$C$7:$F$4092,3,0)))</f>
        <v>160165-0-2016</v>
      </c>
      <c r="D201" s="506" t="str">
        <f>IF(ISERROR(VLOOKUP(B201,'Base de Datos'!$C$487:$F$4092,3,0))=TRUE,"",(VLOOKUP('Presupuesto - PAA 2018'!B201,'Base de Datos'!$C$487:$F$4092,4,0)))</f>
        <v>MEDICAL PROTECTION LTDA. SALUD OCUPACIONAL</v>
      </c>
      <c r="E201" s="509">
        <f>VLOOKUP(B201,[7]PAA2017!$C$65:$AA$255,20,0)</f>
        <v>165122000</v>
      </c>
      <c r="F201" s="507" t="str">
        <f>VLOOKUP(B201,[8]SOLICITUDES!$B$3:$H$278,2,0)</f>
        <v>SI</v>
      </c>
      <c r="G201" s="507"/>
      <c r="H201" s="507"/>
      <c r="I201" s="507"/>
      <c r="J201" s="509">
        <f>IF(ISERROR(VLOOKUP(B201,'Base de Datos'!$C$487:$N$4092,6,0))=TRUE,"Sin Celebrar",(VLOOKUP(B201,'Base de Datos'!$C$487:$N$4092,7,0)))</f>
        <v>56122000</v>
      </c>
      <c r="K201" s="573"/>
      <c r="L201" s="553" t="str">
        <f>IF(J201=$AA$1,E201, " ")</f>
        <v xml:space="preserve"> </v>
      </c>
      <c r="M201" s="509"/>
      <c r="N201" s="509">
        <f>IF(J201&lt;E201,(E201-J201)," ")</f>
        <v>109000000</v>
      </c>
      <c r="O201" s="691" t="str">
        <f>IF(ISERROR(VLOOKUP(B201,'Base de Datos'!$C$487:$K$1048576,7,0))=TRUE," ",(VLOOKUP(B201,'Base de Datos'!$C$487:$K$1048576,8,0)))</f>
        <v>SDH-SAMC-03-2017</v>
      </c>
      <c r="P201" s="524">
        <f>IF(ISERROR(VLOOKUP(B201,'Base de Datos'!$C$487:$N$4077,9,0))=TRUE," ",(VLOOKUP(B201,'Base de Datos'!$C$487:$N$4077,10,0)))</f>
        <v>42888</v>
      </c>
      <c r="Q201" s="709"/>
      <c r="R201" s="524">
        <f>IF(ISERROR(VLOOKUP(B201,'Base de Datos'!$C$487:$N$4077,10,0))=TRUE," ",(VLOOKUP(B201,'Base de Datos'!$C$487:$N$4077,11,0)))</f>
        <v>42898</v>
      </c>
      <c r="S201" s="524">
        <f>IF(ISERROR(VLOOKUP(B201,'Base de Datos'!$C$487:$N$4077,11,0))=TRUE," ",(VLOOKUP(B201,'Base de Datos'!$C$487:$N$4077,12,0)))</f>
        <v>43263</v>
      </c>
      <c r="T201" s="506" t="str">
        <f>VLOOKUP(B201,'Base de Datos'!$C$487:$AU$4129,41,0)</f>
        <v>LIQUIDADO</v>
      </c>
      <c r="U201" s="694"/>
      <c r="V201" s="607"/>
    </row>
    <row r="202" spans="2:22" ht="12" outlineLevel="1" x14ac:dyDescent="0.3">
      <c r="B202" s="621"/>
      <c r="C202" s="621"/>
      <c r="D202" s="506" t="s">
        <v>1934</v>
      </c>
      <c r="E202" s="509">
        <f>+E196-SUM(E198:E201)</f>
        <v>-144203000</v>
      </c>
      <c r="F202" s="507"/>
      <c r="G202" s="507"/>
      <c r="H202" s="507"/>
      <c r="I202" s="507"/>
      <c r="J202" s="527"/>
      <c r="K202" s="573"/>
      <c r="L202" s="527"/>
      <c r="M202" s="527"/>
      <c r="N202" s="527" t="str">
        <f>IF(J202&lt;E202,(E202-J202)," ")</f>
        <v xml:space="preserve"> </v>
      </c>
      <c r="O202" s="691" t="str">
        <f>IF(ISERROR(VLOOKUP(B202,'Base de Datos'!$C$7:$K$1048576,7,0))=TRUE," ",(VLOOKUP(B202,'Base de Datos'!$C$7:$K$1048576,7,0)))</f>
        <v xml:space="preserve"> </v>
      </c>
      <c r="P202" s="524" t="str">
        <f>IF(ISERROR(VLOOKUP(B202,'Base de Datos'!$C$7:$N$315,9,0))=TRUE," ",(VLOOKUP(B202,'Base de Datos'!$C$7:$N$315,9,0)))</f>
        <v xml:space="preserve"> </v>
      </c>
      <c r="Q202" s="506"/>
      <c r="R202" s="529" t="str">
        <f>IF(ISERROR(VLOOKUP(B202,'Base de Datos'!$C$7:$N$315,10,0))=TRUE," ",(VLOOKUP(B202,'Base de Datos'!$C$7:$N$315,10,0)))</f>
        <v xml:space="preserve"> </v>
      </c>
      <c r="S202" s="529" t="str">
        <f>IF(ISERROR(VLOOKUP(B202,'Base de Datos'!$C$7:$N$315,11,0))=TRUE," ",(VLOOKUP(B202,'Base de Datos'!$C$7:$N$315,11,0)))</f>
        <v xml:space="preserve"> </v>
      </c>
      <c r="T202" s="506"/>
      <c r="U202" s="694"/>
      <c r="V202" s="607"/>
    </row>
    <row r="203" spans="2:22" ht="12" outlineLevel="1" x14ac:dyDescent="0.3">
      <c r="B203" s="621"/>
      <c r="C203" s="621"/>
      <c r="D203" s="621"/>
      <c r="E203" s="509"/>
      <c r="F203" s="507"/>
      <c r="G203" s="507"/>
      <c r="H203" s="507"/>
      <c r="I203" s="507"/>
      <c r="J203" s="509"/>
      <c r="K203" s="573"/>
      <c r="L203" s="509"/>
      <c r="M203" s="509"/>
      <c r="N203" s="509"/>
      <c r="O203" s="651"/>
      <c r="P203" s="524"/>
      <c r="Q203" s="506"/>
      <c r="R203" s="524"/>
      <c r="S203" s="524"/>
      <c r="T203" s="506"/>
      <c r="U203" s="694"/>
      <c r="V203" s="607"/>
    </row>
    <row r="204" spans="2:22" ht="15" customHeight="1" x14ac:dyDescent="0.3">
      <c r="B204" s="1254" t="s">
        <v>1669</v>
      </c>
      <c r="C204" s="1254"/>
      <c r="D204" s="1254"/>
      <c r="E204" s="530">
        <v>40000000</v>
      </c>
      <c r="F204" s="531">
        <f>COUNTIF('Actualizada - presupuesto'!$E$7:$E$111,B204)</f>
        <v>0</v>
      </c>
      <c r="G204" s="531"/>
      <c r="H204" s="531"/>
      <c r="I204" s="531"/>
      <c r="J204" s="540">
        <f>+J205</f>
        <v>40000000</v>
      </c>
      <c r="K204" s="582">
        <f>J204/E204</f>
        <v>1</v>
      </c>
      <c r="L204" s="540"/>
      <c r="M204" s="540"/>
      <c r="N204" s="540">
        <f>SUM(N205)</f>
        <v>0</v>
      </c>
      <c r="O204" s="658"/>
      <c r="P204" s="546" t="str">
        <f>IF(ISERROR(VLOOKUP(B204,'Base de Datos'!$C$7:$N$315,8,0))=TRUE," ",(VLOOKUP(B204,'Base de Datos'!$C$7:$N$315,8,0)))</f>
        <v xml:space="preserve"> </v>
      </c>
      <c r="Q204" s="547"/>
      <c r="R204" s="546" t="str">
        <f>IF(ISERROR(VLOOKUP(B204,'Base de Datos'!$C$7:$N$315,9,0))=TRUE," ",(VLOOKUP(B204,'Base de Datos'!$C$7:$N$315,9,0)))</f>
        <v xml:space="preserve"> </v>
      </c>
      <c r="S204" s="546" t="str">
        <f>IF(ISERROR(VLOOKUP(B204,'Base de Datos'!$C$7:$N$315,10,0))=TRUE," ",(VLOOKUP(B204,'Base de Datos'!$C$7:$N$315,10,0)))</f>
        <v xml:space="preserve"> </v>
      </c>
      <c r="T204" s="542"/>
      <c r="U204" s="694"/>
      <c r="V204" s="607"/>
    </row>
    <row r="205" spans="2:22" ht="15" customHeight="1" x14ac:dyDescent="0.3">
      <c r="B205" s="1238" t="s">
        <v>1838</v>
      </c>
      <c r="C205" s="1238"/>
      <c r="D205" s="1238"/>
      <c r="E205" s="516">
        <v>40000000</v>
      </c>
      <c r="F205" s="513">
        <f>COUNTIF('Actualizada - presupuesto'!$E$7:$E$111,B205)</f>
        <v>0</v>
      </c>
      <c r="G205" s="513"/>
      <c r="H205" s="513"/>
      <c r="I205" s="513"/>
      <c r="J205" s="516">
        <f>+J207</f>
        <v>40000000</v>
      </c>
      <c r="K205" s="583"/>
      <c r="L205" s="516"/>
      <c r="M205" s="516"/>
      <c r="N205" s="516"/>
      <c r="O205" s="662"/>
      <c r="P205" s="548" t="str">
        <f>IF(ISERROR(VLOOKUP(B205,'Base de Datos'!$C$7:$N$315,8,0))=TRUE," ",(VLOOKUP(B205,'Base de Datos'!$C$7:$N$315,8,0)))</f>
        <v xml:space="preserve"> </v>
      </c>
      <c r="Q205" s="542"/>
      <c r="R205" s="548" t="str">
        <f>IF(ISERROR(VLOOKUP(B205,'Base de Datos'!$C$7:$N$315,9,0))=TRUE," ",(VLOOKUP(B205,'Base de Datos'!$C$7:$N$315,9,0)))</f>
        <v xml:space="preserve"> </v>
      </c>
      <c r="S205" s="548" t="str">
        <f>IF(ISERROR(VLOOKUP(B205,'Base de Datos'!$C$7:$N$315,10,0))=TRUE," ",(VLOOKUP(B205,'Base de Datos'!$C$7:$N$315,10,0)))</f>
        <v xml:space="preserve"> </v>
      </c>
      <c r="T205" s="542"/>
      <c r="U205" s="694"/>
      <c r="V205" s="607"/>
    </row>
    <row r="206" spans="2:22" s="588" customFormat="1" ht="23.25" customHeight="1" outlineLevel="1" x14ac:dyDescent="0.3">
      <c r="B206" s="510" t="s">
        <v>1822</v>
      </c>
      <c r="C206" s="510" t="s">
        <v>912</v>
      </c>
      <c r="D206" s="510" t="s">
        <v>1821</v>
      </c>
      <c r="E206" s="507" t="s">
        <v>1852</v>
      </c>
      <c r="F206" s="518" t="s">
        <v>1845</v>
      </c>
      <c r="G206" s="518"/>
      <c r="H206" s="518"/>
      <c r="I206" s="518"/>
      <c r="J206" s="506" t="s">
        <v>1844</v>
      </c>
      <c r="K206" s="585"/>
      <c r="L206" s="553"/>
      <c r="M206" s="553"/>
      <c r="N206" s="553"/>
      <c r="O206" s="663"/>
      <c r="P206" s="586"/>
      <c r="Q206" s="587"/>
      <c r="R206" s="586"/>
      <c r="S206" s="586"/>
      <c r="T206" s="587"/>
      <c r="U206" s="694"/>
      <c r="V206" s="607"/>
    </row>
    <row r="207" spans="2:22" s="588" customFormat="1" ht="15" customHeight="1" outlineLevel="1" x14ac:dyDescent="0.3">
      <c r="B207" s="510"/>
      <c r="C207" s="506"/>
      <c r="D207" s="506"/>
      <c r="E207" s="507"/>
      <c r="F207" s="509">
        <v>40000000</v>
      </c>
      <c r="G207" s="509"/>
      <c r="H207" s="509"/>
      <c r="I207" s="509"/>
      <c r="J207" s="509">
        <v>40000000</v>
      </c>
      <c r="K207" s="585"/>
      <c r="L207" s="553"/>
      <c r="M207" s="553"/>
      <c r="N207" s="553"/>
      <c r="O207" s="663"/>
      <c r="P207" s="586"/>
      <c r="Q207" s="587"/>
      <c r="R207" s="586"/>
      <c r="S207" s="586"/>
      <c r="T207" s="587"/>
      <c r="U207" s="694"/>
      <c r="V207" s="607"/>
    </row>
    <row r="208" spans="2:22" s="588" customFormat="1" ht="15" customHeight="1" outlineLevel="1" x14ac:dyDescent="0.3">
      <c r="B208" s="936"/>
      <c r="C208" s="936"/>
      <c r="D208" s="936"/>
      <c r="E208" s="553"/>
      <c r="F208" s="507"/>
      <c r="G208" s="507"/>
      <c r="H208" s="507"/>
      <c r="I208" s="507"/>
      <c r="J208" s="553"/>
      <c r="K208" s="585"/>
      <c r="L208" s="553"/>
      <c r="M208" s="553"/>
      <c r="N208" s="553"/>
      <c r="O208" s="663"/>
      <c r="P208" s="586"/>
      <c r="Q208" s="587"/>
      <c r="R208" s="586"/>
      <c r="S208" s="586"/>
      <c r="T208" s="587"/>
      <c r="U208" s="694"/>
      <c r="V208" s="607"/>
    </row>
    <row r="209" spans="2:22" ht="15" customHeight="1" x14ac:dyDescent="0.3">
      <c r="B209" s="1239" t="s">
        <v>1671</v>
      </c>
      <c r="C209" s="1239"/>
      <c r="D209" s="1239"/>
      <c r="E209" s="554">
        <v>1800000000</v>
      </c>
      <c r="F209" s="559">
        <f>COUNTIF('Actualizada - presupuesto'!$E$7:$E$111,B209)</f>
        <v>2</v>
      </c>
      <c r="G209" s="559"/>
      <c r="H209" s="559"/>
      <c r="I209" s="559"/>
      <c r="J209" s="554">
        <f>SUM(J211:J213)</f>
        <v>1309999990</v>
      </c>
      <c r="K209" s="576">
        <f>J209/E209</f>
        <v>0.72777777222222217</v>
      </c>
      <c r="L209" s="554" t="e">
        <f>SUM(L211:L213)</f>
        <v>#N/A</v>
      </c>
      <c r="M209" s="554"/>
      <c r="N209" s="554" t="e">
        <f>+E209-J209-L209</f>
        <v>#N/A</v>
      </c>
      <c r="O209" s="657"/>
      <c r="P209" s="564" t="str">
        <f>IF(ISERROR(VLOOKUP(B209,'Base de Datos'!$C$7:$N$315,8,0))=TRUE," ",(VLOOKUP(B209,'Base de Datos'!$C$7:$N$315,8,0)))</f>
        <v xml:space="preserve"> </v>
      </c>
      <c r="Q209" s="565"/>
      <c r="R209" s="564" t="str">
        <f>IF(ISERROR(VLOOKUP(B209,'Base de Datos'!$C$7:$N$315,9,0))=TRUE," ",(VLOOKUP(B209,'Base de Datos'!$C$7:$N$315,9,0)))</f>
        <v xml:space="preserve"> </v>
      </c>
      <c r="S209" s="564" t="str">
        <f>IF(ISERROR(VLOOKUP(B209,'Base de Datos'!$C$7:$N$315,10,0))=TRUE," ",(VLOOKUP(B209,'Base de Datos'!$C$7:$N$315,10,0)))</f>
        <v xml:space="preserve"> </v>
      </c>
      <c r="T209" s="565"/>
      <c r="U209" s="694"/>
      <c r="V209" s="607"/>
    </row>
    <row r="210" spans="2:22" ht="22.8" outlineLevel="1" x14ac:dyDescent="0.3">
      <c r="B210" s="510" t="s">
        <v>1692</v>
      </c>
      <c r="C210" s="510" t="s">
        <v>912</v>
      </c>
      <c r="D210" s="510" t="s">
        <v>1821</v>
      </c>
      <c r="E210" s="518" t="s">
        <v>1845</v>
      </c>
      <c r="F210" s="507" t="s">
        <v>1852</v>
      </c>
      <c r="G210" s="507"/>
      <c r="H210" s="507"/>
      <c r="I210" s="507"/>
      <c r="J210" s="510" t="s">
        <v>1844</v>
      </c>
      <c r="K210" s="625"/>
      <c r="L210" s="510" t="s">
        <v>1938</v>
      </c>
      <c r="M210" s="510"/>
      <c r="N210" s="510" t="s">
        <v>1939</v>
      </c>
      <c r="O210" s="650"/>
      <c r="P210" s="541" t="s">
        <v>1846</v>
      </c>
      <c r="Q210" s="510" t="s">
        <v>1847</v>
      </c>
      <c r="R210" s="510" t="s">
        <v>1848</v>
      </c>
      <c r="S210" s="510" t="s">
        <v>375</v>
      </c>
      <c r="T210" s="510" t="s">
        <v>1849</v>
      </c>
      <c r="U210" s="694"/>
      <c r="V210" s="607"/>
    </row>
    <row r="211" spans="2:22" outlineLevel="1" x14ac:dyDescent="0.3">
      <c r="B211" s="510">
        <v>177</v>
      </c>
      <c r="C211" s="506" t="str">
        <f>IF(ISERROR(VLOOKUP(B211,'Base de Datos'!$C$487:$F$4092,2,0))=TRUE,"",(VLOOKUP('Presupuesto - PAA 2018'!B211,'Base de Datos'!$C$7:$F$4092,3,0)))</f>
        <v>150193-0-2015</v>
      </c>
      <c r="D211" s="506" t="str">
        <f>IF(ISERROR(VLOOKUP(B211,'Base de Datos'!$C$487:$F$4092,3,0))=TRUE,"",(VLOOKUP('Presupuesto - PAA 2018'!B211,'Base de Datos'!$C$487:$F$4092,4,0)))</f>
        <v>PERIODICOS Y PUBLICACIONES SA</v>
      </c>
      <c r="E211" s="509">
        <f>VLOOKUP(B211,[7]PAA2017!$C$65:$AA$255,20,0)</f>
        <v>155000000</v>
      </c>
      <c r="F211" s="507" t="e">
        <f>VLOOKUP(B211,[8]SOLICITUDES!$B$3:$H$278,2,0)</f>
        <v>#N/A</v>
      </c>
      <c r="G211" s="507"/>
      <c r="H211" s="507"/>
      <c r="I211" s="507"/>
      <c r="J211" s="509">
        <f>IF(ISERROR(VLOOKUP(B211,'Base de Datos'!$C$487:$N$4092,6,0))=TRUE,"Sin Celebrar",(VLOOKUP(B211,'Base de Datos'!$C$487:$N$4092,7,0)))</f>
        <v>400000000</v>
      </c>
      <c r="K211" s="573"/>
      <c r="L211" s="553" t="str">
        <f>IF(J211=$AA$1,E211, " ")</f>
        <v xml:space="preserve"> </v>
      </c>
      <c r="M211" s="509"/>
      <c r="N211" s="509" t="str">
        <f>IF(J211&lt;E211,(E211-J211)," ")</f>
        <v xml:space="preserve"> </v>
      </c>
      <c r="O211" s="691" t="str">
        <f>IF(ISERROR(VLOOKUP(B211,'Base de Datos'!$C$487:$K$1048576,7,0))=TRUE," ",(VLOOKUP(B211,'Base de Datos'!$C$487:$K$1048576,8,0)))</f>
        <v>SDH-SIE-24-2016</v>
      </c>
      <c r="P211" s="524">
        <f>IF(ISERROR(VLOOKUP(B211,'Base de Datos'!$C$487:$N$4077,9,0))=TRUE," ",(VLOOKUP(B211,'Base de Datos'!$C$487:$N$4077,10,0)))</f>
        <v>42746</v>
      </c>
      <c r="Q211" s="709"/>
      <c r="R211" s="524">
        <f>IF(ISERROR(VLOOKUP(B211,'Base de Datos'!$C$487:$N$4077,10,0))=TRUE," ",(VLOOKUP(B211,'Base de Datos'!$C$487:$N$4077,11,0)))</f>
        <v>42773</v>
      </c>
      <c r="S211" s="524">
        <f>IF(ISERROR(VLOOKUP(B211,'Base de Datos'!$C$487:$N$4077,11,0))=TRUE," ",(VLOOKUP(B211,'Base de Datos'!$C$487:$N$4077,12,0)))</f>
        <v>43046</v>
      </c>
      <c r="T211" s="506" t="str">
        <f>VLOOKUP(B211,'Base de Datos'!$C$487:$AU$4129,41,0)</f>
        <v>LIQUIDADO</v>
      </c>
      <c r="U211" s="694"/>
      <c r="V211" s="607"/>
    </row>
    <row r="212" spans="2:22" ht="25.5" customHeight="1" outlineLevel="1" x14ac:dyDescent="0.3">
      <c r="B212" s="525">
        <v>178</v>
      </c>
      <c r="C212" s="506" t="str">
        <f>IF(ISERROR(VLOOKUP(B212,'Base de Datos'!$C$487:$F$4092,2,0))=TRUE,"",(VLOOKUP('Presupuesto - PAA 2018'!B212,'Base de Datos'!$C$7:$F$4092,3,0)))</f>
        <v>150152-0-2015</v>
      </c>
      <c r="D212" s="506" t="str">
        <f>IF(ISERROR(VLOOKUP(B212,'Base de Datos'!$C$487:$F$4092,3,0))=TRUE,"",(VLOOKUP('Presupuesto - PAA 2018'!B212,'Base de Datos'!$C$487:$F$4092,4,0)))</f>
        <v>CANAL CAPITAL</v>
      </c>
      <c r="E212" s="509">
        <f>VLOOKUP(B212,[7]PAA2017!$C$65:$AA$255,20,0)</f>
        <v>1314000000</v>
      </c>
      <c r="F212" s="507" t="e">
        <f>VLOOKUP(B212,[8]SOLICITUDES!$B$3:$H$278,2,0)</f>
        <v>#N/A</v>
      </c>
      <c r="G212" s="507"/>
      <c r="H212" s="507"/>
      <c r="I212" s="507"/>
      <c r="J212" s="509">
        <f>IF(ISERROR(VLOOKUP(B212,'Base de Datos'!$C$487:$N$4092,6,0))=TRUE,"Sin Celebrar",(VLOOKUP(B212,'Base de Datos'!$C$487:$N$4092,7,0)))</f>
        <v>909999990</v>
      </c>
      <c r="K212" s="573"/>
      <c r="L212" s="553" t="str">
        <f>IF(J212=$AA$1,E212, " ")</f>
        <v xml:space="preserve"> </v>
      </c>
      <c r="M212" s="509"/>
      <c r="N212" s="509">
        <f>IF(J212&lt;E212,(E212-J212)," ")</f>
        <v>404000010</v>
      </c>
      <c r="O212" s="691" t="str">
        <f>IF(ISERROR(VLOOKUP(B212,'Base de Datos'!$C$487:$K$1048576,7,0))=TRUE," ",(VLOOKUP(B212,'Base de Datos'!$C$487:$K$1048576,8,0)))</f>
        <v>170185-0-2017</v>
      </c>
      <c r="P212" s="524">
        <f>IF(ISERROR(VLOOKUP(B212,'Base de Datos'!$C$487:$N$4077,9,0))=TRUE," ",(VLOOKUP(B212,'Base de Datos'!$C$487:$N$4077,10,0)))</f>
        <v>42933</v>
      </c>
      <c r="Q212" s="709"/>
      <c r="R212" s="524">
        <f>IF(ISERROR(VLOOKUP(B212,'Base de Datos'!$C$487:$N$4077,10,0))=TRUE," ",(VLOOKUP(B212,'Base de Datos'!$C$487:$N$4077,11,0)))</f>
        <v>42948</v>
      </c>
      <c r="S212" s="524">
        <f>IF(ISERROR(VLOOKUP(B212,'Base de Datos'!$C$487:$N$4077,11,0))=TRUE," ",(VLOOKUP(B212,'Base de Datos'!$C$487:$N$4077,12,0)))</f>
        <v>43221</v>
      </c>
      <c r="T212" s="506" t="str">
        <f>VLOOKUP(B212,'Base de Datos'!$C$487:$AU$4129,41,0)</f>
        <v>LIQUIDADO</v>
      </c>
      <c r="U212" s="694"/>
      <c r="V212" s="607"/>
    </row>
    <row r="213" spans="2:22" outlineLevel="1" x14ac:dyDescent="0.3">
      <c r="B213" s="510"/>
      <c r="C213" s="506" t="str">
        <f>IF(ISERROR(VLOOKUP(B213,'Base de Datos'!$C$487:$F$4092,2,0))=TRUE,"",(VLOOKUP('Presupuesto - PAA 2018'!B213,'Base de Datos'!$C$7:$F$4092,3,0)))</f>
        <v/>
      </c>
      <c r="D213" s="506" t="str">
        <f>IF(ISERROR(VLOOKUP(B213,'Base de Datos'!$C$487:$F$4092,3,0))=TRUE,"",(VLOOKUP('Presupuesto - PAA 2018'!B213,'Base de Datos'!$C$487:$F$4092,4,0)))</f>
        <v/>
      </c>
      <c r="E213" s="509" t="e">
        <f>VLOOKUP(B213,[7]PAA2017!$C$65:$AA$255,20,0)</f>
        <v>#N/A</v>
      </c>
      <c r="F213" s="507" t="e">
        <f>VLOOKUP(B213,[8]SOLICITUDES!$B$3:$H$278,2,0)</f>
        <v>#N/A</v>
      </c>
      <c r="G213" s="507"/>
      <c r="H213" s="507"/>
      <c r="I213" s="507"/>
      <c r="J213" s="509" t="str">
        <f>IF(ISERROR(VLOOKUP(B213,'Base de Datos'!$C$487:$N$4092,6,0))=TRUE,"Sin Celebrar",(VLOOKUP(B213,'Base de Datos'!$C$487:$N$4092,7,0)))</f>
        <v>Sin Celebrar</v>
      </c>
      <c r="K213" s="573"/>
      <c r="L213" s="553" t="e">
        <f>IF(J213=$AA$1,E213, " ")</f>
        <v>#N/A</v>
      </c>
      <c r="M213" s="509"/>
      <c r="N213" s="509" t="e">
        <f>IF(J213&lt;E213,(E213-J213)," ")</f>
        <v>#N/A</v>
      </c>
      <c r="O213" s="691" t="str">
        <f>IF(ISERROR(VLOOKUP(B213,'Base de Datos'!$C$487:$K$1048576,7,0))=TRUE," ",(VLOOKUP(B213,'Base de Datos'!$C$487:$K$1048576,8,0)))</f>
        <v xml:space="preserve"> </v>
      </c>
      <c r="P213" s="524" t="str">
        <f>IF(ISERROR(VLOOKUP(B213,'Base de Datos'!$C$487:$N$4077,9,0))=TRUE," ",(VLOOKUP(B213,'Base de Datos'!$C$487:$N$4077,10,0)))</f>
        <v xml:space="preserve"> </v>
      </c>
      <c r="Q213" s="709"/>
      <c r="R213" s="524" t="str">
        <f>IF(ISERROR(VLOOKUP(B213,'Base de Datos'!$C$487:$N$4077,10,0))=TRUE," ",(VLOOKUP(B213,'Base de Datos'!$C$487:$N$4077,11,0)))</f>
        <v xml:space="preserve"> </v>
      </c>
      <c r="S213" s="524" t="str">
        <f>IF(ISERROR(VLOOKUP(B213,'Base de Datos'!$C$487:$N$4077,11,0))=TRUE," ",(VLOOKUP(B213,'Base de Datos'!$C$487:$N$4077,12,0)))</f>
        <v xml:space="preserve"> </v>
      </c>
      <c r="T213" s="506" t="e">
        <f>VLOOKUP(B213,'Base de Datos'!$C$487:$AU$4129,41,0)</f>
        <v>#N/A</v>
      </c>
      <c r="U213" s="694"/>
      <c r="V213" s="607"/>
    </row>
    <row r="214" spans="2:22" ht="12" outlineLevel="1" x14ac:dyDescent="0.3">
      <c r="B214" s="510"/>
      <c r="C214" s="621"/>
      <c r="D214" s="506" t="s">
        <v>1934</v>
      </c>
      <c r="E214" s="509" t="e">
        <f>+E209-(SUM(E211:E213))</f>
        <v>#N/A</v>
      </c>
      <c r="F214" s="507"/>
      <c r="G214" s="507"/>
      <c r="H214" s="507"/>
      <c r="I214" s="507"/>
      <c r="J214" s="509"/>
      <c r="K214" s="573"/>
      <c r="L214" s="527"/>
      <c r="M214" s="509"/>
      <c r="N214" s="509"/>
      <c r="O214" s="691" t="str">
        <f>IF(ISERROR(VLOOKUP(B214,'Base de Datos'!$C$7:$K$1048576,7,0))=TRUE," ",(VLOOKUP(B214,'Base de Datos'!$C$7:$K$1048576,7,0)))</f>
        <v xml:space="preserve"> </v>
      </c>
      <c r="P214" s="524"/>
      <c r="Q214" s="506"/>
      <c r="R214" s="529"/>
      <c r="S214" s="529"/>
      <c r="T214" s="506"/>
      <c r="U214" s="694"/>
      <c r="V214" s="607"/>
    </row>
    <row r="215" spans="2:22" ht="12" outlineLevel="1" x14ac:dyDescent="0.3">
      <c r="B215" s="621"/>
      <c r="C215" s="621"/>
      <c r="D215" s="621"/>
      <c r="E215" s="509"/>
      <c r="F215" s="507"/>
      <c r="G215" s="507"/>
      <c r="H215" s="507"/>
      <c r="I215" s="507"/>
      <c r="J215" s="509"/>
      <c r="K215" s="573"/>
      <c r="L215" s="509"/>
      <c r="M215" s="509"/>
      <c r="N215" s="509"/>
      <c r="O215" s="651"/>
      <c r="P215" s="524"/>
      <c r="Q215" s="506"/>
      <c r="R215" s="524"/>
      <c r="S215" s="524"/>
      <c r="T215" s="506"/>
      <c r="U215" s="694"/>
      <c r="V215" s="607"/>
    </row>
    <row r="216" spans="2:22" ht="15" customHeight="1" x14ac:dyDescent="0.3">
      <c r="B216" s="1254" t="s">
        <v>1672</v>
      </c>
      <c r="C216" s="1254"/>
      <c r="D216" s="1254"/>
      <c r="E216" s="530">
        <v>36000000</v>
      </c>
      <c r="F216" s="531"/>
      <c r="G216" s="531"/>
      <c r="H216" s="531"/>
      <c r="I216" s="531"/>
      <c r="J216" s="540">
        <f>+J217</f>
        <v>908534</v>
      </c>
      <c r="K216" s="582">
        <f>J216/E216</f>
        <v>2.5237055555555554E-2</v>
      </c>
      <c r="L216" s="540">
        <f>+L217</f>
        <v>91466</v>
      </c>
      <c r="M216" s="540"/>
      <c r="N216" s="540">
        <f>SUM(N217)</f>
        <v>18203084</v>
      </c>
      <c r="O216" s="658"/>
      <c r="P216" s="546" t="str">
        <f>IF(ISERROR(VLOOKUP(B216,'Base de Datos'!$C$7:$N$315,8,0))=TRUE," ",(VLOOKUP(B216,'Base de Datos'!$C$7:$N$315,8,0)))</f>
        <v xml:space="preserve"> </v>
      </c>
      <c r="Q216" s="547"/>
      <c r="R216" s="546" t="str">
        <f>IF(ISERROR(VLOOKUP(B216,'Base de Datos'!$C$7:$N$315,9,0))=TRUE," ",(VLOOKUP(B216,'Base de Datos'!$C$7:$N$315,9,0)))</f>
        <v xml:space="preserve"> </v>
      </c>
      <c r="S216" s="546" t="str">
        <f>IF(ISERROR(VLOOKUP(B216,'Base de Datos'!$C$7:$N$315,10,0))=TRUE," ",(VLOOKUP(B216,'Base de Datos'!$C$7:$N$315,10,0)))</f>
        <v xml:space="preserve"> </v>
      </c>
      <c r="T216" s="542"/>
      <c r="U216" s="694"/>
      <c r="V216" s="607"/>
    </row>
    <row r="217" spans="2:22" ht="15" customHeight="1" x14ac:dyDescent="0.3">
      <c r="B217" s="1238" t="s">
        <v>1837</v>
      </c>
      <c r="C217" s="1238"/>
      <c r="D217" s="1238"/>
      <c r="E217" s="516">
        <v>1000000</v>
      </c>
      <c r="F217" s="513"/>
      <c r="G217" s="513"/>
      <c r="H217" s="513"/>
      <c r="I217" s="513"/>
      <c r="J217" s="516">
        <f>+J219</f>
        <v>908534</v>
      </c>
      <c r="K217" s="583">
        <f>J217/E217</f>
        <v>0.90853399999999995</v>
      </c>
      <c r="L217" s="516">
        <f>+L219</f>
        <v>91466</v>
      </c>
      <c r="M217" s="516"/>
      <c r="N217" s="516">
        <f>SUM(N219:N225)</f>
        <v>18203084</v>
      </c>
      <c r="O217" s="662"/>
      <c r="P217" s="548" t="str">
        <f>IF(ISERROR(VLOOKUP(B217,'Base de Datos'!$C$7:$N$315,8,0))=TRUE," ",(VLOOKUP(B217,'Base de Datos'!$C$7:$N$315,8,0)))</f>
        <v xml:space="preserve"> </v>
      </c>
      <c r="Q217" s="542"/>
      <c r="R217" s="548" t="str">
        <f>IF(ISERROR(VLOOKUP(B217,'Base de Datos'!$C$7:$N$315,9,0))=TRUE," ",(VLOOKUP(B217,'Base de Datos'!$C$7:$N$315,9,0)))</f>
        <v xml:space="preserve"> </v>
      </c>
      <c r="S217" s="548" t="str">
        <f>IF(ISERROR(VLOOKUP(B217,'Base de Datos'!$C$7:$N$315,10,0))=TRUE," ",(VLOOKUP(B217,'Base de Datos'!$C$7:$N$315,10,0)))</f>
        <v xml:space="preserve"> </v>
      </c>
      <c r="T217" s="542"/>
      <c r="U217" s="694"/>
      <c r="V217" s="607"/>
    </row>
    <row r="218" spans="2:22" s="588" customFormat="1" ht="21.75" customHeight="1" outlineLevel="1" x14ac:dyDescent="0.3">
      <c r="B218" s="510" t="s">
        <v>1692</v>
      </c>
      <c r="C218" s="510" t="s">
        <v>912</v>
      </c>
      <c r="D218" s="510" t="s">
        <v>1821</v>
      </c>
      <c r="E218" s="518" t="s">
        <v>1845</v>
      </c>
      <c r="F218" s="507" t="s">
        <v>1852</v>
      </c>
      <c r="G218" s="507"/>
      <c r="H218" s="507"/>
      <c r="I218" s="507"/>
      <c r="J218" s="510" t="s">
        <v>1844</v>
      </c>
      <c r="K218" s="625"/>
      <c r="L218" s="510" t="s">
        <v>1938</v>
      </c>
      <c r="M218" s="510"/>
      <c r="N218" s="510" t="s">
        <v>1939</v>
      </c>
      <c r="O218" s="650"/>
      <c r="P218" s="541" t="s">
        <v>1846</v>
      </c>
      <c r="Q218" s="510" t="s">
        <v>1847</v>
      </c>
      <c r="R218" s="510" t="s">
        <v>1848</v>
      </c>
      <c r="S218" s="510" t="s">
        <v>375</v>
      </c>
      <c r="T218" s="510" t="s">
        <v>1849</v>
      </c>
      <c r="U218" s="694"/>
      <c r="V218" s="607"/>
    </row>
    <row r="219" spans="2:22" s="588" customFormat="1" ht="15" customHeight="1" outlineLevel="1" x14ac:dyDescent="0.3">
      <c r="B219" s="510"/>
      <c r="C219" s="506"/>
      <c r="D219" s="506" t="s">
        <v>2264</v>
      </c>
      <c r="E219" s="553">
        <v>1000000</v>
      </c>
      <c r="F219" s="509"/>
      <c r="G219" s="509"/>
      <c r="H219" s="509"/>
      <c r="I219" s="509"/>
      <c r="J219" s="509">
        <v>908534</v>
      </c>
      <c r="K219" s="585"/>
      <c r="L219" s="509">
        <f>E219-J219</f>
        <v>91466</v>
      </c>
      <c r="M219" s="553"/>
      <c r="N219" s="506"/>
      <c r="O219" s="664"/>
      <c r="P219" s="586"/>
      <c r="Q219" s="587"/>
      <c r="R219" s="586"/>
      <c r="S219" s="586"/>
      <c r="T219" s="587"/>
      <c r="U219" s="694"/>
      <c r="V219" s="607"/>
    </row>
    <row r="220" spans="2:22" s="588" customFormat="1" ht="15" customHeight="1" outlineLevel="1" x14ac:dyDescent="0.3">
      <c r="B220" s="510"/>
      <c r="C220" s="506"/>
      <c r="D220" s="506"/>
      <c r="E220" s="553"/>
      <c r="F220" s="509"/>
      <c r="G220" s="509"/>
      <c r="H220" s="509"/>
      <c r="I220" s="509"/>
      <c r="J220" s="509"/>
      <c r="K220" s="585"/>
      <c r="L220" s="509"/>
      <c r="M220" s="553"/>
      <c r="N220" s="506"/>
      <c r="O220" s="664"/>
      <c r="P220" s="586"/>
      <c r="Q220" s="587"/>
      <c r="R220" s="586"/>
      <c r="S220" s="586"/>
      <c r="T220" s="587"/>
      <c r="U220" s="694"/>
      <c r="V220" s="607"/>
    </row>
    <row r="221" spans="2:22" s="588" customFormat="1" ht="15" customHeight="1" x14ac:dyDescent="0.3">
      <c r="B221" s="1238" t="s">
        <v>2126</v>
      </c>
      <c r="C221" s="1238"/>
      <c r="D221" s="1238"/>
      <c r="E221" s="516">
        <v>35000000</v>
      </c>
      <c r="F221" s="513"/>
      <c r="G221" s="513"/>
      <c r="H221" s="513"/>
      <c r="I221" s="513"/>
      <c r="J221" s="516">
        <f>SUM(J223:J224)</f>
        <v>25744458</v>
      </c>
      <c r="K221" s="583"/>
      <c r="L221" s="516">
        <f>SUM(L223:L224)</f>
        <v>0</v>
      </c>
      <c r="M221" s="516"/>
      <c r="N221" s="516">
        <f>+E221-J221-L221</f>
        <v>9255542</v>
      </c>
      <c r="O221" s="662"/>
      <c r="P221" s="548" t="str">
        <f>IF(ISERROR(VLOOKUP(B221,'Base de Datos'!$C$7:$N$315,8,0))=TRUE," ",(VLOOKUP(B221,'Base de Datos'!$C$7:$N$315,8,0)))</f>
        <v xml:space="preserve"> </v>
      </c>
      <c r="Q221" s="542"/>
      <c r="R221" s="548" t="str">
        <f>IF(ISERROR(VLOOKUP(B221,'Base de Datos'!$C$7:$N$315,9,0))=TRUE," ",(VLOOKUP(B221,'Base de Datos'!$C$7:$N$315,9,0)))</f>
        <v xml:space="preserve"> </v>
      </c>
      <c r="S221" s="548" t="str">
        <f>IF(ISERROR(VLOOKUP(B221,'Base de Datos'!$C$7:$N$315,10,0))=TRUE," ",(VLOOKUP(B221,'Base de Datos'!$C$7:$N$315,10,0)))</f>
        <v xml:space="preserve"> </v>
      </c>
      <c r="T221" s="542"/>
      <c r="U221" s="694"/>
      <c r="V221" s="607"/>
    </row>
    <row r="222" spans="2:22" s="588" customFormat="1" ht="24" customHeight="1" outlineLevel="1" x14ac:dyDescent="0.3">
      <c r="B222" s="510" t="s">
        <v>1692</v>
      </c>
      <c r="C222" s="510" t="s">
        <v>912</v>
      </c>
      <c r="D222" s="510" t="s">
        <v>1821</v>
      </c>
      <c r="E222" s="518" t="s">
        <v>1845</v>
      </c>
      <c r="F222" s="507" t="s">
        <v>1852</v>
      </c>
      <c r="G222" s="507"/>
      <c r="H222" s="507"/>
      <c r="I222" s="507"/>
      <c r="J222" s="510" t="s">
        <v>1844</v>
      </c>
      <c r="K222" s="625"/>
      <c r="L222" s="510" t="s">
        <v>1938</v>
      </c>
      <c r="M222" s="510"/>
      <c r="N222" s="510" t="s">
        <v>1939</v>
      </c>
      <c r="O222" s="650"/>
      <c r="P222" s="541" t="s">
        <v>1846</v>
      </c>
      <c r="Q222" s="510" t="s">
        <v>1847</v>
      </c>
      <c r="R222" s="510" t="s">
        <v>1848</v>
      </c>
      <c r="S222" s="510" t="s">
        <v>375</v>
      </c>
      <c r="T222" s="510" t="s">
        <v>1849</v>
      </c>
      <c r="U222" s="694"/>
      <c r="V222" s="607"/>
    </row>
    <row r="223" spans="2:22" s="588" customFormat="1" ht="15" customHeight="1" outlineLevel="1" x14ac:dyDescent="0.3">
      <c r="B223" s="600">
        <v>367</v>
      </c>
      <c r="C223" s="506" t="str">
        <f>IF(ISERROR(VLOOKUP(B223,'Base de Datos'!$C$7:$F$4092,2,0))=TRUE,"",(VLOOKUP('Presupuesto - PAA 2018'!B223,'Base de Datos'!$C$7:$F$4092,3,0)))</f>
        <v>150394-0-2015</v>
      </c>
      <c r="D223" s="506" t="str">
        <f>IF(ISERROR(VLOOKUP(B223,'Base de Datos'!$C$7:$F$4092,3,0))=TRUE,"",(VLOOKUP('Presupuesto - PAA 2018'!B223,'Base de Datos'!$C$7:$F$4092,4,0)))</f>
        <v>SOLUCIONES H&amp;S SAS</v>
      </c>
      <c r="E223" s="553">
        <v>23860000</v>
      </c>
      <c r="F223" s="518" t="s">
        <v>390</v>
      </c>
      <c r="G223" s="509"/>
      <c r="H223" s="509"/>
      <c r="I223" s="509"/>
      <c r="J223" s="509">
        <f>IF(ISERROR(VLOOKUP(B223,'Base de Datos'!$C$7:$N$4092,6,0))=TRUE,"Sin Celebrar",(VLOOKUP(B223,'Base de Datos'!$C$7:$N$4092,7,0)))</f>
        <v>17340258</v>
      </c>
      <c r="K223" s="585"/>
      <c r="L223" s="527" t="str">
        <f>IF(J223=$AA$1,E223, " ")</f>
        <v xml:space="preserve"> </v>
      </c>
      <c r="M223" s="527"/>
      <c r="N223" s="527">
        <f>IF(J223&lt;E223,(E223-J223)," ")</f>
        <v>6519742</v>
      </c>
      <c r="O223" s="691" t="str">
        <f>IF(ISERROR(VLOOKUP(B223,'Base de Datos'!$C$7:$K$1048576,7,0))=TRUE," ",(VLOOKUP(B223,'Base de Datos'!$C$7:$K$1048576,8,0)))</f>
        <v>SDH-SMINC-063-2015</v>
      </c>
      <c r="P223" s="524">
        <f>IF(ISERROR(VLOOKUP(B223,'Base de Datos'!$C$7:$N$4077,9,0))=TRUE," ",(VLOOKUP(B223,'Base de Datos'!$C$7:$N$4077,10,0)))</f>
        <v>42332</v>
      </c>
      <c r="Q223" s="526" t="s">
        <v>378</v>
      </c>
      <c r="R223" s="524">
        <f>IF(ISERROR(VLOOKUP(B223,'Base de Datos'!$C$7:$N$4077,10,0))=TRUE," ",(VLOOKUP(B223,'Base de Datos'!$C$7:$N$4077,11,0)))</f>
        <v>42338</v>
      </c>
      <c r="S223" s="524">
        <f>IF(ISERROR(VLOOKUP(B223,'Base de Datos'!$C$7:$N$4077,11,0))=TRUE," ",(VLOOKUP(B223,'Base de Datos'!$C$7:$N$4077,12,0)))</f>
        <v>42399</v>
      </c>
      <c r="T223" s="506" t="s">
        <v>981</v>
      </c>
      <c r="U223" s="694"/>
      <c r="V223" s="607"/>
    </row>
    <row r="224" spans="2:22" s="588" customFormat="1" ht="15" customHeight="1" outlineLevel="1" x14ac:dyDescent="0.3">
      <c r="B224" s="600">
        <v>368</v>
      </c>
      <c r="C224" s="506" t="str">
        <f>IF(ISERROR(VLOOKUP(B224,'Base de Datos'!$C$7:$F$4092,2,0))=TRUE,"",(VLOOKUP('Presupuesto - PAA 2018'!B224,'Base de Datos'!$C$7:$F$4092,3,0)))</f>
        <v>150404-0-2015</v>
      </c>
      <c r="D224" s="506" t="str">
        <f>IF(ISERROR(VLOOKUP(B224,'Base de Datos'!$C$7:$F$4092,3,0))=TRUE,"",(VLOOKUP('Presupuesto - PAA 2018'!B224,'Base de Datos'!$C$7:$F$4092,4,0)))</f>
        <v>PUBLIDRUGS LTDA</v>
      </c>
      <c r="E224" s="553">
        <v>10832000</v>
      </c>
      <c r="F224" s="518" t="s">
        <v>390</v>
      </c>
      <c r="G224" s="509"/>
      <c r="H224" s="509"/>
      <c r="I224" s="509"/>
      <c r="J224" s="509">
        <f>IF(ISERROR(VLOOKUP(B224,'Base de Datos'!$C$7:$N$4092,6,0))=TRUE,"Sin Celebrar",(VLOOKUP(B224,'Base de Datos'!$C$7:$N$4092,7,0)))</f>
        <v>8404200</v>
      </c>
      <c r="K224" s="585"/>
      <c r="L224" s="527" t="str">
        <f>IF(J224=$AA$1,E224, " ")</f>
        <v xml:space="preserve"> </v>
      </c>
      <c r="M224" s="527"/>
      <c r="N224" s="527">
        <f>IF(J224&lt;E224,(E224-J224)," ")</f>
        <v>2427800</v>
      </c>
      <c r="O224" s="691" t="str">
        <f>IF(ISERROR(VLOOKUP(B224,'Base de Datos'!$C$7:$K$1048576,7,0))=TRUE," ",(VLOOKUP(B224,'Base de Datos'!$C$7:$K$1048576,8,0)))</f>
        <v>SDH-SMINC-064-2015</v>
      </c>
      <c r="P224" s="524">
        <f>IF(ISERROR(VLOOKUP(B224,'Base de Datos'!$C$7:$N$4077,9,0))=TRUE," ",(VLOOKUP(B224,'Base de Datos'!$C$7:$N$4077,10,0)))</f>
        <v>42352</v>
      </c>
      <c r="Q224" s="526" t="s">
        <v>378</v>
      </c>
      <c r="R224" s="524">
        <f>IF(ISERROR(VLOOKUP(B224,'Base de Datos'!$C$7:$N$4077,10,0))=TRUE," ",(VLOOKUP(B224,'Base de Datos'!$C$7:$N$4077,11,0)))</f>
        <v>42383</v>
      </c>
      <c r="S224" s="524">
        <f>IF(ISERROR(VLOOKUP(B224,'Base de Datos'!$C$7:$N$4077,11,0))=TRUE," ",(VLOOKUP(B224,'Base de Datos'!$C$7:$N$4077,12,0)))</f>
        <v>42443</v>
      </c>
      <c r="T224" s="506"/>
      <c r="U224" s="694"/>
      <c r="V224" s="607"/>
    </row>
    <row r="225" spans="2:22" s="588" customFormat="1" ht="15" customHeight="1" outlineLevel="1" x14ac:dyDescent="0.3">
      <c r="B225" s="936"/>
      <c r="C225" s="936"/>
      <c r="D225" s="936"/>
      <c r="E225" s="553"/>
      <c r="F225" s="507"/>
      <c r="G225" s="507"/>
      <c r="H225" s="507"/>
      <c r="I225" s="507"/>
      <c r="J225" s="553"/>
      <c r="K225" s="585"/>
      <c r="L225" s="553"/>
      <c r="M225" s="553"/>
      <c r="N225" s="553"/>
      <c r="O225" s="663"/>
      <c r="P225" s="586"/>
      <c r="Q225" s="587"/>
      <c r="R225" s="586"/>
      <c r="S225" s="586"/>
      <c r="T225" s="587"/>
      <c r="U225" s="694"/>
      <c r="V225" s="607"/>
    </row>
    <row r="226" spans="2:22" ht="15" customHeight="1" x14ac:dyDescent="0.3">
      <c r="B226" s="1241" t="s">
        <v>1687</v>
      </c>
      <c r="C226" s="1241"/>
      <c r="D226" s="1241"/>
      <c r="E226" s="514">
        <v>8242477000</v>
      </c>
      <c r="F226" s="515"/>
      <c r="G226" s="514">
        <f t="shared" ref="G226:N230" si="13">+G227</f>
        <v>7542477000</v>
      </c>
      <c r="H226" s="514">
        <f t="shared" si="13"/>
        <v>0</v>
      </c>
      <c r="I226" s="514">
        <f t="shared" si="13"/>
        <v>7542477000</v>
      </c>
      <c r="J226" s="514">
        <f t="shared" si="13"/>
        <v>11652295575.200001</v>
      </c>
      <c r="K226" s="556">
        <f t="shared" si="13"/>
        <v>1.4136885762859879</v>
      </c>
      <c r="L226" s="514" t="e">
        <f t="shared" si="13"/>
        <v>#N/A</v>
      </c>
      <c r="M226" s="549"/>
      <c r="N226" s="514" t="e">
        <f t="shared" si="13"/>
        <v>#N/A</v>
      </c>
      <c r="O226" s="647"/>
      <c r="P226" s="549"/>
      <c r="Q226" s="544"/>
      <c r="R226" s="550" t="str">
        <f>IF(ISERROR(VLOOKUP(B226,'Base de Datos'!$C$7:$N$315,9,0))=TRUE," ",(VLOOKUP(B226,'Base de Datos'!$C$7:$N$315,9,0)))</f>
        <v xml:space="preserve"> </v>
      </c>
      <c r="S226" s="550" t="str">
        <f>IF(ISERROR(VLOOKUP(B226,'Base de Datos'!$C$7:$N$315,10,0))=TRUE," ",(VLOOKUP(B226,'Base de Datos'!$C$7:$N$315,10,0)))</f>
        <v xml:space="preserve"> </v>
      </c>
      <c r="T226" s="544"/>
      <c r="U226" s="694"/>
      <c r="V226" s="607"/>
    </row>
    <row r="227" spans="2:22" ht="15" customHeight="1" x14ac:dyDescent="0.3">
      <c r="B227" s="1240" t="s">
        <v>1686</v>
      </c>
      <c r="C227" s="1240"/>
      <c r="D227" s="1240"/>
      <c r="E227" s="512">
        <v>8242477000</v>
      </c>
      <c r="F227" s="513"/>
      <c r="G227" s="516">
        <f t="shared" si="13"/>
        <v>7542477000</v>
      </c>
      <c r="H227" s="516">
        <f t="shared" si="13"/>
        <v>0</v>
      </c>
      <c r="I227" s="516">
        <f t="shared" si="13"/>
        <v>7542477000</v>
      </c>
      <c r="J227" s="516">
        <f t="shared" si="13"/>
        <v>11652295575.200001</v>
      </c>
      <c r="K227" s="574">
        <f t="shared" si="13"/>
        <v>1.4136885762859879</v>
      </c>
      <c r="L227" s="516" t="e">
        <f t="shared" si="13"/>
        <v>#N/A</v>
      </c>
      <c r="M227" s="516"/>
      <c r="N227" s="516" t="e">
        <f t="shared" si="13"/>
        <v>#N/A</v>
      </c>
      <c r="O227" s="662"/>
      <c r="P227" s="548" t="str">
        <f>IF(ISERROR(VLOOKUP(B227,'Base de Datos'!$C$7:$N$315,8,0))=TRUE," ",(VLOOKUP(B227,'Base de Datos'!$C$7:$N$315,8,0)))</f>
        <v xml:space="preserve"> </v>
      </c>
      <c r="Q227" s="542"/>
      <c r="R227" s="548" t="str">
        <f>IF(ISERROR(VLOOKUP(B227,'Base de Datos'!$C$7:$N$315,9,0))=TRUE," ",(VLOOKUP(B227,'Base de Datos'!$C$7:$N$315,9,0)))</f>
        <v xml:space="preserve"> </v>
      </c>
      <c r="S227" s="548" t="str">
        <f>IF(ISERROR(VLOOKUP(B227,'Base de Datos'!$C$7:$N$315,10,0))=TRUE," ",(VLOOKUP(B227,'Base de Datos'!$C$7:$N$315,10,0)))</f>
        <v xml:space="preserve"> </v>
      </c>
      <c r="T227" s="542"/>
      <c r="U227" s="694"/>
      <c r="V227" s="607"/>
    </row>
    <row r="228" spans="2:22" ht="15" customHeight="1" x14ac:dyDescent="0.3">
      <c r="B228" s="1238" t="s">
        <v>1675</v>
      </c>
      <c r="C228" s="1238"/>
      <c r="D228" s="1238"/>
      <c r="E228" s="516">
        <v>8242477000</v>
      </c>
      <c r="F228" s="513"/>
      <c r="G228" s="516">
        <f t="shared" si="13"/>
        <v>7542477000</v>
      </c>
      <c r="H228" s="516">
        <f t="shared" si="13"/>
        <v>0</v>
      </c>
      <c r="I228" s="516">
        <f t="shared" si="13"/>
        <v>7542477000</v>
      </c>
      <c r="J228" s="516">
        <f t="shared" si="13"/>
        <v>11652295575.200001</v>
      </c>
      <c r="K228" s="574">
        <f t="shared" si="13"/>
        <v>1.4136885762859879</v>
      </c>
      <c r="L228" s="516" t="e">
        <f t="shared" si="13"/>
        <v>#N/A</v>
      </c>
      <c r="M228" s="516"/>
      <c r="N228" s="516" t="e">
        <f t="shared" si="13"/>
        <v>#N/A</v>
      </c>
      <c r="O228" s="662"/>
      <c r="P228" s="548" t="str">
        <f>IF(ISERROR(VLOOKUP(B228,'Base de Datos'!$C$7:$N$315,8,0))=TRUE," ",(VLOOKUP(B228,'Base de Datos'!$C$7:$N$315,8,0)))</f>
        <v xml:space="preserve"> </v>
      </c>
      <c r="Q228" s="542"/>
      <c r="R228" s="548" t="str">
        <f>IF(ISERROR(VLOOKUP(B228,'Base de Datos'!$C$7:$N$315,9,0))=TRUE," ",(VLOOKUP(B228,'Base de Datos'!$C$7:$N$315,9,0)))</f>
        <v xml:space="preserve"> </v>
      </c>
      <c r="S228" s="548" t="str">
        <f>IF(ISERROR(VLOOKUP(B228,'Base de Datos'!$C$7:$N$315,10,0))=TRUE," ",(VLOOKUP(B228,'Base de Datos'!$C$7:$N$315,10,0)))</f>
        <v xml:space="preserve"> </v>
      </c>
      <c r="T228" s="542"/>
      <c r="U228" s="694"/>
      <c r="V228" s="607"/>
    </row>
    <row r="229" spans="2:22" ht="15" customHeight="1" x14ac:dyDescent="0.3">
      <c r="B229" s="1238" t="s">
        <v>1836</v>
      </c>
      <c r="C229" s="1238"/>
      <c r="D229" s="1238"/>
      <c r="E229" s="516">
        <v>8242477000</v>
      </c>
      <c r="F229" s="513"/>
      <c r="G229" s="516">
        <f t="shared" si="13"/>
        <v>7542477000</v>
      </c>
      <c r="H229" s="516">
        <f t="shared" si="13"/>
        <v>0</v>
      </c>
      <c r="I229" s="516">
        <f t="shared" si="13"/>
        <v>7542477000</v>
      </c>
      <c r="J229" s="516">
        <f t="shared" si="13"/>
        <v>11652295575.200001</v>
      </c>
      <c r="K229" s="574">
        <f t="shared" si="13"/>
        <v>1.4136885762859879</v>
      </c>
      <c r="L229" s="516" t="e">
        <f t="shared" si="13"/>
        <v>#N/A</v>
      </c>
      <c r="M229" s="516"/>
      <c r="N229" s="516" t="e">
        <f t="shared" si="13"/>
        <v>#N/A</v>
      </c>
      <c r="O229" s="662"/>
      <c r="P229" s="548" t="str">
        <f>IF(ISERROR(VLOOKUP(B229,'Base de Datos'!$C$7:$N$315,8,0))=TRUE," ",(VLOOKUP(B229,'Base de Datos'!$C$7:$N$315,8,0)))</f>
        <v xml:space="preserve"> </v>
      </c>
      <c r="Q229" s="542"/>
      <c r="R229" s="548" t="str">
        <f>IF(ISERROR(VLOOKUP(B229,'Base de Datos'!$C$7:$N$315,9,0))=TRUE," ",(VLOOKUP(B229,'Base de Datos'!$C$7:$N$315,9,0)))</f>
        <v xml:space="preserve"> </v>
      </c>
      <c r="S229" s="548" t="str">
        <f>IF(ISERROR(VLOOKUP(B229,'Base de Datos'!$C$7:$N$315,10,0))=TRUE," ",(VLOOKUP(B229,'Base de Datos'!$C$7:$N$315,10,0)))</f>
        <v xml:space="preserve"> </v>
      </c>
      <c r="T229" s="542"/>
      <c r="U229" s="694"/>
      <c r="V229" s="607"/>
    </row>
    <row r="230" spans="2:22" ht="15" customHeight="1" x14ac:dyDescent="0.3">
      <c r="B230" s="1238" t="s">
        <v>1835</v>
      </c>
      <c r="C230" s="1238"/>
      <c r="D230" s="1238"/>
      <c r="E230" s="516">
        <v>8242477000</v>
      </c>
      <c r="F230" s="513"/>
      <c r="G230" s="516">
        <f t="shared" si="13"/>
        <v>7542477000</v>
      </c>
      <c r="H230" s="516">
        <f t="shared" si="13"/>
        <v>0</v>
      </c>
      <c r="I230" s="516">
        <f t="shared" si="13"/>
        <v>7542477000</v>
      </c>
      <c r="J230" s="516">
        <f t="shared" si="13"/>
        <v>11652295575.200001</v>
      </c>
      <c r="K230" s="574">
        <f t="shared" si="13"/>
        <v>1.4136885762859879</v>
      </c>
      <c r="L230" s="516" t="e">
        <f t="shared" si="13"/>
        <v>#N/A</v>
      </c>
      <c r="M230" s="516"/>
      <c r="N230" s="516" t="e">
        <f t="shared" si="13"/>
        <v>#N/A</v>
      </c>
      <c r="O230" s="662"/>
      <c r="P230" s="548" t="str">
        <f>IF(ISERROR(VLOOKUP(B230,'Base de Datos'!$C$7:$N$315,8,0))=TRUE," ",(VLOOKUP(B230,'Base de Datos'!$C$7:$N$315,8,0)))</f>
        <v xml:space="preserve"> </v>
      </c>
      <c r="Q230" s="542"/>
      <c r="R230" s="548" t="str">
        <f>IF(ISERROR(VLOOKUP(B230,'Base de Datos'!$C$7:$N$315,9,0))=TRUE," ",(VLOOKUP(B230,'Base de Datos'!$C$7:$N$315,9,0)))</f>
        <v xml:space="preserve"> </v>
      </c>
      <c r="S230" s="548" t="str">
        <f>IF(ISERROR(VLOOKUP(B230,'Base de Datos'!$C$7:$N$315,10,0))=TRUE," ",(VLOOKUP(B230,'Base de Datos'!$C$7:$N$315,10,0)))</f>
        <v xml:space="preserve"> </v>
      </c>
      <c r="T230" s="542"/>
      <c r="U230" s="694"/>
      <c r="V230" s="607"/>
    </row>
    <row r="231" spans="2:22" ht="15" customHeight="1" x14ac:dyDescent="0.3">
      <c r="B231" s="1239" t="s">
        <v>1873</v>
      </c>
      <c r="C231" s="1239"/>
      <c r="D231" s="1239"/>
      <c r="E231" s="554">
        <v>8242477000</v>
      </c>
      <c r="F231" s="559">
        <f>COUNTIF('Actualizada - presupuesto'!$E$7:$E$111,B231)</f>
        <v>0</v>
      </c>
      <c r="G231" s="554">
        <v>7542477000</v>
      </c>
      <c r="H231" s="559"/>
      <c r="I231" s="554">
        <v>7542477000</v>
      </c>
      <c r="J231" s="554">
        <f>+J233+J241</f>
        <v>11652295575.200001</v>
      </c>
      <c r="K231" s="576">
        <f>J231/E231</f>
        <v>1.4136885762859879</v>
      </c>
      <c r="L231" s="554" t="e">
        <f>+L233+L241</f>
        <v>#N/A</v>
      </c>
      <c r="M231" s="554"/>
      <c r="N231" s="554" t="e">
        <f>+E231-J231-L231</f>
        <v>#N/A</v>
      </c>
      <c r="O231" s="657"/>
      <c r="P231" s="564" t="str">
        <f>IF(ISERROR(VLOOKUP(B231,'Base de Datos'!$C$7:$N$315,8,0))=TRUE," ",(VLOOKUP(B231,'Base de Datos'!$C$7:$N$315,8,0)))</f>
        <v xml:space="preserve"> </v>
      </c>
      <c r="Q231" s="565"/>
      <c r="R231" s="564" t="str">
        <f>IF(ISERROR(VLOOKUP(B231,'Base de Datos'!$C$7:$N$315,9,0))=TRUE," ",(VLOOKUP(B231,'Base de Datos'!$C$7:$N$315,9,0)))</f>
        <v xml:space="preserve"> </v>
      </c>
      <c r="S231" s="564" t="str">
        <f>IF(ISERROR(VLOOKUP(B231,'Base de Datos'!$C$7:$N$315,10,0))=TRUE," ",(VLOOKUP(B231,'Base de Datos'!$C$7:$N$315,10,0)))</f>
        <v xml:space="preserve"> </v>
      </c>
      <c r="T231" s="565"/>
      <c r="U231" s="694"/>
      <c r="V231" s="607"/>
    </row>
    <row r="232" spans="2:22" ht="22.8" outlineLevel="1" x14ac:dyDescent="0.3">
      <c r="B232" s="510" t="s">
        <v>1692</v>
      </c>
      <c r="C232" s="510" t="s">
        <v>912</v>
      </c>
      <c r="D232" s="510" t="s">
        <v>1821</v>
      </c>
      <c r="E232" s="518" t="s">
        <v>1845</v>
      </c>
      <c r="F232" s="507" t="s">
        <v>1852</v>
      </c>
      <c r="G232" s="507"/>
      <c r="H232" s="507"/>
      <c r="I232" s="507"/>
      <c r="J232" s="510" t="s">
        <v>1844</v>
      </c>
      <c r="K232" s="625"/>
      <c r="L232" s="510" t="s">
        <v>1938</v>
      </c>
      <c r="M232" s="510"/>
      <c r="N232" s="510" t="s">
        <v>1939</v>
      </c>
      <c r="O232" s="650"/>
      <c r="P232" s="541" t="s">
        <v>1846</v>
      </c>
      <c r="Q232" s="510" t="s">
        <v>1847</v>
      </c>
      <c r="R232" s="510" t="s">
        <v>1848</v>
      </c>
      <c r="S232" s="510" t="s">
        <v>375</v>
      </c>
      <c r="T232" s="510" t="s">
        <v>1849</v>
      </c>
      <c r="U232" s="694"/>
      <c r="V232" s="607"/>
    </row>
    <row r="233" spans="2:22" ht="12" outlineLevel="1" x14ac:dyDescent="0.3">
      <c r="B233" s="589"/>
      <c r="C233" s="1240" t="s">
        <v>1909</v>
      </c>
      <c r="D233" s="1240"/>
      <c r="E233" s="591">
        <f>+E234</f>
        <v>400000000</v>
      </c>
      <c r="F233" s="513"/>
      <c r="G233" s="513"/>
      <c r="H233" s="513"/>
      <c r="I233" s="591">
        <v>400000000</v>
      </c>
      <c r="J233" s="595">
        <f>+J234</f>
        <v>4393265373</v>
      </c>
      <c r="K233" s="574">
        <f>+J233/I233</f>
        <v>10.9831634325</v>
      </c>
      <c r="L233" s="595" t="e">
        <f>+L234</f>
        <v>#N/A</v>
      </c>
      <c r="M233" s="516"/>
      <c r="N233" s="595" t="e">
        <f>+N234</f>
        <v>#N/A</v>
      </c>
      <c r="O233" s="665"/>
      <c r="P233" s="548" t="str">
        <f>IF(ISERROR(VLOOKUP(B233,'Base de Datos'!$C$7:$N$315,8,0))=TRUE," ",(VLOOKUP(B233,'Base de Datos'!$C$7:$N$315,8,0)))</f>
        <v xml:space="preserve"> </v>
      </c>
      <c r="Q233" s="542"/>
      <c r="R233" s="548" t="str">
        <f>IF(ISERROR(VLOOKUP(B233,'Base de Datos'!$C$7:$N$315,9,0))=TRUE," ",(VLOOKUP(B233,'Base de Datos'!$C$7:$N$315,9,0)))</f>
        <v xml:space="preserve"> </v>
      </c>
      <c r="S233" s="548" t="str">
        <f>IF(ISERROR(VLOOKUP(B233,'Base de Datos'!$C$7:$N$315,10,0))=TRUE," ",(VLOOKUP(B233,'Base de Datos'!$C$7:$N$315,10,0)))</f>
        <v xml:space="preserve"> </v>
      </c>
      <c r="T233" s="542"/>
      <c r="U233" s="694"/>
      <c r="V233" s="607"/>
    </row>
    <row r="234" spans="2:22" ht="31.5" customHeight="1" outlineLevel="1" x14ac:dyDescent="0.3">
      <c r="B234" s="510"/>
      <c r="C234" s="1255" t="s">
        <v>1910</v>
      </c>
      <c r="D234" s="1256"/>
      <c r="E234" s="610">
        <v>400000000</v>
      </c>
      <c r="F234" s="609"/>
      <c r="G234" s="609"/>
      <c r="H234" s="609"/>
      <c r="I234" s="609"/>
      <c r="J234" s="611">
        <f>SUM(J235:J239)</f>
        <v>4393265373</v>
      </c>
      <c r="K234" s="610"/>
      <c r="L234" s="611" t="e">
        <f>SUM(L235:L239)</f>
        <v>#N/A</v>
      </c>
      <c r="M234" s="612"/>
      <c r="N234" s="611" t="e">
        <f>+E234-J234-L234</f>
        <v>#N/A</v>
      </c>
      <c r="O234" s="666"/>
      <c r="P234" s="613" t="str">
        <f>IF(ISERROR(VLOOKUP(B234,'Base de Datos'!$C$7:$N$315,8,0))=TRUE," ",(VLOOKUP(B234,'Base de Datos'!$C$7:$N$315,8,0)))</f>
        <v xml:space="preserve"> </v>
      </c>
      <c r="Q234" s="614"/>
      <c r="R234" s="613" t="str">
        <f>IF(ISERROR(VLOOKUP(B234,'Base de Datos'!$C$7:$N$315,9,0))=TRUE," ",(VLOOKUP(B234,'Base de Datos'!$C$7:$N$315,9,0)))</f>
        <v xml:space="preserve"> </v>
      </c>
      <c r="S234" s="613" t="str">
        <f>IF(ISERROR(VLOOKUP(B234,'Base de Datos'!$C$7:$N$315,10,0))=TRUE," ",(VLOOKUP(B234,'Base de Datos'!$C$7:$N$315,10,0)))</f>
        <v xml:space="preserve"> </v>
      </c>
      <c r="T234" s="614"/>
      <c r="U234" s="694"/>
      <c r="V234" s="607"/>
    </row>
    <row r="235" spans="2:22" ht="13.5" customHeight="1" outlineLevel="1" x14ac:dyDescent="0.3">
      <c r="B235" s="600">
        <v>179</v>
      </c>
      <c r="C235" s="506" t="str">
        <f>IF(ISERROR(VLOOKUP(B235,'Base de Datos'!$C$487:$F$4092,2,0))=TRUE,"",(VLOOKUP('Presupuesto - PAA 2018'!B235,'Base de Datos'!$C$7:$F$4092,3,0)))</f>
        <v>150302-0-2015</v>
      </c>
      <c r="D235" s="506" t="str">
        <f>IF(ISERROR(VLOOKUP(B235,'Base de Datos'!$C$487:$F$4092,3,0))=TRUE,"",(VLOOKUP('Presupuesto - PAA 2018'!B235,'Base de Datos'!$C$487:$F$4092,4,0)))</f>
        <v>GRUPO TITANIUM SAS</v>
      </c>
      <c r="E235" s="509">
        <f>VLOOKUP(B235,[7]PAA2017!$C$65:$AA$255,20,0)</f>
        <v>300000000</v>
      </c>
      <c r="F235" s="507" t="str">
        <f>VLOOKUP(B235,[8]SOLICITUDES!$B$3:$H$278,2,0)</f>
        <v>SI</v>
      </c>
      <c r="G235" s="507"/>
      <c r="H235" s="507"/>
      <c r="I235" s="507"/>
      <c r="J235" s="509">
        <f>IF(ISERROR(VLOOKUP(B235,'Base de Datos'!$C$487:$N$4092,6,0))=TRUE,"Sin Celebrar",(VLOOKUP(B235,'Base de Datos'!$C$487:$N$4092,7,0)))</f>
        <v>241357373</v>
      </c>
      <c r="K235" s="573"/>
      <c r="L235" s="553" t="str">
        <f>IF(J235=$AA$1,E235, " ")</f>
        <v xml:space="preserve"> </v>
      </c>
      <c r="M235" s="509"/>
      <c r="N235" s="509">
        <f>IF(J235&lt;E235,(E235-J235)," ")</f>
        <v>58642627</v>
      </c>
      <c r="O235" s="691" t="str">
        <f>IF(ISERROR(VLOOKUP(B235,'Base de Datos'!$C$487:$K$1048576,7,0))=TRUE," ",(VLOOKUP(B235,'Base de Datos'!$C$487:$K$1048576,8,0)))</f>
        <v>SDH-SAMC-08-2017</v>
      </c>
      <c r="P235" s="524">
        <f>IF(ISERROR(VLOOKUP(B235,'Base de Datos'!$C$487:$N$4077,9,0))=TRUE," ",(VLOOKUP(B235,'Base de Datos'!$C$487:$N$4077,10,0)))</f>
        <v>42993</v>
      </c>
      <c r="Q235" s="709"/>
      <c r="R235" s="524">
        <f>IF(ISERROR(VLOOKUP(B235,'Base de Datos'!$C$487:$N$4077,10,0))=TRUE," ",(VLOOKUP(B235,'Base de Datos'!$C$487:$N$4077,11,0)))</f>
        <v>43053</v>
      </c>
      <c r="S235" s="524">
        <f>IF(ISERROR(VLOOKUP(B235,'Base de Datos'!$C$487:$N$4077,11,0))=TRUE," ",(VLOOKUP(B235,'Base de Datos'!$C$487:$N$4077,12,0)))</f>
        <v>43172</v>
      </c>
      <c r="T235" s="506" t="str">
        <f>VLOOKUP(B235,'Base de Datos'!$C$487:$AU$4129,41,0)</f>
        <v>LIQUIDADO</v>
      </c>
      <c r="U235" s="694"/>
      <c r="V235" s="607"/>
    </row>
    <row r="236" spans="2:22" outlineLevel="1" x14ac:dyDescent="0.3">
      <c r="B236" s="600">
        <v>180</v>
      </c>
      <c r="C236" s="506" t="str">
        <f>IF(ISERROR(VLOOKUP(B236,'Base de Datos'!$C$487:$F$4092,2,0))=TRUE,"",(VLOOKUP('Presupuesto - PAA 2018'!B236,'Base de Datos'!$C$487:$F$4092,3,0)))</f>
        <v>180192-0-2018</v>
      </c>
      <c r="D236" s="506" t="str">
        <f>IF(ISERROR(VLOOKUP(B236,'Base de Datos'!$C$487:$F$4092,3,0))=TRUE,"",(VLOOKUP('Presupuesto - PAA 2018'!B236,'Base de Datos'!$C$487:$F$4092,4,0)))</f>
        <v>TEAM MANAGEMENT INFRASTRUCTURE SAS</v>
      </c>
      <c r="E236" s="509">
        <f>VLOOKUP(B236,[7]PAA2017!$C$65:$AA$255,20,0)</f>
        <v>450000000</v>
      </c>
      <c r="F236" s="507" t="e">
        <f>VLOOKUP(B236,[8]SOLICITUDES!$B$3:$H$278,2,0)</f>
        <v>#N/A</v>
      </c>
      <c r="G236" s="507"/>
      <c r="H236" s="507"/>
      <c r="I236" s="507"/>
      <c r="J236" s="509">
        <f>IF(ISERROR(VLOOKUP(B236,'Base de Datos'!$C$487:$N$4092,6,0))=TRUE,"Sin Celebrar",(VLOOKUP(B236,'Base de Datos'!$C$487:$N$4092,7,0)))</f>
        <v>43000000</v>
      </c>
      <c r="K236" s="573"/>
      <c r="L236" s="553" t="str">
        <f>IF(J236=$AA$1,E236, " ")</f>
        <v xml:space="preserve"> </v>
      </c>
      <c r="M236" s="509"/>
      <c r="N236" s="509">
        <f>IF(J236&lt;E236,(E236-J236)," ")</f>
        <v>407000000</v>
      </c>
      <c r="O236" s="691" t="str">
        <f>IF(ISERROR(VLOOKUP(B236,'Base de Datos'!$C$487:$K$1048576,7,0))=TRUE," ",(VLOOKUP(B236,'Base de Datos'!$C$487:$K$1048576,8,0)))</f>
        <v>SDH-SMINC-35-2018</v>
      </c>
      <c r="P236" s="524">
        <f>IF(ISERROR(VLOOKUP(B236,'Base de Datos'!$C$487:$N$4077,9,0))=TRUE," ",(VLOOKUP(B236,'Base de Datos'!$C$487:$N$4077,10,0)))</f>
        <v>43278</v>
      </c>
      <c r="Q236" s="709"/>
      <c r="R236" s="524">
        <f>IF(ISERROR(VLOOKUP(B236,'Base de Datos'!$C$487:$N$4077,10,0))=TRUE," ",(VLOOKUP(B236,'Base de Datos'!$C$487:$N$4077,11,0)))</f>
        <v>43286</v>
      </c>
      <c r="S236" s="524">
        <f>IF(ISERROR(VLOOKUP(B236,'Base de Datos'!$C$487:$N$4077,11,0))=TRUE," ",(VLOOKUP(B236,'Base de Datos'!$C$487:$N$4077,12,0)))</f>
        <v>43650</v>
      </c>
      <c r="T236" s="506" t="str">
        <f>VLOOKUP(B236,'Base de Datos'!$C$487:$AU$4129,41,0)</f>
        <v>DEVUELTO</v>
      </c>
      <c r="U236" s="694"/>
      <c r="V236" s="607"/>
    </row>
    <row r="237" spans="2:22" outlineLevel="1" x14ac:dyDescent="0.3">
      <c r="B237" s="600">
        <v>181</v>
      </c>
      <c r="C237" s="506" t="str">
        <f>IF(ISERROR(VLOOKUP(B237,'Base de Datos'!$C$487:$F$4092,2,0))=TRUE,"",(VLOOKUP('Presupuesto - PAA 2018'!B237,'Base de Datos'!$C$487:$F$4092,3,0)))</f>
        <v>170002-0-2017</v>
      </c>
      <c r="D237" s="506" t="str">
        <f>IF(ISERROR(VLOOKUP(B237,'Base de Datos'!$C$487:$F$4092,3,0))=TRUE,"",(VLOOKUP('Presupuesto - PAA 2018'!B237,'Base de Datos'!$C$487:$F$4092,4,0)))</f>
        <v>UNIDAD NACIONAL DE PROTECCION - UNP</v>
      </c>
      <c r="E237" s="509">
        <f>VLOOKUP(B237,[7]PAA2017!$C$65:$AA$255,20,0)</f>
        <v>4250000000</v>
      </c>
      <c r="F237" s="507" t="str">
        <f>VLOOKUP(B237,[8]SOLICITUDES!$B$3:$H$278,2,0)</f>
        <v>SI</v>
      </c>
      <c r="G237" s="507"/>
      <c r="H237" s="507"/>
      <c r="I237" s="507"/>
      <c r="J237" s="509">
        <f>IF(ISERROR(VLOOKUP(B237,'Base de Datos'!$C$487:$N$4092,6,0))=TRUE,"Sin Celebrar",(VLOOKUP(B237,'Base de Datos'!$C$487:$N$4092,7,0)))</f>
        <v>4108908000</v>
      </c>
      <c r="K237" s="573"/>
      <c r="L237" s="553" t="str">
        <f>IF(J237=$AA$1,E237, " ")</f>
        <v xml:space="preserve"> </v>
      </c>
      <c r="M237" s="509"/>
      <c r="N237" s="509">
        <f>IF(J237&lt;E237,(E237-J237)," ")</f>
        <v>141092000</v>
      </c>
      <c r="O237" s="691" t="str">
        <f>IF(ISERROR(VLOOKUP(B237,'Base de Datos'!$C$487:$K$1048576,7,0))=TRUE," ",(VLOOKUP(B237,'Base de Datos'!$C$487:$K$1048576,8,0)))</f>
        <v>170002-0-2017</v>
      </c>
      <c r="P237" s="524">
        <f>IF(ISERROR(VLOOKUP(B237,'Base de Datos'!$C$487:$N$4077,9,0))=TRUE," ",(VLOOKUP(B237,'Base de Datos'!$C$487:$N$4077,10,0)))</f>
        <v>42748</v>
      </c>
      <c r="Q237" s="709"/>
      <c r="R237" s="524">
        <f>IF(ISERROR(VLOOKUP(B237,'Base de Datos'!$C$487:$N$4077,10,0))=TRUE," ",(VLOOKUP(B237,'Base de Datos'!$C$487:$N$4077,11,0)))</f>
        <v>42751</v>
      </c>
      <c r="S237" s="524">
        <f>IF(ISERROR(VLOOKUP(B237,'Base de Datos'!$C$487:$N$4077,11,0))=TRUE," ",(VLOOKUP(B237,'Base de Datos'!$C$487:$N$4077,12,0)))</f>
        <v>43070</v>
      </c>
      <c r="T237" s="506" t="str">
        <f>VLOOKUP(B237,'Base de Datos'!$C$487:$AU$4129,41,0)</f>
        <v>LIQUIDADO</v>
      </c>
      <c r="U237" s="694"/>
      <c r="V237" s="607"/>
    </row>
    <row r="238" spans="2:22" outlineLevel="1" x14ac:dyDescent="0.3">
      <c r="B238" s="510"/>
      <c r="C238" s="506" t="str">
        <f>IF(ISERROR(VLOOKUP(B238,'Base de Datos'!$C$487:$F$4092,2,0))=TRUE,"",(VLOOKUP('Presupuesto - PAA 2018'!B238,'Base de Datos'!$C$7:$F$4092,3,0)))</f>
        <v/>
      </c>
      <c r="D238" s="506" t="str">
        <f>IF(ISERROR(VLOOKUP(B238,'Base de Datos'!$C$487:$F$4092,3,0))=TRUE,"",(VLOOKUP('Presupuesto - PAA 2018'!B238,'Base de Datos'!$C$487:$F$4092,4,0)))</f>
        <v/>
      </c>
      <c r="E238" s="509" t="e">
        <f>VLOOKUP(B238,[7]PAA2017!$C$65:$AA$255,20,0)</f>
        <v>#N/A</v>
      </c>
      <c r="F238" s="507" t="e">
        <f>VLOOKUP(B238,[8]SOLICITUDES!$B$3:$H$278,2,0)</f>
        <v>#N/A</v>
      </c>
      <c r="G238" s="507"/>
      <c r="H238" s="507"/>
      <c r="I238" s="507"/>
      <c r="J238" s="509" t="str">
        <f>IF(ISERROR(VLOOKUP(B238,'Base de Datos'!$C$487:$N$4092,6,0))=TRUE,"Sin Celebrar",(VLOOKUP(B238,'Base de Datos'!$C$487:$N$4092,7,0)))</f>
        <v>Sin Celebrar</v>
      </c>
      <c r="K238" s="573"/>
      <c r="L238" s="553" t="e">
        <f>IF(J238=$AA$1,E238, " ")</f>
        <v>#N/A</v>
      </c>
      <c r="M238" s="509"/>
      <c r="N238" s="509" t="e">
        <f>IF(J238&lt;E238,(E238-J238)," ")</f>
        <v>#N/A</v>
      </c>
      <c r="O238" s="691" t="str">
        <f>IF(ISERROR(VLOOKUP(B238,'Base de Datos'!$C$487:$K$1048576,7,0))=TRUE," ",(VLOOKUP(B238,'Base de Datos'!$C$487:$K$1048576,8,0)))</f>
        <v xml:space="preserve"> </v>
      </c>
      <c r="P238" s="524" t="str">
        <f>IF(ISERROR(VLOOKUP(B238,'Base de Datos'!$C$487:$N$4077,9,0))=TRUE," ",(VLOOKUP(B238,'Base de Datos'!$C$487:$N$4077,10,0)))</f>
        <v xml:space="preserve"> </v>
      </c>
      <c r="Q238" s="709"/>
      <c r="R238" s="524" t="str">
        <f>IF(ISERROR(VLOOKUP(B238,'Base de Datos'!$C$487:$N$4077,10,0))=TRUE," ",(VLOOKUP(B238,'Base de Datos'!$C$487:$N$4077,11,0)))</f>
        <v xml:space="preserve"> </v>
      </c>
      <c r="S238" s="524" t="str">
        <f>IF(ISERROR(VLOOKUP(B238,'Base de Datos'!$C$487:$N$4077,11,0))=TRUE," ",(VLOOKUP(B238,'Base de Datos'!$C$487:$N$4077,12,0)))</f>
        <v xml:space="preserve"> </v>
      </c>
      <c r="T238" s="506" t="e">
        <f>VLOOKUP(B238,'Base de Datos'!$C$487:$AU$4129,41,0)</f>
        <v>#N/A</v>
      </c>
      <c r="U238" s="694"/>
      <c r="V238" s="607"/>
    </row>
    <row r="239" spans="2:22" outlineLevel="1" x14ac:dyDescent="0.3">
      <c r="B239" s="510"/>
      <c r="C239" s="506"/>
      <c r="D239" s="590" t="s">
        <v>1934</v>
      </c>
      <c r="E239" s="509" t="e">
        <f>+E234-SUM(E235:E238)</f>
        <v>#N/A</v>
      </c>
      <c r="F239" s="507"/>
      <c r="G239" s="507"/>
      <c r="H239" s="507"/>
      <c r="I239" s="507"/>
      <c r="J239" s="509"/>
      <c r="K239" s="509"/>
      <c r="L239" s="509"/>
      <c r="M239" s="509"/>
      <c r="N239" s="509" t="e">
        <f t="shared" ref="N239:N259" si="14">IF(J239&lt;E239,(E239-J239)," ")</f>
        <v>#N/A</v>
      </c>
      <c r="O239" s="651"/>
      <c r="P239" s="524" t="str">
        <f>IF(ISERROR(VLOOKUP(B239,'Base de Datos'!$C$7:$N$315,8,0))=TRUE," ",(VLOOKUP(B239,'Base de Datos'!$C$7:$N$315,8,0)))</f>
        <v xml:space="preserve"> </v>
      </c>
      <c r="Q239" s="506"/>
      <c r="R239" s="524" t="str">
        <f>IF(ISERROR(VLOOKUP(B239,'Base de Datos'!$C$7:$N$315,9,0))=TRUE," ",(VLOOKUP(B239,'Base de Datos'!$C$7:$N$315,9,0)))</f>
        <v xml:space="preserve"> </v>
      </c>
      <c r="S239" s="524" t="str">
        <f>IF(ISERROR(VLOOKUP(B239,'Base de Datos'!$C$7:$N$315,10,0))=TRUE," ",(VLOOKUP(B239,'Base de Datos'!$C$7:$N$315,10,0)))</f>
        <v xml:space="preserve"> </v>
      </c>
      <c r="T239" s="506"/>
      <c r="U239" s="694"/>
      <c r="V239" s="607"/>
    </row>
    <row r="240" spans="2:22" outlineLevel="1" x14ac:dyDescent="0.3">
      <c r="B240" s="510"/>
      <c r="C240" s="506"/>
      <c r="D240" s="590"/>
      <c r="E240" s="509"/>
      <c r="F240" s="507"/>
      <c r="G240" s="507"/>
      <c r="H240" s="507"/>
      <c r="I240" s="507"/>
      <c r="J240" s="509"/>
      <c r="K240" s="509"/>
      <c r="L240" s="509"/>
      <c r="M240" s="509"/>
      <c r="N240" s="509" t="str">
        <f t="shared" si="14"/>
        <v xml:space="preserve"> </v>
      </c>
      <c r="O240" s="651"/>
      <c r="P240" s="524" t="str">
        <f>IF(ISERROR(VLOOKUP(B240,'Base de Datos'!$C$7:$N$315,8,0))=TRUE," ",(VLOOKUP(B240,'Base de Datos'!$C$7:$N$315,8,0)))</f>
        <v xml:space="preserve"> </v>
      </c>
      <c r="Q240" s="506"/>
      <c r="R240" s="524" t="str">
        <f>IF(ISERROR(VLOOKUP(B240,'Base de Datos'!$C$7:$N$315,9,0))=TRUE," ",(VLOOKUP(B240,'Base de Datos'!$C$7:$N$315,9,0)))</f>
        <v xml:space="preserve"> </v>
      </c>
      <c r="S240" s="524" t="str">
        <f>IF(ISERROR(VLOOKUP(B240,'Base de Datos'!$C$7:$N$315,10,0))=TRUE," ",(VLOOKUP(B240,'Base de Datos'!$C$7:$N$315,10,0)))</f>
        <v xml:space="preserve"> </v>
      </c>
      <c r="T240" s="506"/>
      <c r="U240" s="694"/>
      <c r="V240" s="607"/>
    </row>
    <row r="241" spans="2:22" ht="24" customHeight="1" outlineLevel="1" x14ac:dyDescent="0.3">
      <c r="B241" s="589"/>
      <c r="C241" s="1240" t="s">
        <v>1913</v>
      </c>
      <c r="D241" s="1240"/>
      <c r="E241" s="516">
        <f>+E242+E244+E249+E251+E264</f>
        <v>7722182796</v>
      </c>
      <c r="F241" s="604"/>
      <c r="G241" s="513"/>
      <c r="H241" s="513"/>
      <c r="I241" s="513"/>
      <c r="J241" s="516">
        <f>+J242+J244+J249+J251+J264</f>
        <v>7259030202.1999998</v>
      </c>
      <c r="K241" s="574">
        <f>+J241/E241</f>
        <v>0.94002309890411972</v>
      </c>
      <c r="L241" s="516">
        <f>+L242+L244+L249+L251+L264</f>
        <v>450477000</v>
      </c>
      <c r="M241" s="509"/>
      <c r="N241" s="516">
        <f>+E241-J241-L241</f>
        <v>12675593.800000191</v>
      </c>
      <c r="O241" s="662"/>
      <c r="P241" s="548" t="str">
        <f>IF(ISERROR(VLOOKUP(B241,'Base de Datos'!$C$7:$N$315,8,0))=TRUE," ",(VLOOKUP(B241,'Base de Datos'!$C$7:$N$315,8,0)))</f>
        <v xml:space="preserve"> </v>
      </c>
      <c r="Q241" s="542"/>
      <c r="R241" s="548" t="str">
        <f>IF(ISERROR(VLOOKUP(B241,'Base de Datos'!$C$7:$N$315,9,0))=TRUE," ",(VLOOKUP(B241,'Base de Datos'!$C$7:$N$315,9,0)))</f>
        <v xml:space="preserve"> </v>
      </c>
      <c r="S241" s="548" t="str">
        <f>IF(ISERROR(VLOOKUP(B241,'Base de Datos'!$C$7:$N$315,10,0))=TRUE," ",(VLOOKUP(B241,'Base de Datos'!$C$7:$N$315,10,0)))</f>
        <v xml:space="preserve"> </v>
      </c>
      <c r="T241" s="542"/>
      <c r="U241" s="694"/>
      <c r="V241" s="607"/>
    </row>
    <row r="242" spans="2:22" ht="24.75" customHeight="1" outlineLevel="1" x14ac:dyDescent="0.3">
      <c r="B242" s="510"/>
      <c r="C242" s="1259" t="s">
        <v>1914</v>
      </c>
      <c r="D242" s="1259"/>
      <c r="E242" s="592">
        <v>450477000</v>
      </c>
      <c r="F242" s="934"/>
      <c r="G242" s="594"/>
      <c r="H242" s="594"/>
      <c r="I242" s="594"/>
      <c r="J242" s="593">
        <f>SUM(J243)</f>
        <v>0</v>
      </c>
      <c r="K242" s="596">
        <f>+J242/E242</f>
        <v>0</v>
      </c>
      <c r="L242" s="593">
        <f>SUM(L243)</f>
        <v>450477000</v>
      </c>
      <c r="M242" s="592"/>
      <c r="N242" s="622">
        <f>SUM(N243)</f>
        <v>0</v>
      </c>
      <c r="O242" s="667"/>
      <c r="P242" s="598" t="str">
        <f>IF(ISERROR(VLOOKUP(B242,'Base de Datos'!$C$7:$N$315,8,0))=TRUE," ",(VLOOKUP(B242,'Base de Datos'!$C$7:$N$315,8,0)))</f>
        <v xml:space="preserve"> </v>
      </c>
      <c r="Q242" s="934"/>
      <c r="R242" s="598" t="str">
        <f>IF(ISERROR(VLOOKUP(B242,'Base de Datos'!$C$7:$N$315,9,0))=TRUE," ",(VLOOKUP(B242,'Base de Datos'!$C$7:$N$315,9,0)))</f>
        <v xml:space="preserve"> </v>
      </c>
      <c r="S242" s="598" t="str">
        <f>IF(ISERROR(VLOOKUP(B242,'Base de Datos'!$C$7:$N$315,10,0))=TRUE," ",(VLOOKUP(B242,'Base de Datos'!$C$7:$N$315,10,0)))</f>
        <v xml:space="preserve"> </v>
      </c>
      <c r="T242" s="934"/>
      <c r="U242" s="694"/>
      <c r="V242" s="607"/>
    </row>
    <row r="243" spans="2:22" ht="15" customHeight="1" outlineLevel="1" x14ac:dyDescent="0.3">
      <c r="B243" s="510">
        <v>213</v>
      </c>
      <c r="C243" s="590"/>
      <c r="D243" s="590" t="s">
        <v>1915</v>
      </c>
      <c r="E243" s="553">
        <v>450477000</v>
      </c>
      <c r="F243" s="507" t="str">
        <f>VLOOKUP(B243,'Actualizada - presupuesto'!$D$7:$L$111,9,0)</f>
        <v>SI</v>
      </c>
      <c r="G243" s="507"/>
      <c r="H243" s="507"/>
      <c r="I243" s="507"/>
      <c r="J243" s="509" t="str">
        <f>IF(ISERROR(VLOOKUP(B243,'Base de Datos'!$C$7:$N$315,6,0))=TRUE,"Sin Celebrar",(VLOOKUP(B243,'Base de Datos'!$C$7:$N$315,6,0)))</f>
        <v>Sin Celebrar</v>
      </c>
      <c r="K243" s="509"/>
      <c r="L243" s="509">
        <f>IF(J243=$AA$1,E243, " ")</f>
        <v>450477000</v>
      </c>
      <c r="M243" s="509"/>
      <c r="N243" s="527" t="str">
        <f>IF(J243&lt;E243,(E243-J243)," ")</f>
        <v xml:space="preserve"> </v>
      </c>
      <c r="O243" s="652"/>
      <c r="P243" s="524" t="str">
        <f>IF(ISERROR(VLOOKUP(B243,'Base de Datos'!$C$7:$N$315,8,0))=TRUE," ",(VLOOKUP(B243,'Base de Datos'!$C$7:$N$315,8,0)))</f>
        <v xml:space="preserve"> </v>
      </c>
      <c r="Q243" s="506"/>
      <c r="R243" s="524" t="str">
        <f>IF(ISERROR(VLOOKUP(B243,'Base de Datos'!$C$7:$N$315,9,0))=TRUE," ",(VLOOKUP(B243,'Base de Datos'!$C$7:$N$315,9,0)))</f>
        <v xml:space="preserve"> </v>
      </c>
      <c r="S243" s="524" t="str">
        <f>IF(ISERROR(VLOOKUP(B243,'Base de Datos'!$C$7:$N$315,10,0))=TRUE," ",(VLOOKUP(B243,'Base de Datos'!$C$7:$N$315,10,0)))</f>
        <v xml:space="preserve"> </v>
      </c>
      <c r="T243" s="506" t="e">
        <f>VLOOKUP(C243,'Base de Datos'!$E$7:$AU$382,39,0)</f>
        <v>#N/A</v>
      </c>
      <c r="U243" s="694"/>
      <c r="V243" s="607"/>
    </row>
    <row r="244" spans="2:22" ht="27" customHeight="1" outlineLevel="1" x14ac:dyDescent="0.3">
      <c r="B244" s="510"/>
      <c r="C244" s="1259" t="s">
        <v>1916</v>
      </c>
      <c r="D244" s="1259"/>
      <c r="E244" s="592">
        <f>SUM(E245:E248)</f>
        <v>466869877</v>
      </c>
      <c r="F244" s="594"/>
      <c r="G244" s="594"/>
      <c r="H244" s="594"/>
      <c r="I244" s="594"/>
      <c r="J244" s="592">
        <f>SUM(J245:J248)</f>
        <v>466869877</v>
      </c>
      <c r="K244" s="596">
        <f>+J244/E244</f>
        <v>1</v>
      </c>
      <c r="L244" s="592">
        <f>SUM(L245:L248)</f>
        <v>0</v>
      </c>
      <c r="M244" s="592"/>
      <c r="N244" s="592">
        <f>+E244-J244-L244</f>
        <v>0</v>
      </c>
      <c r="O244" s="667"/>
      <c r="P244" s="598" t="str">
        <f>IF(ISERROR(VLOOKUP(B244,'Base de Datos'!$C$7:$N$315,8,0))=TRUE," ",(VLOOKUP(B244,'Base de Datos'!$C$7:$N$315,8,0)))</f>
        <v xml:space="preserve"> </v>
      </c>
      <c r="Q244" s="934"/>
      <c r="R244" s="598" t="str">
        <f>IF(ISERROR(VLOOKUP(B244,'Base de Datos'!$C$7:$N$315,9,0))=TRUE," ",(VLOOKUP(B244,'Base de Datos'!$C$7:$N$315,9,0)))</f>
        <v xml:space="preserve"> </v>
      </c>
      <c r="S244" s="598" t="str">
        <f>IF(ISERROR(VLOOKUP(B244,'Base de Datos'!$C$7:$N$315,10,0))=TRUE," ",(VLOOKUP(B244,'Base de Datos'!$C$7:$N$315,10,0)))</f>
        <v xml:space="preserve"> </v>
      </c>
      <c r="T244" s="934"/>
      <c r="U244" s="694"/>
      <c r="V244" s="607"/>
    </row>
    <row r="245" spans="2:22" outlineLevel="1" x14ac:dyDescent="0.3">
      <c r="B245" s="510">
        <v>208</v>
      </c>
      <c r="C245" s="506" t="str">
        <f>IF(ISERROR(VLOOKUP(B245,'Base de Datos'!$C$7:$F$4092,2,0))=TRUE,"",(VLOOKUP('Presupuesto - PAA 2018'!B245,'Base de Datos'!$C$7:$F$4092,3,0)))</f>
        <v>150192-0-2015</v>
      </c>
      <c r="D245" s="506" t="str">
        <f>IF(ISERROR(VLOOKUP(B245,'Base de Datos'!$C$7:$F$4092,3,0))=TRUE,"",(VLOOKUP('Presupuesto - PAA 2018'!B245,'Base de Datos'!$C$7:$F$4092,4,0)))</f>
        <v>INVERSIONES MATAY SAS</v>
      </c>
      <c r="E245" s="509">
        <v>379200000</v>
      </c>
      <c r="F245" s="507" t="str">
        <f>VLOOKUP(B245,'Actualizada - presupuesto'!$D$7:$L$111,9,0)</f>
        <v>SI</v>
      </c>
      <c r="G245" s="507"/>
      <c r="H245" s="507"/>
      <c r="I245" s="507"/>
      <c r="J245" s="509">
        <f>IF(ISERROR(VLOOKUP(B245,'Base de Datos'!$C$7:$N$4092,6,0))=TRUE,"Sin Celebrar",(VLOOKUP(B245,'Base de Datos'!$C$7:$N$4092,7,0)))</f>
        <v>379200000</v>
      </c>
      <c r="K245" s="509"/>
      <c r="L245" s="509" t="str">
        <f t="shared" ref="L245:L259" si="15">IF(J245=$AA$1,E245, " ")</f>
        <v xml:space="preserve"> </v>
      </c>
      <c r="M245" s="509"/>
      <c r="N245" s="509" t="str">
        <f t="shared" si="14"/>
        <v xml:space="preserve"> </v>
      </c>
      <c r="O245" s="691" t="str">
        <f>IF(ISERROR(VLOOKUP(B245,'Base de Datos'!$C$7:$K$1048576,7,0))=TRUE," ",(VLOOKUP(B245,'Base de Datos'!$C$7:$K$1048576,8,0)))</f>
        <v>150192-0-2015</v>
      </c>
      <c r="P245" s="524">
        <f>IF(ISERROR(VLOOKUP(B245,'Base de Datos'!$C$7:$N$4077,9,0))=TRUE," ",(VLOOKUP(B245,'Base de Datos'!$C$7:$N$4077,10,0)))</f>
        <v>42109</v>
      </c>
      <c r="Q245" s="506" t="s">
        <v>1853</v>
      </c>
      <c r="R245" s="524">
        <f>IF(ISERROR(VLOOKUP(B245,'Base de Datos'!$C$7:$N$4077,10,0))=TRUE," ",(VLOOKUP(B245,'Base de Datos'!$C$7:$N$4077,11,0)))</f>
        <v>42109</v>
      </c>
      <c r="S245" s="524">
        <f>IF(ISERROR(VLOOKUP(B245,'Base de Datos'!$C$7:$N$4077,11,0))=TRUE," ",(VLOOKUP(B245,'Base de Datos'!$C$7:$N$4077,12,0)))</f>
        <v>42429</v>
      </c>
      <c r="T245" s="506" t="str">
        <f>VLOOKUP(C245,'Base de Datos'!$E$7:$AU$382,39,0)</f>
        <v>LIQUIDADO</v>
      </c>
      <c r="U245" s="694"/>
      <c r="V245" s="607"/>
    </row>
    <row r="246" spans="2:22" outlineLevel="1" x14ac:dyDescent="0.3">
      <c r="B246" s="510">
        <v>263</v>
      </c>
      <c r="C246" s="506" t="s">
        <v>307</v>
      </c>
      <c r="D246" s="590" t="s">
        <v>1919</v>
      </c>
      <c r="E246" s="509">
        <v>87669877</v>
      </c>
      <c r="F246" s="507" t="str">
        <f>VLOOKUP(B246,'Actualizada - presupuesto'!$D$7:$L$111,9,0)</f>
        <v>SI</v>
      </c>
      <c r="G246" s="507"/>
      <c r="H246" s="507"/>
      <c r="I246" s="507"/>
      <c r="J246" s="509">
        <v>87669877</v>
      </c>
      <c r="K246" s="509"/>
      <c r="L246" s="509" t="str">
        <f t="shared" si="15"/>
        <v xml:space="preserve"> </v>
      </c>
      <c r="M246" s="509"/>
      <c r="N246" s="509" t="str">
        <f t="shared" si="14"/>
        <v xml:space="preserve"> </v>
      </c>
      <c r="O246" s="691">
        <f>IF(ISERROR(VLOOKUP(B246,'Base de Datos'!$C$7:$K$1048576,7,0))=TRUE," ",(VLOOKUP(B246,'Base de Datos'!$C$7:$K$1048576,7,0)))</f>
        <v>44000000</v>
      </c>
      <c r="P246" s="524" t="str">
        <f>IF(ISERROR(VLOOKUP(B246,'Base de Datos'!$C$7:$N$315,9,0))=TRUE," ",(VLOOKUP(B246,'Base de Datos'!$C$7:$N$315,9,0)))</f>
        <v xml:space="preserve"> </v>
      </c>
      <c r="Q246" s="506"/>
      <c r="R246" s="529" t="str">
        <f>IF(ISERROR(VLOOKUP(B246,'Base de Datos'!$C$7:$N$315,10,0))=TRUE," ",(VLOOKUP(B246,'Base de Datos'!$C$7:$N$315,10,0)))</f>
        <v xml:space="preserve"> </v>
      </c>
      <c r="S246" s="529" t="str">
        <f>IF(ISERROR(VLOOKUP(B246,'Base de Datos'!$C$7:$N$315,11,0))=TRUE," ",(VLOOKUP(B246,'Base de Datos'!$C$7:$N$315,11,0)))</f>
        <v xml:space="preserve"> </v>
      </c>
      <c r="T246" s="506" t="str">
        <f>VLOOKUP(C246,'Base de Datos'!$E$7:$AU$382,39,0)</f>
        <v>LIQUIDADO</v>
      </c>
      <c r="U246" s="694"/>
      <c r="V246" s="607"/>
    </row>
    <row r="247" spans="2:22" ht="22.8" outlineLevel="1" x14ac:dyDescent="0.3">
      <c r="B247" s="510">
        <v>209</v>
      </c>
      <c r="C247" s="526" t="str">
        <f>IF(ISERROR(VLOOKUP(B247,'Base de Datos'!$C$7:$F$4085,2,0))=TRUE,"",(VLOOKUP('Presupuesto - PAA 2018'!B247,'Base de Datos'!$C$7:$F$4085,2,0)))</f>
        <v>2016209</v>
      </c>
      <c r="D247" s="590" t="s">
        <v>1920</v>
      </c>
      <c r="E247" s="704"/>
      <c r="F247" s="507">
        <f>VLOOKUP(B247,'Actualizada - presupuesto'!$D$7:$L$111,9,0)</f>
        <v>0</v>
      </c>
      <c r="G247" s="507"/>
      <c r="H247" s="507"/>
      <c r="I247" s="507"/>
      <c r="J247" s="509" t="str">
        <f>IF(ISERROR(VLOOKUP(B247,'Base de Datos'!$C$7:$N$315,6,0))=TRUE,"Sin Celebrar",(VLOOKUP(B247,'Base de Datos'!$C$7:$N$315,6,0)))</f>
        <v>Sin Celebrar</v>
      </c>
      <c r="K247" s="509"/>
      <c r="L247" s="509"/>
      <c r="M247" s="509"/>
      <c r="N247" s="509" t="str">
        <f t="shared" si="14"/>
        <v xml:space="preserve"> </v>
      </c>
      <c r="O247" s="691">
        <f>IF(ISERROR(VLOOKUP(B247,'Base de Datos'!$C$7:$K$1048576,7,0))=TRUE," ",(VLOOKUP(B247,'Base de Datos'!$C$7:$K$1048576,7,0)))</f>
        <v>3000000</v>
      </c>
      <c r="P247" s="524" t="str">
        <f>IF(ISERROR(VLOOKUP(B247,'Base de Datos'!$C$7:$N$315,9,0))=TRUE," ",(VLOOKUP(B247,'Base de Datos'!$C$7:$N$315,9,0)))</f>
        <v xml:space="preserve"> </v>
      </c>
      <c r="Q247" s="506"/>
      <c r="R247" s="529" t="str">
        <f>IF(ISERROR(VLOOKUP(B247,'Base de Datos'!$C$7:$N$315,10,0))=TRUE," ",(VLOOKUP(B247,'Base de Datos'!$C$7:$N$315,10,0)))</f>
        <v xml:space="preserve"> </v>
      </c>
      <c r="S247" s="529" t="str">
        <f>IF(ISERROR(VLOOKUP(B247,'Base de Datos'!$C$7:$N$315,11,0))=TRUE," ",(VLOOKUP(B247,'Base de Datos'!$C$7:$N$315,11,0)))</f>
        <v xml:space="preserve"> </v>
      </c>
      <c r="T247" s="506" t="e">
        <f>VLOOKUP(C247,'Base de Datos'!$E$7:$AU$382,39,0)</f>
        <v>#N/A</v>
      </c>
      <c r="U247" s="694"/>
      <c r="V247" s="607"/>
    </row>
    <row r="248" spans="2:22" outlineLevel="1" x14ac:dyDescent="0.3">
      <c r="B248" s="510">
        <v>211</v>
      </c>
      <c r="C248" s="526" t="str">
        <f>IF(ISERROR(VLOOKUP(B248,'Base de Datos'!$C$7:$F$4085,2,0))=TRUE,"",(VLOOKUP('Presupuesto - PAA 2018'!B248,'Base de Datos'!$C$7:$F$4085,2,0)))</f>
        <v>2016211</v>
      </c>
      <c r="D248" s="590" t="s">
        <v>1921</v>
      </c>
      <c r="E248" s="704"/>
      <c r="F248" s="507">
        <f>VLOOKUP(B248,'Actualizada - presupuesto'!$D$7:$L$111,9,0)</f>
        <v>0</v>
      </c>
      <c r="G248" s="507"/>
      <c r="H248" s="507"/>
      <c r="I248" s="507"/>
      <c r="J248" s="509" t="str">
        <f>IF(ISERROR(VLOOKUP(B248,'Base de Datos'!$C$7:$N$315,6,0))=TRUE,"Sin Celebrar",(VLOOKUP(B248,'Base de Datos'!$C$7:$N$315,6,0)))</f>
        <v>Sin Celebrar</v>
      </c>
      <c r="K248" s="509"/>
      <c r="L248" s="509"/>
      <c r="M248" s="509"/>
      <c r="N248" s="509" t="str">
        <f t="shared" si="14"/>
        <v xml:space="preserve"> </v>
      </c>
      <c r="O248" s="691">
        <f>IF(ISERROR(VLOOKUP(B248,'Base de Datos'!$C$7:$K$1048576,7,0))=TRUE," ",(VLOOKUP(B248,'Base de Datos'!$C$7:$K$1048576,7,0)))</f>
        <v>12928000</v>
      </c>
      <c r="P248" s="524" t="str">
        <f>IF(ISERROR(VLOOKUP(B248,'Base de Datos'!$C$7:$N$315,9,0))=TRUE," ",(VLOOKUP(B248,'Base de Datos'!$C$7:$N$315,9,0)))</f>
        <v xml:space="preserve"> </v>
      </c>
      <c r="Q248" s="506"/>
      <c r="R248" s="529" t="str">
        <f>IF(ISERROR(VLOOKUP(B248,'Base de Datos'!$C$7:$N$315,10,0))=TRUE," ",(VLOOKUP(B248,'Base de Datos'!$C$7:$N$315,10,0)))</f>
        <v xml:space="preserve"> </v>
      </c>
      <c r="S248" s="529" t="str">
        <f>IF(ISERROR(VLOOKUP(B248,'Base de Datos'!$C$7:$N$315,11,0))=TRUE," ",(VLOOKUP(B248,'Base de Datos'!$C$7:$N$315,11,0)))</f>
        <v xml:space="preserve"> </v>
      </c>
      <c r="T248" s="506" t="e">
        <f>VLOOKUP(C248,'Base de Datos'!$E$7:$AU$382,39,0)</f>
        <v>#N/A</v>
      </c>
      <c r="U248" s="694"/>
      <c r="V248" s="607"/>
    </row>
    <row r="249" spans="2:22" ht="24.75" customHeight="1" outlineLevel="1" x14ac:dyDescent="0.3">
      <c r="B249" s="510"/>
      <c r="C249" s="1259" t="s">
        <v>1922</v>
      </c>
      <c r="D249" s="1259"/>
      <c r="E249" s="592">
        <f>+E250</f>
        <v>0</v>
      </c>
      <c r="F249" s="594"/>
      <c r="G249" s="597"/>
      <c r="H249" s="597"/>
      <c r="I249" s="597"/>
      <c r="J249" s="592">
        <f>SUM(J250)</f>
        <v>0</v>
      </c>
      <c r="K249" s="596" t="e">
        <f>+J249/E249</f>
        <v>#DIV/0!</v>
      </c>
      <c r="L249" s="592">
        <f>SUM(L250)</f>
        <v>0</v>
      </c>
      <c r="M249" s="592"/>
      <c r="N249" s="592">
        <f>+E249-J249-L249</f>
        <v>0</v>
      </c>
      <c r="O249" s="667"/>
      <c r="P249" s="598" t="str">
        <f>IF(ISERROR(VLOOKUP(B249,'Base de Datos'!$C$7:$N$315,8,0))=TRUE," ",(VLOOKUP(B249,'Base de Datos'!$C$7:$N$315,8,0)))</f>
        <v xml:space="preserve"> </v>
      </c>
      <c r="Q249" s="934"/>
      <c r="R249" s="598" t="str">
        <f>IF(ISERROR(VLOOKUP(B249,'Base de Datos'!$C$7:$N$315,9,0))=TRUE," ",(VLOOKUP(B249,'Base de Datos'!$C$7:$N$315,9,0)))</f>
        <v xml:space="preserve"> </v>
      </c>
      <c r="S249" s="598" t="str">
        <f>IF(ISERROR(VLOOKUP(B249,'Base de Datos'!$C$7:$N$315,10,0))=TRUE," ",(VLOOKUP(B249,'Base de Datos'!$C$7:$N$315,10,0)))</f>
        <v xml:space="preserve"> </v>
      </c>
      <c r="T249" s="934"/>
      <c r="U249" s="694"/>
      <c r="V249" s="607"/>
    </row>
    <row r="250" spans="2:22" ht="34.200000000000003" outlineLevel="1" x14ac:dyDescent="0.3">
      <c r="B250" s="510">
        <v>212</v>
      </c>
      <c r="C250" s="526">
        <f>IF(ISERROR(VLOOKUP(B250,'Base de Datos'!$C$7:$F$4085,2,0))=TRUE,"",(VLOOKUP('Presupuesto - PAA 2018'!B250,'Base de Datos'!$C$7:$F$4085,2,0)))</f>
        <v>0</v>
      </c>
      <c r="D250" s="590" t="s">
        <v>1923</v>
      </c>
      <c r="E250" s="704"/>
      <c r="F250" s="507">
        <f>VLOOKUP(B250,'Actualizada - presupuesto'!$D$7:$L$111,9,0)</f>
        <v>0</v>
      </c>
      <c r="G250" s="507"/>
      <c r="H250" s="507"/>
      <c r="I250" s="507"/>
      <c r="J250" s="509" t="str">
        <f>IF(ISERROR(VLOOKUP(B250,'Base de Datos'!$C$7:$N$315,6,0))=TRUE,"Sin Celebrar",(VLOOKUP(B250,'Base de Datos'!$C$7:$N$315,6,0)))</f>
        <v>Sin Celebrar</v>
      </c>
      <c r="K250" s="509"/>
      <c r="L250" s="509"/>
      <c r="M250" s="509"/>
      <c r="N250" s="509" t="str">
        <f t="shared" si="14"/>
        <v xml:space="preserve"> </v>
      </c>
      <c r="O250" s="691">
        <f>IF(ISERROR(VLOOKUP(B250,'Base de Datos'!$C$7:$K$1048576,7,0))=TRUE," ",(VLOOKUP(B250,'Base de Datos'!$C$7:$K$1048576,7,0)))</f>
        <v>480000000</v>
      </c>
      <c r="P250" s="524" t="str">
        <f>IF(ISERROR(VLOOKUP(B250,'Base de Datos'!$C$7:$N$315,9,0))=TRUE," ",(VLOOKUP(B250,'Base de Datos'!$C$7:$N$315,9,0)))</f>
        <v xml:space="preserve"> </v>
      </c>
      <c r="Q250" s="506"/>
      <c r="R250" s="529" t="str">
        <f>IF(ISERROR(VLOOKUP(B250,'Base de Datos'!$C$7:$N$315,10,0))=TRUE," ",(VLOOKUP(B250,'Base de Datos'!$C$7:$N$315,10,0)))</f>
        <v xml:space="preserve"> </v>
      </c>
      <c r="S250" s="529" t="str">
        <f>IF(ISERROR(VLOOKUP(B250,'Base de Datos'!$C$7:$N$315,11,0))=TRUE," ",(VLOOKUP(B250,'Base de Datos'!$C$7:$N$315,11,0)))</f>
        <v xml:space="preserve"> </v>
      </c>
      <c r="T250" s="506" t="e">
        <f>VLOOKUP(C250,'Base de Datos'!$E$7:$AU$382,39,0)</f>
        <v>#N/A</v>
      </c>
      <c r="U250" s="694"/>
      <c r="V250" s="607"/>
    </row>
    <row r="251" spans="2:22" outlineLevel="1" x14ac:dyDescent="0.3">
      <c r="B251" s="510"/>
      <c r="C251" s="1258" t="s">
        <v>1924</v>
      </c>
      <c r="D251" s="1258"/>
      <c r="E251" s="592">
        <f>SUM(E252:E260)</f>
        <v>2630558934</v>
      </c>
      <c r="F251" s="594"/>
      <c r="G251" s="594"/>
      <c r="H251" s="594"/>
      <c r="I251" s="594"/>
      <c r="J251" s="592">
        <f>SUM(J252:J260)</f>
        <v>2617883340.1999998</v>
      </c>
      <c r="K251" s="596">
        <f>+J251/E251</f>
        <v>0.99518140664473698</v>
      </c>
      <c r="L251" s="592">
        <f>SUM(L252:L260)</f>
        <v>0</v>
      </c>
      <c r="M251" s="592"/>
      <c r="N251" s="592">
        <f>+E251-J251-L251</f>
        <v>12675593.800000191</v>
      </c>
      <c r="O251" s="667"/>
      <c r="P251" s="598" t="str">
        <f>IF(ISERROR(VLOOKUP(B251,'Base de Datos'!$C$7:$N$315,8,0))=TRUE," ",(VLOOKUP(B251,'Base de Datos'!$C$7:$N$315,8,0)))</f>
        <v xml:space="preserve"> </v>
      </c>
      <c r="Q251" s="934"/>
      <c r="R251" s="598" t="str">
        <f>IF(ISERROR(VLOOKUP(B251,'Base de Datos'!$C$7:$N$315,9,0))=TRUE," ",(VLOOKUP(B251,'Base de Datos'!$C$7:$N$315,9,0)))</f>
        <v xml:space="preserve"> </v>
      </c>
      <c r="S251" s="598" t="str">
        <f>IF(ISERROR(VLOOKUP(B251,'Base de Datos'!$C$7:$N$315,10,0))=TRUE," ",(VLOOKUP(B251,'Base de Datos'!$C$7:$N$315,10,0)))</f>
        <v xml:space="preserve"> </v>
      </c>
      <c r="T251" s="934"/>
      <c r="U251" s="694"/>
      <c r="V251" s="607"/>
    </row>
    <row r="252" spans="2:22" s="588" customFormat="1" ht="15" customHeight="1" outlineLevel="1" x14ac:dyDescent="0.3">
      <c r="B252" s="600">
        <v>70</v>
      </c>
      <c r="C252" s="506" t="str">
        <f>IF(ISERROR(VLOOKUP(B252,'Base de Datos'!$C$7:$F$4092,2,0))=TRUE,"",(VLOOKUP('Presupuesto - PAA 2018'!B252,'Base de Datos'!$C$7:$F$4092,3,0)))</f>
        <v>150321-0-2015</v>
      </c>
      <c r="D252" s="506" t="str">
        <f>IF(ISERROR(VLOOKUP(B252,'Base de Datos'!$C$7:$F$4092,3,0))=TRUE,"",(VLOOKUP('Presupuesto - PAA 2018'!B252,'Base de Datos'!$C$7:$F$4092,4,0)))</f>
        <v>BUSINESSMIND COLOMBIA SA</v>
      </c>
      <c r="E252" s="553">
        <v>31577404</v>
      </c>
      <c r="F252" s="507" t="str">
        <f>VLOOKUP(B252,'Actualizada - presupuesto'!$D$7:$L$111,9,0)</f>
        <v>SI</v>
      </c>
      <c r="G252" s="507"/>
      <c r="H252" s="507"/>
      <c r="I252" s="507"/>
      <c r="J252" s="509">
        <f>IF(ISERROR(VLOOKUP(B252,'Base de Datos'!$C$7:$N$4092,6,0))=TRUE,"Sin Celebrar",(VLOOKUP(B252,'Base de Datos'!$C$7:$N$4092,7,0)))</f>
        <v>31577404</v>
      </c>
      <c r="K252" s="553"/>
      <c r="L252" s="553" t="str">
        <f t="shared" si="15"/>
        <v xml:space="preserve"> </v>
      </c>
      <c r="M252" s="553"/>
      <c r="N252" s="553" t="str">
        <f t="shared" si="14"/>
        <v xml:space="preserve"> </v>
      </c>
      <c r="O252" s="691" t="str">
        <f>IF(ISERROR(VLOOKUP(B252,'Base de Datos'!$C$7:$K$1048576,7,0))=TRUE," ",(VLOOKUP(B252,'Base de Datos'!$C$7:$K$1048576,8,0)))</f>
        <v>SDH-SMINC-043-2015</v>
      </c>
      <c r="P252" s="524">
        <f>IF(ISERROR(VLOOKUP(B252,'Base de Datos'!$C$7:$N$4077,9,0))=TRUE," ",(VLOOKUP(B252,'Base de Datos'!$C$7:$N$4077,10,0)))</f>
        <v>42208</v>
      </c>
      <c r="Q252" s="587" t="s">
        <v>378</v>
      </c>
      <c r="R252" s="524">
        <f>IF(ISERROR(VLOOKUP(B252,'Base de Datos'!$C$7:$N$4077,10,0))=TRUE," ",(VLOOKUP(B252,'Base de Datos'!$C$7:$N$4077,11,0)))</f>
        <v>42221</v>
      </c>
      <c r="S252" s="524">
        <f>IF(ISERROR(VLOOKUP(B252,'Base de Datos'!$C$7:$N$4077,11,0))=TRUE," ",(VLOOKUP(B252,'Base de Datos'!$C$7:$N$4077,12,0)))</f>
        <v>42282</v>
      </c>
      <c r="T252" s="506" t="str">
        <f>VLOOKUP(C252,'Base de Datos'!$E$7:$AU$382,39,0)</f>
        <v>LIQUIDADO</v>
      </c>
      <c r="U252" s="694"/>
      <c r="V252" s="607"/>
    </row>
    <row r="253" spans="2:22" s="588" customFormat="1" ht="14.25" customHeight="1" outlineLevel="1" x14ac:dyDescent="0.3">
      <c r="B253" s="600">
        <v>71</v>
      </c>
      <c r="C253" s="506" t="str">
        <f>IF(ISERROR(VLOOKUP(B253,'Base de Datos'!$C$7:$F$4092,2,0))=TRUE,"",(VLOOKUP('Presupuesto - PAA 2018'!B253,'Base de Datos'!$C$7:$F$4092,3,0)))</f>
        <v>150254-0-2015</v>
      </c>
      <c r="D253" s="506" t="str">
        <f>IF(ISERROR(VLOOKUP(B253,'Base de Datos'!$C$7:$F$4092,3,0))=TRUE,"",(VLOOKUP('Presupuesto - PAA 2018'!B253,'Base de Datos'!$C$7:$F$4092,4,0)))</f>
        <v>OFICOMCO SAS</v>
      </c>
      <c r="E253" s="553">
        <v>11167296</v>
      </c>
      <c r="F253" s="507" t="str">
        <f>VLOOKUP(B253,'Actualizada - presupuesto'!$D$7:$L$111,9,0)</f>
        <v>SI</v>
      </c>
      <c r="G253" s="507"/>
      <c r="H253" s="507"/>
      <c r="I253" s="507"/>
      <c r="J253" s="509">
        <f>IF(ISERROR(VLOOKUP(B253,'Base de Datos'!$C$7:$N$4092,6,0))=TRUE,"Sin Celebrar",(VLOOKUP(B253,'Base de Datos'!$C$7:$N$4092,7,0)))</f>
        <v>11167296</v>
      </c>
      <c r="K253" s="553"/>
      <c r="L253" s="553" t="str">
        <f t="shared" si="15"/>
        <v xml:space="preserve"> </v>
      </c>
      <c r="M253" s="553"/>
      <c r="N253" s="553" t="str">
        <f t="shared" si="14"/>
        <v xml:space="preserve"> </v>
      </c>
      <c r="O253" s="691" t="str">
        <f>IF(ISERROR(VLOOKUP(B253,'Base de Datos'!$C$7:$K$1048576,7,0))=TRUE," ",(VLOOKUP(B253,'Base de Datos'!$C$7:$K$1048576,8,0)))</f>
        <v>SDH-SMINC-32-2015</v>
      </c>
      <c r="P253" s="524">
        <f>IF(ISERROR(VLOOKUP(B253,'Base de Datos'!$C$7:$N$4077,9,0))=TRUE," ",(VLOOKUP(B253,'Base de Datos'!$C$7:$N$4077,10,0)))</f>
        <v>42167</v>
      </c>
      <c r="Q253" s="587" t="s">
        <v>378</v>
      </c>
      <c r="R253" s="524">
        <f>IF(ISERROR(VLOOKUP(B253,'Base de Datos'!$C$7:$N$4077,10,0))=TRUE," ",(VLOOKUP(B253,'Base de Datos'!$C$7:$N$4077,11,0)))</f>
        <v>42188</v>
      </c>
      <c r="S253" s="524">
        <f>IF(ISERROR(VLOOKUP(B253,'Base de Datos'!$C$7:$N$4077,11,0))=TRUE," ",(VLOOKUP(B253,'Base de Datos'!$C$7:$N$4077,12,0)))</f>
        <v>42250</v>
      </c>
      <c r="T253" s="506" t="str">
        <f>VLOOKUP(C253,'Base de Datos'!$E$7:$AU$382,39,0)</f>
        <v>LIQUIDADO</v>
      </c>
      <c r="U253" s="694"/>
      <c r="V253" s="607"/>
    </row>
    <row r="254" spans="2:22" s="588" customFormat="1" outlineLevel="1" x14ac:dyDescent="0.3">
      <c r="B254" s="600">
        <v>73</v>
      </c>
      <c r="C254" s="526">
        <f>IF(ISERROR(VLOOKUP(B254,'Base de Datos'!$C$7:$F$4085,2,0))=TRUE,"",(VLOOKUP('Presupuesto - PAA 2018'!B254,'Base de Datos'!$C$7:$F$4085,2,0)))</f>
        <v>0</v>
      </c>
      <c r="D254" s="601" t="s">
        <v>1927</v>
      </c>
      <c r="E254" s="704"/>
      <c r="F254" s="507" t="str">
        <f>VLOOKUP(B254,'Actualizada - presupuesto'!$D$7:$L$111,9,0)</f>
        <v>SI</v>
      </c>
      <c r="G254" s="587"/>
      <c r="H254" s="587"/>
      <c r="I254" s="587"/>
      <c r="J254" s="509">
        <f>IF(ISERROR(VLOOKUP(B254,'Base de Datos'!$C$7:$N$4092,6,0))=TRUE,"Sin Celebrar",(VLOOKUP(B254,'Base de Datos'!$C$7:$N$4092,7,0)))</f>
        <v>8320000</v>
      </c>
      <c r="K254" s="553"/>
      <c r="L254" s="553" t="str">
        <f t="shared" si="15"/>
        <v xml:space="preserve"> </v>
      </c>
      <c r="M254" s="587"/>
      <c r="N254" s="553" t="str">
        <f t="shared" si="14"/>
        <v xml:space="preserve"> </v>
      </c>
      <c r="O254" s="691" t="str">
        <f>IF(ISERROR(VLOOKUP(B254,'Base de Datos'!$C$7:$K$1048576,7,0))=TRUE," ",(VLOOKUP(B254,'Base de Datos'!$C$7:$K$1048576,8,0)))</f>
        <v>170186-0-2017</v>
      </c>
      <c r="P254" s="524">
        <f>IF(ISERROR(VLOOKUP(B254,'Base de Datos'!$C$7:$N$4077,9,0))=TRUE," ",(VLOOKUP(B254,'Base de Datos'!$C$7:$N$4077,10,0)))</f>
        <v>42934</v>
      </c>
      <c r="Q254" s="587"/>
      <c r="R254" s="524">
        <f>IF(ISERROR(VLOOKUP(B254,'Base de Datos'!$C$7:$N$4077,10,0))=TRUE," ",(VLOOKUP(B254,'Base de Datos'!$C$7:$N$4077,11,0)))</f>
        <v>42941</v>
      </c>
      <c r="S254" s="524">
        <f>IF(ISERROR(VLOOKUP(B254,'Base de Datos'!$C$7:$N$4077,11,0))=TRUE," ",(VLOOKUP(B254,'Base de Datos'!$C$7:$N$4077,12,0)))</f>
        <v>43215</v>
      </c>
      <c r="T254" s="506" t="e">
        <f>VLOOKUP(C254,'Base de Datos'!$E$7:$AU$382,39,0)</f>
        <v>#N/A</v>
      </c>
      <c r="U254" s="694"/>
      <c r="V254" s="607"/>
    </row>
    <row r="255" spans="2:22" s="588" customFormat="1" outlineLevel="1" x14ac:dyDescent="0.3">
      <c r="B255" s="600">
        <v>74</v>
      </c>
      <c r="C255" s="506" t="str">
        <f>IF(ISERROR(VLOOKUP(B255,'Base de Datos'!$C$7:$F$4092,2,0))=TRUE,"",(VLOOKUP('Presupuesto - PAA 2018'!B255,'Base de Datos'!$C$7:$F$4092,3,0)))</f>
        <v>150382-0-2015</v>
      </c>
      <c r="D255" s="506" t="str">
        <f>IF(ISERROR(VLOOKUP(B255,'Base de Datos'!$C$7:$F$4092,3,0))=TRUE,"",(VLOOKUP('Presupuesto - PAA 2018'!B255,'Base de Datos'!$C$7:$F$4092,4,0)))</f>
        <v>OPENLINK SISTEMAS DE REDES DE DATOS S A S</v>
      </c>
      <c r="E255" s="553">
        <v>1544000000</v>
      </c>
      <c r="F255" s="507" t="s">
        <v>390</v>
      </c>
      <c r="G255" s="587"/>
      <c r="H255" s="587"/>
      <c r="I255" s="587"/>
      <c r="J255" s="509">
        <f>IF(ISERROR(VLOOKUP(B255,'Base de Datos'!$C$7:$N$4092,6,0))=TRUE,"Sin Celebrar",(VLOOKUP(B255,'Base de Datos'!$C$7:$N$4092,7,0)))</f>
        <v>1512217703</v>
      </c>
      <c r="K255" s="553"/>
      <c r="L255" s="553" t="str">
        <f t="shared" si="15"/>
        <v xml:space="preserve"> </v>
      </c>
      <c r="M255" s="587"/>
      <c r="N255" s="553">
        <f t="shared" si="14"/>
        <v>31782297</v>
      </c>
      <c r="O255" s="691" t="str">
        <f>IF(ISERROR(VLOOKUP(B255,'Base de Datos'!$C$7:$K$1048576,7,0))=TRUE," ",(VLOOKUP(B255,'Base de Datos'!$C$7:$K$1048576,8,0)))</f>
        <v>SDH-SIE-14-2015</v>
      </c>
      <c r="P255" s="524">
        <f>IF(ISERROR(VLOOKUP(B255,'Base de Datos'!$C$7:$N$4077,9,0))=TRUE," ",(VLOOKUP(B255,'Base de Datos'!$C$7:$N$4077,10,0)))</f>
        <v>42311</v>
      </c>
      <c r="Q255" s="587"/>
      <c r="R255" s="524">
        <f>IF(ISERROR(VLOOKUP(B255,'Base de Datos'!$C$7:$N$4077,10,0))=TRUE," ",(VLOOKUP(B255,'Base de Datos'!$C$7:$N$4077,11,0)))</f>
        <v>42333</v>
      </c>
      <c r="S255" s="524">
        <f>IF(ISERROR(VLOOKUP(B255,'Base de Datos'!$C$7:$N$4077,11,0))=TRUE," ",(VLOOKUP(B255,'Base de Datos'!$C$7:$N$4077,12,0)))</f>
        <v>42515</v>
      </c>
      <c r="T255" s="506" t="str">
        <f>VLOOKUP(C255,'Base de Datos'!$E$7:$AU$382,39,0)</f>
        <v>LIQUIDADO</v>
      </c>
      <c r="U255" s="694"/>
      <c r="V255" s="607"/>
    </row>
    <row r="256" spans="2:22" s="588" customFormat="1" ht="17.25" customHeight="1" outlineLevel="1" x14ac:dyDescent="0.3">
      <c r="B256" s="600">
        <v>75</v>
      </c>
      <c r="C256" s="506" t="str">
        <f>IF(ISERROR(VLOOKUP(B256,'Base de Datos'!$C$7:$F$4092,2,0))=TRUE,"",(VLOOKUP('Presupuesto - PAA 2018'!B256,'Base de Datos'!$C$7:$F$4092,3,0)))</f>
        <v>150236-0-2015</v>
      </c>
      <c r="D256" s="506" t="str">
        <f>IF(ISERROR(VLOOKUP(B256,'Base de Datos'!$C$7:$F$4092,3,0))=TRUE,"",(VLOOKUP('Presupuesto - PAA 2018'!B256,'Base de Datos'!$C$7:$F$4092,4,0)))</f>
        <v>SISTEG SAS</v>
      </c>
      <c r="E256" s="553">
        <v>8086410</v>
      </c>
      <c r="F256" s="507" t="str">
        <f>VLOOKUP(B256,'Actualizada - presupuesto'!$D$7:$L$111,9,0)</f>
        <v>SI</v>
      </c>
      <c r="G256" s="587"/>
      <c r="H256" s="587"/>
      <c r="I256" s="587"/>
      <c r="J256" s="509">
        <f>IF(ISERROR(VLOOKUP(B256,'Base de Datos'!$C$7:$N$4092,6,0))=TRUE,"Sin Celebrar",(VLOOKUP(B256,'Base de Datos'!$C$7:$N$4092,7,0)))</f>
        <v>8086410</v>
      </c>
      <c r="K256" s="553"/>
      <c r="L256" s="553" t="str">
        <f t="shared" si="15"/>
        <v xml:space="preserve"> </v>
      </c>
      <c r="M256" s="587"/>
      <c r="N256" s="553" t="str">
        <f t="shared" si="14"/>
        <v xml:space="preserve"> </v>
      </c>
      <c r="O256" s="691" t="str">
        <f>IF(ISERROR(VLOOKUP(B256,'Base de Datos'!$C$7:$K$1048576,7,0))=TRUE," ",(VLOOKUP(B256,'Base de Datos'!$C$7:$K$1048576,8,0)))</f>
        <v>SDH-SMINC-30-2015</v>
      </c>
      <c r="P256" s="524">
        <f>IF(ISERROR(VLOOKUP(B256,'Base de Datos'!$C$7:$N$4077,9,0))=TRUE," ",(VLOOKUP(B256,'Base de Datos'!$C$7:$N$4077,10,0)))</f>
        <v>42152</v>
      </c>
      <c r="Q256" s="506" t="s">
        <v>378</v>
      </c>
      <c r="R256" s="524">
        <f>IF(ISERROR(VLOOKUP(B256,'Base de Datos'!$C$7:$N$4077,10,0))=TRUE," ",(VLOOKUP(B256,'Base de Datos'!$C$7:$N$4077,11,0)))</f>
        <v>42165</v>
      </c>
      <c r="S256" s="524">
        <f>IF(ISERROR(VLOOKUP(B256,'Base de Datos'!$C$7:$N$4077,11,0))=TRUE," ",(VLOOKUP(B256,'Base de Datos'!$C$7:$N$4077,12,0)))</f>
        <v>42226</v>
      </c>
      <c r="T256" s="506" t="str">
        <f>VLOOKUP(C256,'Base de Datos'!$E$7:$AU$382,39,0)</f>
        <v>EN TRÁMITE</v>
      </c>
      <c r="U256" s="694"/>
      <c r="V256" s="607"/>
    </row>
    <row r="257" spans="2:22" s="588" customFormat="1" outlineLevel="1" x14ac:dyDescent="0.3">
      <c r="B257" s="600">
        <v>314</v>
      </c>
      <c r="C257" s="506" t="str">
        <f>IF(ISERROR(VLOOKUP(B257,'Base de Datos'!$C$7:$F$4092,2,0))=TRUE,"",(VLOOKUP('Presupuesto - PAA 2018'!B257,'Base de Datos'!$C$7:$F$4092,3,0)))</f>
        <v>150308-0-2015</v>
      </c>
      <c r="D257" s="506" t="str">
        <f>IF(ISERROR(VLOOKUP(B257,'Base de Datos'!$C$7:$F$4092,3,0))=TRUE,"",(VLOOKUP('Presupuesto - PAA 2018'!B257,'Base de Datos'!$C$7:$F$4092,4,0)))</f>
        <v xml:space="preserve">ARANDA SOFTWARE ANDINA SAS  </v>
      </c>
      <c r="E257" s="603">
        <v>30000000</v>
      </c>
      <c r="F257" s="507" t="s">
        <v>390</v>
      </c>
      <c r="G257" s="587"/>
      <c r="H257" s="587"/>
      <c r="I257" s="587"/>
      <c r="J257" s="553">
        <v>30000000</v>
      </c>
      <c r="K257" s="587"/>
      <c r="L257" s="553" t="str">
        <f t="shared" si="15"/>
        <v xml:space="preserve"> </v>
      </c>
      <c r="M257" s="587"/>
      <c r="N257" s="553" t="str">
        <f t="shared" si="14"/>
        <v xml:space="preserve"> </v>
      </c>
      <c r="O257" s="691" t="str">
        <f>IF(ISERROR(VLOOKUP(B257,'Base de Datos'!$C$7:$K$1048576,7,0))=TRUE," ",(VLOOKUP(B257,'Base de Datos'!$C$7:$K$1048576,8,0)))</f>
        <v>150308-0-2015</v>
      </c>
      <c r="P257" s="524">
        <f>IF(ISERROR(VLOOKUP(B257,'Base de Datos'!$C$7:$N$4077,9,0))=TRUE," ",(VLOOKUP(B257,'Base de Datos'!$C$7:$N$4077,10,0)))</f>
        <v>42193</v>
      </c>
      <c r="Q257" s="587"/>
      <c r="R257" s="524">
        <f>IF(ISERROR(VLOOKUP(B257,'Base de Datos'!$C$7:$N$4077,10,0))=TRUE," ",(VLOOKUP(B257,'Base de Datos'!$C$7:$N$4077,11,0)))</f>
        <v>42199</v>
      </c>
      <c r="S257" s="524">
        <f>IF(ISERROR(VLOOKUP(B257,'Base de Datos'!$C$7:$N$4077,11,0))=TRUE," ",(VLOOKUP(B257,'Base de Datos'!$C$7:$N$4077,12,0)))</f>
        <v>42565</v>
      </c>
      <c r="T257" s="506" t="str">
        <f>VLOOKUP(C257,'Base de Datos'!$E$7:$AU$382,39,0)</f>
        <v>LIQUIDADO</v>
      </c>
      <c r="U257" s="694"/>
      <c r="V257" s="607"/>
    </row>
    <row r="258" spans="2:22" s="588" customFormat="1" outlineLevel="1" x14ac:dyDescent="0.3">
      <c r="B258" s="600">
        <v>325</v>
      </c>
      <c r="C258" s="506" t="str">
        <f>IF(ISERROR(VLOOKUP(B258,'Base de Datos'!$C$7:$F$4092,2,0))=TRUE,"",(VLOOKUP('Presupuesto - PAA 2018'!B258,'Base de Datos'!$C$7:$F$4092,3,0)))</f>
        <v>150346-0-2015</v>
      </c>
      <c r="D258" s="506" t="str">
        <f>IF(ISERROR(VLOOKUP(B258,'Base de Datos'!$C$7:$F$4092,3,0))=TRUE,"",(VLOOKUP('Presupuesto - PAA 2018'!B258,'Base de Datos'!$C$7:$F$4092,4,0)))</f>
        <v>JOHN KENNEDY LEON CASTIBLANCO</v>
      </c>
      <c r="E258" s="603">
        <v>33000000</v>
      </c>
      <c r="F258" s="507" t="s">
        <v>390</v>
      </c>
      <c r="G258" s="587"/>
      <c r="H258" s="587"/>
      <c r="I258" s="587"/>
      <c r="J258" s="509">
        <f>IF(ISERROR(VLOOKUP(B258,'Base de Datos'!$C$7:$N$4092,6,0))=TRUE,"Sin Celebrar",(VLOOKUP(B258,'Base de Datos'!$C$7:$N$4092,7,0)))</f>
        <v>33000000</v>
      </c>
      <c r="K258" s="587"/>
      <c r="L258" s="553" t="str">
        <f t="shared" si="15"/>
        <v xml:space="preserve"> </v>
      </c>
      <c r="M258" s="587"/>
      <c r="N258" s="553" t="str">
        <f t="shared" si="14"/>
        <v xml:space="preserve"> </v>
      </c>
      <c r="O258" s="691" t="str">
        <f>IF(ISERROR(VLOOKUP(B258,'Base de Datos'!$C$7:$K$1048576,7,0))=TRUE," ",(VLOOKUP(B258,'Base de Datos'!$C$7:$K$1048576,8,0)))</f>
        <v>150346-0-2015</v>
      </c>
      <c r="P258" s="524">
        <f>IF(ISERROR(VLOOKUP(B258,'Base de Datos'!$C$7:$N$4077,9,0))=TRUE," ",(VLOOKUP(B258,'Base de Datos'!$C$7:$N$4077,10,0)))</f>
        <v>42244</v>
      </c>
      <c r="Q258" s="587"/>
      <c r="R258" s="524">
        <f>IF(ISERROR(VLOOKUP(B258,'Base de Datos'!$C$7:$N$4077,10,0))=TRUE," ",(VLOOKUP(B258,'Base de Datos'!$C$7:$N$4077,11,0)))</f>
        <v>42249</v>
      </c>
      <c r="S258" s="524">
        <f>IF(ISERROR(VLOOKUP(B258,'Base de Datos'!$C$7:$N$4077,11,0))=TRUE," ",(VLOOKUP(B258,'Base de Datos'!$C$7:$N$4077,12,0)))</f>
        <v>42431</v>
      </c>
      <c r="T258" s="506" t="str">
        <f>VLOOKUP(C258,'Base de Datos'!$E$7:$AU$382,39,0)</f>
        <v>LIQUIDADO</v>
      </c>
      <c r="U258" s="694"/>
      <c r="V258" s="607"/>
    </row>
    <row r="259" spans="2:22" s="588" customFormat="1" outlineLevel="1" x14ac:dyDescent="0.3">
      <c r="B259" s="600">
        <v>326</v>
      </c>
      <c r="C259" s="506" t="str">
        <f>IF(ISERROR(VLOOKUP(B259,'Base de Datos'!$C$7:$F$4092,2,0))=TRUE,"",(VLOOKUP('Presupuesto - PAA 2018'!B259,'Base de Datos'!$C$7:$F$4092,3,0)))</f>
        <v>150340-0-2015</v>
      </c>
      <c r="D259" s="506" t="str">
        <f>IF(ISERROR(VLOOKUP(B259,'Base de Datos'!$C$7:$F$4092,3,0))=TRUE,"",(VLOOKUP('Presupuesto - PAA 2018'!B259,'Base de Datos'!$C$7:$F$4092,4,0)))</f>
        <v>RICOH COLOMBIA S.A.</v>
      </c>
      <c r="E259" s="603">
        <v>72727824</v>
      </c>
      <c r="F259" s="507" t="s">
        <v>390</v>
      </c>
      <c r="G259" s="587"/>
      <c r="H259" s="587"/>
      <c r="I259" s="587"/>
      <c r="J259" s="509">
        <f>IF(ISERROR(VLOOKUP(B259,'Base de Datos'!$C$7:$N$4092,6,0))=TRUE,"Sin Celebrar",(VLOOKUP(B259,'Base de Datos'!$C$7:$N$4092,7,0)))</f>
        <v>72727824</v>
      </c>
      <c r="K259" s="587"/>
      <c r="L259" s="553" t="str">
        <f t="shared" si="15"/>
        <v xml:space="preserve"> </v>
      </c>
      <c r="M259" s="587"/>
      <c r="N259" s="553" t="str">
        <f t="shared" si="14"/>
        <v xml:space="preserve"> </v>
      </c>
      <c r="O259" s="691" t="str">
        <f>IF(ISERROR(VLOOKUP(B259,'Base de Datos'!$C$7:$K$1048576,7,0))=TRUE," ",(VLOOKUP(B259,'Base de Datos'!$C$7:$K$1048576,8,0)))</f>
        <v>150340-0-2015</v>
      </c>
      <c r="P259" s="524">
        <f>IF(ISERROR(VLOOKUP(B259,'Base de Datos'!$C$7:$N$4077,9,0))=TRUE," ",(VLOOKUP(B259,'Base de Datos'!$C$7:$N$4077,10,0)))</f>
        <v>42236</v>
      </c>
      <c r="Q259" s="587"/>
      <c r="R259" s="524">
        <f>IF(ISERROR(VLOOKUP(B259,'Base de Datos'!$C$7:$N$4077,10,0))=TRUE," ",(VLOOKUP(B259,'Base de Datos'!$C$7:$N$4077,11,0)))</f>
        <v>42244</v>
      </c>
      <c r="S259" s="524">
        <f>IF(ISERROR(VLOOKUP(B259,'Base de Datos'!$C$7:$N$4077,11,0))=TRUE," ",(VLOOKUP(B259,'Base de Datos'!$C$7:$N$4077,12,0)))</f>
        <v>42305</v>
      </c>
      <c r="T259" s="506" t="str">
        <f>VLOOKUP(C259,'Base de Datos'!$E$7:$AU$382,39,0)</f>
        <v>LIQUIDADO</v>
      </c>
      <c r="U259" s="694"/>
      <c r="V259" s="607"/>
    </row>
    <row r="260" spans="2:22" s="588" customFormat="1" outlineLevel="1" x14ac:dyDescent="0.3">
      <c r="B260" s="600">
        <v>365</v>
      </c>
      <c r="C260" s="506" t="str">
        <f>IF(ISERROR(VLOOKUP(B260,'Base de Datos'!$C$7:$F$4092,2,0))=TRUE,"",(VLOOKUP('Presupuesto - PAA 2018'!B260,'Base de Datos'!$C$7:$F$4092,3,0)))</f>
        <v>150397-0-2015</v>
      </c>
      <c r="D260" s="506" t="str">
        <f>IF(ISERROR(VLOOKUP(B260,'Base de Datos'!$C$7:$F$4092,3,0))=TRUE,"",(VLOOKUP('Presupuesto - PAA 2018'!B260,'Base de Datos'!$C$7:$F$4092,4,0)))</f>
        <v>ORACLE COLOMBIA LTDA</v>
      </c>
      <c r="E260" s="603">
        <v>900000000</v>
      </c>
      <c r="F260" s="507" t="s">
        <v>390</v>
      </c>
      <c r="G260" s="587"/>
      <c r="H260" s="587"/>
      <c r="I260" s="587"/>
      <c r="J260" s="509">
        <f>IF(ISERROR(VLOOKUP(B260,'Base de Datos'!$C$7:$N$4092,6,0))=TRUE,"Sin Celebrar",(VLOOKUP(B260,'Base de Datos'!$C$7:$N$4092,7,0)))</f>
        <v>910786703.20000005</v>
      </c>
      <c r="K260" s="587"/>
      <c r="L260" s="553" t="str">
        <f>IF(J260=$AA$1,E260, " ")</f>
        <v xml:space="preserve"> </v>
      </c>
      <c r="M260" s="587"/>
      <c r="N260" s="553" t="str">
        <f>IF(J260&lt;E260,(E260-J260)," ")</f>
        <v xml:space="preserve"> </v>
      </c>
      <c r="O260" s="691" t="str">
        <f>IF(ISERROR(VLOOKUP(B260,'Base de Datos'!$C$7:$K$1048576,7,0))=TRUE," ",(VLOOKUP(B260,'Base de Datos'!$C$7:$K$1048576,8,0)))</f>
        <v>CCE-211-AG-2015</v>
      </c>
      <c r="P260" s="524">
        <f>IF(ISERROR(VLOOKUP(B260,'Base de Datos'!$C$7:$N$4077,9,0))=TRUE," ",(VLOOKUP(B260,'Base de Datos'!$C$7:$N$4077,10,0)))</f>
        <v>42341</v>
      </c>
      <c r="Q260" s="587" t="s">
        <v>382</v>
      </c>
      <c r="R260" s="524">
        <f>IF(ISERROR(VLOOKUP(B260,'Base de Datos'!$C$7:$N$4077,10,0))=TRUE," ",(VLOOKUP(B260,'Base de Datos'!$C$7:$N$4077,11,0)))</f>
        <v>42341</v>
      </c>
      <c r="S260" s="524">
        <f>IF(ISERROR(VLOOKUP(B260,'Base de Datos'!$C$7:$N$4077,11,0))=TRUE," ",(VLOOKUP(B260,'Base de Datos'!$C$7:$N$4077,12,0)))</f>
        <v>42524</v>
      </c>
      <c r="T260" s="506" t="s">
        <v>1991</v>
      </c>
      <c r="U260" s="694"/>
      <c r="V260" s="607"/>
    </row>
    <row r="261" spans="2:22" s="588" customFormat="1" outlineLevel="1" x14ac:dyDescent="0.3">
      <c r="B261" s="600">
        <v>365</v>
      </c>
      <c r="C261" s="506" t="s">
        <v>2373</v>
      </c>
      <c r="D261" s="506" t="s">
        <v>2360</v>
      </c>
      <c r="E261" s="603"/>
      <c r="F261" s="507"/>
      <c r="G261" s="587"/>
      <c r="H261" s="587"/>
      <c r="I261" s="587"/>
      <c r="J261" s="509">
        <v>295840339</v>
      </c>
      <c r="K261" s="587"/>
      <c r="L261" s="553"/>
      <c r="M261" s="587"/>
      <c r="N261" s="553"/>
      <c r="O261" s="691" t="s">
        <v>2361</v>
      </c>
      <c r="P261" s="524">
        <v>42349</v>
      </c>
      <c r="Q261" s="587" t="s">
        <v>382</v>
      </c>
      <c r="R261" s="524"/>
      <c r="S261" s="524"/>
      <c r="T261" s="506"/>
      <c r="U261" s="694"/>
      <c r="V261" s="607"/>
    </row>
    <row r="262" spans="2:22" s="588" customFormat="1" outlineLevel="1" x14ac:dyDescent="0.3">
      <c r="B262" s="600">
        <v>365</v>
      </c>
      <c r="C262" s="506" t="s">
        <v>2371</v>
      </c>
      <c r="D262" s="506" t="s">
        <v>2360</v>
      </c>
      <c r="E262" s="603"/>
      <c r="F262" s="507"/>
      <c r="G262" s="587"/>
      <c r="H262" s="587"/>
      <c r="I262" s="587"/>
      <c r="J262" s="509">
        <v>188315358.83000001</v>
      </c>
      <c r="K262" s="587"/>
      <c r="L262" s="553"/>
      <c r="M262" s="587"/>
      <c r="N262" s="553"/>
      <c r="O262" s="691" t="s">
        <v>2361</v>
      </c>
      <c r="P262" s="524">
        <v>42349</v>
      </c>
      <c r="Q262" s="587" t="s">
        <v>382</v>
      </c>
      <c r="R262" s="524"/>
      <c r="S262" s="524"/>
      <c r="T262" s="506"/>
      <c r="U262" s="694"/>
      <c r="V262" s="607"/>
    </row>
    <row r="263" spans="2:22" s="588" customFormat="1" outlineLevel="1" x14ac:dyDescent="0.3">
      <c r="B263" s="587"/>
      <c r="C263" s="587"/>
      <c r="D263" s="587"/>
      <c r="E263" s="603"/>
      <c r="F263" s="587"/>
      <c r="G263" s="587"/>
      <c r="H263" s="587"/>
      <c r="I263" s="587"/>
      <c r="J263" s="587"/>
      <c r="K263" s="587"/>
      <c r="L263" s="587"/>
      <c r="M263" s="587"/>
      <c r="N263" s="603"/>
      <c r="O263" s="668"/>
      <c r="P263" s="602"/>
      <c r="Q263" s="587"/>
      <c r="R263" s="587"/>
      <c r="S263" s="587"/>
      <c r="T263" s="587"/>
      <c r="U263" s="694"/>
      <c r="V263" s="607"/>
    </row>
    <row r="264" spans="2:22" outlineLevel="1" x14ac:dyDescent="0.3">
      <c r="B264" s="506"/>
      <c r="C264" s="1258" t="s">
        <v>1932</v>
      </c>
      <c r="D264" s="1258"/>
      <c r="E264" s="593">
        <f>+E265</f>
        <v>4174276985</v>
      </c>
      <c r="F264" s="934"/>
      <c r="G264" s="934"/>
      <c r="H264" s="934"/>
      <c r="I264" s="934"/>
      <c r="J264" s="593">
        <f>SUM(J265)</f>
        <v>4174276985</v>
      </c>
      <c r="K264" s="596">
        <f>+J264/E264</f>
        <v>1</v>
      </c>
      <c r="L264" s="593">
        <f>SUM(L265)</f>
        <v>0</v>
      </c>
      <c r="M264" s="934"/>
      <c r="N264" s="593" t="str">
        <f>+N265</f>
        <v xml:space="preserve"> </v>
      </c>
      <c r="O264" s="669"/>
      <c r="P264" s="599"/>
      <c r="Q264" s="934"/>
      <c r="R264" s="934"/>
      <c r="S264" s="934"/>
      <c r="T264" s="934"/>
      <c r="U264" s="694"/>
      <c r="V264" s="607"/>
    </row>
    <row r="265" spans="2:22" ht="22.8" outlineLevel="1" x14ac:dyDescent="0.3">
      <c r="B265" s="510">
        <v>210</v>
      </c>
      <c r="C265" s="506" t="str">
        <f>IF(ISERROR(VLOOKUP(B265,'Base de Datos'!$C$7:$F$4092,2,0))=TRUE,"",(VLOOKUP('Presupuesto - PAA 2018'!B265,'Base de Datos'!$C$7:$F$4092,3,0)))</f>
        <v>150198-0-2015</v>
      </c>
      <c r="D265" s="506" t="str">
        <f>IF(ISERROR(VLOOKUP(B265,'Base de Datos'!$C$7:$F$4092,3,0))=TRUE,"",(VLOOKUP('Presupuesto - PAA 2018'!B265,'Base de Datos'!$C$7:$F$4092,4,0)))</f>
        <v>UNIDAD NACIONAL DE PROTECCIÓN UNP</v>
      </c>
      <c r="E265" s="509">
        <v>4174276985</v>
      </c>
      <c r="F265" s="507" t="str">
        <f>VLOOKUP(B265,'Actualizada - presupuesto'!$D$7:$L$111,9,0)</f>
        <v>SI</v>
      </c>
      <c r="G265" s="506"/>
      <c r="H265" s="506"/>
      <c r="I265" s="506"/>
      <c r="J265" s="509">
        <f>IF(ISERROR(VLOOKUP(B265,'Base de Datos'!$C$7:$N$4092,6,0))=TRUE,"Sin Celebrar",(VLOOKUP(B265,'Base de Datos'!$C$7:$N$4092,7,0)))</f>
        <v>4174276985</v>
      </c>
      <c r="K265" s="509"/>
      <c r="L265" s="509" t="str">
        <f>IF(J265=$AA$1,E265, " ")</f>
        <v xml:space="preserve"> </v>
      </c>
      <c r="M265" s="506"/>
      <c r="N265" s="509" t="str">
        <f>IF(J265&lt;E265,(E265-J265)," ")</f>
        <v xml:space="preserve"> </v>
      </c>
      <c r="O265" s="691" t="str">
        <f>IF(ISERROR(VLOOKUP(B265,'Base de Datos'!$C$7:$K$1048576,7,0))=TRUE," ",(VLOOKUP(B265,'Base de Datos'!$C$7:$K$1048576,8,0)))</f>
        <v>150198-0-2015</v>
      </c>
      <c r="P265" s="524">
        <f>IF(ISERROR(VLOOKUP(B265,'Base de Datos'!$C$7:$N$4077,9,0))=TRUE," ",(VLOOKUP(B265,'Base de Datos'!$C$7:$N$4077,10,0)))</f>
        <v>42117</v>
      </c>
      <c r="Q265" s="506" t="s">
        <v>2092</v>
      </c>
      <c r="R265" s="524">
        <f>IF(ISERROR(VLOOKUP(B265,'Base de Datos'!$C$7:$N$4077,10,0))=TRUE," ",(VLOOKUP(B265,'Base de Datos'!$C$7:$N$4077,11,0)))</f>
        <v>42117</v>
      </c>
      <c r="S265" s="524">
        <f>IF(ISERROR(VLOOKUP(B265,'Base de Datos'!$C$7:$N$4077,11,0))=TRUE," ",(VLOOKUP(B265,'Base de Datos'!$C$7:$N$4077,12,0)))</f>
        <v>42468</v>
      </c>
      <c r="T265" s="506" t="str">
        <f>VLOOKUP(C265,'Base de Datos'!$E$7:$AU$382,39,0)</f>
        <v>LIQUIDADO</v>
      </c>
      <c r="U265" s="694"/>
      <c r="V265" s="607"/>
    </row>
    <row r="266" spans="2:22" outlineLevel="1" x14ac:dyDescent="0.3">
      <c r="B266" s="734"/>
      <c r="C266" s="735"/>
      <c r="D266" s="735"/>
      <c r="E266" s="736"/>
      <c r="F266" s="737"/>
      <c r="G266" s="735"/>
      <c r="H266" s="735"/>
      <c r="I266" s="735"/>
      <c r="J266" s="736"/>
      <c r="K266" s="736"/>
      <c r="L266" s="736"/>
      <c r="M266" s="735"/>
      <c r="N266" s="736"/>
      <c r="O266" s="738"/>
      <c r="P266" s="739"/>
      <c r="Q266" s="735"/>
      <c r="R266" s="739"/>
      <c r="S266" s="739"/>
      <c r="T266" s="735"/>
      <c r="U266" s="694"/>
      <c r="V266" s="607"/>
    </row>
    <row r="267" spans="2:22" outlineLevel="1" x14ac:dyDescent="0.3">
      <c r="B267" s="734"/>
      <c r="C267" s="735"/>
      <c r="D267" s="735"/>
      <c r="E267" s="736"/>
      <c r="F267" s="737"/>
      <c r="G267" s="735"/>
      <c r="H267" s="735"/>
      <c r="I267" s="735"/>
      <c r="J267" s="736"/>
      <c r="K267" s="736"/>
      <c r="L267" s="736"/>
      <c r="M267" s="735"/>
      <c r="N267" s="736"/>
      <c r="O267" s="738"/>
      <c r="P267" s="739"/>
      <c r="Q267" s="735"/>
      <c r="R267" s="739"/>
      <c r="S267" s="739"/>
      <c r="T267" s="735"/>
      <c r="U267" s="694"/>
      <c r="V267" s="607"/>
    </row>
    <row r="268" spans="2:22" outlineLevel="1" x14ac:dyDescent="0.3">
      <c r="B268" s="734"/>
      <c r="C268" s="735"/>
      <c r="D268" s="735"/>
      <c r="E268" s="736"/>
      <c r="F268" s="737"/>
      <c r="G268" s="735"/>
      <c r="H268" s="735"/>
      <c r="I268" s="735"/>
      <c r="J268" s="736"/>
      <c r="K268" s="736"/>
      <c r="L268" s="736"/>
      <c r="M268" s="735"/>
      <c r="N268" s="736"/>
      <c r="O268" s="738"/>
      <c r="P268" s="739"/>
      <c r="Q268" s="735"/>
      <c r="R268" s="739"/>
      <c r="S268" s="739"/>
      <c r="T268" s="735"/>
      <c r="U268" s="694"/>
      <c r="V268" s="607"/>
    </row>
    <row r="269" spans="2:22" x14ac:dyDescent="0.3">
      <c r="R269" s="670"/>
    </row>
    <row r="270" spans="2:22" ht="36" hidden="1" x14ac:dyDescent="0.3">
      <c r="B270" s="1244" t="s">
        <v>2125</v>
      </c>
      <c r="C270" s="1244"/>
      <c r="D270" s="1244"/>
      <c r="E270" s="706"/>
      <c r="F270" s="710" t="str">
        <f>+F271</f>
        <v>Valor total con adiciones</v>
      </c>
      <c r="G270" s="706" t="str">
        <f t="shared" ref="G270:T270" si="16">+G271</f>
        <v>Presupuesto Inicial</v>
      </c>
      <c r="H270" s="706" t="str">
        <f t="shared" si="16"/>
        <v>Presupuesto Modificado</v>
      </c>
      <c r="I270" s="706" t="str">
        <f t="shared" si="16"/>
        <v>Presupuesto Disponible (04-05-15)</v>
      </c>
      <c r="J270" s="711" t="str">
        <f t="shared" si="16"/>
        <v>Valor con Autorización de Giro</v>
      </c>
      <c r="K270" s="707" t="str">
        <f t="shared" si="16"/>
        <v>% EJE</v>
      </c>
      <c r="L270" s="706" t="str">
        <f t="shared" si="16"/>
        <v xml:space="preserve">SALDOS  </v>
      </c>
      <c r="M270" s="708"/>
      <c r="N270" s="706" t="str">
        <f t="shared" si="16"/>
        <v>SALDOS A LIBERAR</v>
      </c>
      <c r="O270" s="706" t="str">
        <f t="shared" si="16"/>
        <v>Estado</v>
      </c>
      <c r="P270" s="706" t="str">
        <f t="shared" si="16"/>
        <v>Observaciones</v>
      </c>
      <c r="Q270" s="706" t="str">
        <f t="shared" si="16"/>
        <v>Plazo de ejecución</v>
      </c>
      <c r="R270" s="706" t="str">
        <f t="shared" si="16"/>
        <v>Fecha de Inicio</v>
      </c>
      <c r="S270" s="706" t="str">
        <f t="shared" si="16"/>
        <v>Fecha de terminación</v>
      </c>
      <c r="T270" s="706" t="str">
        <f t="shared" si="16"/>
        <v>Responsable FC</v>
      </c>
    </row>
    <row r="271" spans="2:22" ht="36" hidden="1" x14ac:dyDescent="0.3">
      <c r="B271" s="1243" t="s">
        <v>1782</v>
      </c>
      <c r="C271" s="1243"/>
      <c r="D271" s="1243"/>
      <c r="E271" s="935" t="s">
        <v>2128</v>
      </c>
      <c r="F271" s="935" t="s">
        <v>2129</v>
      </c>
      <c r="G271" s="935" t="s">
        <v>1896</v>
      </c>
      <c r="H271" s="935" t="s">
        <v>1897</v>
      </c>
      <c r="I271" s="935" t="s">
        <v>1839</v>
      </c>
      <c r="J271" s="935" t="s">
        <v>2130</v>
      </c>
      <c r="K271" s="688" t="s">
        <v>1899</v>
      </c>
      <c r="L271" s="935" t="s">
        <v>2134</v>
      </c>
      <c r="M271" s="935" t="s">
        <v>1901</v>
      </c>
      <c r="N271" s="935" t="s">
        <v>1903</v>
      </c>
      <c r="O271" s="689" t="s">
        <v>2133</v>
      </c>
      <c r="P271" s="690" t="s">
        <v>1817</v>
      </c>
      <c r="Q271" s="935" t="s">
        <v>1847</v>
      </c>
      <c r="R271" s="935" t="s">
        <v>1848</v>
      </c>
      <c r="S271" s="935" t="s">
        <v>375</v>
      </c>
      <c r="T271" s="935" t="s">
        <v>1849</v>
      </c>
    </row>
    <row r="272" spans="2:22" ht="12" hidden="1" x14ac:dyDescent="0.3">
      <c r="B272" s="1241" t="s">
        <v>1685</v>
      </c>
      <c r="C272" s="1241"/>
      <c r="D272" s="1241"/>
      <c r="E272" s="514">
        <f>+E273+E383</f>
        <v>16001697633</v>
      </c>
      <c r="F272" s="514" t="e">
        <f>+F273+F383</f>
        <v>#VALUE!</v>
      </c>
      <c r="G272" s="514"/>
      <c r="H272" s="514"/>
      <c r="I272" s="514">
        <f>+I273+I496</f>
        <v>730500000</v>
      </c>
      <c r="J272" s="514" t="e">
        <f>+J273+J383</f>
        <v>#VALUE!</v>
      </c>
      <c r="K272" s="619" t="e">
        <f>+J272/E272</f>
        <v>#VALUE!</v>
      </c>
      <c r="L272" s="514">
        <f>+L273+L383</f>
        <v>65689090</v>
      </c>
      <c r="M272" s="514">
        <f>+M273+M521</f>
        <v>239389927</v>
      </c>
      <c r="N272" s="514">
        <f>+N273+N383</f>
        <v>0</v>
      </c>
      <c r="O272" s="647"/>
      <c r="P272" s="624"/>
      <c r="Q272" s="544"/>
      <c r="R272" s="544"/>
      <c r="S272" s="544"/>
      <c r="T272" s="544"/>
    </row>
    <row r="273" spans="2:20" ht="12" hidden="1" x14ac:dyDescent="0.3">
      <c r="B273" s="1241" t="s">
        <v>1683</v>
      </c>
      <c r="C273" s="1241"/>
      <c r="D273" s="1241"/>
      <c r="E273" s="514">
        <f>+E274+E289</f>
        <v>12961700936</v>
      </c>
      <c r="F273" s="514" t="e">
        <f>+F274+F289</f>
        <v>#VALUE!</v>
      </c>
      <c r="G273" s="514">
        <f>+G274+G332</f>
        <v>858500000</v>
      </c>
      <c r="H273" s="514">
        <f>+H274+H332</f>
        <v>128000000</v>
      </c>
      <c r="I273" s="514">
        <f>+I274+I332</f>
        <v>730500000</v>
      </c>
      <c r="J273" s="514" t="e">
        <f>+J274+J289</f>
        <v>#VALUE!</v>
      </c>
      <c r="K273" s="619" t="e">
        <f>+J273/E273</f>
        <v>#VALUE!</v>
      </c>
      <c r="L273" s="514">
        <f>+L274+L289</f>
        <v>65350825</v>
      </c>
      <c r="M273" s="514">
        <f>+M274+M325</f>
        <v>239389927</v>
      </c>
      <c r="N273" s="514">
        <f>+N274+N289</f>
        <v>0</v>
      </c>
      <c r="O273" s="647"/>
      <c r="P273" s="545"/>
      <c r="Q273" s="544"/>
      <c r="R273" s="544"/>
      <c r="S273" s="544"/>
      <c r="T273" s="544"/>
    </row>
    <row r="274" spans="2:20" ht="12" hidden="1" x14ac:dyDescent="0.3">
      <c r="B274" s="1240" t="s">
        <v>1682</v>
      </c>
      <c r="C274" s="1240"/>
      <c r="D274" s="1240"/>
      <c r="E274" s="512">
        <f>+E275</f>
        <v>256100000</v>
      </c>
      <c r="F274" s="604" t="e">
        <f>+F275</f>
        <v>#VALUE!</v>
      </c>
      <c r="G274" s="512">
        <f t="shared" ref="G274:I275" si="17">+G275</f>
        <v>858500000</v>
      </c>
      <c r="H274" s="512">
        <f t="shared" si="17"/>
        <v>128000000</v>
      </c>
      <c r="I274" s="512">
        <f t="shared" si="17"/>
        <v>730500000</v>
      </c>
      <c r="J274" s="512" t="e">
        <f>+J275</f>
        <v>#VALUE!</v>
      </c>
      <c r="K274" s="575" t="e">
        <f>+J274/E274</f>
        <v>#VALUE!</v>
      </c>
      <c r="L274" s="512">
        <f t="shared" ref="L274:N275" si="18">+L275</f>
        <v>252081</v>
      </c>
      <c r="M274" s="512">
        <f t="shared" si="18"/>
        <v>239389927</v>
      </c>
      <c r="N274" s="512">
        <f t="shared" si="18"/>
        <v>0</v>
      </c>
      <c r="O274" s="648"/>
      <c r="P274" s="543"/>
      <c r="Q274" s="542"/>
      <c r="R274" s="542"/>
      <c r="S274" s="542"/>
      <c r="T274" s="542"/>
    </row>
    <row r="275" spans="2:20" ht="12" hidden="1" x14ac:dyDescent="0.3">
      <c r="B275" s="1240" t="s">
        <v>1681</v>
      </c>
      <c r="C275" s="1240"/>
      <c r="D275" s="1240"/>
      <c r="E275" s="512">
        <f>+E276+E285</f>
        <v>256100000</v>
      </c>
      <c r="F275" s="512" t="e">
        <f>+F276+F285</f>
        <v>#VALUE!</v>
      </c>
      <c r="G275" s="512">
        <f t="shared" si="17"/>
        <v>858500000</v>
      </c>
      <c r="H275" s="512">
        <f t="shared" si="17"/>
        <v>128000000</v>
      </c>
      <c r="I275" s="512">
        <f t="shared" si="17"/>
        <v>730500000</v>
      </c>
      <c r="J275" s="512" t="e">
        <f>+J276+J285</f>
        <v>#VALUE!</v>
      </c>
      <c r="K275" s="575" t="e">
        <f>+J275/E275</f>
        <v>#VALUE!</v>
      </c>
      <c r="L275" s="512">
        <f>+L276+L285</f>
        <v>252081</v>
      </c>
      <c r="M275" s="512">
        <f t="shared" si="18"/>
        <v>239389927</v>
      </c>
      <c r="N275" s="512">
        <f>+N276+N285</f>
        <v>0</v>
      </c>
      <c r="O275" s="648"/>
      <c r="P275" s="543"/>
      <c r="Q275" s="542"/>
      <c r="R275" s="542"/>
      <c r="S275" s="542"/>
      <c r="T275" s="542"/>
    </row>
    <row r="276" spans="2:20" ht="12" hidden="1" x14ac:dyDescent="0.3">
      <c r="B276" s="1240" t="s">
        <v>1680</v>
      </c>
      <c r="C276" s="1240"/>
      <c r="D276" s="1240"/>
      <c r="E276" s="512">
        <f>+E277</f>
        <v>239600000</v>
      </c>
      <c r="F276" s="604">
        <f>+F277</f>
        <v>0</v>
      </c>
      <c r="G276" s="512">
        <f>+G277+G325+G328</f>
        <v>858500000</v>
      </c>
      <c r="H276" s="512">
        <f>+H277+H325+H328</f>
        <v>128000000</v>
      </c>
      <c r="I276" s="512">
        <f>+I277+I325+I328</f>
        <v>730500000</v>
      </c>
      <c r="J276" s="512">
        <f>+J277</f>
        <v>0</v>
      </c>
      <c r="K276" s="575">
        <f>+J276/E276</f>
        <v>0</v>
      </c>
      <c r="L276" s="512">
        <f>+L277</f>
        <v>210073</v>
      </c>
      <c r="M276" s="512">
        <f>+M277+M305+M309</f>
        <v>239389927</v>
      </c>
      <c r="N276" s="512">
        <f>+N277</f>
        <v>0</v>
      </c>
      <c r="O276" s="648"/>
      <c r="P276" s="543"/>
      <c r="Q276" s="542"/>
      <c r="R276" s="542"/>
      <c r="S276" s="542"/>
      <c r="T276" s="542"/>
    </row>
    <row r="277" spans="2:20" ht="12" hidden="1" x14ac:dyDescent="0.3">
      <c r="B277" s="1239" t="s">
        <v>1642</v>
      </c>
      <c r="C277" s="1239"/>
      <c r="D277" s="1239"/>
      <c r="E277" s="557">
        <f>SUM(E279:E283)</f>
        <v>239600000</v>
      </c>
      <c r="F277" s="557">
        <f>SUM(F279:F283)</f>
        <v>0</v>
      </c>
      <c r="G277" s="554">
        <v>858500000</v>
      </c>
      <c r="H277" s="555">
        <v>128000000</v>
      </c>
      <c r="I277" s="554">
        <f>+G277-H277</f>
        <v>730500000</v>
      </c>
      <c r="J277" s="557">
        <f>SUM(J279:J283)</f>
        <v>0</v>
      </c>
      <c r="K277" s="576" t="e">
        <f>+J277/F277</f>
        <v>#DIV/0!</v>
      </c>
      <c r="L277" s="557">
        <f>SUM(L279:L283)</f>
        <v>210073</v>
      </c>
      <c r="M277" s="558">
        <f>+E277-(J277+L277)</f>
        <v>239389927</v>
      </c>
      <c r="N277" s="557">
        <f>SUM(N279:N283)</f>
        <v>0</v>
      </c>
      <c r="O277" s="649"/>
      <c r="P277" s="557"/>
      <c r="Q277" s="565"/>
      <c r="R277" s="565"/>
      <c r="S277" s="565"/>
      <c r="T277" s="565"/>
    </row>
    <row r="278" spans="2:20" ht="22.8" hidden="1" x14ac:dyDescent="0.3">
      <c r="B278" s="510" t="s">
        <v>2127</v>
      </c>
      <c r="C278" s="510" t="s">
        <v>912</v>
      </c>
      <c r="D278" s="510" t="s">
        <v>1821</v>
      </c>
      <c r="E278" s="518" t="s">
        <v>1844</v>
      </c>
      <c r="F278" s="507" t="s">
        <v>2129</v>
      </c>
      <c r="G278" s="507"/>
      <c r="H278" s="507"/>
      <c r="I278" s="507"/>
      <c r="J278" s="510" t="s">
        <v>2130</v>
      </c>
      <c r="K278" s="625"/>
      <c r="L278" s="510" t="s">
        <v>1939</v>
      </c>
      <c r="M278" s="510"/>
      <c r="N278" s="510" t="s">
        <v>2136</v>
      </c>
      <c r="O278" s="650" t="s">
        <v>2133</v>
      </c>
      <c r="P278" s="541" t="s">
        <v>1817</v>
      </c>
      <c r="Q278" s="510" t="s">
        <v>1847</v>
      </c>
      <c r="R278" s="510" t="s">
        <v>1848</v>
      </c>
      <c r="S278" s="510" t="s">
        <v>375</v>
      </c>
      <c r="T278" s="510" t="s">
        <v>1849</v>
      </c>
    </row>
    <row r="279" spans="2:20" ht="22.5" hidden="1" customHeight="1" x14ac:dyDescent="0.3">
      <c r="B279" s="506"/>
      <c r="C279" s="506" t="s">
        <v>256</v>
      </c>
      <c r="D279" s="506" t="str">
        <f>VLOOKUP(C279,'Base de Datos'!$E$7:$AU$390,2,0)</f>
        <v>MATILDE NIETO CONTRERAS (Cesionaria) / antes ELIS ALEXANDER MORENO SALAMANCA</v>
      </c>
      <c r="E279" s="509">
        <f>VLOOKUP(C279,'Base de Datos'!$E$7:$AU$390,5,0)</f>
        <v>51500000</v>
      </c>
      <c r="F279" s="509" t="str">
        <f>VLOOKUP(C279,'Base de Datos'!$E$7:$AU$390,17,0)</f>
        <v/>
      </c>
      <c r="G279" s="509" t="e">
        <f>VLOOKUP(D279,'Base de Datos'!$E$7:$AU$390,17,0)</f>
        <v>#N/A</v>
      </c>
      <c r="H279" s="509" t="e">
        <f>VLOOKUP(E279,'Base de Datos'!$E$7:$AU$390,17,0)</f>
        <v>#N/A</v>
      </c>
      <c r="I279" s="509" t="e">
        <f>VLOOKUP(F279,'Base de Datos'!$E$7:$AU$390,17,0)</f>
        <v>#N/A</v>
      </c>
      <c r="J279" s="509" t="str">
        <f>VLOOKUP(C279,'Base de Datos'!$E$7:$AU$390,18,0)</f>
        <v/>
      </c>
      <c r="K279" s="573"/>
      <c r="L279" s="509">
        <f>VLOOKUP(C279,'Base de Datos'!$E$7:$AU$390,19,0)</f>
        <v>42041</v>
      </c>
      <c r="M279" s="506"/>
      <c r="N279" s="509" t="str">
        <f>IF(OR(O279=Hoja1!$D$17,'Presupuesto - PAA 2018'!O279=Hoja1!$D$18),'Presupuesto - PAA 2018'!L279," ")</f>
        <v xml:space="preserve"> </v>
      </c>
      <c r="O279" s="651" t="str">
        <f>VLOOKUP(C279,'Base de Datos'!$E$7:$AU$390,33,0)</f>
        <v>Dirección Financiera</v>
      </c>
      <c r="P279" s="709"/>
      <c r="Q279" s="506"/>
      <c r="R279" s="715">
        <f>VLOOKUP(C279,'Base de Datos'!$E$7:$AU$390,9,0)</f>
        <v>41677</v>
      </c>
      <c r="S279" s="715">
        <f>VLOOKUP(C279,'Base de Datos'!$E$7:$AU$390,16,0)</f>
        <v>42041</v>
      </c>
      <c r="T279" s="651">
        <f>VLOOKUP(C279,'Base de Datos'!$E$7:$AU$390,40,0)</f>
        <v>0</v>
      </c>
    </row>
    <row r="280" spans="2:20" ht="22.8" hidden="1" x14ac:dyDescent="0.3">
      <c r="B280" s="506"/>
      <c r="C280" s="506" t="s">
        <v>247</v>
      </c>
      <c r="D280" s="506" t="str">
        <f>VLOOKUP(C280,'Base de Datos'!$E$7:$AU$390,2,0)</f>
        <v>LORENZA SANTOS BARBOSA (Cesionaria) - Antes VICTOR MANUEL ARMELLA VELASQUEZ</v>
      </c>
      <c r="E280" s="509">
        <f>VLOOKUP(C280,'Base de Datos'!$E$7:$AU$390,5,0)</f>
        <v>55000000</v>
      </c>
      <c r="F280" s="509" t="str">
        <f>VLOOKUP(C280,'Base de Datos'!$E$7:$AU$390,17,0)</f>
        <v/>
      </c>
      <c r="G280" s="506"/>
      <c r="H280" s="506"/>
      <c r="I280" s="506"/>
      <c r="J280" s="509" t="str">
        <f>VLOOKUP(C280,'Base de Datos'!$E$7:$AU$390,18,0)</f>
        <v/>
      </c>
      <c r="K280" s="573"/>
      <c r="L280" s="509">
        <f>VLOOKUP(C280,'Base de Datos'!$E$7:$AU$390,19,0)</f>
        <v>42008</v>
      </c>
      <c r="M280" s="506"/>
      <c r="N280" s="509" t="str">
        <f>IF(OR(O280=Hoja1!$D$17,'Presupuesto - PAA 2018'!O280=Hoja1!$D$18),'Presupuesto - PAA 2018'!L280," ")</f>
        <v xml:space="preserve"> </v>
      </c>
      <c r="O280" s="723" t="str">
        <f>VLOOKUP(C280,'Base de Datos'!$E$7:$AU$390,33,0)</f>
        <v>Dirección Financiera</v>
      </c>
      <c r="P280" s="709" t="s">
        <v>2135</v>
      </c>
      <c r="Q280" s="506"/>
      <c r="R280" s="715">
        <f>VLOOKUP(C280,'Base de Datos'!$E$7:$AU$390,9,0)</f>
        <v>41675</v>
      </c>
      <c r="S280" s="715" t="str">
        <f>VLOOKUP(C280,'Base de Datos'!$E$7:$AU$390,16,0)</f>
        <v/>
      </c>
      <c r="T280" s="651">
        <f>VLOOKUP(C280,'Base de Datos'!$E$7:$AU$390,40,0)</f>
        <v>0</v>
      </c>
    </row>
    <row r="281" spans="2:20" hidden="1" x14ac:dyDescent="0.3">
      <c r="B281" s="506"/>
      <c r="C281" s="506" t="s">
        <v>249</v>
      </c>
      <c r="D281" s="506" t="str">
        <f>VLOOKUP(C281,'Base de Datos'!$E$7:$AU$390,2,0)</f>
        <v>NORMA CONSTANZA MEZA GÓMEZ</v>
      </c>
      <c r="E281" s="509">
        <f>VLOOKUP(C281,'Base de Datos'!$E$7:$AU$390,5,0)</f>
        <v>38500000</v>
      </c>
      <c r="F281" s="509" t="str">
        <f>VLOOKUP(C281,'Base de Datos'!$E$7:$AU$390,17,0)</f>
        <v/>
      </c>
      <c r="G281" s="506"/>
      <c r="H281" s="506"/>
      <c r="I281" s="506"/>
      <c r="J281" s="509" t="str">
        <f>VLOOKUP(C281,'Base de Datos'!$E$7:$AU$390,18,0)</f>
        <v/>
      </c>
      <c r="K281" s="573"/>
      <c r="L281" s="509">
        <f>VLOOKUP(C281,'Base de Datos'!$E$7:$AU$390,19,0)</f>
        <v>42008</v>
      </c>
      <c r="M281" s="506"/>
      <c r="N281" s="509" t="str">
        <f>IF(OR(O281=Hoja1!$D$17,'Presupuesto - PAA 2018'!O281=Hoja1!$D$18),'Presupuesto - PAA 2018'!L281," ")</f>
        <v xml:space="preserve"> </v>
      </c>
      <c r="O281" s="651" t="str">
        <f>VLOOKUP(C281,'Base de Datos'!$E$7:$AU$390,33,0)</f>
        <v>Dirección Financiera</v>
      </c>
      <c r="P281" s="709"/>
      <c r="Q281" s="506"/>
      <c r="R281" s="715">
        <f>VLOOKUP(C281,'Base de Datos'!$E$7:$AU$390,9,0)</f>
        <v>41675</v>
      </c>
      <c r="S281" s="715" t="str">
        <f>VLOOKUP(C281,'Base de Datos'!$E$7:$AU$390,16,0)</f>
        <v/>
      </c>
      <c r="T281" s="651">
        <f>VLOOKUP(C281,'Base de Datos'!$E$7:$AU$390,40,0)</f>
        <v>0</v>
      </c>
    </row>
    <row r="282" spans="2:20" hidden="1" x14ac:dyDescent="0.3">
      <c r="B282" s="506"/>
      <c r="C282" s="506" t="s">
        <v>245</v>
      </c>
      <c r="D282" s="506" t="str">
        <f>VLOOKUP(C282,'Base de Datos'!$E$7:$AU$390,2,0)</f>
        <v>FERNANDO SOTOMONTE AMAYA</v>
      </c>
      <c r="E282" s="509">
        <f>VLOOKUP(C282,'Base de Datos'!$E$7:$AU$390,5,0)</f>
        <v>55000000</v>
      </c>
      <c r="F282" s="509" t="str">
        <f>VLOOKUP(C282,'Base de Datos'!$E$7:$AU$390,17,0)</f>
        <v/>
      </c>
      <c r="G282" s="506"/>
      <c r="H282" s="506"/>
      <c r="I282" s="506"/>
      <c r="J282" s="509" t="str">
        <f>VLOOKUP(C282,'Base de Datos'!$E$7:$AU$390,18,0)</f>
        <v/>
      </c>
      <c r="K282" s="573"/>
      <c r="L282" s="509">
        <f>VLOOKUP(C282,'Base de Datos'!$E$7:$AU$390,19,0)</f>
        <v>42008</v>
      </c>
      <c r="M282" s="506"/>
      <c r="N282" s="509" t="str">
        <f>IF(OR(O282=Hoja1!$D$17,'Presupuesto - PAA 2018'!O282=Hoja1!$D$18),'Presupuesto - PAA 2018'!L282," ")</f>
        <v xml:space="preserve"> </v>
      </c>
      <c r="O282" s="651" t="str">
        <f>VLOOKUP(C282,'Base de Datos'!$E$7:$AU$390,33,0)</f>
        <v>Dirección Financiera</v>
      </c>
      <c r="P282" s="709"/>
      <c r="Q282" s="506"/>
      <c r="R282" s="715">
        <f>VLOOKUP(C282,'Base de Datos'!$E$7:$AU$390,9,0)</f>
        <v>41675</v>
      </c>
      <c r="S282" s="715" t="str">
        <f>VLOOKUP(C282,'Base de Datos'!$E$7:$AU$390,16,0)</f>
        <v/>
      </c>
      <c r="T282" s="651">
        <f>VLOOKUP(C282,'Base de Datos'!$E$7:$AU$390,40,0)</f>
        <v>0</v>
      </c>
    </row>
    <row r="283" spans="2:20" hidden="1" x14ac:dyDescent="0.3">
      <c r="B283" s="506"/>
      <c r="C283" s="506" t="s">
        <v>253</v>
      </c>
      <c r="D283" s="506" t="str">
        <f>VLOOKUP(C283,'Base de Datos'!$E$7:$AU$390,2,0)</f>
        <v>EDELMIRA ATARA GIL</v>
      </c>
      <c r="E283" s="509">
        <f>VLOOKUP(C283,'Base de Datos'!$E$7:$AU$390,5,0)</f>
        <v>39600000</v>
      </c>
      <c r="F283" s="509" t="str">
        <f>VLOOKUP(C283,'Base de Datos'!$E$7:$AU$390,17,0)</f>
        <v/>
      </c>
      <c r="G283" s="506"/>
      <c r="H283" s="506"/>
      <c r="I283" s="506"/>
      <c r="J283" s="509" t="str">
        <f>VLOOKUP(C283,'Base de Datos'!$E$7:$AU$390,18,0)</f>
        <v/>
      </c>
      <c r="K283" s="573"/>
      <c r="L283" s="509">
        <f>VLOOKUP(C283,'Base de Datos'!$E$7:$AU$390,19,0)</f>
        <v>42008</v>
      </c>
      <c r="M283" s="506"/>
      <c r="N283" s="509" t="str">
        <f>IF(OR(O283=Hoja1!$D$17,'Presupuesto - PAA 2018'!O283=Hoja1!$D$18),'Presupuesto - PAA 2018'!L283," ")</f>
        <v xml:space="preserve"> </v>
      </c>
      <c r="O283" s="651">
        <f>VLOOKUP(C283,'Base de Datos'!$E$7:$AU$390,33,0)</f>
        <v>0</v>
      </c>
      <c r="P283" s="709"/>
      <c r="Q283" s="506"/>
      <c r="R283" s="715">
        <f>VLOOKUP(C283,'Base de Datos'!$E$7:$AU$390,9,0)</f>
        <v>41675</v>
      </c>
      <c r="S283" s="715" t="str">
        <f>VLOOKUP(C283,'Base de Datos'!$E$7:$AU$390,16,0)</f>
        <v/>
      </c>
      <c r="T283" s="651">
        <f>VLOOKUP(C283,'Base de Datos'!$E$7:$AU$390,40,0)</f>
        <v>0</v>
      </c>
    </row>
    <row r="284" spans="2:20" hidden="1" x14ac:dyDescent="0.3">
      <c r="B284" s="506"/>
      <c r="C284" s="506"/>
      <c r="D284" s="506"/>
      <c r="E284" s="506"/>
      <c r="F284" s="506"/>
      <c r="G284" s="506"/>
      <c r="H284" s="506"/>
      <c r="I284" s="506"/>
      <c r="J284" s="506"/>
      <c r="K284" s="573"/>
      <c r="L284" s="506"/>
      <c r="M284" s="506"/>
      <c r="N284" s="506"/>
      <c r="O284" s="664"/>
      <c r="P284" s="709"/>
      <c r="Q284" s="506"/>
      <c r="R284" s="716"/>
      <c r="S284" s="716"/>
      <c r="T284" s="506"/>
    </row>
    <row r="285" spans="2:20" ht="12" hidden="1" x14ac:dyDescent="0.3">
      <c r="B285" s="1239" t="s">
        <v>1644</v>
      </c>
      <c r="C285" s="1239"/>
      <c r="D285" s="1239"/>
      <c r="E285" s="554">
        <f>+E287</f>
        <v>16500000</v>
      </c>
      <c r="F285" s="554" t="str">
        <f>+F287</f>
        <v/>
      </c>
      <c r="G285" s="559"/>
      <c r="H285" s="559"/>
      <c r="I285" s="559"/>
      <c r="J285" s="554" t="str">
        <f>+J287</f>
        <v/>
      </c>
      <c r="K285" s="576" t="e">
        <f>+J285/F285</f>
        <v>#VALUE!</v>
      </c>
      <c r="L285" s="554">
        <f>+L287</f>
        <v>42008</v>
      </c>
      <c r="M285" s="605">
        <v>0</v>
      </c>
      <c r="N285" s="554">
        <f>SUM(N287)</f>
        <v>0</v>
      </c>
      <c r="O285" s="657"/>
      <c r="P285" s="564" t="str">
        <f>IF(ISERROR(VLOOKUP(B285,'Base de Datos'!$C$7:$N$315,8,0))=TRUE," ",(VLOOKUP(B285,'Base de Datos'!$C$7:$N$315,8,0)))</f>
        <v xml:space="preserve"> </v>
      </c>
      <c r="Q285" s="565"/>
      <c r="R285" s="717" t="str">
        <f>IF(ISERROR(VLOOKUP(B285,'Base de Datos'!$C$7:$N$315,9,0))=TRUE," ",(VLOOKUP(B285,'Base de Datos'!$C$7:$N$315,9,0)))</f>
        <v xml:space="preserve"> </v>
      </c>
      <c r="S285" s="717" t="str">
        <f>IF(ISERROR(VLOOKUP(B285,'Base de Datos'!$C$7:$N$315,10,0))=TRUE," ",(VLOOKUP(B285,'Base de Datos'!$C$7:$N$315,10,0)))</f>
        <v xml:space="preserve"> </v>
      </c>
      <c r="T285" s="565"/>
    </row>
    <row r="286" spans="2:20" ht="22.8" hidden="1" x14ac:dyDescent="0.3">
      <c r="B286" s="510" t="s">
        <v>2127</v>
      </c>
      <c r="C286" s="510" t="s">
        <v>912</v>
      </c>
      <c r="D286" s="510" t="s">
        <v>1821</v>
      </c>
      <c r="E286" s="518" t="s">
        <v>1844</v>
      </c>
      <c r="F286" s="507" t="s">
        <v>2129</v>
      </c>
      <c r="G286" s="507"/>
      <c r="H286" s="507"/>
      <c r="I286" s="507"/>
      <c r="J286" s="510" t="s">
        <v>2130</v>
      </c>
      <c r="K286" s="625"/>
      <c r="L286" s="510" t="s">
        <v>1939</v>
      </c>
      <c r="M286" s="510"/>
      <c r="N286" s="510" t="s">
        <v>2136</v>
      </c>
      <c r="O286" s="650" t="s">
        <v>2133</v>
      </c>
      <c r="P286" s="541" t="s">
        <v>1817</v>
      </c>
      <c r="Q286" s="510" t="s">
        <v>1847</v>
      </c>
      <c r="R286" s="718" t="s">
        <v>1848</v>
      </c>
      <c r="S286" s="718" t="s">
        <v>375</v>
      </c>
      <c r="T286" s="510" t="s">
        <v>1849</v>
      </c>
    </row>
    <row r="287" spans="2:20" hidden="1" x14ac:dyDescent="0.3">
      <c r="B287" s="506"/>
      <c r="C287" s="506" t="s">
        <v>250</v>
      </c>
      <c r="D287" s="506" t="str">
        <f>VLOOKUP(C287,'Base de Datos'!$E$7:$AU$390,2,0)</f>
        <v>JORGE LUIS TRUJILLO VERA</v>
      </c>
      <c r="E287" s="509">
        <f>VLOOKUP(C287,'Base de Datos'!$E$7:$AU$390,5,0)</f>
        <v>16500000</v>
      </c>
      <c r="F287" s="509" t="str">
        <f>VLOOKUP(C287,'Base de Datos'!$E$7:$AU$390,17,0)</f>
        <v/>
      </c>
      <c r="G287" s="506"/>
      <c r="H287" s="506"/>
      <c r="I287" s="506"/>
      <c r="J287" s="509" t="str">
        <f>VLOOKUP(C287,'Base de Datos'!$E$7:$AU$390,18,0)</f>
        <v/>
      </c>
      <c r="K287" s="573"/>
      <c r="L287" s="509">
        <f>VLOOKUP(C287,'Base de Datos'!$E$7:$AU$390,19,0)</f>
        <v>42008</v>
      </c>
      <c r="M287" s="506"/>
      <c r="N287" s="509" t="str">
        <f>IF(OR(O287=Hoja1!$D$17,'Presupuesto - PAA 2018'!O287=Hoja1!$D$18),'Presupuesto - PAA 2018'!L287," ")</f>
        <v xml:space="preserve"> </v>
      </c>
      <c r="O287" s="651" t="str">
        <f>VLOOKUP(C287,'Base de Datos'!$E$7:$AU$390,33,0)</f>
        <v>Dirección Financiera</v>
      </c>
      <c r="P287" s="709"/>
      <c r="Q287" s="506"/>
      <c r="R287" s="715">
        <f>VLOOKUP(C287,'Base de Datos'!$E$7:$AU$390,9,0)</f>
        <v>41675</v>
      </c>
      <c r="S287" s="715" t="str">
        <f>VLOOKUP(C287,'Base de Datos'!$E$7:$AU$390,16,0)</f>
        <v/>
      </c>
      <c r="T287" s="651">
        <f>VLOOKUP(C287,'Base de Datos'!$E$7:$AU$390,40,0)</f>
        <v>0</v>
      </c>
    </row>
    <row r="288" spans="2:20" hidden="1" x14ac:dyDescent="0.3">
      <c r="B288" s="506"/>
      <c r="C288" s="506"/>
      <c r="D288" s="506"/>
      <c r="E288" s="506"/>
      <c r="F288" s="506"/>
      <c r="G288" s="506"/>
      <c r="H288" s="506"/>
      <c r="I288" s="506"/>
      <c r="J288" s="506"/>
      <c r="K288" s="573"/>
      <c r="L288" s="506"/>
      <c r="M288" s="506"/>
      <c r="N288" s="506"/>
      <c r="O288" s="664"/>
      <c r="P288" s="709"/>
      <c r="Q288" s="506"/>
      <c r="R288" s="716"/>
      <c r="S288" s="716"/>
      <c r="T288" s="506"/>
    </row>
    <row r="289" spans="2:22" ht="15" hidden="1" customHeight="1" x14ac:dyDescent="0.3">
      <c r="B289" s="1240" t="s">
        <v>1792</v>
      </c>
      <c r="C289" s="1240"/>
      <c r="D289" s="1240"/>
      <c r="E289" s="512">
        <f>+E290+E312+E378</f>
        <v>12705600936</v>
      </c>
      <c r="F289" s="512" t="e">
        <f>+F290+F312+F378</f>
        <v>#VALUE!</v>
      </c>
      <c r="G289" s="513"/>
      <c r="H289" s="513"/>
      <c r="I289" s="513"/>
      <c r="J289" s="512" t="e">
        <f>+J290+J312+J378</f>
        <v>#VALUE!</v>
      </c>
      <c r="K289" s="583" t="e">
        <f>+J289/F289</f>
        <v>#VALUE!</v>
      </c>
      <c r="L289" s="512">
        <f>+L290+L312+L378</f>
        <v>65098744</v>
      </c>
      <c r="M289" s="516">
        <f>M290+M334+M461</f>
        <v>235435779</v>
      </c>
      <c r="N289" s="512">
        <f>+N290+N312+N378</f>
        <v>0</v>
      </c>
      <c r="O289" s="662"/>
      <c r="P289" s="516"/>
      <c r="Q289" s="542"/>
      <c r="R289" s="719" t="str">
        <f>IF(ISERROR(VLOOKUP(B289,'Base de Datos'!$C$7:$N$315,9,0))=TRUE," ",(VLOOKUP(B289,'Base de Datos'!$C$7:$N$315,9,0)))</f>
        <v xml:space="preserve"> </v>
      </c>
      <c r="S289" s="719" t="str">
        <f>IF(ISERROR(VLOOKUP(B289,'Base de Datos'!$C$7:$N$315,10,0))=TRUE," ",(VLOOKUP(B289,'Base de Datos'!$C$7:$N$315,10,0)))</f>
        <v xml:space="preserve"> </v>
      </c>
      <c r="T289" s="542"/>
      <c r="U289" s="694"/>
      <c r="V289" s="607"/>
    </row>
    <row r="290" spans="2:22" ht="15" hidden="1" customHeight="1" x14ac:dyDescent="0.3">
      <c r="B290" s="1240" t="s">
        <v>1646</v>
      </c>
      <c r="C290" s="1240"/>
      <c r="D290" s="1240"/>
      <c r="E290" s="512">
        <f>+E291+E300+E307</f>
        <v>1397807908</v>
      </c>
      <c r="F290" s="512">
        <f>+F291+F300+F307</f>
        <v>0</v>
      </c>
      <c r="G290" s="513"/>
      <c r="H290" s="513"/>
      <c r="I290" s="513"/>
      <c r="J290" s="512">
        <f>+J291+J300+J307</f>
        <v>0</v>
      </c>
      <c r="K290" s="604"/>
      <c r="L290" s="512">
        <f>+L291+L300+L307</f>
        <v>44311050</v>
      </c>
      <c r="M290" s="604">
        <f>+M291+M319+M326</f>
        <v>235435779</v>
      </c>
      <c r="N290" s="512">
        <f>+N291+N300+N307</f>
        <v>0</v>
      </c>
      <c r="O290" s="659"/>
      <c r="P290" s="548" t="str">
        <f>IF(ISERROR(VLOOKUP(B290,'Base de Datos'!$C$7:$N$315,8,0))=TRUE," ",(VLOOKUP(B290,'Base de Datos'!$C$7:$N$315,8,0)))</f>
        <v xml:space="preserve"> </v>
      </c>
      <c r="Q290" s="542"/>
      <c r="R290" s="719" t="str">
        <f>IF(ISERROR(VLOOKUP(B290,'Base de Datos'!$C$7:$N$315,9,0))=TRUE," ",(VLOOKUP(B290,'Base de Datos'!$C$7:$N$315,9,0)))</f>
        <v xml:space="preserve"> </v>
      </c>
      <c r="S290" s="719" t="str">
        <f>IF(ISERROR(VLOOKUP(B290,'Base de Datos'!$C$7:$N$315,10,0))=TRUE," ",(VLOOKUP(B290,'Base de Datos'!$C$7:$N$315,10,0)))</f>
        <v xml:space="preserve"> </v>
      </c>
      <c r="T290" s="542"/>
      <c r="U290" s="694"/>
      <c r="V290" s="607"/>
    </row>
    <row r="291" spans="2:22" ht="12" hidden="1" x14ac:dyDescent="0.3">
      <c r="B291" s="1239" t="s">
        <v>1647</v>
      </c>
      <c r="C291" s="1239"/>
      <c r="D291" s="1239"/>
      <c r="E291" s="554">
        <f>SUM(E293:E298)</f>
        <v>264468575</v>
      </c>
      <c r="F291" s="554">
        <f>SUM(F293:F298)</f>
        <v>0</v>
      </c>
      <c r="G291" s="559"/>
      <c r="H291" s="559"/>
      <c r="I291" s="559"/>
      <c r="J291" s="554">
        <f>SUM(J293:J298)</f>
        <v>0</v>
      </c>
      <c r="K291" s="576" t="e">
        <f>+J291/F291</f>
        <v>#DIV/0!</v>
      </c>
      <c r="L291" s="554">
        <f>SUM(L293:L298)</f>
        <v>29032796</v>
      </c>
      <c r="M291" s="558">
        <f>+E291-(J291+L291)</f>
        <v>235435779</v>
      </c>
      <c r="N291" s="554">
        <f>SUM(N293:N298)</f>
        <v>0</v>
      </c>
      <c r="O291" s="657"/>
      <c r="P291" s="564" t="str">
        <f>IF(ISERROR(VLOOKUP(B291,'Base de Datos'!$C$7:$N$315,8,0))=TRUE," ",(VLOOKUP(B291,'Base de Datos'!$C$7:$N$315,8,0)))</f>
        <v xml:space="preserve"> </v>
      </c>
      <c r="Q291" s="565"/>
      <c r="R291" s="717" t="str">
        <f>IF(ISERROR(VLOOKUP(B291,'Base de Datos'!$C$7:$N$315,9,0))=TRUE," ",(VLOOKUP(B291,'Base de Datos'!$C$7:$N$315,9,0)))</f>
        <v xml:space="preserve"> </v>
      </c>
      <c r="S291" s="717" t="str">
        <f>IF(ISERROR(VLOOKUP(B291,'Base de Datos'!$C$7:$N$315,10,0))=TRUE," ",(VLOOKUP(B291,'Base de Datos'!$C$7:$N$315,10,0)))</f>
        <v xml:space="preserve"> </v>
      </c>
      <c r="T291" s="565"/>
      <c r="U291" s="508"/>
    </row>
    <row r="292" spans="2:22" ht="22.8" hidden="1" x14ac:dyDescent="0.3">
      <c r="B292" s="510" t="s">
        <v>2127</v>
      </c>
      <c r="C292" s="510" t="s">
        <v>912</v>
      </c>
      <c r="D292" s="510" t="s">
        <v>1821</v>
      </c>
      <c r="E292" s="518" t="s">
        <v>1844</v>
      </c>
      <c r="F292" s="507" t="s">
        <v>2129</v>
      </c>
      <c r="G292" s="507"/>
      <c r="H292" s="507"/>
      <c r="I292" s="507"/>
      <c r="J292" s="510" t="s">
        <v>2130</v>
      </c>
      <c r="K292" s="625"/>
      <c r="L292" s="510" t="s">
        <v>1939</v>
      </c>
      <c r="M292" s="510"/>
      <c r="N292" s="510" t="s">
        <v>2136</v>
      </c>
      <c r="O292" s="650" t="s">
        <v>2133</v>
      </c>
      <c r="P292" s="541" t="s">
        <v>1817</v>
      </c>
      <c r="Q292" s="510" t="s">
        <v>1847</v>
      </c>
      <c r="R292" s="718" t="s">
        <v>1848</v>
      </c>
      <c r="S292" s="718" t="s">
        <v>375</v>
      </c>
      <c r="T292" s="510" t="s">
        <v>1849</v>
      </c>
      <c r="U292" s="508"/>
    </row>
    <row r="293" spans="2:22" ht="22.8" hidden="1" x14ac:dyDescent="0.3">
      <c r="B293" s="506"/>
      <c r="C293" s="506" t="s">
        <v>1157</v>
      </c>
      <c r="D293" s="506" t="str">
        <f>VLOOKUP(C293,'Base de Datos'!$E$7:$AU$390,2,0)</f>
        <v>FACTOR VISUAL EAT</v>
      </c>
      <c r="E293" s="509">
        <f>VLOOKUP(C293,'Base de Datos'!$E$7:$AU$390,5,0)</f>
        <v>44544000</v>
      </c>
      <c r="F293" s="509" t="str">
        <f>VLOOKUP(C293,'Base de Datos'!$E$7:$AU$390,17,0)</f>
        <v/>
      </c>
      <c r="G293" s="506"/>
      <c r="H293" s="506"/>
      <c r="I293" s="506"/>
      <c r="J293" s="712" t="str">
        <f>VLOOKUP(C293,'Base de Datos'!$E$7:$AU$390,18,0)</f>
        <v/>
      </c>
      <c r="K293" s="573"/>
      <c r="L293" s="725">
        <v>26912000</v>
      </c>
      <c r="M293" s="506"/>
      <c r="N293" s="509" t="str">
        <f>IF(OR(O293=Hoja1!$D$17,'Presupuesto - PAA 2018'!O293=Hoja1!$D$18),'Presupuesto - PAA 2018'!L293," ")</f>
        <v xml:space="preserve"> </v>
      </c>
      <c r="O293" s="651" t="str">
        <f>VLOOKUP(C293,'Base de Datos'!$E$7:$AU$390,33,0)</f>
        <v>Dirección Administrativa</v>
      </c>
      <c r="P293" s="709"/>
      <c r="Q293" s="506"/>
      <c r="R293" s="715">
        <f>VLOOKUP(C293,'Base de Datos'!$E$7:$AU$390,9,0)</f>
        <v>41929</v>
      </c>
      <c r="S293" s="715">
        <f>VLOOKUP(C293,'Base de Datos'!$E$7:$AU$390,16,0)</f>
        <v>42477</v>
      </c>
      <c r="T293" s="651">
        <f>VLOOKUP(C293,'Base de Datos'!$E$7:$AU$390,40,0)</f>
        <v>0</v>
      </c>
      <c r="U293" s="508"/>
    </row>
    <row r="294" spans="2:22" ht="22.8" hidden="1" x14ac:dyDescent="0.3">
      <c r="B294" s="506"/>
      <c r="C294" s="506" t="s">
        <v>289</v>
      </c>
      <c r="D294" s="506" t="str">
        <f>VLOOKUP(C294,'Base de Datos'!$E$7:$AU$390,2,0)</f>
        <v>UNIPLES S.A.</v>
      </c>
      <c r="E294" s="509">
        <f>VLOOKUP(C294,'Base de Datos'!$E$7:$AU$390,5,0)</f>
        <v>9998117</v>
      </c>
      <c r="F294" s="509" t="str">
        <f>VLOOKUP(C294,'Base de Datos'!$E$7:$AU$390,17,0)</f>
        <v/>
      </c>
      <c r="G294" s="506"/>
      <c r="H294" s="506"/>
      <c r="I294" s="506"/>
      <c r="J294" s="509" t="str">
        <f>VLOOKUP(C294,'Base de Datos'!$E$7:$AU$390,18,0)</f>
        <v/>
      </c>
      <c r="K294" s="573"/>
      <c r="L294" s="509">
        <f>VLOOKUP(C294,'Base de Datos'!$E$7:$AU$390,19,0)</f>
        <v>41855</v>
      </c>
      <c r="M294" s="506"/>
      <c r="N294" s="509" t="str">
        <f>IF(OR(O294=Hoja1!$D$17,'Presupuesto - PAA 2018'!O294=Hoja1!$D$18),'Presupuesto - PAA 2018'!L294," ")</f>
        <v xml:space="preserve"> </v>
      </c>
      <c r="O294" s="651" t="str">
        <f>VLOOKUP(C294,'Base de Datos'!$E$7:$AU$390,33,0)</f>
        <v>Dirección Administrativa</v>
      </c>
      <c r="P294" s="709"/>
      <c r="Q294" s="506"/>
      <c r="R294" s="715">
        <f>VLOOKUP(C294,'Base de Datos'!$E$7:$AU$390,9,0)</f>
        <v>41794</v>
      </c>
      <c r="S294" s="715" t="str">
        <f>VLOOKUP(C294,'Base de Datos'!$E$7:$AU$390,16,0)</f>
        <v/>
      </c>
      <c r="T294" s="651">
        <f>VLOOKUP(C294,'Base de Datos'!$E$7:$AU$390,40,0)</f>
        <v>0</v>
      </c>
      <c r="U294" s="508"/>
    </row>
    <row r="295" spans="2:22" ht="22.8" hidden="1" x14ac:dyDescent="0.3">
      <c r="B295" s="506"/>
      <c r="C295" s="506" t="s">
        <v>240</v>
      </c>
      <c r="D295" s="506" t="str">
        <f>VLOOKUP(C295,'Base de Datos'!$E$7:$AU$390,2,0)</f>
        <v>UNIPLES S.A.</v>
      </c>
      <c r="E295" s="509">
        <f>VLOOKUP(C295,'Base de Datos'!$E$7:$AU$390,5,0)</f>
        <v>60000000</v>
      </c>
      <c r="F295" s="509" t="str">
        <f>VLOOKUP(C295,'Base de Datos'!$E$7:$AU$390,17,0)</f>
        <v/>
      </c>
      <c r="G295" s="506"/>
      <c r="H295" s="506"/>
      <c r="I295" s="506"/>
      <c r="J295" s="509" t="str">
        <f>VLOOKUP(C295,'Base de Datos'!$E$7:$AU$390,18,0)</f>
        <v/>
      </c>
      <c r="K295" s="573"/>
      <c r="L295" s="725">
        <v>146147</v>
      </c>
      <c r="M295" s="506"/>
      <c r="N295" s="509" t="str">
        <f>IF(OR(O295=Hoja1!$D$17,'Presupuesto - PAA 2018'!O295=Hoja1!$D$18),'Presupuesto - PAA 2018'!L295," ")</f>
        <v xml:space="preserve"> </v>
      </c>
      <c r="O295" s="651" t="str">
        <f>VLOOKUP(C295,'Base de Datos'!$E$7:$AU$390,33,0)</f>
        <v>Dirección Administrativa</v>
      </c>
      <c r="P295" s="709"/>
      <c r="Q295" s="506"/>
      <c r="R295" s="715">
        <f>VLOOKUP(C295,'Base de Datos'!$E$7:$AU$390,9,0)</f>
        <v>41655</v>
      </c>
      <c r="S295" s="715" t="str">
        <f>VLOOKUP(C295,'Base de Datos'!$E$7:$AU$390,16,0)</f>
        <v/>
      </c>
      <c r="T295" s="651">
        <f>VLOOKUP(C295,'Base de Datos'!$E$7:$AU$390,40,0)</f>
        <v>0</v>
      </c>
      <c r="U295" s="508"/>
    </row>
    <row r="296" spans="2:22" ht="22.8" hidden="1" x14ac:dyDescent="0.3">
      <c r="B296" s="506"/>
      <c r="C296" s="506" t="s">
        <v>183</v>
      </c>
      <c r="D296" s="506" t="str">
        <f>VLOOKUP(C296,'Base de Datos'!$E$7:$AU$390,2,0)</f>
        <v>CONTRONET LTDA</v>
      </c>
      <c r="E296" s="509">
        <f>VLOOKUP(C296,'Base de Datos'!$E$7:$AU$390,5,0)</f>
        <v>86923131</v>
      </c>
      <c r="F296" s="509" t="str">
        <f>VLOOKUP(C296,'Base de Datos'!$E$7:$AU$390,17,0)</f>
        <v/>
      </c>
      <c r="G296" s="506"/>
      <c r="H296" s="506"/>
      <c r="I296" s="506"/>
      <c r="J296" s="509" t="str">
        <f>VLOOKUP(C296,'Base de Datos'!$E$7:$AU$390,18,0)</f>
        <v/>
      </c>
      <c r="K296" s="573"/>
      <c r="L296" s="725">
        <v>231698</v>
      </c>
      <c r="M296" s="506"/>
      <c r="N296" s="509" t="str">
        <f>IF(OR(O296=Hoja1!$D$17,'Presupuesto - PAA 2018'!O296=Hoja1!$D$18),'Presupuesto - PAA 2018'!L296," ")</f>
        <v xml:space="preserve"> </v>
      </c>
      <c r="O296" s="651" t="str">
        <f>VLOOKUP(C296,'Base de Datos'!$E$7:$AU$390,33,0)</f>
        <v>Dirección Administrativa</v>
      </c>
      <c r="P296" s="709"/>
      <c r="Q296" s="506"/>
      <c r="R296" s="715">
        <f>VLOOKUP(C296,'Base de Datos'!$E$7:$AU$390,9,0)</f>
        <v>41506</v>
      </c>
      <c r="S296" s="715">
        <f>VLOOKUP(C296,'Base de Datos'!$E$7:$AU$390,16,0)</f>
        <v>42055</v>
      </c>
      <c r="T296" s="651">
        <f>VLOOKUP(C296,'Base de Datos'!$E$7:$AU$390,40,0)</f>
        <v>0</v>
      </c>
      <c r="U296" s="508"/>
    </row>
    <row r="297" spans="2:22" ht="22.8" hidden="1" x14ac:dyDescent="0.3">
      <c r="B297" s="506"/>
      <c r="C297" s="506" t="s">
        <v>1161</v>
      </c>
      <c r="D297" s="506" t="str">
        <f>VLOOKUP(C297,'Base de Datos'!$E$7:$AU$390,2,0)</f>
        <v>LINALCA INFORMATICA</v>
      </c>
      <c r="E297" s="509">
        <f>VLOOKUP(C297,'Base de Datos'!$E$7:$AU$390,5,0)</f>
        <v>16592327</v>
      </c>
      <c r="F297" s="509" t="str">
        <f>VLOOKUP(C297,'Base de Datos'!$E$7:$AU$390,17,0)</f>
        <v/>
      </c>
      <c r="G297" s="506"/>
      <c r="H297" s="506"/>
      <c r="I297" s="506"/>
      <c r="J297" s="509" t="str">
        <f>VLOOKUP(C297,'Base de Datos'!$E$7:$AU$390,18,0)</f>
        <v/>
      </c>
      <c r="K297" s="573"/>
      <c r="L297" s="725">
        <v>1659232</v>
      </c>
      <c r="M297" s="506"/>
      <c r="N297" s="509" t="str">
        <f>IF(OR(O297=Hoja1!$D$17,'Presupuesto - PAA 2018'!O297=Hoja1!$D$18),'Presupuesto - PAA 2018'!L297," ")</f>
        <v xml:space="preserve"> </v>
      </c>
      <c r="O297" s="651" t="str">
        <f>VLOOKUP(C297,'Base de Datos'!$E$7:$AU$390,33,0)</f>
        <v>Dirección Administrativa</v>
      </c>
      <c r="P297" s="709"/>
      <c r="Q297" s="506"/>
      <c r="R297" s="715">
        <f>VLOOKUP(C297,'Base de Datos'!$E$7:$AU$390,9,0)</f>
        <v>41936</v>
      </c>
      <c r="S297" s="715" t="str">
        <f>VLOOKUP(C297,'Base de Datos'!$E$7:$AU$390,16,0)</f>
        <v/>
      </c>
      <c r="T297" s="651">
        <f>VLOOKUP(C297,'Base de Datos'!$E$7:$AU$390,40,0)</f>
        <v>0</v>
      </c>
      <c r="U297" s="508"/>
    </row>
    <row r="298" spans="2:22" ht="22.8" hidden="1" x14ac:dyDescent="0.3">
      <c r="B298" s="506"/>
      <c r="C298" s="506" t="s">
        <v>172</v>
      </c>
      <c r="D298" s="506" t="str">
        <f>VLOOKUP(C298,'Base de Datos'!$E$7:$AU$390,2,0)</f>
        <v>COLOMBIANA DE SOFTWARE Y HARDWARE COLSOF S.A.</v>
      </c>
      <c r="E298" s="509">
        <f>VLOOKUP(C298,'Base de Datos'!$E$7:$AU$390,5,0)</f>
        <v>46411000</v>
      </c>
      <c r="F298" s="509" t="str">
        <f>VLOOKUP(C298,'Base de Datos'!$E$7:$AU$390,17,0)</f>
        <v/>
      </c>
      <c r="G298" s="506"/>
      <c r="H298" s="506"/>
      <c r="I298" s="506"/>
      <c r="J298" s="509" t="str">
        <f>VLOOKUP(C298,'Base de Datos'!$E$7:$AU$390,18,0)</f>
        <v/>
      </c>
      <c r="K298" s="573"/>
      <c r="L298" s="509">
        <f>VLOOKUP(C298,'Base de Datos'!$E$7:$AU$390,19,0)</f>
        <v>41864</v>
      </c>
      <c r="M298" s="506"/>
      <c r="N298" s="509" t="str">
        <f>IF(OR(O298=Hoja1!$D$17,'Presupuesto - PAA 2018'!O298=Hoja1!$D$18),'Presupuesto - PAA 2018'!L298," ")</f>
        <v xml:space="preserve"> </v>
      </c>
      <c r="O298" s="651" t="str">
        <f>VLOOKUP(C298,'Base de Datos'!$E$7:$AU$390,33,0)</f>
        <v>Dirección Administrativa</v>
      </c>
      <c r="P298" s="709"/>
      <c r="Q298" s="506"/>
      <c r="R298" s="715">
        <f>VLOOKUP(C298,'Base de Datos'!$E$7:$AU$390,9,0)</f>
        <v>41500</v>
      </c>
      <c r="S298" s="715">
        <f>VLOOKUP(C298,'Base de Datos'!$E$7:$AU$390,16,0)</f>
        <v>41864</v>
      </c>
      <c r="T298" s="651" t="str">
        <f>VLOOKUP(C298,'Base de Datos'!$E$7:$AU$390,40,0)</f>
        <v/>
      </c>
      <c r="U298" s="508"/>
    </row>
    <row r="299" spans="2:22" hidden="1" x14ac:dyDescent="0.3">
      <c r="B299" s="506"/>
      <c r="C299" s="506"/>
      <c r="D299" s="506"/>
      <c r="E299" s="506"/>
      <c r="F299" s="506"/>
      <c r="G299" s="506"/>
      <c r="H299" s="506"/>
      <c r="I299" s="506"/>
      <c r="J299" s="506"/>
      <c r="K299" s="573"/>
      <c r="L299" s="506"/>
      <c r="M299" s="506"/>
      <c r="N299" s="506"/>
      <c r="O299" s="664"/>
      <c r="P299" s="709"/>
      <c r="Q299" s="506"/>
      <c r="R299" s="716"/>
      <c r="S299" s="716"/>
      <c r="T299" s="506"/>
      <c r="U299" s="508"/>
    </row>
    <row r="300" spans="2:22" ht="12" hidden="1" x14ac:dyDescent="0.3">
      <c r="B300" s="1239" t="s">
        <v>1648</v>
      </c>
      <c r="C300" s="1239"/>
      <c r="D300" s="1239"/>
      <c r="E300" s="554">
        <f>SUM(E302:E305)</f>
        <v>791102333</v>
      </c>
      <c r="F300" s="554">
        <f>SUM(F302:F305)</f>
        <v>0</v>
      </c>
      <c r="G300" s="559"/>
      <c r="H300" s="559"/>
      <c r="I300" s="559"/>
      <c r="J300" s="554">
        <f>SUM(J302:J305)</f>
        <v>0</v>
      </c>
      <c r="K300" s="576" t="e">
        <f>+J300/F300</f>
        <v>#DIV/0!</v>
      </c>
      <c r="L300" s="554">
        <f>SUM(L302:L305)</f>
        <v>167941</v>
      </c>
      <c r="M300" s="605">
        <v>0</v>
      </c>
      <c r="N300" s="554">
        <f>SUM(N302:N305)</f>
        <v>0</v>
      </c>
      <c r="O300" s="657"/>
      <c r="P300" s="564" t="str">
        <f>IF(ISERROR(VLOOKUP(B300,'Base de Datos'!$C$7:$N$315,8,0))=TRUE," ",(VLOOKUP(B300,'Base de Datos'!$C$7:$N$315,8,0)))</f>
        <v xml:space="preserve"> </v>
      </c>
      <c r="Q300" s="565"/>
      <c r="R300" s="717" t="str">
        <f>IF(ISERROR(VLOOKUP(B300,'Base de Datos'!$C$7:$N$315,9,0))=TRUE," ",(VLOOKUP(B300,'Base de Datos'!$C$7:$N$315,9,0)))</f>
        <v xml:space="preserve"> </v>
      </c>
      <c r="S300" s="717" t="str">
        <f>IF(ISERROR(VLOOKUP(B300,'Base de Datos'!$C$7:$N$315,10,0))=TRUE," ",(VLOOKUP(B300,'Base de Datos'!$C$7:$N$315,10,0)))</f>
        <v xml:space="preserve"> </v>
      </c>
      <c r="T300" s="565"/>
      <c r="U300" s="508"/>
    </row>
    <row r="301" spans="2:22" ht="22.8" hidden="1" x14ac:dyDescent="0.3">
      <c r="B301" s="510" t="s">
        <v>2127</v>
      </c>
      <c r="C301" s="510" t="s">
        <v>912</v>
      </c>
      <c r="D301" s="510" t="s">
        <v>1821</v>
      </c>
      <c r="E301" s="518" t="s">
        <v>1844</v>
      </c>
      <c r="F301" s="507" t="s">
        <v>2129</v>
      </c>
      <c r="G301" s="507"/>
      <c r="H301" s="507"/>
      <c r="I301" s="507"/>
      <c r="J301" s="510" t="s">
        <v>2130</v>
      </c>
      <c r="K301" s="625"/>
      <c r="L301" s="510" t="s">
        <v>1939</v>
      </c>
      <c r="M301" s="510"/>
      <c r="N301" s="510" t="s">
        <v>2136</v>
      </c>
      <c r="O301" s="650" t="s">
        <v>2133</v>
      </c>
      <c r="P301" s="541" t="s">
        <v>1817</v>
      </c>
      <c r="Q301" s="510" t="s">
        <v>1847</v>
      </c>
      <c r="R301" s="718" t="s">
        <v>1848</v>
      </c>
      <c r="S301" s="718" t="s">
        <v>375</v>
      </c>
      <c r="T301" s="510" t="s">
        <v>1849</v>
      </c>
      <c r="U301" s="508"/>
    </row>
    <row r="302" spans="2:22" ht="22.8" hidden="1" x14ac:dyDescent="0.3">
      <c r="B302" s="506"/>
      <c r="C302" s="506" t="s">
        <v>1476</v>
      </c>
      <c r="D302" s="506" t="str">
        <f>VLOOKUP(C302,'Base de Datos'!$E$7:$AU$390,2,0)</f>
        <v>ORGANIZACIÓN TERPEL S.A.</v>
      </c>
      <c r="E302" s="509">
        <f>VLOOKUP(C302,'Base de Datos'!$E$7:$AU$390,5,0)</f>
        <v>171253333</v>
      </c>
      <c r="F302" s="509" t="str">
        <f>VLOOKUP(C302,'Base de Datos'!$E$7:$AU$390,17,0)</f>
        <v/>
      </c>
      <c r="G302" s="506"/>
      <c r="H302" s="506"/>
      <c r="I302" s="506"/>
      <c r="J302" s="509" t="str">
        <f>VLOOKUP(C302,'Base de Datos'!$E$7:$AU$390,18,0)</f>
        <v/>
      </c>
      <c r="K302" s="713"/>
      <c r="L302" s="714">
        <f>VLOOKUP(C302,'Base de Datos'!$E$7:$AU$390,19,0)</f>
        <v>42063</v>
      </c>
      <c r="M302" s="506"/>
      <c r="N302" s="509" t="str">
        <f>IF(OR(O302=Hoja1!$D$17,'Presupuesto - PAA 2018'!O302=Hoja1!$D$18),'Presupuesto - PAA 2018'!L302," ")</f>
        <v xml:space="preserve"> </v>
      </c>
      <c r="O302" s="651" t="str">
        <f>VLOOKUP(C302,'Base de Datos'!$E$7:$AU$390,33,0)</f>
        <v>Dirección Administrativa</v>
      </c>
      <c r="P302" s="709"/>
      <c r="Q302" s="506"/>
      <c r="R302" s="715">
        <f>VLOOKUP(C302,'Base de Datos'!$E$7:$AU$390,9,0)</f>
        <v>41961</v>
      </c>
      <c r="S302" s="715" t="str">
        <f>VLOOKUP(C302,'Base de Datos'!$E$7:$AU$390,16,0)</f>
        <v/>
      </c>
      <c r="T302" s="651" t="str">
        <f>VLOOKUP(C302,'Base de Datos'!$E$7:$AU$390,40,0)</f>
        <v>JULIETH ANGARITA</v>
      </c>
      <c r="U302" s="508"/>
    </row>
    <row r="303" spans="2:22" ht="22.8" hidden="1" x14ac:dyDescent="0.3">
      <c r="B303" s="506"/>
      <c r="C303" s="506" t="s">
        <v>96</v>
      </c>
      <c r="D303" s="506" t="str">
        <f>VLOOKUP(C303,'Base de Datos'!$E$7:$AU$390,2,0)</f>
        <v>ORGANIZACIÓN TERPEL S.A.</v>
      </c>
      <c r="E303" s="509">
        <f>VLOOKUP(C303,'Base de Datos'!$E$7:$AU$390,5,0)</f>
        <v>351295000</v>
      </c>
      <c r="F303" s="509" t="str">
        <f>VLOOKUP(C303,'Base de Datos'!$E$7:$AU$390,17,0)</f>
        <v/>
      </c>
      <c r="G303" s="506"/>
      <c r="H303" s="506"/>
      <c r="I303" s="506"/>
      <c r="J303" s="509" t="str">
        <f>VLOOKUP(C303,'Base de Datos'!$E$7:$AU$390,18,0)</f>
        <v/>
      </c>
      <c r="K303" s="573"/>
      <c r="L303" s="714">
        <f>VLOOKUP(C303,'Base de Datos'!$E$7:$AU$390,19,0)</f>
        <v>41820</v>
      </c>
      <c r="M303" s="506"/>
      <c r="N303" s="509" t="str">
        <f>IF(OR(O303=Hoja1!$D$17,'Presupuesto - PAA 2018'!O303=Hoja1!$D$18),'Presupuesto - PAA 2018'!L303," ")</f>
        <v xml:space="preserve"> </v>
      </c>
      <c r="O303" s="651" t="str">
        <f>VLOOKUP(C303,'Base de Datos'!$E$7:$AU$390,33,0)</f>
        <v>Dirección Administrativa</v>
      </c>
      <c r="P303" s="709"/>
      <c r="Q303" s="506"/>
      <c r="R303" s="715">
        <f>VLOOKUP(C303,'Base de Datos'!$E$7:$AU$390,9,0)</f>
        <v>41426</v>
      </c>
      <c r="S303" s="715">
        <f>VLOOKUP(C303,'Base de Datos'!$E$7:$AU$390,16,0)</f>
        <v>41820</v>
      </c>
      <c r="T303" s="651">
        <f>VLOOKUP(C303,'Base de Datos'!$E$7:$AU$390,40,0)</f>
        <v>0</v>
      </c>
      <c r="U303" s="508"/>
    </row>
    <row r="304" spans="2:22" ht="22.8" hidden="1" x14ac:dyDescent="0.3">
      <c r="B304" s="506"/>
      <c r="C304" s="506" t="s">
        <v>187</v>
      </c>
      <c r="D304" s="506" t="str">
        <f>VLOOKUP(C304,'Base de Datos'!$E$7:$AU$390,2,0)</f>
        <v>INVERSIONES LIGOL - INVERLIGOL LTD A</v>
      </c>
      <c r="E304" s="509">
        <f>VLOOKUP(C304,'Base de Datos'!$E$7:$AU$390,5,0)</f>
        <v>16804000</v>
      </c>
      <c r="F304" s="509" t="str">
        <f>VLOOKUP(C304,'Base de Datos'!$E$7:$AU$390,17,0)</f>
        <v/>
      </c>
      <c r="G304" s="506"/>
      <c r="H304" s="506"/>
      <c r="I304" s="506"/>
      <c r="J304" s="509" t="str">
        <f>VLOOKUP(C304,'Base de Datos'!$E$7:$AU$390,18,0)</f>
        <v/>
      </c>
      <c r="K304" s="573"/>
      <c r="L304" s="714">
        <f>VLOOKUP(C304,'Base de Datos'!$E$7:$AU$390,19,0)</f>
        <v>42099</v>
      </c>
      <c r="M304" s="506"/>
      <c r="N304" s="509" t="str">
        <f>IF(OR(O304=Hoja1!$D$17,'Presupuesto - PAA 2018'!O304=Hoja1!$D$18),'Presupuesto - PAA 2018'!L304," ")</f>
        <v xml:space="preserve"> </v>
      </c>
      <c r="O304" s="651" t="str">
        <f>VLOOKUP(C304,'Base de Datos'!$E$7:$AU$390,33,0)</f>
        <v>Dirección Administrativa</v>
      </c>
      <c r="P304" s="709"/>
      <c r="Q304" s="506"/>
      <c r="R304" s="715">
        <f>VLOOKUP(C304,'Base de Datos'!$E$7:$AU$390,9,0)</f>
        <v>41523</v>
      </c>
      <c r="S304" s="715">
        <f>VLOOKUP(C304,'Base de Datos'!$E$7:$AU$390,16,0)</f>
        <v>42099</v>
      </c>
      <c r="T304" s="651">
        <f>VLOOKUP(C304,'Base de Datos'!$E$7:$AU$390,40,0)</f>
        <v>0</v>
      </c>
      <c r="U304" s="508"/>
    </row>
    <row r="305" spans="2:21" ht="22.8" hidden="1" x14ac:dyDescent="0.3">
      <c r="B305" s="506"/>
      <c r="C305" s="506" t="s">
        <v>285</v>
      </c>
      <c r="D305" s="506" t="str">
        <f>VLOOKUP(C305,'Base de Datos'!$E$7:$AU$390,2,0)</f>
        <v>ORGANIZACIÓN TERPEL S.A.</v>
      </c>
      <c r="E305" s="509">
        <f>VLOOKUP(C305,'Base de Datos'!$E$7:$AU$390,5,0)</f>
        <v>251750000</v>
      </c>
      <c r="F305" s="509" t="str">
        <f>VLOOKUP(C305,'Base de Datos'!$E$7:$AU$390,17,0)</f>
        <v/>
      </c>
      <c r="G305" s="506"/>
      <c r="H305" s="506"/>
      <c r="I305" s="506"/>
      <c r="J305" s="509" t="str">
        <f>VLOOKUP(C305,'Base de Datos'!$E$7:$AU$390,18,0)</f>
        <v/>
      </c>
      <c r="K305" s="573"/>
      <c r="L305" s="714">
        <f>VLOOKUP(C305,'Base de Datos'!$E$7:$AU$390,19,0)</f>
        <v>41959</v>
      </c>
      <c r="M305" s="506"/>
      <c r="N305" s="509" t="str">
        <f>IF(OR(O305=Hoja1!$D$17,'Presupuesto - PAA 2018'!O305=Hoja1!$D$18),'Presupuesto - PAA 2018'!L305," ")</f>
        <v xml:space="preserve"> </v>
      </c>
      <c r="O305" s="651" t="str">
        <f>VLOOKUP(C305,'Base de Datos'!$E$7:$AU$390,33,0)</f>
        <v>Dirección Administrativa</v>
      </c>
      <c r="P305" s="709"/>
      <c r="Q305" s="506"/>
      <c r="R305" s="715">
        <f>VLOOKUP(C305,'Base de Datos'!$E$7:$AU$390,9,0)</f>
        <v>41806</v>
      </c>
      <c r="S305" s="715" t="str">
        <f>VLOOKUP(C305,'Base de Datos'!$E$7:$AU$390,16,0)</f>
        <v/>
      </c>
      <c r="T305" s="651">
        <f>VLOOKUP(C305,'Base de Datos'!$E$7:$AU$390,40,0)</f>
        <v>0</v>
      </c>
      <c r="U305" s="508"/>
    </row>
    <row r="306" spans="2:21" hidden="1" x14ac:dyDescent="0.3">
      <c r="B306" s="506"/>
      <c r="C306" s="506"/>
      <c r="D306" s="506"/>
      <c r="E306" s="506"/>
      <c r="F306" s="506"/>
      <c r="G306" s="506"/>
      <c r="H306" s="506"/>
      <c r="I306" s="506"/>
      <c r="J306" s="506"/>
      <c r="K306" s="573"/>
      <c r="L306" s="506"/>
      <c r="M306" s="506"/>
      <c r="N306" s="506"/>
      <c r="O306" s="664"/>
      <c r="P306" s="709"/>
      <c r="Q306" s="506"/>
      <c r="R306" s="716"/>
      <c r="S306" s="716"/>
      <c r="T306" s="506"/>
      <c r="U306" s="508"/>
    </row>
    <row r="307" spans="2:21" ht="12" hidden="1" x14ac:dyDescent="0.3">
      <c r="B307" s="1239" t="s">
        <v>1649</v>
      </c>
      <c r="C307" s="1239"/>
      <c r="D307" s="1239"/>
      <c r="E307" s="554">
        <f>SUM(E309:E310)</f>
        <v>342237000</v>
      </c>
      <c r="F307" s="554">
        <f>SUM(F309:F310)</f>
        <v>0</v>
      </c>
      <c r="G307" s="559"/>
      <c r="H307" s="559"/>
      <c r="I307" s="559"/>
      <c r="J307" s="554">
        <f>SUM(J309:J310)</f>
        <v>0</v>
      </c>
      <c r="K307" s="576" t="e">
        <f>+J307/F307</f>
        <v>#DIV/0!</v>
      </c>
      <c r="L307" s="554">
        <f>SUM(L309:L310)</f>
        <v>15110313</v>
      </c>
      <c r="M307" s="605">
        <f>+E307-(J307+L307)</f>
        <v>327126687</v>
      </c>
      <c r="N307" s="554">
        <f>SUM(N309:N310)</f>
        <v>0</v>
      </c>
      <c r="O307" s="657"/>
      <c r="P307" s="564" t="str">
        <f>IF(ISERROR(VLOOKUP(B307,'Base de Datos'!$C$7:$N$315,8,0))=TRUE," ",(VLOOKUP(B307,'Base de Datos'!$C$7:$N$315,8,0)))</f>
        <v xml:space="preserve"> </v>
      </c>
      <c r="Q307" s="565"/>
      <c r="R307" s="717" t="str">
        <f>IF(ISERROR(VLOOKUP(B307,'Base de Datos'!$C$7:$N$315,9,0))=TRUE," ",(VLOOKUP(B307,'Base de Datos'!$C$7:$N$315,9,0)))</f>
        <v xml:space="preserve"> </v>
      </c>
      <c r="S307" s="717" t="str">
        <f>IF(ISERROR(VLOOKUP(B307,'Base de Datos'!$C$7:$N$315,10,0))=TRUE," ",(VLOOKUP(B307,'Base de Datos'!$C$7:$N$315,10,0)))</f>
        <v xml:space="preserve"> </v>
      </c>
      <c r="T307" s="565"/>
    </row>
    <row r="308" spans="2:21" ht="22.8" hidden="1" x14ac:dyDescent="0.3">
      <c r="B308" s="510" t="s">
        <v>2127</v>
      </c>
      <c r="C308" s="510" t="s">
        <v>912</v>
      </c>
      <c r="D308" s="510" t="s">
        <v>1821</v>
      </c>
      <c r="E308" s="518" t="s">
        <v>1844</v>
      </c>
      <c r="F308" s="507" t="s">
        <v>2129</v>
      </c>
      <c r="G308" s="507"/>
      <c r="H308" s="507"/>
      <c r="I308" s="507"/>
      <c r="J308" s="510" t="s">
        <v>2130</v>
      </c>
      <c r="K308" s="625"/>
      <c r="L308" s="510" t="s">
        <v>1939</v>
      </c>
      <c r="M308" s="510"/>
      <c r="N308" s="510" t="s">
        <v>2136</v>
      </c>
      <c r="O308" s="650" t="s">
        <v>2133</v>
      </c>
      <c r="P308" s="541" t="s">
        <v>1817</v>
      </c>
      <c r="Q308" s="510" t="s">
        <v>1847</v>
      </c>
      <c r="R308" s="718" t="s">
        <v>1848</v>
      </c>
      <c r="S308" s="718" t="s">
        <v>375</v>
      </c>
      <c r="T308" s="510" t="s">
        <v>1849</v>
      </c>
    </row>
    <row r="309" spans="2:21" ht="21" hidden="1" customHeight="1" x14ac:dyDescent="0.3">
      <c r="B309" s="506"/>
      <c r="C309" s="506" t="s">
        <v>1418</v>
      </c>
      <c r="D309" s="506" t="str">
        <f>VLOOKUP(C309,'Base de Datos'!$E$7:$AU$390,2,0)</f>
        <v>S.O.S. SOLUCIONES DE OFICINA &amp; SUMINISTROS S.A.S.</v>
      </c>
      <c r="E309" s="509">
        <f>VLOOKUP(C309,'Base de Datos'!$E$7:$AU$390,5,0)</f>
        <v>4750000</v>
      </c>
      <c r="F309" s="509" t="str">
        <f>VLOOKUP(C309,'Base de Datos'!$E$7:$AU$390,17,0)</f>
        <v/>
      </c>
      <c r="G309" s="506"/>
      <c r="H309" s="506"/>
      <c r="I309" s="506"/>
      <c r="J309" s="509" t="str">
        <f>VLOOKUP(C309,'Base de Datos'!$E$7:$AU$390,18,0)</f>
        <v/>
      </c>
      <c r="K309" s="573"/>
      <c r="L309" s="714">
        <f>VLOOKUP(C309,'Base de Datos'!$E$7:$AU$390,19,0)</f>
        <v>42060</v>
      </c>
      <c r="M309" s="506"/>
      <c r="N309" s="509" t="str">
        <f>IF(OR(O309=Hoja1!$D$17,'Presupuesto - PAA 2018'!O309=Hoja1!$D$18),'Presupuesto - PAA 2018'!L309," ")</f>
        <v xml:space="preserve"> </v>
      </c>
      <c r="O309" s="651" t="str">
        <f>VLOOKUP(C309,'Base de Datos'!$E$7:$AU$390,33,0)</f>
        <v>Dirección Administrativa</v>
      </c>
      <c r="P309" s="709"/>
      <c r="Q309" s="506"/>
      <c r="R309" s="715">
        <f>VLOOKUP(C309,'Base de Datos'!$E$7:$AU$390,9,0)</f>
        <v>41968</v>
      </c>
      <c r="S309" s="715" t="str">
        <f>VLOOKUP(C309,'Base de Datos'!$E$7:$AU$390,16,0)</f>
        <v/>
      </c>
      <c r="T309" s="651">
        <f>VLOOKUP(C309,'Base de Datos'!$E$7:$AU$390,40,0)</f>
        <v>0</v>
      </c>
    </row>
    <row r="310" spans="2:21" ht="22.8" hidden="1" x14ac:dyDescent="0.3">
      <c r="B310" s="506"/>
      <c r="C310" s="506" t="s">
        <v>287</v>
      </c>
      <c r="D310" s="506" t="str">
        <f>VLOOKUP(C310,'Base de Datos'!$E$7:$AU$390,2,0)</f>
        <v xml:space="preserve">UNIÓN TEMPORAL EMINSER-SOLOASEO </v>
      </c>
      <c r="E310" s="509">
        <f>VLOOKUP(C310,'Base de Datos'!$E$7:$AU$390,5,0)</f>
        <v>337487000</v>
      </c>
      <c r="F310" s="509" t="str">
        <f>VLOOKUP(C310,'Base de Datos'!$E$7:$AU$390,17,0)</f>
        <v/>
      </c>
      <c r="G310" s="506"/>
      <c r="H310" s="506"/>
      <c r="I310" s="506"/>
      <c r="J310" s="509" t="str">
        <f>VLOOKUP(C310,'Base de Datos'!$E$7:$AU$390,18,0)</f>
        <v/>
      </c>
      <c r="K310" s="573"/>
      <c r="L310" s="714">
        <v>15068253</v>
      </c>
      <c r="M310" s="506"/>
      <c r="N310" s="509" t="str">
        <f>IF(OR(O310=Hoja1!$D$17,'Presupuesto - PAA 2018'!O310=Hoja1!$D$18),'Presupuesto - PAA 2018'!L310," ")</f>
        <v xml:space="preserve"> </v>
      </c>
      <c r="O310" s="651" t="str">
        <f>VLOOKUP(C310,'Base de Datos'!$E$7:$AU$390,33,0)</f>
        <v>Dirección Administrativa</v>
      </c>
      <c r="P310" s="709"/>
      <c r="Q310" s="506"/>
      <c r="R310" s="715">
        <f>VLOOKUP(C310,'Base de Datos'!$E$7:$AU$390,9,0)</f>
        <v>41811</v>
      </c>
      <c r="S310" s="715">
        <f>VLOOKUP(C310,'Base de Datos'!$E$7:$AU$390,16,0)</f>
        <v>42186</v>
      </c>
      <c r="T310" s="651" t="str">
        <f>VLOOKUP(C310,'Base de Datos'!$E$7:$AU$390,40,0)</f>
        <v>MANUEL ROJAS</v>
      </c>
    </row>
    <row r="311" spans="2:21" hidden="1" x14ac:dyDescent="0.3">
      <c r="B311" s="506"/>
      <c r="C311" s="506"/>
      <c r="D311" s="506"/>
      <c r="E311" s="506"/>
      <c r="F311" s="506"/>
      <c r="G311" s="506"/>
      <c r="H311" s="506"/>
      <c r="I311" s="506"/>
      <c r="J311" s="506"/>
      <c r="K311" s="573"/>
      <c r="L311" s="506"/>
      <c r="M311" s="506"/>
      <c r="N311" s="506"/>
      <c r="O311" s="664"/>
      <c r="P311" s="709"/>
      <c r="Q311" s="506"/>
      <c r="R311" s="716"/>
      <c r="S311" s="716"/>
      <c r="T311" s="506"/>
    </row>
    <row r="312" spans="2:21" ht="12" hidden="1" x14ac:dyDescent="0.3">
      <c r="B312" s="1240" t="s">
        <v>1650</v>
      </c>
      <c r="C312" s="1240"/>
      <c r="D312" s="1240"/>
      <c r="E312" s="512">
        <f>+E317+E323+E327+E347+E353+E359+E363+E368+E373+E313</f>
        <v>11295093028</v>
      </c>
      <c r="F312" s="512" t="e">
        <f>+F317+F323+F327+F347+F353+F359+F363+F368+F373+F313</f>
        <v>#VALUE!</v>
      </c>
      <c r="G312" s="513"/>
      <c r="H312" s="513"/>
      <c r="I312" s="513"/>
      <c r="J312" s="512" t="e">
        <f>+J317+J323+J327+J347+J353+J359+J363+J368+J373+J313</f>
        <v>#VALUE!</v>
      </c>
      <c r="K312" s="583" t="e">
        <f>+J312/F312</f>
        <v>#VALUE!</v>
      </c>
      <c r="L312" s="512">
        <f>+L317+L323+L327+L347+L353+L359+L363+L368+L373+L313</f>
        <v>20745650</v>
      </c>
      <c r="M312" s="626">
        <v>0</v>
      </c>
      <c r="N312" s="512">
        <f>+N317+N323+N327+N347+N353+N359+N363+N368+N373</f>
        <v>0</v>
      </c>
      <c r="O312" s="662"/>
      <c r="P312" s="516"/>
      <c r="Q312" s="542"/>
      <c r="R312" s="719" t="str">
        <f>IF(ISERROR(VLOOKUP(B312,'Base de Datos'!$C$7:$N$315,9,0))=TRUE," ",(VLOOKUP(B312,'Base de Datos'!$C$7:$N$315,9,0)))</f>
        <v xml:space="preserve"> </v>
      </c>
      <c r="S312" s="719" t="str">
        <f>IF(ISERROR(VLOOKUP(B312,'Base de Datos'!$C$7:$N$315,10,0))=TRUE," ",(VLOOKUP(B312,'Base de Datos'!$C$7:$N$315,10,0)))</f>
        <v xml:space="preserve"> </v>
      </c>
      <c r="T312" s="542"/>
    </row>
    <row r="313" spans="2:21" s="588" customFormat="1" ht="12" hidden="1" x14ac:dyDescent="0.3">
      <c r="B313" s="1239" t="s">
        <v>2138</v>
      </c>
      <c r="C313" s="1239"/>
      <c r="D313" s="1239"/>
      <c r="E313" s="554">
        <f>SUM(E315:E317)</f>
        <v>7365169309</v>
      </c>
      <c r="F313" s="554">
        <f>SUM(F315:F317)</f>
        <v>0</v>
      </c>
      <c r="G313" s="559"/>
      <c r="H313" s="559"/>
      <c r="I313" s="559"/>
      <c r="J313" s="554">
        <f>SUM(J315:J317)</f>
        <v>0</v>
      </c>
      <c r="K313" s="576" t="e">
        <f>+J313/F313</f>
        <v>#DIV/0!</v>
      </c>
      <c r="L313" s="554">
        <f>SUM(L315:L317)</f>
        <v>762175</v>
      </c>
      <c r="M313" s="605">
        <v>0</v>
      </c>
      <c r="N313" s="554">
        <f>SUM(N315:N317)</f>
        <v>0</v>
      </c>
      <c r="O313" s="657"/>
      <c r="P313" s="564" t="str">
        <f>IF(ISERROR(VLOOKUP(B313,'Base de Datos'!$C$7:$N$315,8,0))=TRUE," ",(VLOOKUP(B313,'Base de Datos'!$C$7:$N$315,8,0)))</f>
        <v xml:space="preserve"> </v>
      </c>
      <c r="Q313" s="565"/>
      <c r="R313" s="717" t="str">
        <f>IF(ISERROR(VLOOKUP(B313,'Base de Datos'!$C$7:$N$315,9,0))=TRUE," ",(VLOOKUP(B313,'Base de Datos'!$C$7:$N$315,9,0)))</f>
        <v xml:space="preserve"> </v>
      </c>
      <c r="S313" s="717" t="str">
        <f>IF(ISERROR(VLOOKUP(B313,'Base de Datos'!$C$7:$N$315,10,0))=TRUE," ",(VLOOKUP(B313,'Base de Datos'!$C$7:$N$315,10,0)))</f>
        <v xml:space="preserve"> </v>
      </c>
      <c r="T313" s="565"/>
      <c r="U313" s="629"/>
    </row>
    <row r="314" spans="2:21" s="588" customFormat="1" ht="22.8" hidden="1" x14ac:dyDescent="0.3">
      <c r="B314" s="510" t="s">
        <v>2127</v>
      </c>
      <c r="C314" s="510" t="s">
        <v>912</v>
      </c>
      <c r="D314" s="510" t="s">
        <v>1821</v>
      </c>
      <c r="E314" s="518" t="s">
        <v>1844</v>
      </c>
      <c r="F314" s="507" t="s">
        <v>2129</v>
      </c>
      <c r="G314" s="507"/>
      <c r="H314" s="507"/>
      <c r="I314" s="507"/>
      <c r="J314" s="510" t="s">
        <v>2130</v>
      </c>
      <c r="K314" s="625"/>
      <c r="L314" s="510" t="s">
        <v>1939</v>
      </c>
      <c r="M314" s="510"/>
      <c r="N314" s="510" t="s">
        <v>2136</v>
      </c>
      <c r="O314" s="650" t="s">
        <v>2133</v>
      </c>
      <c r="P314" s="541" t="s">
        <v>1817</v>
      </c>
      <c r="Q314" s="510" t="s">
        <v>1847</v>
      </c>
      <c r="R314" s="718" t="s">
        <v>1848</v>
      </c>
      <c r="S314" s="718" t="s">
        <v>375</v>
      </c>
      <c r="T314" s="510" t="s">
        <v>1849</v>
      </c>
      <c r="U314" s="629"/>
    </row>
    <row r="315" spans="2:21" s="588" customFormat="1" hidden="1" x14ac:dyDescent="0.3">
      <c r="B315" s="506"/>
      <c r="C315" s="729" t="s">
        <v>92</v>
      </c>
      <c r="D315" s="506" t="str">
        <f>VLOOKUP(C315,'Base de Datos'!$E$7:$AU$390,2,0)</f>
        <v>FONDO DE VIGILANCIA Y SEGURIDAD DE BOGOTÁ</v>
      </c>
      <c r="E315" s="509">
        <f>VLOOKUP(C315,'Base de Datos'!$E$7:$AU$390,5,0)</f>
        <v>7329236109</v>
      </c>
      <c r="F315" s="509" t="str">
        <f>VLOOKUP(C315,'Base de Datos'!$E$7:$AU$390,17,0)</f>
        <v/>
      </c>
      <c r="G315" s="506"/>
      <c r="H315" s="506"/>
      <c r="I315" s="506"/>
      <c r="J315" s="509" t="str">
        <f>VLOOKUP(C315,'Base de Datos'!$E$7:$AU$390,18,0)</f>
        <v/>
      </c>
      <c r="K315" s="573"/>
      <c r="L315" s="726">
        <v>613019</v>
      </c>
      <c r="M315" s="506"/>
      <c r="N315" s="509" t="str">
        <f>IF(OR(O315=Hoja1!$D$17,'Presupuesto - PAA 2018'!O315=Hoja1!$D$18),'Presupuesto - PAA 2018'!L315," ")</f>
        <v xml:space="preserve"> </v>
      </c>
      <c r="O315" s="651">
        <f>VLOOKUP(C315,'Base de Datos'!$E$7:$AU$390,32,0)</f>
        <v>0</v>
      </c>
      <c r="P315" s="709"/>
      <c r="Q315" s="506"/>
      <c r="R315" s="715">
        <f>VLOOKUP(C315,'Base de Datos'!$E$7:$AU$390,9,0)</f>
        <v>39724</v>
      </c>
      <c r="S315" s="715" t="str">
        <f>VLOOKUP(C315,'Base de Datos'!$E$7:$AU$390,16,0)</f>
        <v/>
      </c>
      <c r="T315" s="651" t="str">
        <f>VLOOKUP(C315,'Base de Datos'!$E$7:$AU$390,40,0)</f>
        <v/>
      </c>
      <c r="U315" s="629"/>
    </row>
    <row r="316" spans="2:21" s="588" customFormat="1" ht="12" hidden="1" x14ac:dyDescent="0.3">
      <c r="B316" s="937"/>
      <c r="C316" s="937"/>
      <c r="D316" s="937"/>
      <c r="E316" s="639"/>
      <c r="F316" s="639"/>
      <c r="G316" s="507"/>
      <c r="H316" s="507"/>
      <c r="I316" s="507"/>
      <c r="J316" s="639"/>
      <c r="K316" s="585"/>
      <c r="L316" s="639"/>
      <c r="M316" s="727"/>
      <c r="N316" s="639"/>
      <c r="O316" s="663"/>
      <c r="P316" s="553"/>
      <c r="Q316" s="587"/>
      <c r="R316" s="728"/>
      <c r="S316" s="728"/>
      <c r="T316" s="587"/>
      <c r="U316" s="629"/>
    </row>
    <row r="317" spans="2:21" ht="12" hidden="1" x14ac:dyDescent="0.3">
      <c r="B317" s="1239" t="s">
        <v>1651</v>
      </c>
      <c r="C317" s="1239"/>
      <c r="D317" s="1239"/>
      <c r="E317" s="554">
        <f>SUM(E319:E321)</f>
        <v>35933200</v>
      </c>
      <c r="F317" s="554">
        <f>SUM(F319:F321)</f>
        <v>0</v>
      </c>
      <c r="G317" s="559"/>
      <c r="H317" s="559"/>
      <c r="I317" s="559"/>
      <c r="J317" s="554">
        <f>SUM(J319:J321)</f>
        <v>0</v>
      </c>
      <c r="K317" s="576" t="e">
        <f>+J317/F317</f>
        <v>#DIV/0!</v>
      </c>
      <c r="L317" s="554">
        <f>SUM(L319:L321)</f>
        <v>149156</v>
      </c>
      <c r="M317" s="605">
        <v>0</v>
      </c>
      <c r="N317" s="554">
        <f>SUM(N319:N321)</f>
        <v>0</v>
      </c>
      <c r="O317" s="657"/>
      <c r="P317" s="564" t="str">
        <f>IF(ISERROR(VLOOKUP(B317,'Base de Datos'!$C$7:$N$315,8,0))=TRUE," ",(VLOOKUP(B317,'Base de Datos'!$C$7:$N$315,8,0)))</f>
        <v xml:space="preserve"> </v>
      </c>
      <c r="Q317" s="565"/>
      <c r="R317" s="717" t="str">
        <f>IF(ISERROR(VLOOKUP(B317,'Base de Datos'!$C$7:$N$315,9,0))=TRUE," ",(VLOOKUP(B317,'Base de Datos'!$C$7:$N$315,9,0)))</f>
        <v xml:space="preserve"> </v>
      </c>
      <c r="S317" s="717" t="str">
        <f>IF(ISERROR(VLOOKUP(B317,'Base de Datos'!$C$7:$N$315,10,0))=TRUE," ",(VLOOKUP(B317,'Base de Datos'!$C$7:$N$315,10,0)))</f>
        <v xml:space="preserve"> </v>
      </c>
      <c r="T317" s="565"/>
    </row>
    <row r="318" spans="2:21" ht="22.8" hidden="1" x14ac:dyDescent="0.3">
      <c r="B318" s="510" t="s">
        <v>2127</v>
      </c>
      <c r="C318" s="510" t="s">
        <v>912</v>
      </c>
      <c r="D318" s="510" t="s">
        <v>1821</v>
      </c>
      <c r="E318" s="518" t="s">
        <v>1844</v>
      </c>
      <c r="F318" s="507" t="s">
        <v>2129</v>
      </c>
      <c r="G318" s="507"/>
      <c r="H318" s="507"/>
      <c r="I318" s="507"/>
      <c r="J318" s="510" t="s">
        <v>2130</v>
      </c>
      <c r="K318" s="625"/>
      <c r="L318" s="510" t="s">
        <v>1939</v>
      </c>
      <c r="M318" s="510"/>
      <c r="N318" s="510" t="s">
        <v>2136</v>
      </c>
      <c r="O318" s="650" t="s">
        <v>2133</v>
      </c>
      <c r="P318" s="541" t="s">
        <v>1817</v>
      </c>
      <c r="Q318" s="510" t="s">
        <v>1847</v>
      </c>
      <c r="R318" s="718" t="s">
        <v>1848</v>
      </c>
      <c r="S318" s="718" t="s">
        <v>375</v>
      </c>
      <c r="T318" s="510" t="s">
        <v>1849</v>
      </c>
    </row>
    <row r="319" spans="2:21" ht="22.8" hidden="1" x14ac:dyDescent="0.3">
      <c r="B319" s="506"/>
      <c r="C319" s="506" t="s">
        <v>11</v>
      </c>
      <c r="D319" s="506" t="str">
        <f>VLOOKUP(C319,'Base de Datos'!$E$7:$AU$390,2,0)</f>
        <v>DIRECTV COLOMBIA LTDA</v>
      </c>
      <c r="E319" s="509">
        <f>VLOOKUP(C319,'Base de Datos'!$E$7:$AU$390,5,0)</f>
        <v>1633200</v>
      </c>
      <c r="F319" s="509" t="str">
        <f>VLOOKUP(C319,'Base de Datos'!$E$7:$AU$390,17,0)</f>
        <v/>
      </c>
      <c r="G319" s="506"/>
      <c r="H319" s="506"/>
      <c r="I319" s="506"/>
      <c r="J319" s="509" t="str">
        <f>VLOOKUP(C319,'Base de Datos'!$E$7:$AU$390,18,0)</f>
        <v/>
      </c>
      <c r="K319" s="573"/>
      <c r="L319" s="726">
        <v>65038</v>
      </c>
      <c r="M319" s="506"/>
      <c r="N319" s="509" t="str">
        <f>IF(OR(O319=Hoja1!$D$17,'Presupuesto - PAA 2018'!O319=Hoja1!$D$18),'Presupuesto - PAA 2018'!L319," ")</f>
        <v xml:space="preserve"> </v>
      </c>
      <c r="O319" s="651" t="str">
        <f>VLOOKUP(C319,'Base de Datos'!$E$7:$AU$390,33,0)</f>
        <v>Dirección Administrativa</v>
      </c>
      <c r="P319" s="709"/>
      <c r="Q319" s="506"/>
      <c r="R319" s="715">
        <f>VLOOKUP(C319,'Base de Datos'!$E$7:$AU$390,9,0)</f>
        <v>41288</v>
      </c>
      <c r="S319" s="715">
        <f>VLOOKUP(C319,'Base de Datos'!$E$7:$AU$390,16,0)</f>
        <v>41711</v>
      </c>
      <c r="T319" s="651" t="str">
        <f>VLOOKUP(C319,'Base de Datos'!$E$7:$AU$390,40,0)</f>
        <v/>
      </c>
    </row>
    <row r="320" spans="2:21" hidden="1" x14ac:dyDescent="0.3">
      <c r="B320" s="506"/>
      <c r="C320" s="506" t="s">
        <v>129</v>
      </c>
      <c r="D320" s="506" t="str">
        <f>VLOOKUP(C320,'Base de Datos'!$E$7:$AU$390,2,0)</f>
        <v>UNIÓN TEMPORAL INTERPOSTAL URBANEX</v>
      </c>
      <c r="E320" s="509">
        <f>VLOOKUP(C320,'Base de Datos'!$E$7:$AU$390,5,0)</f>
        <v>22300000</v>
      </c>
      <c r="F320" s="509" t="str">
        <f>VLOOKUP(C320,'Base de Datos'!$E$7:$AU$390,17,0)</f>
        <v/>
      </c>
      <c r="G320" s="506"/>
      <c r="H320" s="506"/>
      <c r="I320" s="506"/>
      <c r="J320" s="509" t="str">
        <f>VLOOKUP(C320,'Base de Datos'!$E$7:$AU$390,18,0)</f>
        <v/>
      </c>
      <c r="K320" s="573"/>
      <c r="L320" s="714">
        <f>VLOOKUP(C320,'Base de Datos'!$E$7:$AU$390,19,0)</f>
        <v>41806</v>
      </c>
      <c r="M320" s="506"/>
      <c r="N320" s="509" t="str">
        <f>IF(OR(O320=Hoja1!$D$17,'Presupuesto - PAA 2018'!O320=Hoja1!$D$18),'Presupuesto - PAA 2018'!L320," ")</f>
        <v xml:space="preserve"> </v>
      </c>
      <c r="O320" s="723" t="s">
        <v>2132</v>
      </c>
      <c r="P320" s="709" t="s">
        <v>2135</v>
      </c>
      <c r="Q320" s="506"/>
      <c r="R320" s="715">
        <f>VLOOKUP(C320,'Base de Datos'!$E$7:$AU$390,9,0)</f>
        <v>41410</v>
      </c>
      <c r="S320" s="715">
        <f>VLOOKUP(C320,'Base de Datos'!$E$7:$AU$390,16,0)</f>
        <v>41806</v>
      </c>
      <c r="T320" s="651">
        <f>VLOOKUP(C320,'Base de Datos'!$E$7:$AU$390,40,0)</f>
        <v>0</v>
      </c>
    </row>
    <row r="321" spans="2:21" ht="22.8" hidden="1" x14ac:dyDescent="0.3">
      <c r="B321" s="506"/>
      <c r="C321" s="506" t="s">
        <v>300</v>
      </c>
      <c r="D321" s="506" t="str">
        <f>VLOOKUP(C321,'Base de Datos'!$E$7:$AU$390,2,0)</f>
        <v>MUDANZAS EL NOGAL SAS</v>
      </c>
      <c r="E321" s="509">
        <f>VLOOKUP(C321,'Base de Datos'!$E$7:$AU$390,5,0)</f>
        <v>12000000</v>
      </c>
      <c r="F321" s="509" t="str">
        <f>VLOOKUP(C321,'Base de Datos'!$E$7:$AU$390,17,0)</f>
        <v/>
      </c>
      <c r="G321" s="506"/>
      <c r="H321" s="506"/>
      <c r="I321" s="506"/>
      <c r="J321" s="509" t="str">
        <f>VLOOKUP(C321,'Base de Datos'!$E$7:$AU$390,18,0)</f>
        <v/>
      </c>
      <c r="K321" s="573"/>
      <c r="L321" s="714">
        <f>VLOOKUP(C321,'Base de Datos'!$E$7:$AU$390,19,0)</f>
        <v>42312</v>
      </c>
      <c r="M321" s="506"/>
      <c r="N321" s="509" t="str">
        <f>IF(OR(O321=Hoja1!$D$17,'Presupuesto - PAA 2018'!O321=Hoja1!$D$18),'Presupuesto - PAA 2018'!L321," ")</f>
        <v xml:space="preserve"> </v>
      </c>
      <c r="O321" s="651" t="str">
        <f>VLOOKUP(C321,'Base de Datos'!$E$7:$AU$390,33,0)</f>
        <v>Dirección Administrativa</v>
      </c>
      <c r="P321" s="709"/>
      <c r="Q321" s="506"/>
      <c r="R321" s="715">
        <f>VLOOKUP(C321,'Base de Datos'!$E$7:$AU$390,9,0)</f>
        <v>41824</v>
      </c>
      <c r="S321" s="715">
        <f>VLOOKUP(C321,'Base de Datos'!$E$7:$AU$390,16,0)</f>
        <v>42312</v>
      </c>
      <c r="T321" s="651">
        <f>VLOOKUP(C321,'Base de Datos'!$E$7:$AU$390,40,0)</f>
        <v>0</v>
      </c>
    </row>
    <row r="322" spans="2:21" hidden="1" x14ac:dyDescent="0.3">
      <c r="B322" s="506"/>
      <c r="C322" s="506"/>
      <c r="D322" s="506"/>
      <c r="E322" s="506"/>
      <c r="F322" s="506"/>
      <c r="G322" s="506"/>
      <c r="H322" s="506"/>
      <c r="I322" s="506"/>
      <c r="J322" s="506"/>
      <c r="K322" s="573"/>
      <c r="L322" s="506"/>
      <c r="M322" s="506"/>
      <c r="N322" s="506"/>
      <c r="O322" s="664"/>
      <c r="P322" s="709"/>
      <c r="Q322" s="506"/>
      <c r="R322" s="716"/>
      <c r="S322" s="716"/>
      <c r="T322" s="506"/>
    </row>
    <row r="323" spans="2:21" ht="12" hidden="1" x14ac:dyDescent="0.3">
      <c r="B323" s="1239" t="s">
        <v>1652</v>
      </c>
      <c r="C323" s="1239"/>
      <c r="D323" s="1239"/>
      <c r="E323" s="554">
        <f>+E325</f>
        <v>36581760</v>
      </c>
      <c r="F323" s="554" t="str">
        <f>+F325</f>
        <v/>
      </c>
      <c r="G323" s="559"/>
      <c r="H323" s="559"/>
      <c r="I323" s="559"/>
      <c r="J323" s="554" t="str">
        <f>+J325</f>
        <v/>
      </c>
      <c r="K323" s="576" t="e">
        <f>+J323/F323</f>
        <v>#VALUE!</v>
      </c>
      <c r="L323" s="554">
        <f>+L325</f>
        <v>42186</v>
      </c>
      <c r="M323" s="605">
        <v>0</v>
      </c>
      <c r="N323" s="724">
        <f>SUM(N325:N326)</f>
        <v>0</v>
      </c>
      <c r="O323" s="657"/>
      <c r="P323" s="564" t="str">
        <f>IF(ISERROR(VLOOKUP(B323,'Base de Datos'!$C$7:$N$315,8,0))=TRUE," ",(VLOOKUP(B323,'Base de Datos'!$C$7:$N$315,8,0)))</f>
        <v xml:space="preserve"> </v>
      </c>
      <c r="Q323" s="565"/>
      <c r="R323" s="717" t="str">
        <f>IF(ISERROR(VLOOKUP(B323,'Base de Datos'!$C$7:$N$315,9,0))=TRUE," ",(VLOOKUP(B323,'Base de Datos'!$C$7:$N$315,9,0)))</f>
        <v xml:space="preserve"> </v>
      </c>
      <c r="S323" s="717" t="str">
        <f>IF(ISERROR(VLOOKUP(B323,'Base de Datos'!$C$7:$N$315,10,0))=TRUE," ",(VLOOKUP(B323,'Base de Datos'!$C$7:$N$315,10,0)))</f>
        <v xml:space="preserve"> </v>
      </c>
      <c r="T323" s="565"/>
      <c r="U323" s="508"/>
    </row>
    <row r="324" spans="2:21" ht="22.8" hidden="1" x14ac:dyDescent="0.3">
      <c r="B324" s="510" t="s">
        <v>2127</v>
      </c>
      <c r="C324" s="510" t="s">
        <v>912</v>
      </c>
      <c r="D324" s="510" t="s">
        <v>1821</v>
      </c>
      <c r="E324" s="518" t="s">
        <v>1844</v>
      </c>
      <c r="F324" s="507" t="s">
        <v>2129</v>
      </c>
      <c r="G324" s="507"/>
      <c r="H324" s="507"/>
      <c r="I324" s="507"/>
      <c r="J324" s="510" t="s">
        <v>2130</v>
      </c>
      <c r="K324" s="625"/>
      <c r="L324" s="510" t="s">
        <v>1939</v>
      </c>
      <c r="M324" s="510"/>
      <c r="N324" s="510" t="s">
        <v>2136</v>
      </c>
      <c r="O324" s="650" t="s">
        <v>2133</v>
      </c>
      <c r="P324" s="541" t="s">
        <v>1817</v>
      </c>
      <c r="Q324" s="510" t="s">
        <v>1847</v>
      </c>
      <c r="R324" s="718" t="s">
        <v>1848</v>
      </c>
      <c r="S324" s="718" t="s">
        <v>375</v>
      </c>
      <c r="T324" s="510" t="s">
        <v>1849</v>
      </c>
      <c r="U324" s="508"/>
    </row>
    <row r="325" spans="2:21" ht="22.8" hidden="1" x14ac:dyDescent="0.3">
      <c r="B325" s="506"/>
      <c r="C325" s="506" t="s">
        <v>294</v>
      </c>
      <c r="D325" s="506" t="str">
        <f>VLOOKUP(C325,'Base de Datos'!$E$7:$AU$390,2,0)</f>
        <v>T Y G MINOLTA</v>
      </c>
      <c r="E325" s="509">
        <f>VLOOKUP(C325,'Base de Datos'!$E$7:$AU$390,5,0)</f>
        <v>36581760</v>
      </c>
      <c r="F325" s="509" t="str">
        <f>VLOOKUP(C325,'Base de Datos'!$E$7:$AU$390,17,0)</f>
        <v/>
      </c>
      <c r="G325" s="506"/>
      <c r="H325" s="506"/>
      <c r="I325" s="506"/>
      <c r="J325" s="509" t="str">
        <f>VLOOKUP(C325,'Base de Datos'!$E$7:$AU$390,18,0)</f>
        <v/>
      </c>
      <c r="K325" s="573"/>
      <c r="L325" s="714">
        <f>VLOOKUP(C325,'Base de Datos'!$E$7:$AU$390,19,0)</f>
        <v>42186</v>
      </c>
      <c r="M325" s="506"/>
      <c r="N325" s="509" t="str">
        <f>IF(OR(O325=Hoja1!$D$17,'Presupuesto - PAA 2018'!O325=Hoja1!$D$18),'Presupuesto - PAA 2018'!L325," ")</f>
        <v xml:space="preserve"> </v>
      </c>
      <c r="O325" s="651" t="str">
        <f>VLOOKUP(C325,'Base de Datos'!$E$7:$AU$390,33,0)</f>
        <v>Dirección Administrativa</v>
      </c>
      <c r="P325" s="709"/>
      <c r="Q325" s="506"/>
      <c r="R325" s="715">
        <f>VLOOKUP(C325,'Base de Datos'!$E$7:$AU$390,9,0)</f>
        <v>41821</v>
      </c>
      <c r="S325" s="715">
        <f>VLOOKUP(C325,'Base de Datos'!$E$7:$AU$390,16,0)</f>
        <v>42186</v>
      </c>
      <c r="T325" s="651">
        <f>VLOOKUP(C325,'Base de Datos'!$E$7:$AU$390,40,0)</f>
        <v>0</v>
      </c>
      <c r="U325" s="508"/>
    </row>
    <row r="326" spans="2:21" hidden="1" x14ac:dyDescent="0.3">
      <c r="B326" s="506"/>
      <c r="C326" s="506"/>
      <c r="D326" s="506"/>
      <c r="E326" s="506"/>
      <c r="F326" s="506"/>
      <c r="G326" s="506"/>
      <c r="H326" s="506"/>
      <c r="I326" s="506"/>
      <c r="J326" s="506"/>
      <c r="K326" s="573"/>
      <c r="L326" s="506"/>
      <c r="M326" s="506"/>
      <c r="N326" s="506"/>
      <c r="O326" s="664"/>
      <c r="P326" s="709"/>
      <c r="Q326" s="506"/>
      <c r="R326" s="716"/>
      <c r="S326" s="716"/>
      <c r="T326" s="506"/>
      <c r="U326" s="508"/>
    </row>
    <row r="327" spans="2:21" ht="12" hidden="1" x14ac:dyDescent="0.3">
      <c r="B327" s="1240" t="s">
        <v>1653</v>
      </c>
      <c r="C327" s="1240"/>
      <c r="D327" s="1240"/>
      <c r="E327" s="512">
        <f>+E328</f>
        <v>1888405314</v>
      </c>
      <c r="F327" s="604">
        <f>+F328</f>
        <v>0</v>
      </c>
      <c r="G327" s="513"/>
      <c r="H327" s="513"/>
      <c r="I327" s="513"/>
      <c r="J327" s="604">
        <f>+J328</f>
        <v>0</v>
      </c>
      <c r="K327" s="583"/>
      <c r="L327" s="604">
        <f>+L328</f>
        <v>17734225</v>
      </c>
      <c r="M327" s="516"/>
      <c r="N327" s="604">
        <f>+N328</f>
        <v>0</v>
      </c>
      <c r="O327" s="662"/>
      <c r="P327" s="548" t="str">
        <f>IF(ISERROR(VLOOKUP(B327,'Base de Datos'!$C$7:$N$315,8,0))=TRUE," ",(VLOOKUP(B327,'Base de Datos'!$C$7:$N$315,8,0)))</f>
        <v xml:space="preserve"> </v>
      </c>
      <c r="Q327" s="542"/>
      <c r="R327" s="719" t="str">
        <f>IF(ISERROR(VLOOKUP(B327,'Base de Datos'!$C$7:$N$315,9,0))=TRUE," ",(VLOOKUP(B327,'Base de Datos'!$C$7:$N$315,9,0)))</f>
        <v xml:space="preserve"> </v>
      </c>
      <c r="S327" s="719" t="str">
        <f>IF(ISERROR(VLOOKUP(B327,'Base de Datos'!$C$7:$N$315,10,0))=TRUE," ",(VLOOKUP(B327,'Base de Datos'!$C$7:$N$315,10,0)))</f>
        <v xml:space="preserve"> </v>
      </c>
      <c r="T327" s="542"/>
      <c r="U327" s="508"/>
    </row>
    <row r="328" spans="2:21" hidden="1" x14ac:dyDescent="0.3">
      <c r="B328" s="1239" t="s">
        <v>1654</v>
      </c>
      <c r="C328" s="1239"/>
      <c r="D328" s="1239"/>
      <c r="E328" s="554">
        <f>SUM(E330:E345)</f>
        <v>1888405314</v>
      </c>
      <c r="F328" s="554">
        <f>SUM(F330:F345)</f>
        <v>0</v>
      </c>
      <c r="G328" s="559"/>
      <c r="H328" s="559"/>
      <c r="I328" s="559"/>
      <c r="J328" s="554">
        <f>SUM(J330:J345)</f>
        <v>0</v>
      </c>
      <c r="K328" s="576" t="e">
        <f>+J328/F328</f>
        <v>#DIV/0!</v>
      </c>
      <c r="L328" s="554">
        <f>SUM(L330:L345)</f>
        <v>17734225</v>
      </c>
      <c r="M328" s="554"/>
      <c r="N328" s="554">
        <f>SUM(N330:N345)</f>
        <v>0</v>
      </c>
      <c r="O328" s="657"/>
      <c r="P328" s="564" t="str">
        <f>IF(ISERROR(VLOOKUP(B328,'Base de Datos'!$C$7:$N$315,8,0))=TRUE," ",(VLOOKUP(B328,'Base de Datos'!$C$7:$N$315,8,0)))</f>
        <v xml:space="preserve"> </v>
      </c>
      <c r="Q328" s="565"/>
      <c r="R328" s="717" t="str">
        <f>IF(ISERROR(VLOOKUP(B328,'Base de Datos'!$C$7:$N$315,9,0))=TRUE," ",(VLOOKUP(B328,'Base de Datos'!$C$7:$N$315,9,0)))</f>
        <v xml:space="preserve"> </v>
      </c>
      <c r="S328" s="717" t="str">
        <f>IF(ISERROR(VLOOKUP(B328,'Base de Datos'!$C$7:$N$315,10,0))=TRUE," ",(VLOOKUP(B328,'Base de Datos'!$C$7:$N$315,10,0)))</f>
        <v xml:space="preserve"> </v>
      </c>
      <c r="T328" s="565"/>
      <c r="U328" s="508"/>
    </row>
    <row r="329" spans="2:21" ht="22.8" hidden="1" x14ac:dyDescent="0.3">
      <c r="B329" s="510" t="s">
        <v>2127</v>
      </c>
      <c r="C329" s="510" t="s">
        <v>912</v>
      </c>
      <c r="D329" s="510" t="s">
        <v>1821</v>
      </c>
      <c r="E329" s="518" t="s">
        <v>1844</v>
      </c>
      <c r="F329" s="507" t="s">
        <v>2129</v>
      </c>
      <c r="G329" s="507"/>
      <c r="H329" s="507"/>
      <c r="I329" s="507"/>
      <c r="J329" s="510" t="s">
        <v>2130</v>
      </c>
      <c r="K329" s="625"/>
      <c r="L329" s="510" t="s">
        <v>1939</v>
      </c>
      <c r="M329" s="510"/>
      <c r="N329" s="510" t="s">
        <v>2136</v>
      </c>
      <c r="O329" s="650" t="s">
        <v>2133</v>
      </c>
      <c r="P329" s="541" t="s">
        <v>1817</v>
      </c>
      <c r="Q329" s="510" t="s">
        <v>1847</v>
      </c>
      <c r="R329" s="718" t="s">
        <v>1848</v>
      </c>
      <c r="S329" s="718" t="s">
        <v>375</v>
      </c>
      <c r="T329" s="510" t="s">
        <v>1849</v>
      </c>
      <c r="U329" s="508"/>
    </row>
    <row r="330" spans="2:21" hidden="1" x14ac:dyDescent="0.3">
      <c r="B330" s="506"/>
      <c r="C330" s="506" t="s">
        <v>302</v>
      </c>
      <c r="D330" s="506" t="str">
        <f>VLOOKUP(C330,'Base de Datos'!$E$7:$AU$390,2,0)</f>
        <v>DIVIEXPORT EU</v>
      </c>
      <c r="E330" s="509">
        <f>VLOOKUP(C330,'Base de Datos'!$E$7:$AU$390,5,0)</f>
        <v>4672000</v>
      </c>
      <c r="F330" s="509" t="str">
        <f>VLOOKUP(C330,'Base de Datos'!$E$7:$AU$390,17,0)</f>
        <v/>
      </c>
      <c r="G330" s="506"/>
      <c r="H330" s="506"/>
      <c r="I330" s="506"/>
      <c r="J330" s="509" t="str">
        <f>VLOOKUP(C330,'Base de Datos'!$E$7:$AU$390,18,0)</f>
        <v/>
      </c>
      <c r="K330" s="573"/>
      <c r="L330" s="714">
        <f>VLOOKUP(C330,'Base de Datos'!$E$7:$AU$390,19,0)</f>
        <v>42050</v>
      </c>
      <c r="M330" s="506"/>
      <c r="N330" s="509" t="str">
        <f>IF(OR(O330=Hoja1!$D$17,'Presupuesto - PAA 2018'!O330=Hoja1!$D$18),'Presupuesto - PAA 2018'!L330," ")</f>
        <v xml:space="preserve"> </v>
      </c>
      <c r="O330" s="723" t="s">
        <v>2132</v>
      </c>
      <c r="P330" s="709" t="s">
        <v>2135</v>
      </c>
      <c r="Q330" s="506"/>
      <c r="R330" s="715">
        <f>VLOOKUP(C330,'Base de Datos'!$E$7:$AU$390,9,0)</f>
        <v>41835</v>
      </c>
      <c r="S330" s="715" t="str">
        <f>VLOOKUP(C330,'Base de Datos'!$E$7:$AU$390,16,0)</f>
        <v/>
      </c>
      <c r="T330" s="651">
        <f>VLOOKUP(C330,'Base de Datos'!$E$7:$AU$390,40,0)</f>
        <v>0</v>
      </c>
      <c r="U330" s="508"/>
    </row>
    <row r="331" spans="2:21" ht="22.8" hidden="1" x14ac:dyDescent="0.3">
      <c r="B331" s="506"/>
      <c r="C331" s="506" t="s">
        <v>271</v>
      </c>
      <c r="D331" s="506" t="str">
        <f>VLOOKUP(C331,'Base de Datos'!$E$7:$AU$390,2,0)</f>
        <v>MODULARES OFIMA LTDA</v>
      </c>
      <c r="E331" s="509">
        <f>VLOOKUP(C331,'Base de Datos'!$E$7:$AU$390,5,0)</f>
        <v>28000000</v>
      </c>
      <c r="F331" s="509" t="str">
        <f>VLOOKUP(C331,'Base de Datos'!$E$7:$AU$390,17,0)</f>
        <v/>
      </c>
      <c r="G331" s="506"/>
      <c r="H331" s="506"/>
      <c r="I331" s="506"/>
      <c r="J331" s="509" t="str">
        <f>VLOOKUP(C331,'Base de Datos'!$E$7:$AU$390,18,0)</f>
        <v/>
      </c>
      <c r="K331" s="573"/>
      <c r="L331" s="714">
        <f>VLOOKUP(C331,'Base de Datos'!$E$7:$AU$390,19,0)</f>
        <v>41951</v>
      </c>
      <c r="M331" s="506"/>
      <c r="N331" s="509" t="str">
        <f>IF(OR(O331=Hoja1!$D$17,'Presupuesto - PAA 2018'!O331=Hoja1!$D$18),'Presupuesto - PAA 2018'!L331," ")</f>
        <v xml:space="preserve"> </v>
      </c>
      <c r="O331" s="723" t="str">
        <f>VLOOKUP(C331,'Base de Datos'!$E$7:$AU$390,33,0)</f>
        <v>Dirección Administrativa</v>
      </c>
      <c r="P331" s="709" t="s">
        <v>2135</v>
      </c>
      <c r="Q331" s="506"/>
      <c r="R331" s="715">
        <f>VLOOKUP(C331,'Base de Datos'!$E$7:$AU$390,9,0)</f>
        <v>41738</v>
      </c>
      <c r="S331" s="715" t="str">
        <f>VLOOKUP(C331,'Base de Datos'!$E$7:$AU$390,16,0)</f>
        <v/>
      </c>
      <c r="T331" s="651">
        <f>VLOOKUP(C331,'Base de Datos'!$E$7:$AU$390,40,0)</f>
        <v>0</v>
      </c>
      <c r="U331" s="508"/>
    </row>
    <row r="332" spans="2:21" ht="22.8" hidden="1" x14ac:dyDescent="0.3">
      <c r="B332" s="506"/>
      <c r="C332" s="506" t="s">
        <v>279</v>
      </c>
      <c r="D332" s="506" t="str">
        <f>VLOOKUP(C332,'Base de Datos'!$E$7:$AU$390,2,0)</f>
        <v>HERNANDO  BULLA ORJUELA</v>
      </c>
      <c r="E332" s="509">
        <f>VLOOKUP(C332,'Base de Datos'!$E$7:$AU$390,5,0)</f>
        <v>20872000</v>
      </c>
      <c r="F332" s="509" t="str">
        <f>VLOOKUP(C332,'Base de Datos'!$E$7:$AU$390,17,0)</f>
        <v/>
      </c>
      <c r="G332" s="506"/>
      <c r="H332" s="506"/>
      <c r="I332" s="506"/>
      <c r="J332" s="509" t="str">
        <f>VLOOKUP(C332,'Base de Datos'!$E$7:$AU$390,18,0)</f>
        <v/>
      </c>
      <c r="K332" s="573"/>
      <c r="L332" s="714">
        <f>VLOOKUP(C332,'Base de Datos'!$E$7:$AU$390,19,0)</f>
        <v>42091</v>
      </c>
      <c r="M332" s="506"/>
      <c r="N332" s="509" t="str">
        <f>IF(OR(O332=Hoja1!$D$17,'Presupuesto - PAA 2018'!O332=Hoja1!$D$18),'Presupuesto - PAA 2018'!L332," ")</f>
        <v xml:space="preserve"> </v>
      </c>
      <c r="O332" s="723" t="str">
        <f>VLOOKUP(C332,'Base de Datos'!$E$7:$AU$390,33,0)</f>
        <v>Dirección Administrativa</v>
      </c>
      <c r="P332" s="709" t="s">
        <v>2135</v>
      </c>
      <c r="Q332" s="506"/>
      <c r="R332" s="715">
        <f>VLOOKUP(C332,'Base de Datos'!$E$7:$AU$390,9,0)</f>
        <v>41757</v>
      </c>
      <c r="S332" s="715">
        <f>VLOOKUP(C332,'Base de Datos'!$E$7:$AU$390,16,0)</f>
        <v>42091</v>
      </c>
      <c r="T332" s="651">
        <f>VLOOKUP(C332,'Base de Datos'!$E$7:$AU$390,40,0)</f>
        <v>0</v>
      </c>
      <c r="U332" s="508"/>
    </row>
    <row r="333" spans="2:21" ht="22.8" hidden="1" x14ac:dyDescent="0.3">
      <c r="B333" s="506"/>
      <c r="C333" s="506" t="s">
        <v>268</v>
      </c>
      <c r="D333" s="506" t="str">
        <f>VLOOKUP(C333,'Base de Datos'!$E$7:$AU$390,2,0)</f>
        <v>MITSUBISHIS ELECTRIC DE COLOMBIA LTDA</v>
      </c>
      <c r="E333" s="509">
        <f>VLOOKUP(C333,'Base de Datos'!$E$7:$AU$390,5,0)</f>
        <v>16555000</v>
      </c>
      <c r="F333" s="509" t="str">
        <f>VLOOKUP(C333,'Base de Datos'!$E$7:$AU$390,17,0)</f>
        <v/>
      </c>
      <c r="G333" s="506"/>
      <c r="H333" s="506"/>
      <c r="I333" s="506"/>
      <c r="J333" s="509" t="str">
        <f>VLOOKUP(C333,'Base de Datos'!$E$7:$AU$390,18,0)</f>
        <v/>
      </c>
      <c r="K333" s="573"/>
      <c r="L333" s="714">
        <f>VLOOKUP(C333,'Base de Datos'!$E$7:$AU$390,19,0)</f>
        <v>42096</v>
      </c>
      <c r="M333" s="506"/>
      <c r="N333" s="509" t="str">
        <f>IF(OR(O333=Hoja1!$D$17,'Presupuesto - PAA 2018'!O333=Hoja1!$D$18),'Presupuesto - PAA 2018'!L333," ")</f>
        <v xml:space="preserve"> </v>
      </c>
      <c r="O333" s="651" t="str">
        <f>VLOOKUP(C333,'Base de Datos'!$E$7:$AU$390,33,0)</f>
        <v>Dirección Administrativa</v>
      </c>
      <c r="P333" s="709"/>
      <c r="Q333" s="506"/>
      <c r="R333" s="715">
        <f>VLOOKUP(C333,'Base de Datos'!$E$7:$AU$390,9,0)</f>
        <v>41732</v>
      </c>
      <c r="S333" s="715" t="str">
        <f>VLOOKUP(C333,'Base de Datos'!$E$7:$AU$390,16,0)</f>
        <v/>
      </c>
      <c r="T333" s="651">
        <f>VLOOKUP(C333,'Base de Datos'!$E$7:$AU$390,40,0)</f>
        <v>0</v>
      </c>
      <c r="U333" s="508"/>
    </row>
    <row r="334" spans="2:21" ht="22.8" hidden="1" x14ac:dyDescent="0.3">
      <c r="B334" s="506"/>
      <c r="C334" s="506" t="s">
        <v>1490</v>
      </c>
      <c r="D334" s="506" t="str">
        <f>VLOOKUP(C334,'Base de Datos'!$E$7:$AU$390,2,0)</f>
        <v>VIGILANCIA ACOSTA LIMITADA</v>
      </c>
      <c r="E334" s="509">
        <f>VLOOKUP(C334,'Base de Datos'!$E$7:$AU$390,5,0)</f>
        <v>300000000</v>
      </c>
      <c r="F334" s="509" t="str">
        <f>VLOOKUP(C334,'Base de Datos'!$E$7:$AU$390,17,0)</f>
        <v/>
      </c>
      <c r="G334" s="506"/>
      <c r="H334" s="506"/>
      <c r="I334" s="506"/>
      <c r="J334" s="509" t="str">
        <f>VLOOKUP(C334,'Base de Datos'!$E$7:$AU$390,18,0)</f>
        <v/>
      </c>
      <c r="K334" s="573"/>
      <c r="L334" s="714">
        <f>VLOOKUP(C334,'Base de Datos'!$E$7:$AU$390,19,0)</f>
        <v>42140</v>
      </c>
      <c r="M334" s="506"/>
      <c r="N334" s="509" t="str">
        <f>IF(OR(O334=Hoja1!$D$17,'Presupuesto - PAA 2018'!O334=Hoja1!$D$18),'Presupuesto - PAA 2018'!L334," ")</f>
        <v xml:space="preserve"> </v>
      </c>
      <c r="O334" s="651" t="str">
        <f>VLOOKUP(C334,'Base de Datos'!$E$7:$AU$390,33,0)</f>
        <v>Dirección Administrativa</v>
      </c>
      <c r="P334" s="709"/>
      <c r="Q334" s="506"/>
      <c r="R334" s="715">
        <f>VLOOKUP(C334,'Base de Datos'!$E$7:$AU$390,9,0)</f>
        <v>41989</v>
      </c>
      <c r="S334" s="715" t="str">
        <f>VLOOKUP(C334,'Base de Datos'!$E$7:$AU$390,16,0)</f>
        <v/>
      </c>
      <c r="T334" s="651">
        <f>VLOOKUP(C334,'Base de Datos'!$E$7:$AU$390,40,0)</f>
        <v>0</v>
      </c>
      <c r="U334" s="508"/>
    </row>
    <row r="335" spans="2:21" ht="22.8" hidden="1" x14ac:dyDescent="0.3">
      <c r="B335" s="506"/>
      <c r="C335" s="506" t="s">
        <v>292</v>
      </c>
      <c r="D335" s="506" t="str">
        <f>VLOOKUP(C335,'Base de Datos'!$E$7:$AU$390,2,0)</f>
        <v>ELKIN MAURICIO DIMAS MONTAYA</v>
      </c>
      <c r="E335" s="509">
        <f>VLOOKUP(C335,'Base de Datos'!$E$7:$AU$390,5,0)</f>
        <v>16390000</v>
      </c>
      <c r="F335" s="509" t="str">
        <f>VLOOKUP(C335,'Base de Datos'!$E$7:$AU$390,17,0)</f>
        <v/>
      </c>
      <c r="G335" s="506"/>
      <c r="H335" s="506"/>
      <c r="I335" s="506"/>
      <c r="J335" s="509" t="str">
        <f>VLOOKUP(C335,'Base de Datos'!$E$7:$AU$390,18,0)</f>
        <v/>
      </c>
      <c r="K335" s="573"/>
      <c r="L335" s="714">
        <f>VLOOKUP(C335,'Base de Datos'!$E$7:$AU$390,19,0)</f>
        <v>42247</v>
      </c>
      <c r="M335" s="506"/>
      <c r="N335" s="509" t="str">
        <f>IF(OR(O335=Hoja1!$D$17,'Presupuesto - PAA 2018'!O335=Hoja1!$D$18),'Presupuesto - PAA 2018'!L335," ")</f>
        <v xml:space="preserve"> </v>
      </c>
      <c r="O335" s="651" t="str">
        <f>VLOOKUP(C335,'Base de Datos'!$E$7:$AU$390,33,0)</f>
        <v>Dirección Administrativa</v>
      </c>
      <c r="P335" s="709"/>
      <c r="Q335" s="506"/>
      <c r="R335" s="715">
        <f>VLOOKUP(C335,'Base de Datos'!$E$7:$AU$390,9,0)</f>
        <v>41799</v>
      </c>
      <c r="S335" s="715">
        <f>VLOOKUP(C335,'Base de Datos'!$E$7:$AU$390,16,0)</f>
        <v>42247</v>
      </c>
      <c r="T335" s="651">
        <f>VLOOKUP(C335,'Base de Datos'!$E$7:$AU$390,40,0)</f>
        <v>0</v>
      </c>
      <c r="U335" s="508"/>
    </row>
    <row r="336" spans="2:21" ht="22.8" hidden="1" x14ac:dyDescent="0.3">
      <c r="B336" s="506"/>
      <c r="C336" s="506" t="s">
        <v>401</v>
      </c>
      <c r="D336" s="506" t="str">
        <f>VLOOKUP(C336,'Base de Datos'!$E$7:$AU$390,2,0)</f>
        <v>H &amp; D OFIMAGEN</v>
      </c>
      <c r="E336" s="509">
        <f>VLOOKUP(C336,'Base de Datos'!$E$7:$AU$390,5,0)</f>
        <v>249991314</v>
      </c>
      <c r="F336" s="509" t="str">
        <f>VLOOKUP(C336,'Base de Datos'!$E$7:$AU$390,17,0)</f>
        <v/>
      </c>
      <c r="G336" s="506"/>
      <c r="H336" s="506"/>
      <c r="I336" s="506"/>
      <c r="J336" s="509" t="str">
        <f>VLOOKUP(C336,'Base de Datos'!$E$7:$AU$390,18,0)</f>
        <v/>
      </c>
      <c r="K336" s="573"/>
      <c r="L336" s="714">
        <f>VLOOKUP(C336,'Base de Datos'!$E$7:$AU$390,19,0)</f>
        <v>42216</v>
      </c>
      <c r="M336" s="506"/>
      <c r="N336" s="509" t="str">
        <f>IF(OR(O336=Hoja1!$D$17,'Presupuesto - PAA 2018'!O336=Hoja1!$D$18),'Presupuesto - PAA 2018'!L336," ")</f>
        <v xml:space="preserve"> </v>
      </c>
      <c r="O336" s="651" t="str">
        <f>VLOOKUP(C336,'Base de Datos'!$E$7:$AU$390,33,0)</f>
        <v>Dirección Administrativa</v>
      </c>
      <c r="P336" s="709"/>
      <c r="Q336" s="506"/>
      <c r="R336" s="715">
        <f>VLOOKUP(C336,'Base de Datos'!$E$7:$AU$390,9,0)</f>
        <v>41837</v>
      </c>
      <c r="S336" s="715">
        <f>VLOOKUP(C336,'Base de Datos'!$E$7:$AU$390,16,0)</f>
        <v>42216</v>
      </c>
      <c r="T336" s="651">
        <f>VLOOKUP(C336,'Base de Datos'!$E$7:$AU$390,40,0)</f>
        <v>0</v>
      </c>
      <c r="U336" s="508"/>
    </row>
    <row r="337" spans="2:21" ht="22.8" hidden="1" x14ac:dyDescent="0.3">
      <c r="B337" s="506"/>
      <c r="C337" s="506" t="s">
        <v>146</v>
      </c>
      <c r="D337" s="506" t="str">
        <f>VLOOKUP(C337,'Base de Datos'!$E$7:$AU$390,2,0)</f>
        <v xml:space="preserve">UNIÓN TEMPORAL EMINSER-SOLOASEO </v>
      </c>
      <c r="E337" s="509">
        <f>VLOOKUP(C337,'Base de Datos'!$E$7:$AU$390,5,0)</f>
        <v>301200000</v>
      </c>
      <c r="F337" s="509" t="str">
        <f>VLOOKUP(C337,'Base de Datos'!$E$7:$AU$390,17,0)</f>
        <v/>
      </c>
      <c r="G337" s="506"/>
      <c r="H337" s="506"/>
      <c r="I337" s="506"/>
      <c r="J337" s="509" t="str">
        <f>VLOOKUP(C337,'Base de Datos'!$E$7:$AU$390,18,0)</f>
        <v/>
      </c>
      <c r="K337" s="573"/>
      <c r="L337" s="726">
        <v>1021877</v>
      </c>
      <c r="M337" s="506"/>
      <c r="N337" s="509" t="str">
        <f>IF(OR(O337=Hoja1!$D$17,'Presupuesto - PAA 2018'!O337=Hoja1!$D$18),'Presupuesto - PAA 2018'!L337," ")</f>
        <v xml:space="preserve"> </v>
      </c>
      <c r="O337" s="723" t="str">
        <f>VLOOKUP(C337,'Base de Datos'!$E$7:$AU$390,33,0)</f>
        <v>Dirección Administrativa</v>
      </c>
      <c r="P337" s="709" t="s">
        <v>2135</v>
      </c>
      <c r="Q337" s="506"/>
      <c r="R337" s="715">
        <f>VLOOKUP(C337,'Base de Datos'!$E$7:$AU$390,9,0)</f>
        <v>41446</v>
      </c>
      <c r="S337" s="715">
        <f>VLOOKUP(C337,'Base de Datos'!$E$7:$AU$390,16,0)</f>
        <v>41810</v>
      </c>
      <c r="T337" s="651">
        <f>VLOOKUP(C337,'Base de Datos'!$E$7:$AU$390,40,0)</f>
        <v>0</v>
      </c>
      <c r="U337" s="508"/>
    </row>
    <row r="338" spans="2:21" ht="18.75" hidden="1" customHeight="1" x14ac:dyDescent="0.3">
      <c r="B338" s="506"/>
      <c r="C338" s="506" t="s">
        <v>400</v>
      </c>
      <c r="D338" s="506" t="str">
        <f>VLOOKUP(C338,'Base de Datos'!$E$7:$AU$390,2,0)</f>
        <v>SODINLEC LTDA</v>
      </c>
      <c r="E338" s="509">
        <f>VLOOKUP(C338,'Base de Datos'!$E$7:$AU$390,5,0)</f>
        <v>10564000</v>
      </c>
      <c r="F338" s="509" t="str">
        <f>VLOOKUP(C338,'Base de Datos'!$E$7:$AU$390,17,0)</f>
        <v/>
      </c>
      <c r="G338" s="506"/>
      <c r="H338" s="506"/>
      <c r="I338" s="506"/>
      <c r="J338" s="509" t="str">
        <f>VLOOKUP(C338,'Base de Datos'!$E$7:$AU$390,18,0)</f>
        <v/>
      </c>
      <c r="K338" s="573"/>
      <c r="L338" s="714">
        <f>VLOOKUP(C338,'Base de Datos'!$E$7:$AU$390,19,0)</f>
        <v>42096</v>
      </c>
      <c r="M338" s="506"/>
      <c r="N338" s="509" t="str">
        <f>IF(OR(O338=Hoja1!$D$17,'Presupuesto - PAA 2018'!O338=Hoja1!$D$18),'Presupuesto - PAA 2018'!L338," ")</f>
        <v xml:space="preserve"> </v>
      </c>
      <c r="O338" s="651" t="str">
        <f>VLOOKUP(C338,'Base de Datos'!$E$7:$AU$390,33,0)</f>
        <v>Dirección Administrativa</v>
      </c>
      <c r="P338" s="709"/>
      <c r="Q338" s="506"/>
      <c r="R338" s="715">
        <f>VLOOKUP(C338,'Base de Datos'!$E$7:$AU$390,9,0)</f>
        <v>41793</v>
      </c>
      <c r="S338" s="715" t="str">
        <f>VLOOKUP(C338,'Base de Datos'!$E$7:$AU$390,16,0)</f>
        <v/>
      </c>
      <c r="T338" s="651">
        <f>VLOOKUP(C338,'Base de Datos'!$E$7:$AU$390,40,0)</f>
        <v>0</v>
      </c>
      <c r="U338" s="508"/>
    </row>
    <row r="339" spans="2:21" ht="22.8" hidden="1" x14ac:dyDescent="0.3">
      <c r="B339" s="506"/>
      <c r="C339" s="506" t="s">
        <v>213</v>
      </c>
      <c r="D339" s="506" t="str">
        <f>VLOOKUP(C339,'Base de Datos'!$E$7:$AU$390,2,0)</f>
        <v>UNIÓN TEMPORAL VIGILANCIA ACOSTA LTDA  - RUMBO ASOCIADOS</v>
      </c>
      <c r="E339" s="509">
        <f>VLOOKUP(C339,'Base de Datos'!$E$7:$AU$390,5,0)</f>
        <v>533636000</v>
      </c>
      <c r="F339" s="509" t="str">
        <f>VLOOKUP(C339,'Base de Datos'!$E$7:$AU$390,17,0)</f>
        <v/>
      </c>
      <c r="G339" s="506"/>
      <c r="H339" s="506"/>
      <c r="I339" s="506"/>
      <c r="J339" s="509" t="str">
        <f>VLOOKUP(C339,'Base de Datos'!$E$7:$AU$390,18,0)</f>
        <v/>
      </c>
      <c r="K339" s="573"/>
      <c r="L339" s="714">
        <f>VLOOKUP(C339,'Base de Datos'!$E$7:$AU$390,19,0)</f>
        <v>41975</v>
      </c>
      <c r="M339" s="506"/>
      <c r="N339" s="509" t="str">
        <f>IF(OR(O339=Hoja1!$D$17,'Presupuesto - PAA 2018'!O339=Hoja1!$D$18),'Presupuesto - PAA 2018'!L339," ")</f>
        <v xml:space="preserve"> </v>
      </c>
      <c r="O339" s="723" t="str">
        <f>VLOOKUP(C339,'Base de Datos'!$E$7:$AU$390,33,0)</f>
        <v>Dirección Administrativa</v>
      </c>
      <c r="P339" s="709" t="s">
        <v>2135</v>
      </c>
      <c r="Q339" s="506"/>
      <c r="R339" s="715"/>
      <c r="S339" s="715"/>
      <c r="T339" s="651">
        <f>VLOOKUP(C339,'Base de Datos'!$E$7:$AU$390,40,0)</f>
        <v>0</v>
      </c>
      <c r="U339" s="508"/>
    </row>
    <row r="340" spans="2:21" ht="22.8" hidden="1" x14ac:dyDescent="0.3">
      <c r="B340" s="506"/>
      <c r="C340" s="506" t="s">
        <v>287</v>
      </c>
      <c r="D340" s="506" t="str">
        <f>VLOOKUP(C340,'Base de Datos'!$E$7:$AU$390,2,0)</f>
        <v xml:space="preserve">UNIÓN TEMPORAL EMINSER-SOLOASEO </v>
      </c>
      <c r="E340" s="509">
        <f>VLOOKUP(C340,'Base de Datos'!$E$7:$AU$390,5,0)</f>
        <v>337487000</v>
      </c>
      <c r="F340" s="509" t="str">
        <f>VLOOKUP(C340,'Base de Datos'!$E$7:$AU$390,17,0)</f>
        <v/>
      </c>
      <c r="G340" s="506"/>
      <c r="H340" s="506"/>
      <c r="I340" s="506"/>
      <c r="J340" s="509" t="str">
        <f>VLOOKUP(C340,'Base de Datos'!$E$7:$AU$390,18,0)</f>
        <v/>
      </c>
      <c r="K340" s="573"/>
      <c r="L340" s="714">
        <v>16123070</v>
      </c>
      <c r="M340" s="506"/>
      <c r="N340" s="509" t="str">
        <f>IF(OR(O340=Hoja1!$D$17,'Presupuesto - PAA 2018'!O340=Hoja1!$D$18),'Presupuesto - PAA 2018'!L340," ")</f>
        <v xml:space="preserve"> </v>
      </c>
      <c r="O340" s="651" t="str">
        <f>VLOOKUP(C340,'Base de Datos'!$E$7:$AU$390,33,0)</f>
        <v>Dirección Administrativa</v>
      </c>
      <c r="P340" s="709"/>
      <c r="Q340" s="506"/>
      <c r="R340" s="715">
        <f>VLOOKUP(C340,'Base de Datos'!$E$7:$AU$390,9,0)</f>
        <v>41811</v>
      </c>
      <c r="S340" s="715">
        <f>VLOOKUP(C340,'Base de Datos'!$E$7:$AU$390,16,0)</f>
        <v>42186</v>
      </c>
      <c r="T340" s="651" t="str">
        <f>VLOOKUP(C340,'Base de Datos'!$E$7:$AU$390,40,0)</f>
        <v>MANUEL ROJAS</v>
      </c>
      <c r="U340" s="508"/>
    </row>
    <row r="341" spans="2:21" ht="22.8" hidden="1" x14ac:dyDescent="0.3">
      <c r="B341" s="506"/>
      <c r="C341" s="506" t="s">
        <v>266</v>
      </c>
      <c r="D341" s="506" t="str">
        <f>VLOOKUP(C341,'Base de Datos'!$E$7:$AU$390,2,0)</f>
        <v>SYSTEM NET INGENIERÍA LTDA</v>
      </c>
      <c r="E341" s="509">
        <f>VLOOKUP(C341,'Base de Datos'!$E$7:$AU$390,5,0)</f>
        <v>4982000</v>
      </c>
      <c r="F341" s="509" t="str">
        <f>VLOOKUP(C341,'Base de Datos'!$E$7:$AU$390,17,0)</f>
        <v/>
      </c>
      <c r="G341" s="506"/>
      <c r="H341" s="506"/>
      <c r="I341" s="506"/>
      <c r="J341" s="509" t="str">
        <f>VLOOKUP(C341,'Base de Datos'!$E$7:$AU$390,18,0)</f>
        <v/>
      </c>
      <c r="K341" s="573"/>
      <c r="L341" s="714">
        <f>VLOOKUP(C341,'Base de Datos'!$E$7:$AU$390,19,0)</f>
        <v>41969</v>
      </c>
      <c r="M341" s="506"/>
      <c r="N341" s="509" t="str">
        <f>IF(OR(O341=Hoja1!$D$17,'Presupuesto - PAA 2018'!O341=Hoja1!$D$18),'Presupuesto - PAA 2018'!L341," ")</f>
        <v xml:space="preserve"> </v>
      </c>
      <c r="O341" s="651" t="str">
        <f>VLOOKUP(C341,'Base de Datos'!$E$7:$AU$390,33,0)</f>
        <v>Dirección Administrativa</v>
      </c>
      <c r="P341" s="709"/>
      <c r="Q341" s="506"/>
      <c r="R341" s="715">
        <f>VLOOKUP(C341,'Base de Datos'!$E$7:$AU$390,9,0)</f>
        <v>41725</v>
      </c>
      <c r="S341" s="715" t="str">
        <f>VLOOKUP(C341,'Base de Datos'!$E$7:$AU$390,16,0)</f>
        <v/>
      </c>
      <c r="T341" s="651">
        <f>VLOOKUP(C341,'Base de Datos'!$E$7:$AU$390,40,0)</f>
        <v>0</v>
      </c>
      <c r="U341" s="508"/>
    </row>
    <row r="342" spans="2:21" ht="22.8" hidden="1" x14ac:dyDescent="0.3">
      <c r="B342" s="506"/>
      <c r="C342" s="506" t="s">
        <v>1105</v>
      </c>
      <c r="D342" s="506" t="str">
        <f>VLOOKUP(C342,'Base de Datos'!$E$7:$AU$390,2,0)</f>
        <v>MOTORES Y MAQUINAS MOTORYSA</v>
      </c>
      <c r="E342" s="509">
        <f>VLOOKUP(C342,'Base de Datos'!$E$7:$AU$390,5,0)</f>
        <v>30000000</v>
      </c>
      <c r="F342" s="509" t="str">
        <f>VLOOKUP(C342,'Base de Datos'!$E$7:$AU$390,17,0)</f>
        <v/>
      </c>
      <c r="G342" s="506"/>
      <c r="H342" s="506"/>
      <c r="I342" s="506"/>
      <c r="J342" s="509" t="str">
        <f>VLOOKUP(C342,'Base de Datos'!$E$7:$AU$390,18,0)</f>
        <v/>
      </c>
      <c r="K342" s="573"/>
      <c r="L342" s="714">
        <f>VLOOKUP(C342,'Base de Datos'!$E$7:$AU$390,19,0)</f>
        <v>42129</v>
      </c>
      <c r="M342" s="506"/>
      <c r="N342" s="509" t="str">
        <f>IF(OR(O342=Hoja1!$D$17,'Presupuesto - PAA 2018'!O342=Hoja1!$D$18),'Presupuesto - PAA 2018'!L342," ")</f>
        <v xml:space="preserve"> </v>
      </c>
      <c r="O342" s="651" t="str">
        <f>VLOOKUP(C342,'Base de Datos'!$E$7:$AU$390,33,0)</f>
        <v>Dirección Administrativa</v>
      </c>
      <c r="P342" s="709"/>
      <c r="Q342" s="506"/>
      <c r="R342" s="715">
        <f>VLOOKUP(C342,'Base de Datos'!$E$7:$AU$390,9,0)</f>
        <v>41703</v>
      </c>
      <c r="S342" s="715">
        <f>VLOOKUP(C342,'Base de Datos'!$E$7:$AU$390,16,0)</f>
        <v>42129</v>
      </c>
      <c r="T342" s="651">
        <f>VLOOKUP(C342,'Base de Datos'!$E$7:$AU$390,40,0)</f>
        <v>0</v>
      </c>
      <c r="U342" s="508"/>
    </row>
    <row r="343" spans="2:21" ht="22.8" hidden="1" x14ac:dyDescent="0.3">
      <c r="B343" s="506"/>
      <c r="C343" s="506" t="s">
        <v>187</v>
      </c>
      <c r="D343" s="506" t="str">
        <f>VLOOKUP(C343,'Base de Datos'!$E$7:$AU$390,2,0)</f>
        <v>INVERSIONES LIGOL - INVERLIGOL LTD A</v>
      </c>
      <c r="E343" s="509">
        <f>VLOOKUP(C343,'Base de Datos'!$E$7:$AU$390,5,0)</f>
        <v>16804000</v>
      </c>
      <c r="F343" s="509" t="str">
        <f>VLOOKUP(C343,'Base de Datos'!$E$7:$AU$390,17,0)</f>
        <v/>
      </c>
      <c r="G343" s="506"/>
      <c r="H343" s="506"/>
      <c r="I343" s="506"/>
      <c r="J343" s="509" t="str">
        <f>VLOOKUP(C343,'Base de Datos'!$E$7:$AU$390,18,0)</f>
        <v/>
      </c>
      <c r="K343" s="573"/>
      <c r="L343" s="714">
        <f>VLOOKUP(C343,'Base de Datos'!$E$7:$AU$390,19,0)</f>
        <v>42099</v>
      </c>
      <c r="M343" s="506"/>
      <c r="N343" s="509" t="str">
        <f>IF(OR(O343=Hoja1!$D$17,'Presupuesto - PAA 2018'!O343=Hoja1!$D$18),'Presupuesto - PAA 2018'!L343," ")</f>
        <v xml:space="preserve"> </v>
      </c>
      <c r="O343" s="651" t="str">
        <f>VLOOKUP(C343,'Base de Datos'!$E$7:$AU$390,33,0)</f>
        <v>Dirección Administrativa</v>
      </c>
      <c r="P343" s="709"/>
      <c r="Q343" s="506"/>
      <c r="R343" s="715">
        <f>VLOOKUP(C343,'Base de Datos'!$E$7:$AU$390,9,0)</f>
        <v>41523</v>
      </c>
      <c r="S343" s="715">
        <f>VLOOKUP(C343,'Base de Datos'!$E$7:$AU$390,16,0)</f>
        <v>42099</v>
      </c>
      <c r="T343" s="651">
        <f>VLOOKUP(C343,'Base de Datos'!$E$7:$AU$390,40,0)</f>
        <v>0</v>
      </c>
      <c r="U343" s="508"/>
    </row>
    <row r="344" spans="2:21" ht="22.8" hidden="1" x14ac:dyDescent="0.3">
      <c r="B344" s="506"/>
      <c r="C344" s="506" t="s">
        <v>1100</v>
      </c>
      <c r="D344" s="506" t="str">
        <f>VLOOKUP(C344,'Base de Datos'!$E$7:$AU$390,2,0)</f>
        <v>INGENIERÍA DE BOMBAS Y PLANTAS LIMITADA</v>
      </c>
      <c r="E344" s="509">
        <f>VLOOKUP(C344,'Base de Datos'!$E$7:$AU$390,5,0)</f>
        <v>6252000</v>
      </c>
      <c r="F344" s="509" t="str">
        <f>VLOOKUP(C344,'Base de Datos'!$E$7:$AU$390,17,0)</f>
        <v/>
      </c>
      <c r="G344" s="506"/>
      <c r="H344" s="506"/>
      <c r="I344" s="506"/>
      <c r="J344" s="509" t="str">
        <f>VLOOKUP(C344,'Base de Datos'!$E$7:$AU$390,18,0)</f>
        <v/>
      </c>
      <c r="K344" s="573"/>
      <c r="L344" s="714">
        <f>VLOOKUP(C344,'Base de Datos'!$E$7:$AU$390,19,0)</f>
        <v>42207</v>
      </c>
      <c r="M344" s="506"/>
      <c r="N344" s="509" t="str">
        <f>IF(OR(O344=Hoja1!$D$17,'Presupuesto - PAA 2018'!O344=Hoja1!$D$18),'Presupuesto - PAA 2018'!L344," ")</f>
        <v xml:space="preserve"> </v>
      </c>
      <c r="O344" s="651" t="str">
        <f>VLOOKUP(C344,'Base de Datos'!$E$7:$AU$390,33,0)</f>
        <v>Dirección Administrativa</v>
      </c>
      <c r="P344" s="709"/>
      <c r="Q344" s="506"/>
      <c r="R344" s="715">
        <f>VLOOKUP(C344,'Base de Datos'!$E$7:$AU$390,9,0)</f>
        <v>41842</v>
      </c>
      <c r="S344" s="715" t="str">
        <f>VLOOKUP(C344,'Base de Datos'!$E$7:$AU$390,16,0)</f>
        <v/>
      </c>
      <c r="T344" s="651">
        <f>VLOOKUP(C344,'Base de Datos'!$E$7:$AU$390,40,0)</f>
        <v>0</v>
      </c>
      <c r="U344" s="508"/>
    </row>
    <row r="345" spans="2:21" ht="22.8" hidden="1" x14ac:dyDescent="0.3">
      <c r="B345" s="506"/>
      <c r="C345" s="506" t="s">
        <v>273</v>
      </c>
      <c r="D345" s="506" t="str">
        <f>VLOOKUP(C345,'Base de Datos'!$E$7:$AU$390,2,0)</f>
        <v>AGR SOLUCIONES S.A.S.</v>
      </c>
      <c r="E345" s="509">
        <f>VLOOKUP(C345,'Base de Datos'!$E$7:$AU$390,5,0)</f>
        <v>11000000</v>
      </c>
      <c r="F345" s="509" t="str">
        <f>VLOOKUP(C345,'Base de Datos'!$E$7:$AU$390,17,0)</f>
        <v/>
      </c>
      <c r="G345" s="506"/>
      <c r="H345" s="506"/>
      <c r="I345" s="506"/>
      <c r="J345" s="509" t="str">
        <f>VLOOKUP(C345,'Base de Datos'!$E$7:$AU$390,18,0)</f>
        <v/>
      </c>
      <c r="K345" s="573"/>
      <c r="L345" s="714">
        <f>VLOOKUP(C345,'Base de Datos'!$E$7:$AU$390,19,0)</f>
        <v>42012</v>
      </c>
      <c r="M345" s="506"/>
      <c r="N345" s="509" t="str">
        <f>IF(OR(O345=Hoja1!$D$17,'Presupuesto - PAA 2018'!O345=Hoja1!$D$18),'Presupuesto - PAA 2018'!L345," ")</f>
        <v xml:space="preserve"> </v>
      </c>
      <c r="O345" s="651" t="str">
        <f>VLOOKUP(C345,'Base de Datos'!$E$7:$AU$390,33,0)</f>
        <v>Dirección Administrativa</v>
      </c>
      <c r="P345" s="709"/>
      <c r="Q345" s="506"/>
      <c r="R345" s="715">
        <f>VLOOKUP(C345,'Base de Datos'!$E$7:$AU$390,9,0)</f>
        <v>41738</v>
      </c>
      <c r="S345" s="715" t="str">
        <f>VLOOKUP(C345,'Base de Datos'!$E$7:$AU$390,16,0)</f>
        <v/>
      </c>
      <c r="T345" s="651">
        <f>VLOOKUP(C345,'Base de Datos'!$E$7:$AU$390,40,0)</f>
        <v>0</v>
      </c>
      <c r="U345" s="508"/>
    </row>
    <row r="346" spans="2:21" hidden="1" x14ac:dyDescent="0.3">
      <c r="B346" s="506"/>
      <c r="C346" s="506"/>
      <c r="D346" s="506"/>
      <c r="E346" s="506"/>
      <c r="F346" s="506"/>
      <c r="G346" s="506"/>
      <c r="H346" s="506"/>
      <c r="I346" s="506"/>
      <c r="J346" s="506"/>
      <c r="K346" s="573"/>
      <c r="L346" s="506"/>
      <c r="M346" s="506"/>
      <c r="N346" s="506"/>
      <c r="O346" s="664"/>
      <c r="P346" s="709"/>
      <c r="Q346" s="506"/>
      <c r="R346" s="716"/>
      <c r="S346" s="716"/>
      <c r="T346" s="506"/>
      <c r="U346" s="508"/>
    </row>
    <row r="347" spans="2:21" ht="12" hidden="1" x14ac:dyDescent="0.3">
      <c r="B347" s="1240" t="s">
        <v>1655</v>
      </c>
      <c r="C347" s="1240"/>
      <c r="D347" s="1240"/>
      <c r="E347" s="512">
        <f>+E348</f>
        <v>3846133</v>
      </c>
      <c r="F347" s="512">
        <f>+F348</f>
        <v>0</v>
      </c>
      <c r="G347" s="513"/>
      <c r="H347" s="513"/>
      <c r="I347" s="513"/>
      <c r="J347" s="512">
        <f>+J348</f>
        <v>674854</v>
      </c>
      <c r="K347" s="583" t="e">
        <f>+J347/F347</f>
        <v>#DIV/0!</v>
      </c>
      <c r="L347" s="512">
        <f>+L348</f>
        <v>1678818</v>
      </c>
      <c r="M347" s="516"/>
      <c r="N347" s="512">
        <f>+N348</f>
        <v>0</v>
      </c>
      <c r="O347" s="662"/>
      <c r="P347" s="548" t="str">
        <f>IF(ISERROR(VLOOKUP(B347,'Base de Datos'!$C$7:$N$315,8,0))=TRUE," ",(VLOOKUP(B347,'Base de Datos'!$C$7:$N$315,8,0)))</f>
        <v xml:space="preserve"> </v>
      </c>
      <c r="Q347" s="542"/>
      <c r="R347" s="719" t="str">
        <f>IF(ISERROR(VLOOKUP(B347,'Base de Datos'!$C$7:$N$315,9,0))=TRUE," ",(VLOOKUP(B347,'Base de Datos'!$C$7:$N$315,9,0)))</f>
        <v xml:space="preserve"> </v>
      </c>
      <c r="S347" s="719" t="str">
        <f>IF(ISERROR(VLOOKUP(B347,'Base de Datos'!$C$7:$N$315,10,0))=TRUE," ",(VLOOKUP(B347,'Base de Datos'!$C$7:$N$315,10,0)))</f>
        <v xml:space="preserve"> </v>
      </c>
      <c r="T347" s="542"/>
      <c r="U347" s="508"/>
    </row>
    <row r="348" spans="2:21" hidden="1" x14ac:dyDescent="0.3">
      <c r="B348" s="1239" t="s">
        <v>1656</v>
      </c>
      <c r="C348" s="1239"/>
      <c r="D348" s="1239"/>
      <c r="E348" s="554">
        <f>SUM(E350:E351)</f>
        <v>3846133</v>
      </c>
      <c r="F348" s="554">
        <f>SUM(F350:F351)</f>
        <v>0</v>
      </c>
      <c r="G348" s="559"/>
      <c r="H348" s="559"/>
      <c r="I348" s="559"/>
      <c r="J348" s="554">
        <f>SUM(J350:J351)</f>
        <v>674854</v>
      </c>
      <c r="K348" s="576" t="e">
        <f>+J348/F348</f>
        <v>#DIV/0!</v>
      </c>
      <c r="L348" s="554">
        <f>SUM(L350:L351)</f>
        <v>1678818</v>
      </c>
      <c r="M348" s="554"/>
      <c r="N348" s="554">
        <f>SUM(N350:N351)</f>
        <v>0</v>
      </c>
      <c r="O348" s="657"/>
      <c r="P348" s="564" t="str">
        <f>IF(ISERROR(VLOOKUP(B348,'Base de Datos'!$C$7:$N$315,8,0))=TRUE," ",(VLOOKUP(B348,'Base de Datos'!$C$7:$N$315,8,0)))</f>
        <v xml:space="preserve"> </v>
      </c>
      <c r="Q348" s="565"/>
      <c r="R348" s="717" t="str">
        <f>IF(ISERROR(VLOOKUP(B348,'Base de Datos'!$C$7:$N$315,9,0))=TRUE," ",(VLOOKUP(B348,'Base de Datos'!$C$7:$N$315,9,0)))</f>
        <v xml:space="preserve"> </v>
      </c>
      <c r="S348" s="717" t="str">
        <f>IF(ISERROR(VLOOKUP(B348,'Base de Datos'!$C$7:$N$315,10,0))=TRUE," ",(VLOOKUP(B348,'Base de Datos'!$C$7:$N$315,10,0)))</f>
        <v xml:space="preserve"> </v>
      </c>
      <c r="T348" s="565"/>
      <c r="U348" s="508"/>
    </row>
    <row r="349" spans="2:21" ht="22.8" hidden="1" x14ac:dyDescent="0.3">
      <c r="B349" s="510" t="s">
        <v>2127</v>
      </c>
      <c r="C349" s="510" t="s">
        <v>912</v>
      </c>
      <c r="D349" s="510" t="s">
        <v>1821</v>
      </c>
      <c r="E349" s="518" t="s">
        <v>1844</v>
      </c>
      <c r="F349" s="507" t="s">
        <v>2129</v>
      </c>
      <c r="G349" s="507"/>
      <c r="H349" s="507"/>
      <c r="I349" s="507"/>
      <c r="J349" s="510" t="s">
        <v>2130</v>
      </c>
      <c r="K349" s="625"/>
      <c r="L349" s="510" t="s">
        <v>1939</v>
      </c>
      <c r="M349" s="510"/>
      <c r="N349" s="510" t="s">
        <v>2136</v>
      </c>
      <c r="O349" s="650" t="s">
        <v>2133</v>
      </c>
      <c r="P349" s="541" t="s">
        <v>1817</v>
      </c>
      <c r="Q349" s="510" t="s">
        <v>1847</v>
      </c>
      <c r="R349" s="718" t="s">
        <v>1848</v>
      </c>
      <c r="S349" s="718" t="s">
        <v>375</v>
      </c>
      <c r="T349" s="510" t="s">
        <v>1849</v>
      </c>
      <c r="U349" s="508"/>
    </row>
    <row r="350" spans="2:21" ht="34.200000000000003" hidden="1" x14ac:dyDescent="0.3">
      <c r="B350" s="506"/>
      <c r="C350" s="506" t="s">
        <v>878</v>
      </c>
      <c r="D350" s="506" t="s">
        <v>2137</v>
      </c>
      <c r="E350" s="509"/>
      <c r="F350" s="509"/>
      <c r="G350" s="506"/>
      <c r="H350" s="506"/>
      <c r="I350" s="506"/>
      <c r="J350" s="509">
        <v>674854</v>
      </c>
      <c r="K350" s="573"/>
      <c r="L350" s="714">
        <v>1636616</v>
      </c>
      <c r="M350" s="506"/>
      <c r="N350" s="509"/>
      <c r="O350" s="651"/>
      <c r="P350" s="709"/>
      <c r="Q350" s="506"/>
      <c r="R350" s="715" t="e">
        <f>VLOOKUP(C350,'Base de Datos'!$E$7:$AU$390,9,0)</f>
        <v>#N/A</v>
      </c>
      <c r="S350" s="715" t="e">
        <f>VLOOKUP(C350,'Base de Datos'!$E$7:$AU$390,16,0)</f>
        <v>#N/A</v>
      </c>
      <c r="T350" s="651"/>
      <c r="U350" s="508"/>
    </row>
    <row r="351" spans="2:21" hidden="1" x14ac:dyDescent="0.3">
      <c r="B351" s="506"/>
      <c r="C351" s="506" t="s">
        <v>919</v>
      </c>
      <c r="D351" s="506" t="str">
        <f>VLOOKUP(C351,'Base de Datos'!$E$7:$AU$390,2,0)</f>
        <v>SEGUROS GENERALES SURAMERICANA</v>
      </c>
      <c r="E351" s="509">
        <f>VLOOKUP(C351,'Base de Datos'!$E$7:$AU$390,5,0)</f>
        <v>3846133</v>
      </c>
      <c r="F351" s="509" t="str">
        <f>VLOOKUP(C351,'Base de Datos'!$E$7:$AU$390,17,0)</f>
        <v/>
      </c>
      <c r="G351" s="506"/>
      <c r="H351" s="506"/>
      <c r="I351" s="506"/>
      <c r="J351" s="509" t="str">
        <f>VLOOKUP(C351,'Base de Datos'!$E$7:$AU$390,18,0)</f>
        <v/>
      </c>
      <c r="K351" s="573"/>
      <c r="L351" s="714">
        <f>VLOOKUP(C351,'Base de Datos'!$E$7:$AU$390,19,0)</f>
        <v>42202</v>
      </c>
      <c r="M351" s="506"/>
      <c r="N351" s="509" t="str">
        <f>IF(OR(O351=Hoja1!$D$17,'Presupuesto - PAA 2018'!O351=Hoja1!$D$18),'Presupuesto - PAA 2018'!L351," ")</f>
        <v xml:space="preserve"> </v>
      </c>
      <c r="O351" s="651">
        <f>VLOOKUP(C351,'Base de Datos'!$E$7:$AU$390,32,0)</f>
        <v>0</v>
      </c>
      <c r="P351" s="709"/>
      <c r="Q351" s="506"/>
      <c r="R351" s="715">
        <f>VLOOKUP(C351,'Base de Datos'!$E$7:$AU$390,9,0)</f>
        <v>41837</v>
      </c>
      <c r="S351" s="715" t="str">
        <f>VLOOKUP(C351,'Base de Datos'!$E$7:$AU$390,16,0)</f>
        <v/>
      </c>
      <c r="T351" s="651"/>
      <c r="U351" s="508"/>
    </row>
    <row r="352" spans="2:21" hidden="1" x14ac:dyDescent="0.3">
      <c r="B352" s="506"/>
      <c r="C352" s="506"/>
      <c r="D352" s="506"/>
      <c r="E352" s="506"/>
      <c r="F352" s="506"/>
      <c r="G352" s="506"/>
      <c r="H352" s="506"/>
      <c r="I352" s="506"/>
      <c r="J352" s="506"/>
      <c r="K352" s="573"/>
      <c r="L352" s="506"/>
      <c r="M352" s="506"/>
      <c r="N352" s="506"/>
      <c r="O352" s="664"/>
      <c r="P352" s="709"/>
      <c r="Q352" s="506"/>
      <c r="R352" s="716"/>
      <c r="S352" s="716"/>
      <c r="T352" s="506"/>
      <c r="U352" s="508"/>
    </row>
    <row r="353" spans="2:21" ht="12" hidden="1" x14ac:dyDescent="0.3">
      <c r="B353" s="1240" t="s">
        <v>1664</v>
      </c>
      <c r="C353" s="1240"/>
      <c r="D353" s="1240"/>
      <c r="E353" s="512">
        <f>+E354</f>
        <v>406019488</v>
      </c>
      <c r="F353" s="604">
        <f>+F354</f>
        <v>0</v>
      </c>
      <c r="G353" s="513"/>
      <c r="H353" s="513"/>
      <c r="I353" s="513"/>
      <c r="J353" s="516">
        <f>+J354</f>
        <v>0</v>
      </c>
      <c r="K353" s="583" t="e">
        <f>+J353/F353</f>
        <v>#DIV/0!</v>
      </c>
      <c r="L353" s="516">
        <f>+L354</f>
        <v>84758</v>
      </c>
      <c r="M353" s="516"/>
      <c r="N353" s="516">
        <f>+N354</f>
        <v>0</v>
      </c>
      <c r="O353" s="662"/>
      <c r="P353" s="548" t="str">
        <f>IF(ISERROR(VLOOKUP(B353,'Base de Datos'!$C$7:$N$315,8,0))=TRUE," ",(VLOOKUP(B353,'Base de Datos'!$C$7:$N$315,8,0)))</f>
        <v xml:space="preserve"> </v>
      </c>
      <c r="Q353" s="542"/>
      <c r="R353" s="719" t="str">
        <f>IF(ISERROR(VLOOKUP(B353,'Base de Datos'!$C$7:$N$315,9,0))=TRUE," ",(VLOOKUP(B353,'Base de Datos'!$C$7:$N$315,9,0)))</f>
        <v xml:space="preserve"> </v>
      </c>
      <c r="S353" s="719" t="str">
        <f>IF(ISERROR(VLOOKUP(B353,'Base de Datos'!$C$7:$N$315,10,0))=TRUE," ",(VLOOKUP(B353,'Base de Datos'!$C$7:$N$315,10,0)))</f>
        <v xml:space="preserve"> </v>
      </c>
      <c r="T353" s="542"/>
      <c r="U353" s="508"/>
    </row>
    <row r="354" spans="2:21" hidden="1" x14ac:dyDescent="0.3">
      <c r="B354" s="1239" t="s">
        <v>1665</v>
      </c>
      <c r="C354" s="1239"/>
      <c r="D354" s="1239"/>
      <c r="E354" s="554">
        <f>SUM(E356:E357)</f>
        <v>406019488</v>
      </c>
      <c r="F354" s="554">
        <f>SUM(F356:F357)</f>
        <v>0</v>
      </c>
      <c r="G354" s="559"/>
      <c r="H354" s="559"/>
      <c r="I354" s="559"/>
      <c r="J354" s="554">
        <f>SUM(J356:J357)</f>
        <v>0</v>
      </c>
      <c r="K354" s="576" t="e">
        <f>+J354/F354</f>
        <v>#DIV/0!</v>
      </c>
      <c r="L354" s="554">
        <f>SUM(L356:L357)</f>
        <v>84758</v>
      </c>
      <c r="M354" s="554"/>
      <c r="N354" s="554">
        <f>SUM(N356:N357)</f>
        <v>0</v>
      </c>
      <c r="O354" s="657"/>
      <c r="P354" s="564" t="str">
        <f>IF(ISERROR(VLOOKUP(B354,'Base de Datos'!$C$7:$N$315,8,0))=TRUE," ",(VLOOKUP(B354,'Base de Datos'!$C$7:$N$315,8,0)))</f>
        <v xml:space="preserve"> </v>
      </c>
      <c r="Q354" s="565"/>
      <c r="R354" s="717" t="str">
        <f>IF(ISERROR(VLOOKUP(B354,'Base de Datos'!$C$7:$N$315,9,0))=TRUE," ",(VLOOKUP(B354,'Base de Datos'!$C$7:$N$315,9,0)))</f>
        <v xml:space="preserve"> </v>
      </c>
      <c r="S354" s="717" t="str">
        <f>IF(ISERROR(VLOOKUP(B354,'Base de Datos'!$C$7:$N$315,10,0))=TRUE," ",(VLOOKUP(B354,'Base de Datos'!$C$7:$N$315,10,0)))</f>
        <v xml:space="preserve"> </v>
      </c>
      <c r="T354" s="565"/>
      <c r="U354" s="508"/>
    </row>
    <row r="355" spans="2:21" ht="22.8" hidden="1" x14ac:dyDescent="0.3">
      <c r="B355" s="510" t="s">
        <v>2127</v>
      </c>
      <c r="C355" s="510" t="s">
        <v>912</v>
      </c>
      <c r="D355" s="510" t="s">
        <v>1821</v>
      </c>
      <c r="E355" s="518" t="s">
        <v>1844</v>
      </c>
      <c r="F355" s="507" t="s">
        <v>2129</v>
      </c>
      <c r="G355" s="507"/>
      <c r="H355" s="507"/>
      <c r="I355" s="507"/>
      <c r="J355" s="510" t="s">
        <v>2130</v>
      </c>
      <c r="K355" s="625"/>
      <c r="L355" s="510" t="s">
        <v>1939</v>
      </c>
      <c r="M355" s="510"/>
      <c r="N355" s="510" t="s">
        <v>2136</v>
      </c>
      <c r="O355" s="650" t="s">
        <v>2133</v>
      </c>
      <c r="P355" s="541" t="s">
        <v>1817</v>
      </c>
      <c r="Q355" s="510" t="s">
        <v>1847</v>
      </c>
      <c r="R355" s="718" t="s">
        <v>1848</v>
      </c>
      <c r="S355" s="718" t="s">
        <v>375</v>
      </c>
      <c r="T355" s="510" t="s">
        <v>1849</v>
      </c>
      <c r="U355" s="508"/>
    </row>
    <row r="356" spans="2:21" ht="22.8" hidden="1" x14ac:dyDescent="0.3">
      <c r="B356" s="506"/>
      <c r="C356" s="506" t="s">
        <v>1536</v>
      </c>
      <c r="D356" s="506" t="str">
        <f>VLOOKUP(C356,'Base de Datos'!$E$7:$AU$390,2,0)</f>
        <v>INSTITUTO COLOMBIANO DE NORMAS TÉCNICAS Y CERTIFICACIÓN ICONTEC</v>
      </c>
      <c r="E356" s="509">
        <f>VLOOKUP(C356,'Base de Datos'!$E$7:$AU$390,5,0)</f>
        <v>4961088</v>
      </c>
      <c r="F356" s="509" t="str">
        <f>VLOOKUP(C356,'Base de Datos'!$E$7:$AU$390,17,0)</f>
        <v/>
      </c>
      <c r="G356" s="506"/>
      <c r="H356" s="506"/>
      <c r="I356" s="506"/>
      <c r="J356" s="509" t="str">
        <f>VLOOKUP(C356,'Base de Datos'!$E$7:$AU$390,18,0)</f>
        <v/>
      </c>
      <c r="K356" s="573"/>
      <c r="L356" s="714">
        <f>VLOOKUP(C356,'Base de Datos'!$E$7:$AU$390,19,0)</f>
        <v>42423</v>
      </c>
      <c r="M356" s="506"/>
      <c r="N356" s="509" t="str">
        <f>IF(OR(O356=Hoja1!$D$17,'Presupuesto - PAA 2018'!O356=Hoja1!$D$18),'Presupuesto - PAA 2018'!L356," ")</f>
        <v xml:space="preserve"> </v>
      </c>
      <c r="O356" s="651" t="str">
        <f>VLOOKUP(C356,'Base de Datos'!$E$7:$AU$390,33,0)</f>
        <v>Dirección Administrativa</v>
      </c>
      <c r="P356" s="709"/>
      <c r="Q356" s="506"/>
      <c r="R356" s="715">
        <f>VLOOKUP(C356,'Base de Datos'!$E$7:$AU$390,9,0)</f>
        <v>42178</v>
      </c>
      <c r="S356" s="715" t="str">
        <f>VLOOKUP(C356,'Base de Datos'!$E$7:$AU$390,16,0)</f>
        <v/>
      </c>
      <c r="T356" s="651">
        <f>VLOOKUP(C356,'Base de Datos'!$E$7:$AU$390,40,0)</f>
        <v>0</v>
      </c>
      <c r="U356" s="508"/>
    </row>
    <row r="357" spans="2:21" ht="22.8" hidden="1" x14ac:dyDescent="0.3">
      <c r="B357" s="506"/>
      <c r="C357" s="506" t="s">
        <v>1473</v>
      </c>
      <c r="D357" s="506" t="str">
        <f>VLOOKUP(C357,'Base de Datos'!$E$7:$AU$390,2,0)</f>
        <v>CENTRO DE RECURSOS EDUCATIVOS PARA LA COMPETITIVIDAD EMPRESARIAL LTDA - CRECE</v>
      </c>
      <c r="E357" s="509">
        <f>VLOOKUP(C357,'Base de Datos'!$E$7:$AU$390,5,0)</f>
        <v>401058400</v>
      </c>
      <c r="F357" s="509" t="str">
        <f>VLOOKUP(C357,'Base de Datos'!$E$7:$AU$390,17,0)</f>
        <v/>
      </c>
      <c r="G357" s="506"/>
      <c r="H357" s="506"/>
      <c r="I357" s="506"/>
      <c r="J357" s="509" t="str">
        <f>VLOOKUP(C357,'Base de Datos'!$E$7:$AU$390,18,0)</f>
        <v/>
      </c>
      <c r="K357" s="573"/>
      <c r="L357" s="714">
        <f>VLOOKUP(C357,'Base de Datos'!$E$7:$AU$390,19,0)</f>
        <v>42335</v>
      </c>
      <c r="M357" s="506"/>
      <c r="N357" s="509" t="str">
        <f>IF(OR(O357=Hoja1!$D$17,'Presupuesto - PAA 2018'!O357=Hoja1!$D$18),'Presupuesto - PAA 2018'!L357," ")</f>
        <v xml:space="preserve"> </v>
      </c>
      <c r="O357" s="651" t="str">
        <f>VLOOKUP(C357,'Base de Datos'!$E$7:$AU$390,33,0)</f>
        <v>Dirección Administrativa</v>
      </c>
      <c r="P357" s="709"/>
      <c r="Q357" s="506"/>
      <c r="R357" s="715">
        <f>VLOOKUP(C357,'Base de Datos'!$E$7:$AU$390,9,0)</f>
        <v>42031</v>
      </c>
      <c r="S357" s="715">
        <f>VLOOKUP(C357,'Base de Datos'!$E$7:$AU$390,16,0)</f>
        <v>42335</v>
      </c>
      <c r="T357" s="651" t="str">
        <f>VLOOKUP(C357,'Base de Datos'!$E$7:$AU$390,40,0)</f>
        <v>LEIDY RIVERA</v>
      </c>
      <c r="U357" s="508"/>
    </row>
    <row r="358" spans="2:21" hidden="1" x14ac:dyDescent="0.3">
      <c r="B358" s="506"/>
      <c r="C358" s="506"/>
      <c r="D358" s="506"/>
      <c r="E358" s="506"/>
      <c r="F358" s="506"/>
      <c r="G358" s="506"/>
      <c r="H358" s="506"/>
      <c r="I358" s="506"/>
      <c r="J358" s="506"/>
      <c r="K358" s="573"/>
      <c r="L358" s="506"/>
      <c r="M358" s="506"/>
      <c r="N358" s="506"/>
      <c r="O358" s="664"/>
      <c r="P358" s="709"/>
      <c r="Q358" s="506"/>
      <c r="R358" s="716"/>
      <c r="S358" s="716"/>
      <c r="T358" s="506"/>
      <c r="U358" s="508"/>
    </row>
    <row r="359" spans="2:21" hidden="1" x14ac:dyDescent="0.3">
      <c r="B359" s="1239" t="s">
        <v>1666</v>
      </c>
      <c r="C359" s="1239"/>
      <c r="D359" s="1239"/>
      <c r="E359" s="554">
        <f>+E361</f>
        <v>336560000</v>
      </c>
      <c r="F359" s="554" t="str">
        <f>+F361</f>
        <v/>
      </c>
      <c r="G359" s="559"/>
      <c r="H359" s="559"/>
      <c r="I359" s="559"/>
      <c r="J359" s="554" t="str">
        <f>+J361</f>
        <v/>
      </c>
      <c r="K359" s="576" t="e">
        <f>+J359/F359</f>
        <v>#VALUE!</v>
      </c>
      <c r="L359" s="554">
        <f>+L361</f>
        <v>41814</v>
      </c>
      <c r="M359" s="554"/>
      <c r="N359" s="554">
        <f>SUM(N361)</f>
        <v>0</v>
      </c>
      <c r="O359" s="657"/>
      <c r="P359" s="564" t="str">
        <f>IF(ISERROR(VLOOKUP(B359,'Base de Datos'!$C$7:$N$315,8,0))=TRUE," ",(VLOOKUP(B359,'Base de Datos'!$C$7:$N$315,8,0)))</f>
        <v xml:space="preserve"> </v>
      </c>
      <c r="Q359" s="565"/>
      <c r="R359" s="717" t="str">
        <f>IF(ISERROR(VLOOKUP(B359,'Base de Datos'!$C$7:$N$315,9,0))=TRUE," ",(VLOOKUP(B359,'Base de Datos'!$C$7:$N$315,9,0)))</f>
        <v xml:space="preserve"> </v>
      </c>
      <c r="S359" s="717" t="str">
        <f>IF(ISERROR(VLOOKUP(B359,'Base de Datos'!$C$7:$N$315,10,0))=TRUE," ",(VLOOKUP(B359,'Base de Datos'!$C$7:$N$315,10,0)))</f>
        <v xml:space="preserve"> </v>
      </c>
      <c r="T359" s="565"/>
      <c r="U359" s="508"/>
    </row>
    <row r="360" spans="2:21" ht="22.8" hidden="1" x14ac:dyDescent="0.3">
      <c r="B360" s="510" t="s">
        <v>2127</v>
      </c>
      <c r="C360" s="510" t="s">
        <v>912</v>
      </c>
      <c r="D360" s="510" t="s">
        <v>1821</v>
      </c>
      <c r="E360" s="518" t="s">
        <v>1844</v>
      </c>
      <c r="F360" s="507" t="s">
        <v>2129</v>
      </c>
      <c r="G360" s="507"/>
      <c r="H360" s="507"/>
      <c r="I360" s="507"/>
      <c r="J360" s="510" t="s">
        <v>2130</v>
      </c>
      <c r="K360" s="625"/>
      <c r="L360" s="510" t="s">
        <v>1939</v>
      </c>
      <c r="M360" s="510"/>
      <c r="N360" s="510" t="s">
        <v>2136</v>
      </c>
      <c r="O360" s="650" t="s">
        <v>2133</v>
      </c>
      <c r="P360" s="541" t="s">
        <v>1817</v>
      </c>
      <c r="Q360" s="510" t="s">
        <v>1847</v>
      </c>
      <c r="R360" s="718" t="s">
        <v>1848</v>
      </c>
      <c r="S360" s="718" t="s">
        <v>375</v>
      </c>
      <c r="T360" s="510" t="s">
        <v>1849</v>
      </c>
      <c r="U360" s="508"/>
    </row>
    <row r="361" spans="2:21" ht="22.8" hidden="1" x14ac:dyDescent="0.3">
      <c r="B361" s="506"/>
      <c r="C361" s="506" t="s">
        <v>207</v>
      </c>
      <c r="D361" s="506" t="str">
        <f>VLOOKUP(C361,'Base de Datos'!$E$7:$AU$390,2,0)</f>
        <v>COMPENSAR BIENESTAR</v>
      </c>
      <c r="E361" s="509">
        <f>VLOOKUP(C361,'Base de Datos'!$E$7:$AU$390,5,0)</f>
        <v>336560000</v>
      </c>
      <c r="F361" s="509" t="str">
        <f>VLOOKUP(C361,'Base de Datos'!$E$7:$AU$390,17,0)</f>
        <v/>
      </c>
      <c r="G361" s="506"/>
      <c r="H361" s="506"/>
      <c r="I361" s="506"/>
      <c r="J361" s="509" t="str">
        <f>VLOOKUP(C361,'Base de Datos'!$E$7:$AU$390,18,0)</f>
        <v/>
      </c>
      <c r="K361" s="573"/>
      <c r="L361" s="714">
        <f>VLOOKUP(C361,'Base de Datos'!$E$7:$AU$390,19,0)</f>
        <v>41814</v>
      </c>
      <c r="M361" s="506"/>
      <c r="N361" s="509" t="str">
        <f>IF(OR(O361=Hoja1!$D$17,'Presupuesto - PAA 2018'!O361=Hoja1!$D$18),'Presupuesto - PAA 2018'!L361," ")</f>
        <v xml:space="preserve"> </v>
      </c>
      <c r="O361" s="723" t="str">
        <f>VLOOKUP(C361,'Base de Datos'!$E$7:$AU$390,33,0)</f>
        <v>Dirección Administrativa</v>
      </c>
      <c r="P361" s="709" t="s">
        <v>2135</v>
      </c>
      <c r="Q361" s="506"/>
      <c r="R361" s="715">
        <f>VLOOKUP(C361,'Base de Datos'!$E$7:$AU$390,9,0)</f>
        <v>41572</v>
      </c>
      <c r="S361" s="715" t="str">
        <f>VLOOKUP(C361,'Base de Datos'!$E$7:$AU$390,16,0)</f>
        <v/>
      </c>
      <c r="T361" s="651">
        <f>VLOOKUP(C361,'Base de Datos'!$E$7:$AU$390,40,0)</f>
        <v>0</v>
      </c>
      <c r="U361" s="508"/>
    </row>
    <row r="362" spans="2:21" hidden="1" x14ac:dyDescent="0.3">
      <c r="B362" s="506"/>
      <c r="C362" s="506"/>
      <c r="D362" s="506"/>
      <c r="E362" s="506"/>
      <c r="F362" s="506"/>
      <c r="G362" s="506"/>
      <c r="H362" s="506"/>
      <c r="I362" s="506"/>
      <c r="J362" s="506"/>
      <c r="K362" s="573"/>
      <c r="L362" s="506"/>
      <c r="M362" s="506"/>
      <c r="N362" s="506"/>
      <c r="O362" s="664"/>
      <c r="P362" s="709"/>
      <c r="Q362" s="506"/>
      <c r="R362" s="716"/>
      <c r="S362" s="716"/>
      <c r="T362" s="506"/>
      <c r="U362" s="508"/>
    </row>
    <row r="363" spans="2:21" ht="12" hidden="1" x14ac:dyDescent="0.3">
      <c r="B363" s="1242" t="s">
        <v>1667</v>
      </c>
      <c r="C363" s="1242"/>
      <c r="D363" s="1242"/>
      <c r="E363" s="554">
        <f>SUM(E365:E366)</f>
        <v>108854000</v>
      </c>
      <c r="F363" s="554">
        <f>SUM(F365:F366)</f>
        <v>0</v>
      </c>
      <c r="G363" s="559"/>
      <c r="H363" s="559"/>
      <c r="I363" s="559"/>
      <c r="J363" s="554">
        <f>SUM(J365:J366)</f>
        <v>0</v>
      </c>
      <c r="K363" s="576" t="e">
        <f>+J363/F363</f>
        <v>#DIV/0!</v>
      </c>
      <c r="L363" s="554">
        <f>SUM(L365:L366)</f>
        <v>83899</v>
      </c>
      <c r="M363" s="554"/>
      <c r="N363" s="554">
        <f>SUM(N365:N366)</f>
        <v>0</v>
      </c>
      <c r="O363" s="657"/>
      <c r="P363" s="564" t="str">
        <f>IF(ISERROR(VLOOKUP(B363,'Base de Datos'!$C$7:$N$315,8,0))=TRUE," ",(VLOOKUP(B363,'Base de Datos'!$C$7:$N$315,8,0)))</f>
        <v xml:space="preserve"> </v>
      </c>
      <c r="Q363" s="565"/>
      <c r="R363" s="717" t="str">
        <f>IF(ISERROR(VLOOKUP(B363,'Base de Datos'!$C$7:$N$315,9,0))=TRUE," ",(VLOOKUP(B363,'Base de Datos'!$C$7:$N$315,9,0)))</f>
        <v xml:space="preserve"> </v>
      </c>
      <c r="S363" s="717" t="str">
        <f>IF(ISERROR(VLOOKUP(B363,'Base de Datos'!$C$7:$N$315,10,0))=TRUE," ",(VLOOKUP(B363,'Base de Datos'!$C$7:$N$315,10,0)))</f>
        <v xml:space="preserve"> </v>
      </c>
      <c r="T363" s="565"/>
      <c r="U363" s="508"/>
    </row>
    <row r="364" spans="2:21" ht="22.8" hidden="1" x14ac:dyDescent="0.3">
      <c r="B364" s="510" t="s">
        <v>2127</v>
      </c>
      <c r="C364" s="510" t="s">
        <v>912</v>
      </c>
      <c r="D364" s="510" t="s">
        <v>1821</v>
      </c>
      <c r="E364" s="518" t="s">
        <v>1844</v>
      </c>
      <c r="F364" s="507" t="s">
        <v>2129</v>
      </c>
      <c r="G364" s="507"/>
      <c r="H364" s="507"/>
      <c r="I364" s="507"/>
      <c r="J364" s="510" t="s">
        <v>2130</v>
      </c>
      <c r="K364" s="625"/>
      <c r="L364" s="510" t="s">
        <v>1939</v>
      </c>
      <c r="M364" s="510"/>
      <c r="N364" s="510" t="s">
        <v>2136</v>
      </c>
      <c r="O364" s="650" t="s">
        <v>2133</v>
      </c>
      <c r="P364" s="541" t="s">
        <v>1817</v>
      </c>
      <c r="Q364" s="510" t="s">
        <v>1847</v>
      </c>
      <c r="R364" s="718" t="s">
        <v>1848</v>
      </c>
      <c r="S364" s="718" t="s">
        <v>375</v>
      </c>
      <c r="T364" s="510" t="s">
        <v>1849</v>
      </c>
      <c r="U364" s="508"/>
    </row>
    <row r="365" spans="2:21" ht="22.8" hidden="1" x14ac:dyDescent="0.3">
      <c r="B365" s="506"/>
      <c r="C365" s="506" t="s">
        <v>195</v>
      </c>
      <c r="D365" s="506" t="str">
        <f>VLOOKUP(C365,'Base de Datos'!$E$7:$AU$390,2,0)</f>
        <v>CAJA DE COMPENSACIÓN FAMILIAR COMPENSAR SALONES</v>
      </c>
      <c r="E365" s="509">
        <f>VLOOKUP(C365,'Base de Datos'!$E$7:$AU$390,5,0)</f>
        <v>76223000</v>
      </c>
      <c r="F365" s="509" t="str">
        <f>VLOOKUP(C365,'Base de Datos'!$E$7:$AU$390,17,0)</f>
        <v/>
      </c>
      <c r="G365" s="506"/>
      <c r="H365" s="506"/>
      <c r="I365" s="506"/>
      <c r="J365" s="509" t="str">
        <f>VLOOKUP(C365,'Base de Datos'!$E$7:$AU$390,18,0)</f>
        <v/>
      </c>
      <c r="K365" s="573"/>
      <c r="L365" s="714">
        <f>VLOOKUP(C365,'Base de Datos'!$E$7:$AU$390,19,0)</f>
        <v>41782</v>
      </c>
      <c r="M365" s="506"/>
      <c r="N365" s="509" t="str">
        <f>IF(OR(O365=Hoja1!$D$17,'Presupuesto - PAA 2018'!O365=Hoja1!$D$18),'Presupuesto - PAA 2018'!L365," ")</f>
        <v xml:space="preserve"> </v>
      </c>
      <c r="O365" s="651" t="str">
        <f>VLOOKUP(C365,'Base de Datos'!$E$7:$AU$390,33,0)</f>
        <v>Dirección Administrativa</v>
      </c>
      <c r="P365" s="709"/>
      <c r="Q365" s="506"/>
      <c r="R365" s="715">
        <f>VLOOKUP(C365,'Base de Datos'!$E$7:$AU$390,9,0)</f>
        <v>41541</v>
      </c>
      <c r="S365" s="715">
        <f>VLOOKUP(C365,'Base de Datos'!$E$7:$AU$390,16,0)</f>
        <v>41782</v>
      </c>
      <c r="T365" s="651">
        <f>VLOOKUP(C365,'Base de Datos'!$E$7:$AU$390,40,0)</f>
        <v>0</v>
      </c>
      <c r="U365" s="508"/>
    </row>
    <row r="366" spans="2:21" hidden="1" x14ac:dyDescent="0.3">
      <c r="B366" s="506"/>
      <c r="C366" s="506" t="s">
        <v>276</v>
      </c>
      <c r="D366" s="506" t="str">
        <f>VLOOKUP(C366,'Base de Datos'!$E$7:$AU$390,2,0)</f>
        <v>GRANADOS Y CONDECORACIONES</v>
      </c>
      <c r="E366" s="509">
        <f>VLOOKUP(C366,'Base de Datos'!$E$7:$AU$390,5,0)</f>
        <v>32631000</v>
      </c>
      <c r="F366" s="509" t="str">
        <f>VLOOKUP(C366,'Base de Datos'!$E$7:$AU$390,17,0)</f>
        <v/>
      </c>
      <c r="G366" s="506"/>
      <c r="H366" s="506"/>
      <c r="I366" s="506"/>
      <c r="J366" s="509" t="str">
        <f>VLOOKUP(C366,'Base de Datos'!$E$7:$AU$390,18,0)</f>
        <v/>
      </c>
      <c r="K366" s="573"/>
      <c r="L366" s="714">
        <f>VLOOKUP(C366,'Base de Datos'!$E$7:$AU$390,19,0)</f>
        <v>42117</v>
      </c>
      <c r="M366" s="506"/>
      <c r="N366" s="509" t="str">
        <f>IF(OR(O366=Hoja1!$D$17,'Presupuesto - PAA 2018'!O366=Hoja1!$D$18),'Presupuesto - PAA 2018'!L366," ")</f>
        <v xml:space="preserve"> </v>
      </c>
      <c r="O366" s="651" t="str">
        <f>VLOOKUP(C366,'Base de Datos'!$E$7:$AU$390,33,0)</f>
        <v>Secretaría General</v>
      </c>
      <c r="P366" s="709"/>
      <c r="Q366" s="506"/>
      <c r="R366" s="715">
        <f>VLOOKUP(C366,'Base de Datos'!$E$7:$AU$390,9,0)</f>
        <v>41753</v>
      </c>
      <c r="S366" s="715" t="str">
        <f>VLOOKUP(C366,'Base de Datos'!$E$7:$AU$390,16,0)</f>
        <v/>
      </c>
      <c r="T366" s="651">
        <f>VLOOKUP(C366,'Base de Datos'!$E$7:$AU$390,40,0)</f>
        <v>0</v>
      </c>
      <c r="U366" s="508"/>
    </row>
    <row r="367" spans="2:21" hidden="1" x14ac:dyDescent="0.3">
      <c r="B367" s="506"/>
      <c r="C367" s="506"/>
      <c r="D367" s="506"/>
      <c r="E367" s="506"/>
      <c r="F367" s="506"/>
      <c r="G367" s="506"/>
      <c r="H367" s="506"/>
      <c r="I367" s="506"/>
      <c r="J367" s="506"/>
      <c r="K367" s="573"/>
      <c r="L367" s="506"/>
      <c r="M367" s="506"/>
      <c r="N367" s="506"/>
      <c r="O367" s="664"/>
      <c r="P367" s="709"/>
      <c r="Q367" s="506"/>
      <c r="R367" s="716"/>
      <c r="S367" s="716"/>
      <c r="T367" s="506"/>
      <c r="U367" s="508"/>
    </row>
    <row r="368" spans="2:21" hidden="1" x14ac:dyDescent="0.3">
      <c r="B368" s="1239" t="s">
        <v>1668</v>
      </c>
      <c r="C368" s="1239"/>
      <c r="D368" s="1239"/>
      <c r="E368" s="554">
        <f>SUM(E370:E371)</f>
        <v>45986000</v>
      </c>
      <c r="F368" s="554">
        <f>SUM(F370:F371)</f>
        <v>0</v>
      </c>
      <c r="G368" s="559"/>
      <c r="H368" s="559"/>
      <c r="I368" s="559"/>
      <c r="J368" s="554">
        <f>SUM(J370:J371)</f>
        <v>0</v>
      </c>
      <c r="K368" s="576" t="e">
        <f>+J368/F368</f>
        <v>#DIV/0!</v>
      </c>
      <c r="L368" s="554">
        <f>SUM(L370:L371)</f>
        <v>84165</v>
      </c>
      <c r="M368" s="554"/>
      <c r="N368" s="554">
        <f>SUM(N370:N371)</f>
        <v>0</v>
      </c>
      <c r="O368" s="657"/>
      <c r="P368" s="564" t="str">
        <f>IF(ISERROR(VLOOKUP(B368,'Base de Datos'!$C$7:$N$315,8,0))=TRUE," ",(VLOOKUP(B368,'Base de Datos'!$C$7:$N$315,8,0)))</f>
        <v xml:space="preserve"> </v>
      </c>
      <c r="Q368" s="565"/>
      <c r="R368" s="717" t="str">
        <f>IF(ISERROR(VLOOKUP(B368,'Base de Datos'!$C$7:$N$315,9,0))=TRUE," ",(VLOOKUP(B368,'Base de Datos'!$C$7:$N$315,9,0)))</f>
        <v xml:space="preserve"> </v>
      </c>
      <c r="S368" s="717" t="str">
        <f>IF(ISERROR(VLOOKUP(B368,'Base de Datos'!$C$7:$N$315,10,0))=TRUE," ",(VLOOKUP(B368,'Base de Datos'!$C$7:$N$315,10,0)))</f>
        <v xml:space="preserve"> </v>
      </c>
      <c r="T368" s="565"/>
      <c r="U368" s="508"/>
    </row>
    <row r="369" spans="2:22" ht="22.8" hidden="1" x14ac:dyDescent="0.3">
      <c r="B369" s="510" t="s">
        <v>2127</v>
      </c>
      <c r="C369" s="510" t="s">
        <v>912</v>
      </c>
      <c r="D369" s="510" t="s">
        <v>1821</v>
      </c>
      <c r="E369" s="518" t="s">
        <v>1844</v>
      </c>
      <c r="F369" s="507" t="s">
        <v>2129</v>
      </c>
      <c r="G369" s="507"/>
      <c r="H369" s="507"/>
      <c r="I369" s="507"/>
      <c r="J369" s="510" t="s">
        <v>2130</v>
      </c>
      <c r="K369" s="625"/>
      <c r="L369" s="510" t="s">
        <v>1939</v>
      </c>
      <c r="M369" s="510"/>
      <c r="N369" s="510" t="s">
        <v>2136</v>
      </c>
      <c r="O369" s="650" t="s">
        <v>2133</v>
      </c>
      <c r="P369" s="541" t="s">
        <v>1817</v>
      </c>
      <c r="Q369" s="510" t="s">
        <v>1847</v>
      </c>
      <c r="R369" s="718" t="s">
        <v>1848</v>
      </c>
      <c r="S369" s="718" t="s">
        <v>375</v>
      </c>
      <c r="T369" s="510" t="s">
        <v>1849</v>
      </c>
      <c r="U369" s="508"/>
    </row>
    <row r="370" spans="2:22" ht="14.25" hidden="1" customHeight="1" x14ac:dyDescent="0.3">
      <c r="B370" s="506"/>
      <c r="C370" s="506" t="s">
        <v>1332</v>
      </c>
      <c r="D370" s="506" t="str">
        <f>VLOOKUP(C370,'Base de Datos'!$E$7:$AU$390,2,0)</f>
        <v>SISTEMA Y SEGURIDAD INDUSTRIAL COLOMBIANA E.U.</v>
      </c>
      <c r="E370" s="509">
        <f>VLOOKUP(C370,'Base de Datos'!$E$7:$AU$390,5,0)</f>
        <v>4136000</v>
      </c>
      <c r="F370" s="509" t="str">
        <f>VLOOKUP(C370,'Base de Datos'!$E$7:$AU$390,17,0)</f>
        <v/>
      </c>
      <c r="G370" s="506"/>
      <c r="H370" s="506"/>
      <c r="I370" s="506"/>
      <c r="J370" s="509" t="str">
        <f>VLOOKUP(C370,'Base de Datos'!$E$7:$AU$390,18,0)</f>
        <v/>
      </c>
      <c r="K370" s="573"/>
      <c r="L370" s="714">
        <f>VLOOKUP(C370,'Base de Datos'!$E$7:$AU$390,19,0)</f>
        <v>42027</v>
      </c>
      <c r="M370" s="506"/>
      <c r="N370" s="509" t="str">
        <f>IF(OR(O370=Hoja1!$D$17,'Presupuesto - PAA 2018'!O370=Hoja1!$D$18),'Presupuesto - PAA 2018'!L370," ")</f>
        <v xml:space="preserve"> </v>
      </c>
      <c r="O370" s="651" t="str">
        <f>VLOOKUP(C370,'Base de Datos'!$E$7:$AU$390,33,0)</f>
        <v>Dirección Administrativa</v>
      </c>
      <c r="P370" s="709"/>
      <c r="Q370" s="506"/>
      <c r="R370" s="715">
        <f>VLOOKUP(C370,'Base de Datos'!$E$7:$AU$390,9,0)</f>
        <v>41935</v>
      </c>
      <c r="S370" s="715" t="str">
        <f>VLOOKUP(C370,'Base de Datos'!$E$7:$AU$390,16,0)</f>
        <v/>
      </c>
      <c r="T370" s="651">
        <f>VLOOKUP(C370,'Base de Datos'!$E$7:$AU$390,40,0)</f>
        <v>0</v>
      </c>
      <c r="U370" s="508"/>
    </row>
    <row r="371" spans="2:22" ht="22.8" hidden="1" x14ac:dyDescent="0.3">
      <c r="B371" s="506"/>
      <c r="C371" s="506" t="s">
        <v>1159</v>
      </c>
      <c r="D371" s="506" t="str">
        <f>VLOOKUP(C371,'Base de Datos'!$E$7:$AU$390,2,0)</f>
        <v>CENTRO DE DIAGNOSTICO Y TRATAMIENTO CENDIATRA LTDA</v>
      </c>
      <c r="E371" s="509">
        <f>VLOOKUP(C371,'Base de Datos'!$E$7:$AU$390,5,0)</f>
        <v>41850000</v>
      </c>
      <c r="F371" s="509" t="str">
        <f>VLOOKUP(C371,'Base de Datos'!$E$7:$AU$390,17,0)</f>
        <v/>
      </c>
      <c r="G371" s="506"/>
      <c r="H371" s="506"/>
      <c r="I371" s="506"/>
      <c r="J371" s="509" t="str">
        <f>VLOOKUP(C371,'Base de Datos'!$E$7:$AU$390,18,0)</f>
        <v/>
      </c>
      <c r="K371" s="573"/>
      <c r="L371" s="714">
        <f>VLOOKUP(C371,'Base de Datos'!$E$7:$AU$390,19,0)</f>
        <v>42138</v>
      </c>
      <c r="M371" s="506"/>
      <c r="N371" s="509" t="str">
        <f>IF(OR(O371=Hoja1!$D$17,'Presupuesto - PAA 2018'!O371=Hoja1!$D$18),'Presupuesto - PAA 2018'!L371," ")</f>
        <v xml:space="preserve"> </v>
      </c>
      <c r="O371" s="651" t="str">
        <f>VLOOKUP(C371,'Base de Datos'!$E$7:$AU$390,33,0)</f>
        <v>Dirección Administrativa</v>
      </c>
      <c r="P371" s="709"/>
      <c r="Q371" s="506"/>
      <c r="R371" s="715">
        <f>VLOOKUP(C371,'Base de Datos'!$E$7:$AU$390,9,0)</f>
        <v>41926</v>
      </c>
      <c r="S371" s="715" t="str">
        <f>VLOOKUP(C371,'Base de Datos'!$E$7:$AU$390,16,0)</f>
        <v/>
      </c>
      <c r="T371" s="651">
        <f>VLOOKUP(C371,'Base de Datos'!$E$7:$AU$390,40,0)</f>
        <v>0</v>
      </c>
    </row>
    <row r="372" spans="2:22" hidden="1" x14ac:dyDescent="0.3">
      <c r="B372" s="506"/>
      <c r="C372" s="506"/>
      <c r="D372" s="506"/>
      <c r="E372" s="506"/>
      <c r="F372" s="506"/>
      <c r="G372" s="506"/>
      <c r="H372" s="506"/>
      <c r="I372" s="506"/>
      <c r="J372" s="506"/>
      <c r="K372" s="573"/>
      <c r="L372" s="506"/>
      <c r="M372" s="506"/>
      <c r="N372" s="506"/>
      <c r="O372" s="664"/>
      <c r="P372" s="709"/>
      <c r="Q372" s="506"/>
      <c r="R372" s="716"/>
      <c r="S372" s="716"/>
      <c r="T372" s="506"/>
    </row>
    <row r="373" spans="2:22" hidden="1" x14ac:dyDescent="0.3">
      <c r="B373" s="1239" t="s">
        <v>1671</v>
      </c>
      <c r="C373" s="1239"/>
      <c r="D373" s="1239"/>
      <c r="E373" s="554">
        <f>SUM(E375:E377)</f>
        <v>1067737824</v>
      </c>
      <c r="F373" s="554">
        <f>SUM(F375:F377)</f>
        <v>0</v>
      </c>
      <c r="G373" s="559"/>
      <c r="H373" s="559"/>
      <c r="I373" s="559"/>
      <c r="J373" s="554">
        <f>SUM(J375:J377)</f>
        <v>0</v>
      </c>
      <c r="K373" s="576" t="e">
        <f>+J373/F373</f>
        <v>#DIV/0!</v>
      </c>
      <c r="L373" s="554">
        <f>SUM(L375:L377)</f>
        <v>84454</v>
      </c>
      <c r="M373" s="554"/>
      <c r="N373" s="554">
        <f>SUM(N375:N377)</f>
        <v>0</v>
      </c>
      <c r="O373" s="657"/>
      <c r="P373" s="564" t="str">
        <f>IF(ISERROR(VLOOKUP(B373,'Base de Datos'!$C$7:$N$315,8,0))=TRUE," ",(VLOOKUP(B373,'Base de Datos'!$C$7:$N$315,8,0)))</f>
        <v xml:space="preserve"> </v>
      </c>
      <c r="Q373" s="565"/>
      <c r="R373" s="717" t="str">
        <f>IF(ISERROR(VLOOKUP(B373,'Base de Datos'!$C$7:$N$315,9,0))=TRUE," ",(VLOOKUP(B373,'Base de Datos'!$C$7:$N$315,9,0)))</f>
        <v xml:space="preserve"> </v>
      </c>
      <c r="S373" s="717" t="str">
        <f>IF(ISERROR(VLOOKUP(B373,'Base de Datos'!$C$7:$N$315,10,0))=TRUE," ",(VLOOKUP(B373,'Base de Datos'!$C$7:$N$315,10,0)))</f>
        <v xml:space="preserve"> </v>
      </c>
      <c r="T373" s="565"/>
    </row>
    <row r="374" spans="2:22" ht="22.8" hidden="1" x14ac:dyDescent="0.3">
      <c r="B374" s="510" t="s">
        <v>2127</v>
      </c>
      <c r="C374" s="510" t="s">
        <v>912</v>
      </c>
      <c r="D374" s="510" t="s">
        <v>1821</v>
      </c>
      <c r="E374" s="518" t="s">
        <v>1844</v>
      </c>
      <c r="F374" s="507" t="s">
        <v>2129</v>
      </c>
      <c r="G374" s="507"/>
      <c r="H374" s="507"/>
      <c r="I374" s="507"/>
      <c r="J374" s="510" t="s">
        <v>2130</v>
      </c>
      <c r="K374" s="625"/>
      <c r="L374" s="510" t="s">
        <v>1939</v>
      </c>
      <c r="M374" s="510"/>
      <c r="N374" s="510" t="s">
        <v>2136</v>
      </c>
      <c r="O374" s="650" t="s">
        <v>2133</v>
      </c>
      <c r="P374" s="541" t="s">
        <v>1817</v>
      </c>
      <c r="Q374" s="510" t="s">
        <v>1847</v>
      </c>
      <c r="R374" s="718" t="s">
        <v>1848</v>
      </c>
      <c r="S374" s="718" t="s">
        <v>375</v>
      </c>
      <c r="T374" s="510" t="s">
        <v>1849</v>
      </c>
    </row>
    <row r="375" spans="2:22" ht="22.8" hidden="1" x14ac:dyDescent="0.3">
      <c r="B375" s="506"/>
      <c r="C375" s="506" t="s">
        <v>1109</v>
      </c>
      <c r="D375" s="506" t="str">
        <f>VLOOKUP(C375,'Base de Datos'!$E$7:$AU$390,2,0)</f>
        <v>CANAL REGIONAL DE TELEVISION TEVEANDINA LTDA - TEVEANDINA LTDA</v>
      </c>
      <c r="E375" s="509">
        <f>VLOOKUP(C375,'Base de Datos'!$E$7:$AU$390,5,0)</f>
        <v>818527824</v>
      </c>
      <c r="F375" s="509" t="str">
        <f>VLOOKUP(C375,'Base de Datos'!$E$7:$AU$390,17,0)</f>
        <v/>
      </c>
      <c r="G375" s="506"/>
      <c r="H375" s="506"/>
      <c r="I375" s="506"/>
      <c r="J375" s="509" t="str">
        <f>VLOOKUP(C375,'Base de Datos'!$E$7:$AU$390,18,0)</f>
        <v/>
      </c>
      <c r="K375" s="573"/>
      <c r="L375" s="714">
        <f>VLOOKUP(C375,'Base de Datos'!$E$7:$AU$390,19,0)</f>
        <v>42116</v>
      </c>
      <c r="M375" s="506"/>
      <c r="N375" s="509" t="str">
        <f>IF(OR(O375=Hoja1!$D$17,'Presupuesto - PAA 2018'!O375=Hoja1!$D$18),'Presupuesto - PAA 2018'!L375," ")</f>
        <v xml:space="preserve"> </v>
      </c>
      <c r="O375" s="651" t="str">
        <f>VLOOKUP(C375,'Base de Datos'!$E$7:$AU$390,33,0)</f>
        <v>Oficina Asesora de Comunicaciones</v>
      </c>
      <c r="P375" s="709"/>
      <c r="Q375" s="506"/>
      <c r="R375" s="715">
        <f>VLOOKUP(C375,'Base de Datos'!$E$7:$AU$390,9,0)</f>
        <v>41921</v>
      </c>
      <c r="S375" s="715">
        <f>VLOOKUP(C375,'Base de Datos'!$E$7:$AU$390,16,0)</f>
        <v>42116</v>
      </c>
      <c r="T375" s="651">
        <f>VLOOKUP(C375,'Base de Datos'!$E$7:$AU$390,40,0)</f>
        <v>0</v>
      </c>
    </row>
    <row r="376" spans="2:22" ht="22.8" hidden="1" x14ac:dyDescent="0.3">
      <c r="B376" s="506"/>
      <c r="C376" s="506" t="s">
        <v>1528</v>
      </c>
      <c r="D376" s="506" t="str">
        <f>VLOOKUP(C376,'Base de Datos'!$E$7:$AU$390,2,0)</f>
        <v>CENTURY MEDIA SAS</v>
      </c>
      <c r="E376" s="509">
        <f>VLOOKUP(C376,'Base de Datos'!$E$7:$AU$390,5,0)</f>
        <v>249210000</v>
      </c>
      <c r="F376" s="509" t="str">
        <f>VLOOKUP(C376,'Base de Datos'!$E$7:$AU$390,17,0)</f>
        <v/>
      </c>
      <c r="G376" s="506"/>
      <c r="H376" s="506"/>
      <c r="I376" s="506"/>
      <c r="J376" s="509" t="str">
        <f>VLOOKUP(C376,'Base de Datos'!$E$7:$AU$390,18,0)</f>
        <v/>
      </c>
      <c r="K376" s="573"/>
      <c r="L376" s="714">
        <f>VLOOKUP(C376,'Base de Datos'!$E$7:$AU$390,19,0)</f>
        <v>42338</v>
      </c>
      <c r="M376" s="506"/>
      <c r="N376" s="509" t="str">
        <f>IF(OR(O376=Hoja1!$D$17,'Presupuesto - PAA 2018'!O376=Hoja1!$D$18),'Presupuesto - PAA 2018'!L376," ")</f>
        <v xml:space="preserve"> </v>
      </c>
      <c r="O376" s="651" t="str">
        <f>VLOOKUP(C376,'Base de Datos'!$E$7:$AU$390,33,0)</f>
        <v>Oficina Asesora de Comunicaciones</v>
      </c>
      <c r="P376" s="709"/>
      <c r="Q376" s="506"/>
      <c r="R376" s="715">
        <f>VLOOKUP(C376,'Base de Datos'!$E$7:$AU$390,9,0)</f>
        <v>42017</v>
      </c>
      <c r="S376" s="715">
        <f>VLOOKUP(C376,'Base de Datos'!$E$7:$AU$390,16,0)</f>
        <v>42338</v>
      </c>
      <c r="T376" s="651">
        <f>VLOOKUP(C376,'Base de Datos'!$E$7:$AU$390,40,0)</f>
        <v>0</v>
      </c>
    </row>
    <row r="377" spans="2:22" hidden="1" x14ac:dyDescent="0.3">
      <c r="B377" s="506"/>
      <c r="C377" s="506"/>
      <c r="D377" s="506"/>
      <c r="E377" s="506"/>
      <c r="F377" s="506"/>
      <c r="G377" s="506"/>
      <c r="H377" s="506"/>
      <c r="I377" s="506"/>
      <c r="J377" s="506"/>
      <c r="K377" s="573"/>
      <c r="L377" s="506"/>
      <c r="M377" s="506"/>
      <c r="N377" s="506"/>
      <c r="O377" s="664"/>
      <c r="P377" s="709"/>
      <c r="Q377" s="506"/>
      <c r="R377" s="716"/>
      <c r="S377" s="716"/>
      <c r="T377" s="506"/>
    </row>
    <row r="378" spans="2:22" ht="15" hidden="1" customHeight="1" x14ac:dyDescent="0.3">
      <c r="B378" s="1240" t="s">
        <v>1672</v>
      </c>
      <c r="C378" s="1240"/>
      <c r="D378" s="1240"/>
      <c r="E378" s="512">
        <f>+E379</f>
        <v>12700000</v>
      </c>
      <c r="F378" s="604" t="str">
        <f>+F379</f>
        <v/>
      </c>
      <c r="G378" s="513"/>
      <c r="H378" s="513"/>
      <c r="I378" s="513"/>
      <c r="J378" s="516" t="str">
        <f>+J379</f>
        <v/>
      </c>
      <c r="K378" s="583" t="e">
        <f>+J378/F378</f>
        <v>#VALUE!</v>
      </c>
      <c r="L378" s="516">
        <f>+L379</f>
        <v>42044</v>
      </c>
      <c r="M378" s="516"/>
      <c r="N378" s="516">
        <f>SUM(N379)</f>
        <v>0</v>
      </c>
      <c r="O378" s="662"/>
      <c r="P378" s="548" t="str">
        <f>IF(ISERROR(VLOOKUP(B378,'Base de Datos'!$C$7:$N$315,8,0))=TRUE," ",(VLOOKUP(B378,'Base de Datos'!$C$7:$N$315,8,0)))</f>
        <v xml:space="preserve"> </v>
      </c>
      <c r="Q378" s="542"/>
      <c r="R378" s="719" t="str">
        <f>IF(ISERROR(VLOOKUP(B378,'Base de Datos'!$C$7:$N$315,9,0))=TRUE," ",(VLOOKUP(B378,'Base de Datos'!$C$7:$N$315,9,0)))</f>
        <v xml:space="preserve"> </v>
      </c>
      <c r="S378" s="719" t="str">
        <f>IF(ISERROR(VLOOKUP(B378,'Base de Datos'!$C$7:$N$315,10,0))=TRUE," ",(VLOOKUP(B378,'Base de Datos'!$C$7:$N$315,10,0)))</f>
        <v xml:space="preserve"> </v>
      </c>
      <c r="T378" s="542"/>
      <c r="U378" s="694"/>
      <c r="V378" s="607"/>
    </row>
    <row r="379" spans="2:22" hidden="1" x14ac:dyDescent="0.3">
      <c r="B379" s="1239" t="s">
        <v>2126</v>
      </c>
      <c r="C379" s="1239"/>
      <c r="D379" s="1239"/>
      <c r="E379" s="554">
        <f>+E381</f>
        <v>12700000</v>
      </c>
      <c r="F379" s="554" t="str">
        <f>+F381</f>
        <v/>
      </c>
      <c r="G379" s="559"/>
      <c r="H379" s="559"/>
      <c r="I379" s="559"/>
      <c r="J379" s="554" t="str">
        <f>+J381</f>
        <v/>
      </c>
      <c r="K379" s="576" t="e">
        <f>+J379/F379</f>
        <v>#VALUE!</v>
      </c>
      <c r="L379" s="554">
        <f>+L381</f>
        <v>42044</v>
      </c>
      <c r="M379" s="554"/>
      <c r="N379" s="554">
        <f>+N381</f>
        <v>0</v>
      </c>
      <c r="O379" s="657"/>
      <c r="P379" s="564" t="str">
        <f>IF(ISERROR(VLOOKUP(B379,'Base de Datos'!$C$7:$N$315,8,0))=TRUE," ",(VLOOKUP(B379,'Base de Datos'!$C$7:$N$315,8,0)))</f>
        <v xml:space="preserve"> </v>
      </c>
      <c r="Q379" s="565"/>
      <c r="R379" s="717" t="str">
        <f>IF(ISERROR(VLOOKUP(B379,'Base de Datos'!$C$7:$N$315,9,0))=TRUE," ",(VLOOKUP(B379,'Base de Datos'!$C$7:$N$315,9,0)))</f>
        <v xml:space="preserve"> </v>
      </c>
      <c r="S379" s="717" t="str">
        <f>IF(ISERROR(VLOOKUP(B379,'Base de Datos'!$C$7:$N$315,10,0))=TRUE," ",(VLOOKUP(B379,'Base de Datos'!$C$7:$N$315,10,0)))</f>
        <v xml:space="preserve"> </v>
      </c>
      <c r="T379" s="565"/>
    </row>
    <row r="380" spans="2:22" ht="22.8" hidden="1" x14ac:dyDescent="0.3">
      <c r="B380" s="510" t="s">
        <v>2127</v>
      </c>
      <c r="C380" s="510" t="s">
        <v>912</v>
      </c>
      <c r="D380" s="510" t="s">
        <v>1821</v>
      </c>
      <c r="E380" s="518" t="s">
        <v>1844</v>
      </c>
      <c r="F380" s="507" t="s">
        <v>2129</v>
      </c>
      <c r="G380" s="507"/>
      <c r="H380" s="507"/>
      <c r="I380" s="507"/>
      <c r="J380" s="510" t="s">
        <v>2130</v>
      </c>
      <c r="K380" s="625"/>
      <c r="L380" s="510" t="s">
        <v>1939</v>
      </c>
      <c r="M380" s="510"/>
      <c r="N380" s="510" t="s">
        <v>2136</v>
      </c>
      <c r="O380" s="650" t="s">
        <v>2133</v>
      </c>
      <c r="P380" s="541" t="s">
        <v>1817</v>
      </c>
      <c r="Q380" s="510" t="s">
        <v>1847</v>
      </c>
      <c r="R380" s="718" t="s">
        <v>1848</v>
      </c>
      <c r="S380" s="718" t="s">
        <v>375</v>
      </c>
      <c r="T380" s="510" t="s">
        <v>1849</v>
      </c>
    </row>
    <row r="381" spans="2:22" ht="22.8" hidden="1" x14ac:dyDescent="0.3">
      <c r="B381" s="506"/>
      <c r="C381" s="506" t="s">
        <v>1484</v>
      </c>
      <c r="D381" s="506" t="str">
        <f>VLOOKUP(C381,'Base de Datos'!$E$7:$AU$390,2,0)</f>
        <v>RIGOBERTO GÓMEZ JAIMES</v>
      </c>
      <c r="E381" s="509">
        <f>VLOOKUP(C381,'Base de Datos'!$E$7:$AU$390,5,0)</f>
        <v>12700000</v>
      </c>
      <c r="F381" s="509" t="str">
        <f>VLOOKUP(C381,'Base de Datos'!$E$7:$AU$390,17,0)</f>
        <v/>
      </c>
      <c r="G381" s="506"/>
      <c r="H381" s="506"/>
      <c r="I381" s="506"/>
      <c r="J381" s="509" t="str">
        <f>VLOOKUP(C381,'Base de Datos'!$E$7:$AU$390,18,0)</f>
        <v/>
      </c>
      <c r="K381" s="573"/>
      <c r="L381" s="509">
        <f>VLOOKUP(C381,'Base de Datos'!$E$7:$AU$390,19,0)</f>
        <v>42044</v>
      </c>
      <c r="M381" s="506"/>
      <c r="N381" s="509"/>
      <c r="O381" s="723" t="str">
        <f>VLOOKUP(C381,'Base de Datos'!$E$7:$AU$390,33,0)</f>
        <v>Dirección Administrativa</v>
      </c>
      <c r="P381" s="709" t="s">
        <v>2135</v>
      </c>
      <c r="Q381" s="506"/>
      <c r="R381" s="715">
        <f>VLOOKUP(C381,'Base de Datos'!$E$7:$AU$390,9,0)</f>
        <v>41982</v>
      </c>
      <c r="S381" s="715" t="str">
        <f>VLOOKUP(C381,'Base de Datos'!$E$7:$AU$390,16,0)</f>
        <v/>
      </c>
      <c r="T381" s="651">
        <f>VLOOKUP(C381,'Base de Datos'!$E$7:$AU$390,40,0)</f>
        <v>0</v>
      </c>
    </row>
    <row r="382" spans="2:22" hidden="1" x14ac:dyDescent="0.3">
      <c r="B382" s="506"/>
      <c r="C382" s="506"/>
      <c r="D382" s="506"/>
      <c r="E382" s="506"/>
      <c r="F382" s="506"/>
      <c r="G382" s="506"/>
      <c r="H382" s="506"/>
      <c r="I382" s="506"/>
      <c r="J382" s="506"/>
      <c r="K382" s="573"/>
      <c r="L382" s="506"/>
      <c r="M382" s="506"/>
      <c r="N382" s="506"/>
      <c r="O382" s="664"/>
      <c r="P382" s="709"/>
      <c r="Q382" s="506"/>
      <c r="R382" s="716"/>
      <c r="S382" s="716"/>
      <c r="T382" s="506"/>
    </row>
    <row r="383" spans="2:22" ht="12" hidden="1" x14ac:dyDescent="0.3">
      <c r="B383" s="1241" t="s">
        <v>1687</v>
      </c>
      <c r="C383" s="1241"/>
      <c r="D383" s="1241"/>
      <c r="E383" s="514">
        <f t="shared" ref="E383:N387" si="19">+E384</f>
        <v>3039996697</v>
      </c>
      <c r="F383" s="514">
        <f t="shared" si="19"/>
        <v>0</v>
      </c>
      <c r="G383" s="514">
        <f t="shared" si="19"/>
        <v>7542477000</v>
      </c>
      <c r="H383" s="514">
        <f t="shared" si="19"/>
        <v>0</v>
      </c>
      <c r="I383" s="514">
        <f t="shared" si="19"/>
        <v>7542477000</v>
      </c>
      <c r="J383" s="514">
        <f t="shared" si="19"/>
        <v>0</v>
      </c>
      <c r="K383" s="556" t="e">
        <f t="shared" si="19"/>
        <v>#DIV/0!</v>
      </c>
      <c r="L383" s="514">
        <f t="shared" si="19"/>
        <v>338265</v>
      </c>
      <c r="M383" s="549"/>
      <c r="N383" s="514">
        <f t="shared" si="19"/>
        <v>0</v>
      </c>
      <c r="O383" s="647"/>
      <c r="P383" s="549"/>
      <c r="Q383" s="544"/>
      <c r="R383" s="720" t="str">
        <f>IF(ISERROR(VLOOKUP(B383,'Base de Datos'!$C$7:$N$315,9,0))=TRUE," ",(VLOOKUP(B383,'Base de Datos'!$C$7:$N$315,9,0)))</f>
        <v xml:space="preserve"> </v>
      </c>
      <c r="S383" s="720" t="str">
        <f>IF(ISERROR(VLOOKUP(B383,'Base de Datos'!$C$7:$N$315,10,0))=TRUE," ",(VLOOKUP(B383,'Base de Datos'!$C$7:$N$315,10,0)))</f>
        <v xml:space="preserve"> </v>
      </c>
      <c r="T383" s="544"/>
    </row>
    <row r="384" spans="2:22" ht="12" hidden="1" x14ac:dyDescent="0.3">
      <c r="B384" s="1240" t="s">
        <v>1686</v>
      </c>
      <c r="C384" s="1240"/>
      <c r="D384" s="1240"/>
      <c r="E384" s="512">
        <f t="shared" si="19"/>
        <v>3039996697</v>
      </c>
      <c r="F384" s="512">
        <f t="shared" si="19"/>
        <v>0</v>
      </c>
      <c r="G384" s="516">
        <f t="shared" si="19"/>
        <v>7542477000</v>
      </c>
      <c r="H384" s="516">
        <f t="shared" si="19"/>
        <v>0</v>
      </c>
      <c r="I384" s="516">
        <f t="shared" si="19"/>
        <v>7542477000</v>
      </c>
      <c r="J384" s="516">
        <f t="shared" si="19"/>
        <v>0</v>
      </c>
      <c r="K384" s="574" t="e">
        <f t="shared" si="19"/>
        <v>#DIV/0!</v>
      </c>
      <c r="L384" s="516">
        <f t="shared" si="19"/>
        <v>338265</v>
      </c>
      <c r="M384" s="516"/>
      <c r="N384" s="516">
        <f t="shared" si="19"/>
        <v>0</v>
      </c>
      <c r="O384" s="662"/>
      <c r="P384" s="548" t="str">
        <f>IF(ISERROR(VLOOKUP(B384,'Base de Datos'!$C$7:$N$315,8,0))=TRUE," ",(VLOOKUP(B384,'Base de Datos'!$C$7:$N$315,8,0)))</f>
        <v xml:space="preserve"> </v>
      </c>
      <c r="Q384" s="542"/>
      <c r="R384" s="719" t="str">
        <f>IF(ISERROR(VLOOKUP(B384,'Base de Datos'!$C$7:$N$315,9,0))=TRUE," ",(VLOOKUP(B384,'Base de Datos'!$C$7:$N$315,9,0)))</f>
        <v xml:space="preserve"> </v>
      </c>
      <c r="S384" s="719" t="str">
        <f>IF(ISERROR(VLOOKUP(B384,'Base de Datos'!$C$7:$N$315,10,0))=TRUE," ",(VLOOKUP(B384,'Base de Datos'!$C$7:$N$315,10,0)))</f>
        <v xml:space="preserve"> </v>
      </c>
      <c r="T384" s="542"/>
    </row>
    <row r="385" spans="2:21" hidden="1" x14ac:dyDescent="0.3">
      <c r="B385" s="1238" t="s">
        <v>1675</v>
      </c>
      <c r="C385" s="1238"/>
      <c r="D385" s="1238"/>
      <c r="E385" s="516">
        <f t="shared" si="19"/>
        <v>3039996697</v>
      </c>
      <c r="F385" s="516">
        <f t="shared" si="19"/>
        <v>0</v>
      </c>
      <c r="G385" s="516">
        <f t="shared" si="19"/>
        <v>7542477000</v>
      </c>
      <c r="H385" s="516">
        <f t="shared" si="19"/>
        <v>0</v>
      </c>
      <c r="I385" s="516">
        <f t="shared" si="19"/>
        <v>7542477000</v>
      </c>
      <c r="J385" s="516">
        <f t="shared" si="19"/>
        <v>0</v>
      </c>
      <c r="K385" s="574" t="e">
        <f t="shared" si="19"/>
        <v>#DIV/0!</v>
      </c>
      <c r="L385" s="516">
        <f t="shared" si="19"/>
        <v>338265</v>
      </c>
      <c r="M385" s="516"/>
      <c r="N385" s="516">
        <f t="shared" si="19"/>
        <v>0</v>
      </c>
      <c r="O385" s="662"/>
      <c r="P385" s="548" t="str">
        <f>IF(ISERROR(VLOOKUP(B385,'Base de Datos'!$C$7:$N$315,8,0))=TRUE," ",(VLOOKUP(B385,'Base de Datos'!$C$7:$N$315,8,0)))</f>
        <v xml:space="preserve"> </v>
      </c>
      <c r="Q385" s="542"/>
      <c r="R385" s="719" t="str">
        <f>IF(ISERROR(VLOOKUP(B385,'Base de Datos'!$C$7:$N$315,9,0))=TRUE," ",(VLOOKUP(B385,'Base de Datos'!$C$7:$N$315,9,0)))</f>
        <v xml:space="preserve"> </v>
      </c>
      <c r="S385" s="719" t="str">
        <f>IF(ISERROR(VLOOKUP(B385,'Base de Datos'!$C$7:$N$315,10,0))=TRUE," ",(VLOOKUP(B385,'Base de Datos'!$C$7:$N$315,10,0)))</f>
        <v xml:space="preserve"> </v>
      </c>
      <c r="T385" s="542"/>
    </row>
    <row r="386" spans="2:21" hidden="1" x14ac:dyDescent="0.3">
      <c r="B386" s="1238" t="s">
        <v>1836</v>
      </c>
      <c r="C386" s="1238"/>
      <c r="D386" s="1238"/>
      <c r="E386" s="516">
        <f t="shared" si="19"/>
        <v>3039996697</v>
      </c>
      <c r="F386" s="516">
        <f t="shared" si="19"/>
        <v>0</v>
      </c>
      <c r="G386" s="516">
        <f t="shared" si="19"/>
        <v>7542477000</v>
      </c>
      <c r="H386" s="516">
        <f t="shared" si="19"/>
        <v>0</v>
      </c>
      <c r="I386" s="516">
        <f t="shared" si="19"/>
        <v>7542477000</v>
      </c>
      <c r="J386" s="516">
        <f t="shared" si="19"/>
        <v>0</v>
      </c>
      <c r="K386" s="574" t="e">
        <f t="shared" si="19"/>
        <v>#DIV/0!</v>
      </c>
      <c r="L386" s="516">
        <f t="shared" si="19"/>
        <v>338265</v>
      </c>
      <c r="M386" s="516"/>
      <c r="N386" s="516">
        <f t="shared" si="19"/>
        <v>0</v>
      </c>
      <c r="O386" s="662"/>
      <c r="P386" s="548" t="str">
        <f>IF(ISERROR(VLOOKUP(B386,'Base de Datos'!$C$7:$N$315,8,0))=TRUE," ",(VLOOKUP(B386,'Base de Datos'!$C$7:$N$315,8,0)))</f>
        <v xml:space="preserve"> </v>
      </c>
      <c r="Q386" s="542"/>
      <c r="R386" s="719" t="str">
        <f>IF(ISERROR(VLOOKUP(B386,'Base de Datos'!$C$7:$N$315,9,0))=TRUE," ",(VLOOKUP(B386,'Base de Datos'!$C$7:$N$315,9,0)))</f>
        <v xml:space="preserve"> </v>
      </c>
      <c r="S386" s="719" t="str">
        <f>IF(ISERROR(VLOOKUP(B386,'Base de Datos'!$C$7:$N$315,10,0))=TRUE," ",(VLOOKUP(B386,'Base de Datos'!$C$7:$N$315,10,0)))</f>
        <v xml:space="preserve"> </v>
      </c>
      <c r="T386" s="542"/>
    </row>
    <row r="387" spans="2:21" hidden="1" x14ac:dyDescent="0.3">
      <c r="B387" s="1238" t="s">
        <v>1835</v>
      </c>
      <c r="C387" s="1238"/>
      <c r="D387" s="1238"/>
      <c r="E387" s="516">
        <f t="shared" si="19"/>
        <v>3039996697</v>
      </c>
      <c r="F387" s="516">
        <f t="shared" si="19"/>
        <v>0</v>
      </c>
      <c r="G387" s="516">
        <f t="shared" si="19"/>
        <v>7542477000</v>
      </c>
      <c r="H387" s="516">
        <f t="shared" si="19"/>
        <v>0</v>
      </c>
      <c r="I387" s="516">
        <f t="shared" si="19"/>
        <v>7542477000</v>
      </c>
      <c r="J387" s="516">
        <f t="shared" si="19"/>
        <v>0</v>
      </c>
      <c r="K387" s="574" t="e">
        <f t="shared" si="19"/>
        <v>#DIV/0!</v>
      </c>
      <c r="L387" s="516">
        <f t="shared" si="19"/>
        <v>338265</v>
      </c>
      <c r="M387" s="516"/>
      <c r="N387" s="516">
        <f t="shared" si="19"/>
        <v>0</v>
      </c>
      <c r="O387" s="662"/>
      <c r="P387" s="548" t="str">
        <f>IF(ISERROR(VLOOKUP(B387,'Base de Datos'!$C$7:$N$315,8,0))=TRUE," ",(VLOOKUP(B387,'Base de Datos'!$C$7:$N$315,8,0)))</f>
        <v xml:space="preserve"> </v>
      </c>
      <c r="Q387" s="542"/>
      <c r="R387" s="719" t="str">
        <f>IF(ISERROR(VLOOKUP(B387,'Base de Datos'!$C$7:$N$315,9,0))=TRUE," ",(VLOOKUP(B387,'Base de Datos'!$C$7:$N$315,9,0)))</f>
        <v xml:space="preserve"> </v>
      </c>
      <c r="S387" s="719" t="str">
        <f>IF(ISERROR(VLOOKUP(B387,'Base de Datos'!$C$7:$N$315,10,0))=TRUE," ",(VLOOKUP(B387,'Base de Datos'!$C$7:$N$315,10,0)))</f>
        <v xml:space="preserve"> </v>
      </c>
      <c r="T387" s="542"/>
      <c r="U387" s="508"/>
    </row>
    <row r="388" spans="2:21" hidden="1" x14ac:dyDescent="0.3">
      <c r="B388" s="1239" t="s">
        <v>1873</v>
      </c>
      <c r="C388" s="1239"/>
      <c r="D388" s="1239"/>
      <c r="E388" s="554">
        <f>SUM(E390:E397)</f>
        <v>3039996697</v>
      </c>
      <c r="F388" s="554">
        <f>SUM(F390:F397)</f>
        <v>0</v>
      </c>
      <c r="G388" s="554">
        <v>7542477000</v>
      </c>
      <c r="H388" s="559"/>
      <c r="I388" s="554">
        <v>7542477000</v>
      </c>
      <c r="J388" s="554">
        <f>SUM(J390:J397)</f>
        <v>0</v>
      </c>
      <c r="K388" s="576" t="e">
        <f>+J388/F388</f>
        <v>#DIV/0!</v>
      </c>
      <c r="L388" s="554">
        <f>SUM(L390:L397)</f>
        <v>338265</v>
      </c>
      <c r="M388" s="554"/>
      <c r="N388" s="554">
        <f>SUM(N390:N397)</f>
        <v>0</v>
      </c>
      <c r="O388" s="657"/>
      <c r="P388" s="564" t="str">
        <f>IF(ISERROR(VLOOKUP(B388,'Base de Datos'!$C$7:$N$315,8,0))=TRUE," ",(VLOOKUP(B388,'Base de Datos'!$C$7:$N$315,8,0)))</f>
        <v xml:space="preserve"> </v>
      </c>
      <c r="Q388" s="565"/>
      <c r="R388" s="717" t="str">
        <f>IF(ISERROR(VLOOKUP(B388,'Base de Datos'!$C$7:$N$315,9,0))=TRUE," ",(VLOOKUP(B388,'Base de Datos'!$C$7:$N$315,9,0)))</f>
        <v xml:space="preserve"> </v>
      </c>
      <c r="S388" s="717" t="str">
        <f>IF(ISERROR(VLOOKUP(B388,'Base de Datos'!$C$7:$N$315,10,0))=TRUE," ",(VLOOKUP(B388,'Base de Datos'!$C$7:$N$315,10,0)))</f>
        <v xml:space="preserve"> </v>
      </c>
      <c r="T388" s="565"/>
      <c r="U388" s="508"/>
    </row>
    <row r="389" spans="2:21" ht="22.8" hidden="1" x14ac:dyDescent="0.3">
      <c r="B389" s="510" t="s">
        <v>2127</v>
      </c>
      <c r="C389" s="510" t="s">
        <v>912</v>
      </c>
      <c r="D389" s="510" t="s">
        <v>1821</v>
      </c>
      <c r="E389" s="518" t="s">
        <v>1844</v>
      </c>
      <c r="F389" s="507" t="s">
        <v>2129</v>
      </c>
      <c r="G389" s="507"/>
      <c r="H389" s="507"/>
      <c r="I389" s="507"/>
      <c r="J389" s="510" t="s">
        <v>2130</v>
      </c>
      <c r="K389" s="625"/>
      <c r="L389" s="510" t="s">
        <v>1939</v>
      </c>
      <c r="M389" s="510"/>
      <c r="N389" s="510" t="s">
        <v>2136</v>
      </c>
      <c r="O389" s="650" t="s">
        <v>2133</v>
      </c>
      <c r="P389" s="541" t="s">
        <v>1817</v>
      </c>
      <c r="Q389" s="510" t="s">
        <v>1847</v>
      </c>
      <c r="R389" s="718" t="s">
        <v>1848</v>
      </c>
      <c r="S389" s="718" t="s">
        <v>375</v>
      </c>
      <c r="T389" s="510" t="s">
        <v>1849</v>
      </c>
      <c r="U389" s="508"/>
    </row>
    <row r="390" spans="2:21" ht="22.8" hidden="1" x14ac:dyDescent="0.3">
      <c r="B390" s="506"/>
      <c r="C390" s="506" t="s">
        <v>1524</v>
      </c>
      <c r="D390" s="506" t="str">
        <f>VLOOKUP(C390,'Base de Datos'!$E$7:$AU$390,2,0)</f>
        <v>M@ICROTEL LTDA</v>
      </c>
      <c r="E390" s="509">
        <f>VLOOKUP(C390,'Base de Datos'!$E$7:$AU$390,5,0)</f>
        <v>137450000</v>
      </c>
      <c r="F390" s="509" t="str">
        <f>VLOOKUP(C390,'Base de Datos'!$E$7:$AU$390,17,0)</f>
        <v/>
      </c>
      <c r="G390" s="506"/>
      <c r="H390" s="506"/>
      <c r="I390" s="506"/>
      <c r="J390" s="509" t="str">
        <f>VLOOKUP(C390,'Base de Datos'!$E$7:$AU$390,18,0)</f>
        <v/>
      </c>
      <c r="K390" s="573"/>
      <c r="L390" s="714">
        <f>VLOOKUP(C390,'Base de Datos'!$E$7:$AU$390,19,0)</f>
        <v>42383</v>
      </c>
      <c r="M390" s="506"/>
      <c r="N390" s="509" t="str">
        <f>IF(OR(O390=Hoja1!$D$17,'Presupuesto - PAA 2018'!O390=Hoja1!$D$18),'Presupuesto - PAA 2018'!L390," ")</f>
        <v xml:space="preserve"> </v>
      </c>
      <c r="O390" s="651" t="str">
        <f>VLOOKUP(C390,'Base de Datos'!$E$7:$AU$390,33,0)</f>
        <v>Dirección Administrativa</v>
      </c>
      <c r="P390" s="709"/>
      <c r="Q390" s="506"/>
      <c r="R390" s="715">
        <f>VLOOKUP(C390,'Base de Datos'!$E$7:$AU$390,9,0)</f>
        <v>42018</v>
      </c>
      <c r="S390" s="715" t="str">
        <f>VLOOKUP(C390,'Base de Datos'!$E$7:$AU$390,16,0)</f>
        <v/>
      </c>
      <c r="T390" s="651">
        <f>VLOOKUP(C390,'Base de Datos'!$E$7:$AU$390,40,0)</f>
        <v>0</v>
      </c>
      <c r="U390" s="508"/>
    </row>
    <row r="391" spans="2:21" ht="22.8" hidden="1" x14ac:dyDescent="0.3">
      <c r="B391" s="506"/>
      <c r="C391" s="506" t="s">
        <v>1115</v>
      </c>
      <c r="D391" s="506" t="str">
        <f>VLOOKUP(C391,'Base de Datos'!$E$7:$AU$390,2,0)</f>
        <v>SUMIMAS SAS</v>
      </c>
      <c r="E391" s="509">
        <f>VLOOKUP(C391,'Base de Datos'!$E$7:$AU$390,5,0)</f>
        <v>75520000</v>
      </c>
      <c r="F391" s="509" t="str">
        <f>VLOOKUP(C391,'Base de Datos'!$E$7:$AU$390,17,0)</f>
        <v/>
      </c>
      <c r="G391" s="506"/>
      <c r="H391" s="506"/>
      <c r="I391" s="506"/>
      <c r="J391" s="509" t="str">
        <f>VLOOKUP(C391,'Base de Datos'!$E$7:$AU$390,18,0)</f>
        <v/>
      </c>
      <c r="K391" s="573"/>
      <c r="L391" s="714">
        <f>VLOOKUP(C391,'Base de Datos'!$E$7:$AU$390,19,0)</f>
        <v>42294</v>
      </c>
      <c r="M391" s="506"/>
      <c r="N391" s="509" t="str">
        <f>IF(OR(O391=Hoja1!$D$17,'Presupuesto - PAA 2018'!O391=Hoja1!$D$18),'Presupuesto - PAA 2018'!L391," ")</f>
        <v xml:space="preserve"> </v>
      </c>
      <c r="O391" s="651" t="str">
        <f>VLOOKUP(C391,'Base de Datos'!$E$7:$AU$390,33,0)</f>
        <v>Dirección Administrativa</v>
      </c>
      <c r="P391" s="709"/>
      <c r="Q391" s="506"/>
      <c r="R391" s="715">
        <f>VLOOKUP(C391,'Base de Datos'!$E$7:$AU$390,9,0)</f>
        <v>41929</v>
      </c>
      <c r="S391" s="715" t="str">
        <f>VLOOKUP(C391,'Base de Datos'!$E$7:$AU$390,16,0)</f>
        <v/>
      </c>
      <c r="T391" s="651">
        <f>VLOOKUP(C391,'Base de Datos'!$E$7:$AU$390,40,0)</f>
        <v>0</v>
      </c>
      <c r="U391" s="508"/>
    </row>
    <row r="392" spans="2:21" ht="22.8" hidden="1" x14ac:dyDescent="0.3">
      <c r="B392" s="506"/>
      <c r="C392" s="506" t="s">
        <v>1358</v>
      </c>
      <c r="D392" s="506" t="str">
        <f>VLOOKUP(C392,'Base de Datos'!$E$7:$AU$390,2,0)</f>
        <v>M@ICROTEL LTDA</v>
      </c>
      <c r="E392" s="509">
        <f>VLOOKUP(C392,'Base de Datos'!$E$7:$AU$390,5,0)</f>
        <v>27235640</v>
      </c>
      <c r="F392" s="509" t="str">
        <f>VLOOKUP(C392,'Base de Datos'!$E$7:$AU$390,17,0)</f>
        <v/>
      </c>
      <c r="G392" s="506"/>
      <c r="H392" s="506"/>
      <c r="I392" s="506"/>
      <c r="J392" s="509" t="str">
        <f>VLOOKUP(C392,'Base de Datos'!$E$7:$AU$390,18,0)</f>
        <v/>
      </c>
      <c r="K392" s="573"/>
      <c r="L392" s="714">
        <f>VLOOKUP(C392,'Base de Datos'!$E$7:$AU$390,19,0)</f>
        <v>42334</v>
      </c>
      <c r="M392" s="506"/>
      <c r="N392" s="509" t="str">
        <f>IF(OR(O392=Hoja1!$D$17,'Presupuesto - PAA 2018'!O392=Hoja1!$D$18),'Presupuesto - PAA 2018'!L392," ")</f>
        <v xml:space="preserve"> </v>
      </c>
      <c r="O392" s="651" t="str">
        <f>VLOOKUP(C392,'Base de Datos'!$E$7:$AU$390,33,0)</f>
        <v>Dirección Administrativa</v>
      </c>
      <c r="P392" s="709"/>
      <c r="Q392" s="506"/>
      <c r="R392" s="715">
        <f>VLOOKUP(C392,'Base de Datos'!$E$7:$AU$390,9,0)</f>
        <v>41969</v>
      </c>
      <c r="S392" s="715" t="str">
        <f>VLOOKUP(C392,'Base de Datos'!$E$7:$AU$390,16,0)</f>
        <v/>
      </c>
      <c r="T392" s="651">
        <f>VLOOKUP(C392,'Base de Datos'!$E$7:$AU$390,40,0)</f>
        <v>0</v>
      </c>
      <c r="U392" s="508"/>
    </row>
    <row r="393" spans="2:21" ht="22.8" hidden="1" x14ac:dyDescent="0.3">
      <c r="B393" s="506"/>
      <c r="C393" s="506" t="s">
        <v>1365</v>
      </c>
      <c r="D393" s="506" t="str">
        <f>VLOOKUP(C393,'Base de Datos'!$E$7:$AU$390,2,0)</f>
        <v>CARLOS ALBERTO CASTELLANOS MEDINA</v>
      </c>
      <c r="E393" s="509">
        <f>VLOOKUP(C393,'Base de Datos'!$E$7:$AU$390,5,0)</f>
        <v>39999999</v>
      </c>
      <c r="F393" s="509" t="str">
        <f>VLOOKUP(C393,'Base de Datos'!$E$7:$AU$390,17,0)</f>
        <v/>
      </c>
      <c r="G393" s="506"/>
      <c r="H393" s="506"/>
      <c r="I393" s="506"/>
      <c r="J393" s="509" t="str">
        <f>VLOOKUP(C393,'Base de Datos'!$E$7:$AU$390,18,0)</f>
        <v/>
      </c>
      <c r="K393" s="573"/>
      <c r="L393" s="714">
        <f>VLOOKUP(C393,'Base de Datos'!$E$7:$AU$390,19,0)</f>
        <v>42504</v>
      </c>
      <c r="M393" s="506"/>
      <c r="N393" s="509" t="str">
        <f>IF(OR(O393=Hoja1!$D$17,'Presupuesto - PAA 2018'!O393=Hoja1!$D$18),'Presupuesto - PAA 2018'!L393," ")</f>
        <v xml:space="preserve"> </v>
      </c>
      <c r="O393" s="651" t="str">
        <f>VLOOKUP(C393,'Base de Datos'!$E$7:$AU$390,33,0)</f>
        <v>Dirección Administrativa</v>
      </c>
      <c r="P393" s="709"/>
      <c r="Q393" s="506"/>
      <c r="R393" s="715">
        <f>VLOOKUP(C393,'Base de Datos'!$E$7:$AU$390,9,0)</f>
        <v>41957</v>
      </c>
      <c r="S393" s="715" t="str">
        <f>VLOOKUP(C393,'Base de Datos'!$E$7:$AU$390,16,0)</f>
        <v/>
      </c>
      <c r="T393" s="651">
        <f>VLOOKUP(C393,'Base de Datos'!$E$7:$AU$390,40,0)</f>
        <v>0</v>
      </c>
      <c r="U393" s="508"/>
    </row>
    <row r="394" spans="2:21" ht="22.8" hidden="1" x14ac:dyDescent="0.3">
      <c r="B394" s="506"/>
      <c r="C394" s="506" t="s">
        <v>291</v>
      </c>
      <c r="D394" s="506" t="str">
        <f>VLOOKUP(C394,'Base de Datos'!$E$7:$AU$390,2,0)</f>
        <v>UNIDAD NACIONAL DE PROTECCIÓN</v>
      </c>
      <c r="E394" s="509">
        <f>VLOOKUP(C394,'Base de Datos'!$E$7:$AU$390,5,0)</f>
        <v>2447846100</v>
      </c>
      <c r="F394" s="509" t="str">
        <f>VLOOKUP(C394,'Base de Datos'!$E$7:$AU$390,17,0)</f>
        <v/>
      </c>
      <c r="G394" s="506"/>
      <c r="H394" s="506"/>
      <c r="I394" s="506"/>
      <c r="J394" s="509" t="str">
        <f>VLOOKUP(C394,'Base de Datos'!$E$7:$AU$390,18,0)</f>
        <v/>
      </c>
      <c r="K394" s="573"/>
      <c r="L394" s="714">
        <f>VLOOKUP(C394,'Base de Datos'!$E$7:$AU$390,19,0)</f>
        <v>42116</v>
      </c>
      <c r="M394" s="506"/>
      <c r="N394" s="509" t="str">
        <f>IF(OR(O394=Hoja1!$D$17,'Presupuesto - PAA 2018'!O394=Hoja1!$D$18),'Presupuesto - PAA 2018'!L394," ")</f>
        <v xml:space="preserve"> </v>
      </c>
      <c r="O394" s="651" t="str">
        <f>VLOOKUP(C394,'Base de Datos'!$E$7:$AU$390,33,0)</f>
        <v>Dirección Administrativa</v>
      </c>
      <c r="P394" s="709"/>
      <c r="Q394" s="506"/>
      <c r="R394" s="715">
        <f>VLOOKUP(C394,'Base de Datos'!$E$7:$AU$390,9,0)</f>
        <v>41808</v>
      </c>
      <c r="S394" s="715">
        <f>VLOOKUP(C394,'Base de Datos'!$E$7:$AU$390,16,0)</f>
        <v>42116</v>
      </c>
      <c r="T394" s="651">
        <f>VLOOKUP(C394,'Base de Datos'!$E$7:$AU$390,40,0)</f>
        <v>0</v>
      </c>
      <c r="U394" s="508"/>
    </row>
    <row r="395" spans="2:21" ht="22.8" hidden="1" x14ac:dyDescent="0.3">
      <c r="B395" s="506"/>
      <c r="C395" s="506" t="s">
        <v>1515</v>
      </c>
      <c r="D395" s="506" t="str">
        <f>VLOOKUP(C395,'Base de Datos'!$E$7:$AU$390,2,0)</f>
        <v>KAWAK SAS</v>
      </c>
      <c r="E395" s="509">
        <f>VLOOKUP(C395,'Base de Datos'!$E$7:$AU$390,5,0)</f>
        <v>64621280</v>
      </c>
      <c r="F395" s="509" t="str">
        <f>VLOOKUP(C395,'Base de Datos'!$E$7:$AU$390,17,0)</f>
        <v/>
      </c>
      <c r="G395" s="506"/>
      <c r="H395" s="506"/>
      <c r="I395" s="506"/>
      <c r="J395" s="509" t="str">
        <f>VLOOKUP(C395,'Base de Datos'!$E$7:$AU$390,18,0)</f>
        <v/>
      </c>
      <c r="K395" s="573"/>
      <c r="L395" s="714">
        <f>VLOOKUP(C395,'Base de Datos'!$E$7:$AU$390,19,0)</f>
        <v>42348</v>
      </c>
      <c r="M395" s="506"/>
      <c r="N395" s="509" t="str">
        <f>IF(OR(O395=Hoja1!$D$17,'Presupuesto - PAA 2018'!O395=Hoja1!$D$18),'Presupuesto - PAA 2018'!L395," ")</f>
        <v xml:space="preserve"> </v>
      </c>
      <c r="O395" s="651" t="str">
        <f>VLOOKUP(C395,'Base de Datos'!$E$7:$AU$390,33,0)</f>
        <v>Dirección Administrativa</v>
      </c>
      <c r="P395" s="709"/>
      <c r="Q395" s="506"/>
      <c r="R395" s="715">
        <f>VLOOKUP(C395,'Base de Datos'!$E$7:$AU$390,9,0)</f>
        <v>42045</v>
      </c>
      <c r="S395" s="715">
        <f>VLOOKUP(C395,'Base de Datos'!$E$7:$AU$390,16,0)</f>
        <v>42348</v>
      </c>
      <c r="T395" s="651">
        <f>VLOOKUP(C395,'Base de Datos'!$E$7:$AU$390,40,0)</f>
        <v>0</v>
      </c>
      <c r="U395" s="508"/>
    </row>
    <row r="396" spans="2:21" ht="22.8" hidden="1" x14ac:dyDescent="0.3">
      <c r="B396" s="506"/>
      <c r="C396" s="506" t="s">
        <v>1496</v>
      </c>
      <c r="D396" s="506" t="str">
        <f>VLOOKUP(C396,'Base de Datos'!$E$7:$AU$390,2,0)</f>
        <v>GAMMA INGENIEROS S A</v>
      </c>
      <c r="E396" s="509">
        <f>VLOOKUP(C396,'Base de Datos'!$E$7:$AU$390,5,0)</f>
        <v>187940000</v>
      </c>
      <c r="F396" s="509" t="str">
        <f>VLOOKUP(C396,'Base de Datos'!$E$7:$AU$390,17,0)</f>
        <v/>
      </c>
      <c r="G396" s="506"/>
      <c r="H396" s="506"/>
      <c r="I396" s="506"/>
      <c r="J396" s="509" t="str">
        <f>VLOOKUP(C396,'Base de Datos'!$E$7:$AU$390,18,0)</f>
        <v/>
      </c>
      <c r="K396" s="573"/>
      <c r="L396" s="714">
        <f>VLOOKUP(C396,'Base de Datos'!$E$7:$AU$390,19,0)</f>
        <v>42102</v>
      </c>
      <c r="M396" s="506"/>
      <c r="N396" s="509" t="str">
        <f>IF(OR(O396=Hoja1!$D$17,'Presupuesto - PAA 2018'!O396=Hoja1!$D$18),'Presupuesto - PAA 2018'!L396," ")</f>
        <v xml:space="preserve"> </v>
      </c>
      <c r="O396" s="651" t="str">
        <f>VLOOKUP(C396,'Base de Datos'!$E$7:$AU$390,33,0)</f>
        <v>Dirección Administrativa</v>
      </c>
      <c r="P396" s="709"/>
      <c r="Q396" s="506"/>
      <c r="R396" s="715">
        <f>VLOOKUP(C396,'Base de Datos'!$E$7:$AU$390,9,0)</f>
        <v>42023</v>
      </c>
      <c r="S396" s="715" t="str">
        <f>VLOOKUP(C396,'Base de Datos'!$E$7:$AU$390,16,0)</f>
        <v/>
      </c>
      <c r="T396" s="651">
        <f>VLOOKUP(C396,'Base de Datos'!$E$7:$AU$390,40,0)</f>
        <v>0</v>
      </c>
      <c r="U396" s="508"/>
    </row>
    <row r="397" spans="2:21" ht="22.8" hidden="1" x14ac:dyDescent="0.3">
      <c r="B397" s="506"/>
      <c r="C397" s="506" t="s">
        <v>1350</v>
      </c>
      <c r="D397" s="506" t="str">
        <f>VLOOKUP(C397,'Base de Datos'!$E$7:$AU$390,2,0)</f>
        <v>PROSEGUR TECNOLOGÍA S.A.S.</v>
      </c>
      <c r="E397" s="509">
        <f>VLOOKUP(C397,'Base de Datos'!$E$7:$AU$390,5,0)</f>
        <v>59383678</v>
      </c>
      <c r="F397" s="509" t="str">
        <f>VLOOKUP(C397,'Base de Datos'!$E$7:$AU$390,17,0)</f>
        <v/>
      </c>
      <c r="G397" s="506"/>
      <c r="H397" s="506"/>
      <c r="I397" s="506"/>
      <c r="J397" s="509" t="str">
        <f>VLOOKUP(C397,'Base de Datos'!$E$7:$AU$390,18,0)</f>
        <v/>
      </c>
      <c r="K397" s="573"/>
      <c r="L397" s="714">
        <f>VLOOKUP(C397,'Base de Datos'!$E$7:$AU$390,19,0)</f>
        <v>42184</v>
      </c>
      <c r="M397" s="506"/>
      <c r="N397" s="509" t="str">
        <f>IF(OR(O397=Hoja1!$D$17,'Presupuesto - PAA 2018'!O397=Hoja1!$D$18),'Presupuesto - PAA 2018'!L397," ")</f>
        <v xml:space="preserve"> </v>
      </c>
      <c r="O397" s="651" t="str">
        <f>VLOOKUP(C397,'Base de Datos'!$E$7:$AU$390,33,0)</f>
        <v>Dirección Administrativa</v>
      </c>
      <c r="P397" s="709"/>
      <c r="Q397" s="506"/>
      <c r="R397" s="715">
        <f>VLOOKUP(C397,'Base de Datos'!$E$7:$AU$390,9,0)</f>
        <v>41941</v>
      </c>
      <c r="S397" s="715">
        <f>VLOOKUP(C397,'Base de Datos'!$E$7:$AU$390,16,0)</f>
        <v>42184</v>
      </c>
      <c r="T397" s="651">
        <f>VLOOKUP(C397,'Base de Datos'!$E$7:$AU$390,40,0)</f>
        <v>0</v>
      </c>
      <c r="U397" s="508"/>
    </row>
    <row r="398" spans="2:21" x14ac:dyDescent="0.3">
      <c r="R398" s="721"/>
      <c r="S398" s="721"/>
      <c r="U398" s="508"/>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K1031"/>
  <sheetViews>
    <sheetView workbookViewId="0">
      <pane xSplit="1" ySplit="1" topLeftCell="B811" activePane="bottomRight" state="frozen"/>
      <selection activeCell="AT677" sqref="AT677"/>
      <selection pane="topRight" activeCell="AT677" sqref="AT677"/>
      <selection pane="bottomLeft" activeCell="AT677" sqref="AT677"/>
      <selection pane="bottomRight" activeCell="E816" sqref="E816"/>
    </sheetView>
  </sheetViews>
  <sheetFormatPr baseColWidth="10" defaultRowHeight="13.2" x14ac:dyDescent="0.25"/>
  <cols>
    <col min="1" max="1" width="9.109375" style="879" customWidth="1"/>
    <col min="2" max="3" width="19.6640625" style="879" customWidth="1"/>
    <col min="4" max="4" width="44.44140625" style="879" customWidth="1"/>
    <col min="5" max="5" width="20.5546875" style="905" customWidth="1"/>
    <col min="6" max="6" width="21.88671875" style="907" customWidth="1"/>
    <col min="7" max="7" width="37.88671875" style="907" customWidth="1"/>
    <col min="8" max="8" width="29.33203125" style="907" customWidth="1"/>
    <col min="9" max="9" width="22.33203125" style="905" customWidth="1"/>
    <col min="10" max="10" width="16.6640625" style="879" customWidth="1"/>
    <col min="11" max="11" width="15.88671875" style="879" customWidth="1"/>
    <col min="12" max="257" width="11.44140625" style="879"/>
    <col min="258" max="258" width="9.109375" style="879" customWidth="1"/>
    <col min="259" max="259" width="19.6640625" style="879" customWidth="1"/>
    <col min="260" max="260" width="44.44140625" style="879" customWidth="1"/>
    <col min="261" max="261" width="18.109375" style="879" customWidth="1"/>
    <col min="262" max="262" width="21.88671875" style="879" customWidth="1"/>
    <col min="263" max="263" width="20.44140625" style="879" customWidth="1"/>
    <col min="264" max="513" width="11.44140625" style="879"/>
    <col min="514" max="514" width="9.109375" style="879" customWidth="1"/>
    <col min="515" max="515" width="19.6640625" style="879" customWidth="1"/>
    <col min="516" max="516" width="44.44140625" style="879" customWidth="1"/>
    <col min="517" max="517" width="18.109375" style="879" customWidth="1"/>
    <col min="518" max="518" width="21.88671875" style="879" customWidth="1"/>
    <col min="519" max="519" width="20.44140625" style="879" customWidth="1"/>
    <col min="520" max="769" width="11.44140625" style="879"/>
    <col min="770" max="770" width="9.109375" style="879" customWidth="1"/>
    <col min="771" max="771" width="19.6640625" style="879" customWidth="1"/>
    <col min="772" max="772" width="44.44140625" style="879" customWidth="1"/>
    <col min="773" max="773" width="18.109375" style="879" customWidth="1"/>
    <col min="774" max="774" width="21.88671875" style="879" customWidth="1"/>
    <col min="775" max="775" width="20.44140625" style="879" customWidth="1"/>
    <col min="776" max="1025" width="11.44140625" style="879"/>
    <col min="1026" max="1026" width="9.109375" style="879" customWidth="1"/>
    <col min="1027" max="1027" width="19.6640625" style="879" customWidth="1"/>
    <col min="1028" max="1028" width="44.44140625" style="879" customWidth="1"/>
    <col min="1029" max="1029" width="18.109375" style="879" customWidth="1"/>
    <col min="1030" max="1030" width="21.88671875" style="879" customWidth="1"/>
    <col min="1031" max="1031" width="20.44140625" style="879" customWidth="1"/>
    <col min="1032" max="1281" width="11.44140625" style="879"/>
    <col min="1282" max="1282" width="9.109375" style="879" customWidth="1"/>
    <col min="1283" max="1283" width="19.6640625" style="879" customWidth="1"/>
    <col min="1284" max="1284" width="44.44140625" style="879" customWidth="1"/>
    <col min="1285" max="1285" width="18.109375" style="879" customWidth="1"/>
    <col min="1286" max="1286" width="21.88671875" style="879" customWidth="1"/>
    <col min="1287" max="1287" width="20.44140625" style="879" customWidth="1"/>
    <col min="1288" max="1537" width="11.44140625" style="879"/>
    <col min="1538" max="1538" width="9.109375" style="879" customWidth="1"/>
    <col min="1539" max="1539" width="19.6640625" style="879" customWidth="1"/>
    <col min="1540" max="1540" width="44.44140625" style="879" customWidth="1"/>
    <col min="1541" max="1541" width="18.109375" style="879" customWidth="1"/>
    <col min="1542" max="1542" width="21.88671875" style="879" customWidth="1"/>
    <col min="1543" max="1543" width="20.44140625" style="879" customWidth="1"/>
    <col min="1544" max="1793" width="11.44140625" style="879"/>
    <col min="1794" max="1794" width="9.109375" style="879" customWidth="1"/>
    <col min="1795" max="1795" width="19.6640625" style="879" customWidth="1"/>
    <col min="1796" max="1796" width="44.44140625" style="879" customWidth="1"/>
    <col min="1797" max="1797" width="18.109375" style="879" customWidth="1"/>
    <col min="1798" max="1798" width="21.88671875" style="879" customWidth="1"/>
    <col min="1799" max="1799" width="20.44140625" style="879" customWidth="1"/>
    <col min="1800" max="2049" width="11.44140625" style="879"/>
    <col min="2050" max="2050" width="9.109375" style="879" customWidth="1"/>
    <col min="2051" max="2051" width="19.6640625" style="879" customWidth="1"/>
    <col min="2052" max="2052" width="44.44140625" style="879" customWidth="1"/>
    <col min="2053" max="2053" width="18.109375" style="879" customWidth="1"/>
    <col min="2054" max="2054" width="21.88671875" style="879" customWidth="1"/>
    <col min="2055" max="2055" width="20.44140625" style="879" customWidth="1"/>
    <col min="2056" max="2305" width="11.44140625" style="879"/>
    <col min="2306" max="2306" width="9.109375" style="879" customWidth="1"/>
    <col min="2307" max="2307" width="19.6640625" style="879" customWidth="1"/>
    <col min="2308" max="2308" width="44.44140625" style="879" customWidth="1"/>
    <col min="2309" max="2309" width="18.109375" style="879" customWidth="1"/>
    <col min="2310" max="2310" width="21.88671875" style="879" customWidth="1"/>
    <col min="2311" max="2311" width="20.44140625" style="879" customWidth="1"/>
    <col min="2312" max="2561" width="11.44140625" style="879"/>
    <col min="2562" max="2562" width="9.109375" style="879" customWidth="1"/>
    <col min="2563" max="2563" width="19.6640625" style="879" customWidth="1"/>
    <col min="2564" max="2564" width="44.44140625" style="879" customWidth="1"/>
    <col min="2565" max="2565" width="18.109375" style="879" customWidth="1"/>
    <col min="2566" max="2566" width="21.88671875" style="879" customWidth="1"/>
    <col min="2567" max="2567" width="20.44140625" style="879" customWidth="1"/>
    <col min="2568" max="2817" width="11.44140625" style="879"/>
    <col min="2818" max="2818" width="9.109375" style="879" customWidth="1"/>
    <col min="2819" max="2819" width="19.6640625" style="879" customWidth="1"/>
    <col min="2820" max="2820" width="44.44140625" style="879" customWidth="1"/>
    <col min="2821" max="2821" width="18.109375" style="879" customWidth="1"/>
    <col min="2822" max="2822" width="21.88671875" style="879" customWidth="1"/>
    <col min="2823" max="2823" width="20.44140625" style="879" customWidth="1"/>
    <col min="2824" max="3073" width="11.44140625" style="879"/>
    <col min="3074" max="3074" width="9.109375" style="879" customWidth="1"/>
    <col min="3075" max="3075" width="19.6640625" style="879" customWidth="1"/>
    <col min="3076" max="3076" width="44.44140625" style="879" customWidth="1"/>
    <col min="3077" max="3077" width="18.109375" style="879" customWidth="1"/>
    <col min="3078" max="3078" width="21.88671875" style="879" customWidth="1"/>
    <col min="3079" max="3079" width="20.44140625" style="879" customWidth="1"/>
    <col min="3080" max="3329" width="11.44140625" style="879"/>
    <col min="3330" max="3330" width="9.109375" style="879" customWidth="1"/>
    <col min="3331" max="3331" width="19.6640625" style="879" customWidth="1"/>
    <col min="3332" max="3332" width="44.44140625" style="879" customWidth="1"/>
    <col min="3333" max="3333" width="18.109375" style="879" customWidth="1"/>
    <col min="3334" max="3334" width="21.88671875" style="879" customWidth="1"/>
    <col min="3335" max="3335" width="20.44140625" style="879" customWidth="1"/>
    <col min="3336" max="3585" width="11.44140625" style="879"/>
    <col min="3586" max="3586" width="9.109375" style="879" customWidth="1"/>
    <col min="3587" max="3587" width="19.6640625" style="879" customWidth="1"/>
    <col min="3588" max="3588" width="44.44140625" style="879" customWidth="1"/>
    <col min="3589" max="3589" width="18.109375" style="879" customWidth="1"/>
    <col min="3590" max="3590" width="21.88671875" style="879" customWidth="1"/>
    <col min="3591" max="3591" width="20.44140625" style="879" customWidth="1"/>
    <col min="3592" max="3841" width="11.44140625" style="879"/>
    <col min="3842" max="3842" width="9.109375" style="879" customWidth="1"/>
    <col min="3843" max="3843" width="19.6640625" style="879" customWidth="1"/>
    <col min="3844" max="3844" width="44.44140625" style="879" customWidth="1"/>
    <col min="3845" max="3845" width="18.109375" style="879" customWidth="1"/>
    <col min="3846" max="3846" width="21.88671875" style="879" customWidth="1"/>
    <col min="3847" max="3847" width="20.44140625" style="879" customWidth="1"/>
    <col min="3848" max="4097" width="11.44140625" style="879"/>
    <col min="4098" max="4098" width="9.109375" style="879" customWidth="1"/>
    <col min="4099" max="4099" width="19.6640625" style="879" customWidth="1"/>
    <col min="4100" max="4100" width="44.44140625" style="879" customWidth="1"/>
    <col min="4101" max="4101" width="18.109375" style="879" customWidth="1"/>
    <col min="4102" max="4102" width="21.88671875" style="879" customWidth="1"/>
    <col min="4103" max="4103" width="20.44140625" style="879" customWidth="1"/>
    <col min="4104" max="4353" width="11.44140625" style="879"/>
    <col min="4354" max="4354" width="9.109375" style="879" customWidth="1"/>
    <col min="4355" max="4355" width="19.6640625" style="879" customWidth="1"/>
    <col min="4356" max="4356" width="44.44140625" style="879" customWidth="1"/>
    <col min="4357" max="4357" width="18.109375" style="879" customWidth="1"/>
    <col min="4358" max="4358" width="21.88671875" style="879" customWidth="1"/>
    <col min="4359" max="4359" width="20.44140625" style="879" customWidth="1"/>
    <col min="4360" max="4609" width="11.44140625" style="879"/>
    <col min="4610" max="4610" width="9.109375" style="879" customWidth="1"/>
    <col min="4611" max="4611" width="19.6640625" style="879" customWidth="1"/>
    <col min="4612" max="4612" width="44.44140625" style="879" customWidth="1"/>
    <col min="4613" max="4613" width="18.109375" style="879" customWidth="1"/>
    <col min="4614" max="4614" width="21.88671875" style="879" customWidth="1"/>
    <col min="4615" max="4615" width="20.44140625" style="879" customWidth="1"/>
    <col min="4616" max="4865" width="11.44140625" style="879"/>
    <col min="4866" max="4866" width="9.109375" style="879" customWidth="1"/>
    <col min="4867" max="4867" width="19.6640625" style="879" customWidth="1"/>
    <col min="4868" max="4868" width="44.44140625" style="879" customWidth="1"/>
    <col min="4869" max="4869" width="18.109375" style="879" customWidth="1"/>
    <col min="4870" max="4870" width="21.88671875" style="879" customWidth="1"/>
    <col min="4871" max="4871" width="20.44140625" style="879" customWidth="1"/>
    <col min="4872" max="5121" width="11.44140625" style="879"/>
    <col min="5122" max="5122" width="9.109375" style="879" customWidth="1"/>
    <col min="5123" max="5123" width="19.6640625" style="879" customWidth="1"/>
    <col min="5124" max="5124" width="44.44140625" style="879" customWidth="1"/>
    <col min="5125" max="5125" width="18.109375" style="879" customWidth="1"/>
    <col min="5126" max="5126" width="21.88671875" style="879" customWidth="1"/>
    <col min="5127" max="5127" width="20.44140625" style="879" customWidth="1"/>
    <col min="5128" max="5377" width="11.44140625" style="879"/>
    <col min="5378" max="5378" width="9.109375" style="879" customWidth="1"/>
    <col min="5379" max="5379" width="19.6640625" style="879" customWidth="1"/>
    <col min="5380" max="5380" width="44.44140625" style="879" customWidth="1"/>
    <col min="5381" max="5381" width="18.109375" style="879" customWidth="1"/>
    <col min="5382" max="5382" width="21.88671875" style="879" customWidth="1"/>
    <col min="5383" max="5383" width="20.44140625" style="879" customWidth="1"/>
    <col min="5384" max="5633" width="11.44140625" style="879"/>
    <col min="5634" max="5634" width="9.109375" style="879" customWidth="1"/>
    <col min="5635" max="5635" width="19.6640625" style="879" customWidth="1"/>
    <col min="5636" max="5636" width="44.44140625" style="879" customWidth="1"/>
    <col min="5637" max="5637" width="18.109375" style="879" customWidth="1"/>
    <col min="5638" max="5638" width="21.88671875" style="879" customWidth="1"/>
    <col min="5639" max="5639" width="20.44140625" style="879" customWidth="1"/>
    <col min="5640" max="5889" width="11.44140625" style="879"/>
    <col min="5890" max="5890" width="9.109375" style="879" customWidth="1"/>
    <col min="5891" max="5891" width="19.6640625" style="879" customWidth="1"/>
    <col min="5892" max="5892" width="44.44140625" style="879" customWidth="1"/>
    <col min="5893" max="5893" width="18.109375" style="879" customWidth="1"/>
    <col min="5894" max="5894" width="21.88671875" style="879" customWidth="1"/>
    <col min="5895" max="5895" width="20.44140625" style="879" customWidth="1"/>
    <col min="5896" max="6145" width="11.44140625" style="879"/>
    <col min="6146" max="6146" width="9.109375" style="879" customWidth="1"/>
    <col min="6147" max="6147" width="19.6640625" style="879" customWidth="1"/>
    <col min="6148" max="6148" width="44.44140625" style="879" customWidth="1"/>
    <col min="6149" max="6149" width="18.109375" style="879" customWidth="1"/>
    <col min="6150" max="6150" width="21.88671875" style="879" customWidth="1"/>
    <col min="6151" max="6151" width="20.44140625" style="879" customWidth="1"/>
    <col min="6152" max="6401" width="11.44140625" style="879"/>
    <col min="6402" max="6402" width="9.109375" style="879" customWidth="1"/>
    <col min="6403" max="6403" width="19.6640625" style="879" customWidth="1"/>
    <col min="6404" max="6404" width="44.44140625" style="879" customWidth="1"/>
    <col min="6405" max="6405" width="18.109375" style="879" customWidth="1"/>
    <col min="6406" max="6406" width="21.88671875" style="879" customWidth="1"/>
    <col min="6407" max="6407" width="20.44140625" style="879" customWidth="1"/>
    <col min="6408" max="6657" width="11.44140625" style="879"/>
    <col min="6658" max="6658" width="9.109375" style="879" customWidth="1"/>
    <col min="6659" max="6659" width="19.6640625" style="879" customWidth="1"/>
    <col min="6660" max="6660" width="44.44140625" style="879" customWidth="1"/>
    <col min="6661" max="6661" width="18.109375" style="879" customWidth="1"/>
    <col min="6662" max="6662" width="21.88671875" style="879" customWidth="1"/>
    <col min="6663" max="6663" width="20.44140625" style="879" customWidth="1"/>
    <col min="6664" max="6913" width="11.44140625" style="879"/>
    <col min="6914" max="6914" width="9.109375" style="879" customWidth="1"/>
    <col min="6915" max="6915" width="19.6640625" style="879" customWidth="1"/>
    <col min="6916" max="6916" width="44.44140625" style="879" customWidth="1"/>
    <col min="6917" max="6917" width="18.109375" style="879" customWidth="1"/>
    <col min="6918" max="6918" width="21.88671875" style="879" customWidth="1"/>
    <col min="6919" max="6919" width="20.44140625" style="879" customWidth="1"/>
    <col min="6920" max="7169" width="11.44140625" style="879"/>
    <col min="7170" max="7170" width="9.109375" style="879" customWidth="1"/>
    <col min="7171" max="7171" width="19.6640625" style="879" customWidth="1"/>
    <col min="7172" max="7172" width="44.44140625" style="879" customWidth="1"/>
    <col min="7173" max="7173" width="18.109375" style="879" customWidth="1"/>
    <col min="7174" max="7174" width="21.88671875" style="879" customWidth="1"/>
    <col min="7175" max="7175" width="20.44140625" style="879" customWidth="1"/>
    <col min="7176" max="7425" width="11.44140625" style="879"/>
    <col min="7426" max="7426" width="9.109375" style="879" customWidth="1"/>
    <col min="7427" max="7427" width="19.6640625" style="879" customWidth="1"/>
    <col min="7428" max="7428" width="44.44140625" style="879" customWidth="1"/>
    <col min="7429" max="7429" width="18.109375" style="879" customWidth="1"/>
    <col min="7430" max="7430" width="21.88671875" style="879" customWidth="1"/>
    <col min="7431" max="7431" width="20.44140625" style="879" customWidth="1"/>
    <col min="7432" max="7681" width="11.44140625" style="879"/>
    <col min="7682" max="7682" width="9.109375" style="879" customWidth="1"/>
    <col min="7683" max="7683" width="19.6640625" style="879" customWidth="1"/>
    <col min="7684" max="7684" width="44.44140625" style="879" customWidth="1"/>
    <col min="7685" max="7685" width="18.109375" style="879" customWidth="1"/>
    <col min="7686" max="7686" width="21.88671875" style="879" customWidth="1"/>
    <col min="7687" max="7687" width="20.44140625" style="879" customWidth="1"/>
    <col min="7688" max="7937" width="11.44140625" style="879"/>
    <col min="7938" max="7938" width="9.109375" style="879" customWidth="1"/>
    <col min="7939" max="7939" width="19.6640625" style="879" customWidth="1"/>
    <col min="7940" max="7940" width="44.44140625" style="879" customWidth="1"/>
    <col min="7941" max="7941" width="18.109375" style="879" customWidth="1"/>
    <col min="7942" max="7942" width="21.88671875" style="879" customWidth="1"/>
    <col min="7943" max="7943" width="20.44140625" style="879" customWidth="1"/>
    <col min="7944" max="8193" width="11.44140625" style="879"/>
    <col min="8194" max="8194" width="9.109375" style="879" customWidth="1"/>
    <col min="8195" max="8195" width="19.6640625" style="879" customWidth="1"/>
    <col min="8196" max="8196" width="44.44140625" style="879" customWidth="1"/>
    <col min="8197" max="8197" width="18.109375" style="879" customWidth="1"/>
    <col min="8198" max="8198" width="21.88671875" style="879" customWidth="1"/>
    <col min="8199" max="8199" width="20.44140625" style="879" customWidth="1"/>
    <col min="8200" max="8449" width="11.44140625" style="879"/>
    <col min="8450" max="8450" width="9.109375" style="879" customWidth="1"/>
    <col min="8451" max="8451" width="19.6640625" style="879" customWidth="1"/>
    <col min="8452" max="8452" width="44.44140625" style="879" customWidth="1"/>
    <col min="8453" max="8453" width="18.109375" style="879" customWidth="1"/>
    <col min="8454" max="8454" width="21.88671875" style="879" customWidth="1"/>
    <col min="8455" max="8455" width="20.44140625" style="879" customWidth="1"/>
    <col min="8456" max="8705" width="11.44140625" style="879"/>
    <col min="8706" max="8706" width="9.109375" style="879" customWidth="1"/>
    <col min="8707" max="8707" width="19.6640625" style="879" customWidth="1"/>
    <col min="8708" max="8708" width="44.44140625" style="879" customWidth="1"/>
    <col min="8709" max="8709" width="18.109375" style="879" customWidth="1"/>
    <col min="8710" max="8710" width="21.88671875" style="879" customWidth="1"/>
    <col min="8711" max="8711" width="20.44140625" style="879" customWidth="1"/>
    <col min="8712" max="8961" width="11.44140625" style="879"/>
    <col min="8962" max="8962" width="9.109375" style="879" customWidth="1"/>
    <col min="8963" max="8963" width="19.6640625" style="879" customWidth="1"/>
    <col min="8964" max="8964" width="44.44140625" style="879" customWidth="1"/>
    <col min="8965" max="8965" width="18.109375" style="879" customWidth="1"/>
    <col min="8966" max="8966" width="21.88671875" style="879" customWidth="1"/>
    <col min="8967" max="8967" width="20.44140625" style="879" customWidth="1"/>
    <col min="8968" max="9217" width="11.44140625" style="879"/>
    <col min="9218" max="9218" width="9.109375" style="879" customWidth="1"/>
    <col min="9219" max="9219" width="19.6640625" style="879" customWidth="1"/>
    <col min="9220" max="9220" width="44.44140625" style="879" customWidth="1"/>
    <col min="9221" max="9221" width="18.109375" style="879" customWidth="1"/>
    <col min="9222" max="9222" width="21.88671875" style="879" customWidth="1"/>
    <col min="9223" max="9223" width="20.44140625" style="879" customWidth="1"/>
    <col min="9224" max="9473" width="11.44140625" style="879"/>
    <col min="9474" max="9474" width="9.109375" style="879" customWidth="1"/>
    <col min="9475" max="9475" width="19.6640625" style="879" customWidth="1"/>
    <col min="9476" max="9476" width="44.44140625" style="879" customWidth="1"/>
    <col min="9477" max="9477" width="18.109375" style="879" customWidth="1"/>
    <col min="9478" max="9478" width="21.88671875" style="879" customWidth="1"/>
    <col min="9479" max="9479" width="20.44140625" style="879" customWidth="1"/>
    <col min="9480" max="9729" width="11.44140625" style="879"/>
    <col min="9730" max="9730" width="9.109375" style="879" customWidth="1"/>
    <col min="9731" max="9731" width="19.6640625" style="879" customWidth="1"/>
    <col min="9732" max="9732" width="44.44140625" style="879" customWidth="1"/>
    <col min="9733" max="9733" width="18.109375" style="879" customWidth="1"/>
    <col min="9734" max="9734" width="21.88671875" style="879" customWidth="1"/>
    <col min="9735" max="9735" width="20.44140625" style="879" customWidth="1"/>
    <col min="9736" max="9985" width="11.44140625" style="879"/>
    <col min="9986" max="9986" width="9.109375" style="879" customWidth="1"/>
    <col min="9987" max="9987" width="19.6640625" style="879" customWidth="1"/>
    <col min="9988" max="9988" width="44.44140625" style="879" customWidth="1"/>
    <col min="9989" max="9989" width="18.109375" style="879" customWidth="1"/>
    <col min="9990" max="9990" width="21.88671875" style="879" customWidth="1"/>
    <col min="9991" max="9991" width="20.44140625" style="879" customWidth="1"/>
    <col min="9992" max="10241" width="11.44140625" style="879"/>
    <col min="10242" max="10242" width="9.109375" style="879" customWidth="1"/>
    <col min="10243" max="10243" width="19.6640625" style="879" customWidth="1"/>
    <col min="10244" max="10244" width="44.44140625" style="879" customWidth="1"/>
    <col min="10245" max="10245" width="18.109375" style="879" customWidth="1"/>
    <col min="10246" max="10246" width="21.88671875" style="879" customWidth="1"/>
    <col min="10247" max="10247" width="20.44140625" style="879" customWidth="1"/>
    <col min="10248" max="10497" width="11.44140625" style="879"/>
    <col min="10498" max="10498" width="9.109375" style="879" customWidth="1"/>
    <col min="10499" max="10499" width="19.6640625" style="879" customWidth="1"/>
    <col min="10500" max="10500" width="44.44140625" style="879" customWidth="1"/>
    <col min="10501" max="10501" width="18.109375" style="879" customWidth="1"/>
    <col min="10502" max="10502" width="21.88671875" style="879" customWidth="1"/>
    <col min="10503" max="10503" width="20.44140625" style="879" customWidth="1"/>
    <col min="10504" max="10753" width="11.44140625" style="879"/>
    <col min="10754" max="10754" width="9.109375" style="879" customWidth="1"/>
    <col min="10755" max="10755" width="19.6640625" style="879" customWidth="1"/>
    <col min="10756" max="10756" width="44.44140625" style="879" customWidth="1"/>
    <col min="10757" max="10757" width="18.109375" style="879" customWidth="1"/>
    <col min="10758" max="10758" width="21.88671875" style="879" customWidth="1"/>
    <col min="10759" max="10759" width="20.44140625" style="879" customWidth="1"/>
    <col min="10760" max="11009" width="11.44140625" style="879"/>
    <col min="11010" max="11010" width="9.109375" style="879" customWidth="1"/>
    <col min="11011" max="11011" width="19.6640625" style="879" customWidth="1"/>
    <col min="11012" max="11012" width="44.44140625" style="879" customWidth="1"/>
    <col min="11013" max="11013" width="18.109375" style="879" customWidth="1"/>
    <col min="11014" max="11014" width="21.88671875" style="879" customWidth="1"/>
    <col min="11015" max="11015" width="20.44140625" style="879" customWidth="1"/>
    <col min="11016" max="11265" width="11.44140625" style="879"/>
    <col min="11266" max="11266" width="9.109375" style="879" customWidth="1"/>
    <col min="11267" max="11267" width="19.6640625" style="879" customWidth="1"/>
    <col min="11268" max="11268" width="44.44140625" style="879" customWidth="1"/>
    <col min="11269" max="11269" width="18.109375" style="879" customWidth="1"/>
    <col min="11270" max="11270" width="21.88671875" style="879" customWidth="1"/>
    <col min="11271" max="11271" width="20.44140625" style="879" customWidth="1"/>
    <col min="11272" max="11521" width="11.44140625" style="879"/>
    <col min="11522" max="11522" width="9.109375" style="879" customWidth="1"/>
    <col min="11523" max="11523" width="19.6640625" style="879" customWidth="1"/>
    <col min="11524" max="11524" width="44.44140625" style="879" customWidth="1"/>
    <col min="11525" max="11525" width="18.109375" style="879" customWidth="1"/>
    <col min="11526" max="11526" width="21.88671875" style="879" customWidth="1"/>
    <col min="11527" max="11527" width="20.44140625" style="879" customWidth="1"/>
    <col min="11528" max="11777" width="11.44140625" style="879"/>
    <col min="11778" max="11778" width="9.109375" style="879" customWidth="1"/>
    <col min="11779" max="11779" width="19.6640625" style="879" customWidth="1"/>
    <col min="11780" max="11780" width="44.44140625" style="879" customWidth="1"/>
    <col min="11781" max="11781" width="18.109375" style="879" customWidth="1"/>
    <col min="11782" max="11782" width="21.88671875" style="879" customWidth="1"/>
    <col min="11783" max="11783" width="20.44140625" style="879" customWidth="1"/>
    <col min="11784" max="12033" width="11.44140625" style="879"/>
    <col min="12034" max="12034" width="9.109375" style="879" customWidth="1"/>
    <col min="12035" max="12035" width="19.6640625" style="879" customWidth="1"/>
    <col min="12036" max="12036" width="44.44140625" style="879" customWidth="1"/>
    <col min="12037" max="12037" width="18.109375" style="879" customWidth="1"/>
    <col min="12038" max="12038" width="21.88671875" style="879" customWidth="1"/>
    <col min="12039" max="12039" width="20.44140625" style="879" customWidth="1"/>
    <col min="12040" max="12289" width="11.44140625" style="879"/>
    <col min="12290" max="12290" width="9.109375" style="879" customWidth="1"/>
    <col min="12291" max="12291" width="19.6640625" style="879" customWidth="1"/>
    <col min="12292" max="12292" width="44.44140625" style="879" customWidth="1"/>
    <col min="12293" max="12293" width="18.109375" style="879" customWidth="1"/>
    <col min="12294" max="12294" width="21.88671875" style="879" customWidth="1"/>
    <col min="12295" max="12295" width="20.44140625" style="879" customWidth="1"/>
    <col min="12296" max="12545" width="11.44140625" style="879"/>
    <col min="12546" max="12546" width="9.109375" style="879" customWidth="1"/>
    <col min="12547" max="12547" width="19.6640625" style="879" customWidth="1"/>
    <col min="12548" max="12548" width="44.44140625" style="879" customWidth="1"/>
    <col min="12549" max="12549" width="18.109375" style="879" customWidth="1"/>
    <col min="12550" max="12550" width="21.88671875" style="879" customWidth="1"/>
    <col min="12551" max="12551" width="20.44140625" style="879" customWidth="1"/>
    <col min="12552" max="12801" width="11.44140625" style="879"/>
    <col min="12802" max="12802" width="9.109375" style="879" customWidth="1"/>
    <col min="12803" max="12803" width="19.6640625" style="879" customWidth="1"/>
    <col min="12804" max="12804" width="44.44140625" style="879" customWidth="1"/>
    <col min="12805" max="12805" width="18.109375" style="879" customWidth="1"/>
    <col min="12806" max="12806" width="21.88671875" style="879" customWidth="1"/>
    <col min="12807" max="12807" width="20.44140625" style="879" customWidth="1"/>
    <col min="12808" max="13057" width="11.44140625" style="879"/>
    <col min="13058" max="13058" width="9.109375" style="879" customWidth="1"/>
    <col min="13059" max="13059" width="19.6640625" style="879" customWidth="1"/>
    <col min="13060" max="13060" width="44.44140625" style="879" customWidth="1"/>
    <col min="13061" max="13061" width="18.109375" style="879" customWidth="1"/>
    <col min="13062" max="13062" width="21.88671875" style="879" customWidth="1"/>
    <col min="13063" max="13063" width="20.44140625" style="879" customWidth="1"/>
    <col min="13064" max="13313" width="11.44140625" style="879"/>
    <col min="13314" max="13314" width="9.109375" style="879" customWidth="1"/>
    <col min="13315" max="13315" width="19.6640625" style="879" customWidth="1"/>
    <col min="13316" max="13316" width="44.44140625" style="879" customWidth="1"/>
    <col min="13317" max="13317" width="18.109375" style="879" customWidth="1"/>
    <col min="13318" max="13318" width="21.88671875" style="879" customWidth="1"/>
    <col min="13319" max="13319" width="20.44140625" style="879" customWidth="1"/>
    <col min="13320" max="13569" width="11.44140625" style="879"/>
    <col min="13570" max="13570" width="9.109375" style="879" customWidth="1"/>
    <col min="13571" max="13571" width="19.6640625" style="879" customWidth="1"/>
    <col min="13572" max="13572" width="44.44140625" style="879" customWidth="1"/>
    <col min="13573" max="13573" width="18.109375" style="879" customWidth="1"/>
    <col min="13574" max="13574" width="21.88671875" style="879" customWidth="1"/>
    <col min="13575" max="13575" width="20.44140625" style="879" customWidth="1"/>
    <col min="13576" max="13825" width="11.44140625" style="879"/>
    <col min="13826" max="13826" width="9.109375" style="879" customWidth="1"/>
    <col min="13827" max="13827" width="19.6640625" style="879" customWidth="1"/>
    <col min="13828" max="13828" width="44.44140625" style="879" customWidth="1"/>
    <col min="13829" max="13829" width="18.109375" style="879" customWidth="1"/>
    <col min="13830" max="13830" width="21.88671875" style="879" customWidth="1"/>
    <col min="13831" max="13831" width="20.44140625" style="879" customWidth="1"/>
    <col min="13832" max="14081" width="11.44140625" style="879"/>
    <col min="14082" max="14082" width="9.109375" style="879" customWidth="1"/>
    <col min="14083" max="14083" width="19.6640625" style="879" customWidth="1"/>
    <col min="14084" max="14084" width="44.44140625" style="879" customWidth="1"/>
    <col min="14085" max="14085" width="18.109375" style="879" customWidth="1"/>
    <col min="14086" max="14086" width="21.88671875" style="879" customWidth="1"/>
    <col min="14087" max="14087" width="20.44140625" style="879" customWidth="1"/>
    <col min="14088" max="14337" width="11.44140625" style="879"/>
    <col min="14338" max="14338" width="9.109375" style="879" customWidth="1"/>
    <col min="14339" max="14339" width="19.6640625" style="879" customWidth="1"/>
    <col min="14340" max="14340" width="44.44140625" style="879" customWidth="1"/>
    <col min="14341" max="14341" width="18.109375" style="879" customWidth="1"/>
    <col min="14342" max="14342" width="21.88671875" style="879" customWidth="1"/>
    <col min="14343" max="14343" width="20.44140625" style="879" customWidth="1"/>
    <col min="14344" max="14593" width="11.44140625" style="879"/>
    <col min="14594" max="14594" width="9.109375" style="879" customWidth="1"/>
    <col min="14595" max="14595" width="19.6640625" style="879" customWidth="1"/>
    <col min="14596" max="14596" width="44.44140625" style="879" customWidth="1"/>
    <col min="14597" max="14597" width="18.109375" style="879" customWidth="1"/>
    <col min="14598" max="14598" width="21.88671875" style="879" customWidth="1"/>
    <col min="14599" max="14599" width="20.44140625" style="879" customWidth="1"/>
    <col min="14600" max="14849" width="11.44140625" style="879"/>
    <col min="14850" max="14850" width="9.109375" style="879" customWidth="1"/>
    <col min="14851" max="14851" width="19.6640625" style="879" customWidth="1"/>
    <col min="14852" max="14852" width="44.44140625" style="879" customWidth="1"/>
    <col min="14853" max="14853" width="18.109375" style="879" customWidth="1"/>
    <col min="14854" max="14854" width="21.88671875" style="879" customWidth="1"/>
    <col min="14855" max="14855" width="20.44140625" style="879" customWidth="1"/>
    <col min="14856" max="15105" width="11.44140625" style="879"/>
    <col min="15106" max="15106" width="9.109375" style="879" customWidth="1"/>
    <col min="15107" max="15107" width="19.6640625" style="879" customWidth="1"/>
    <col min="15108" max="15108" width="44.44140625" style="879" customWidth="1"/>
    <col min="15109" max="15109" width="18.109375" style="879" customWidth="1"/>
    <col min="15110" max="15110" width="21.88671875" style="879" customWidth="1"/>
    <col min="15111" max="15111" width="20.44140625" style="879" customWidth="1"/>
    <col min="15112" max="15361" width="11.44140625" style="879"/>
    <col min="15362" max="15362" width="9.109375" style="879" customWidth="1"/>
    <col min="15363" max="15363" width="19.6640625" style="879" customWidth="1"/>
    <col min="15364" max="15364" width="44.44140625" style="879" customWidth="1"/>
    <col min="15365" max="15365" width="18.109375" style="879" customWidth="1"/>
    <col min="15366" max="15366" width="21.88671875" style="879" customWidth="1"/>
    <col min="15367" max="15367" width="20.44140625" style="879" customWidth="1"/>
    <col min="15368" max="15617" width="11.44140625" style="879"/>
    <col min="15618" max="15618" width="9.109375" style="879" customWidth="1"/>
    <col min="15619" max="15619" width="19.6640625" style="879" customWidth="1"/>
    <col min="15620" max="15620" width="44.44140625" style="879" customWidth="1"/>
    <col min="15621" max="15621" width="18.109375" style="879" customWidth="1"/>
    <col min="15622" max="15622" width="21.88671875" style="879" customWidth="1"/>
    <col min="15623" max="15623" width="20.44140625" style="879" customWidth="1"/>
    <col min="15624" max="15873" width="11.44140625" style="879"/>
    <col min="15874" max="15874" width="9.109375" style="879" customWidth="1"/>
    <col min="15875" max="15875" width="19.6640625" style="879" customWidth="1"/>
    <col min="15876" max="15876" width="44.44140625" style="879" customWidth="1"/>
    <col min="15877" max="15877" width="18.109375" style="879" customWidth="1"/>
    <col min="15878" max="15878" width="21.88671875" style="879" customWidth="1"/>
    <col min="15879" max="15879" width="20.44140625" style="879" customWidth="1"/>
    <col min="15880" max="16129" width="11.44140625" style="879"/>
    <col min="16130" max="16130" width="9.109375" style="879" customWidth="1"/>
    <col min="16131" max="16131" width="19.6640625" style="879" customWidth="1"/>
    <col min="16132" max="16132" width="44.44140625" style="879" customWidth="1"/>
    <col min="16133" max="16133" width="18.109375" style="879" customWidth="1"/>
    <col min="16134" max="16134" width="21.88671875" style="879" customWidth="1"/>
    <col min="16135" max="16135" width="20.44140625" style="879" customWidth="1"/>
    <col min="16136" max="16384" width="11.44140625" style="879"/>
  </cols>
  <sheetData>
    <row r="1" spans="1:10" ht="38.25" customHeight="1" x14ac:dyDescent="0.25">
      <c r="A1" s="886"/>
      <c r="B1" s="878" t="s">
        <v>3075</v>
      </c>
      <c r="C1" s="878" t="s">
        <v>3497</v>
      </c>
      <c r="D1" s="878" t="s">
        <v>3076</v>
      </c>
      <c r="E1" s="878" t="s">
        <v>3077</v>
      </c>
      <c r="F1" s="906" t="s">
        <v>3078</v>
      </c>
      <c r="G1" s="906" t="s">
        <v>3079</v>
      </c>
      <c r="H1" s="906" t="s">
        <v>3524</v>
      </c>
      <c r="I1" s="878" t="s">
        <v>3523</v>
      </c>
    </row>
    <row r="2" spans="1:10" ht="15" customHeight="1" x14ac:dyDescent="0.25">
      <c r="A2" s="886">
        <v>70</v>
      </c>
      <c r="B2" s="901" t="s">
        <v>2359</v>
      </c>
      <c r="C2" s="894" t="s">
        <v>3505</v>
      </c>
      <c r="D2" s="880" t="s">
        <v>3179</v>
      </c>
      <c r="E2" s="878"/>
      <c r="F2" s="906"/>
      <c r="G2" s="878" t="s">
        <v>3174</v>
      </c>
      <c r="H2" s="906"/>
      <c r="I2" s="878" t="s">
        <v>3525</v>
      </c>
    </row>
    <row r="3" spans="1:10" ht="15" customHeight="1" x14ac:dyDescent="0.25">
      <c r="A3" s="886">
        <v>71</v>
      </c>
      <c r="B3" s="901" t="s">
        <v>2371</v>
      </c>
      <c r="C3" s="894" t="s">
        <v>3505</v>
      </c>
      <c r="D3" s="880" t="s">
        <v>3179</v>
      </c>
      <c r="E3" s="878"/>
      <c r="F3" s="906"/>
      <c r="G3" s="878" t="s">
        <v>3174</v>
      </c>
      <c r="H3" s="906"/>
      <c r="I3" s="878" t="s">
        <v>3525</v>
      </c>
    </row>
    <row r="4" spans="1:10" ht="15" customHeight="1" x14ac:dyDescent="0.3">
      <c r="A4" s="886">
        <v>72</v>
      </c>
      <c r="B4" s="950" t="s">
        <v>2416</v>
      </c>
      <c r="C4" s="894" t="s">
        <v>3497</v>
      </c>
      <c r="D4" s="880" t="s">
        <v>3180</v>
      </c>
      <c r="E4" s="878"/>
      <c r="F4" s="906"/>
      <c r="G4" s="878" t="s">
        <v>3174</v>
      </c>
      <c r="H4" s="906"/>
      <c r="I4" s="878" t="s">
        <v>3525</v>
      </c>
    </row>
    <row r="5" spans="1:10" ht="15" customHeight="1" x14ac:dyDescent="0.3">
      <c r="A5" s="886">
        <v>174</v>
      </c>
      <c r="B5" s="950" t="s">
        <v>2581</v>
      </c>
      <c r="C5" s="894" t="s">
        <v>3497</v>
      </c>
      <c r="D5" s="880" t="s">
        <v>2582</v>
      </c>
      <c r="E5" s="914" t="s">
        <v>3315</v>
      </c>
      <c r="F5" s="906" t="s">
        <v>3307</v>
      </c>
      <c r="G5" s="906" t="s">
        <v>3316</v>
      </c>
      <c r="H5" s="906"/>
      <c r="I5" s="878" t="s">
        <v>3525</v>
      </c>
    </row>
    <row r="6" spans="1:10" ht="15" customHeight="1" x14ac:dyDescent="0.25">
      <c r="A6" s="886">
        <v>177</v>
      </c>
      <c r="B6" s="897" t="s">
        <v>3323</v>
      </c>
      <c r="C6" s="894" t="s">
        <v>3505</v>
      </c>
      <c r="D6" s="880" t="s">
        <v>12</v>
      </c>
      <c r="E6" s="914" t="s">
        <v>3324</v>
      </c>
      <c r="F6" s="906" t="s">
        <v>3322</v>
      </c>
      <c r="G6" s="906" t="s">
        <v>3316</v>
      </c>
      <c r="H6" s="906"/>
      <c r="I6" s="878" t="s">
        <v>3525</v>
      </c>
    </row>
    <row r="7" spans="1:10" ht="25.5" customHeight="1" x14ac:dyDescent="0.3">
      <c r="A7" s="886">
        <v>179</v>
      </c>
      <c r="B7" s="944" t="s">
        <v>2504</v>
      </c>
      <c r="C7" s="894" t="s">
        <v>3497</v>
      </c>
      <c r="D7" s="880" t="s">
        <v>3328</v>
      </c>
      <c r="E7" s="914" t="s">
        <v>3329</v>
      </c>
      <c r="F7" s="906" t="s">
        <v>3314</v>
      </c>
      <c r="G7" s="906" t="s">
        <v>3316</v>
      </c>
      <c r="H7" s="906" t="s">
        <v>3845</v>
      </c>
      <c r="I7" s="878" t="s">
        <v>3525</v>
      </c>
    </row>
    <row r="8" spans="1:10" ht="15" customHeight="1" x14ac:dyDescent="0.25">
      <c r="A8" s="886">
        <v>189</v>
      </c>
      <c r="B8" s="897" t="s">
        <v>3349</v>
      </c>
      <c r="C8" s="894" t="s">
        <v>3505</v>
      </c>
      <c r="D8" s="880" t="s">
        <v>3350</v>
      </c>
      <c r="E8" s="914" t="s">
        <v>3351</v>
      </c>
      <c r="F8" s="906" t="s">
        <v>3322</v>
      </c>
      <c r="G8" s="906" t="s">
        <v>3316</v>
      </c>
      <c r="H8" s="906"/>
      <c r="I8" s="878" t="s">
        <v>3322</v>
      </c>
    </row>
    <row r="9" spans="1:10" ht="15" customHeight="1" x14ac:dyDescent="0.25">
      <c r="A9" s="886">
        <v>190</v>
      </c>
      <c r="B9" s="897" t="s">
        <v>1975</v>
      </c>
      <c r="C9" s="894" t="s">
        <v>3505</v>
      </c>
      <c r="D9" s="880" t="s">
        <v>3352</v>
      </c>
      <c r="E9" s="914" t="s">
        <v>3353</v>
      </c>
      <c r="F9" s="906" t="s">
        <v>3322</v>
      </c>
      <c r="G9" s="906" t="s">
        <v>3316</v>
      </c>
      <c r="H9" s="906"/>
      <c r="I9" s="878" t="s">
        <v>3322</v>
      </c>
    </row>
    <row r="10" spans="1:10" ht="15" customHeight="1" x14ac:dyDescent="0.3">
      <c r="A10" s="886">
        <v>199</v>
      </c>
      <c r="B10" s="944" t="s">
        <v>1578</v>
      </c>
      <c r="C10" s="894" t="s">
        <v>3497</v>
      </c>
      <c r="D10" s="880" t="s">
        <v>3368</v>
      </c>
      <c r="E10" s="914" t="s">
        <v>3369</v>
      </c>
      <c r="F10" s="906" t="s">
        <v>3322</v>
      </c>
      <c r="G10" s="906" t="s">
        <v>3316</v>
      </c>
      <c r="H10" s="906"/>
      <c r="I10" s="878" t="s">
        <v>3525</v>
      </c>
    </row>
    <row r="11" spans="1:10" ht="15" customHeight="1" x14ac:dyDescent="0.25">
      <c r="A11" s="886">
        <v>201</v>
      </c>
      <c r="B11" s="897" t="s">
        <v>3373</v>
      </c>
      <c r="C11" s="894" t="s">
        <v>3505</v>
      </c>
      <c r="D11" s="880" t="s">
        <v>3374</v>
      </c>
      <c r="E11" s="914" t="s">
        <v>3375</v>
      </c>
      <c r="F11" s="906" t="s">
        <v>3322</v>
      </c>
      <c r="G11" s="906" t="s">
        <v>3316</v>
      </c>
      <c r="H11" s="906" t="s">
        <v>3906</v>
      </c>
      <c r="I11" s="878" t="s">
        <v>3322</v>
      </c>
    </row>
    <row r="12" spans="1:10" ht="15" customHeight="1" x14ac:dyDescent="0.3">
      <c r="A12" s="886">
        <v>204</v>
      </c>
      <c r="B12" s="944" t="s">
        <v>2098</v>
      </c>
      <c r="C12" s="894" t="s">
        <v>3497</v>
      </c>
      <c r="D12" s="880" t="s">
        <v>3380</v>
      </c>
      <c r="E12" s="914" t="s">
        <v>3381</v>
      </c>
      <c r="F12" s="906" t="s">
        <v>3357</v>
      </c>
      <c r="G12" s="906" t="s">
        <v>3316</v>
      </c>
      <c r="H12" s="906" t="s">
        <v>3908</v>
      </c>
      <c r="I12" s="878" t="s">
        <v>3357</v>
      </c>
    </row>
    <row r="13" spans="1:10" ht="15" customHeight="1" x14ac:dyDescent="0.25">
      <c r="A13" s="886">
        <v>205</v>
      </c>
      <c r="B13" s="897" t="s">
        <v>2235</v>
      </c>
      <c r="C13" s="894" t="s">
        <v>3497</v>
      </c>
      <c r="D13" s="880" t="s">
        <v>1344</v>
      </c>
      <c r="E13" s="914" t="s">
        <v>3382</v>
      </c>
      <c r="F13" s="906" t="s">
        <v>3307</v>
      </c>
      <c r="G13" s="906" t="s">
        <v>3316</v>
      </c>
      <c r="H13" s="906"/>
      <c r="I13" s="878" t="s">
        <v>3525</v>
      </c>
    </row>
    <row r="14" spans="1:10" ht="35.25" customHeight="1" x14ac:dyDescent="0.3">
      <c r="A14" s="886">
        <v>206</v>
      </c>
      <c r="B14" s="944" t="s">
        <v>2728</v>
      </c>
      <c r="C14" s="894" t="s">
        <v>3497</v>
      </c>
      <c r="D14" s="880" t="s">
        <v>3383</v>
      </c>
      <c r="E14" s="914" t="s">
        <v>3384</v>
      </c>
      <c r="F14" s="906" t="s">
        <v>3357</v>
      </c>
      <c r="G14" s="906" t="s">
        <v>3316</v>
      </c>
      <c r="H14" s="906" t="s">
        <v>3909</v>
      </c>
      <c r="I14" s="878" t="s">
        <v>3357</v>
      </c>
    </row>
    <row r="15" spans="1:10" ht="31.5" customHeight="1" x14ac:dyDescent="0.3">
      <c r="A15" s="886">
        <v>207</v>
      </c>
      <c r="B15" s="944" t="s">
        <v>2248</v>
      </c>
      <c r="C15" s="894" t="s">
        <v>3497</v>
      </c>
      <c r="D15" s="880" t="s">
        <v>2732</v>
      </c>
      <c r="E15" s="914" t="s">
        <v>3385</v>
      </c>
      <c r="F15" s="906" t="s">
        <v>3357</v>
      </c>
      <c r="G15" s="906" t="s">
        <v>3316</v>
      </c>
      <c r="H15" s="906" t="s">
        <v>3954</v>
      </c>
      <c r="I15" s="878" t="s">
        <v>3525</v>
      </c>
      <c r="J15" s="879" t="s">
        <v>4041</v>
      </c>
    </row>
    <row r="16" spans="1:10" ht="36.75" customHeight="1" x14ac:dyDescent="0.25">
      <c r="A16" s="886">
        <v>210</v>
      </c>
      <c r="B16" s="897" t="s">
        <v>2495</v>
      </c>
      <c r="C16" s="894" t="s">
        <v>3497</v>
      </c>
      <c r="D16" s="880" t="s">
        <v>3390</v>
      </c>
      <c r="E16" s="914" t="s">
        <v>3391</v>
      </c>
      <c r="F16" s="906" t="s">
        <v>3307</v>
      </c>
      <c r="G16" s="906" t="s">
        <v>3316</v>
      </c>
      <c r="H16" s="906"/>
      <c r="I16" s="878" t="s">
        <v>3525</v>
      </c>
    </row>
    <row r="17" spans="1:11" ht="26.4" x14ac:dyDescent="0.25">
      <c r="A17" s="886">
        <v>211</v>
      </c>
      <c r="B17" s="897" t="s">
        <v>3392</v>
      </c>
      <c r="C17" s="894" t="s">
        <v>3497</v>
      </c>
      <c r="D17" s="880" t="s">
        <v>2215</v>
      </c>
      <c r="E17" s="914" t="s">
        <v>3393</v>
      </c>
      <c r="F17" s="906" t="s">
        <v>3307</v>
      </c>
      <c r="G17" s="906" t="s">
        <v>3316</v>
      </c>
      <c r="H17" s="906" t="s">
        <v>3732</v>
      </c>
      <c r="I17" s="878" t="s">
        <v>3525</v>
      </c>
    </row>
    <row r="18" spans="1:11" ht="61.5" customHeight="1" x14ac:dyDescent="0.25">
      <c r="A18" s="886">
        <v>214</v>
      </c>
      <c r="B18" s="897" t="s">
        <v>919</v>
      </c>
      <c r="C18" s="894" t="s">
        <v>3497</v>
      </c>
      <c r="D18" s="880" t="s">
        <v>3398</v>
      </c>
      <c r="E18" s="914" t="s">
        <v>3399</v>
      </c>
      <c r="F18" s="906" t="s">
        <v>3322</v>
      </c>
      <c r="G18" s="906" t="s">
        <v>3316</v>
      </c>
      <c r="H18" s="906" t="s">
        <v>3610</v>
      </c>
      <c r="I18" s="878" t="s">
        <v>3525</v>
      </c>
      <c r="J18" s="927"/>
    </row>
    <row r="19" spans="1:11" ht="27.75" customHeight="1" x14ac:dyDescent="0.3">
      <c r="A19" s="886">
        <v>220</v>
      </c>
      <c r="B19" s="944" t="s">
        <v>2650</v>
      </c>
      <c r="C19" s="894" t="s">
        <v>3497</v>
      </c>
      <c r="D19" s="880" t="s">
        <v>2651</v>
      </c>
      <c r="E19" s="914" t="s">
        <v>3410</v>
      </c>
      <c r="F19" s="906" t="s">
        <v>3322</v>
      </c>
      <c r="G19" s="906" t="s">
        <v>3316</v>
      </c>
      <c r="H19" s="906"/>
      <c r="I19" s="878" t="s">
        <v>3525</v>
      </c>
    </row>
    <row r="20" spans="1:11" ht="33" customHeight="1" x14ac:dyDescent="0.25">
      <c r="A20" s="886">
        <v>221</v>
      </c>
      <c r="B20" s="897" t="s">
        <v>3411</v>
      </c>
      <c r="C20" s="894" t="s">
        <v>3505</v>
      </c>
      <c r="D20" s="880" t="s">
        <v>3412</v>
      </c>
      <c r="E20" s="914" t="s">
        <v>3413</v>
      </c>
      <c r="F20" s="906" t="s">
        <v>3322</v>
      </c>
      <c r="G20" s="906" t="s">
        <v>3316</v>
      </c>
      <c r="H20" s="906"/>
      <c r="I20" s="878" t="s">
        <v>3322</v>
      </c>
    </row>
    <row r="21" spans="1:11" ht="28.5" customHeight="1" x14ac:dyDescent="0.3">
      <c r="A21" s="886">
        <v>224</v>
      </c>
      <c r="B21" s="944" t="s">
        <v>1874</v>
      </c>
      <c r="C21" s="894" t="s">
        <v>3497</v>
      </c>
      <c r="D21" s="880" t="s">
        <v>3417</v>
      </c>
      <c r="E21" s="914" t="s">
        <v>3418</v>
      </c>
      <c r="F21" s="906" t="s">
        <v>3357</v>
      </c>
      <c r="G21" s="906" t="s">
        <v>3316</v>
      </c>
      <c r="H21" s="906"/>
      <c r="I21" s="878" t="s">
        <v>3525</v>
      </c>
    </row>
    <row r="22" spans="1:11" ht="48" customHeight="1" x14ac:dyDescent="0.25">
      <c r="A22" s="886">
        <v>229</v>
      </c>
      <c r="B22" s="897" t="s">
        <v>2179</v>
      </c>
      <c r="C22" s="894" t="s">
        <v>3497</v>
      </c>
      <c r="D22" s="880" t="s">
        <v>3428</v>
      </c>
      <c r="E22" s="914" t="s">
        <v>3429</v>
      </c>
      <c r="F22" s="906" t="s">
        <v>3322</v>
      </c>
      <c r="G22" s="906" t="s">
        <v>3316</v>
      </c>
      <c r="H22" s="906" t="s">
        <v>3693</v>
      </c>
      <c r="I22" s="878" t="s">
        <v>3525</v>
      </c>
      <c r="J22" s="927" t="s">
        <v>3702</v>
      </c>
      <c r="K22" s="927" t="s">
        <v>3707</v>
      </c>
    </row>
    <row r="23" spans="1:11" ht="26.25" customHeight="1" x14ac:dyDescent="0.25">
      <c r="A23" s="886">
        <v>235</v>
      </c>
      <c r="B23" s="897" t="s">
        <v>2151</v>
      </c>
      <c r="C23" s="894" t="s">
        <v>3505</v>
      </c>
      <c r="D23" s="880" t="s">
        <v>3437</v>
      </c>
      <c r="E23" s="914" t="s">
        <v>3438</v>
      </c>
      <c r="F23" s="906" t="s">
        <v>3314</v>
      </c>
      <c r="G23" s="906" t="s">
        <v>3316</v>
      </c>
      <c r="H23" s="906"/>
      <c r="I23" s="878" t="s">
        <v>3525</v>
      </c>
    </row>
    <row r="24" spans="1:11" s="881" customFormat="1" ht="29.25" customHeight="1" x14ac:dyDescent="0.3">
      <c r="A24" s="886">
        <v>244</v>
      </c>
      <c r="B24" s="944" t="s">
        <v>2739</v>
      </c>
      <c r="C24" s="894" t="s">
        <v>3497</v>
      </c>
      <c r="D24" s="880" t="s">
        <v>2740</v>
      </c>
      <c r="E24" s="914" t="s">
        <v>3452</v>
      </c>
      <c r="F24" s="906" t="s">
        <v>3449</v>
      </c>
      <c r="G24" s="906" t="s">
        <v>3316</v>
      </c>
      <c r="H24" s="906"/>
      <c r="I24" s="878" t="s">
        <v>3525</v>
      </c>
    </row>
    <row r="25" spans="1:11" s="881" customFormat="1" ht="15" customHeight="1" x14ac:dyDescent="0.3">
      <c r="A25" s="886">
        <v>5</v>
      </c>
      <c r="B25" s="912" t="s">
        <v>249</v>
      </c>
      <c r="C25" s="894" t="s">
        <v>3497</v>
      </c>
      <c r="D25" s="880" t="s">
        <v>3084</v>
      </c>
      <c r="E25" s="878"/>
      <c r="F25" s="906"/>
      <c r="G25" s="878"/>
      <c r="H25" s="906"/>
      <c r="I25" s="878"/>
    </row>
    <row r="26" spans="1:11" ht="15" customHeight="1" x14ac:dyDescent="0.25">
      <c r="A26" s="886">
        <v>6</v>
      </c>
      <c r="B26" s="894" t="s">
        <v>288</v>
      </c>
      <c r="C26" s="894" t="s">
        <v>3498</v>
      </c>
      <c r="D26" s="880" t="s">
        <v>3085</v>
      </c>
      <c r="E26" s="878"/>
      <c r="F26" s="906"/>
      <c r="G26" s="878"/>
      <c r="H26" s="906"/>
      <c r="I26" s="878"/>
    </row>
    <row r="27" spans="1:11" ht="15" customHeight="1" x14ac:dyDescent="0.3">
      <c r="A27" s="886">
        <v>12</v>
      </c>
      <c r="B27" s="940" t="s">
        <v>1591</v>
      </c>
      <c r="C27" s="894" t="s">
        <v>3497</v>
      </c>
      <c r="D27" s="880" t="s">
        <v>3091</v>
      </c>
      <c r="E27" s="878"/>
      <c r="F27" s="906"/>
      <c r="G27" s="878"/>
      <c r="H27" s="906"/>
      <c r="I27" s="878"/>
    </row>
    <row r="28" spans="1:11" ht="15" customHeight="1" x14ac:dyDescent="0.25">
      <c r="A28" s="886">
        <v>13</v>
      </c>
      <c r="B28" s="894" t="s">
        <v>245</v>
      </c>
      <c r="C28" s="894" t="s">
        <v>3498</v>
      </c>
      <c r="D28" s="880" t="s">
        <v>3092</v>
      </c>
      <c r="E28" s="878"/>
      <c r="F28" s="906"/>
      <c r="G28" s="878"/>
      <c r="H28" s="906"/>
      <c r="I28" s="878"/>
    </row>
    <row r="29" spans="1:11" ht="24" customHeight="1" x14ac:dyDescent="0.3">
      <c r="A29" s="886">
        <v>14</v>
      </c>
      <c r="B29" s="940" t="s">
        <v>125</v>
      </c>
      <c r="C29" s="894" t="s">
        <v>3497</v>
      </c>
      <c r="D29" s="880" t="s">
        <v>3093</v>
      </c>
      <c r="E29" s="878"/>
      <c r="F29" s="906"/>
      <c r="G29" s="878"/>
      <c r="H29" s="906"/>
      <c r="I29" s="878"/>
    </row>
    <row r="30" spans="1:11" ht="28.5" customHeight="1" x14ac:dyDescent="0.25">
      <c r="A30" s="886">
        <v>15</v>
      </c>
      <c r="B30" s="894" t="s">
        <v>218</v>
      </c>
      <c r="C30" s="894" t="s">
        <v>3498</v>
      </c>
      <c r="D30" s="880" t="s">
        <v>3094</v>
      </c>
      <c r="E30" s="878"/>
      <c r="F30" s="906"/>
      <c r="G30" s="878"/>
      <c r="H30" s="906"/>
      <c r="I30" s="878"/>
    </row>
    <row r="31" spans="1:11" ht="26.25" customHeight="1" x14ac:dyDescent="0.25">
      <c r="A31" s="886">
        <v>16</v>
      </c>
      <c r="B31" s="894" t="s">
        <v>1493</v>
      </c>
      <c r="C31" s="894" t="s">
        <v>3498</v>
      </c>
      <c r="D31" s="880" t="s">
        <v>3095</v>
      </c>
      <c r="E31" s="878"/>
      <c r="F31" s="906"/>
      <c r="G31" s="878" t="s">
        <v>3096</v>
      </c>
      <c r="H31" s="906"/>
      <c r="I31" s="878"/>
    </row>
    <row r="32" spans="1:11" ht="15" customHeight="1" x14ac:dyDescent="0.25">
      <c r="A32" s="886">
        <v>19</v>
      </c>
      <c r="B32" s="894" t="s">
        <v>183</v>
      </c>
      <c r="C32" s="894" t="s">
        <v>3497</v>
      </c>
      <c r="D32" s="880" t="s">
        <v>3101</v>
      </c>
      <c r="E32" s="878"/>
      <c r="F32" s="906"/>
      <c r="G32" s="878"/>
      <c r="H32" s="906"/>
      <c r="I32" s="878"/>
    </row>
    <row r="33" spans="1:9" ht="15" customHeight="1" x14ac:dyDescent="0.3">
      <c r="A33" s="886">
        <v>24</v>
      </c>
      <c r="B33" s="944" t="s">
        <v>232</v>
      </c>
      <c r="C33" s="894" t="s">
        <v>3497</v>
      </c>
      <c r="D33" s="896" t="s">
        <v>3106</v>
      </c>
      <c r="E33" s="913"/>
      <c r="F33" s="908"/>
      <c r="G33" s="913"/>
      <c r="H33" s="906"/>
      <c r="I33" s="878"/>
    </row>
    <row r="34" spans="1:9" ht="15" customHeight="1" x14ac:dyDescent="0.25">
      <c r="A34" s="886">
        <v>4</v>
      </c>
      <c r="B34" s="894" t="s">
        <v>1948</v>
      </c>
      <c r="C34" s="894" t="s">
        <v>3498</v>
      </c>
      <c r="D34" s="880" t="s">
        <v>3116</v>
      </c>
      <c r="E34" s="878"/>
      <c r="F34" s="906"/>
      <c r="G34" s="878"/>
      <c r="H34" s="906"/>
      <c r="I34" s="878"/>
    </row>
    <row r="35" spans="1:9" ht="24.75" customHeight="1" x14ac:dyDescent="0.25">
      <c r="A35" s="886">
        <v>8</v>
      </c>
      <c r="B35" s="894" t="s">
        <v>3120</v>
      </c>
      <c r="C35" s="894" t="s">
        <v>3498</v>
      </c>
      <c r="D35" s="880" t="s">
        <v>3121</v>
      </c>
      <c r="E35" s="878"/>
      <c r="F35" s="906"/>
      <c r="G35" s="878"/>
      <c r="H35" s="906"/>
      <c r="I35" s="878"/>
    </row>
    <row r="36" spans="1:9" ht="15" customHeight="1" x14ac:dyDescent="0.25">
      <c r="A36" s="886">
        <v>20</v>
      </c>
      <c r="B36" s="894" t="s">
        <v>240</v>
      </c>
      <c r="C36" s="894" t="s">
        <v>3497</v>
      </c>
      <c r="D36" s="880" t="s">
        <v>3088</v>
      </c>
      <c r="E36" s="878"/>
      <c r="F36" s="906"/>
      <c r="G36" s="878"/>
      <c r="H36" s="906"/>
      <c r="I36" s="878"/>
    </row>
    <row r="37" spans="1:9" ht="15" customHeight="1" x14ac:dyDescent="0.25">
      <c r="A37" s="886">
        <v>25</v>
      </c>
      <c r="B37" s="894" t="s">
        <v>85</v>
      </c>
      <c r="C37" s="894" t="s">
        <v>3498</v>
      </c>
      <c r="D37" s="880" t="s">
        <v>3138</v>
      </c>
      <c r="E37" s="878"/>
      <c r="F37" s="906"/>
      <c r="G37" s="878"/>
      <c r="H37" s="906"/>
      <c r="I37" s="878"/>
    </row>
    <row r="38" spans="1:9" ht="15" customHeight="1" x14ac:dyDescent="0.25">
      <c r="A38" s="886">
        <v>33</v>
      </c>
      <c r="B38" s="894" t="s">
        <v>218</v>
      </c>
      <c r="C38" s="894" t="s">
        <v>3498</v>
      </c>
      <c r="D38" s="880" t="s">
        <v>3094</v>
      </c>
      <c r="E38" s="878"/>
      <c r="F38" s="906"/>
      <c r="G38" s="878" t="s">
        <v>3145</v>
      </c>
      <c r="H38" s="906"/>
      <c r="I38" s="878"/>
    </row>
    <row r="39" spans="1:9" ht="15" customHeight="1" x14ac:dyDescent="0.25">
      <c r="A39" s="886">
        <v>34</v>
      </c>
      <c r="B39" s="894" t="s">
        <v>1365</v>
      </c>
      <c r="C39" s="894" t="s">
        <v>3498</v>
      </c>
      <c r="D39" s="880" t="s">
        <v>3146</v>
      </c>
      <c r="E39" s="878"/>
      <c r="F39" s="906"/>
      <c r="G39" s="878"/>
      <c r="H39" s="906"/>
      <c r="I39" s="878"/>
    </row>
    <row r="40" spans="1:9" ht="15" customHeight="1" x14ac:dyDescent="0.25">
      <c r="A40" s="886">
        <v>35</v>
      </c>
      <c r="B40" s="894" t="s">
        <v>3147</v>
      </c>
      <c r="C40" s="894" t="s">
        <v>3498</v>
      </c>
      <c r="D40" s="880" t="s">
        <v>3130</v>
      </c>
      <c r="E40" s="878"/>
      <c r="F40" s="906"/>
      <c r="G40" s="878"/>
      <c r="H40" s="906"/>
      <c r="I40" s="878"/>
    </row>
    <row r="41" spans="1:9" ht="15" customHeight="1" x14ac:dyDescent="0.25">
      <c r="A41" s="886">
        <v>36</v>
      </c>
      <c r="B41" s="894" t="s">
        <v>1100</v>
      </c>
      <c r="C41" s="894" t="s">
        <v>3498</v>
      </c>
      <c r="D41" s="880" t="s">
        <v>3148</v>
      </c>
      <c r="E41" s="878"/>
      <c r="F41" s="906"/>
      <c r="G41" s="878"/>
      <c r="H41" s="906"/>
      <c r="I41" s="878"/>
    </row>
    <row r="42" spans="1:9" ht="15" customHeight="1" x14ac:dyDescent="0.25">
      <c r="A42" s="886">
        <v>41</v>
      </c>
      <c r="B42" s="894" t="s">
        <v>187</v>
      </c>
      <c r="C42" s="894" t="s">
        <v>3497</v>
      </c>
      <c r="D42" s="880" t="s">
        <v>3154</v>
      </c>
      <c r="E42" s="878"/>
      <c r="F42" s="906"/>
      <c r="G42" s="878"/>
      <c r="H42" s="906"/>
      <c r="I42" s="878"/>
    </row>
    <row r="43" spans="1:9" ht="15" customHeight="1" x14ac:dyDescent="0.25">
      <c r="A43" s="886">
        <v>49</v>
      </c>
      <c r="B43" s="894" t="s">
        <v>268</v>
      </c>
      <c r="C43" s="894" t="s">
        <v>3498</v>
      </c>
      <c r="D43" s="880" t="s">
        <v>3161</v>
      </c>
      <c r="E43" s="878"/>
      <c r="F43" s="906"/>
      <c r="G43" s="878"/>
      <c r="H43" s="906"/>
      <c r="I43" s="878"/>
    </row>
    <row r="44" spans="1:9" ht="15" customHeight="1" x14ac:dyDescent="0.25">
      <c r="A44" s="886">
        <v>50</v>
      </c>
      <c r="B44" s="894" t="s">
        <v>1332</v>
      </c>
      <c r="C44" s="894" t="s">
        <v>3498</v>
      </c>
      <c r="D44" s="880" t="s">
        <v>3162</v>
      </c>
      <c r="E44" s="878"/>
      <c r="F44" s="906"/>
      <c r="G44" s="878"/>
      <c r="H44" s="906"/>
      <c r="I44" s="878"/>
    </row>
    <row r="45" spans="1:9" ht="15" customHeight="1" x14ac:dyDescent="0.25">
      <c r="A45" s="886">
        <v>51</v>
      </c>
      <c r="B45" s="894" t="s">
        <v>1500</v>
      </c>
      <c r="C45" s="894" t="s">
        <v>3498</v>
      </c>
      <c r="D45" s="880" t="s">
        <v>3163</v>
      </c>
      <c r="E45" s="878"/>
      <c r="F45" s="906"/>
      <c r="G45" s="878"/>
      <c r="H45" s="906"/>
      <c r="I45" s="878"/>
    </row>
    <row r="46" spans="1:9" ht="36" customHeight="1" x14ac:dyDescent="0.3">
      <c r="A46" s="886">
        <v>57</v>
      </c>
      <c r="B46" s="940" t="s">
        <v>264</v>
      </c>
      <c r="C46" s="894" t="s">
        <v>3497</v>
      </c>
      <c r="D46" s="880" t="s">
        <v>3086</v>
      </c>
      <c r="E46" s="878" t="s">
        <v>4045</v>
      </c>
      <c r="F46" s="906" t="s">
        <v>3899</v>
      </c>
      <c r="G46" s="878"/>
      <c r="H46" s="906"/>
      <c r="I46" s="878"/>
    </row>
    <row r="47" spans="1:9" ht="15" customHeight="1" x14ac:dyDescent="0.3">
      <c r="A47" s="886">
        <v>67</v>
      </c>
      <c r="B47" s="940" t="s">
        <v>2196</v>
      </c>
      <c r="C47" s="894" t="s">
        <v>3497</v>
      </c>
      <c r="D47" s="880" t="s">
        <v>3176</v>
      </c>
      <c r="E47" s="878"/>
      <c r="F47" s="906"/>
      <c r="G47" s="878" t="s">
        <v>3614</v>
      </c>
      <c r="H47" s="906" t="s">
        <v>3528</v>
      </c>
      <c r="I47" s="878" t="s">
        <v>3314</v>
      </c>
    </row>
    <row r="48" spans="1:9" ht="15" customHeight="1" x14ac:dyDescent="0.25">
      <c r="A48" s="886">
        <v>73</v>
      </c>
      <c r="B48" s="894" t="s">
        <v>1545</v>
      </c>
      <c r="C48" s="894" t="s">
        <v>3498</v>
      </c>
      <c r="D48" s="880" t="s">
        <v>3181</v>
      </c>
      <c r="E48" s="878"/>
      <c r="F48" s="906"/>
      <c r="G48" s="878"/>
      <c r="H48" s="906"/>
      <c r="I48" s="878"/>
    </row>
    <row r="49" spans="1:9" ht="25.5" customHeight="1" x14ac:dyDescent="0.25">
      <c r="A49" s="886">
        <v>74</v>
      </c>
      <c r="B49" s="894" t="s">
        <v>1597</v>
      </c>
      <c r="C49" s="894" t="s">
        <v>3498</v>
      </c>
      <c r="D49" s="880" t="s">
        <v>3182</v>
      </c>
      <c r="E49" s="878"/>
      <c r="F49" s="906"/>
      <c r="G49" s="878"/>
      <c r="H49" s="906"/>
      <c r="I49" s="878"/>
    </row>
    <row r="50" spans="1:9" ht="15" customHeight="1" x14ac:dyDescent="0.25">
      <c r="A50" s="886">
        <v>78</v>
      </c>
      <c r="B50" s="894" t="s">
        <v>3185</v>
      </c>
      <c r="C50" s="894" t="s">
        <v>3498</v>
      </c>
      <c r="D50" s="880" t="s">
        <v>3186</v>
      </c>
      <c r="E50" s="878"/>
      <c r="F50" s="906"/>
      <c r="G50" s="878"/>
      <c r="H50" s="906"/>
      <c r="I50" s="878"/>
    </row>
    <row r="51" spans="1:9" ht="15" customHeight="1" x14ac:dyDescent="0.25">
      <c r="A51" s="886">
        <v>80</v>
      </c>
      <c r="B51" s="894" t="s">
        <v>3188</v>
      </c>
      <c r="C51" s="894" t="s">
        <v>3498</v>
      </c>
      <c r="D51" s="896" t="s">
        <v>3091</v>
      </c>
      <c r="E51" s="878"/>
      <c r="F51" s="906"/>
      <c r="G51" s="878"/>
      <c r="H51" s="906"/>
      <c r="I51" s="878"/>
    </row>
    <row r="52" spans="1:9" ht="15" customHeight="1" x14ac:dyDescent="0.25">
      <c r="A52" s="886">
        <v>82</v>
      </c>
      <c r="B52" s="894" t="s">
        <v>3190</v>
      </c>
      <c r="C52" s="894" t="s">
        <v>3498</v>
      </c>
      <c r="D52" s="880" t="s">
        <v>3166</v>
      </c>
      <c r="E52" s="878"/>
      <c r="F52" s="906"/>
      <c r="G52" s="878"/>
      <c r="H52" s="906"/>
      <c r="I52" s="878"/>
    </row>
    <row r="53" spans="1:9" ht="15" customHeight="1" x14ac:dyDescent="0.25">
      <c r="A53" s="886">
        <v>85</v>
      </c>
      <c r="B53" s="894" t="s">
        <v>3192</v>
      </c>
      <c r="C53" s="894" t="s">
        <v>3498</v>
      </c>
      <c r="D53" s="880" t="s">
        <v>3193</v>
      </c>
      <c r="E53" s="878"/>
      <c r="F53" s="906"/>
      <c r="G53" s="878"/>
      <c r="H53" s="906"/>
      <c r="I53" s="878"/>
    </row>
    <row r="54" spans="1:9" ht="15" customHeight="1" x14ac:dyDescent="0.25">
      <c r="A54" s="886">
        <v>86</v>
      </c>
      <c r="B54" s="894" t="s">
        <v>3194</v>
      </c>
      <c r="C54" s="894" t="s">
        <v>3498</v>
      </c>
      <c r="D54" s="880" t="s">
        <v>3195</v>
      </c>
      <c r="E54" s="878"/>
      <c r="F54" s="906"/>
      <c r="G54" s="878"/>
      <c r="H54" s="906"/>
      <c r="I54" s="878"/>
    </row>
    <row r="55" spans="1:9" ht="15" customHeight="1" x14ac:dyDescent="0.25">
      <c r="A55" s="886">
        <v>87</v>
      </c>
      <c r="B55" s="894" t="s">
        <v>3196</v>
      </c>
      <c r="C55" s="894" t="s">
        <v>3498</v>
      </c>
      <c r="D55" s="880" t="s">
        <v>3104</v>
      </c>
      <c r="E55" s="878"/>
      <c r="F55" s="906"/>
      <c r="G55" s="878"/>
      <c r="H55" s="906"/>
      <c r="I55" s="878"/>
    </row>
    <row r="56" spans="1:9" ht="15" customHeight="1" x14ac:dyDescent="0.25">
      <c r="A56" s="886">
        <v>88</v>
      </c>
      <c r="B56" s="894" t="s">
        <v>3197</v>
      </c>
      <c r="C56" s="894" t="s">
        <v>3498</v>
      </c>
      <c r="D56" s="880" t="s">
        <v>3142</v>
      </c>
      <c r="E56" s="878"/>
      <c r="F56" s="906"/>
      <c r="G56" s="878"/>
      <c r="H56" s="906"/>
      <c r="I56" s="878"/>
    </row>
    <row r="57" spans="1:9" ht="15" customHeight="1" x14ac:dyDescent="0.25">
      <c r="A57" s="886">
        <v>89</v>
      </c>
      <c r="B57" s="894" t="s">
        <v>3198</v>
      </c>
      <c r="C57" s="894" t="s">
        <v>3498</v>
      </c>
      <c r="D57" s="880" t="s">
        <v>3143</v>
      </c>
      <c r="E57" s="878"/>
      <c r="F57" s="906"/>
      <c r="G57" s="878" t="s">
        <v>3199</v>
      </c>
      <c r="H57" s="906"/>
      <c r="I57" s="878"/>
    </row>
    <row r="58" spans="1:9" ht="15" customHeight="1" x14ac:dyDescent="0.25">
      <c r="A58" s="886">
        <v>90</v>
      </c>
      <c r="B58" s="894" t="s">
        <v>3200</v>
      </c>
      <c r="C58" s="894" t="s">
        <v>3498</v>
      </c>
      <c r="D58" s="880" t="s">
        <v>3201</v>
      </c>
      <c r="E58" s="878"/>
      <c r="F58" s="906"/>
      <c r="G58" s="878" t="s">
        <v>3202</v>
      </c>
      <c r="H58" s="906"/>
      <c r="I58" s="878"/>
    </row>
    <row r="59" spans="1:9" ht="15" customHeight="1" x14ac:dyDescent="0.25">
      <c r="A59" s="886">
        <v>91</v>
      </c>
      <c r="B59" s="894" t="s">
        <v>3203</v>
      </c>
      <c r="C59" s="894" t="s">
        <v>3498</v>
      </c>
      <c r="D59" s="880" t="s">
        <v>3204</v>
      </c>
      <c r="E59" s="878"/>
      <c r="F59" s="906"/>
      <c r="G59" s="878"/>
      <c r="H59" s="906"/>
      <c r="I59" s="878"/>
    </row>
    <row r="60" spans="1:9" ht="15" customHeight="1" x14ac:dyDescent="0.25">
      <c r="A60" s="886">
        <v>93</v>
      </c>
      <c r="B60" s="894" t="s">
        <v>3206</v>
      </c>
      <c r="C60" s="894" t="s">
        <v>3498</v>
      </c>
      <c r="D60" s="880" t="s">
        <v>3207</v>
      </c>
      <c r="E60" s="878"/>
      <c r="F60" s="906"/>
      <c r="G60" s="878"/>
      <c r="H60" s="906"/>
      <c r="I60" s="878"/>
    </row>
    <row r="61" spans="1:9" ht="31.5" customHeight="1" x14ac:dyDescent="0.25">
      <c r="A61" s="886">
        <v>94</v>
      </c>
      <c r="B61" s="894" t="s">
        <v>3208</v>
      </c>
      <c r="C61" s="894" t="s">
        <v>3498</v>
      </c>
      <c r="D61" s="880" t="s">
        <v>3209</v>
      </c>
      <c r="E61" s="878"/>
      <c r="F61" s="906"/>
      <c r="G61" s="878"/>
      <c r="H61" s="906"/>
      <c r="I61" s="878"/>
    </row>
    <row r="62" spans="1:9" ht="15" customHeight="1" x14ac:dyDescent="0.25">
      <c r="A62" s="886">
        <v>95</v>
      </c>
      <c r="B62" s="894" t="s">
        <v>246</v>
      </c>
      <c r="C62" s="894" t="s">
        <v>3498</v>
      </c>
      <c r="D62" s="880" t="s">
        <v>3210</v>
      </c>
      <c r="E62" s="878"/>
      <c r="F62" s="906"/>
      <c r="G62" s="878"/>
      <c r="H62" s="906"/>
      <c r="I62" s="878"/>
    </row>
    <row r="63" spans="1:9" ht="15" customHeight="1" x14ac:dyDescent="0.25">
      <c r="A63" s="886">
        <v>96</v>
      </c>
      <c r="B63" s="894" t="s">
        <v>3211</v>
      </c>
      <c r="C63" s="894" t="s">
        <v>3498</v>
      </c>
      <c r="D63" s="896" t="s">
        <v>3212</v>
      </c>
      <c r="E63" s="878"/>
      <c r="F63" s="906"/>
      <c r="G63" s="878"/>
      <c r="H63" s="906"/>
      <c r="I63" s="878"/>
    </row>
    <row r="64" spans="1:9" ht="15" customHeight="1" x14ac:dyDescent="0.25">
      <c r="A64" s="886">
        <v>98</v>
      </c>
      <c r="B64" s="894" t="s">
        <v>3215</v>
      </c>
      <c r="C64" s="894" t="s">
        <v>3498</v>
      </c>
      <c r="D64" s="880" t="s">
        <v>3216</v>
      </c>
      <c r="E64" s="878"/>
      <c r="F64" s="906"/>
      <c r="G64" s="878"/>
      <c r="H64" s="906"/>
      <c r="I64" s="878"/>
    </row>
    <row r="65" spans="1:9" ht="15" customHeight="1" x14ac:dyDescent="0.25">
      <c r="A65" s="886">
        <v>99</v>
      </c>
      <c r="B65" s="894" t="s">
        <v>3217</v>
      </c>
      <c r="C65" s="894" t="s">
        <v>3498</v>
      </c>
      <c r="D65" s="880" t="s">
        <v>3218</v>
      </c>
      <c r="E65" s="878"/>
      <c r="F65" s="906"/>
      <c r="G65" s="878" t="s">
        <v>3219</v>
      </c>
      <c r="H65" s="906"/>
      <c r="I65" s="878"/>
    </row>
    <row r="66" spans="1:9" ht="15" customHeight="1" x14ac:dyDescent="0.25">
      <c r="A66" s="886">
        <v>100</v>
      </c>
      <c r="B66" s="894" t="s">
        <v>3220</v>
      </c>
      <c r="C66" s="894" t="s">
        <v>3498</v>
      </c>
      <c r="D66" s="880" t="s">
        <v>3221</v>
      </c>
      <c r="E66" s="878"/>
      <c r="F66" s="906"/>
      <c r="G66" s="878"/>
      <c r="H66" s="906"/>
      <c r="I66" s="878"/>
    </row>
    <row r="67" spans="1:9" ht="15" customHeight="1" x14ac:dyDescent="0.25">
      <c r="A67" s="886">
        <v>107</v>
      </c>
      <c r="B67" s="894" t="s">
        <v>3228</v>
      </c>
      <c r="C67" s="894" t="s">
        <v>3498</v>
      </c>
      <c r="D67" s="880" t="s">
        <v>3229</v>
      </c>
      <c r="E67" s="878"/>
      <c r="F67" s="906"/>
      <c r="G67" s="878"/>
      <c r="H67" s="906"/>
      <c r="I67" s="878"/>
    </row>
    <row r="68" spans="1:9" ht="23.25" customHeight="1" x14ac:dyDescent="0.25">
      <c r="A68" s="886">
        <v>108</v>
      </c>
      <c r="B68" s="894" t="s">
        <v>3230</v>
      </c>
      <c r="C68" s="894" t="s">
        <v>3498</v>
      </c>
      <c r="D68" s="880" t="s">
        <v>3231</v>
      </c>
      <c r="E68" s="878"/>
      <c r="F68" s="906"/>
      <c r="G68" s="878"/>
      <c r="H68" s="906"/>
      <c r="I68" s="878"/>
    </row>
    <row r="69" spans="1:9" ht="15" customHeight="1" x14ac:dyDescent="0.25">
      <c r="A69" s="886">
        <v>109</v>
      </c>
      <c r="B69" s="894" t="s">
        <v>3232</v>
      </c>
      <c r="C69" s="894" t="s">
        <v>3498</v>
      </c>
      <c r="D69" s="880" t="s">
        <v>3233</v>
      </c>
      <c r="E69" s="878"/>
      <c r="F69" s="906"/>
      <c r="G69" s="878"/>
      <c r="H69" s="906"/>
      <c r="I69" s="878"/>
    </row>
    <row r="70" spans="1:9" ht="15" customHeight="1" x14ac:dyDescent="0.25">
      <c r="A70" s="886">
        <v>110</v>
      </c>
      <c r="B70" s="894" t="s">
        <v>3234</v>
      </c>
      <c r="C70" s="894" t="s">
        <v>3498</v>
      </c>
      <c r="D70" s="880" t="s">
        <v>3235</v>
      </c>
      <c r="E70" s="878"/>
      <c r="F70" s="906"/>
      <c r="G70" s="878"/>
      <c r="H70" s="906"/>
      <c r="I70" s="878"/>
    </row>
    <row r="71" spans="1:9" ht="27.75" customHeight="1" x14ac:dyDescent="0.25">
      <c r="A71" s="886">
        <v>111</v>
      </c>
      <c r="B71" s="894" t="s">
        <v>3236</v>
      </c>
      <c r="C71" s="894" t="s">
        <v>3505</v>
      </c>
      <c r="D71" s="880" t="s">
        <v>3237</v>
      </c>
      <c r="E71" s="878"/>
      <c r="F71" s="906"/>
      <c r="G71" s="878" t="s">
        <v>3625</v>
      </c>
      <c r="H71" s="906"/>
      <c r="I71" s="878"/>
    </row>
    <row r="72" spans="1:9" ht="15" customHeight="1" x14ac:dyDescent="0.3">
      <c r="A72" s="886">
        <v>113</v>
      </c>
      <c r="B72" s="940" t="s">
        <v>1602</v>
      </c>
      <c r="C72" s="894" t="s">
        <v>3497</v>
      </c>
      <c r="D72" s="880" t="s">
        <v>3238</v>
      </c>
      <c r="E72" s="878"/>
      <c r="F72" s="906"/>
      <c r="G72" s="878"/>
      <c r="H72" s="906"/>
      <c r="I72" s="878"/>
    </row>
    <row r="73" spans="1:9" ht="15" customHeight="1" x14ac:dyDescent="0.3">
      <c r="A73" s="886">
        <v>114</v>
      </c>
      <c r="B73" s="940" t="s">
        <v>239</v>
      </c>
      <c r="C73" s="894" t="s">
        <v>3497</v>
      </c>
      <c r="D73" s="880" t="s">
        <v>3239</v>
      </c>
      <c r="E73" s="878"/>
      <c r="F73" s="906"/>
      <c r="G73" s="878"/>
      <c r="H73" s="906"/>
      <c r="I73" s="878"/>
    </row>
    <row r="74" spans="1:9" ht="15" customHeight="1" x14ac:dyDescent="0.25">
      <c r="A74" s="886">
        <v>116</v>
      </c>
      <c r="B74" s="894" t="s">
        <v>3241</v>
      </c>
      <c r="C74" s="894" t="s">
        <v>3498</v>
      </c>
      <c r="D74" s="880" t="s">
        <v>3201</v>
      </c>
      <c r="E74" s="878"/>
      <c r="F74" s="906"/>
      <c r="G74" s="878"/>
      <c r="H74" s="906"/>
      <c r="I74" s="878"/>
    </row>
    <row r="75" spans="1:9" ht="15" customHeight="1" x14ac:dyDescent="0.25">
      <c r="A75" s="886">
        <v>117</v>
      </c>
      <c r="B75" s="894" t="s">
        <v>3242</v>
      </c>
      <c r="C75" s="894" t="s">
        <v>3498</v>
      </c>
      <c r="D75" s="880" t="s">
        <v>3243</v>
      </c>
      <c r="E75" s="878"/>
      <c r="F75" s="906"/>
      <c r="G75" s="878"/>
      <c r="H75" s="906"/>
      <c r="I75" s="878"/>
    </row>
    <row r="76" spans="1:9" ht="15" customHeight="1" x14ac:dyDescent="0.25">
      <c r="A76" s="886">
        <v>121</v>
      </c>
      <c r="B76" s="894" t="s">
        <v>3247</v>
      </c>
      <c r="C76" s="894" t="s">
        <v>3498</v>
      </c>
      <c r="D76" s="880" t="s">
        <v>3248</v>
      </c>
      <c r="E76" s="878"/>
      <c r="F76" s="906"/>
      <c r="G76" s="878"/>
      <c r="H76" s="906"/>
      <c r="I76" s="878"/>
    </row>
    <row r="77" spans="1:9" ht="15" customHeight="1" x14ac:dyDescent="0.25">
      <c r="A77" s="886">
        <v>123</v>
      </c>
      <c r="B77" s="894" t="s">
        <v>3250</v>
      </c>
      <c r="C77" s="894" t="s">
        <v>3498</v>
      </c>
      <c r="D77" s="880" t="s">
        <v>3251</v>
      </c>
      <c r="E77" s="878"/>
      <c r="F77" s="906"/>
      <c r="G77" s="878"/>
      <c r="H77" s="906"/>
      <c r="I77" s="878"/>
    </row>
    <row r="78" spans="1:9" ht="15" customHeight="1" x14ac:dyDescent="0.25">
      <c r="A78" s="886">
        <v>124</v>
      </c>
      <c r="B78" s="894" t="s">
        <v>3252</v>
      </c>
      <c r="C78" s="894" t="s">
        <v>3498</v>
      </c>
      <c r="D78" s="880" t="s">
        <v>3253</v>
      </c>
      <c r="E78" s="878"/>
      <c r="F78" s="906"/>
      <c r="G78" s="878"/>
      <c r="H78" s="906"/>
      <c r="I78" s="878"/>
    </row>
    <row r="79" spans="1:9" ht="15" customHeight="1" x14ac:dyDescent="0.25">
      <c r="A79" s="886">
        <v>125</v>
      </c>
      <c r="B79" s="894" t="s">
        <v>3254</v>
      </c>
      <c r="C79" s="894" t="s">
        <v>3498</v>
      </c>
      <c r="D79" s="880" t="s">
        <v>3255</v>
      </c>
      <c r="E79" s="878"/>
      <c r="F79" s="906"/>
      <c r="G79" s="878"/>
      <c r="H79" s="906"/>
      <c r="I79" s="878"/>
    </row>
    <row r="80" spans="1:9" ht="15" customHeight="1" x14ac:dyDescent="0.25">
      <c r="A80" s="886">
        <v>134</v>
      </c>
      <c r="B80" s="894" t="s">
        <v>3259</v>
      </c>
      <c r="C80" s="894" t="s">
        <v>3498</v>
      </c>
      <c r="D80" s="880" t="s">
        <v>3260</v>
      </c>
      <c r="E80" s="878"/>
      <c r="F80" s="906"/>
      <c r="G80" s="878"/>
      <c r="H80" s="906"/>
      <c r="I80" s="878"/>
    </row>
    <row r="81" spans="1:9" ht="15" customHeight="1" x14ac:dyDescent="0.25">
      <c r="A81" s="886">
        <v>135</v>
      </c>
      <c r="B81" s="894" t="s">
        <v>3261</v>
      </c>
      <c r="C81" s="894" t="s">
        <v>3498</v>
      </c>
      <c r="D81" s="880" t="s">
        <v>3262</v>
      </c>
      <c r="E81" s="878"/>
      <c r="F81" s="906"/>
      <c r="G81" s="878"/>
      <c r="H81" s="906"/>
      <c r="I81" s="878"/>
    </row>
    <row r="82" spans="1:9" ht="15" customHeight="1" x14ac:dyDescent="0.25">
      <c r="A82" s="886">
        <v>139</v>
      </c>
      <c r="B82" s="894" t="s">
        <v>3266</v>
      </c>
      <c r="C82" s="894" t="s">
        <v>3498</v>
      </c>
      <c r="D82" s="880" t="s">
        <v>3267</v>
      </c>
      <c r="E82" s="878"/>
      <c r="F82" s="906"/>
      <c r="G82" s="878"/>
      <c r="H82" s="906"/>
      <c r="I82" s="878"/>
    </row>
    <row r="83" spans="1:9" ht="15" customHeight="1" x14ac:dyDescent="0.25">
      <c r="A83" s="886">
        <v>140</v>
      </c>
      <c r="B83" s="894" t="s">
        <v>3268</v>
      </c>
      <c r="C83" s="894" t="s">
        <v>3498</v>
      </c>
      <c r="D83" s="880" t="s">
        <v>3269</v>
      </c>
      <c r="E83" s="878"/>
      <c r="F83" s="906"/>
      <c r="G83" s="878"/>
      <c r="H83" s="906"/>
      <c r="I83" s="878"/>
    </row>
    <row r="84" spans="1:9" ht="21.75" customHeight="1" x14ac:dyDescent="0.25">
      <c r="A84" s="886">
        <v>141</v>
      </c>
      <c r="B84" s="894" t="s">
        <v>3270</v>
      </c>
      <c r="C84" s="894" t="s">
        <v>3498</v>
      </c>
      <c r="D84" s="880" t="s">
        <v>3121</v>
      </c>
      <c r="E84" s="878"/>
      <c r="F84" s="906"/>
      <c r="G84" s="878"/>
      <c r="H84" s="906"/>
      <c r="I84" s="878"/>
    </row>
    <row r="85" spans="1:9" ht="34.5" customHeight="1" x14ac:dyDescent="0.25">
      <c r="A85" s="886">
        <v>142</v>
      </c>
      <c r="B85" s="894" t="s">
        <v>78</v>
      </c>
      <c r="C85" s="894" t="s">
        <v>3498</v>
      </c>
      <c r="D85" s="880" t="s">
        <v>3271</v>
      </c>
      <c r="E85" s="878"/>
      <c r="F85" s="906"/>
      <c r="G85" s="878" t="s">
        <v>3547</v>
      </c>
      <c r="H85" s="906"/>
      <c r="I85" s="878"/>
    </row>
    <row r="86" spans="1:9" ht="15" customHeight="1" x14ac:dyDescent="0.25">
      <c r="A86" s="886">
        <v>143</v>
      </c>
      <c r="B86" s="894" t="s">
        <v>3272</v>
      </c>
      <c r="C86" s="894" t="s">
        <v>3498</v>
      </c>
      <c r="D86" s="880" t="s">
        <v>3273</v>
      </c>
      <c r="E86" s="878"/>
      <c r="F86" s="906"/>
      <c r="G86" s="878"/>
      <c r="H86" s="906"/>
      <c r="I86" s="878"/>
    </row>
    <row r="87" spans="1:9" ht="39.75" customHeight="1" x14ac:dyDescent="0.3">
      <c r="A87" s="886">
        <v>144</v>
      </c>
      <c r="B87" s="940" t="s">
        <v>2139</v>
      </c>
      <c r="C87" s="894" t="s">
        <v>3497</v>
      </c>
      <c r="D87" s="880" t="s">
        <v>3274</v>
      </c>
      <c r="E87" s="878" t="s">
        <v>3878</v>
      </c>
      <c r="F87" s="906" t="s">
        <v>3479</v>
      </c>
      <c r="G87" s="878" t="s">
        <v>3946</v>
      </c>
      <c r="H87" s="906"/>
      <c r="I87" s="878"/>
    </row>
    <row r="88" spans="1:9" ht="15" customHeight="1" x14ac:dyDescent="0.25">
      <c r="A88" s="886">
        <v>148</v>
      </c>
      <c r="B88" s="894" t="s">
        <v>3277</v>
      </c>
      <c r="C88" s="894" t="s">
        <v>3498</v>
      </c>
      <c r="D88" s="880" t="s">
        <v>3278</v>
      </c>
      <c r="E88" s="878"/>
      <c r="F88" s="906"/>
      <c r="G88" s="878"/>
      <c r="H88" s="906"/>
      <c r="I88" s="878"/>
    </row>
    <row r="89" spans="1:9" ht="15" customHeight="1" x14ac:dyDescent="0.25">
      <c r="A89" s="886">
        <v>149</v>
      </c>
      <c r="B89" s="894" t="s">
        <v>213</v>
      </c>
      <c r="C89" s="894" t="s">
        <v>3498</v>
      </c>
      <c r="D89" s="880" t="s">
        <v>3279</v>
      </c>
      <c r="E89" s="878"/>
      <c r="F89" s="906"/>
      <c r="G89" s="878"/>
      <c r="H89" s="906"/>
      <c r="I89" s="878"/>
    </row>
    <row r="90" spans="1:9" ht="15" customHeight="1" x14ac:dyDescent="0.25">
      <c r="A90" s="886">
        <v>150</v>
      </c>
      <c r="B90" s="894" t="s">
        <v>3280</v>
      </c>
      <c r="C90" s="894" t="s">
        <v>3498</v>
      </c>
      <c r="D90" s="880" t="s">
        <v>3085</v>
      </c>
      <c r="E90" s="878"/>
      <c r="F90" s="906"/>
      <c r="G90" s="878"/>
      <c r="H90" s="906"/>
      <c r="I90" s="878"/>
    </row>
    <row r="91" spans="1:9" ht="15" customHeight="1" x14ac:dyDescent="0.25">
      <c r="A91" s="886">
        <v>151</v>
      </c>
      <c r="B91" s="894" t="s">
        <v>3281</v>
      </c>
      <c r="C91" s="894" t="s">
        <v>3498</v>
      </c>
      <c r="D91" s="880" t="s">
        <v>3282</v>
      </c>
      <c r="E91" s="878"/>
      <c r="F91" s="906"/>
      <c r="G91" s="878"/>
      <c r="H91" s="906"/>
      <c r="I91" s="878"/>
    </row>
    <row r="92" spans="1:9" ht="15" customHeight="1" x14ac:dyDescent="0.25">
      <c r="A92" s="886">
        <v>152</v>
      </c>
      <c r="B92" s="894" t="s">
        <v>3283</v>
      </c>
      <c r="C92" s="894" t="s">
        <v>3498</v>
      </c>
      <c r="D92" s="880" t="s">
        <v>3284</v>
      </c>
      <c r="E92" s="878"/>
      <c r="F92" s="906"/>
      <c r="G92" s="878"/>
      <c r="H92" s="906"/>
      <c r="I92" s="878"/>
    </row>
    <row r="93" spans="1:9" ht="27.75" customHeight="1" x14ac:dyDescent="0.25">
      <c r="A93" s="886">
        <v>153</v>
      </c>
      <c r="B93" s="894" t="s">
        <v>3285</v>
      </c>
      <c r="C93" s="894" t="s">
        <v>3498</v>
      </c>
      <c r="D93" s="880" t="s">
        <v>3286</v>
      </c>
      <c r="E93" s="878"/>
      <c r="F93" s="906"/>
      <c r="G93" s="878"/>
      <c r="H93" s="906"/>
      <c r="I93" s="878"/>
    </row>
    <row r="94" spans="1:9" ht="28.5" customHeight="1" x14ac:dyDescent="0.25">
      <c r="A94" s="886">
        <v>154</v>
      </c>
      <c r="B94" s="894" t="s">
        <v>252</v>
      </c>
      <c r="C94" s="894" t="s">
        <v>3498</v>
      </c>
      <c r="D94" s="880" t="s">
        <v>3138</v>
      </c>
      <c r="E94" s="878"/>
      <c r="F94" s="906"/>
      <c r="G94" s="878"/>
      <c r="H94" s="906"/>
      <c r="I94" s="878"/>
    </row>
    <row r="95" spans="1:9" ht="33.75" customHeight="1" x14ac:dyDescent="0.25">
      <c r="A95" s="886">
        <v>155</v>
      </c>
      <c r="B95" s="894" t="s">
        <v>3287</v>
      </c>
      <c r="C95" s="894" t="s">
        <v>3498</v>
      </c>
      <c r="D95" s="880" t="s">
        <v>3288</v>
      </c>
      <c r="E95" s="878"/>
      <c r="F95" s="906"/>
      <c r="G95" s="878"/>
      <c r="H95" s="906"/>
      <c r="I95" s="878"/>
    </row>
    <row r="96" spans="1:9" ht="15" customHeight="1" x14ac:dyDescent="0.25">
      <c r="A96" s="886">
        <v>156</v>
      </c>
      <c r="B96" s="894" t="s">
        <v>3200</v>
      </c>
      <c r="C96" s="894" t="s">
        <v>3498</v>
      </c>
      <c r="D96" s="880" t="s">
        <v>3201</v>
      </c>
      <c r="E96" s="878"/>
      <c r="F96" s="906"/>
      <c r="G96" s="878"/>
      <c r="H96" s="906"/>
      <c r="I96" s="878"/>
    </row>
    <row r="97" spans="1:9" ht="15" customHeight="1" x14ac:dyDescent="0.25">
      <c r="A97" s="886">
        <v>157</v>
      </c>
      <c r="B97" s="894" t="s">
        <v>3289</v>
      </c>
      <c r="C97" s="894" t="s">
        <v>3498</v>
      </c>
      <c r="D97" s="880" t="s">
        <v>3093</v>
      </c>
      <c r="E97" s="878"/>
      <c r="F97" s="906"/>
      <c r="G97" s="878"/>
      <c r="H97" s="906"/>
      <c r="I97" s="878"/>
    </row>
    <row r="98" spans="1:9" ht="15" customHeight="1" x14ac:dyDescent="0.25">
      <c r="A98" s="886">
        <v>158</v>
      </c>
      <c r="B98" s="894" t="s">
        <v>3290</v>
      </c>
      <c r="C98" s="894" t="s">
        <v>3498</v>
      </c>
      <c r="D98" s="880" t="s">
        <v>3291</v>
      </c>
      <c r="E98" s="878"/>
      <c r="F98" s="906"/>
      <c r="G98" s="878"/>
      <c r="H98" s="906"/>
      <c r="I98" s="878"/>
    </row>
    <row r="99" spans="1:9" ht="15" customHeight="1" x14ac:dyDescent="0.25">
      <c r="A99" s="886">
        <v>159</v>
      </c>
      <c r="B99" s="894" t="s">
        <v>3292</v>
      </c>
      <c r="C99" s="894" t="s">
        <v>3498</v>
      </c>
      <c r="D99" s="880" t="s">
        <v>3238</v>
      </c>
      <c r="E99" s="878"/>
      <c r="F99" s="906"/>
      <c r="G99" s="878"/>
      <c r="H99" s="906"/>
      <c r="I99" s="878"/>
    </row>
    <row r="100" spans="1:9" ht="15" customHeight="1" x14ac:dyDescent="0.25">
      <c r="A100" s="886">
        <v>160</v>
      </c>
      <c r="B100" s="894" t="s">
        <v>3293</v>
      </c>
      <c r="C100" s="894" t="s">
        <v>3498</v>
      </c>
      <c r="D100" s="880" t="s">
        <v>3294</v>
      </c>
      <c r="E100" s="878"/>
      <c r="F100" s="906"/>
      <c r="G100" s="878"/>
      <c r="H100" s="906"/>
      <c r="I100" s="878"/>
    </row>
    <row r="101" spans="1:9" ht="15" customHeight="1" x14ac:dyDescent="0.25">
      <c r="A101" s="886">
        <v>162</v>
      </c>
      <c r="B101" s="894" t="s">
        <v>3296</v>
      </c>
      <c r="C101" s="894" t="s">
        <v>3498</v>
      </c>
      <c r="D101" s="880" t="s">
        <v>3297</v>
      </c>
      <c r="E101" s="878"/>
      <c r="F101" s="906"/>
      <c r="G101" s="878"/>
      <c r="H101" s="906"/>
      <c r="I101" s="878"/>
    </row>
    <row r="102" spans="1:9" ht="18.75" customHeight="1" x14ac:dyDescent="0.3">
      <c r="A102" s="886">
        <v>163</v>
      </c>
      <c r="B102" s="940" t="s">
        <v>250</v>
      </c>
      <c r="C102" s="894" t="s">
        <v>3497</v>
      </c>
      <c r="D102" s="880" t="s">
        <v>3298</v>
      </c>
      <c r="E102" s="878"/>
      <c r="F102" s="906"/>
      <c r="G102" s="878"/>
      <c r="H102" s="906"/>
      <c r="I102" s="878"/>
    </row>
    <row r="103" spans="1:9" ht="34.5" customHeight="1" x14ac:dyDescent="0.25">
      <c r="A103" s="886">
        <v>164</v>
      </c>
      <c r="B103" s="894" t="s">
        <v>3299</v>
      </c>
      <c r="C103" s="894" t="s">
        <v>3498</v>
      </c>
      <c r="D103" s="880" t="s">
        <v>3300</v>
      </c>
      <c r="E103" s="878"/>
      <c r="F103" s="906"/>
      <c r="G103" s="878"/>
      <c r="H103" s="906"/>
      <c r="I103" s="878"/>
    </row>
    <row r="104" spans="1:9" ht="15" customHeight="1" x14ac:dyDescent="0.25">
      <c r="A104" s="886">
        <v>165</v>
      </c>
      <c r="B104" s="894" t="s">
        <v>3301</v>
      </c>
      <c r="C104" s="894" t="s">
        <v>3498</v>
      </c>
      <c r="D104" s="880" t="s">
        <v>3302</v>
      </c>
      <c r="E104" s="878"/>
      <c r="F104" s="906"/>
      <c r="G104" s="878"/>
      <c r="H104" s="906"/>
      <c r="I104" s="878"/>
    </row>
    <row r="105" spans="1:9" ht="15" customHeight="1" x14ac:dyDescent="0.25">
      <c r="A105" s="886">
        <v>166</v>
      </c>
      <c r="B105" s="894" t="s">
        <v>168</v>
      </c>
      <c r="C105" s="894" t="s">
        <v>3498</v>
      </c>
      <c r="D105" s="880" t="s">
        <v>3303</v>
      </c>
      <c r="E105" s="878"/>
      <c r="F105" s="906"/>
      <c r="G105" s="878"/>
      <c r="H105" s="906"/>
      <c r="I105" s="878"/>
    </row>
    <row r="106" spans="1:9" ht="15" customHeight="1" x14ac:dyDescent="0.25">
      <c r="A106" s="886">
        <v>167</v>
      </c>
      <c r="B106" s="894" t="s">
        <v>285</v>
      </c>
      <c r="C106" s="894" t="s">
        <v>3498</v>
      </c>
      <c r="D106" s="880" t="s">
        <v>3212</v>
      </c>
      <c r="E106" s="878"/>
      <c r="F106" s="906"/>
      <c r="G106" s="878"/>
      <c r="H106" s="906"/>
      <c r="I106" s="878"/>
    </row>
    <row r="107" spans="1:9" ht="27" customHeight="1" x14ac:dyDescent="0.25">
      <c r="A107" s="886">
        <v>168</v>
      </c>
      <c r="B107" s="894" t="s">
        <v>256</v>
      </c>
      <c r="C107" s="894" t="s">
        <v>3497</v>
      </c>
      <c r="D107" s="880" t="s">
        <v>3304</v>
      </c>
      <c r="E107" s="878"/>
      <c r="F107" s="906"/>
      <c r="G107" s="878"/>
      <c r="H107" s="906"/>
      <c r="I107" s="878"/>
    </row>
    <row r="108" spans="1:9" ht="15" customHeight="1" x14ac:dyDescent="0.3">
      <c r="A108" s="886">
        <v>170</v>
      </c>
      <c r="B108" s="940" t="s">
        <v>287</v>
      </c>
      <c r="C108" s="894" t="s">
        <v>3497</v>
      </c>
      <c r="D108" s="880" t="s">
        <v>3305</v>
      </c>
      <c r="E108" s="914" t="s">
        <v>3306</v>
      </c>
      <c r="F108" s="906" t="s">
        <v>3307</v>
      </c>
      <c r="G108" s="906"/>
      <c r="H108" s="906" t="s">
        <v>3528</v>
      </c>
      <c r="I108" s="878" t="s">
        <v>3526</v>
      </c>
    </row>
    <row r="109" spans="1:9" ht="15" customHeight="1" x14ac:dyDescent="0.25">
      <c r="A109" s="886">
        <v>176</v>
      </c>
      <c r="B109" s="894" t="s">
        <v>3319</v>
      </c>
      <c r="C109" s="894" t="s">
        <v>3498</v>
      </c>
      <c r="D109" s="880" t="s">
        <v>3320</v>
      </c>
      <c r="E109" s="914" t="s">
        <v>3321</v>
      </c>
      <c r="F109" s="906" t="s">
        <v>3322</v>
      </c>
      <c r="G109" s="906"/>
      <c r="H109" s="906"/>
      <c r="I109" s="878" t="s">
        <v>3322</v>
      </c>
    </row>
    <row r="110" spans="1:9" ht="15" customHeight="1" x14ac:dyDescent="0.25">
      <c r="A110" s="886">
        <v>178</v>
      </c>
      <c r="B110" s="894" t="s">
        <v>3325</v>
      </c>
      <c r="C110" s="894" t="s">
        <v>3498</v>
      </c>
      <c r="D110" s="880" t="s">
        <v>3326</v>
      </c>
      <c r="E110" s="914" t="s">
        <v>3327</v>
      </c>
      <c r="F110" s="906" t="s">
        <v>3314</v>
      </c>
      <c r="G110" s="906"/>
      <c r="H110" s="906"/>
      <c r="I110" s="878" t="s">
        <v>3314</v>
      </c>
    </row>
    <row r="111" spans="1:9" ht="15" customHeight="1" x14ac:dyDescent="0.25">
      <c r="A111" s="886">
        <v>182</v>
      </c>
      <c r="B111" s="894" t="s">
        <v>3334</v>
      </c>
      <c r="C111" s="894" t="s">
        <v>3498</v>
      </c>
      <c r="D111" s="880" t="s">
        <v>3335</v>
      </c>
      <c r="E111" s="914" t="s">
        <v>3336</v>
      </c>
      <c r="F111" s="906" t="s">
        <v>3307</v>
      </c>
      <c r="G111" s="906"/>
      <c r="H111" s="906"/>
      <c r="I111" s="878" t="s">
        <v>3307</v>
      </c>
    </row>
    <row r="112" spans="1:9" ht="15" customHeight="1" x14ac:dyDescent="0.25">
      <c r="A112" s="886">
        <v>187</v>
      </c>
      <c r="B112" s="894" t="s">
        <v>3344</v>
      </c>
      <c r="C112" s="894" t="s">
        <v>3498</v>
      </c>
      <c r="D112" s="880" t="s">
        <v>3345</v>
      </c>
      <c r="E112" s="914" t="s">
        <v>3346</v>
      </c>
      <c r="F112" s="906" t="s">
        <v>3314</v>
      </c>
      <c r="G112" s="906"/>
      <c r="H112" s="906"/>
      <c r="I112" s="878" t="s">
        <v>3314</v>
      </c>
    </row>
    <row r="113" spans="1:9" ht="15" customHeight="1" x14ac:dyDescent="0.25">
      <c r="A113" s="886">
        <v>196</v>
      </c>
      <c r="B113" s="894" t="s">
        <v>3362</v>
      </c>
      <c r="C113" s="894" t="s">
        <v>3498</v>
      </c>
      <c r="D113" s="880" t="s">
        <v>3363</v>
      </c>
      <c r="E113" s="914" t="s">
        <v>3364</v>
      </c>
      <c r="F113" s="906" t="s">
        <v>3357</v>
      </c>
      <c r="G113" s="906"/>
      <c r="H113" s="906"/>
      <c r="I113" s="878" t="s">
        <v>3357</v>
      </c>
    </row>
    <row r="114" spans="1:9" ht="15" customHeight="1" x14ac:dyDescent="0.25">
      <c r="A114" s="886">
        <v>200</v>
      </c>
      <c r="B114" s="894" t="s">
        <v>3370</v>
      </c>
      <c r="C114" s="894" t="s">
        <v>3498</v>
      </c>
      <c r="D114" s="880" t="s">
        <v>3371</v>
      </c>
      <c r="E114" s="914" t="s">
        <v>3372</v>
      </c>
      <c r="F114" s="906" t="s">
        <v>3322</v>
      </c>
      <c r="G114" s="906"/>
      <c r="H114" s="906"/>
      <c r="I114" s="878" t="s">
        <v>3322</v>
      </c>
    </row>
    <row r="115" spans="1:9" ht="15" customHeight="1" x14ac:dyDescent="0.25">
      <c r="A115" s="886">
        <v>218</v>
      </c>
      <c r="B115" s="894" t="s">
        <v>3405</v>
      </c>
      <c r="C115" s="894" t="s">
        <v>3498</v>
      </c>
      <c r="D115" s="880" t="s">
        <v>3406</v>
      </c>
      <c r="E115" s="914" t="s">
        <v>3407</v>
      </c>
      <c r="F115" s="906" t="s">
        <v>3357</v>
      </c>
      <c r="G115" s="906"/>
      <c r="H115" s="906"/>
      <c r="I115" s="878" t="s">
        <v>3357</v>
      </c>
    </row>
    <row r="116" spans="1:9" ht="15" customHeight="1" x14ac:dyDescent="0.25">
      <c r="A116" s="886">
        <v>222</v>
      </c>
      <c r="B116" s="894" t="s">
        <v>3236</v>
      </c>
      <c r="C116" s="894" t="s">
        <v>3498</v>
      </c>
      <c r="D116" s="880" t="s">
        <v>3414</v>
      </c>
      <c r="E116" s="914" t="s">
        <v>3415</v>
      </c>
      <c r="F116" s="906" t="s">
        <v>3357</v>
      </c>
      <c r="G116" s="906"/>
      <c r="H116" s="906"/>
      <c r="I116" s="878" t="s">
        <v>3357</v>
      </c>
    </row>
    <row r="117" spans="1:9" ht="36.75" customHeight="1" x14ac:dyDescent="0.25">
      <c r="A117" s="886">
        <v>223</v>
      </c>
      <c r="B117" s="894" t="s">
        <v>1476</v>
      </c>
      <c r="C117" s="894" t="s">
        <v>3498</v>
      </c>
      <c r="D117" s="880" t="s">
        <v>3368</v>
      </c>
      <c r="E117" s="914" t="s">
        <v>3416</v>
      </c>
      <c r="F117" s="906" t="s">
        <v>3357</v>
      </c>
      <c r="G117" s="906" t="s">
        <v>3316</v>
      </c>
      <c r="H117" s="906" t="s">
        <v>3529</v>
      </c>
      <c r="I117" s="878" t="s">
        <v>3525</v>
      </c>
    </row>
    <row r="118" spans="1:9" ht="46.5" customHeight="1" x14ac:dyDescent="0.3">
      <c r="A118" s="886">
        <v>265</v>
      </c>
      <c r="B118" s="912" t="s">
        <v>2790</v>
      </c>
      <c r="C118" s="894" t="s">
        <v>3497</v>
      </c>
      <c r="D118" s="880" t="s">
        <v>3487</v>
      </c>
      <c r="E118" s="914" t="s">
        <v>3488</v>
      </c>
      <c r="F118" s="906" t="s">
        <v>3314</v>
      </c>
      <c r="G118" s="906"/>
      <c r="H118" s="906" t="s">
        <v>3531</v>
      </c>
      <c r="I118" s="878" t="s">
        <v>3314</v>
      </c>
    </row>
    <row r="119" spans="1:9" ht="32.25" customHeight="1" x14ac:dyDescent="0.25">
      <c r="A119" s="886">
        <v>267</v>
      </c>
      <c r="B119" s="894" t="s">
        <v>2623</v>
      </c>
      <c r="C119" s="894" t="s">
        <v>3498</v>
      </c>
      <c r="D119" s="880" t="s">
        <v>2265</v>
      </c>
      <c r="E119" s="914" t="s">
        <v>3490</v>
      </c>
      <c r="F119" s="906" t="s">
        <v>3479</v>
      </c>
      <c r="G119" s="906"/>
      <c r="H119" s="906" t="s">
        <v>3528</v>
      </c>
      <c r="I119" s="878" t="s">
        <v>3526</v>
      </c>
    </row>
    <row r="120" spans="1:9" ht="30" customHeight="1" x14ac:dyDescent="0.3">
      <c r="A120" s="886">
        <v>268</v>
      </c>
      <c r="B120" s="940" t="s">
        <v>2589</v>
      </c>
      <c r="C120" s="894" t="s">
        <v>3497</v>
      </c>
      <c r="D120" s="880" t="s">
        <v>3491</v>
      </c>
      <c r="E120" s="914" t="s">
        <v>3492</v>
      </c>
      <c r="F120" s="906" t="s">
        <v>3479</v>
      </c>
      <c r="G120" s="906"/>
      <c r="H120" s="906" t="s">
        <v>3528</v>
      </c>
      <c r="I120" s="878" t="s">
        <v>3526</v>
      </c>
    </row>
    <row r="121" spans="1:9" ht="33.75" customHeight="1" x14ac:dyDescent="0.3">
      <c r="A121" s="886">
        <v>269</v>
      </c>
      <c r="B121" s="912" t="s">
        <v>2032</v>
      </c>
      <c r="C121" s="894" t="s">
        <v>3497</v>
      </c>
      <c r="D121" s="880" t="s">
        <v>2033</v>
      </c>
      <c r="E121" s="914" t="s">
        <v>3493</v>
      </c>
      <c r="F121" s="906" t="s">
        <v>3479</v>
      </c>
      <c r="G121" s="906"/>
      <c r="H121" s="906" t="s">
        <v>3528</v>
      </c>
      <c r="I121" s="878" t="s">
        <v>3526</v>
      </c>
    </row>
    <row r="122" spans="1:9" ht="45" customHeight="1" x14ac:dyDescent="0.3">
      <c r="A122" s="886">
        <v>270</v>
      </c>
      <c r="B122" s="912" t="s">
        <v>2065</v>
      </c>
      <c r="C122" s="894" t="s">
        <v>3497</v>
      </c>
      <c r="D122" s="880" t="s">
        <v>2064</v>
      </c>
      <c r="E122" s="914" t="s">
        <v>3494</v>
      </c>
      <c r="F122" s="906" t="s">
        <v>3479</v>
      </c>
      <c r="G122" s="906"/>
      <c r="H122" s="906" t="s">
        <v>3528</v>
      </c>
      <c r="I122" s="878" t="s">
        <v>3526</v>
      </c>
    </row>
    <row r="123" spans="1:9" ht="34.5" customHeight="1" x14ac:dyDescent="0.3">
      <c r="A123" s="886">
        <v>291</v>
      </c>
      <c r="B123" s="949" t="s">
        <v>2514</v>
      </c>
      <c r="C123" s="880" t="s">
        <v>3497</v>
      </c>
      <c r="D123" s="880" t="s">
        <v>1905</v>
      </c>
      <c r="E123" s="878" t="s">
        <v>3639</v>
      </c>
      <c r="F123" s="906" t="s">
        <v>3479</v>
      </c>
      <c r="G123" s="891"/>
      <c r="H123" s="906"/>
      <c r="I123" s="892" t="s">
        <v>3526</v>
      </c>
    </row>
    <row r="124" spans="1:9" ht="15" customHeight="1" x14ac:dyDescent="0.3">
      <c r="A124" s="886">
        <v>292</v>
      </c>
      <c r="B124" s="949" t="s">
        <v>2567</v>
      </c>
      <c r="C124" s="880" t="s">
        <v>3497</v>
      </c>
      <c r="D124" s="880" t="s">
        <v>233</v>
      </c>
      <c r="E124" s="878"/>
      <c r="F124" s="906"/>
      <c r="G124" s="891" t="s">
        <v>3534</v>
      </c>
      <c r="H124" s="906"/>
      <c r="I124" s="892" t="s">
        <v>3526</v>
      </c>
    </row>
    <row r="125" spans="1:9" ht="33" customHeight="1" x14ac:dyDescent="0.3">
      <c r="A125" s="886">
        <v>293</v>
      </c>
      <c r="B125" s="922" t="s">
        <v>2669</v>
      </c>
      <c r="C125" s="880" t="s">
        <v>3497</v>
      </c>
      <c r="D125" s="880" t="s">
        <v>2672</v>
      </c>
      <c r="E125" s="878" t="s">
        <v>3638</v>
      </c>
      <c r="F125" s="906" t="s">
        <v>3479</v>
      </c>
      <c r="G125" s="891"/>
      <c r="H125" s="906"/>
      <c r="I125" s="892" t="s">
        <v>3526</v>
      </c>
    </row>
    <row r="126" spans="1:9" ht="18" customHeight="1" x14ac:dyDescent="0.25">
      <c r="A126" s="886">
        <v>300</v>
      </c>
      <c r="B126" s="942" t="s">
        <v>2202</v>
      </c>
      <c r="C126" s="880" t="s">
        <v>3497</v>
      </c>
      <c r="D126" s="880" t="s">
        <v>2203</v>
      </c>
      <c r="E126" s="878" t="s">
        <v>3591</v>
      </c>
      <c r="F126" s="906" t="s">
        <v>3314</v>
      </c>
      <c r="G126" s="906"/>
      <c r="H126" s="906"/>
      <c r="I126" s="878" t="s">
        <v>3526</v>
      </c>
    </row>
    <row r="127" spans="1:9" ht="33.75" customHeight="1" x14ac:dyDescent="0.25">
      <c r="A127" s="886">
        <v>308</v>
      </c>
      <c r="B127" s="925" t="s">
        <v>2463</v>
      </c>
      <c r="C127" s="880" t="s">
        <v>3497</v>
      </c>
      <c r="D127" s="880" t="s">
        <v>1033</v>
      </c>
      <c r="E127" s="878" t="s">
        <v>3546</v>
      </c>
      <c r="F127" s="906"/>
      <c r="G127" s="906" t="s">
        <v>3539</v>
      </c>
      <c r="H127" s="906"/>
      <c r="I127" s="878" t="s">
        <v>3314</v>
      </c>
    </row>
    <row r="128" spans="1:9" ht="33" customHeight="1" x14ac:dyDescent="0.25">
      <c r="A128" s="917">
        <v>401</v>
      </c>
      <c r="B128" s="917" t="s">
        <v>2373</v>
      </c>
      <c r="C128" s="916" t="s">
        <v>3498</v>
      </c>
      <c r="D128" s="916" t="s">
        <v>3179</v>
      </c>
      <c r="E128" s="923" t="s">
        <v>3579</v>
      </c>
      <c r="F128" s="918" t="s">
        <v>3314</v>
      </c>
      <c r="G128" s="924" t="s">
        <v>3665</v>
      </c>
      <c r="H128" s="918"/>
      <c r="I128" s="917"/>
    </row>
    <row r="129" spans="1:9" ht="15" customHeight="1" x14ac:dyDescent="0.25">
      <c r="A129" s="917">
        <v>402</v>
      </c>
      <c r="B129" s="919" t="s">
        <v>2602</v>
      </c>
      <c r="C129" s="916" t="s">
        <v>3497</v>
      </c>
      <c r="D129" s="916" t="s">
        <v>90</v>
      </c>
      <c r="E129" s="923" t="s">
        <v>3580</v>
      </c>
      <c r="F129" s="918" t="s">
        <v>3314</v>
      </c>
      <c r="G129" s="918"/>
      <c r="H129" s="918"/>
      <c r="I129" s="917"/>
    </row>
    <row r="130" spans="1:9" ht="15" customHeight="1" x14ac:dyDescent="0.25">
      <c r="A130" s="886">
        <v>1</v>
      </c>
      <c r="B130" s="893" t="s">
        <v>247</v>
      </c>
      <c r="C130" s="893" t="s">
        <v>3497</v>
      </c>
      <c r="D130" s="880" t="s">
        <v>3080</v>
      </c>
      <c r="E130" s="878"/>
      <c r="F130" s="906"/>
      <c r="G130" s="878"/>
      <c r="H130" s="906"/>
      <c r="I130" s="878"/>
    </row>
    <row r="131" spans="1:9" ht="15" customHeight="1" x14ac:dyDescent="0.25">
      <c r="A131" s="886">
        <v>2</v>
      </c>
      <c r="B131" s="893" t="s">
        <v>248</v>
      </c>
      <c r="C131" s="893" t="s">
        <v>3497</v>
      </c>
      <c r="D131" s="880" t="s">
        <v>3081</v>
      </c>
      <c r="E131" s="878"/>
      <c r="F131" s="906"/>
      <c r="G131" s="878"/>
      <c r="H131" s="906"/>
      <c r="I131" s="878"/>
    </row>
    <row r="132" spans="1:9" ht="15" customHeight="1" x14ac:dyDescent="0.25">
      <c r="A132" s="886">
        <v>3</v>
      </c>
      <c r="B132" s="893" t="s">
        <v>1346</v>
      </c>
      <c r="C132" s="893" t="s">
        <v>3497</v>
      </c>
      <c r="D132" s="880" t="s">
        <v>3082</v>
      </c>
      <c r="E132" s="878"/>
      <c r="F132" s="906"/>
      <c r="G132" s="878"/>
      <c r="H132" s="906"/>
      <c r="I132" s="878"/>
    </row>
    <row r="133" spans="1:9" ht="15" customHeight="1" x14ac:dyDescent="0.25">
      <c r="A133" s="886">
        <v>4</v>
      </c>
      <c r="B133" s="893" t="s">
        <v>1363</v>
      </c>
      <c r="C133" s="893" t="s">
        <v>3497</v>
      </c>
      <c r="D133" s="880" t="s">
        <v>3083</v>
      </c>
      <c r="E133" s="878"/>
      <c r="F133" s="906"/>
      <c r="G133" s="878"/>
      <c r="H133" s="906"/>
      <c r="I133" s="878"/>
    </row>
    <row r="134" spans="1:9" ht="15" customHeight="1" x14ac:dyDescent="0.25">
      <c r="A134" s="886">
        <v>7</v>
      </c>
      <c r="B134" s="893" t="s">
        <v>1156</v>
      </c>
      <c r="C134" s="893" t="s">
        <v>3497</v>
      </c>
      <c r="D134" s="880" t="s">
        <v>3086</v>
      </c>
      <c r="E134" s="878"/>
      <c r="F134" s="906"/>
      <c r="G134" s="878"/>
      <c r="H134" s="906"/>
      <c r="I134" s="878"/>
    </row>
    <row r="135" spans="1:9" ht="30.75" customHeight="1" x14ac:dyDescent="0.25">
      <c r="A135" s="886">
        <v>8</v>
      </c>
      <c r="B135" s="893" t="s">
        <v>283</v>
      </c>
      <c r="C135" s="893" t="s">
        <v>3497</v>
      </c>
      <c r="D135" s="880" t="s">
        <v>3087</v>
      </c>
      <c r="E135" s="878"/>
      <c r="F135" s="906"/>
      <c r="G135" s="878"/>
      <c r="H135" s="906"/>
      <c r="I135" s="878"/>
    </row>
    <row r="136" spans="1:9" ht="15" customHeight="1" x14ac:dyDescent="0.3">
      <c r="A136" s="886">
        <v>9</v>
      </c>
      <c r="B136" s="993" t="s">
        <v>289</v>
      </c>
      <c r="C136" s="893" t="s">
        <v>3497</v>
      </c>
      <c r="D136" s="880" t="s">
        <v>3088</v>
      </c>
      <c r="E136" s="878"/>
      <c r="F136" s="906"/>
      <c r="G136" s="878"/>
      <c r="H136" s="906"/>
      <c r="I136" s="878"/>
    </row>
    <row r="137" spans="1:9" ht="15" customHeight="1" x14ac:dyDescent="0.25">
      <c r="A137" s="886">
        <v>10</v>
      </c>
      <c r="B137" s="893" t="s">
        <v>294</v>
      </c>
      <c r="C137" s="893" t="s">
        <v>3497</v>
      </c>
      <c r="D137" s="880" t="s">
        <v>3089</v>
      </c>
      <c r="E137" s="878"/>
      <c r="F137" s="906"/>
      <c r="G137" s="878"/>
      <c r="H137" s="906"/>
      <c r="I137" s="878"/>
    </row>
    <row r="138" spans="1:9" ht="15" customHeight="1" x14ac:dyDescent="0.25">
      <c r="A138" s="886">
        <v>11</v>
      </c>
      <c r="B138" s="893" t="s">
        <v>278</v>
      </c>
      <c r="C138" s="893" t="s">
        <v>3497</v>
      </c>
      <c r="D138" s="880" t="s">
        <v>3090</v>
      </c>
      <c r="E138" s="878"/>
      <c r="F138" s="906"/>
      <c r="G138" s="878"/>
      <c r="H138" s="906"/>
      <c r="I138" s="878"/>
    </row>
    <row r="139" spans="1:9" ht="41.25" customHeight="1" x14ac:dyDescent="0.3">
      <c r="A139" s="886">
        <v>17</v>
      </c>
      <c r="B139" s="912" t="s">
        <v>1328</v>
      </c>
      <c r="C139" s="894" t="s">
        <v>3497</v>
      </c>
      <c r="D139" s="880" t="s">
        <v>3097</v>
      </c>
      <c r="E139" s="878"/>
      <c r="F139" s="906"/>
      <c r="G139" s="878"/>
      <c r="H139" s="906"/>
      <c r="I139" s="878"/>
    </row>
    <row r="140" spans="1:9" ht="15" customHeight="1" x14ac:dyDescent="0.25">
      <c r="A140" s="886">
        <v>18</v>
      </c>
      <c r="B140" s="895" t="s">
        <v>3098</v>
      </c>
      <c r="C140" s="894" t="s">
        <v>3497</v>
      </c>
      <c r="D140" s="880" t="s">
        <v>3099</v>
      </c>
      <c r="E140" s="878"/>
      <c r="F140" s="906"/>
      <c r="G140" s="878" t="s">
        <v>3100</v>
      </c>
      <c r="H140" s="906"/>
      <c r="I140" s="878"/>
    </row>
    <row r="141" spans="1:9" ht="15" customHeight="1" x14ac:dyDescent="0.25">
      <c r="A141" s="886">
        <v>20</v>
      </c>
      <c r="B141" s="893" t="s">
        <v>400</v>
      </c>
      <c r="C141" s="893" t="s">
        <v>3497</v>
      </c>
      <c r="D141" s="880" t="s">
        <v>3102</v>
      </c>
      <c r="E141" s="878"/>
      <c r="F141" s="906"/>
      <c r="G141" s="878"/>
      <c r="H141" s="906"/>
      <c r="I141" s="878"/>
    </row>
    <row r="142" spans="1:9" ht="15" customHeight="1" x14ac:dyDescent="0.25">
      <c r="A142" s="886">
        <v>21</v>
      </c>
      <c r="B142" s="893" t="s">
        <v>1343</v>
      </c>
      <c r="C142" s="893" t="s">
        <v>3497</v>
      </c>
      <c r="D142" s="880" t="s">
        <v>3103</v>
      </c>
      <c r="E142" s="878"/>
      <c r="F142" s="906"/>
      <c r="G142" s="878"/>
      <c r="H142" s="906"/>
      <c r="I142" s="878"/>
    </row>
    <row r="143" spans="1:9" ht="15" customHeight="1" x14ac:dyDescent="0.25">
      <c r="A143" s="886">
        <v>22</v>
      </c>
      <c r="B143" s="893" t="s">
        <v>548</v>
      </c>
      <c r="C143" s="893" t="s">
        <v>3497</v>
      </c>
      <c r="D143" s="880" t="s">
        <v>3104</v>
      </c>
      <c r="E143" s="878"/>
      <c r="F143" s="906"/>
      <c r="G143" s="878"/>
      <c r="H143" s="906"/>
      <c r="I143" s="878"/>
    </row>
    <row r="144" spans="1:9" ht="15" customHeight="1" x14ac:dyDescent="0.25">
      <c r="A144" s="886">
        <v>23</v>
      </c>
      <c r="B144" s="893" t="s">
        <v>1423</v>
      </c>
      <c r="C144" s="893" t="s">
        <v>3497</v>
      </c>
      <c r="D144" s="896" t="s">
        <v>3105</v>
      </c>
      <c r="E144" s="913"/>
      <c r="F144" s="908"/>
      <c r="G144" s="913"/>
      <c r="H144" s="906"/>
      <c r="I144" s="878"/>
    </row>
    <row r="145" spans="1:9" ht="15" customHeight="1" x14ac:dyDescent="0.3">
      <c r="A145" s="886">
        <v>25</v>
      </c>
      <c r="B145" s="912" t="s">
        <v>3107</v>
      </c>
      <c r="C145" s="894" t="s">
        <v>3497</v>
      </c>
      <c r="D145" s="880" t="s">
        <v>3108</v>
      </c>
      <c r="E145" s="878"/>
      <c r="F145" s="906"/>
      <c r="G145" s="878"/>
      <c r="H145" s="906"/>
      <c r="I145" s="878"/>
    </row>
    <row r="146" spans="1:9" ht="15" customHeight="1" x14ac:dyDescent="0.25">
      <c r="A146" s="886">
        <v>26</v>
      </c>
      <c r="B146" s="893" t="s">
        <v>297</v>
      </c>
      <c r="C146" s="893" t="s">
        <v>3497</v>
      </c>
      <c r="D146" s="880" t="s">
        <v>3109</v>
      </c>
      <c r="E146" s="878"/>
      <c r="F146" s="906"/>
      <c r="G146" s="878"/>
      <c r="H146" s="906"/>
      <c r="I146" s="878"/>
    </row>
    <row r="147" spans="1:9" ht="15" customHeight="1" x14ac:dyDescent="0.3">
      <c r="A147" s="886">
        <v>27</v>
      </c>
      <c r="B147" s="912" t="s">
        <v>1490</v>
      </c>
      <c r="C147" s="893" t="s">
        <v>3497</v>
      </c>
      <c r="D147" s="880" t="s">
        <v>3110</v>
      </c>
      <c r="E147" s="878"/>
      <c r="F147" s="906"/>
      <c r="G147" s="878" t="s">
        <v>3111</v>
      </c>
      <c r="H147" s="906"/>
      <c r="I147" s="878"/>
    </row>
    <row r="148" spans="1:9" ht="15" customHeight="1" x14ac:dyDescent="0.25">
      <c r="A148" s="886">
        <v>1</v>
      </c>
      <c r="B148" s="887" t="s">
        <v>1995</v>
      </c>
      <c r="C148" s="893" t="s">
        <v>3497</v>
      </c>
      <c r="D148" s="880" t="s">
        <v>3112</v>
      </c>
      <c r="E148" s="878"/>
      <c r="F148" s="906"/>
      <c r="G148" s="878" t="s">
        <v>3113</v>
      </c>
      <c r="H148" s="906"/>
      <c r="I148" s="878"/>
    </row>
    <row r="149" spans="1:9" ht="15" customHeight="1" x14ac:dyDescent="0.3">
      <c r="A149" s="886">
        <v>2</v>
      </c>
      <c r="B149" s="912" t="s">
        <v>2039</v>
      </c>
      <c r="C149" s="894" t="s">
        <v>3497</v>
      </c>
      <c r="D149" s="896" t="s">
        <v>3114</v>
      </c>
      <c r="E149" s="878"/>
      <c r="F149" s="906"/>
      <c r="G149" s="878"/>
      <c r="H149" s="906"/>
      <c r="I149" s="878"/>
    </row>
    <row r="150" spans="1:9" ht="15" customHeight="1" x14ac:dyDescent="0.3">
      <c r="A150" s="886">
        <v>3</v>
      </c>
      <c r="B150" s="912" t="s">
        <v>2045</v>
      </c>
      <c r="C150" s="894" t="s">
        <v>3497</v>
      </c>
      <c r="D150" s="896" t="s">
        <v>3115</v>
      </c>
      <c r="E150" s="878"/>
      <c r="F150" s="906"/>
      <c r="G150" s="878"/>
      <c r="H150" s="906"/>
      <c r="I150" s="878"/>
    </row>
    <row r="151" spans="1:9" ht="15" customHeight="1" x14ac:dyDescent="0.25">
      <c r="A151" s="886">
        <v>5</v>
      </c>
      <c r="B151" s="887" t="s">
        <v>1986</v>
      </c>
      <c r="C151" s="893" t="s">
        <v>3497</v>
      </c>
      <c r="D151" s="880" t="s">
        <v>3117</v>
      </c>
      <c r="E151" s="878"/>
      <c r="F151" s="906"/>
      <c r="G151" s="878"/>
      <c r="H151" s="906"/>
      <c r="I151" s="878"/>
    </row>
    <row r="152" spans="1:9" ht="15" customHeight="1" x14ac:dyDescent="0.25">
      <c r="A152" s="886">
        <v>6</v>
      </c>
      <c r="B152" s="887" t="s">
        <v>1760</v>
      </c>
      <c r="C152" s="893" t="s">
        <v>3497</v>
      </c>
      <c r="D152" s="880" t="s">
        <v>3088</v>
      </c>
      <c r="E152" s="878"/>
      <c r="F152" s="906"/>
      <c r="G152" s="878"/>
      <c r="H152" s="906"/>
      <c r="I152" s="878"/>
    </row>
    <row r="153" spans="1:9" ht="15" customHeight="1" x14ac:dyDescent="0.3">
      <c r="A153" s="886">
        <v>7</v>
      </c>
      <c r="B153" s="912" t="s">
        <v>1335</v>
      </c>
      <c r="C153" s="894" t="s">
        <v>3497</v>
      </c>
      <c r="D153" s="880" t="s">
        <v>3118</v>
      </c>
      <c r="E153" s="878"/>
      <c r="F153" s="906"/>
      <c r="G153" s="878" t="s">
        <v>3119</v>
      </c>
      <c r="H153" s="906"/>
      <c r="I153" s="878"/>
    </row>
    <row r="154" spans="1:9" ht="15" customHeight="1" x14ac:dyDescent="0.25">
      <c r="A154" s="886">
        <v>9</v>
      </c>
      <c r="B154" s="887" t="s">
        <v>401</v>
      </c>
      <c r="C154" s="893" t="s">
        <v>3497</v>
      </c>
      <c r="D154" s="880" t="s">
        <v>3122</v>
      </c>
      <c r="E154" s="878"/>
      <c r="F154" s="906"/>
      <c r="G154" s="878"/>
      <c r="H154" s="906"/>
      <c r="I154" s="878"/>
    </row>
    <row r="155" spans="1:9" ht="15" customHeight="1" x14ac:dyDescent="0.25">
      <c r="A155" s="886">
        <v>10</v>
      </c>
      <c r="B155" s="887" t="s">
        <v>1418</v>
      </c>
      <c r="C155" s="893" t="s">
        <v>3497</v>
      </c>
      <c r="D155" s="880" t="s">
        <v>3123</v>
      </c>
      <c r="E155" s="878"/>
      <c r="F155" s="906"/>
      <c r="G155" s="878"/>
      <c r="H155" s="906"/>
      <c r="I155" s="878"/>
    </row>
    <row r="156" spans="1:9" ht="15" customHeight="1" x14ac:dyDescent="0.3">
      <c r="A156" s="886">
        <v>11</v>
      </c>
      <c r="B156" s="922" t="s">
        <v>2191</v>
      </c>
      <c r="C156" s="894" t="s">
        <v>3497</v>
      </c>
      <c r="D156" s="880" t="s">
        <v>3124</v>
      </c>
      <c r="E156" s="878"/>
      <c r="F156" s="906"/>
      <c r="G156" s="878"/>
      <c r="H156" s="906"/>
      <c r="I156" s="878"/>
    </row>
    <row r="157" spans="1:9" ht="15" customHeight="1" x14ac:dyDescent="0.25">
      <c r="A157" s="886">
        <v>12</v>
      </c>
      <c r="B157" s="893" t="s">
        <v>276</v>
      </c>
      <c r="C157" s="893" t="s">
        <v>3497</v>
      </c>
      <c r="D157" s="880" t="s">
        <v>3125</v>
      </c>
      <c r="E157" s="878"/>
      <c r="F157" s="906"/>
      <c r="G157" s="878"/>
      <c r="H157" s="906"/>
      <c r="I157" s="878"/>
    </row>
    <row r="158" spans="1:9" ht="15" customHeight="1" x14ac:dyDescent="0.25">
      <c r="A158" s="886">
        <v>13</v>
      </c>
      <c r="B158" s="887" t="s">
        <v>1551</v>
      </c>
      <c r="C158" s="893" t="s">
        <v>3497</v>
      </c>
      <c r="D158" s="880" t="s">
        <v>3126</v>
      </c>
      <c r="E158" s="878"/>
      <c r="F158" s="906"/>
      <c r="G158" s="878"/>
      <c r="H158" s="906"/>
      <c r="I158" s="878"/>
    </row>
    <row r="159" spans="1:9" ht="15" customHeight="1" x14ac:dyDescent="0.3">
      <c r="A159" s="886">
        <v>14</v>
      </c>
      <c r="B159" s="912" t="s">
        <v>1579</v>
      </c>
      <c r="C159" s="894" t="s">
        <v>3497</v>
      </c>
      <c r="D159" s="880" t="s">
        <v>3127</v>
      </c>
      <c r="E159" s="878"/>
      <c r="F159" s="906"/>
      <c r="G159" s="878"/>
      <c r="H159" s="906"/>
      <c r="I159" s="878"/>
    </row>
    <row r="160" spans="1:9" ht="15" customHeight="1" x14ac:dyDescent="0.25">
      <c r="A160" s="886">
        <v>15</v>
      </c>
      <c r="B160" s="887" t="s">
        <v>1549</v>
      </c>
      <c r="C160" s="893" t="s">
        <v>3497</v>
      </c>
      <c r="D160" s="880" t="s">
        <v>3128</v>
      </c>
      <c r="E160" s="878"/>
      <c r="F160" s="906"/>
      <c r="G160" s="878"/>
      <c r="H160" s="906"/>
      <c r="I160" s="878"/>
    </row>
    <row r="161" spans="1:9" ht="15" customHeight="1" x14ac:dyDescent="0.25">
      <c r="A161" s="886">
        <v>16</v>
      </c>
      <c r="B161" s="887" t="s">
        <v>1553</v>
      </c>
      <c r="C161" s="893" t="s">
        <v>3497</v>
      </c>
      <c r="D161" s="880" t="s">
        <v>3129</v>
      </c>
      <c r="E161" s="878"/>
      <c r="F161" s="906"/>
      <c r="G161" s="878"/>
      <c r="H161" s="906"/>
      <c r="I161" s="878"/>
    </row>
    <row r="162" spans="1:9" ht="15" customHeight="1" x14ac:dyDescent="0.3">
      <c r="A162" s="886">
        <v>17</v>
      </c>
      <c r="B162" s="912" t="s">
        <v>1105</v>
      </c>
      <c r="C162" s="894" t="s">
        <v>3497</v>
      </c>
      <c r="D162" s="880" t="s">
        <v>3130</v>
      </c>
      <c r="E162" s="878"/>
      <c r="F162" s="906"/>
      <c r="G162" s="878"/>
      <c r="H162" s="906"/>
      <c r="I162" s="878"/>
    </row>
    <row r="163" spans="1:9" ht="15" customHeight="1" x14ac:dyDescent="0.25">
      <c r="A163" s="886">
        <v>18</v>
      </c>
      <c r="B163" s="887" t="s">
        <v>1983</v>
      </c>
      <c r="C163" s="893" t="s">
        <v>3497</v>
      </c>
      <c r="D163" s="880" t="s">
        <v>3131</v>
      </c>
      <c r="E163" s="878"/>
      <c r="F163" s="906"/>
      <c r="G163" s="878"/>
      <c r="H163" s="906"/>
      <c r="I163" s="878"/>
    </row>
    <row r="164" spans="1:9" ht="15" customHeight="1" x14ac:dyDescent="0.25">
      <c r="A164" s="886">
        <v>19</v>
      </c>
      <c r="B164" s="887" t="s">
        <v>1963</v>
      </c>
      <c r="C164" s="893" t="s">
        <v>3497</v>
      </c>
      <c r="D164" s="880" t="s">
        <v>3132</v>
      </c>
      <c r="E164" s="878"/>
      <c r="F164" s="906"/>
      <c r="G164" s="878"/>
      <c r="H164" s="906"/>
      <c r="I164" s="878"/>
    </row>
    <row r="165" spans="1:9" ht="15" customHeight="1" x14ac:dyDescent="0.25">
      <c r="A165" s="886">
        <v>21</v>
      </c>
      <c r="B165" s="887" t="s">
        <v>1953</v>
      </c>
      <c r="C165" s="893" t="s">
        <v>3497</v>
      </c>
      <c r="D165" s="880" t="s">
        <v>3133</v>
      </c>
      <c r="E165" s="878"/>
      <c r="F165" s="906"/>
      <c r="G165" s="878" t="s">
        <v>3134</v>
      </c>
      <c r="H165" s="906"/>
      <c r="I165" s="878"/>
    </row>
    <row r="166" spans="1:9" ht="15" customHeight="1" x14ac:dyDescent="0.25">
      <c r="A166" s="886">
        <v>22</v>
      </c>
      <c r="B166" s="887" t="s">
        <v>2029</v>
      </c>
      <c r="C166" s="893" t="s">
        <v>3497</v>
      </c>
      <c r="D166" s="880" t="s">
        <v>3135</v>
      </c>
      <c r="E166" s="878"/>
      <c r="F166" s="906"/>
      <c r="G166" s="878"/>
      <c r="H166" s="906"/>
      <c r="I166" s="878"/>
    </row>
    <row r="167" spans="1:9" ht="15" customHeight="1" x14ac:dyDescent="0.3">
      <c r="A167" s="886">
        <v>23</v>
      </c>
      <c r="B167" s="912" t="s">
        <v>1556</v>
      </c>
      <c r="C167" s="894" t="s">
        <v>3497</v>
      </c>
      <c r="D167" s="880" t="s">
        <v>3136</v>
      </c>
      <c r="E167" s="878"/>
      <c r="F167" s="906"/>
      <c r="G167" s="878"/>
      <c r="H167" s="906"/>
      <c r="I167" s="878"/>
    </row>
    <row r="168" spans="1:9" ht="15" customHeight="1" x14ac:dyDescent="0.3">
      <c r="A168" s="886">
        <v>24</v>
      </c>
      <c r="B168" s="912" t="s">
        <v>1583</v>
      </c>
      <c r="C168" s="894" t="s">
        <v>3497</v>
      </c>
      <c r="D168" s="880" t="s">
        <v>3137</v>
      </c>
      <c r="E168" s="878"/>
      <c r="F168" s="906"/>
      <c r="G168" s="878"/>
      <c r="H168" s="906"/>
      <c r="I168" s="878"/>
    </row>
    <row r="169" spans="1:9" ht="15" customHeight="1" x14ac:dyDescent="0.25">
      <c r="A169" s="898">
        <v>26</v>
      </c>
      <c r="B169" s="887" t="s">
        <v>1542</v>
      </c>
      <c r="C169" s="893" t="s">
        <v>3497</v>
      </c>
      <c r="D169" s="880" t="s">
        <v>3139</v>
      </c>
      <c r="E169" s="878"/>
      <c r="F169" s="906"/>
      <c r="G169" s="878"/>
      <c r="H169" s="906"/>
      <c r="I169" s="878"/>
    </row>
    <row r="170" spans="1:9" ht="32.25" customHeight="1" x14ac:dyDescent="0.3">
      <c r="A170" s="886">
        <v>27</v>
      </c>
      <c r="B170" s="912" t="s">
        <v>2344</v>
      </c>
      <c r="C170" s="894" t="s">
        <v>3497</v>
      </c>
      <c r="D170" s="880" t="s">
        <v>3140</v>
      </c>
      <c r="E170" s="878"/>
      <c r="F170" s="906"/>
      <c r="G170" s="878"/>
      <c r="H170" s="906"/>
      <c r="I170" s="878"/>
    </row>
    <row r="171" spans="1:9" ht="15" customHeight="1" x14ac:dyDescent="0.25">
      <c r="A171" s="886">
        <v>28</v>
      </c>
      <c r="B171" s="887" t="s">
        <v>2223</v>
      </c>
      <c r="C171" s="893" t="s">
        <v>3497</v>
      </c>
      <c r="D171" s="880" t="s">
        <v>3141</v>
      </c>
      <c r="E171" s="878"/>
      <c r="F171" s="906"/>
      <c r="G171" s="878"/>
      <c r="H171" s="906"/>
      <c r="I171" s="878"/>
    </row>
    <row r="172" spans="1:9" ht="15" customHeight="1" x14ac:dyDescent="0.3">
      <c r="A172" s="886">
        <v>29</v>
      </c>
      <c r="B172" s="912" t="s">
        <v>1624</v>
      </c>
      <c r="C172" s="894" t="s">
        <v>3497</v>
      </c>
      <c r="D172" s="880" t="s">
        <v>3142</v>
      </c>
      <c r="E172" s="878"/>
      <c r="F172" s="906"/>
      <c r="G172" s="878"/>
      <c r="H172" s="906"/>
      <c r="I172" s="878"/>
    </row>
    <row r="173" spans="1:9" ht="15" customHeight="1" x14ac:dyDescent="0.25">
      <c r="A173" s="886">
        <v>30</v>
      </c>
      <c r="B173" s="887" t="s">
        <v>1858</v>
      </c>
      <c r="C173" s="893" t="s">
        <v>3497</v>
      </c>
      <c r="D173" s="880" t="s">
        <v>3118</v>
      </c>
      <c r="E173" s="878"/>
      <c r="F173" s="906"/>
      <c r="G173" s="878"/>
      <c r="H173" s="906"/>
      <c r="I173" s="878"/>
    </row>
    <row r="174" spans="1:9" ht="15" customHeight="1" x14ac:dyDescent="0.3">
      <c r="A174" s="886">
        <v>31</v>
      </c>
      <c r="B174" s="915" t="s">
        <v>83</v>
      </c>
      <c r="C174" s="894" t="s">
        <v>3497</v>
      </c>
      <c r="D174" s="880" t="s">
        <v>3143</v>
      </c>
      <c r="E174" s="878"/>
      <c r="F174" s="906"/>
      <c r="G174" s="878"/>
      <c r="H174" s="906"/>
      <c r="I174" s="878"/>
    </row>
    <row r="175" spans="1:9" ht="15" customHeight="1" x14ac:dyDescent="0.3">
      <c r="A175" s="886">
        <v>32</v>
      </c>
      <c r="B175" s="912" t="s">
        <v>1557</v>
      </c>
      <c r="C175" s="894" t="s">
        <v>3497</v>
      </c>
      <c r="D175" s="880" t="s">
        <v>3144</v>
      </c>
      <c r="E175" s="878"/>
      <c r="F175" s="906"/>
      <c r="G175" s="878"/>
      <c r="H175" s="906"/>
      <c r="I175" s="878"/>
    </row>
    <row r="176" spans="1:9" ht="15" customHeight="1" x14ac:dyDescent="0.3">
      <c r="A176" s="886">
        <v>37</v>
      </c>
      <c r="B176" s="912" t="s">
        <v>2266</v>
      </c>
      <c r="C176" s="894" t="s">
        <v>3497</v>
      </c>
      <c r="D176" s="880" t="s">
        <v>3149</v>
      </c>
      <c r="E176" s="878"/>
      <c r="F176" s="906"/>
      <c r="G176" s="878"/>
      <c r="H176" s="906"/>
      <c r="I176" s="878" t="s">
        <v>3525</v>
      </c>
    </row>
    <row r="177" spans="1:9" ht="15" customHeight="1" x14ac:dyDescent="0.25">
      <c r="A177" s="886">
        <v>38</v>
      </c>
      <c r="B177" s="895" t="s">
        <v>1350</v>
      </c>
      <c r="C177" s="894" t="s">
        <v>3497</v>
      </c>
      <c r="D177" s="880" t="s">
        <v>3150</v>
      </c>
      <c r="E177" s="878"/>
      <c r="F177" s="906"/>
      <c r="G177" s="878"/>
      <c r="H177" s="906"/>
      <c r="I177" s="878"/>
    </row>
    <row r="178" spans="1:9" ht="15" customHeight="1" x14ac:dyDescent="0.3">
      <c r="A178" s="886">
        <v>39</v>
      </c>
      <c r="B178" s="912" t="s">
        <v>300</v>
      </c>
      <c r="C178" s="894" t="s">
        <v>3497</v>
      </c>
      <c r="D178" s="880" t="s">
        <v>3151</v>
      </c>
      <c r="E178" s="878"/>
      <c r="F178" s="906"/>
      <c r="G178" s="878"/>
      <c r="H178" s="906"/>
      <c r="I178" s="878"/>
    </row>
    <row r="179" spans="1:9" ht="15" customHeight="1" x14ac:dyDescent="0.25">
      <c r="A179" s="886">
        <v>40</v>
      </c>
      <c r="B179" s="887" t="s">
        <v>1635</v>
      </c>
      <c r="C179" s="893" t="s">
        <v>3497</v>
      </c>
      <c r="D179" s="880" t="s">
        <v>3152</v>
      </c>
      <c r="E179" s="878"/>
      <c r="F179" s="906"/>
      <c r="G179" s="878" t="s">
        <v>3153</v>
      </c>
      <c r="H179" s="906"/>
      <c r="I179" s="878"/>
    </row>
    <row r="180" spans="1:9" ht="15" customHeight="1" x14ac:dyDescent="0.3">
      <c r="A180" s="886">
        <v>42</v>
      </c>
      <c r="B180" s="912" t="s">
        <v>1109</v>
      </c>
      <c r="C180" s="894" t="s">
        <v>3497</v>
      </c>
      <c r="D180" s="880" t="s">
        <v>3155</v>
      </c>
      <c r="E180" s="878"/>
      <c r="F180" s="906"/>
      <c r="G180" s="878"/>
      <c r="H180" s="906"/>
      <c r="I180" s="878"/>
    </row>
    <row r="181" spans="1:9" ht="15" customHeight="1" x14ac:dyDescent="0.25">
      <c r="A181" s="886">
        <v>43</v>
      </c>
      <c r="B181" s="895" t="s">
        <v>1524</v>
      </c>
      <c r="C181" s="894" t="s">
        <v>3497</v>
      </c>
      <c r="D181" s="899" t="s">
        <v>3156</v>
      </c>
      <c r="E181" s="878"/>
      <c r="F181" s="906"/>
      <c r="G181" s="878"/>
      <c r="H181" s="906"/>
      <c r="I181" s="878"/>
    </row>
    <row r="182" spans="1:9" ht="15" customHeight="1" x14ac:dyDescent="0.25">
      <c r="A182" s="886">
        <v>44</v>
      </c>
      <c r="B182" s="887" t="s">
        <v>1747</v>
      </c>
      <c r="C182" s="893" t="s">
        <v>3497</v>
      </c>
      <c r="D182" s="880" t="s">
        <v>3157</v>
      </c>
      <c r="E182" s="878"/>
      <c r="F182" s="906"/>
      <c r="G182" s="878"/>
      <c r="H182" s="906"/>
      <c r="I182" s="878"/>
    </row>
    <row r="183" spans="1:9" ht="15" customHeight="1" x14ac:dyDescent="0.3">
      <c r="A183" s="886">
        <v>45</v>
      </c>
      <c r="B183" s="912" t="s">
        <v>291</v>
      </c>
      <c r="C183" s="894" t="s">
        <v>3497</v>
      </c>
      <c r="D183" s="880" t="s">
        <v>3152</v>
      </c>
      <c r="E183" s="878"/>
      <c r="F183" s="906"/>
      <c r="G183" s="878"/>
      <c r="H183" s="906"/>
      <c r="I183" s="878"/>
    </row>
    <row r="184" spans="1:9" ht="15" customHeight="1" x14ac:dyDescent="0.3">
      <c r="A184" s="886">
        <v>46</v>
      </c>
      <c r="B184" s="912" t="s">
        <v>1159</v>
      </c>
      <c r="C184" s="894" t="s">
        <v>3497</v>
      </c>
      <c r="D184" s="880" t="s">
        <v>3158</v>
      </c>
      <c r="E184" s="878"/>
      <c r="F184" s="906"/>
      <c r="G184" s="878"/>
      <c r="H184" s="906"/>
      <c r="I184" s="878"/>
    </row>
    <row r="185" spans="1:9" ht="15" customHeight="1" x14ac:dyDescent="0.25">
      <c r="A185" s="886">
        <v>47</v>
      </c>
      <c r="B185" s="887" t="s">
        <v>2042</v>
      </c>
      <c r="C185" s="893" t="s">
        <v>3497</v>
      </c>
      <c r="D185" s="880" t="s">
        <v>3159</v>
      </c>
      <c r="E185" s="878"/>
      <c r="F185" s="906"/>
      <c r="G185" s="878"/>
      <c r="H185" s="906"/>
      <c r="I185" s="878"/>
    </row>
    <row r="186" spans="1:9" ht="15" customHeight="1" x14ac:dyDescent="0.3">
      <c r="A186" s="886">
        <v>48</v>
      </c>
      <c r="B186" s="912" t="s">
        <v>1115</v>
      </c>
      <c r="C186" s="894" t="s">
        <v>3497</v>
      </c>
      <c r="D186" s="880" t="s">
        <v>3160</v>
      </c>
      <c r="E186" s="878"/>
      <c r="F186" s="906"/>
      <c r="G186" s="878"/>
      <c r="H186" s="906"/>
      <c r="I186" s="878"/>
    </row>
    <row r="187" spans="1:9" ht="15" customHeight="1" x14ac:dyDescent="0.3">
      <c r="A187" s="886">
        <v>52</v>
      </c>
      <c r="B187" s="912" t="s">
        <v>1528</v>
      </c>
      <c r="C187" s="894" t="s">
        <v>3497</v>
      </c>
      <c r="D187" s="880" t="s">
        <v>3164</v>
      </c>
      <c r="E187" s="878"/>
      <c r="F187" s="906"/>
      <c r="G187" s="878"/>
      <c r="H187" s="906"/>
      <c r="I187" s="878"/>
    </row>
    <row r="188" spans="1:9" ht="15" customHeight="1" x14ac:dyDescent="0.25">
      <c r="A188" s="886">
        <v>53</v>
      </c>
      <c r="B188" s="887" t="s">
        <v>1515</v>
      </c>
      <c r="C188" s="893" t="s">
        <v>3497</v>
      </c>
      <c r="D188" s="880" t="s">
        <v>3165</v>
      </c>
      <c r="E188" s="878"/>
      <c r="F188" s="906"/>
      <c r="G188" s="878"/>
      <c r="H188" s="906"/>
      <c r="I188" s="878"/>
    </row>
    <row r="189" spans="1:9" ht="15" customHeight="1" x14ac:dyDescent="0.3">
      <c r="A189" s="886">
        <v>54</v>
      </c>
      <c r="B189" s="912" t="s">
        <v>1154</v>
      </c>
      <c r="C189" s="894" t="s">
        <v>3497</v>
      </c>
      <c r="D189" s="880" t="s">
        <v>3166</v>
      </c>
      <c r="E189" s="878"/>
      <c r="F189" s="906"/>
      <c r="G189" s="878"/>
      <c r="H189" s="906"/>
      <c r="I189" s="878"/>
    </row>
    <row r="190" spans="1:9" ht="15" customHeight="1" x14ac:dyDescent="0.3">
      <c r="A190" s="886">
        <v>55</v>
      </c>
      <c r="B190" s="912" t="s">
        <v>1593</v>
      </c>
      <c r="C190" s="894" t="s">
        <v>3497</v>
      </c>
      <c r="D190" s="880" t="s">
        <v>3138</v>
      </c>
      <c r="E190" s="878"/>
      <c r="F190" s="906"/>
      <c r="G190" s="878"/>
      <c r="H190" s="906"/>
      <c r="I190" s="878"/>
    </row>
    <row r="191" spans="1:9" ht="15" customHeight="1" x14ac:dyDescent="0.3">
      <c r="A191" s="886">
        <v>56</v>
      </c>
      <c r="B191" s="912" t="s">
        <v>175</v>
      </c>
      <c r="C191" s="894" t="s">
        <v>3497</v>
      </c>
      <c r="D191" s="880" t="s">
        <v>3167</v>
      </c>
      <c r="E191" s="878"/>
      <c r="F191" s="906"/>
      <c r="G191" s="878"/>
      <c r="H191" s="906"/>
      <c r="I191" s="878"/>
    </row>
    <row r="192" spans="1:9" ht="15" customHeight="1" x14ac:dyDescent="0.3">
      <c r="A192" s="886">
        <v>58</v>
      </c>
      <c r="B192" s="912" t="s">
        <v>553</v>
      </c>
      <c r="C192" s="894" t="s">
        <v>3497</v>
      </c>
      <c r="D192" s="880" t="s">
        <v>3168</v>
      </c>
      <c r="E192" s="878"/>
      <c r="F192" s="906"/>
      <c r="G192" s="878"/>
      <c r="H192" s="906"/>
      <c r="I192" s="878"/>
    </row>
    <row r="193" spans="1:9" ht="15" customHeight="1" x14ac:dyDescent="0.25">
      <c r="A193" s="886">
        <v>59</v>
      </c>
      <c r="B193" s="895" t="s">
        <v>1496</v>
      </c>
      <c r="C193" s="894" t="s">
        <v>3497</v>
      </c>
      <c r="D193" s="880" t="s">
        <v>3169</v>
      </c>
      <c r="E193" s="878"/>
      <c r="F193" s="906"/>
      <c r="G193" s="878"/>
      <c r="H193" s="906"/>
      <c r="I193" s="878"/>
    </row>
    <row r="194" spans="1:9" ht="15" customHeight="1" x14ac:dyDescent="0.25">
      <c r="A194" s="886">
        <v>60</v>
      </c>
      <c r="B194" s="887" t="s">
        <v>292</v>
      </c>
      <c r="C194" s="893" t="s">
        <v>3497</v>
      </c>
      <c r="D194" s="880" t="s">
        <v>3170</v>
      </c>
      <c r="E194" s="878"/>
      <c r="F194" s="906"/>
      <c r="G194" s="878"/>
      <c r="H194" s="906"/>
      <c r="I194" s="878"/>
    </row>
    <row r="195" spans="1:9" ht="15" customHeight="1" x14ac:dyDescent="0.25">
      <c r="A195" s="886">
        <v>61</v>
      </c>
      <c r="B195" s="887" t="s">
        <v>1358</v>
      </c>
      <c r="C195" s="893" t="s">
        <v>3497</v>
      </c>
      <c r="D195" s="900" t="s">
        <v>3156</v>
      </c>
      <c r="E195" s="878"/>
      <c r="F195" s="906"/>
      <c r="G195" s="878"/>
      <c r="H195" s="906"/>
      <c r="I195" s="878"/>
    </row>
    <row r="196" spans="1:9" ht="15" customHeight="1" x14ac:dyDescent="0.25">
      <c r="A196" s="886">
        <v>62</v>
      </c>
      <c r="B196" s="887" t="s">
        <v>3171</v>
      </c>
      <c r="C196" s="893" t="s">
        <v>3497</v>
      </c>
      <c r="D196" s="880" t="s">
        <v>3172</v>
      </c>
      <c r="E196" s="878"/>
      <c r="F196" s="906"/>
      <c r="G196" s="878"/>
      <c r="H196" s="906"/>
      <c r="I196" s="878"/>
    </row>
    <row r="197" spans="1:9" ht="22.5" customHeight="1" x14ac:dyDescent="0.25">
      <c r="A197" s="886">
        <v>63</v>
      </c>
      <c r="B197" s="895" t="s">
        <v>1161</v>
      </c>
      <c r="C197" s="894" t="s">
        <v>3497</v>
      </c>
      <c r="D197" s="880" t="s">
        <v>3173</v>
      </c>
      <c r="E197" s="878"/>
      <c r="F197" s="906"/>
      <c r="G197" s="878"/>
      <c r="H197" s="906"/>
      <c r="I197" s="878"/>
    </row>
    <row r="198" spans="1:9" ht="30" customHeight="1" x14ac:dyDescent="0.3">
      <c r="A198" s="886">
        <v>64</v>
      </c>
      <c r="B198" s="912" t="s">
        <v>2465</v>
      </c>
      <c r="C198" s="894" t="s">
        <v>3497</v>
      </c>
      <c r="D198" s="880" t="s">
        <v>3088</v>
      </c>
      <c r="E198" s="878"/>
      <c r="F198" s="906"/>
      <c r="G198" s="878"/>
      <c r="H198" s="906"/>
      <c r="I198" s="878"/>
    </row>
    <row r="199" spans="1:9" ht="30" customHeight="1" x14ac:dyDescent="0.25">
      <c r="A199" s="886">
        <v>65</v>
      </c>
      <c r="B199" s="887" t="s">
        <v>2375</v>
      </c>
      <c r="C199" s="893" t="s">
        <v>3497</v>
      </c>
      <c r="D199" s="880" t="s">
        <v>3150</v>
      </c>
      <c r="E199" s="878"/>
      <c r="F199" s="906"/>
      <c r="G199" s="878"/>
      <c r="H199" s="906" t="s">
        <v>3527</v>
      </c>
      <c r="I199" s="878" t="s">
        <v>3525</v>
      </c>
    </row>
    <row r="200" spans="1:9" ht="30" customHeight="1" x14ac:dyDescent="0.25">
      <c r="A200" s="886">
        <v>66</v>
      </c>
      <c r="B200" s="887" t="s">
        <v>1879</v>
      </c>
      <c r="C200" s="893" t="s">
        <v>3497</v>
      </c>
      <c r="D200" s="880" t="s">
        <v>3175</v>
      </c>
      <c r="E200" s="878"/>
      <c r="F200" s="906"/>
      <c r="G200" s="878"/>
      <c r="H200" s="906"/>
      <c r="I200" s="878"/>
    </row>
    <row r="201" spans="1:9" ht="30" customHeight="1" x14ac:dyDescent="0.25">
      <c r="A201" s="886">
        <v>68</v>
      </c>
      <c r="B201" s="887" t="s">
        <v>1355</v>
      </c>
      <c r="C201" s="893" t="s">
        <v>3497</v>
      </c>
      <c r="D201" s="880" t="s">
        <v>3177</v>
      </c>
      <c r="E201" s="878"/>
      <c r="F201" s="906"/>
      <c r="G201" s="878"/>
      <c r="H201" s="906"/>
      <c r="I201" s="878"/>
    </row>
    <row r="202" spans="1:9" ht="30" customHeight="1" x14ac:dyDescent="0.25">
      <c r="A202" s="886">
        <v>69</v>
      </c>
      <c r="B202" s="887" t="s">
        <v>2037</v>
      </c>
      <c r="C202" s="893" t="s">
        <v>3497</v>
      </c>
      <c r="D202" s="880" t="s">
        <v>3178</v>
      </c>
      <c r="E202" s="878"/>
      <c r="F202" s="906"/>
      <c r="G202" s="878"/>
      <c r="H202" s="906"/>
      <c r="I202" s="878"/>
    </row>
    <row r="203" spans="1:9" ht="30" customHeight="1" x14ac:dyDescent="0.3">
      <c r="A203" s="886">
        <v>75</v>
      </c>
      <c r="B203" s="912" t="s">
        <v>1619</v>
      </c>
      <c r="C203" s="894" t="s">
        <v>3497</v>
      </c>
      <c r="D203" s="880" t="s">
        <v>3183</v>
      </c>
      <c r="E203" s="878"/>
      <c r="F203" s="906"/>
      <c r="G203" s="878"/>
      <c r="H203" s="906" t="s">
        <v>3528</v>
      </c>
      <c r="I203" s="878" t="s">
        <v>3526</v>
      </c>
    </row>
    <row r="204" spans="1:9" ht="30" customHeight="1" x14ac:dyDescent="0.3">
      <c r="A204" s="886">
        <v>76</v>
      </c>
      <c r="B204" s="912" t="s">
        <v>1614</v>
      </c>
      <c r="C204" s="894" t="s">
        <v>3497</v>
      </c>
      <c r="D204" s="880" t="s">
        <v>3184</v>
      </c>
      <c r="E204" s="878"/>
      <c r="F204" s="906"/>
      <c r="G204" s="878"/>
      <c r="H204" s="906"/>
      <c r="I204" s="878"/>
    </row>
    <row r="205" spans="1:9" ht="30" customHeight="1" x14ac:dyDescent="0.3">
      <c r="A205" s="886">
        <v>77</v>
      </c>
      <c r="B205" s="912" t="s">
        <v>2006</v>
      </c>
      <c r="C205" s="894" t="s">
        <v>3497</v>
      </c>
      <c r="D205" s="880" t="s">
        <v>3109</v>
      </c>
      <c r="E205" s="878"/>
      <c r="F205" s="906"/>
      <c r="G205" s="878"/>
      <c r="H205" s="906"/>
      <c r="I205" s="878"/>
    </row>
    <row r="206" spans="1:9" ht="30" customHeight="1" x14ac:dyDescent="0.25">
      <c r="A206" s="886">
        <v>79</v>
      </c>
      <c r="B206" s="887" t="s">
        <v>1607</v>
      </c>
      <c r="C206" s="893" t="s">
        <v>3497</v>
      </c>
      <c r="D206" s="880" t="s">
        <v>3187</v>
      </c>
      <c r="E206" s="878"/>
      <c r="F206" s="906"/>
      <c r="G206" s="878"/>
      <c r="H206" s="906"/>
      <c r="I206" s="878"/>
    </row>
    <row r="207" spans="1:9" ht="30" customHeight="1" x14ac:dyDescent="0.3">
      <c r="A207" s="886">
        <v>81</v>
      </c>
      <c r="B207" s="912" t="s">
        <v>1353</v>
      </c>
      <c r="C207" s="894" t="s">
        <v>3497</v>
      </c>
      <c r="D207" s="880" t="s">
        <v>3189</v>
      </c>
      <c r="E207" s="878"/>
      <c r="F207" s="906"/>
      <c r="G207" s="878"/>
      <c r="H207" s="906"/>
      <c r="I207" s="878"/>
    </row>
    <row r="208" spans="1:9" ht="30" customHeight="1" x14ac:dyDescent="0.25">
      <c r="A208" s="886">
        <v>83</v>
      </c>
      <c r="B208" s="893" t="s">
        <v>206</v>
      </c>
      <c r="C208" s="893" t="s">
        <v>3497</v>
      </c>
      <c r="D208" s="880" t="s">
        <v>3097</v>
      </c>
      <c r="E208" s="878"/>
      <c r="F208" s="906"/>
      <c r="G208" s="878"/>
      <c r="H208" s="906"/>
      <c r="I208" s="878"/>
    </row>
    <row r="209" spans="1:9" ht="30" customHeight="1" x14ac:dyDescent="0.25">
      <c r="A209" s="886">
        <v>84</v>
      </c>
      <c r="B209" s="893" t="s">
        <v>171</v>
      </c>
      <c r="C209" s="893" t="s">
        <v>3497</v>
      </c>
      <c r="D209" s="880" t="s">
        <v>3191</v>
      </c>
      <c r="E209" s="878"/>
      <c r="F209" s="906"/>
      <c r="G209" s="878"/>
      <c r="H209" s="906"/>
      <c r="I209" s="878"/>
    </row>
    <row r="210" spans="1:9" ht="30" customHeight="1" x14ac:dyDescent="0.25">
      <c r="A210" s="886">
        <v>92</v>
      </c>
      <c r="B210" s="887" t="s">
        <v>2066</v>
      </c>
      <c r="C210" s="893" t="s">
        <v>3497</v>
      </c>
      <c r="D210" s="880" t="s">
        <v>3205</v>
      </c>
      <c r="E210" s="878"/>
      <c r="F210" s="906"/>
      <c r="G210" s="878"/>
      <c r="H210" s="906"/>
      <c r="I210" s="878"/>
    </row>
    <row r="211" spans="1:9" ht="30" customHeight="1" x14ac:dyDescent="0.25">
      <c r="A211" s="886">
        <v>97</v>
      </c>
      <c r="B211" s="893" t="s">
        <v>3213</v>
      </c>
      <c r="C211" s="893" t="s">
        <v>3497</v>
      </c>
      <c r="D211" s="880" t="s">
        <v>3214</v>
      </c>
      <c r="E211" s="878"/>
      <c r="F211" s="906"/>
      <c r="G211" s="878"/>
      <c r="H211" s="906"/>
      <c r="I211" s="878"/>
    </row>
    <row r="212" spans="1:9" ht="30" customHeight="1" x14ac:dyDescent="0.3">
      <c r="A212" s="886">
        <v>101</v>
      </c>
      <c r="B212" s="912" t="s">
        <v>96</v>
      </c>
      <c r="C212" s="894" t="s">
        <v>3497</v>
      </c>
      <c r="D212" s="880" t="s">
        <v>3212</v>
      </c>
      <c r="E212" s="878"/>
      <c r="F212" s="906"/>
      <c r="G212" s="878"/>
      <c r="H212" s="906"/>
      <c r="I212" s="878"/>
    </row>
    <row r="213" spans="1:9" ht="30" customHeight="1" x14ac:dyDescent="0.3">
      <c r="A213" s="886">
        <v>102</v>
      </c>
      <c r="B213" s="912" t="s">
        <v>211</v>
      </c>
      <c r="C213" s="893" t="s">
        <v>3497</v>
      </c>
      <c r="D213" s="880" t="s">
        <v>3222</v>
      </c>
      <c r="E213" s="878"/>
      <c r="F213" s="906"/>
      <c r="G213" s="878"/>
      <c r="H213" s="906"/>
      <c r="I213" s="878"/>
    </row>
    <row r="214" spans="1:9" ht="30" customHeight="1" x14ac:dyDescent="0.25">
      <c r="A214" s="886">
        <v>103</v>
      </c>
      <c r="B214" s="893" t="s">
        <v>3223</v>
      </c>
      <c r="C214" s="893" t="s">
        <v>3497</v>
      </c>
      <c r="D214" s="880" t="s">
        <v>3221</v>
      </c>
      <c r="E214" s="878"/>
      <c r="F214" s="906"/>
      <c r="G214" s="878"/>
      <c r="H214" s="906"/>
      <c r="I214" s="878"/>
    </row>
    <row r="215" spans="1:9" ht="30" customHeight="1" x14ac:dyDescent="0.25">
      <c r="A215" s="886">
        <v>104</v>
      </c>
      <c r="B215" s="893" t="s">
        <v>3224</v>
      </c>
      <c r="C215" s="893" t="s">
        <v>3497</v>
      </c>
      <c r="D215" s="880" t="s">
        <v>3225</v>
      </c>
      <c r="E215" s="878"/>
      <c r="F215" s="906"/>
      <c r="G215" s="878"/>
      <c r="H215" s="906"/>
      <c r="I215" s="878"/>
    </row>
    <row r="216" spans="1:9" ht="30" customHeight="1" x14ac:dyDescent="0.25">
      <c r="A216" s="886">
        <v>105</v>
      </c>
      <c r="B216" s="887" t="s">
        <v>1638</v>
      </c>
      <c r="C216" s="893" t="s">
        <v>3497</v>
      </c>
      <c r="D216" s="880" t="s">
        <v>3226</v>
      </c>
      <c r="E216" s="878"/>
      <c r="F216" s="906"/>
      <c r="G216" s="878"/>
      <c r="H216" s="906"/>
      <c r="I216" s="878"/>
    </row>
    <row r="217" spans="1:9" ht="30" customHeight="1" x14ac:dyDescent="0.25">
      <c r="A217" s="886">
        <v>106</v>
      </c>
      <c r="B217" s="893" t="s">
        <v>3227</v>
      </c>
      <c r="C217" s="893" t="s">
        <v>3497</v>
      </c>
      <c r="D217" s="880" t="s">
        <v>3148</v>
      </c>
      <c r="E217" s="878"/>
      <c r="F217" s="906"/>
      <c r="G217" s="878"/>
      <c r="H217" s="906"/>
      <c r="I217" s="878"/>
    </row>
    <row r="218" spans="1:9" ht="30" customHeight="1" x14ac:dyDescent="0.25">
      <c r="A218" s="886">
        <v>112</v>
      </c>
      <c r="B218" s="887" t="s">
        <v>2186</v>
      </c>
      <c r="C218" s="893" t="s">
        <v>3497</v>
      </c>
      <c r="D218" s="880" t="s">
        <v>3083</v>
      </c>
      <c r="E218" s="878"/>
      <c r="F218" s="906"/>
      <c r="G218" s="878"/>
      <c r="H218" s="906"/>
      <c r="I218" s="878"/>
    </row>
    <row r="219" spans="1:9" ht="30" customHeight="1" x14ac:dyDescent="0.3">
      <c r="A219" s="886">
        <v>115</v>
      </c>
      <c r="B219" s="912" t="s">
        <v>1536</v>
      </c>
      <c r="C219" s="894" t="s">
        <v>3497</v>
      </c>
      <c r="D219" s="880" t="s">
        <v>3240</v>
      </c>
      <c r="E219" s="878"/>
      <c r="F219" s="906"/>
      <c r="G219" s="878"/>
      <c r="H219" s="906"/>
      <c r="I219" s="878"/>
    </row>
    <row r="220" spans="1:9" ht="30" customHeight="1" x14ac:dyDescent="0.3">
      <c r="A220" s="886">
        <v>118</v>
      </c>
      <c r="B220" s="912" t="s">
        <v>1575</v>
      </c>
      <c r="C220" s="894" t="s">
        <v>3497</v>
      </c>
      <c r="D220" s="880" t="s">
        <v>3244</v>
      </c>
      <c r="E220" s="878"/>
      <c r="F220" s="906"/>
      <c r="G220" s="878"/>
      <c r="H220" s="906"/>
      <c r="I220" s="878"/>
    </row>
    <row r="221" spans="1:9" ht="30" customHeight="1" x14ac:dyDescent="0.25">
      <c r="A221" s="886">
        <v>119</v>
      </c>
      <c r="B221" s="887" t="s">
        <v>2214</v>
      </c>
      <c r="C221" s="893" t="s">
        <v>3497</v>
      </c>
      <c r="D221" s="880" t="s">
        <v>3245</v>
      </c>
      <c r="E221" s="878"/>
      <c r="F221" s="906"/>
      <c r="G221" s="878"/>
      <c r="H221" s="906"/>
      <c r="I221" s="878"/>
    </row>
    <row r="222" spans="1:9" ht="30" customHeight="1" x14ac:dyDescent="0.25">
      <c r="A222" s="886">
        <v>120</v>
      </c>
      <c r="B222" s="893" t="s">
        <v>546</v>
      </c>
      <c r="C222" s="893" t="s">
        <v>3497</v>
      </c>
      <c r="D222" s="880" t="s">
        <v>3246</v>
      </c>
      <c r="E222" s="878"/>
      <c r="F222" s="906"/>
      <c r="G222" s="878"/>
      <c r="H222" s="906"/>
      <c r="I222" s="878"/>
    </row>
    <row r="223" spans="1:9" ht="30" customHeight="1" x14ac:dyDescent="0.3">
      <c r="A223" s="886">
        <v>122</v>
      </c>
      <c r="B223" s="912" t="s">
        <v>274</v>
      </c>
      <c r="C223" s="894" t="s">
        <v>3497</v>
      </c>
      <c r="D223" s="880" t="s">
        <v>3249</v>
      </c>
      <c r="E223" s="878"/>
      <c r="F223" s="906"/>
      <c r="G223" s="878"/>
      <c r="H223" s="906"/>
      <c r="I223" s="878"/>
    </row>
    <row r="224" spans="1:9" ht="30" customHeight="1" x14ac:dyDescent="0.25">
      <c r="A224" s="886">
        <v>126</v>
      </c>
      <c r="B224" s="887" t="s">
        <v>1742</v>
      </c>
      <c r="C224" s="893" t="s">
        <v>3497</v>
      </c>
      <c r="D224" s="880" t="s">
        <v>3256</v>
      </c>
      <c r="E224" s="878"/>
      <c r="F224" s="906"/>
      <c r="G224" s="878"/>
      <c r="H224" s="906"/>
      <c r="I224" s="878"/>
    </row>
    <row r="225" spans="1:9" ht="30" customHeight="1" x14ac:dyDescent="0.25">
      <c r="A225" s="886">
        <v>127</v>
      </c>
      <c r="B225" s="887" t="s">
        <v>1998</v>
      </c>
      <c r="C225" s="893" t="s">
        <v>3497</v>
      </c>
      <c r="D225" s="880" t="s">
        <v>3094</v>
      </c>
      <c r="E225" s="878"/>
      <c r="F225" s="906"/>
      <c r="G225" s="878"/>
      <c r="H225" s="906"/>
      <c r="I225" s="878"/>
    </row>
    <row r="226" spans="1:9" ht="30" customHeight="1" x14ac:dyDescent="0.25">
      <c r="A226" s="886">
        <v>128</v>
      </c>
      <c r="B226" s="887" t="s">
        <v>1891</v>
      </c>
      <c r="C226" s="893" t="s">
        <v>3497</v>
      </c>
      <c r="D226" s="880" t="s">
        <v>3090</v>
      </c>
      <c r="E226" s="878"/>
      <c r="F226" s="906"/>
      <c r="G226" s="878"/>
      <c r="H226" s="906"/>
      <c r="I226" s="878"/>
    </row>
    <row r="227" spans="1:9" ht="30" customHeight="1" x14ac:dyDescent="0.25">
      <c r="A227" s="886">
        <v>129</v>
      </c>
      <c r="B227" s="887" t="s">
        <v>2114</v>
      </c>
      <c r="C227" s="893" t="s">
        <v>3497</v>
      </c>
      <c r="D227" s="880" t="s">
        <v>3104</v>
      </c>
      <c r="E227" s="878"/>
      <c r="F227" s="906"/>
      <c r="G227" s="878"/>
      <c r="H227" s="906"/>
      <c r="I227" s="878"/>
    </row>
    <row r="228" spans="1:9" ht="30" customHeight="1" x14ac:dyDescent="0.25">
      <c r="A228" s="886">
        <v>130</v>
      </c>
      <c r="B228" s="887" t="s">
        <v>2159</v>
      </c>
      <c r="C228" s="893" t="s">
        <v>3497</v>
      </c>
      <c r="D228" s="880" t="s">
        <v>3166</v>
      </c>
      <c r="E228" s="878"/>
      <c r="F228" s="906"/>
      <c r="G228" s="878"/>
      <c r="H228" s="906"/>
      <c r="I228" s="878"/>
    </row>
    <row r="229" spans="1:9" ht="30" customHeight="1" x14ac:dyDescent="0.3">
      <c r="A229" s="886">
        <v>131</v>
      </c>
      <c r="B229" s="912" t="s">
        <v>2353</v>
      </c>
      <c r="C229" s="894" t="s">
        <v>3497</v>
      </c>
      <c r="D229" s="880" t="s">
        <v>3257</v>
      </c>
      <c r="E229" s="878"/>
      <c r="F229" s="906"/>
      <c r="G229" s="878"/>
      <c r="H229" s="906"/>
      <c r="I229" s="878"/>
    </row>
    <row r="230" spans="1:9" ht="30" customHeight="1" x14ac:dyDescent="0.25">
      <c r="A230" s="886">
        <v>132</v>
      </c>
      <c r="B230" s="887" t="s">
        <v>2053</v>
      </c>
      <c r="C230" s="893" t="s">
        <v>3497</v>
      </c>
      <c r="D230" s="880" t="s">
        <v>3258</v>
      </c>
      <c r="E230" s="878"/>
      <c r="F230" s="906"/>
      <c r="G230" s="878"/>
      <c r="H230" s="906"/>
      <c r="I230" s="878"/>
    </row>
    <row r="231" spans="1:9" ht="30" customHeight="1" x14ac:dyDescent="0.25">
      <c r="A231" s="886">
        <v>133</v>
      </c>
      <c r="B231" s="887" t="s">
        <v>1855</v>
      </c>
      <c r="C231" s="893" t="s">
        <v>3497</v>
      </c>
      <c r="D231" s="880" t="s">
        <v>3161</v>
      </c>
      <c r="E231" s="878"/>
      <c r="F231" s="906"/>
      <c r="G231" s="878"/>
      <c r="H231" s="906"/>
      <c r="I231" s="878"/>
    </row>
    <row r="232" spans="1:9" ht="30" customHeight="1" x14ac:dyDescent="0.25">
      <c r="A232" s="886">
        <v>136</v>
      </c>
      <c r="B232" s="902" t="s">
        <v>2419</v>
      </c>
      <c r="C232" s="893" t="s">
        <v>3497</v>
      </c>
      <c r="D232" s="880" t="s">
        <v>3263</v>
      </c>
      <c r="E232" s="878"/>
      <c r="F232" s="906"/>
      <c r="G232" s="878"/>
      <c r="H232" s="906"/>
      <c r="I232" s="878"/>
    </row>
    <row r="233" spans="1:9" ht="30" customHeight="1" x14ac:dyDescent="0.25">
      <c r="A233" s="886">
        <v>137</v>
      </c>
      <c r="B233" s="887" t="s">
        <v>2107</v>
      </c>
      <c r="C233" s="893" t="s">
        <v>3497</v>
      </c>
      <c r="D233" s="880" t="s">
        <v>3264</v>
      </c>
      <c r="E233" s="878"/>
      <c r="F233" s="906"/>
      <c r="G233" s="878"/>
      <c r="H233" s="906"/>
      <c r="I233" s="878"/>
    </row>
    <row r="234" spans="1:9" ht="30" customHeight="1" x14ac:dyDescent="0.25">
      <c r="A234" s="886">
        <v>138</v>
      </c>
      <c r="B234" s="887" t="s">
        <v>1609</v>
      </c>
      <c r="C234" s="893" t="s">
        <v>3497</v>
      </c>
      <c r="D234" s="880" t="s">
        <v>3265</v>
      </c>
      <c r="E234" s="878"/>
      <c r="F234" s="906"/>
      <c r="G234" s="878"/>
      <c r="H234" s="906"/>
      <c r="I234" s="878"/>
    </row>
    <row r="235" spans="1:9" ht="30" customHeight="1" x14ac:dyDescent="0.25">
      <c r="A235" s="886">
        <v>145</v>
      </c>
      <c r="B235" s="887" t="s">
        <v>2255</v>
      </c>
      <c r="C235" s="893" t="s">
        <v>3497</v>
      </c>
      <c r="D235" s="880" t="s">
        <v>3275</v>
      </c>
      <c r="E235" s="878"/>
      <c r="F235" s="906"/>
      <c r="G235" s="878"/>
      <c r="H235" s="906"/>
      <c r="I235" s="878"/>
    </row>
    <row r="236" spans="1:9" ht="30" customHeight="1" x14ac:dyDescent="0.3">
      <c r="A236" s="886">
        <v>146</v>
      </c>
      <c r="B236" s="912" t="s">
        <v>2144</v>
      </c>
      <c r="C236" s="894" t="s">
        <v>3497</v>
      </c>
      <c r="D236" s="880" t="s">
        <v>3276</v>
      </c>
      <c r="E236" s="878"/>
      <c r="F236" s="906"/>
      <c r="G236" s="878"/>
      <c r="H236" s="906"/>
      <c r="I236" s="878"/>
    </row>
    <row r="237" spans="1:9" ht="30" customHeight="1" x14ac:dyDescent="0.25">
      <c r="A237" s="886">
        <v>147</v>
      </c>
      <c r="B237" s="887" t="s">
        <v>2219</v>
      </c>
      <c r="C237" s="893" t="s">
        <v>3497</v>
      </c>
      <c r="D237" s="880" t="s">
        <v>3189</v>
      </c>
      <c r="E237" s="878"/>
      <c r="F237" s="906"/>
      <c r="G237" s="878"/>
      <c r="H237" s="906"/>
      <c r="I237" s="878"/>
    </row>
    <row r="238" spans="1:9" ht="30" customHeight="1" x14ac:dyDescent="0.3">
      <c r="A238" s="886">
        <v>161</v>
      </c>
      <c r="B238" s="912" t="s">
        <v>135</v>
      </c>
      <c r="C238" s="894" t="s">
        <v>3497</v>
      </c>
      <c r="D238" s="880" t="s">
        <v>3295</v>
      </c>
      <c r="E238" s="878"/>
      <c r="F238" s="906"/>
      <c r="G238" s="878"/>
      <c r="H238" s="906"/>
      <c r="I238" s="878"/>
    </row>
    <row r="239" spans="1:9" ht="30" customHeight="1" x14ac:dyDescent="0.25">
      <c r="A239" s="886">
        <v>169</v>
      </c>
      <c r="B239" s="887" t="s">
        <v>1960</v>
      </c>
      <c r="C239" s="893" t="s">
        <v>3497</v>
      </c>
      <c r="D239" s="896" t="s">
        <v>3295</v>
      </c>
      <c r="E239" s="878"/>
      <c r="F239" s="906"/>
      <c r="G239" s="878"/>
      <c r="H239" s="906"/>
      <c r="I239" s="878"/>
    </row>
    <row r="240" spans="1:9" ht="30" customHeight="1" x14ac:dyDescent="0.25">
      <c r="A240" s="886">
        <v>171</v>
      </c>
      <c r="B240" s="887" t="s">
        <v>1992</v>
      </c>
      <c r="C240" s="893" t="s">
        <v>3497</v>
      </c>
      <c r="D240" s="880" t="s">
        <v>3308</v>
      </c>
      <c r="E240" s="914" t="s">
        <v>3309</v>
      </c>
      <c r="F240" s="906" t="s">
        <v>3307</v>
      </c>
      <c r="G240" s="906"/>
      <c r="H240" s="906"/>
      <c r="I240" s="878" t="s">
        <v>3307</v>
      </c>
    </row>
    <row r="241" spans="1:9" ht="30" customHeight="1" x14ac:dyDescent="0.25">
      <c r="A241" s="886">
        <v>172</v>
      </c>
      <c r="B241" s="887" t="s">
        <v>3310</v>
      </c>
      <c r="C241" s="893" t="s">
        <v>3497</v>
      </c>
      <c r="D241" s="880" t="s">
        <v>1581</v>
      </c>
      <c r="E241" s="914" t="s">
        <v>3311</v>
      </c>
      <c r="F241" s="906" t="s">
        <v>3307</v>
      </c>
      <c r="G241" s="906"/>
      <c r="H241" s="906"/>
      <c r="I241" s="878" t="s">
        <v>3307</v>
      </c>
    </row>
    <row r="242" spans="1:9" ht="30" customHeight="1" x14ac:dyDescent="0.25">
      <c r="A242" s="886">
        <v>173</v>
      </c>
      <c r="B242" s="887" t="s">
        <v>2080</v>
      </c>
      <c r="C242" s="893" t="s">
        <v>3497</v>
      </c>
      <c r="D242" s="880" t="s">
        <v>3312</v>
      </c>
      <c r="E242" s="914" t="s">
        <v>3313</v>
      </c>
      <c r="F242" s="906" t="s">
        <v>3314</v>
      </c>
      <c r="G242" s="906"/>
      <c r="H242" s="906"/>
      <c r="I242" s="878" t="s">
        <v>3314</v>
      </c>
    </row>
    <row r="243" spans="1:9" ht="30" customHeight="1" x14ac:dyDescent="0.25">
      <c r="A243" s="886">
        <v>175</v>
      </c>
      <c r="B243" s="887" t="s">
        <v>3317</v>
      </c>
      <c r="C243" s="893" t="s">
        <v>3497</v>
      </c>
      <c r="D243" s="880" t="s">
        <v>3093</v>
      </c>
      <c r="E243" s="914" t="s">
        <v>3318</v>
      </c>
      <c r="F243" s="906" t="s">
        <v>3307</v>
      </c>
      <c r="G243" s="906"/>
      <c r="H243" s="906"/>
      <c r="I243" s="878" t="s">
        <v>3307</v>
      </c>
    </row>
    <row r="244" spans="1:9" ht="30" customHeight="1" x14ac:dyDescent="0.25">
      <c r="A244" s="886">
        <v>180</v>
      </c>
      <c r="B244" s="887" t="s">
        <v>1868</v>
      </c>
      <c r="C244" s="893" t="s">
        <v>3497</v>
      </c>
      <c r="D244" s="880" t="s">
        <v>3330</v>
      </c>
      <c r="E244" s="914" t="s">
        <v>3331</v>
      </c>
      <c r="F244" s="906" t="s">
        <v>3314</v>
      </c>
      <c r="G244" s="906"/>
      <c r="H244" s="906"/>
      <c r="I244" s="878" t="s">
        <v>3314</v>
      </c>
    </row>
    <row r="245" spans="1:9" ht="30" customHeight="1" x14ac:dyDescent="0.25">
      <c r="A245" s="886">
        <v>181</v>
      </c>
      <c r="B245" s="887" t="s">
        <v>2089</v>
      </c>
      <c r="C245" s="893" t="s">
        <v>3497</v>
      </c>
      <c r="D245" s="880" t="s">
        <v>3332</v>
      </c>
      <c r="E245" s="914" t="s">
        <v>3333</v>
      </c>
      <c r="F245" s="906" t="s">
        <v>3314</v>
      </c>
      <c r="G245" s="906"/>
      <c r="H245" s="906"/>
      <c r="I245" s="878" t="s">
        <v>3314</v>
      </c>
    </row>
    <row r="246" spans="1:9" ht="30" customHeight="1" x14ac:dyDescent="0.25">
      <c r="A246" s="886">
        <v>183</v>
      </c>
      <c r="B246" s="887" t="s">
        <v>1904</v>
      </c>
      <c r="C246" s="893" t="s">
        <v>3497</v>
      </c>
      <c r="D246" s="880" t="s">
        <v>3337</v>
      </c>
      <c r="E246" s="914" t="s">
        <v>3338</v>
      </c>
      <c r="F246" s="906" t="s">
        <v>3314</v>
      </c>
      <c r="G246" s="906"/>
      <c r="H246" s="906"/>
      <c r="I246" s="878" t="s">
        <v>3314</v>
      </c>
    </row>
    <row r="247" spans="1:9" ht="30" customHeight="1" x14ac:dyDescent="0.25">
      <c r="A247" s="886">
        <v>184</v>
      </c>
      <c r="B247" s="887" t="s">
        <v>2465</v>
      </c>
      <c r="C247" s="893" t="s">
        <v>3497</v>
      </c>
      <c r="D247" s="880" t="s">
        <v>290</v>
      </c>
      <c r="E247" s="914" t="s">
        <v>3339</v>
      </c>
      <c r="F247" s="906" t="s">
        <v>3314</v>
      </c>
      <c r="G247" s="906"/>
      <c r="H247" s="906"/>
      <c r="I247" s="878" t="s">
        <v>3314</v>
      </c>
    </row>
    <row r="248" spans="1:9" ht="30" customHeight="1" x14ac:dyDescent="0.25">
      <c r="A248" s="886">
        <v>185</v>
      </c>
      <c r="B248" s="893" t="s">
        <v>399</v>
      </c>
      <c r="C248" s="893" t="s">
        <v>3497</v>
      </c>
      <c r="D248" s="880" t="s">
        <v>3340</v>
      </c>
      <c r="E248" s="914" t="s">
        <v>3341</v>
      </c>
      <c r="F248" s="906" t="s">
        <v>3307</v>
      </c>
      <c r="G248" s="906"/>
      <c r="H248" s="906"/>
      <c r="I248" s="878" t="s">
        <v>3307</v>
      </c>
    </row>
    <row r="249" spans="1:9" ht="30" customHeight="1" x14ac:dyDescent="0.25">
      <c r="A249" s="886">
        <v>186</v>
      </c>
      <c r="B249" s="887" t="s">
        <v>1473</v>
      </c>
      <c r="C249" s="893" t="s">
        <v>3497</v>
      </c>
      <c r="D249" s="880" t="s">
        <v>3342</v>
      </c>
      <c r="E249" s="914" t="s">
        <v>3343</v>
      </c>
      <c r="F249" s="906" t="s">
        <v>3307</v>
      </c>
      <c r="G249" s="906"/>
      <c r="H249" s="906"/>
      <c r="I249" s="878" t="s">
        <v>3307</v>
      </c>
    </row>
    <row r="250" spans="1:9" ht="30" customHeight="1" x14ac:dyDescent="0.25">
      <c r="A250" s="886">
        <v>188</v>
      </c>
      <c r="B250" s="893" t="s">
        <v>120</v>
      </c>
      <c r="C250" s="893" t="s">
        <v>3497</v>
      </c>
      <c r="D250" s="880" t="s">
        <v>3347</v>
      </c>
      <c r="E250" s="914" t="s">
        <v>3348</v>
      </c>
      <c r="F250" s="906" t="s">
        <v>3314</v>
      </c>
      <c r="G250" s="906"/>
      <c r="H250" s="906"/>
      <c r="I250" s="878" t="s">
        <v>3314</v>
      </c>
    </row>
    <row r="251" spans="1:9" ht="54" customHeight="1" x14ac:dyDescent="0.3">
      <c r="A251" s="886">
        <v>191</v>
      </c>
      <c r="B251" s="912" t="s">
        <v>2047</v>
      </c>
      <c r="C251" s="894" t="s">
        <v>3497</v>
      </c>
      <c r="D251" s="880" t="s">
        <v>2048</v>
      </c>
      <c r="E251" s="914" t="s">
        <v>3354</v>
      </c>
      <c r="F251" s="906" t="s">
        <v>3322</v>
      </c>
      <c r="G251" s="906"/>
      <c r="H251" s="906"/>
      <c r="I251" s="878" t="s">
        <v>3322</v>
      </c>
    </row>
    <row r="252" spans="1:9" ht="30" customHeight="1" x14ac:dyDescent="0.25">
      <c r="A252" s="886">
        <v>192</v>
      </c>
      <c r="B252" s="895" t="s">
        <v>2526</v>
      </c>
      <c r="C252" s="894" t="s">
        <v>3497</v>
      </c>
      <c r="D252" s="880" t="s">
        <v>3355</v>
      </c>
      <c r="E252" s="914" t="s">
        <v>3356</v>
      </c>
      <c r="F252" s="906" t="s">
        <v>3357</v>
      </c>
      <c r="G252" s="906"/>
      <c r="H252" s="906"/>
      <c r="I252" s="878" t="s">
        <v>3357</v>
      </c>
    </row>
    <row r="253" spans="1:9" ht="30" customHeight="1" x14ac:dyDescent="0.25">
      <c r="A253" s="886">
        <v>193</v>
      </c>
      <c r="B253" s="887" t="s">
        <v>2208</v>
      </c>
      <c r="C253" s="893" t="s">
        <v>3497</v>
      </c>
      <c r="D253" s="880" t="s">
        <v>3358</v>
      </c>
      <c r="E253" s="914" t="s">
        <v>3359</v>
      </c>
      <c r="F253" s="906" t="s">
        <v>3314</v>
      </c>
      <c r="G253" s="906"/>
      <c r="H253" s="906"/>
      <c r="I253" s="878" t="s">
        <v>3314</v>
      </c>
    </row>
    <row r="254" spans="1:9" ht="30" customHeight="1" x14ac:dyDescent="0.25">
      <c r="A254" s="886">
        <v>194</v>
      </c>
      <c r="B254" s="887" t="s">
        <v>2380</v>
      </c>
      <c r="C254" s="893" t="s">
        <v>3497</v>
      </c>
      <c r="D254" s="880" t="s">
        <v>2832</v>
      </c>
      <c r="E254" s="914" t="s">
        <v>3360</v>
      </c>
      <c r="F254" s="906" t="s">
        <v>3357</v>
      </c>
      <c r="G254" s="906"/>
      <c r="H254" s="906"/>
      <c r="I254" s="878" t="s">
        <v>3357</v>
      </c>
    </row>
    <row r="255" spans="1:9" ht="30" customHeight="1" x14ac:dyDescent="0.25">
      <c r="A255" s="886">
        <v>195</v>
      </c>
      <c r="B255" s="887" t="s">
        <v>2510</v>
      </c>
      <c r="C255" s="893" t="s">
        <v>3497</v>
      </c>
      <c r="D255" s="880" t="s">
        <v>2511</v>
      </c>
      <c r="E255" s="914" t="s">
        <v>3361</v>
      </c>
      <c r="F255" s="906" t="s">
        <v>3357</v>
      </c>
      <c r="G255" s="906"/>
      <c r="H255" s="906"/>
      <c r="I255" s="878" t="s">
        <v>3357</v>
      </c>
    </row>
    <row r="256" spans="1:9" ht="30" customHeight="1" x14ac:dyDescent="0.25">
      <c r="A256" s="886">
        <v>197</v>
      </c>
      <c r="B256" s="887" t="s">
        <v>2242</v>
      </c>
      <c r="C256" s="893" t="s">
        <v>3497</v>
      </c>
      <c r="D256" s="880" t="s">
        <v>3365</v>
      </c>
      <c r="E256" s="914" t="s">
        <v>3366</v>
      </c>
      <c r="F256" s="906" t="s">
        <v>3357</v>
      </c>
      <c r="G256" s="906"/>
      <c r="H256" s="906"/>
      <c r="I256" s="878" t="s">
        <v>3357</v>
      </c>
    </row>
    <row r="257" spans="1:9" ht="30" customHeight="1" x14ac:dyDescent="0.3">
      <c r="A257" s="886">
        <v>198</v>
      </c>
      <c r="B257" s="912" t="s">
        <v>2034</v>
      </c>
      <c r="C257" s="894" t="s">
        <v>3497</v>
      </c>
      <c r="D257" s="880" t="s">
        <v>2035</v>
      </c>
      <c r="E257" s="914" t="s">
        <v>3367</v>
      </c>
      <c r="F257" s="906" t="s">
        <v>3357</v>
      </c>
      <c r="G257" s="906"/>
      <c r="H257" s="906"/>
      <c r="I257" s="878" t="s">
        <v>3357</v>
      </c>
    </row>
    <row r="258" spans="1:9" ht="30" customHeight="1" x14ac:dyDescent="0.25">
      <c r="A258" s="886">
        <v>202</v>
      </c>
      <c r="B258" s="895" t="s">
        <v>2096</v>
      </c>
      <c r="C258" s="894" t="s">
        <v>3497</v>
      </c>
      <c r="D258" s="880" t="s">
        <v>3376</v>
      </c>
      <c r="E258" s="914" t="s">
        <v>3377</v>
      </c>
      <c r="F258" s="906" t="s">
        <v>3314</v>
      </c>
      <c r="G258" s="906"/>
      <c r="H258" s="906"/>
      <c r="I258" s="878" t="s">
        <v>3314</v>
      </c>
    </row>
    <row r="259" spans="1:9" ht="30" customHeight="1" x14ac:dyDescent="0.25">
      <c r="A259" s="886">
        <v>203</v>
      </c>
      <c r="B259" s="887" t="s">
        <v>2231</v>
      </c>
      <c r="C259" s="893" t="s">
        <v>3497</v>
      </c>
      <c r="D259" s="880" t="s">
        <v>3378</v>
      </c>
      <c r="E259" s="914" t="s">
        <v>3379</v>
      </c>
      <c r="F259" s="906" t="s">
        <v>3357</v>
      </c>
      <c r="G259" s="906"/>
      <c r="H259" s="906"/>
      <c r="I259" s="878" t="s">
        <v>3357</v>
      </c>
    </row>
    <row r="260" spans="1:9" ht="30" customHeight="1" x14ac:dyDescent="0.25">
      <c r="A260" s="886">
        <v>208</v>
      </c>
      <c r="B260" s="895" t="s">
        <v>2741</v>
      </c>
      <c r="C260" s="894" t="s">
        <v>3497</v>
      </c>
      <c r="D260" s="880" t="s">
        <v>3386</v>
      </c>
      <c r="E260" s="914" t="s">
        <v>3387</v>
      </c>
      <c r="F260" s="906" t="s">
        <v>3357</v>
      </c>
      <c r="G260" s="906"/>
      <c r="H260" s="906"/>
      <c r="I260" s="878" t="s">
        <v>3357</v>
      </c>
    </row>
    <row r="261" spans="1:9" ht="30" customHeight="1" x14ac:dyDescent="0.25">
      <c r="A261" s="886">
        <v>209</v>
      </c>
      <c r="B261" s="887" t="s">
        <v>3388</v>
      </c>
      <c r="C261" s="893" t="s">
        <v>3497</v>
      </c>
      <c r="D261" s="880" t="s">
        <v>8</v>
      </c>
      <c r="E261" s="914" t="s">
        <v>3389</v>
      </c>
      <c r="F261" s="906" t="s">
        <v>3357</v>
      </c>
      <c r="G261" s="906"/>
      <c r="H261" s="906"/>
      <c r="I261" s="878" t="s">
        <v>3357</v>
      </c>
    </row>
    <row r="262" spans="1:9" ht="30" customHeight="1" x14ac:dyDescent="0.25">
      <c r="A262" s="886">
        <v>212</v>
      </c>
      <c r="B262" s="902" t="s">
        <v>2449</v>
      </c>
      <c r="C262" s="893" t="s">
        <v>3497</v>
      </c>
      <c r="D262" s="880" t="s">
        <v>2450</v>
      </c>
      <c r="E262" s="914" t="s">
        <v>3394</v>
      </c>
      <c r="F262" s="906" t="s">
        <v>3395</v>
      </c>
      <c r="G262" s="906"/>
      <c r="H262" s="906"/>
      <c r="I262" s="878" t="s">
        <v>3395</v>
      </c>
    </row>
    <row r="263" spans="1:9" ht="30" customHeight="1" x14ac:dyDescent="0.25">
      <c r="A263" s="886">
        <v>213</v>
      </c>
      <c r="B263" s="887" t="s">
        <v>2563</v>
      </c>
      <c r="C263" s="893" t="s">
        <v>3497</v>
      </c>
      <c r="D263" s="880" t="s">
        <v>3396</v>
      </c>
      <c r="E263" s="914" t="s">
        <v>3397</v>
      </c>
      <c r="F263" s="906" t="s">
        <v>3322</v>
      </c>
      <c r="G263" s="906"/>
      <c r="H263" s="906"/>
      <c r="I263" s="878" t="s">
        <v>3322</v>
      </c>
    </row>
    <row r="264" spans="1:9" ht="30" customHeight="1" x14ac:dyDescent="0.25">
      <c r="A264" s="886">
        <v>215</v>
      </c>
      <c r="B264" s="895" t="s">
        <v>2721</v>
      </c>
      <c r="C264" s="894" t="s">
        <v>3497</v>
      </c>
      <c r="D264" s="880" t="s">
        <v>244</v>
      </c>
      <c r="E264" s="914" t="s">
        <v>3400</v>
      </c>
      <c r="F264" s="906" t="s">
        <v>3314</v>
      </c>
      <c r="G264" s="906"/>
      <c r="H264" s="906"/>
      <c r="I264" s="878" t="s">
        <v>3314</v>
      </c>
    </row>
    <row r="265" spans="1:9" ht="30" customHeight="1" x14ac:dyDescent="0.25">
      <c r="A265" s="886">
        <v>216</v>
      </c>
      <c r="B265" s="893" t="s">
        <v>163</v>
      </c>
      <c r="C265" s="893" t="s">
        <v>3497</v>
      </c>
      <c r="D265" s="880" t="s">
        <v>3401</v>
      </c>
      <c r="E265" s="914" t="s">
        <v>3402</v>
      </c>
      <c r="F265" s="906" t="s">
        <v>3314</v>
      </c>
      <c r="G265" s="906"/>
      <c r="H265" s="906"/>
      <c r="I265" s="878" t="s">
        <v>3314</v>
      </c>
    </row>
    <row r="266" spans="1:9" ht="30" customHeight="1" x14ac:dyDescent="0.25">
      <c r="A266" s="886">
        <v>217</v>
      </c>
      <c r="B266" s="887" t="s">
        <v>1887</v>
      </c>
      <c r="C266" s="893" t="s">
        <v>3497</v>
      </c>
      <c r="D266" s="880" t="s">
        <v>3403</v>
      </c>
      <c r="E266" s="914" t="s">
        <v>3404</v>
      </c>
      <c r="F266" s="906" t="s">
        <v>3357</v>
      </c>
      <c r="G266" s="906"/>
      <c r="H266" s="906"/>
      <c r="I266" s="878" t="s">
        <v>3357</v>
      </c>
    </row>
    <row r="267" spans="1:9" ht="30" customHeight="1" x14ac:dyDescent="0.3">
      <c r="A267" s="886">
        <v>219</v>
      </c>
      <c r="B267" s="912" t="s">
        <v>1754</v>
      </c>
      <c r="C267" s="894" t="s">
        <v>3497</v>
      </c>
      <c r="D267" s="880" t="s">
        <v>3408</v>
      </c>
      <c r="E267" s="914" t="s">
        <v>3409</v>
      </c>
      <c r="F267" s="906" t="s">
        <v>3322</v>
      </c>
      <c r="G267" s="906"/>
      <c r="H267" s="906"/>
      <c r="I267" s="878" t="s">
        <v>3322</v>
      </c>
    </row>
    <row r="268" spans="1:9" ht="30" customHeight="1" x14ac:dyDescent="0.25">
      <c r="A268" s="886">
        <v>225</v>
      </c>
      <c r="B268" s="893" t="s">
        <v>3419</v>
      </c>
      <c r="C268" s="893" t="s">
        <v>3497</v>
      </c>
      <c r="D268" s="880" t="s">
        <v>3420</v>
      </c>
      <c r="E268" s="914" t="s">
        <v>3421</v>
      </c>
      <c r="F268" s="906" t="s">
        <v>3357</v>
      </c>
      <c r="G268" s="906"/>
      <c r="H268" s="906"/>
      <c r="I268" s="878" t="s">
        <v>3357</v>
      </c>
    </row>
    <row r="269" spans="1:9" ht="30" customHeight="1" x14ac:dyDescent="0.25">
      <c r="A269" s="886">
        <v>226</v>
      </c>
      <c r="B269" s="887" t="s">
        <v>3422</v>
      </c>
      <c r="C269" s="893" t="s">
        <v>3497</v>
      </c>
      <c r="D269" s="880" t="s">
        <v>3423</v>
      </c>
      <c r="E269" s="914" t="s">
        <v>3424</v>
      </c>
      <c r="F269" s="906" t="s">
        <v>3357</v>
      </c>
      <c r="G269" s="906"/>
      <c r="H269" s="906"/>
      <c r="I269" s="878" t="s">
        <v>3357</v>
      </c>
    </row>
    <row r="270" spans="1:9" ht="30" customHeight="1" x14ac:dyDescent="0.25">
      <c r="A270" s="886">
        <v>227</v>
      </c>
      <c r="B270" s="887" t="s">
        <v>2227</v>
      </c>
      <c r="C270" s="893" t="s">
        <v>3497</v>
      </c>
      <c r="D270" s="880" t="s">
        <v>3342</v>
      </c>
      <c r="E270" s="914" t="s">
        <v>3425</v>
      </c>
      <c r="F270" s="906" t="s">
        <v>3357</v>
      </c>
      <c r="G270" s="906"/>
      <c r="H270" s="906"/>
      <c r="I270" s="878" t="s">
        <v>3357</v>
      </c>
    </row>
    <row r="271" spans="1:9" ht="30" customHeight="1" x14ac:dyDescent="0.25">
      <c r="A271" s="886">
        <v>228</v>
      </c>
      <c r="B271" s="887" t="s">
        <v>2429</v>
      </c>
      <c r="C271" s="893" t="s">
        <v>3497</v>
      </c>
      <c r="D271" s="880" t="s">
        <v>3426</v>
      </c>
      <c r="E271" s="914" t="s">
        <v>3427</v>
      </c>
      <c r="F271" s="906" t="s">
        <v>3314</v>
      </c>
      <c r="G271" s="906"/>
      <c r="H271" s="906"/>
      <c r="I271" s="878" t="s">
        <v>3314</v>
      </c>
    </row>
    <row r="272" spans="1:9" ht="30" customHeight="1" x14ac:dyDescent="0.25">
      <c r="A272" s="886">
        <v>230</v>
      </c>
      <c r="B272" s="887" t="s">
        <v>2427</v>
      </c>
      <c r="C272" s="893" t="s">
        <v>3497</v>
      </c>
      <c r="D272" s="880" t="s">
        <v>2428</v>
      </c>
      <c r="E272" s="914" t="s">
        <v>3430</v>
      </c>
      <c r="F272" s="906" t="s">
        <v>3395</v>
      </c>
      <c r="G272" s="906"/>
      <c r="H272" s="906"/>
      <c r="I272" s="878" t="s">
        <v>3395</v>
      </c>
    </row>
    <row r="273" spans="1:9" ht="30" customHeight="1" x14ac:dyDescent="0.25">
      <c r="A273" s="886">
        <v>231</v>
      </c>
      <c r="B273" s="887" t="s">
        <v>2459</v>
      </c>
      <c r="C273" s="893" t="s">
        <v>3497</v>
      </c>
      <c r="D273" s="880" t="s">
        <v>3431</v>
      </c>
      <c r="E273" s="914" t="s">
        <v>3432</v>
      </c>
      <c r="F273" s="906" t="s">
        <v>3395</v>
      </c>
      <c r="G273" s="906"/>
      <c r="H273" s="906"/>
      <c r="I273" s="878" t="s">
        <v>3395</v>
      </c>
    </row>
    <row r="274" spans="1:9" ht="30" customHeight="1" x14ac:dyDescent="0.25">
      <c r="A274" s="886">
        <v>232</v>
      </c>
      <c r="B274" s="887" t="s">
        <v>2744</v>
      </c>
      <c r="C274" s="893" t="s">
        <v>3497</v>
      </c>
      <c r="D274" s="880" t="s">
        <v>2745</v>
      </c>
      <c r="E274" s="914" t="s">
        <v>3433</v>
      </c>
      <c r="F274" s="906" t="s">
        <v>3322</v>
      </c>
      <c r="G274" s="906"/>
      <c r="H274" s="906"/>
      <c r="I274" s="878" t="s">
        <v>3322</v>
      </c>
    </row>
    <row r="275" spans="1:9" ht="30" customHeight="1" x14ac:dyDescent="0.25">
      <c r="A275" s="886">
        <v>233</v>
      </c>
      <c r="B275" s="887" t="s">
        <v>2436</v>
      </c>
      <c r="C275" s="893" t="s">
        <v>3497</v>
      </c>
      <c r="D275" s="880" t="s">
        <v>3434</v>
      </c>
      <c r="E275" s="914" t="s">
        <v>3435</v>
      </c>
      <c r="F275" s="906" t="s">
        <v>3395</v>
      </c>
      <c r="G275" s="906"/>
      <c r="H275" s="906"/>
      <c r="I275" s="878" t="s">
        <v>3395</v>
      </c>
    </row>
    <row r="276" spans="1:9" ht="30" customHeight="1" x14ac:dyDescent="0.25">
      <c r="A276" s="886">
        <v>234</v>
      </c>
      <c r="B276" s="887" t="s">
        <v>1969</v>
      </c>
      <c r="C276" s="893" t="s">
        <v>3497</v>
      </c>
      <c r="D276" s="880" t="s">
        <v>3436</v>
      </c>
      <c r="E276" s="914"/>
      <c r="F276" s="906" t="s">
        <v>3322</v>
      </c>
      <c r="G276" s="906"/>
      <c r="H276" s="906"/>
      <c r="I276" s="878" t="s">
        <v>3322</v>
      </c>
    </row>
    <row r="277" spans="1:9" ht="30" customHeight="1" x14ac:dyDescent="0.25">
      <c r="A277" s="886">
        <v>236</v>
      </c>
      <c r="B277" s="887" t="s">
        <v>2539</v>
      </c>
      <c r="C277" s="893" t="s">
        <v>3497</v>
      </c>
      <c r="D277" s="880" t="s">
        <v>3439</v>
      </c>
      <c r="E277" s="914" t="s">
        <v>3440</v>
      </c>
      <c r="F277" s="906" t="s">
        <v>3395</v>
      </c>
      <c r="G277" s="906"/>
      <c r="H277" s="906"/>
      <c r="I277" s="878" t="s">
        <v>3395</v>
      </c>
    </row>
    <row r="278" spans="1:9" ht="30" customHeight="1" x14ac:dyDescent="0.25">
      <c r="A278" s="886">
        <v>237</v>
      </c>
      <c r="B278" s="887" t="s">
        <v>2521</v>
      </c>
      <c r="C278" s="893" t="s">
        <v>3497</v>
      </c>
      <c r="D278" s="880" t="s">
        <v>2043</v>
      </c>
      <c r="E278" s="914" t="s">
        <v>3441</v>
      </c>
      <c r="F278" s="906" t="s">
        <v>3395</v>
      </c>
      <c r="G278" s="906"/>
      <c r="H278" s="906"/>
      <c r="I278" s="878" t="s">
        <v>3395</v>
      </c>
    </row>
    <row r="279" spans="1:9" ht="30" customHeight="1" x14ac:dyDescent="0.25">
      <c r="A279" s="886">
        <v>238</v>
      </c>
      <c r="B279" s="887" t="s">
        <v>2633</v>
      </c>
      <c r="C279" s="893" t="s">
        <v>3497</v>
      </c>
      <c r="D279" s="880" t="s">
        <v>2634</v>
      </c>
      <c r="E279" s="914" t="s">
        <v>3442</v>
      </c>
      <c r="F279" s="906" t="s">
        <v>3395</v>
      </c>
      <c r="G279" s="906"/>
      <c r="H279" s="906"/>
      <c r="I279" s="878" t="s">
        <v>3395</v>
      </c>
    </row>
    <row r="280" spans="1:9" ht="30" customHeight="1" x14ac:dyDescent="0.25">
      <c r="A280" s="886">
        <v>239</v>
      </c>
      <c r="B280" s="887" t="s">
        <v>2826</v>
      </c>
      <c r="C280" s="893" t="s">
        <v>3497</v>
      </c>
      <c r="D280" s="880" t="s">
        <v>3434</v>
      </c>
      <c r="E280" s="914" t="s">
        <v>3443</v>
      </c>
      <c r="F280" s="906" t="s">
        <v>3395</v>
      </c>
      <c r="G280" s="906"/>
      <c r="H280" s="906"/>
      <c r="I280" s="878" t="s">
        <v>3395</v>
      </c>
    </row>
    <row r="281" spans="1:9" ht="30" customHeight="1" x14ac:dyDescent="0.25">
      <c r="A281" s="886">
        <v>240</v>
      </c>
      <c r="B281" s="887" t="s">
        <v>2673</v>
      </c>
      <c r="C281" s="893" t="s">
        <v>3497</v>
      </c>
      <c r="D281" s="880" t="s">
        <v>3444</v>
      </c>
      <c r="E281" s="914" t="s">
        <v>3445</v>
      </c>
      <c r="F281" s="906" t="s">
        <v>3446</v>
      </c>
      <c r="G281" s="906"/>
      <c r="H281" s="906"/>
      <c r="I281" s="878" t="s">
        <v>3446</v>
      </c>
    </row>
    <row r="282" spans="1:9" ht="30" customHeight="1" x14ac:dyDescent="0.25">
      <c r="A282" s="886">
        <v>241</v>
      </c>
      <c r="B282" s="887" t="s">
        <v>2687</v>
      </c>
      <c r="C282" s="893" t="s">
        <v>3497</v>
      </c>
      <c r="D282" s="880" t="s">
        <v>3447</v>
      </c>
      <c r="E282" s="914" t="s">
        <v>3448</v>
      </c>
      <c r="F282" s="906" t="s">
        <v>3449</v>
      </c>
      <c r="G282" s="906"/>
      <c r="H282" s="906"/>
      <c r="I282" s="878" t="s">
        <v>3449</v>
      </c>
    </row>
    <row r="283" spans="1:9" ht="30" customHeight="1" x14ac:dyDescent="0.25">
      <c r="A283" s="886">
        <v>242</v>
      </c>
      <c r="B283" s="887" t="s">
        <v>2685</v>
      </c>
      <c r="C283" s="893" t="s">
        <v>3497</v>
      </c>
      <c r="D283" s="880" t="s">
        <v>2688</v>
      </c>
      <c r="E283" s="914" t="s">
        <v>3450</v>
      </c>
      <c r="F283" s="906" t="s">
        <v>3449</v>
      </c>
      <c r="G283" s="906"/>
      <c r="H283" s="906"/>
      <c r="I283" s="878" t="s">
        <v>3449</v>
      </c>
    </row>
    <row r="284" spans="1:9" ht="30" customHeight="1" x14ac:dyDescent="0.25">
      <c r="A284" s="886">
        <v>243</v>
      </c>
      <c r="B284" s="887" t="s">
        <v>2690</v>
      </c>
      <c r="C284" s="893" t="s">
        <v>3497</v>
      </c>
      <c r="D284" s="880" t="s">
        <v>2691</v>
      </c>
      <c r="E284" s="914" t="s">
        <v>3451</v>
      </c>
      <c r="F284" s="906" t="s">
        <v>3449</v>
      </c>
      <c r="G284" s="906"/>
      <c r="H284" s="906"/>
      <c r="I284" s="878" t="s">
        <v>3449</v>
      </c>
    </row>
    <row r="285" spans="1:9" ht="30" customHeight="1" x14ac:dyDescent="0.25">
      <c r="A285" s="886">
        <v>245</v>
      </c>
      <c r="B285" s="887" t="s">
        <v>2475</v>
      </c>
      <c r="C285" s="893" t="s">
        <v>3497</v>
      </c>
      <c r="D285" s="880" t="s">
        <v>3453</v>
      </c>
      <c r="E285" s="914" t="s">
        <v>3454</v>
      </c>
      <c r="F285" s="906" t="s">
        <v>3446</v>
      </c>
      <c r="G285" s="906"/>
      <c r="H285" s="906"/>
      <c r="I285" s="878" t="s">
        <v>3446</v>
      </c>
    </row>
    <row r="286" spans="1:9" ht="30" customHeight="1" x14ac:dyDescent="0.3">
      <c r="A286" s="886">
        <v>246</v>
      </c>
      <c r="B286" s="912" t="s">
        <v>2629</v>
      </c>
      <c r="C286" s="894" t="s">
        <v>3497</v>
      </c>
      <c r="D286" s="880" t="s">
        <v>2630</v>
      </c>
      <c r="E286" s="914" t="s">
        <v>3455</v>
      </c>
      <c r="F286" s="906" t="s">
        <v>3395</v>
      </c>
      <c r="G286" s="906"/>
      <c r="H286" s="906"/>
      <c r="I286" s="878" t="s">
        <v>3395</v>
      </c>
    </row>
    <row r="287" spans="1:9" ht="30" customHeight="1" x14ac:dyDescent="0.25">
      <c r="A287" s="886">
        <v>247</v>
      </c>
      <c r="B287" s="887" t="s">
        <v>2829</v>
      </c>
      <c r="C287" s="893" t="s">
        <v>3497</v>
      </c>
      <c r="D287" s="880" t="s">
        <v>3431</v>
      </c>
      <c r="E287" s="914" t="s">
        <v>3456</v>
      </c>
      <c r="F287" s="906" t="s">
        <v>3395</v>
      </c>
      <c r="G287" s="906"/>
      <c r="H287" s="906"/>
      <c r="I287" s="878" t="s">
        <v>3395</v>
      </c>
    </row>
    <row r="288" spans="1:9" ht="30" customHeight="1" x14ac:dyDescent="0.25">
      <c r="A288" s="886">
        <v>248</v>
      </c>
      <c r="B288" s="887" t="s">
        <v>2500</v>
      </c>
      <c r="C288" s="893" t="s">
        <v>3497</v>
      </c>
      <c r="D288" s="880" t="s">
        <v>3457</v>
      </c>
      <c r="E288" s="914" t="s">
        <v>3458</v>
      </c>
      <c r="F288" s="906" t="s">
        <v>3446</v>
      </c>
      <c r="G288" s="906"/>
      <c r="H288" s="906"/>
      <c r="I288" s="878" t="s">
        <v>3446</v>
      </c>
    </row>
    <row r="289" spans="1:9" ht="30" customHeight="1" x14ac:dyDescent="0.3">
      <c r="A289" s="886">
        <v>249</v>
      </c>
      <c r="B289" s="912" t="s">
        <v>2480</v>
      </c>
      <c r="C289" s="894" t="s">
        <v>3497</v>
      </c>
      <c r="D289" s="880" t="s">
        <v>2481</v>
      </c>
      <c r="E289" s="914" t="s">
        <v>3459</v>
      </c>
      <c r="F289" s="906" t="s">
        <v>3446</v>
      </c>
      <c r="G289" s="906"/>
      <c r="H289" s="906" t="s">
        <v>3530</v>
      </c>
      <c r="I289" s="878" t="s">
        <v>3526</v>
      </c>
    </row>
    <row r="290" spans="1:9" ht="30" customHeight="1" x14ac:dyDescent="0.25">
      <c r="A290" s="886">
        <v>250</v>
      </c>
      <c r="B290" s="887" t="s">
        <v>2490</v>
      </c>
      <c r="C290" s="893" t="s">
        <v>3497</v>
      </c>
      <c r="D290" s="880" t="s">
        <v>3460</v>
      </c>
      <c r="E290" s="914" t="s">
        <v>3461</v>
      </c>
      <c r="F290" s="906" t="s">
        <v>3446</v>
      </c>
      <c r="G290" s="906"/>
      <c r="H290" s="906"/>
      <c r="I290" s="878" t="s">
        <v>3446</v>
      </c>
    </row>
    <row r="291" spans="1:9" ht="30" customHeight="1" x14ac:dyDescent="0.25">
      <c r="A291" s="886">
        <v>251</v>
      </c>
      <c r="B291" s="887" t="s">
        <v>2483</v>
      </c>
      <c r="C291" s="893" t="s">
        <v>3497</v>
      </c>
      <c r="D291" s="880" t="s">
        <v>3462</v>
      </c>
      <c r="E291" s="914" t="s">
        <v>3463</v>
      </c>
      <c r="F291" s="906" t="s">
        <v>3395</v>
      </c>
      <c r="G291" s="906"/>
      <c r="H291" s="906"/>
      <c r="I291" s="878" t="s">
        <v>3395</v>
      </c>
    </row>
    <row r="292" spans="1:9" ht="30" customHeight="1" x14ac:dyDescent="0.25">
      <c r="A292" s="886">
        <v>252</v>
      </c>
      <c r="B292" s="887" t="s">
        <v>2496</v>
      </c>
      <c r="C292" s="893" t="s">
        <v>3497</v>
      </c>
      <c r="D292" s="880" t="s">
        <v>3464</v>
      </c>
      <c r="E292" s="914" t="s">
        <v>3465</v>
      </c>
      <c r="F292" s="906" t="s">
        <v>3395</v>
      </c>
      <c r="G292" s="906"/>
      <c r="H292" s="906"/>
      <c r="I292" s="878" t="s">
        <v>3395</v>
      </c>
    </row>
    <row r="293" spans="1:9" ht="30" customHeight="1" x14ac:dyDescent="0.25">
      <c r="A293" s="886">
        <v>253</v>
      </c>
      <c r="B293" s="887" t="s">
        <v>2476</v>
      </c>
      <c r="C293" s="893" t="s">
        <v>3497</v>
      </c>
      <c r="D293" s="880" t="s">
        <v>3466</v>
      </c>
      <c r="E293" s="914" t="s">
        <v>3467</v>
      </c>
      <c r="F293" s="906" t="s">
        <v>3395</v>
      </c>
      <c r="G293" s="906"/>
      <c r="H293" s="906"/>
      <c r="I293" s="878" t="s">
        <v>3395</v>
      </c>
    </row>
    <row r="294" spans="1:9" ht="30" customHeight="1" x14ac:dyDescent="0.25">
      <c r="A294" s="886">
        <v>254</v>
      </c>
      <c r="B294" s="887" t="s">
        <v>2425</v>
      </c>
      <c r="C294" s="893" t="s">
        <v>3497</v>
      </c>
      <c r="D294" s="880" t="s">
        <v>1534</v>
      </c>
      <c r="E294" s="914" t="s">
        <v>3468</v>
      </c>
      <c r="F294" s="906" t="s">
        <v>3395</v>
      </c>
      <c r="G294" s="906"/>
      <c r="H294" s="906"/>
      <c r="I294" s="878" t="s">
        <v>3395</v>
      </c>
    </row>
    <row r="295" spans="1:9" ht="30" customHeight="1" x14ac:dyDescent="0.25">
      <c r="A295" s="886">
        <v>255</v>
      </c>
      <c r="B295" s="887" t="s">
        <v>2457</v>
      </c>
      <c r="C295" s="893" t="s">
        <v>3497</v>
      </c>
      <c r="D295" s="880" t="s">
        <v>3469</v>
      </c>
      <c r="E295" s="914" t="s">
        <v>3470</v>
      </c>
      <c r="F295" s="906" t="s">
        <v>3449</v>
      </c>
      <c r="G295" s="906"/>
      <c r="H295" s="906"/>
      <c r="I295" s="878" t="s">
        <v>3449</v>
      </c>
    </row>
    <row r="296" spans="1:9" ht="30" customHeight="1" x14ac:dyDescent="0.25">
      <c r="A296" s="886">
        <v>256</v>
      </c>
      <c r="B296" s="887" t="s">
        <v>2486</v>
      </c>
      <c r="C296" s="893" t="s">
        <v>3497</v>
      </c>
      <c r="D296" s="880" t="s">
        <v>2641</v>
      </c>
      <c r="E296" s="914" t="s">
        <v>3471</v>
      </c>
      <c r="F296" s="906" t="s">
        <v>3449</v>
      </c>
      <c r="G296" s="906"/>
      <c r="H296" s="906"/>
      <c r="I296" s="878" t="s">
        <v>3449</v>
      </c>
    </row>
    <row r="297" spans="1:9" ht="30" customHeight="1" x14ac:dyDescent="0.25">
      <c r="A297" s="886">
        <v>257</v>
      </c>
      <c r="B297" s="887" t="s">
        <v>2424</v>
      </c>
      <c r="C297" s="893" t="s">
        <v>3497</v>
      </c>
      <c r="D297" s="880" t="s">
        <v>3472</v>
      </c>
      <c r="E297" s="914" t="s">
        <v>3473</v>
      </c>
      <c r="F297" s="906" t="s">
        <v>3449</v>
      </c>
      <c r="G297" s="906"/>
      <c r="H297" s="906"/>
      <c r="I297" s="878" t="s">
        <v>3449</v>
      </c>
    </row>
    <row r="298" spans="1:9" ht="30" customHeight="1" x14ac:dyDescent="0.25">
      <c r="A298" s="886">
        <v>258</v>
      </c>
      <c r="B298" s="887" t="s">
        <v>2492</v>
      </c>
      <c r="C298" s="893" t="s">
        <v>3497</v>
      </c>
      <c r="D298" s="880" t="s">
        <v>2493</v>
      </c>
      <c r="E298" s="914" t="s">
        <v>3474</v>
      </c>
      <c r="F298" s="906" t="s">
        <v>3446</v>
      </c>
      <c r="G298" s="906"/>
      <c r="H298" s="906"/>
      <c r="I298" s="878" t="s">
        <v>3446</v>
      </c>
    </row>
    <row r="299" spans="1:9" ht="30" customHeight="1" x14ac:dyDescent="0.25">
      <c r="A299" s="886">
        <v>259</v>
      </c>
      <c r="B299" s="887" t="s">
        <v>2531</v>
      </c>
      <c r="C299" s="893" t="s">
        <v>3497</v>
      </c>
      <c r="D299" s="880" t="s">
        <v>3475</v>
      </c>
      <c r="E299" s="914" t="s">
        <v>3476</v>
      </c>
      <c r="F299" s="906" t="s">
        <v>3395</v>
      </c>
      <c r="G299" s="906"/>
      <c r="H299" s="906"/>
      <c r="I299" s="878" t="s">
        <v>3395</v>
      </c>
    </row>
    <row r="300" spans="1:9" ht="30" customHeight="1" x14ac:dyDescent="0.3">
      <c r="A300" s="886">
        <v>260</v>
      </c>
      <c r="B300" s="912" t="s">
        <v>2422</v>
      </c>
      <c r="C300" s="894" t="s">
        <v>3497</v>
      </c>
      <c r="D300" s="880" t="s">
        <v>3477</v>
      </c>
      <c r="E300" s="914" t="s">
        <v>3478</v>
      </c>
      <c r="F300" s="906" t="s">
        <v>3479</v>
      </c>
      <c r="G300" s="906"/>
      <c r="H300" s="906" t="s">
        <v>3528</v>
      </c>
      <c r="I300" s="878" t="s">
        <v>3526</v>
      </c>
    </row>
    <row r="301" spans="1:9" ht="26.4" x14ac:dyDescent="0.3">
      <c r="A301" s="886">
        <v>261</v>
      </c>
      <c r="B301" s="912" t="s">
        <v>2412</v>
      </c>
      <c r="C301" s="894" t="s">
        <v>3497</v>
      </c>
      <c r="D301" s="880" t="s">
        <v>86</v>
      </c>
      <c r="E301" s="914" t="s">
        <v>3480</v>
      </c>
      <c r="F301" s="906" t="s">
        <v>3479</v>
      </c>
      <c r="G301" s="906"/>
      <c r="H301" s="906" t="s">
        <v>3528</v>
      </c>
      <c r="I301" s="878" t="s">
        <v>3526</v>
      </c>
    </row>
    <row r="302" spans="1:9" ht="26.4" x14ac:dyDescent="0.3">
      <c r="A302" s="886">
        <v>262</v>
      </c>
      <c r="B302" s="912" t="s">
        <v>2711</v>
      </c>
      <c r="C302" s="894" t="s">
        <v>3497</v>
      </c>
      <c r="D302" s="880" t="s">
        <v>3481</v>
      </c>
      <c r="E302" s="914" t="s">
        <v>3482</v>
      </c>
      <c r="F302" s="906" t="s">
        <v>3479</v>
      </c>
      <c r="G302" s="906"/>
      <c r="H302" s="906" t="s">
        <v>3528</v>
      </c>
      <c r="I302" s="878" t="s">
        <v>3526</v>
      </c>
    </row>
    <row r="303" spans="1:9" ht="26.4" x14ac:dyDescent="0.3">
      <c r="A303" s="886">
        <v>263</v>
      </c>
      <c r="B303" s="912" t="s">
        <v>2762</v>
      </c>
      <c r="C303" s="894" t="s">
        <v>3497</v>
      </c>
      <c r="D303" s="880" t="s">
        <v>3483</v>
      </c>
      <c r="E303" s="914" t="s">
        <v>3484</v>
      </c>
      <c r="F303" s="906" t="s">
        <v>3479</v>
      </c>
      <c r="G303" s="906"/>
      <c r="H303" s="906" t="s">
        <v>3528</v>
      </c>
      <c r="I303" s="878" t="s">
        <v>3526</v>
      </c>
    </row>
    <row r="304" spans="1:9" ht="26.4" x14ac:dyDescent="0.3">
      <c r="A304" s="886">
        <v>264</v>
      </c>
      <c r="B304" s="912" t="s">
        <v>2772</v>
      </c>
      <c r="C304" s="894" t="s">
        <v>3497</v>
      </c>
      <c r="D304" s="880" t="s">
        <v>3485</v>
      </c>
      <c r="E304" s="914" t="s">
        <v>3486</v>
      </c>
      <c r="F304" s="906" t="s">
        <v>3479</v>
      </c>
      <c r="G304" s="906"/>
      <c r="H304" s="906" t="s">
        <v>3528</v>
      </c>
      <c r="I304" s="878" t="s">
        <v>3526</v>
      </c>
    </row>
    <row r="305" spans="1:9" ht="26.4" x14ac:dyDescent="0.3">
      <c r="A305" s="886">
        <v>266</v>
      </c>
      <c r="B305" s="912" t="s">
        <v>2478</v>
      </c>
      <c r="C305" s="894" t="s">
        <v>3497</v>
      </c>
      <c r="D305" s="880" t="s">
        <v>22</v>
      </c>
      <c r="E305" s="914" t="s">
        <v>3489</v>
      </c>
      <c r="F305" s="906" t="s">
        <v>3314</v>
      </c>
      <c r="G305" s="906"/>
      <c r="H305" s="906" t="s">
        <v>3532</v>
      </c>
      <c r="I305" s="878" t="s">
        <v>3314</v>
      </c>
    </row>
    <row r="306" spans="1:9" x14ac:dyDescent="0.25">
      <c r="A306" s="886">
        <v>271</v>
      </c>
      <c r="B306" s="903" t="s">
        <v>1535</v>
      </c>
      <c r="C306" s="893" t="s">
        <v>3497</v>
      </c>
      <c r="D306" s="880" t="s">
        <v>3495</v>
      </c>
      <c r="E306" s="878" t="s">
        <v>1087</v>
      </c>
      <c r="F306" s="906"/>
      <c r="G306" s="906"/>
      <c r="H306" s="906"/>
      <c r="I306" s="878"/>
    </row>
    <row r="307" spans="1:9" x14ac:dyDescent="0.25">
      <c r="A307" s="886">
        <v>272</v>
      </c>
      <c r="B307" s="904" t="s">
        <v>305</v>
      </c>
      <c r="C307" s="893" t="s">
        <v>3497</v>
      </c>
      <c r="D307" s="880" t="s">
        <v>3496</v>
      </c>
      <c r="E307" s="878"/>
      <c r="F307" s="906"/>
      <c r="G307" s="906"/>
      <c r="H307" s="906"/>
      <c r="I307" s="878"/>
    </row>
    <row r="308" spans="1:9" x14ac:dyDescent="0.25">
      <c r="A308" s="886">
        <v>273</v>
      </c>
      <c r="B308" s="904" t="s">
        <v>299</v>
      </c>
      <c r="C308" s="893" t="s">
        <v>3497</v>
      </c>
      <c r="D308" s="888" t="s">
        <v>1048</v>
      </c>
      <c r="E308" s="878"/>
      <c r="F308" s="906"/>
      <c r="G308" s="906"/>
      <c r="H308" s="906"/>
      <c r="I308" s="878"/>
    </row>
    <row r="309" spans="1:9" x14ac:dyDescent="0.25">
      <c r="A309" s="886">
        <v>274</v>
      </c>
      <c r="B309" s="903" t="s">
        <v>304</v>
      </c>
      <c r="C309" s="893" t="s">
        <v>3497</v>
      </c>
      <c r="D309" s="888" t="s">
        <v>1005</v>
      </c>
      <c r="E309" s="878"/>
      <c r="F309" s="906"/>
      <c r="G309" s="906"/>
      <c r="H309" s="906"/>
      <c r="I309" s="878"/>
    </row>
    <row r="310" spans="1:9" x14ac:dyDescent="0.25">
      <c r="A310" s="886">
        <v>275</v>
      </c>
      <c r="B310" s="889" t="s">
        <v>127</v>
      </c>
      <c r="C310" s="893" t="s">
        <v>3497</v>
      </c>
      <c r="D310" s="890" t="s">
        <v>128</v>
      </c>
      <c r="E310" s="878"/>
      <c r="F310" s="906"/>
      <c r="G310" s="906"/>
      <c r="H310" s="906"/>
      <c r="I310" s="878"/>
    </row>
    <row r="311" spans="1:9" x14ac:dyDescent="0.25">
      <c r="A311" s="886">
        <v>276</v>
      </c>
      <c r="B311" s="889" t="s">
        <v>35</v>
      </c>
      <c r="C311" s="893" t="s">
        <v>3497</v>
      </c>
      <c r="D311" s="890" t="s">
        <v>36</v>
      </c>
      <c r="E311" s="878"/>
      <c r="F311" s="906"/>
      <c r="G311" s="906"/>
      <c r="H311" s="906"/>
      <c r="I311" s="878"/>
    </row>
    <row r="312" spans="1:9" ht="26.4" x14ac:dyDescent="0.25">
      <c r="A312" s="886">
        <v>277</v>
      </c>
      <c r="B312" s="889" t="s">
        <v>47</v>
      </c>
      <c r="C312" s="893" t="s">
        <v>3497</v>
      </c>
      <c r="D312" s="890" t="s">
        <v>48</v>
      </c>
      <c r="E312" s="878"/>
      <c r="F312" s="906"/>
      <c r="G312" s="906"/>
      <c r="H312" s="906"/>
      <c r="I312" s="878"/>
    </row>
    <row r="313" spans="1:9" x14ac:dyDescent="0.25">
      <c r="A313" s="886">
        <v>278</v>
      </c>
      <c r="B313" s="889" t="s">
        <v>42</v>
      </c>
      <c r="C313" s="893" t="s">
        <v>3497</v>
      </c>
      <c r="D313" s="890" t="s">
        <v>43</v>
      </c>
      <c r="E313" s="878"/>
      <c r="F313" s="906"/>
      <c r="G313" s="906"/>
      <c r="H313" s="906"/>
      <c r="I313" s="878"/>
    </row>
    <row r="314" spans="1:9" ht="26.4" x14ac:dyDescent="0.25">
      <c r="A314" s="886">
        <v>279</v>
      </c>
      <c r="B314" s="889" t="s">
        <v>67</v>
      </c>
      <c r="C314" s="893" t="s">
        <v>3497</v>
      </c>
      <c r="D314" s="888" t="s">
        <v>68</v>
      </c>
      <c r="E314" s="878"/>
      <c r="F314" s="906"/>
      <c r="G314" s="906"/>
      <c r="H314" s="906"/>
      <c r="I314" s="878"/>
    </row>
    <row r="315" spans="1:9" ht="26.4" x14ac:dyDescent="0.25">
      <c r="A315" s="886">
        <v>280</v>
      </c>
      <c r="B315" s="889" t="s">
        <v>71</v>
      </c>
      <c r="C315" s="893" t="s">
        <v>3497</v>
      </c>
      <c r="D315" s="890" t="s">
        <v>1028</v>
      </c>
      <c r="E315" s="878"/>
      <c r="F315" s="906"/>
      <c r="G315" s="906"/>
      <c r="H315" s="906"/>
      <c r="I315" s="878"/>
    </row>
    <row r="316" spans="1:9" x14ac:dyDescent="0.25">
      <c r="A316" s="886">
        <v>281</v>
      </c>
      <c r="B316" s="889" t="s">
        <v>399</v>
      </c>
      <c r="C316" s="893" t="s">
        <v>3497</v>
      </c>
      <c r="D316" s="888" t="s">
        <v>424</v>
      </c>
      <c r="E316" s="878"/>
      <c r="F316" s="906"/>
      <c r="G316" s="906"/>
      <c r="H316" s="906"/>
      <c r="I316" s="878"/>
    </row>
    <row r="317" spans="1:9" ht="26.4" x14ac:dyDescent="0.3">
      <c r="A317" s="886">
        <v>282</v>
      </c>
      <c r="B317" s="922" t="s">
        <v>2076</v>
      </c>
      <c r="C317" s="880" t="s">
        <v>3497</v>
      </c>
      <c r="D317" s="880" t="s">
        <v>3516</v>
      </c>
      <c r="E317" s="878" t="s">
        <v>3517</v>
      </c>
      <c r="F317" s="906" t="s">
        <v>3518</v>
      </c>
      <c r="G317" s="906"/>
      <c r="H317" s="906"/>
      <c r="I317" s="878" t="s">
        <v>3525</v>
      </c>
    </row>
    <row r="318" spans="1:9" x14ac:dyDescent="0.25">
      <c r="A318" s="886">
        <v>283</v>
      </c>
      <c r="B318" s="904" t="s">
        <v>262</v>
      </c>
      <c r="C318" s="880" t="s">
        <v>3497</v>
      </c>
      <c r="D318" s="880" t="s">
        <v>3519</v>
      </c>
      <c r="E318" s="878"/>
      <c r="F318" s="906"/>
      <c r="G318" s="906"/>
      <c r="H318" s="906"/>
      <c r="I318" s="878"/>
    </row>
    <row r="319" spans="1:9" x14ac:dyDescent="0.25">
      <c r="A319" s="886">
        <v>284</v>
      </c>
      <c r="B319" s="904" t="s">
        <v>282</v>
      </c>
      <c r="C319" s="880" t="s">
        <v>3497</v>
      </c>
      <c r="D319" s="880" t="s">
        <v>3169</v>
      </c>
      <c r="E319" s="878"/>
      <c r="F319" s="906"/>
      <c r="G319" s="906"/>
      <c r="H319" s="906"/>
      <c r="I319" s="878"/>
    </row>
    <row r="320" spans="1:9" x14ac:dyDescent="0.25">
      <c r="A320" s="886">
        <v>285</v>
      </c>
      <c r="B320" s="904" t="s">
        <v>1157</v>
      </c>
      <c r="C320" s="880" t="s">
        <v>3497</v>
      </c>
      <c r="D320" s="880" t="s">
        <v>22</v>
      </c>
      <c r="E320" s="878"/>
      <c r="F320" s="906"/>
      <c r="G320" s="906"/>
      <c r="H320" s="906"/>
      <c r="I320" s="878"/>
    </row>
    <row r="321" spans="1:9" x14ac:dyDescent="0.25">
      <c r="A321" s="886">
        <v>286</v>
      </c>
      <c r="B321" s="904" t="s">
        <v>1112</v>
      </c>
      <c r="C321" s="880" t="s">
        <v>3497</v>
      </c>
      <c r="D321" s="880" t="s">
        <v>3520</v>
      </c>
      <c r="E321" s="878"/>
      <c r="F321" s="906"/>
      <c r="G321" s="906"/>
      <c r="H321" s="906"/>
      <c r="I321" s="878"/>
    </row>
    <row r="322" spans="1:9" x14ac:dyDescent="0.25">
      <c r="A322" s="886">
        <v>287</v>
      </c>
      <c r="B322" s="904" t="s">
        <v>1860</v>
      </c>
      <c r="C322" s="880" t="s">
        <v>3497</v>
      </c>
      <c r="D322" s="880" t="s">
        <v>3521</v>
      </c>
      <c r="E322" s="878"/>
      <c r="F322" s="906"/>
      <c r="G322" s="906"/>
      <c r="H322" s="906"/>
      <c r="I322" s="878"/>
    </row>
    <row r="323" spans="1:9" x14ac:dyDescent="0.25">
      <c r="A323" s="886">
        <v>288</v>
      </c>
      <c r="B323" s="904" t="s">
        <v>2022</v>
      </c>
      <c r="C323" s="880" t="s">
        <v>3497</v>
      </c>
      <c r="D323" s="880" t="s">
        <v>3522</v>
      </c>
      <c r="E323" s="878"/>
      <c r="F323" s="906"/>
      <c r="G323" s="906"/>
      <c r="H323" s="906"/>
      <c r="I323" s="878"/>
    </row>
    <row r="324" spans="1:9" ht="26.4" x14ac:dyDescent="0.3">
      <c r="A324" s="886">
        <v>289</v>
      </c>
      <c r="B324" s="922" t="s">
        <v>2026</v>
      </c>
      <c r="C324" s="880" t="s">
        <v>3497</v>
      </c>
      <c r="D324" s="880" t="s">
        <v>2027</v>
      </c>
      <c r="E324" s="878"/>
      <c r="F324" s="906"/>
      <c r="G324" s="891" t="s">
        <v>3528</v>
      </c>
      <c r="H324" s="906"/>
      <c r="I324" s="892" t="s">
        <v>3526</v>
      </c>
    </row>
    <row r="325" spans="1:9" ht="26.4" x14ac:dyDescent="0.3">
      <c r="A325" s="886">
        <v>290</v>
      </c>
      <c r="B325" s="922" t="s">
        <v>2445</v>
      </c>
      <c r="C325" s="880" t="s">
        <v>3497</v>
      </c>
      <c r="D325" s="880" t="s">
        <v>15</v>
      </c>
      <c r="E325" s="878"/>
      <c r="F325" s="906"/>
      <c r="G325" s="891" t="s">
        <v>3533</v>
      </c>
      <c r="H325" s="906"/>
      <c r="I325" s="892" t="s">
        <v>3526</v>
      </c>
    </row>
    <row r="326" spans="1:9" ht="14.4" x14ac:dyDescent="0.25">
      <c r="A326" s="917">
        <v>331</v>
      </c>
      <c r="B326" s="919" t="s">
        <v>197</v>
      </c>
      <c r="C326" s="916" t="s">
        <v>3497</v>
      </c>
      <c r="D326" s="916" t="s">
        <v>198</v>
      </c>
      <c r="E326" s="917"/>
      <c r="F326" s="918"/>
      <c r="G326" s="918"/>
      <c r="H326" s="918"/>
      <c r="I326" s="917"/>
    </row>
    <row r="327" spans="1:9" ht="14.4" x14ac:dyDescent="0.25">
      <c r="A327" s="917">
        <v>331</v>
      </c>
      <c r="B327" s="919" t="s">
        <v>80</v>
      </c>
      <c r="C327" s="916" t="s">
        <v>3497</v>
      </c>
      <c r="D327" s="916" t="s">
        <v>3562</v>
      </c>
      <c r="E327" s="917"/>
      <c r="F327" s="918"/>
      <c r="G327" s="918"/>
      <c r="H327" s="918"/>
      <c r="I327" s="917"/>
    </row>
    <row r="328" spans="1:9" ht="26.4" x14ac:dyDescent="0.25">
      <c r="A328" s="917">
        <v>332</v>
      </c>
      <c r="B328" s="919" t="s">
        <v>151</v>
      </c>
      <c r="C328" s="916" t="s">
        <v>3497</v>
      </c>
      <c r="D328" s="920" t="s">
        <v>152</v>
      </c>
      <c r="E328" s="917"/>
      <c r="F328" s="918"/>
      <c r="G328" s="918"/>
      <c r="H328" s="918"/>
      <c r="I328" s="917"/>
    </row>
    <row r="329" spans="1:9" ht="14.4" x14ac:dyDescent="0.25">
      <c r="A329" s="917">
        <v>333</v>
      </c>
      <c r="B329" s="919" t="s">
        <v>87</v>
      </c>
      <c r="C329" s="916" t="s">
        <v>3497</v>
      </c>
      <c r="D329" s="916" t="s">
        <v>435</v>
      </c>
      <c r="E329" s="917"/>
      <c r="F329" s="918"/>
      <c r="G329" s="918"/>
      <c r="H329" s="918"/>
      <c r="I329" s="917"/>
    </row>
    <row r="330" spans="1:9" ht="14.4" x14ac:dyDescent="0.25">
      <c r="A330" s="917">
        <v>334</v>
      </c>
      <c r="B330" s="919" t="s">
        <v>95</v>
      </c>
      <c r="C330" s="916" t="s">
        <v>3497</v>
      </c>
      <c r="D330" s="916" t="s">
        <v>41</v>
      </c>
      <c r="E330" s="917"/>
      <c r="F330" s="918"/>
      <c r="G330" s="918"/>
      <c r="H330" s="918"/>
      <c r="I330" s="917"/>
    </row>
    <row r="331" spans="1:9" ht="14.4" x14ac:dyDescent="0.25">
      <c r="A331" s="917">
        <v>335</v>
      </c>
      <c r="B331" s="919" t="s">
        <v>121</v>
      </c>
      <c r="C331" s="916" t="s">
        <v>3497</v>
      </c>
      <c r="D331" s="916" t="s">
        <v>15</v>
      </c>
      <c r="E331" s="917"/>
      <c r="F331" s="918"/>
      <c r="G331" s="918"/>
      <c r="H331" s="918"/>
      <c r="I331" s="917"/>
    </row>
    <row r="332" spans="1:9" ht="14.4" x14ac:dyDescent="0.25">
      <c r="A332" s="917">
        <v>336</v>
      </c>
      <c r="B332" s="919" t="s">
        <v>123</v>
      </c>
      <c r="C332" s="916" t="s">
        <v>3497</v>
      </c>
      <c r="D332" s="916" t="s">
        <v>124</v>
      </c>
      <c r="E332" s="917"/>
      <c r="F332" s="918"/>
      <c r="G332" s="918"/>
      <c r="H332" s="918"/>
      <c r="I332" s="917"/>
    </row>
    <row r="333" spans="1:9" ht="14.4" x14ac:dyDescent="0.25">
      <c r="A333" s="917">
        <v>337</v>
      </c>
      <c r="B333" s="919" t="s">
        <v>202</v>
      </c>
      <c r="C333" s="916" t="s">
        <v>3497</v>
      </c>
      <c r="D333" s="916" t="s">
        <v>3563</v>
      </c>
      <c r="E333" s="917"/>
      <c r="F333" s="918"/>
      <c r="G333" s="918"/>
      <c r="H333" s="918"/>
      <c r="I333" s="917"/>
    </row>
    <row r="334" spans="1:9" ht="14.4" x14ac:dyDescent="0.25">
      <c r="A334" s="917">
        <v>338</v>
      </c>
      <c r="B334" s="919" t="s">
        <v>141</v>
      </c>
      <c r="C334" s="916" t="s">
        <v>3497</v>
      </c>
      <c r="D334" s="916" t="s">
        <v>142</v>
      </c>
      <c r="E334" s="917"/>
      <c r="F334" s="918"/>
      <c r="G334" s="918"/>
      <c r="H334" s="918"/>
      <c r="I334" s="917"/>
    </row>
    <row r="335" spans="1:9" ht="14.4" x14ac:dyDescent="0.25">
      <c r="A335" s="917">
        <v>339</v>
      </c>
      <c r="B335" s="919" t="s">
        <v>143</v>
      </c>
      <c r="C335" s="916" t="s">
        <v>3497</v>
      </c>
      <c r="D335" s="916" t="s">
        <v>144</v>
      </c>
      <c r="E335" s="917"/>
      <c r="F335" s="918"/>
      <c r="G335" s="918"/>
      <c r="H335" s="918"/>
      <c r="I335" s="917"/>
    </row>
    <row r="336" spans="1:9" ht="14.4" x14ac:dyDescent="0.25">
      <c r="A336" s="917">
        <v>340</v>
      </c>
      <c r="B336" s="919" t="s">
        <v>159</v>
      </c>
      <c r="C336" s="916" t="s">
        <v>3497</v>
      </c>
      <c r="D336" s="916" t="s">
        <v>160</v>
      </c>
      <c r="E336" s="917"/>
      <c r="F336" s="918"/>
      <c r="G336" s="918"/>
      <c r="H336" s="918"/>
      <c r="I336" s="917"/>
    </row>
    <row r="337" spans="1:9" ht="14.4" x14ac:dyDescent="0.25">
      <c r="A337" s="917">
        <v>341</v>
      </c>
      <c r="B337" s="919" t="s">
        <v>166</v>
      </c>
      <c r="C337" s="916" t="s">
        <v>3497</v>
      </c>
      <c r="D337" s="916" t="s">
        <v>1024</v>
      </c>
      <c r="E337" s="917"/>
      <c r="F337" s="918"/>
      <c r="G337" s="918"/>
      <c r="H337" s="918"/>
      <c r="I337" s="917"/>
    </row>
    <row r="338" spans="1:9" ht="14.4" x14ac:dyDescent="0.25">
      <c r="A338" s="917">
        <v>342</v>
      </c>
      <c r="B338" s="919" t="s">
        <v>173</v>
      </c>
      <c r="C338" s="916" t="s">
        <v>3497</v>
      </c>
      <c r="D338" s="916" t="s">
        <v>174</v>
      </c>
      <c r="E338" s="917"/>
      <c r="F338" s="918"/>
      <c r="G338" s="918"/>
      <c r="H338" s="918"/>
      <c r="I338" s="917"/>
    </row>
    <row r="339" spans="1:9" ht="26.4" x14ac:dyDescent="0.25">
      <c r="A339" s="917">
        <v>343</v>
      </c>
      <c r="B339" s="919" t="s">
        <v>199</v>
      </c>
      <c r="C339" s="916" t="s">
        <v>3497</v>
      </c>
      <c r="D339" s="920" t="s">
        <v>1037</v>
      </c>
      <c r="E339" s="917"/>
      <c r="F339" s="918"/>
      <c r="G339" s="918"/>
      <c r="H339" s="918"/>
      <c r="I339" s="917"/>
    </row>
    <row r="340" spans="1:9" ht="14.4" x14ac:dyDescent="0.25">
      <c r="A340" s="917">
        <v>344</v>
      </c>
      <c r="B340" s="919" t="s">
        <v>200</v>
      </c>
      <c r="C340" s="916" t="s">
        <v>3497</v>
      </c>
      <c r="D340" s="916" t="s">
        <v>201</v>
      </c>
      <c r="E340" s="917"/>
      <c r="F340" s="918"/>
      <c r="G340" s="918"/>
      <c r="H340" s="918"/>
      <c r="I340" s="917"/>
    </row>
    <row r="341" spans="1:9" ht="26.4" x14ac:dyDescent="0.25">
      <c r="A341" s="917">
        <v>345</v>
      </c>
      <c r="B341" s="919" t="s">
        <v>204</v>
      </c>
      <c r="C341" s="916" t="s">
        <v>3497</v>
      </c>
      <c r="D341" s="921" t="s">
        <v>205</v>
      </c>
      <c r="E341" s="917"/>
      <c r="F341" s="918"/>
      <c r="G341" s="918"/>
      <c r="H341" s="918"/>
      <c r="I341" s="917"/>
    </row>
    <row r="342" spans="1:9" ht="14.4" x14ac:dyDescent="0.25">
      <c r="A342" s="917">
        <v>346</v>
      </c>
      <c r="B342" s="919" t="s">
        <v>234</v>
      </c>
      <c r="C342" s="916" t="s">
        <v>3497</v>
      </c>
      <c r="D342" s="916" t="s">
        <v>235</v>
      </c>
      <c r="E342" s="917"/>
      <c r="F342" s="918"/>
      <c r="G342" s="918"/>
      <c r="H342" s="918"/>
      <c r="I342" s="917"/>
    </row>
    <row r="343" spans="1:9" ht="26.4" x14ac:dyDescent="0.25">
      <c r="A343" s="917">
        <v>347</v>
      </c>
      <c r="B343" s="919" t="s">
        <v>231</v>
      </c>
      <c r="C343" s="916" t="s">
        <v>3497</v>
      </c>
      <c r="D343" s="921" t="s">
        <v>1041</v>
      </c>
      <c r="E343" s="917"/>
      <c r="F343" s="918"/>
      <c r="G343" s="918"/>
      <c r="H343" s="918"/>
      <c r="I343" s="917"/>
    </row>
    <row r="344" spans="1:9" ht="14.4" x14ac:dyDescent="0.25">
      <c r="A344" s="917">
        <v>348</v>
      </c>
      <c r="B344" s="919" t="s">
        <v>237</v>
      </c>
      <c r="C344" s="916" t="s">
        <v>3497</v>
      </c>
      <c r="D344" s="916" t="s">
        <v>186</v>
      </c>
      <c r="E344" s="917"/>
      <c r="F344" s="918"/>
      <c r="G344" s="918"/>
      <c r="H344" s="918"/>
      <c r="I344" s="917"/>
    </row>
    <row r="345" spans="1:9" ht="26.4" x14ac:dyDescent="0.25">
      <c r="A345" s="917">
        <v>349</v>
      </c>
      <c r="B345" s="919" t="s">
        <v>270</v>
      </c>
      <c r="C345" s="916" t="s">
        <v>3497</v>
      </c>
      <c r="D345" s="920" t="s">
        <v>1030</v>
      </c>
      <c r="E345" s="917"/>
      <c r="F345" s="918"/>
      <c r="G345" s="918"/>
      <c r="H345" s="918"/>
      <c r="I345" s="917"/>
    </row>
    <row r="346" spans="1:9" ht="14.4" x14ac:dyDescent="0.25">
      <c r="A346" s="917">
        <v>350</v>
      </c>
      <c r="B346" s="919" t="s">
        <v>253</v>
      </c>
      <c r="C346" s="916" t="s">
        <v>3497</v>
      </c>
      <c r="D346" s="916" t="s">
        <v>140</v>
      </c>
      <c r="E346" s="917"/>
      <c r="F346" s="918"/>
      <c r="G346" s="918"/>
      <c r="H346" s="918"/>
      <c r="I346" s="917"/>
    </row>
    <row r="347" spans="1:9" ht="14.4" x14ac:dyDescent="0.25">
      <c r="A347" s="917">
        <v>351</v>
      </c>
      <c r="B347" s="919" t="s">
        <v>260</v>
      </c>
      <c r="C347" s="916" t="s">
        <v>3497</v>
      </c>
      <c r="D347" s="916" t="s">
        <v>261</v>
      </c>
      <c r="E347" s="917"/>
      <c r="F347" s="918"/>
      <c r="G347" s="918"/>
      <c r="H347" s="918"/>
      <c r="I347" s="917"/>
    </row>
    <row r="348" spans="1:9" ht="14.4" x14ac:dyDescent="0.25">
      <c r="A348" s="917">
        <v>352</v>
      </c>
      <c r="B348" s="919" t="s">
        <v>296</v>
      </c>
      <c r="C348" s="916" t="s">
        <v>3497</v>
      </c>
      <c r="D348" s="916" t="s">
        <v>1038</v>
      </c>
      <c r="E348" s="917"/>
      <c r="F348" s="918"/>
      <c r="G348" s="918"/>
      <c r="H348" s="918"/>
      <c r="I348" s="917"/>
    </row>
    <row r="349" spans="1:9" ht="14.4" x14ac:dyDescent="0.25">
      <c r="A349" s="917">
        <v>353</v>
      </c>
      <c r="B349" s="919" t="s">
        <v>308</v>
      </c>
      <c r="C349" s="916" t="s">
        <v>3497</v>
      </c>
      <c r="D349" s="916" t="s">
        <v>1049</v>
      </c>
      <c r="E349" s="917"/>
      <c r="F349" s="918"/>
      <c r="G349" s="918"/>
      <c r="H349" s="918"/>
      <c r="I349" s="917"/>
    </row>
    <row r="350" spans="1:9" ht="14.4" x14ac:dyDescent="0.25">
      <c r="A350" s="917">
        <v>354</v>
      </c>
      <c r="B350" s="919" t="s">
        <v>1330</v>
      </c>
      <c r="C350" s="916" t="s">
        <v>3497</v>
      </c>
      <c r="D350" s="916" t="s">
        <v>212</v>
      </c>
      <c r="E350" s="917"/>
      <c r="F350" s="918"/>
      <c r="G350" s="918"/>
      <c r="H350" s="918"/>
      <c r="I350" s="917"/>
    </row>
    <row r="351" spans="1:9" ht="14.4" x14ac:dyDescent="0.25">
      <c r="A351" s="917">
        <v>355</v>
      </c>
      <c r="B351" s="919" t="s">
        <v>65</v>
      </c>
      <c r="C351" s="916" t="s">
        <v>3497</v>
      </c>
      <c r="D351" s="916" t="s">
        <v>66</v>
      </c>
      <c r="E351" s="917"/>
      <c r="F351" s="918"/>
      <c r="G351" s="918"/>
      <c r="H351" s="918"/>
      <c r="I351" s="917"/>
    </row>
    <row r="352" spans="1:9" ht="14.4" x14ac:dyDescent="0.25">
      <c r="A352" s="917">
        <v>356</v>
      </c>
      <c r="B352" s="919" t="s">
        <v>156</v>
      </c>
      <c r="C352" s="916" t="s">
        <v>3497</v>
      </c>
      <c r="D352" s="916" t="s">
        <v>53</v>
      </c>
      <c r="E352" s="917"/>
      <c r="F352" s="918"/>
      <c r="G352" s="918"/>
      <c r="H352" s="918"/>
      <c r="I352" s="917"/>
    </row>
    <row r="353" spans="1:9" ht="14.4" x14ac:dyDescent="0.25">
      <c r="A353" s="917">
        <v>357</v>
      </c>
      <c r="B353" s="919" t="s">
        <v>215</v>
      </c>
      <c r="C353" s="916" t="s">
        <v>3497</v>
      </c>
      <c r="D353" s="916" t="s">
        <v>1595</v>
      </c>
      <c r="E353" s="917"/>
      <c r="F353" s="918"/>
      <c r="G353" s="918"/>
      <c r="H353" s="918"/>
      <c r="I353" s="917"/>
    </row>
    <row r="354" spans="1:9" ht="26.4" x14ac:dyDescent="0.25">
      <c r="A354" s="917">
        <v>358</v>
      </c>
      <c r="B354" s="919" t="s">
        <v>63</v>
      </c>
      <c r="C354" s="916" t="s">
        <v>3497</v>
      </c>
      <c r="D354" s="920" t="s">
        <v>64</v>
      </c>
      <c r="E354" s="917"/>
      <c r="F354" s="918"/>
      <c r="G354" s="918"/>
      <c r="H354" s="918"/>
      <c r="I354" s="917"/>
    </row>
    <row r="355" spans="1:9" ht="14.4" x14ac:dyDescent="0.25">
      <c r="A355" s="917">
        <v>359</v>
      </c>
      <c r="B355" s="919" t="s">
        <v>405</v>
      </c>
      <c r="C355" s="916" t="s">
        <v>3497</v>
      </c>
      <c r="D355" s="916" t="s">
        <v>238</v>
      </c>
      <c r="E355" s="917"/>
      <c r="F355" s="918"/>
      <c r="G355" s="918"/>
      <c r="H355" s="918"/>
      <c r="I355" s="917"/>
    </row>
    <row r="356" spans="1:9" ht="14.4" x14ac:dyDescent="0.25">
      <c r="A356" s="917">
        <v>360</v>
      </c>
      <c r="B356" s="919" t="s">
        <v>255</v>
      </c>
      <c r="C356" s="916" t="s">
        <v>3497</v>
      </c>
      <c r="D356" s="916" t="s">
        <v>1031</v>
      </c>
      <c r="E356" s="917"/>
      <c r="F356" s="918"/>
      <c r="G356" s="918"/>
      <c r="H356" s="918"/>
      <c r="I356" s="917"/>
    </row>
    <row r="357" spans="1:9" ht="14.4" x14ac:dyDescent="0.25">
      <c r="A357" s="917">
        <v>361</v>
      </c>
      <c r="B357" s="919" t="s">
        <v>7</v>
      </c>
      <c r="C357" s="916" t="s">
        <v>3497</v>
      </c>
      <c r="D357" s="916" t="s">
        <v>8</v>
      </c>
      <c r="E357" s="917"/>
      <c r="F357" s="918"/>
      <c r="G357" s="918"/>
      <c r="H357" s="918"/>
      <c r="I357" s="917"/>
    </row>
    <row r="358" spans="1:9" ht="14.4" x14ac:dyDescent="0.25">
      <c r="A358" s="917">
        <v>362</v>
      </c>
      <c r="B358" s="919" t="s">
        <v>230</v>
      </c>
      <c r="C358" s="916" t="s">
        <v>3497</v>
      </c>
      <c r="D358" s="916" t="s">
        <v>1044</v>
      </c>
      <c r="E358" s="917"/>
      <c r="F358" s="918"/>
      <c r="G358" s="918"/>
      <c r="H358" s="918"/>
      <c r="I358" s="917"/>
    </row>
    <row r="359" spans="1:9" ht="14.4" x14ac:dyDescent="0.25">
      <c r="A359" s="917">
        <v>363</v>
      </c>
      <c r="B359" s="919" t="s">
        <v>254</v>
      </c>
      <c r="C359" s="916" t="s">
        <v>3497</v>
      </c>
      <c r="D359" s="916" t="s">
        <v>1032</v>
      </c>
      <c r="E359" s="917"/>
      <c r="F359" s="918"/>
      <c r="G359" s="918"/>
      <c r="H359" s="918"/>
      <c r="I359" s="917"/>
    </row>
    <row r="360" spans="1:9" ht="14.4" x14ac:dyDescent="0.25">
      <c r="A360" s="917">
        <v>364</v>
      </c>
      <c r="B360" s="919" t="s">
        <v>555</v>
      </c>
      <c r="C360" s="916" t="s">
        <v>3497</v>
      </c>
      <c r="D360" s="916" t="s">
        <v>1066</v>
      </c>
      <c r="E360" s="917"/>
      <c r="F360" s="918"/>
      <c r="G360" s="918"/>
      <c r="H360" s="918"/>
      <c r="I360" s="917"/>
    </row>
    <row r="361" spans="1:9" ht="14.4" x14ac:dyDescent="0.25">
      <c r="A361" s="917">
        <v>365</v>
      </c>
      <c r="B361" s="919" t="s">
        <v>138</v>
      </c>
      <c r="C361" s="916" t="s">
        <v>3497</v>
      </c>
      <c r="D361" s="916" t="s">
        <v>1033</v>
      </c>
      <c r="E361" s="917"/>
      <c r="F361" s="918"/>
      <c r="G361" s="918"/>
      <c r="H361" s="918"/>
      <c r="I361" s="917"/>
    </row>
    <row r="362" spans="1:9" ht="14.4" x14ac:dyDescent="0.25">
      <c r="A362" s="917">
        <v>366</v>
      </c>
      <c r="B362" s="919" t="s">
        <v>221</v>
      </c>
      <c r="C362" s="916" t="s">
        <v>3497</v>
      </c>
      <c r="D362" s="916" t="s">
        <v>222</v>
      </c>
      <c r="E362" s="917"/>
      <c r="F362" s="918"/>
      <c r="G362" s="918"/>
      <c r="H362" s="918"/>
      <c r="I362" s="917"/>
    </row>
    <row r="363" spans="1:9" ht="14.4" x14ac:dyDescent="0.25">
      <c r="A363" s="917">
        <v>367</v>
      </c>
      <c r="B363" s="919" t="s">
        <v>4</v>
      </c>
      <c r="C363" s="916" t="s">
        <v>3497</v>
      </c>
      <c r="D363" s="916" t="s">
        <v>1027</v>
      </c>
      <c r="E363" s="917"/>
      <c r="F363" s="918"/>
      <c r="G363" s="918"/>
      <c r="H363" s="918"/>
      <c r="I363" s="917"/>
    </row>
    <row r="364" spans="1:9" ht="14.4" x14ac:dyDescent="0.25">
      <c r="A364" s="917">
        <v>368</v>
      </c>
      <c r="B364" s="919" t="s">
        <v>177</v>
      </c>
      <c r="C364" s="916" t="s">
        <v>3497</v>
      </c>
      <c r="D364" s="916" t="s">
        <v>1038</v>
      </c>
      <c r="E364" s="917"/>
      <c r="F364" s="918"/>
      <c r="G364" s="918"/>
      <c r="H364" s="918"/>
      <c r="I364" s="917"/>
    </row>
    <row r="365" spans="1:9" ht="14.4" x14ac:dyDescent="0.25">
      <c r="A365" s="917">
        <v>369</v>
      </c>
      <c r="B365" s="919" t="s">
        <v>193</v>
      </c>
      <c r="C365" s="916" t="s">
        <v>3497</v>
      </c>
      <c r="D365" s="916" t="s">
        <v>194</v>
      </c>
      <c r="E365" s="917"/>
      <c r="F365" s="918"/>
      <c r="G365" s="918"/>
      <c r="H365" s="918"/>
      <c r="I365" s="917"/>
    </row>
    <row r="366" spans="1:9" ht="26.4" x14ac:dyDescent="0.25">
      <c r="A366" s="917">
        <v>370</v>
      </c>
      <c r="B366" s="919" t="s">
        <v>88</v>
      </c>
      <c r="C366" s="916" t="s">
        <v>3497</v>
      </c>
      <c r="D366" s="920" t="s">
        <v>1030</v>
      </c>
      <c r="E366" s="917"/>
      <c r="F366" s="918"/>
      <c r="G366" s="918"/>
      <c r="H366" s="918"/>
      <c r="I366" s="917"/>
    </row>
    <row r="367" spans="1:9" ht="14.4" x14ac:dyDescent="0.25">
      <c r="A367" s="917">
        <v>371</v>
      </c>
      <c r="B367" s="919" t="s">
        <v>97</v>
      </c>
      <c r="C367" s="916" t="s">
        <v>3497</v>
      </c>
      <c r="D367" s="916" t="s">
        <v>98</v>
      </c>
      <c r="E367" s="917"/>
      <c r="F367" s="918"/>
      <c r="G367" s="918"/>
      <c r="H367" s="918"/>
      <c r="I367" s="917"/>
    </row>
    <row r="368" spans="1:9" ht="14.4" x14ac:dyDescent="0.25">
      <c r="A368" s="917">
        <v>372</v>
      </c>
      <c r="B368" s="919" t="s">
        <v>89</v>
      </c>
      <c r="C368" s="916" t="s">
        <v>3497</v>
      </c>
      <c r="D368" s="916" t="s">
        <v>90</v>
      </c>
      <c r="E368" s="917"/>
      <c r="F368" s="918"/>
      <c r="G368" s="918"/>
      <c r="H368" s="918"/>
      <c r="I368" s="917"/>
    </row>
    <row r="369" spans="1:9" ht="26.4" x14ac:dyDescent="0.25">
      <c r="A369" s="917">
        <v>373</v>
      </c>
      <c r="B369" s="919" t="s">
        <v>130</v>
      </c>
      <c r="C369" s="916" t="s">
        <v>3497</v>
      </c>
      <c r="D369" s="920" t="s">
        <v>1110</v>
      </c>
      <c r="E369" s="917"/>
      <c r="F369" s="918"/>
      <c r="G369" s="918"/>
      <c r="H369" s="918"/>
      <c r="I369" s="917"/>
    </row>
    <row r="370" spans="1:9" ht="14.4" x14ac:dyDescent="0.25">
      <c r="A370" s="917">
        <v>374</v>
      </c>
      <c r="B370" s="919" t="s">
        <v>40</v>
      </c>
      <c r="C370" s="916" t="s">
        <v>3497</v>
      </c>
      <c r="D370" s="916" t="s">
        <v>41</v>
      </c>
      <c r="E370" s="917"/>
      <c r="F370" s="918"/>
      <c r="G370" s="918"/>
      <c r="H370" s="918"/>
      <c r="I370" s="917"/>
    </row>
    <row r="371" spans="1:9" ht="14.4" x14ac:dyDescent="0.25">
      <c r="A371" s="917">
        <v>375</v>
      </c>
      <c r="B371" s="919" t="s">
        <v>21</v>
      </c>
      <c r="C371" s="916" t="s">
        <v>3497</v>
      </c>
      <c r="D371" s="916" t="s">
        <v>22</v>
      </c>
      <c r="E371" s="917"/>
      <c r="F371" s="918"/>
      <c r="G371" s="918"/>
      <c r="H371" s="918"/>
      <c r="I371" s="917"/>
    </row>
    <row r="372" spans="1:9" ht="14.4" x14ac:dyDescent="0.25">
      <c r="A372" s="917">
        <v>376</v>
      </c>
      <c r="B372" s="919" t="s">
        <v>37</v>
      </c>
      <c r="C372" s="916" t="s">
        <v>3497</v>
      </c>
      <c r="D372" s="916" t="s">
        <v>38</v>
      </c>
      <c r="E372" s="917"/>
      <c r="F372" s="918"/>
      <c r="G372" s="918"/>
      <c r="H372" s="918"/>
      <c r="I372" s="917"/>
    </row>
    <row r="373" spans="1:9" ht="14.4" x14ac:dyDescent="0.25">
      <c r="A373" s="917">
        <v>377</v>
      </c>
      <c r="B373" s="919" t="s">
        <v>52</v>
      </c>
      <c r="C373" s="916" t="s">
        <v>3497</v>
      </c>
      <c r="D373" s="916" t="s">
        <v>53</v>
      </c>
      <c r="E373" s="917"/>
      <c r="F373" s="918"/>
      <c r="G373" s="918"/>
      <c r="H373" s="918"/>
      <c r="I373" s="917"/>
    </row>
    <row r="374" spans="1:9" ht="14.4" x14ac:dyDescent="0.25">
      <c r="A374" s="917">
        <v>378</v>
      </c>
      <c r="B374" s="919" t="s">
        <v>133</v>
      </c>
      <c r="C374" s="916" t="s">
        <v>3497</v>
      </c>
      <c r="D374" s="916" t="s">
        <v>134</v>
      </c>
      <c r="E374" s="917"/>
      <c r="F374" s="918"/>
      <c r="G374" s="918"/>
      <c r="H374" s="918"/>
      <c r="I374" s="917"/>
    </row>
    <row r="375" spans="1:9" ht="14.4" x14ac:dyDescent="0.25">
      <c r="A375" s="917">
        <v>379</v>
      </c>
      <c r="B375" s="919" t="s">
        <v>145</v>
      </c>
      <c r="C375" s="916" t="s">
        <v>3497</v>
      </c>
      <c r="D375" s="916" t="s">
        <v>43</v>
      </c>
      <c r="E375" s="917"/>
      <c r="F375" s="918"/>
      <c r="G375" s="918"/>
      <c r="H375" s="918"/>
      <c r="I375" s="917"/>
    </row>
    <row r="376" spans="1:9" ht="14.4" x14ac:dyDescent="0.25">
      <c r="A376" s="917">
        <v>380</v>
      </c>
      <c r="B376" s="919" t="s">
        <v>185</v>
      </c>
      <c r="C376" s="916" t="s">
        <v>3497</v>
      </c>
      <c r="D376" s="916" t="s">
        <v>186</v>
      </c>
      <c r="E376" s="917"/>
      <c r="F376" s="918"/>
      <c r="G376" s="918"/>
      <c r="H376" s="918"/>
      <c r="I376" s="917"/>
    </row>
    <row r="377" spans="1:9" ht="26.4" x14ac:dyDescent="0.25">
      <c r="A377" s="917">
        <v>381</v>
      </c>
      <c r="B377" s="919" t="s">
        <v>195</v>
      </c>
      <c r="C377" s="916" t="s">
        <v>3497</v>
      </c>
      <c r="D377" s="920" t="s">
        <v>1036</v>
      </c>
      <c r="E377" s="917"/>
      <c r="F377" s="918"/>
      <c r="G377" s="918"/>
      <c r="H377" s="918"/>
      <c r="I377" s="917"/>
    </row>
    <row r="378" spans="1:9" ht="14.4" x14ac:dyDescent="0.25">
      <c r="A378" s="917">
        <v>382</v>
      </c>
      <c r="B378" s="919" t="s">
        <v>257</v>
      </c>
      <c r="C378" s="916" t="s">
        <v>3497</v>
      </c>
      <c r="D378" s="916" t="s">
        <v>1034</v>
      </c>
      <c r="E378" s="917"/>
      <c r="F378" s="918"/>
      <c r="G378" s="918"/>
      <c r="H378" s="918"/>
      <c r="I378" s="917"/>
    </row>
    <row r="379" spans="1:9" ht="14.4" x14ac:dyDescent="0.25">
      <c r="A379" s="917">
        <v>383</v>
      </c>
      <c r="B379" s="919" t="s">
        <v>273</v>
      </c>
      <c r="C379" s="916" t="s">
        <v>3497</v>
      </c>
      <c r="D379" s="916" t="s">
        <v>126</v>
      </c>
      <c r="E379" s="917"/>
      <c r="F379" s="918"/>
      <c r="G379" s="918"/>
      <c r="H379" s="918"/>
      <c r="I379" s="917"/>
    </row>
    <row r="380" spans="1:9" ht="14.4" x14ac:dyDescent="0.25">
      <c r="A380" s="917">
        <v>384</v>
      </c>
      <c r="B380" s="919" t="s">
        <v>266</v>
      </c>
      <c r="C380" s="916" t="s">
        <v>3497</v>
      </c>
      <c r="D380" s="916" t="s">
        <v>1029</v>
      </c>
      <c r="E380" s="917"/>
      <c r="F380" s="918"/>
      <c r="G380" s="918"/>
      <c r="H380" s="918"/>
      <c r="I380" s="917"/>
    </row>
    <row r="381" spans="1:9" ht="14.4" x14ac:dyDescent="0.25">
      <c r="A381" s="917">
        <v>385</v>
      </c>
      <c r="B381" s="919" t="s">
        <v>271</v>
      </c>
      <c r="C381" s="916" t="s">
        <v>3497</v>
      </c>
      <c r="D381" s="916" t="s">
        <v>272</v>
      </c>
      <c r="E381" s="917"/>
      <c r="F381" s="918"/>
      <c r="G381" s="918"/>
      <c r="H381" s="918"/>
      <c r="I381" s="917"/>
    </row>
    <row r="382" spans="1:9" ht="14.4" x14ac:dyDescent="0.25">
      <c r="A382" s="917">
        <v>386</v>
      </c>
      <c r="B382" s="919" t="s">
        <v>298</v>
      </c>
      <c r="C382" s="916" t="s">
        <v>3497</v>
      </c>
      <c r="D382" s="916" t="s">
        <v>90</v>
      </c>
      <c r="E382" s="917"/>
      <c r="F382" s="918"/>
      <c r="G382" s="918"/>
      <c r="H382" s="918"/>
      <c r="I382" s="917"/>
    </row>
    <row r="383" spans="1:9" ht="14.4" x14ac:dyDescent="0.25">
      <c r="A383" s="917">
        <v>387</v>
      </c>
      <c r="B383" s="919" t="s">
        <v>302</v>
      </c>
      <c r="C383" s="916" t="s">
        <v>3497</v>
      </c>
      <c r="D383" s="916" t="s">
        <v>303</v>
      </c>
      <c r="E383" s="917"/>
      <c r="F383" s="918"/>
      <c r="G383" s="918"/>
      <c r="H383" s="918"/>
      <c r="I383" s="917"/>
    </row>
    <row r="384" spans="1:9" ht="14.4" x14ac:dyDescent="0.25">
      <c r="A384" s="917">
        <v>388</v>
      </c>
      <c r="B384" s="919" t="s">
        <v>307</v>
      </c>
      <c r="C384" s="916" t="s">
        <v>3497</v>
      </c>
      <c r="D384" s="916" t="s">
        <v>144</v>
      </c>
      <c r="E384" s="917"/>
      <c r="F384" s="918"/>
      <c r="G384" s="918"/>
      <c r="H384" s="918"/>
      <c r="I384" s="917"/>
    </row>
    <row r="385" spans="1:9" ht="14.4" x14ac:dyDescent="0.25">
      <c r="A385" s="917">
        <v>389</v>
      </c>
      <c r="B385" s="919" t="s">
        <v>551</v>
      </c>
      <c r="C385" s="916" t="s">
        <v>3497</v>
      </c>
      <c r="D385" s="916" t="s">
        <v>29</v>
      </c>
      <c r="E385" s="917"/>
      <c r="F385" s="918"/>
      <c r="G385" s="918"/>
      <c r="H385" s="918"/>
      <c r="I385" s="917"/>
    </row>
    <row r="386" spans="1:9" ht="14.4" x14ac:dyDescent="0.25">
      <c r="A386" s="917">
        <v>390</v>
      </c>
      <c r="B386" s="919" t="s">
        <v>1484</v>
      </c>
      <c r="C386" s="916" t="s">
        <v>3497</v>
      </c>
      <c r="D386" s="916" t="s">
        <v>1595</v>
      </c>
      <c r="E386" s="917"/>
      <c r="F386" s="918"/>
      <c r="G386" s="918"/>
      <c r="H386" s="918"/>
      <c r="I386" s="917"/>
    </row>
    <row r="387" spans="1:9" ht="26.4" x14ac:dyDescent="0.25">
      <c r="A387" s="917">
        <v>391</v>
      </c>
      <c r="B387" s="919" t="s">
        <v>1480</v>
      </c>
      <c r="C387" s="916" t="s">
        <v>3497</v>
      </c>
      <c r="D387" s="920" t="s">
        <v>1481</v>
      </c>
      <c r="E387" s="917"/>
      <c r="F387" s="918"/>
      <c r="G387" s="918"/>
      <c r="H387" s="918"/>
      <c r="I387" s="917"/>
    </row>
    <row r="388" spans="1:9" ht="14.4" x14ac:dyDescent="0.25">
      <c r="A388" s="917">
        <v>392</v>
      </c>
      <c r="B388" s="919" t="s">
        <v>1566</v>
      </c>
      <c r="C388" s="916" t="s">
        <v>3497</v>
      </c>
      <c r="D388" s="916" t="s">
        <v>1565</v>
      </c>
      <c r="E388" s="917"/>
      <c r="F388" s="918"/>
      <c r="G388" s="918"/>
      <c r="H388" s="918"/>
      <c r="I388" s="917"/>
    </row>
    <row r="389" spans="1:9" ht="14.4" x14ac:dyDescent="0.25">
      <c r="A389" s="917">
        <v>393</v>
      </c>
      <c r="B389" s="919" t="s">
        <v>1580</v>
      </c>
      <c r="C389" s="916" t="s">
        <v>3497</v>
      </c>
      <c r="D389" s="916" t="s">
        <v>1581</v>
      </c>
      <c r="E389" s="917"/>
      <c r="F389" s="918"/>
      <c r="G389" s="918"/>
      <c r="H389" s="918"/>
      <c r="I389" s="917"/>
    </row>
    <row r="390" spans="1:9" ht="14.4" x14ac:dyDescent="0.25">
      <c r="A390" s="917">
        <v>394</v>
      </c>
      <c r="B390" s="919" t="s">
        <v>1070</v>
      </c>
      <c r="C390" s="916" t="s">
        <v>3497</v>
      </c>
      <c r="D390" s="916" t="s">
        <v>1071</v>
      </c>
      <c r="E390" s="917"/>
      <c r="F390" s="918"/>
      <c r="G390" s="918"/>
      <c r="H390" s="918"/>
      <c r="I390" s="917"/>
    </row>
    <row r="391" spans="1:9" ht="14.4" x14ac:dyDescent="0.25">
      <c r="A391" s="917">
        <v>395</v>
      </c>
      <c r="B391" s="919" t="s">
        <v>556</v>
      </c>
      <c r="C391" s="916" t="s">
        <v>3497</v>
      </c>
      <c r="D391" s="916" t="s">
        <v>1004</v>
      </c>
      <c r="E391" s="917"/>
      <c r="F391" s="918"/>
      <c r="G391" s="918"/>
      <c r="H391" s="918"/>
      <c r="I391" s="917"/>
    </row>
    <row r="392" spans="1:9" ht="14.4" x14ac:dyDescent="0.25">
      <c r="A392" s="917">
        <v>396</v>
      </c>
      <c r="B392" s="919" t="s">
        <v>1068</v>
      </c>
      <c r="C392" s="916" t="s">
        <v>3497</v>
      </c>
      <c r="D392" s="916" t="s">
        <v>1069</v>
      </c>
      <c r="E392" s="917"/>
      <c r="F392" s="918"/>
      <c r="G392" s="918"/>
      <c r="H392" s="918"/>
      <c r="I392" s="917"/>
    </row>
    <row r="393" spans="1:9" ht="14.4" x14ac:dyDescent="0.25">
      <c r="A393" s="917">
        <v>397</v>
      </c>
      <c r="B393" s="919" t="s">
        <v>279</v>
      </c>
      <c r="C393" s="916" t="s">
        <v>3497</v>
      </c>
      <c r="D393" s="916" t="s">
        <v>3565</v>
      </c>
      <c r="E393" s="917"/>
      <c r="F393" s="918"/>
      <c r="G393" s="918"/>
      <c r="H393" s="918"/>
      <c r="I393" s="917"/>
    </row>
    <row r="394" spans="1:9" ht="14.4" x14ac:dyDescent="0.25">
      <c r="A394" s="917">
        <v>398</v>
      </c>
      <c r="B394" s="919" t="s">
        <v>597</v>
      </c>
      <c r="C394" s="916" t="s">
        <v>3497</v>
      </c>
      <c r="D394" s="916" t="s">
        <v>3576</v>
      </c>
      <c r="E394" s="917"/>
      <c r="F394" s="918"/>
      <c r="G394" s="918"/>
      <c r="H394" s="918"/>
      <c r="I394" s="917"/>
    </row>
    <row r="395" spans="1:9" ht="14.4" x14ac:dyDescent="0.25">
      <c r="A395" s="917">
        <v>399</v>
      </c>
      <c r="B395" s="919" t="s">
        <v>9</v>
      </c>
      <c r="C395" s="916" t="s">
        <v>3497</v>
      </c>
      <c r="D395" s="916" t="s">
        <v>3577</v>
      </c>
      <c r="E395" s="917"/>
      <c r="F395" s="918"/>
      <c r="G395" s="918"/>
      <c r="H395" s="918"/>
      <c r="I395" s="917"/>
    </row>
    <row r="396" spans="1:9" ht="14.4" x14ac:dyDescent="0.25">
      <c r="A396" s="917">
        <v>400</v>
      </c>
      <c r="B396" s="919" t="s">
        <v>146</v>
      </c>
      <c r="C396" s="916" t="s">
        <v>3497</v>
      </c>
      <c r="D396" s="916" t="s">
        <v>3578</v>
      </c>
      <c r="E396" s="917"/>
      <c r="F396" s="918"/>
      <c r="G396" s="918"/>
      <c r="H396" s="918"/>
      <c r="I396" s="917"/>
    </row>
    <row r="397" spans="1:9" ht="14.4" x14ac:dyDescent="0.25">
      <c r="A397" s="917">
        <v>403</v>
      </c>
      <c r="B397" s="919" t="s">
        <v>82</v>
      </c>
      <c r="C397" s="916" t="s">
        <v>3497</v>
      </c>
      <c r="D397" s="916" t="s">
        <v>3609</v>
      </c>
      <c r="E397" s="917"/>
      <c r="F397" s="918"/>
      <c r="G397" s="918"/>
      <c r="H397" s="918"/>
      <c r="I397" s="917"/>
    </row>
    <row r="398" spans="1:9" ht="26.4" x14ac:dyDescent="0.3">
      <c r="A398" s="886">
        <v>294</v>
      </c>
      <c r="B398" s="949" t="s">
        <v>2727</v>
      </c>
      <c r="C398" s="880" t="s">
        <v>3497</v>
      </c>
      <c r="D398" s="880" t="s">
        <v>2725</v>
      </c>
      <c r="E398" s="878" t="s">
        <v>3806</v>
      </c>
      <c r="F398" s="906" t="s">
        <v>3479</v>
      </c>
      <c r="G398" s="891" t="s">
        <v>3821</v>
      </c>
      <c r="H398" s="906"/>
      <c r="I398" s="892" t="s">
        <v>3526</v>
      </c>
    </row>
    <row r="399" spans="1:9" ht="26.4" x14ac:dyDescent="0.25">
      <c r="A399" s="886">
        <v>295</v>
      </c>
      <c r="B399" s="892" t="s">
        <v>309</v>
      </c>
      <c r="C399" s="880" t="s">
        <v>3498</v>
      </c>
      <c r="D399" s="880" t="s">
        <v>77</v>
      </c>
      <c r="E399" s="878" t="s">
        <v>4044</v>
      </c>
      <c r="F399" s="906" t="s">
        <v>3899</v>
      </c>
      <c r="G399" s="906"/>
      <c r="H399" s="906"/>
      <c r="I399" s="878" t="s">
        <v>3526</v>
      </c>
    </row>
    <row r="400" spans="1:9" ht="26.4" x14ac:dyDescent="0.25">
      <c r="A400" s="886">
        <v>296</v>
      </c>
      <c r="B400" s="892" t="s">
        <v>1332</v>
      </c>
      <c r="C400" s="880" t="s">
        <v>391</v>
      </c>
      <c r="D400" s="880" t="s">
        <v>1333</v>
      </c>
      <c r="E400" s="878"/>
      <c r="F400" s="906"/>
      <c r="G400" s="906"/>
      <c r="H400" s="906"/>
      <c r="I400" s="878" t="s">
        <v>3526</v>
      </c>
    </row>
    <row r="401" spans="1:9" ht="26.4" x14ac:dyDescent="0.25">
      <c r="A401" s="886">
        <v>297</v>
      </c>
      <c r="B401" s="942" t="s">
        <v>1629</v>
      </c>
      <c r="C401" s="880" t="s">
        <v>3497</v>
      </c>
      <c r="D401" s="880" t="s">
        <v>1024</v>
      </c>
      <c r="E401" s="878" t="s">
        <v>3631</v>
      </c>
      <c r="F401" s="906" t="s">
        <v>3479</v>
      </c>
      <c r="G401" s="906"/>
      <c r="H401" s="906"/>
      <c r="I401" s="878" t="s">
        <v>3526</v>
      </c>
    </row>
    <row r="402" spans="1:9" ht="26.4" x14ac:dyDescent="0.25">
      <c r="A402" s="886">
        <v>298</v>
      </c>
      <c r="B402" s="892" t="s">
        <v>2015</v>
      </c>
      <c r="C402" s="880" t="s">
        <v>3498</v>
      </c>
      <c r="D402" s="880" t="s">
        <v>2016</v>
      </c>
      <c r="E402" s="878" t="s">
        <v>3876</v>
      </c>
      <c r="F402" s="906" t="s">
        <v>3479</v>
      </c>
      <c r="G402" s="906"/>
      <c r="H402" s="906"/>
      <c r="I402" s="878" t="s">
        <v>3526</v>
      </c>
    </row>
    <row r="403" spans="1:9" ht="79.2" x14ac:dyDescent="0.25">
      <c r="A403" s="886">
        <v>299</v>
      </c>
      <c r="B403" s="942" t="s">
        <v>2102</v>
      </c>
      <c r="C403" s="880" t="s">
        <v>3497</v>
      </c>
      <c r="D403" s="880" t="s">
        <v>2434</v>
      </c>
      <c r="E403" s="878" t="s">
        <v>3746</v>
      </c>
      <c r="F403" s="906" t="s">
        <v>3525</v>
      </c>
      <c r="G403" s="906" t="s">
        <v>3538</v>
      </c>
      <c r="H403" s="906" t="s">
        <v>3820</v>
      </c>
      <c r="I403" s="878" t="s">
        <v>3525</v>
      </c>
    </row>
    <row r="404" spans="1:9" ht="14.4" x14ac:dyDescent="0.25">
      <c r="A404" s="886">
        <v>301</v>
      </c>
      <c r="B404" s="942" t="s">
        <v>2364</v>
      </c>
      <c r="C404" s="880" t="s">
        <v>3497</v>
      </c>
      <c r="D404" s="880" t="s">
        <v>2365</v>
      </c>
      <c r="E404" s="878"/>
      <c r="F404" s="906"/>
      <c r="G404" s="906"/>
      <c r="H404" s="906"/>
      <c r="I404" s="878" t="s">
        <v>3526</v>
      </c>
    </row>
    <row r="405" spans="1:9" ht="26.4" x14ac:dyDescent="0.25">
      <c r="A405" s="886">
        <v>302</v>
      </c>
      <c r="B405" s="892" t="s">
        <v>2414</v>
      </c>
      <c r="C405" s="880" t="s">
        <v>3498</v>
      </c>
      <c r="D405" s="880" t="s">
        <v>2415</v>
      </c>
      <c r="E405" s="878" t="s">
        <v>4308</v>
      </c>
      <c r="F405" s="906" t="s">
        <v>3899</v>
      </c>
      <c r="G405" s="906"/>
      <c r="H405" s="906"/>
      <c r="I405" s="878" t="s">
        <v>3526</v>
      </c>
    </row>
    <row r="406" spans="1:9" ht="26.4" x14ac:dyDescent="0.25">
      <c r="A406" s="886">
        <v>303</v>
      </c>
      <c r="B406" s="892" t="s">
        <v>2430</v>
      </c>
      <c r="C406" s="880" t="s">
        <v>3497</v>
      </c>
      <c r="D406" s="880" t="s">
        <v>1337</v>
      </c>
      <c r="E406" s="878" t="s">
        <v>4734</v>
      </c>
      <c r="F406" s="906" t="s">
        <v>3899</v>
      </c>
      <c r="G406" s="906"/>
      <c r="H406" s="906"/>
      <c r="I406" s="878"/>
    </row>
    <row r="407" spans="1:9" ht="14.4" x14ac:dyDescent="0.25">
      <c r="A407" s="886">
        <v>304</v>
      </c>
      <c r="B407" s="942" t="s">
        <v>2432</v>
      </c>
      <c r="C407" s="880" t="s">
        <v>3497</v>
      </c>
      <c r="D407" s="880" t="s">
        <v>2433</v>
      </c>
      <c r="E407" s="878"/>
      <c r="F407" s="906"/>
      <c r="G407" s="906"/>
      <c r="H407" s="906"/>
      <c r="I407" s="878" t="s">
        <v>3526</v>
      </c>
    </row>
    <row r="408" spans="1:9" ht="26.4" x14ac:dyDescent="0.25">
      <c r="A408" s="886">
        <v>305</v>
      </c>
      <c r="B408" s="942" t="s">
        <v>2440</v>
      </c>
      <c r="C408" s="880" t="s">
        <v>3497</v>
      </c>
      <c r="D408" s="880" t="s">
        <v>1110</v>
      </c>
      <c r="E408" s="878" t="s">
        <v>3805</v>
      </c>
      <c r="F408" s="906" t="s">
        <v>3479</v>
      </c>
      <c r="G408" s="906"/>
      <c r="H408" s="906"/>
      <c r="I408" s="878" t="s">
        <v>3526</v>
      </c>
    </row>
    <row r="409" spans="1:9" ht="26.4" x14ac:dyDescent="0.25">
      <c r="A409" s="886">
        <v>306</v>
      </c>
      <c r="B409" s="892" t="s">
        <v>2447</v>
      </c>
      <c r="C409" s="880" t="s">
        <v>3497</v>
      </c>
      <c r="D409" s="880" t="s">
        <v>1856</v>
      </c>
      <c r="E409" s="878"/>
      <c r="F409" s="906"/>
      <c r="G409" s="906" t="s">
        <v>3622</v>
      </c>
      <c r="H409" s="906" t="s">
        <v>4273</v>
      </c>
      <c r="I409" s="878" t="s">
        <v>3525</v>
      </c>
    </row>
    <row r="410" spans="1:9" ht="26.4" x14ac:dyDescent="0.25">
      <c r="A410" s="886">
        <v>307</v>
      </c>
      <c r="B410" s="892" t="s">
        <v>2472</v>
      </c>
      <c r="C410" s="880" t="s">
        <v>3497</v>
      </c>
      <c r="D410" s="880" t="s">
        <v>1024</v>
      </c>
      <c r="E410" s="878" t="s">
        <v>3632</v>
      </c>
      <c r="F410" s="906" t="s">
        <v>3479</v>
      </c>
      <c r="G410" s="906"/>
      <c r="H410" s="906"/>
      <c r="I410" s="878" t="s">
        <v>3526</v>
      </c>
    </row>
    <row r="411" spans="1:9" ht="26.4" x14ac:dyDescent="0.25">
      <c r="A411" s="886">
        <v>309</v>
      </c>
      <c r="B411" s="942" t="s">
        <v>2503</v>
      </c>
      <c r="C411" s="880" t="s">
        <v>3497</v>
      </c>
      <c r="D411" s="880" t="s">
        <v>2007</v>
      </c>
      <c r="E411" s="878" t="s">
        <v>3633</v>
      </c>
      <c r="F411" s="906" t="s">
        <v>3479</v>
      </c>
      <c r="G411" s="906"/>
      <c r="H411" s="906"/>
      <c r="I411" s="878" t="s">
        <v>3525</v>
      </c>
    </row>
    <row r="412" spans="1:9" ht="26.4" x14ac:dyDescent="0.25">
      <c r="A412" s="886">
        <v>310</v>
      </c>
      <c r="B412" s="892" t="s">
        <v>2517</v>
      </c>
      <c r="C412" s="880" t="s">
        <v>3497</v>
      </c>
      <c r="D412" s="880" t="s">
        <v>41</v>
      </c>
      <c r="E412" s="878" t="s">
        <v>3811</v>
      </c>
      <c r="F412" s="906" t="s">
        <v>3479</v>
      </c>
      <c r="G412" s="906"/>
      <c r="H412" s="906"/>
      <c r="I412" s="878" t="s">
        <v>3526</v>
      </c>
    </row>
    <row r="413" spans="1:9" ht="26.4" x14ac:dyDescent="0.25">
      <c r="A413" s="886">
        <v>311</v>
      </c>
      <c r="B413" s="942" t="s">
        <v>2571</v>
      </c>
      <c r="C413" s="880" t="s">
        <v>3497</v>
      </c>
      <c r="D413" s="880" t="s">
        <v>1993</v>
      </c>
      <c r="E413" s="878" t="s">
        <v>3635</v>
      </c>
      <c r="F413" s="906"/>
      <c r="G413" s="906" t="s">
        <v>3621</v>
      </c>
      <c r="H413" s="906"/>
      <c r="I413" s="878" t="s">
        <v>3526</v>
      </c>
    </row>
    <row r="414" spans="1:9" ht="26.4" x14ac:dyDescent="0.25">
      <c r="A414" s="886">
        <v>312</v>
      </c>
      <c r="B414" s="892" t="s">
        <v>2536</v>
      </c>
      <c r="C414" s="880" t="s">
        <v>3497</v>
      </c>
      <c r="D414" s="880" t="s">
        <v>2537</v>
      </c>
      <c r="E414" s="946">
        <v>43199</v>
      </c>
      <c r="F414" s="906" t="s">
        <v>3479</v>
      </c>
      <c r="G414" s="906"/>
      <c r="H414" s="906"/>
      <c r="I414" s="878" t="s">
        <v>3526</v>
      </c>
    </row>
    <row r="415" spans="1:9" x14ac:dyDescent="0.25">
      <c r="A415" s="886">
        <v>313</v>
      </c>
      <c r="B415" s="892" t="s">
        <v>2561</v>
      </c>
      <c r="C415" s="880" t="s">
        <v>3497</v>
      </c>
      <c r="D415" s="880" t="s">
        <v>144</v>
      </c>
      <c r="E415" s="878"/>
      <c r="F415" s="906"/>
      <c r="G415" s="906"/>
      <c r="H415" s="906"/>
      <c r="I415" s="878" t="s">
        <v>3526</v>
      </c>
    </row>
    <row r="416" spans="1:9" ht="92.4" x14ac:dyDescent="0.25">
      <c r="A416" s="886">
        <v>314</v>
      </c>
      <c r="B416" s="942" t="s">
        <v>2637</v>
      </c>
      <c r="C416" s="880" t="s">
        <v>3497</v>
      </c>
      <c r="D416" s="880" t="s">
        <v>2094</v>
      </c>
      <c r="E416" s="878"/>
      <c r="F416" s="906"/>
      <c r="G416" s="906" t="s">
        <v>3540</v>
      </c>
      <c r="H416" s="906"/>
      <c r="I416" s="878" t="s">
        <v>3314</v>
      </c>
    </row>
    <row r="417" spans="1:9" ht="26.4" x14ac:dyDescent="0.25">
      <c r="A417" s="886">
        <v>315</v>
      </c>
      <c r="B417" s="942" t="s">
        <v>2678</v>
      </c>
      <c r="C417" s="880" t="s">
        <v>3497</v>
      </c>
      <c r="D417" s="880" t="s">
        <v>2679</v>
      </c>
      <c r="E417" s="878" t="s">
        <v>3900</v>
      </c>
      <c r="F417" s="906" t="s">
        <v>3899</v>
      </c>
      <c r="G417" s="906"/>
      <c r="H417" s="906"/>
      <c r="I417" s="878" t="s">
        <v>3525</v>
      </c>
    </row>
    <row r="418" spans="1:9" ht="66" x14ac:dyDescent="0.25">
      <c r="A418" s="886">
        <v>316</v>
      </c>
      <c r="B418" s="942" t="s">
        <v>2652</v>
      </c>
      <c r="C418" s="880" t="s">
        <v>3497</v>
      </c>
      <c r="D418" s="880" t="s">
        <v>2124</v>
      </c>
      <c r="E418" s="878"/>
      <c r="F418" s="906"/>
      <c r="G418" s="906" t="s">
        <v>3541</v>
      </c>
      <c r="H418" s="906"/>
      <c r="I418" s="878" t="s">
        <v>3314</v>
      </c>
    </row>
    <row r="419" spans="1:9" ht="26.4" x14ac:dyDescent="0.25">
      <c r="A419" s="886">
        <v>317</v>
      </c>
      <c r="B419" s="942" t="s">
        <v>2694</v>
      </c>
      <c r="C419" s="880" t="s">
        <v>3497</v>
      </c>
      <c r="D419" s="880" t="s">
        <v>2695</v>
      </c>
      <c r="E419" s="878"/>
      <c r="F419" s="906"/>
      <c r="G419" s="906" t="s">
        <v>3542</v>
      </c>
      <c r="H419" s="906"/>
      <c r="I419" s="878" t="s">
        <v>3314</v>
      </c>
    </row>
    <row r="420" spans="1:9" ht="39.6" x14ac:dyDescent="0.25">
      <c r="A420" s="886">
        <v>318</v>
      </c>
      <c r="B420" s="942" t="s">
        <v>2692</v>
      </c>
      <c r="C420" s="880" t="s">
        <v>3497</v>
      </c>
      <c r="D420" s="880" t="s">
        <v>1861</v>
      </c>
      <c r="E420" s="878" t="s">
        <v>4131</v>
      </c>
      <c r="F420" s="906" t="s">
        <v>4132</v>
      </c>
      <c r="G420" s="906" t="s">
        <v>3543</v>
      </c>
      <c r="H420" s="906"/>
      <c r="I420" s="878" t="s">
        <v>3314</v>
      </c>
    </row>
    <row r="421" spans="1:9" ht="198" x14ac:dyDescent="0.25">
      <c r="A421" s="886">
        <v>319</v>
      </c>
      <c r="B421" s="892" t="s">
        <v>2718</v>
      </c>
      <c r="C421" s="880" t="s">
        <v>3497</v>
      </c>
      <c r="D421" s="880" t="s">
        <v>1337</v>
      </c>
      <c r="E421" s="878"/>
      <c r="F421" s="906"/>
      <c r="G421" s="906" t="s">
        <v>3544</v>
      </c>
      <c r="H421" s="906"/>
      <c r="I421" s="878" t="s">
        <v>3314</v>
      </c>
    </row>
    <row r="422" spans="1:9" ht="26.4" x14ac:dyDescent="0.3">
      <c r="A422" s="886">
        <v>320</v>
      </c>
      <c r="B422" s="952" t="s">
        <v>2748</v>
      </c>
      <c r="C422" s="880" t="s">
        <v>3497</v>
      </c>
      <c r="D422" s="880" t="s">
        <v>1344</v>
      </c>
      <c r="E422" s="878" t="s">
        <v>3634</v>
      </c>
      <c r="F422" s="906" t="s">
        <v>3479</v>
      </c>
      <c r="G422" s="906"/>
      <c r="H422" s="906"/>
      <c r="I422" s="878" t="s">
        <v>3526</v>
      </c>
    </row>
    <row r="423" spans="1:9" ht="26.4" x14ac:dyDescent="0.25">
      <c r="A423" s="886">
        <v>321</v>
      </c>
      <c r="B423" s="942" t="s">
        <v>2733</v>
      </c>
      <c r="C423" s="880" t="s">
        <v>3497</v>
      </c>
      <c r="D423" s="880" t="s">
        <v>2732</v>
      </c>
      <c r="E423" s="878" t="s">
        <v>3628</v>
      </c>
      <c r="F423" s="906" t="s">
        <v>3479</v>
      </c>
      <c r="G423" s="906"/>
      <c r="H423" s="906"/>
      <c r="I423" s="878" t="s">
        <v>3525</v>
      </c>
    </row>
    <row r="424" spans="1:9" ht="26.4" x14ac:dyDescent="0.25">
      <c r="A424" s="886">
        <v>322</v>
      </c>
      <c r="B424" s="942" t="s">
        <v>2779</v>
      </c>
      <c r="C424" s="880" t="s">
        <v>3497</v>
      </c>
      <c r="D424" s="880" t="s">
        <v>2780</v>
      </c>
      <c r="E424" s="878" t="s">
        <v>4737</v>
      </c>
      <c r="F424" s="906" t="s">
        <v>3899</v>
      </c>
      <c r="G424" s="906"/>
      <c r="H424" s="906"/>
      <c r="I424" s="878" t="s">
        <v>3314</v>
      </c>
    </row>
    <row r="425" spans="1:9" ht="26.4" x14ac:dyDescent="0.25">
      <c r="A425" s="886">
        <v>323</v>
      </c>
      <c r="B425" s="942" t="s">
        <v>2819</v>
      </c>
      <c r="C425" s="880" t="s">
        <v>3497</v>
      </c>
      <c r="D425" s="880" t="s">
        <v>2792</v>
      </c>
      <c r="E425" s="878"/>
      <c r="F425" s="906"/>
      <c r="G425" s="906" t="s">
        <v>3545</v>
      </c>
      <c r="H425" s="906"/>
      <c r="I425" s="878" t="s">
        <v>3314</v>
      </c>
    </row>
    <row r="426" spans="1:9" ht="26.4" x14ac:dyDescent="0.25">
      <c r="A426" s="886">
        <v>324</v>
      </c>
      <c r="B426" s="942" t="s">
        <v>2499</v>
      </c>
      <c r="C426" s="880" t="s">
        <v>3497</v>
      </c>
      <c r="D426" s="880" t="s">
        <v>3536</v>
      </c>
      <c r="E426" s="878" t="s">
        <v>3629</v>
      </c>
      <c r="F426" s="906" t="s">
        <v>3479</v>
      </c>
      <c r="G426" s="906" t="s">
        <v>3662</v>
      </c>
      <c r="H426" s="906"/>
      <c r="I426" s="878" t="s">
        <v>3526</v>
      </c>
    </row>
    <row r="427" spans="1:9" ht="26.4" x14ac:dyDescent="0.25">
      <c r="A427" s="886">
        <v>325</v>
      </c>
      <c r="B427" s="942" t="s">
        <v>2455</v>
      </c>
      <c r="C427" s="880" t="s">
        <v>3497</v>
      </c>
      <c r="D427" s="880" t="s">
        <v>284</v>
      </c>
      <c r="E427" s="878" t="s">
        <v>3630</v>
      </c>
      <c r="F427" s="906" t="s">
        <v>3479</v>
      </c>
      <c r="G427" s="906" t="s">
        <v>3661</v>
      </c>
      <c r="H427" s="906"/>
      <c r="I427" s="878" t="s">
        <v>3526</v>
      </c>
    </row>
    <row r="428" spans="1:9" ht="26.4" x14ac:dyDescent="0.25">
      <c r="A428" s="886">
        <v>326</v>
      </c>
      <c r="B428" s="942" t="s">
        <v>2795</v>
      </c>
      <c r="C428" s="880" t="s">
        <v>3497</v>
      </c>
      <c r="D428" s="880" t="s">
        <v>152</v>
      </c>
      <c r="E428" s="878" t="s">
        <v>4040</v>
      </c>
      <c r="F428" s="906" t="s">
        <v>4132</v>
      </c>
      <c r="G428" s="906"/>
      <c r="H428" s="906"/>
      <c r="I428" s="878"/>
    </row>
    <row r="429" spans="1:9" x14ac:dyDescent="0.25">
      <c r="A429" s="886">
        <v>327</v>
      </c>
      <c r="B429" s="892" t="s">
        <v>2758</v>
      </c>
      <c r="C429" s="880" t="s">
        <v>3497</v>
      </c>
      <c r="D429" s="880" t="s">
        <v>3537</v>
      </c>
      <c r="E429" s="878"/>
      <c r="F429" s="906"/>
      <c r="G429" s="906"/>
      <c r="H429" s="906"/>
      <c r="I429" s="878"/>
    </row>
    <row r="430" spans="1:9" ht="26.4" x14ac:dyDescent="0.25">
      <c r="A430" s="886">
        <v>328</v>
      </c>
      <c r="B430" s="942" t="s">
        <v>2752</v>
      </c>
      <c r="C430" s="880" t="s">
        <v>3497</v>
      </c>
      <c r="D430" s="880" t="s">
        <v>2753</v>
      </c>
      <c r="E430" s="878" t="s">
        <v>3923</v>
      </c>
      <c r="F430" s="906" t="s">
        <v>3479</v>
      </c>
      <c r="G430" s="906"/>
      <c r="H430" s="906"/>
      <c r="I430" s="878"/>
    </row>
    <row r="431" spans="1:9" ht="26.4" x14ac:dyDescent="0.25">
      <c r="A431" s="878">
        <v>329</v>
      </c>
      <c r="B431" s="941" t="s">
        <v>2786</v>
      </c>
      <c r="C431" s="916" t="s">
        <v>3497</v>
      </c>
      <c r="D431" s="916" t="s">
        <v>3626</v>
      </c>
      <c r="E431" s="923" t="s">
        <v>3627</v>
      </c>
      <c r="F431" s="924" t="s">
        <v>3479</v>
      </c>
      <c r="G431" s="918"/>
      <c r="H431" s="918"/>
      <c r="I431" s="917" t="s">
        <v>3526</v>
      </c>
    </row>
    <row r="432" spans="1:9" ht="26.4" x14ac:dyDescent="0.25">
      <c r="A432" s="878">
        <v>330</v>
      </c>
      <c r="B432" s="941" t="s">
        <v>2547</v>
      </c>
      <c r="C432" s="916" t="s">
        <v>3497</v>
      </c>
      <c r="D432" s="916" t="s">
        <v>3636</v>
      </c>
      <c r="E432" s="923" t="s">
        <v>3637</v>
      </c>
      <c r="F432" s="924" t="s">
        <v>3479</v>
      </c>
      <c r="G432" s="918"/>
      <c r="H432" s="918"/>
      <c r="I432" s="917" t="s">
        <v>3526</v>
      </c>
    </row>
    <row r="433" spans="1:9" ht="26.4" x14ac:dyDescent="0.25">
      <c r="A433" s="917">
        <v>404</v>
      </c>
      <c r="B433" s="941" t="s">
        <v>2574</v>
      </c>
      <c r="C433" s="916" t="s">
        <v>3497</v>
      </c>
      <c r="D433" s="916" t="s">
        <v>3674</v>
      </c>
      <c r="E433" s="923" t="s">
        <v>3675</v>
      </c>
      <c r="F433" s="924" t="s">
        <v>3479</v>
      </c>
      <c r="G433" s="918" t="s">
        <v>3823</v>
      </c>
      <c r="H433" s="918"/>
      <c r="I433" s="917"/>
    </row>
    <row r="434" spans="1:9" ht="26.4" x14ac:dyDescent="0.25">
      <c r="A434" s="917">
        <v>405</v>
      </c>
      <c r="B434" s="941" t="s">
        <v>2645</v>
      </c>
      <c r="C434" s="916" t="s">
        <v>3497</v>
      </c>
      <c r="D434" s="916" t="s">
        <v>3094</v>
      </c>
      <c r="E434" s="923" t="s">
        <v>3725</v>
      </c>
      <c r="F434" s="924" t="s">
        <v>3479</v>
      </c>
      <c r="G434" s="924" t="s">
        <v>3726</v>
      </c>
      <c r="H434" s="918"/>
      <c r="I434" s="917"/>
    </row>
    <row r="435" spans="1:9" ht="26.4" x14ac:dyDescent="0.25">
      <c r="A435" s="917">
        <v>406</v>
      </c>
      <c r="B435" s="917" t="s">
        <v>2642</v>
      </c>
      <c r="C435" s="916" t="s">
        <v>3497</v>
      </c>
      <c r="D435" s="916" t="s">
        <v>3104</v>
      </c>
      <c r="E435" s="923" t="s">
        <v>3733</v>
      </c>
      <c r="F435" s="924" t="s">
        <v>3479</v>
      </c>
      <c r="G435" s="924" t="s">
        <v>3734</v>
      </c>
      <c r="H435" s="918"/>
      <c r="I435" s="917"/>
    </row>
    <row r="436" spans="1:9" ht="26.4" x14ac:dyDescent="0.25">
      <c r="A436" s="917">
        <v>407</v>
      </c>
      <c r="B436" s="941" t="s">
        <v>2593</v>
      </c>
      <c r="C436" s="916" t="s">
        <v>3497</v>
      </c>
      <c r="D436" s="920" t="s">
        <v>3807</v>
      </c>
      <c r="E436" s="923" t="s">
        <v>3808</v>
      </c>
      <c r="F436" s="924" t="s">
        <v>3479</v>
      </c>
      <c r="G436" s="924" t="s">
        <v>3822</v>
      </c>
      <c r="H436" s="918"/>
      <c r="I436" s="917"/>
    </row>
    <row r="437" spans="1:9" ht="26.4" x14ac:dyDescent="0.25">
      <c r="A437" s="917">
        <v>408</v>
      </c>
      <c r="B437" s="941" t="s">
        <v>2556</v>
      </c>
      <c r="C437" s="916" t="s">
        <v>3497</v>
      </c>
      <c r="D437" s="916" t="s">
        <v>3809</v>
      </c>
      <c r="E437" s="923" t="s">
        <v>3810</v>
      </c>
      <c r="F437" s="924" t="s">
        <v>3479</v>
      </c>
      <c r="G437" s="918"/>
      <c r="H437" s="918"/>
      <c r="I437" s="917"/>
    </row>
    <row r="438" spans="1:9" ht="26.4" x14ac:dyDescent="0.25">
      <c r="A438" s="917">
        <v>409</v>
      </c>
      <c r="B438" s="917" t="s">
        <v>2856</v>
      </c>
      <c r="C438" s="916" t="s">
        <v>3498</v>
      </c>
      <c r="D438" s="916" t="s">
        <v>2860</v>
      </c>
      <c r="E438" s="923" t="s">
        <v>3819</v>
      </c>
      <c r="F438" s="924" t="s">
        <v>3525</v>
      </c>
      <c r="G438" s="924" t="s">
        <v>3832</v>
      </c>
      <c r="H438" s="924" t="s">
        <v>3846</v>
      </c>
      <c r="I438" s="917"/>
    </row>
    <row r="439" spans="1:9" ht="26.4" x14ac:dyDescent="0.25">
      <c r="A439" s="917">
        <v>410</v>
      </c>
      <c r="B439" s="941" t="s">
        <v>2519</v>
      </c>
      <c r="C439" s="916" t="s">
        <v>3497</v>
      </c>
      <c r="D439" s="916" t="s">
        <v>3565</v>
      </c>
      <c r="E439" s="923" t="s">
        <v>3868</v>
      </c>
      <c r="F439" s="924" t="s">
        <v>3479</v>
      </c>
      <c r="G439" s="924" t="s">
        <v>3869</v>
      </c>
      <c r="H439" s="918"/>
      <c r="I439" s="917"/>
    </row>
    <row r="440" spans="1:9" ht="26.4" x14ac:dyDescent="0.25">
      <c r="A440" s="917">
        <v>411</v>
      </c>
      <c r="B440" s="941" t="s">
        <v>3552</v>
      </c>
      <c r="C440" s="916" t="s">
        <v>3497</v>
      </c>
      <c r="D440" s="916" t="s">
        <v>3722</v>
      </c>
      <c r="E440" s="923" t="s">
        <v>3875</v>
      </c>
      <c r="F440" s="924" t="s">
        <v>3479</v>
      </c>
      <c r="G440" s="918"/>
      <c r="H440" s="918"/>
      <c r="I440" s="917"/>
    </row>
    <row r="441" spans="1:9" ht="26.4" x14ac:dyDescent="0.25">
      <c r="A441" s="917">
        <v>412</v>
      </c>
      <c r="B441" s="941" t="s">
        <v>3556</v>
      </c>
      <c r="C441" s="916" t="s">
        <v>3497</v>
      </c>
      <c r="D441" s="916" t="s">
        <v>3722</v>
      </c>
      <c r="E441" s="923" t="s">
        <v>3877</v>
      </c>
      <c r="F441" s="924" t="s">
        <v>3479</v>
      </c>
      <c r="G441" s="918"/>
      <c r="H441" s="918"/>
      <c r="I441" s="917"/>
    </row>
    <row r="442" spans="1:9" ht="14.4" x14ac:dyDescent="0.25">
      <c r="A442" s="917">
        <v>413</v>
      </c>
      <c r="B442" s="941" t="s">
        <v>2907</v>
      </c>
      <c r="C442" s="916" t="s">
        <v>3497</v>
      </c>
      <c r="D442" s="916" t="s">
        <v>1033</v>
      </c>
      <c r="E442" s="923"/>
      <c r="F442" s="924"/>
      <c r="G442" s="918"/>
      <c r="H442" s="918"/>
      <c r="I442" s="917"/>
    </row>
    <row r="443" spans="1:9" ht="26.4" x14ac:dyDescent="0.25">
      <c r="A443" s="917">
        <v>414</v>
      </c>
      <c r="B443" s="917" t="s">
        <v>2682</v>
      </c>
      <c r="C443" s="916" t="s">
        <v>3497</v>
      </c>
      <c r="D443" s="916" t="s">
        <v>3897</v>
      </c>
      <c r="E443" s="923" t="s">
        <v>3898</v>
      </c>
      <c r="F443" s="924" t="s">
        <v>3899</v>
      </c>
      <c r="G443" s="918"/>
      <c r="H443" s="918"/>
      <c r="I443" s="917"/>
    </row>
    <row r="444" spans="1:9" ht="14.4" x14ac:dyDescent="0.25">
      <c r="A444" s="917">
        <v>415</v>
      </c>
      <c r="B444" s="943" t="s">
        <v>2977</v>
      </c>
      <c r="C444" s="414" t="s">
        <v>3497</v>
      </c>
      <c r="D444" s="414" t="s">
        <v>2978</v>
      </c>
      <c r="E444" s="923"/>
      <c r="F444" s="924" t="s">
        <v>3357</v>
      </c>
      <c r="G444" s="918"/>
      <c r="H444" s="918"/>
      <c r="I444" s="917"/>
    </row>
    <row r="445" spans="1:9" x14ac:dyDescent="0.25">
      <c r="A445" s="917">
        <v>416</v>
      </c>
      <c r="B445" s="917" t="s">
        <v>3904</v>
      </c>
      <c r="C445" s="916" t="s">
        <v>3497</v>
      </c>
      <c r="D445" s="834" t="s">
        <v>2023</v>
      </c>
      <c r="E445" s="923"/>
      <c r="F445" s="924" t="s">
        <v>3899</v>
      </c>
      <c r="G445" s="918"/>
      <c r="H445" s="918"/>
      <c r="I445" s="917"/>
    </row>
    <row r="446" spans="1:9" ht="26.4" x14ac:dyDescent="0.25">
      <c r="A446" s="917">
        <v>417</v>
      </c>
      <c r="B446" s="941" t="s">
        <v>3679</v>
      </c>
      <c r="C446" s="916" t="s">
        <v>3497</v>
      </c>
      <c r="D446" s="916" t="s">
        <v>3905</v>
      </c>
      <c r="E446" s="923" t="s">
        <v>4753</v>
      </c>
      <c r="F446" s="924" t="s">
        <v>3899</v>
      </c>
      <c r="G446" s="918"/>
      <c r="H446" s="918"/>
      <c r="I446" s="917"/>
    </row>
    <row r="447" spans="1:9" ht="26.4" x14ac:dyDescent="0.25">
      <c r="A447" s="917">
        <v>418</v>
      </c>
      <c r="B447" s="941" t="s">
        <v>2655</v>
      </c>
      <c r="C447" s="916" t="s">
        <v>3497</v>
      </c>
      <c r="D447" s="916" t="s">
        <v>3907</v>
      </c>
      <c r="E447" s="923" t="s">
        <v>4736</v>
      </c>
      <c r="F447" s="924" t="s">
        <v>3899</v>
      </c>
      <c r="G447" s="918"/>
      <c r="H447" s="918"/>
      <c r="I447" s="917"/>
    </row>
    <row r="448" spans="1:9" ht="14.4" x14ac:dyDescent="0.25">
      <c r="A448" s="917">
        <v>419</v>
      </c>
      <c r="B448" s="941" t="s">
        <v>2768</v>
      </c>
      <c r="C448" s="916" t="s">
        <v>3497</v>
      </c>
      <c r="D448" s="916" t="s">
        <v>3205</v>
      </c>
      <c r="E448" s="923"/>
      <c r="F448" s="924" t="s">
        <v>3899</v>
      </c>
      <c r="G448" s="918"/>
      <c r="H448" s="918"/>
      <c r="I448" s="917"/>
    </row>
    <row r="449" spans="1:9" ht="26.4" x14ac:dyDescent="0.25">
      <c r="A449" s="917">
        <v>420</v>
      </c>
      <c r="B449" s="941" t="s">
        <v>2836</v>
      </c>
      <c r="C449" s="916" t="s">
        <v>3497</v>
      </c>
      <c r="D449" s="916" t="s">
        <v>3238</v>
      </c>
      <c r="E449" s="945" t="s">
        <v>4743</v>
      </c>
      <c r="F449" s="924" t="s">
        <v>3899</v>
      </c>
      <c r="G449" s="918"/>
      <c r="H449" s="918"/>
      <c r="I449" s="917"/>
    </row>
    <row r="450" spans="1:9" ht="26.4" x14ac:dyDescent="0.25">
      <c r="A450" s="917">
        <v>421</v>
      </c>
      <c r="B450" s="941" t="s">
        <v>3056</v>
      </c>
      <c r="C450" s="916" t="s">
        <v>3497</v>
      </c>
      <c r="D450" s="916" t="s">
        <v>3386</v>
      </c>
      <c r="E450" s="945" t="s">
        <v>4038</v>
      </c>
      <c r="F450" s="924" t="s">
        <v>3899</v>
      </c>
      <c r="G450" s="918"/>
      <c r="H450" s="918"/>
      <c r="I450" s="917"/>
    </row>
    <row r="451" spans="1:9" ht="26.4" x14ac:dyDescent="0.25">
      <c r="A451" s="917">
        <v>422</v>
      </c>
      <c r="B451" s="941" t="s">
        <v>3697</v>
      </c>
      <c r="C451" s="916" t="s">
        <v>3497</v>
      </c>
      <c r="D451" s="916" t="s">
        <v>3910</v>
      </c>
      <c r="E451" s="945" t="s">
        <v>4743</v>
      </c>
      <c r="F451" s="924" t="s">
        <v>3899</v>
      </c>
      <c r="G451" s="918"/>
      <c r="H451" s="918"/>
      <c r="I451" s="917"/>
    </row>
    <row r="452" spans="1:9" ht="23.25" customHeight="1" x14ac:dyDescent="0.25">
      <c r="A452" s="917">
        <v>423</v>
      </c>
      <c r="B452" s="941" t="s">
        <v>3592</v>
      </c>
      <c r="C452" s="916" t="s">
        <v>3497</v>
      </c>
      <c r="D452" s="916" t="s">
        <v>3593</v>
      </c>
      <c r="E452" s="923" t="s">
        <v>3911</v>
      </c>
      <c r="F452" s="924" t="s">
        <v>3479</v>
      </c>
      <c r="G452" s="918"/>
      <c r="H452" s="918"/>
      <c r="I452" s="917"/>
    </row>
    <row r="453" spans="1:9" ht="26.4" x14ac:dyDescent="0.25">
      <c r="A453" s="917">
        <v>424</v>
      </c>
      <c r="B453" s="941" t="s">
        <v>3059</v>
      </c>
      <c r="C453" s="916" t="s">
        <v>3497</v>
      </c>
      <c r="D453" s="916" t="s">
        <v>3912</v>
      </c>
      <c r="E453" s="923" t="s">
        <v>3913</v>
      </c>
      <c r="F453" s="924" t="s">
        <v>3479</v>
      </c>
      <c r="G453" s="918"/>
      <c r="H453" s="918"/>
      <c r="I453" s="917"/>
    </row>
    <row r="454" spans="1:9" ht="26.4" x14ac:dyDescent="0.25">
      <c r="A454" s="917">
        <v>425</v>
      </c>
      <c r="B454" s="941" t="s">
        <v>2578</v>
      </c>
      <c r="C454" s="916" t="s">
        <v>3497</v>
      </c>
      <c r="D454" s="916" t="s">
        <v>38</v>
      </c>
      <c r="E454" s="923" t="s">
        <v>3914</v>
      </c>
      <c r="F454" s="924" t="s">
        <v>3479</v>
      </c>
      <c r="G454" s="918"/>
      <c r="H454" s="918"/>
      <c r="I454" s="917"/>
    </row>
    <row r="455" spans="1:9" ht="27" x14ac:dyDescent="0.3">
      <c r="A455" s="917">
        <v>426</v>
      </c>
      <c r="B455" s="948" t="s">
        <v>2813</v>
      </c>
      <c r="C455" s="916" t="s">
        <v>3497</v>
      </c>
      <c r="D455" s="920" t="s">
        <v>3915</v>
      </c>
      <c r="E455" s="923" t="s">
        <v>3916</v>
      </c>
      <c r="F455" s="924" t="s">
        <v>3479</v>
      </c>
      <c r="G455" s="918"/>
      <c r="H455" s="918"/>
      <c r="I455" s="917"/>
    </row>
    <row r="456" spans="1:9" ht="14.4" x14ac:dyDescent="0.25">
      <c r="A456" s="917">
        <v>427</v>
      </c>
      <c r="B456" s="941" t="s">
        <v>2885</v>
      </c>
      <c r="C456" s="916" t="s">
        <v>3497</v>
      </c>
      <c r="D456" s="916" t="s">
        <v>3925</v>
      </c>
      <c r="E456" s="917"/>
      <c r="F456" s="918"/>
      <c r="G456" s="918"/>
      <c r="H456" s="918"/>
      <c r="I456" s="917"/>
    </row>
    <row r="457" spans="1:9" ht="26.4" x14ac:dyDescent="0.25">
      <c r="A457" s="917">
        <v>428</v>
      </c>
      <c r="B457" s="917" t="s">
        <v>3651</v>
      </c>
      <c r="C457" s="916" t="s">
        <v>3497</v>
      </c>
      <c r="D457" s="916" t="s">
        <v>2582</v>
      </c>
      <c r="E457" s="923" t="s">
        <v>4749</v>
      </c>
      <c r="F457" s="918" t="s">
        <v>3899</v>
      </c>
      <c r="G457" s="918"/>
      <c r="H457" s="918"/>
      <c r="I457" s="917"/>
    </row>
    <row r="458" spans="1:9" x14ac:dyDescent="0.25">
      <c r="A458" s="917">
        <v>429</v>
      </c>
      <c r="B458" s="917" t="s">
        <v>2605</v>
      </c>
      <c r="C458" s="916" t="s">
        <v>3497</v>
      </c>
      <c r="D458" s="916" t="s">
        <v>3987</v>
      </c>
      <c r="E458" s="917"/>
      <c r="F458" s="918"/>
      <c r="G458" s="918"/>
      <c r="H458" s="918"/>
      <c r="I458" s="917"/>
    </row>
    <row r="459" spans="1:9" ht="14.4" x14ac:dyDescent="0.25">
      <c r="A459" s="917">
        <v>430</v>
      </c>
      <c r="B459" s="941" t="s">
        <v>2252</v>
      </c>
      <c r="C459" s="916" t="s">
        <v>3497</v>
      </c>
      <c r="D459" s="916" t="s">
        <v>3988</v>
      </c>
      <c r="E459" s="917"/>
      <c r="F459" s="918"/>
      <c r="G459" s="918"/>
      <c r="H459" s="918"/>
      <c r="I459" s="917"/>
    </row>
    <row r="460" spans="1:9" ht="26.4" x14ac:dyDescent="0.25">
      <c r="A460" s="917">
        <v>431</v>
      </c>
      <c r="B460" s="941" t="s">
        <v>2844</v>
      </c>
      <c r="C460" s="916" t="s">
        <v>3497</v>
      </c>
      <c r="D460" s="916" t="s">
        <v>3992</v>
      </c>
      <c r="E460" s="923" t="s">
        <v>4745</v>
      </c>
      <c r="F460" s="918" t="s">
        <v>3899</v>
      </c>
      <c r="G460" s="918"/>
      <c r="H460" s="918"/>
      <c r="I460" s="917"/>
    </row>
    <row r="461" spans="1:9" ht="14.4" x14ac:dyDescent="0.25">
      <c r="A461" s="917">
        <v>432</v>
      </c>
      <c r="B461" s="941" t="s">
        <v>2545</v>
      </c>
      <c r="C461" s="916" t="s">
        <v>3497</v>
      </c>
      <c r="D461" s="916" t="s">
        <v>3993</v>
      </c>
      <c r="E461" s="917"/>
      <c r="F461" s="918"/>
      <c r="G461" s="918"/>
      <c r="H461" s="918"/>
      <c r="I461" s="917"/>
    </row>
    <row r="462" spans="1:9" ht="26.4" x14ac:dyDescent="0.25">
      <c r="A462" s="917">
        <v>433</v>
      </c>
      <c r="B462" s="941" t="s">
        <v>2831</v>
      </c>
      <c r="C462" s="916" t="s">
        <v>3497</v>
      </c>
      <c r="D462" s="916" t="s">
        <v>3995</v>
      </c>
      <c r="E462" s="923" t="s">
        <v>4744</v>
      </c>
      <c r="F462" s="924" t="s">
        <v>3899</v>
      </c>
      <c r="G462" s="918"/>
      <c r="H462" s="918"/>
      <c r="I462" s="917"/>
    </row>
    <row r="463" spans="1:9" ht="26.4" x14ac:dyDescent="0.25">
      <c r="A463" s="917">
        <v>434</v>
      </c>
      <c r="B463" s="941" t="s">
        <v>3548</v>
      </c>
      <c r="C463" s="916" t="s">
        <v>3497</v>
      </c>
      <c r="D463" s="916" t="s">
        <v>3996</v>
      </c>
      <c r="E463" s="923" t="s">
        <v>4010</v>
      </c>
      <c r="F463" s="924" t="s">
        <v>3479</v>
      </c>
      <c r="G463" s="918"/>
      <c r="H463" s="918"/>
      <c r="I463" s="917"/>
    </row>
    <row r="464" spans="1:9" ht="39.6" x14ac:dyDescent="0.25">
      <c r="A464" s="917">
        <v>435</v>
      </c>
      <c r="B464" s="941" t="s">
        <v>3658</v>
      </c>
      <c r="C464" s="916" t="s">
        <v>3497</v>
      </c>
      <c r="D464" s="916" t="s">
        <v>4006</v>
      </c>
      <c r="E464" s="923" t="s">
        <v>4007</v>
      </c>
      <c r="F464" s="924" t="s">
        <v>3479</v>
      </c>
      <c r="G464" s="918"/>
      <c r="H464" s="918"/>
      <c r="I464" s="917"/>
    </row>
    <row r="465" spans="1:9" ht="26.4" x14ac:dyDescent="0.25">
      <c r="A465" s="917">
        <v>436</v>
      </c>
      <c r="B465" s="941" t="s">
        <v>2926</v>
      </c>
      <c r="C465" s="916" t="s">
        <v>3497</v>
      </c>
      <c r="D465" s="916" t="s">
        <v>4008</v>
      </c>
      <c r="E465" s="923" t="s">
        <v>4009</v>
      </c>
      <c r="F465" s="924" t="s">
        <v>3479</v>
      </c>
      <c r="G465" s="918"/>
      <c r="H465" s="918"/>
      <c r="I465" s="917"/>
    </row>
    <row r="466" spans="1:9" ht="26.4" x14ac:dyDescent="0.25">
      <c r="A466" s="917">
        <v>437</v>
      </c>
      <c r="B466" s="941" t="s">
        <v>2947</v>
      </c>
      <c r="C466" s="916" t="s">
        <v>3497</v>
      </c>
      <c r="D466" s="916" t="s">
        <v>4011</v>
      </c>
      <c r="E466" s="923" t="s">
        <v>4012</v>
      </c>
      <c r="F466" s="924" t="s">
        <v>3479</v>
      </c>
      <c r="G466" s="918"/>
      <c r="H466" s="918"/>
      <c r="I466" s="917"/>
    </row>
    <row r="467" spans="1:9" ht="26.4" x14ac:dyDescent="0.25">
      <c r="A467" s="917">
        <v>438</v>
      </c>
      <c r="B467" s="941" t="s">
        <v>3586</v>
      </c>
      <c r="C467" s="916" t="s">
        <v>3497</v>
      </c>
      <c r="D467" s="916" t="s">
        <v>4013</v>
      </c>
      <c r="E467" s="923" t="s">
        <v>4014</v>
      </c>
      <c r="F467" s="924" t="s">
        <v>3479</v>
      </c>
      <c r="G467" s="918"/>
      <c r="H467" s="918"/>
      <c r="I467" s="917"/>
    </row>
    <row r="468" spans="1:9" ht="14.4" x14ac:dyDescent="0.25">
      <c r="A468" s="917">
        <v>439</v>
      </c>
      <c r="B468" s="941" t="s">
        <v>4016</v>
      </c>
      <c r="C468" s="916" t="s">
        <v>3497</v>
      </c>
      <c r="D468" s="916" t="s">
        <v>73</v>
      </c>
      <c r="E468" s="917"/>
      <c r="F468" s="924"/>
      <c r="G468" s="918"/>
      <c r="H468" s="918"/>
      <c r="I468" s="917"/>
    </row>
    <row r="469" spans="1:9" ht="14.4" x14ac:dyDescent="0.25">
      <c r="A469" s="917">
        <v>440</v>
      </c>
      <c r="B469" s="941" t="s">
        <v>23</v>
      </c>
      <c r="C469" s="916" t="s">
        <v>3497</v>
      </c>
      <c r="D469" s="916" t="s">
        <v>3897</v>
      </c>
      <c r="E469" s="917"/>
      <c r="F469" s="924"/>
      <c r="G469" s="918"/>
      <c r="H469" s="918"/>
      <c r="I469" s="917"/>
    </row>
    <row r="470" spans="1:9" ht="14.4" x14ac:dyDescent="0.25">
      <c r="A470" s="917">
        <v>441</v>
      </c>
      <c r="B470" s="941" t="s">
        <v>225</v>
      </c>
      <c r="C470" s="916" t="s">
        <v>3497</v>
      </c>
      <c r="D470" s="916" t="s">
        <v>4017</v>
      </c>
      <c r="E470" s="917"/>
      <c r="F470" s="924"/>
      <c r="G470" s="918"/>
      <c r="H470" s="918"/>
      <c r="I470" s="917"/>
    </row>
    <row r="471" spans="1:9" ht="14.4" x14ac:dyDescent="0.25">
      <c r="A471" s="917">
        <v>442</v>
      </c>
      <c r="B471" s="941" t="s">
        <v>214</v>
      </c>
      <c r="C471" s="916" t="s">
        <v>3497</v>
      </c>
      <c r="D471" s="916" t="s">
        <v>4020</v>
      </c>
      <c r="E471" s="917"/>
      <c r="F471" s="924"/>
      <c r="G471" s="918"/>
      <c r="H471" s="918"/>
      <c r="I471" s="917"/>
    </row>
    <row r="472" spans="1:9" ht="39.6" x14ac:dyDescent="0.25">
      <c r="A472" s="917">
        <v>443</v>
      </c>
      <c r="B472" s="917" t="s">
        <v>59</v>
      </c>
      <c r="C472" s="916" t="s">
        <v>3498</v>
      </c>
      <c r="D472" s="916" t="s">
        <v>60</v>
      </c>
      <c r="E472" s="917"/>
      <c r="F472" s="924" t="s">
        <v>3899</v>
      </c>
      <c r="G472" s="924" t="s">
        <v>4028</v>
      </c>
      <c r="H472" s="918"/>
      <c r="I472" s="917"/>
    </row>
    <row r="473" spans="1:9" ht="39.6" x14ac:dyDescent="0.25">
      <c r="A473" s="917">
        <v>444</v>
      </c>
      <c r="B473" s="917" t="s">
        <v>147</v>
      </c>
      <c r="C473" s="916" t="s">
        <v>3498</v>
      </c>
      <c r="D473" s="916" t="s">
        <v>148</v>
      </c>
      <c r="E473" s="917"/>
      <c r="F473" s="924" t="s">
        <v>3899</v>
      </c>
      <c r="G473" s="924" t="s">
        <v>4029</v>
      </c>
      <c r="H473" s="918"/>
      <c r="I473" s="917"/>
    </row>
    <row r="474" spans="1:9" ht="26.4" x14ac:dyDescent="0.25">
      <c r="A474" s="917">
        <v>445</v>
      </c>
      <c r="B474" s="941" t="s">
        <v>2866</v>
      </c>
      <c r="C474" s="916" t="s">
        <v>3497</v>
      </c>
      <c r="D474" s="920" t="s">
        <v>1030</v>
      </c>
      <c r="E474" s="917"/>
      <c r="F474" s="924" t="s">
        <v>3899</v>
      </c>
      <c r="G474" s="918"/>
      <c r="H474" s="918"/>
      <c r="I474" s="917"/>
    </row>
    <row r="475" spans="1:9" ht="26.4" x14ac:dyDescent="0.25">
      <c r="A475" s="917">
        <v>446</v>
      </c>
      <c r="B475" s="917" t="s">
        <v>2701</v>
      </c>
      <c r="C475" s="916" t="s">
        <v>3497</v>
      </c>
      <c r="D475" s="916" t="s">
        <v>4032</v>
      </c>
      <c r="E475" s="923" t="s">
        <v>4033</v>
      </c>
      <c r="F475" s="924" t="s">
        <v>4034</v>
      </c>
      <c r="G475" s="924" t="s">
        <v>4133</v>
      </c>
      <c r="H475" s="918"/>
      <c r="I475" s="917"/>
    </row>
    <row r="476" spans="1:9" ht="26.4" x14ac:dyDescent="0.25">
      <c r="A476" s="917">
        <v>447</v>
      </c>
      <c r="B476" s="917" t="s">
        <v>2795</v>
      </c>
      <c r="C476" s="916" t="s">
        <v>3498</v>
      </c>
      <c r="D476" s="916" t="s">
        <v>4035</v>
      </c>
      <c r="E476" s="945" t="s">
        <v>4040</v>
      </c>
      <c r="F476" s="924" t="s">
        <v>4034</v>
      </c>
      <c r="G476" s="918"/>
      <c r="H476" s="918"/>
      <c r="I476" s="917"/>
    </row>
    <row r="477" spans="1:9" ht="26.4" x14ac:dyDescent="0.25">
      <c r="A477" s="917">
        <v>448</v>
      </c>
      <c r="B477" s="941" t="s">
        <v>2876</v>
      </c>
      <c r="C477" s="916" t="s">
        <v>3497</v>
      </c>
      <c r="D477" s="916" t="s">
        <v>4036</v>
      </c>
      <c r="E477" s="923" t="s">
        <v>4037</v>
      </c>
      <c r="F477" s="924" t="s">
        <v>4034</v>
      </c>
      <c r="G477" s="918"/>
      <c r="H477" s="918"/>
      <c r="I477" s="917"/>
    </row>
    <row r="478" spans="1:9" ht="24" customHeight="1" x14ac:dyDescent="0.25">
      <c r="A478" s="917">
        <v>449</v>
      </c>
      <c r="B478" s="941" t="s">
        <v>3715</v>
      </c>
      <c r="C478" s="916" t="s">
        <v>3497</v>
      </c>
      <c r="D478" s="916" t="s">
        <v>4039</v>
      </c>
      <c r="E478" s="923" t="s">
        <v>4043</v>
      </c>
      <c r="F478" s="918" t="s">
        <v>3899</v>
      </c>
      <c r="G478" s="918"/>
      <c r="H478" s="918"/>
      <c r="I478" s="917"/>
    </row>
    <row r="479" spans="1:9" ht="26.4" x14ac:dyDescent="0.25">
      <c r="A479" s="917">
        <v>450</v>
      </c>
      <c r="B479" s="917" t="s">
        <v>39</v>
      </c>
      <c r="C479" s="916" t="s">
        <v>3497</v>
      </c>
      <c r="D479" s="916" t="s">
        <v>3097</v>
      </c>
      <c r="E479" s="923" t="s">
        <v>4042</v>
      </c>
      <c r="F479" s="918" t="s">
        <v>4034</v>
      </c>
      <c r="G479" s="918"/>
      <c r="H479" s="918"/>
      <c r="I479" s="917"/>
    </row>
    <row r="480" spans="1:9" ht="26.4" x14ac:dyDescent="0.25">
      <c r="A480" s="917">
        <v>451</v>
      </c>
      <c r="B480" s="941" t="s">
        <v>2660</v>
      </c>
      <c r="C480" s="916" t="s">
        <v>3497</v>
      </c>
      <c r="D480" s="916" t="s">
        <v>29</v>
      </c>
      <c r="E480" s="923" t="s">
        <v>4046</v>
      </c>
      <c r="F480" s="918" t="s">
        <v>4034</v>
      </c>
      <c r="G480" s="918"/>
      <c r="H480" s="918"/>
      <c r="I480" s="917"/>
    </row>
    <row r="481" spans="1:9" ht="14.4" x14ac:dyDescent="0.25">
      <c r="A481" s="917">
        <v>452</v>
      </c>
      <c r="B481" s="941" t="s">
        <v>3574</v>
      </c>
      <c r="C481" s="916" t="s">
        <v>3497</v>
      </c>
      <c r="D481" s="916" t="s">
        <v>4047</v>
      </c>
      <c r="E481" s="917"/>
      <c r="F481" s="918"/>
      <c r="G481" s="918"/>
      <c r="H481" s="918"/>
      <c r="I481" s="917"/>
    </row>
    <row r="482" spans="1:9" ht="14.4" x14ac:dyDescent="0.25">
      <c r="A482" s="917">
        <v>453</v>
      </c>
      <c r="B482" s="941" t="s">
        <v>2996</v>
      </c>
      <c r="C482" s="916" t="s">
        <v>3497</v>
      </c>
      <c r="D482" s="916" t="s">
        <v>1598</v>
      </c>
      <c r="E482" s="917"/>
      <c r="F482" s="918"/>
      <c r="G482" s="918"/>
      <c r="H482" s="918"/>
      <c r="I482" s="917"/>
    </row>
    <row r="483" spans="1:9" ht="14.4" x14ac:dyDescent="0.25">
      <c r="A483" s="917">
        <v>454</v>
      </c>
      <c r="B483" s="941" t="s">
        <v>54</v>
      </c>
      <c r="C483" s="916" t="s">
        <v>3497</v>
      </c>
      <c r="D483" s="916" t="s">
        <v>3414</v>
      </c>
      <c r="E483" s="917"/>
      <c r="F483" s="918"/>
      <c r="G483" s="918"/>
      <c r="H483" s="918"/>
      <c r="I483" s="917"/>
    </row>
    <row r="484" spans="1:9" ht="14.4" x14ac:dyDescent="0.25">
      <c r="A484" s="917">
        <v>455</v>
      </c>
      <c r="B484" s="941" t="s">
        <v>136</v>
      </c>
      <c r="C484" s="916" t="s">
        <v>3497</v>
      </c>
      <c r="D484" s="916" t="s">
        <v>4055</v>
      </c>
      <c r="E484" s="917"/>
      <c r="F484" s="918"/>
      <c r="G484" s="918"/>
      <c r="H484" s="918"/>
      <c r="I484" s="917"/>
    </row>
    <row r="485" spans="1:9" ht="14.4" x14ac:dyDescent="0.25">
      <c r="A485" s="917">
        <v>456</v>
      </c>
      <c r="B485" s="941" t="s">
        <v>178</v>
      </c>
      <c r="C485" s="916" t="s">
        <v>3497</v>
      </c>
      <c r="D485" s="916" t="s">
        <v>3166</v>
      </c>
      <c r="E485" s="917"/>
      <c r="F485" s="918"/>
      <c r="G485" s="918"/>
      <c r="H485" s="918"/>
      <c r="I485" s="917"/>
    </row>
    <row r="486" spans="1:9" ht="14.4" x14ac:dyDescent="0.25">
      <c r="A486" s="917">
        <v>457</v>
      </c>
      <c r="B486" s="941" t="s">
        <v>119</v>
      </c>
      <c r="C486" s="916" t="s">
        <v>3497</v>
      </c>
      <c r="D486" s="916" t="s">
        <v>398</v>
      </c>
      <c r="E486" s="917"/>
      <c r="F486" s="918"/>
      <c r="G486" s="918"/>
      <c r="H486" s="918"/>
      <c r="I486" s="917"/>
    </row>
    <row r="487" spans="1:9" ht="14.4" x14ac:dyDescent="0.25">
      <c r="A487" s="917">
        <v>458</v>
      </c>
      <c r="B487" s="941" t="s">
        <v>129</v>
      </c>
      <c r="C487" s="916" t="s">
        <v>3497</v>
      </c>
      <c r="D487" s="916" t="s">
        <v>1018</v>
      </c>
      <c r="E487" s="917"/>
      <c r="F487" s="918"/>
      <c r="G487" s="918"/>
      <c r="H487" s="918"/>
      <c r="I487" s="917"/>
    </row>
    <row r="488" spans="1:9" ht="14.4" x14ac:dyDescent="0.25">
      <c r="A488" s="917">
        <v>459</v>
      </c>
      <c r="B488" s="941" t="s">
        <v>207</v>
      </c>
      <c r="C488" s="916" t="s">
        <v>3497</v>
      </c>
      <c r="D488" s="916" t="s">
        <v>3576</v>
      </c>
      <c r="E488" s="917"/>
      <c r="F488" s="924"/>
      <c r="G488" s="918"/>
      <c r="H488" s="918"/>
      <c r="I488" s="917"/>
    </row>
    <row r="489" spans="1:9" ht="14.4" x14ac:dyDescent="0.25">
      <c r="A489" s="917">
        <v>460</v>
      </c>
      <c r="B489" s="941" t="s">
        <v>599</v>
      </c>
      <c r="C489" s="916" t="s">
        <v>3497</v>
      </c>
      <c r="D489" s="916" t="s">
        <v>4061</v>
      </c>
      <c r="E489" s="917"/>
      <c r="F489" s="924"/>
      <c r="G489" s="918"/>
      <c r="H489" s="918"/>
      <c r="I489" s="917"/>
    </row>
    <row r="490" spans="1:9" ht="14.4" x14ac:dyDescent="0.25">
      <c r="A490" s="917">
        <v>461</v>
      </c>
      <c r="B490" s="941" t="s">
        <v>61</v>
      </c>
      <c r="C490" s="916" t="s">
        <v>3497</v>
      </c>
      <c r="D490" s="916" t="s">
        <v>436</v>
      </c>
      <c r="E490" s="917"/>
      <c r="F490" s="924"/>
      <c r="G490" s="918"/>
      <c r="H490" s="918"/>
      <c r="I490" s="917"/>
    </row>
    <row r="491" spans="1:9" ht="14.4" x14ac:dyDescent="0.25">
      <c r="A491" s="917">
        <v>462</v>
      </c>
      <c r="B491" s="941" t="s">
        <v>216</v>
      </c>
      <c r="C491" s="916" t="s">
        <v>3497</v>
      </c>
      <c r="D491" s="916" t="s">
        <v>4064</v>
      </c>
      <c r="E491" s="917"/>
      <c r="F491" s="924"/>
      <c r="G491" s="918"/>
      <c r="H491" s="918"/>
      <c r="I491" s="917"/>
    </row>
    <row r="492" spans="1:9" ht="14.4" x14ac:dyDescent="0.25">
      <c r="A492" s="917">
        <v>463</v>
      </c>
      <c r="B492" s="941" t="s">
        <v>116</v>
      </c>
      <c r="C492" s="916" t="s">
        <v>3497</v>
      </c>
      <c r="D492" s="916" t="s">
        <v>418</v>
      </c>
      <c r="E492" s="917"/>
      <c r="F492" s="924"/>
      <c r="G492" s="918"/>
      <c r="H492" s="918"/>
      <c r="I492" s="917"/>
    </row>
    <row r="493" spans="1:9" ht="14.4" x14ac:dyDescent="0.25">
      <c r="A493" s="917">
        <v>464</v>
      </c>
      <c r="B493" s="941" t="s">
        <v>589</v>
      </c>
      <c r="C493" s="916" t="s">
        <v>3497</v>
      </c>
      <c r="D493" s="916" t="s">
        <v>426</v>
      </c>
      <c r="E493" s="917"/>
      <c r="F493" s="924"/>
      <c r="G493" s="918"/>
      <c r="H493" s="918"/>
      <c r="I493" s="917"/>
    </row>
    <row r="494" spans="1:9" ht="14.4" x14ac:dyDescent="0.25">
      <c r="A494" s="917">
        <v>465</v>
      </c>
      <c r="B494" s="941" t="s">
        <v>112</v>
      </c>
      <c r="C494" s="916" t="s">
        <v>3497</v>
      </c>
      <c r="D494" s="916" t="s">
        <v>430</v>
      </c>
      <c r="E494" s="917"/>
      <c r="F494" s="924"/>
      <c r="G494" s="918"/>
      <c r="H494" s="918"/>
      <c r="I494" s="917"/>
    </row>
    <row r="495" spans="1:9" ht="26.4" x14ac:dyDescent="0.25">
      <c r="A495" s="917">
        <v>466</v>
      </c>
      <c r="B495" s="917" t="s">
        <v>3748</v>
      </c>
      <c r="C495" s="916" t="s">
        <v>3498</v>
      </c>
      <c r="D495" s="916" t="s">
        <v>4085</v>
      </c>
      <c r="E495" s="923" t="s">
        <v>4086</v>
      </c>
      <c r="F495" s="924" t="s">
        <v>3479</v>
      </c>
      <c r="G495" s="918"/>
      <c r="H495" s="918"/>
      <c r="I495" s="917"/>
    </row>
    <row r="496" spans="1:9" ht="26.4" x14ac:dyDescent="0.25">
      <c r="A496" s="917">
        <v>467</v>
      </c>
      <c r="B496" s="917" t="s">
        <v>3611</v>
      </c>
      <c r="C496" s="916" t="s">
        <v>3497</v>
      </c>
      <c r="D496" s="916" t="s">
        <v>4087</v>
      </c>
      <c r="E496" s="923" t="s">
        <v>4088</v>
      </c>
      <c r="F496" s="924" t="s">
        <v>3479</v>
      </c>
      <c r="G496" s="918"/>
      <c r="H496" s="918"/>
      <c r="I496" s="917"/>
    </row>
    <row r="497" spans="1:9" ht="26.4" x14ac:dyDescent="0.25">
      <c r="A497" s="917">
        <v>468</v>
      </c>
      <c r="B497" s="941" t="s">
        <v>2821</v>
      </c>
      <c r="C497" s="916" t="s">
        <v>3497</v>
      </c>
      <c r="D497" s="916" t="s">
        <v>3152</v>
      </c>
      <c r="E497" s="923" t="s">
        <v>4089</v>
      </c>
      <c r="F497" s="924" t="s">
        <v>3479</v>
      </c>
      <c r="G497" s="918"/>
      <c r="H497" s="918"/>
      <c r="I497" s="917"/>
    </row>
    <row r="498" spans="1:9" ht="26.4" x14ac:dyDescent="0.25">
      <c r="A498" s="917">
        <v>469</v>
      </c>
      <c r="B498" s="917" t="s">
        <v>2627</v>
      </c>
      <c r="C498" s="916" t="s">
        <v>3498</v>
      </c>
      <c r="D498" s="916" t="s">
        <v>4090</v>
      </c>
      <c r="E498" s="923" t="s">
        <v>4091</v>
      </c>
      <c r="F498" s="924" t="s">
        <v>3479</v>
      </c>
      <c r="G498" s="918"/>
      <c r="H498" s="918"/>
      <c r="I498" s="917"/>
    </row>
    <row r="499" spans="1:9" ht="26.4" x14ac:dyDescent="0.25">
      <c r="A499" s="917">
        <v>470</v>
      </c>
      <c r="B499" s="941" t="s">
        <v>3535</v>
      </c>
      <c r="C499" s="916" t="s">
        <v>3497</v>
      </c>
      <c r="D499" s="916" t="s">
        <v>4092</v>
      </c>
      <c r="E499" s="923" t="s">
        <v>4093</v>
      </c>
      <c r="F499" s="924" t="s">
        <v>3479</v>
      </c>
      <c r="G499" s="918"/>
      <c r="H499" s="918"/>
      <c r="I499" s="917"/>
    </row>
    <row r="500" spans="1:9" ht="26.4" x14ac:dyDescent="0.25">
      <c r="A500" s="917">
        <v>471</v>
      </c>
      <c r="B500" s="917" t="s">
        <v>2985</v>
      </c>
      <c r="C500" s="916" t="s">
        <v>3497</v>
      </c>
      <c r="D500" s="916" t="s">
        <v>4094</v>
      </c>
      <c r="E500" s="923" t="s">
        <v>4095</v>
      </c>
      <c r="F500" s="924" t="s">
        <v>3479</v>
      </c>
      <c r="G500" s="918"/>
      <c r="H500" s="918"/>
      <c r="I500" s="917"/>
    </row>
    <row r="501" spans="1:9" ht="26.4" x14ac:dyDescent="0.25">
      <c r="A501" s="917">
        <v>472</v>
      </c>
      <c r="B501" s="917" t="s">
        <v>3891</v>
      </c>
      <c r="C501" s="916" t="s">
        <v>3497</v>
      </c>
      <c r="D501" s="916" t="s">
        <v>4096</v>
      </c>
      <c r="E501" s="923" t="s">
        <v>4097</v>
      </c>
      <c r="F501" s="924" t="s">
        <v>3479</v>
      </c>
      <c r="G501" s="924" t="s">
        <v>4134</v>
      </c>
      <c r="H501" s="918"/>
      <c r="I501" s="917"/>
    </row>
    <row r="502" spans="1:9" ht="26.4" x14ac:dyDescent="0.25">
      <c r="A502" s="917">
        <v>473</v>
      </c>
      <c r="B502" s="941" t="s">
        <v>2817</v>
      </c>
      <c r="C502" s="916" t="s">
        <v>3497</v>
      </c>
      <c r="D502" s="916" t="s">
        <v>4098</v>
      </c>
      <c r="E502" s="923" t="s">
        <v>4099</v>
      </c>
      <c r="F502" s="924" t="s">
        <v>3479</v>
      </c>
      <c r="G502" s="924" t="s">
        <v>4135</v>
      </c>
      <c r="H502" s="923" t="s">
        <v>4309</v>
      </c>
      <c r="I502" s="917" t="s">
        <v>3899</v>
      </c>
    </row>
    <row r="503" spans="1:9" ht="26.4" x14ac:dyDescent="0.25">
      <c r="A503" s="917">
        <v>474</v>
      </c>
      <c r="B503" s="941" t="s">
        <v>2561</v>
      </c>
      <c r="C503" s="916" t="s">
        <v>3497</v>
      </c>
      <c r="D503" s="916" t="s">
        <v>144</v>
      </c>
      <c r="E503" s="945" t="s">
        <v>4100</v>
      </c>
      <c r="F503" s="924" t="s">
        <v>3479</v>
      </c>
      <c r="G503" s="918"/>
      <c r="H503" s="918"/>
      <c r="I503" s="924" t="s">
        <v>3479</v>
      </c>
    </row>
    <row r="504" spans="1:9" ht="26.4" x14ac:dyDescent="0.25">
      <c r="A504" s="917">
        <v>475</v>
      </c>
      <c r="B504" s="941" t="s">
        <v>3824</v>
      </c>
      <c r="C504" s="916" t="s">
        <v>3497</v>
      </c>
      <c r="D504" s="916" t="s">
        <v>4101</v>
      </c>
      <c r="E504" s="923" t="s">
        <v>4102</v>
      </c>
      <c r="F504" s="924" t="s">
        <v>3479</v>
      </c>
      <c r="G504" s="918"/>
      <c r="H504" s="918"/>
      <c r="I504" s="924" t="s">
        <v>3479</v>
      </c>
    </row>
    <row r="505" spans="1:9" ht="26.4" x14ac:dyDescent="0.25">
      <c r="A505" s="917">
        <v>476</v>
      </c>
      <c r="B505" s="941" t="s">
        <v>3766</v>
      </c>
      <c r="C505" s="916" t="s">
        <v>3497</v>
      </c>
      <c r="D505" s="916" t="s">
        <v>4039</v>
      </c>
      <c r="E505" s="923" t="s">
        <v>4128</v>
      </c>
      <c r="F505" s="924" t="s">
        <v>3899</v>
      </c>
      <c r="G505" s="918"/>
      <c r="H505" s="918"/>
      <c r="I505" s="924" t="s">
        <v>3899</v>
      </c>
    </row>
    <row r="506" spans="1:9" ht="26.4" x14ac:dyDescent="0.25">
      <c r="A506" s="917">
        <v>477</v>
      </c>
      <c r="B506" s="941" t="s">
        <v>3641</v>
      </c>
      <c r="C506" s="916" t="s">
        <v>3497</v>
      </c>
      <c r="D506" s="916" t="s">
        <v>3642</v>
      </c>
      <c r="E506" s="923" t="s">
        <v>4129</v>
      </c>
      <c r="F506" s="924" t="s">
        <v>3899</v>
      </c>
      <c r="G506" s="918"/>
      <c r="H506" s="918"/>
      <c r="I506" s="924" t="s">
        <v>3899</v>
      </c>
    </row>
    <row r="507" spans="1:9" ht="26.4" x14ac:dyDescent="0.25">
      <c r="A507" s="917">
        <v>478</v>
      </c>
      <c r="B507" s="941" t="s">
        <v>2852</v>
      </c>
      <c r="C507" s="916" t="s">
        <v>3497</v>
      </c>
      <c r="D507" s="916" t="s">
        <v>2624</v>
      </c>
      <c r="E507" s="923" t="s">
        <v>4130</v>
      </c>
      <c r="F507" s="924" t="s">
        <v>3899</v>
      </c>
      <c r="G507" s="918"/>
      <c r="H507" s="918"/>
      <c r="I507" s="924" t="s">
        <v>3899</v>
      </c>
    </row>
    <row r="508" spans="1:9" x14ac:dyDescent="0.25">
      <c r="A508" s="917">
        <v>479</v>
      </c>
      <c r="B508" s="917" t="s">
        <v>1585</v>
      </c>
      <c r="C508" s="916" t="s">
        <v>3497</v>
      </c>
      <c r="D508" s="916" t="s">
        <v>4137</v>
      </c>
      <c r="E508" s="917"/>
      <c r="F508" s="924"/>
      <c r="G508" s="918"/>
      <c r="H508" s="918"/>
      <c r="I508" s="917"/>
    </row>
    <row r="509" spans="1:9" ht="26.4" x14ac:dyDescent="0.25">
      <c r="A509" s="917">
        <v>480</v>
      </c>
      <c r="B509" s="980" t="s">
        <v>2703</v>
      </c>
      <c r="C509" s="834" t="s">
        <v>3497</v>
      </c>
      <c r="D509" s="834" t="s">
        <v>2704</v>
      </c>
      <c r="E509" s="923" t="s">
        <v>4738</v>
      </c>
      <c r="F509" s="924" t="s">
        <v>3899</v>
      </c>
      <c r="G509" s="918"/>
      <c r="H509" s="918"/>
      <c r="I509" s="917"/>
    </row>
    <row r="510" spans="1:9" ht="26.4" x14ac:dyDescent="0.25">
      <c r="A510" s="917">
        <v>481</v>
      </c>
      <c r="B510" s="941" t="s">
        <v>2982</v>
      </c>
      <c r="C510" s="916" t="s">
        <v>3497</v>
      </c>
      <c r="D510" s="916" t="s">
        <v>4274</v>
      </c>
      <c r="E510" s="923" t="s">
        <v>4275</v>
      </c>
      <c r="F510" s="924" t="s">
        <v>3899</v>
      </c>
      <c r="G510" s="918"/>
      <c r="H510" s="918"/>
      <c r="I510" s="924" t="s">
        <v>3899</v>
      </c>
    </row>
    <row r="511" spans="1:9" ht="26.4" x14ac:dyDescent="0.25">
      <c r="A511" s="917">
        <v>482</v>
      </c>
      <c r="B511" s="941" t="s">
        <v>3070</v>
      </c>
      <c r="C511" s="916" t="s">
        <v>3497</v>
      </c>
      <c r="D511" s="916" t="s">
        <v>4276</v>
      </c>
      <c r="E511" s="923" t="s">
        <v>4277</v>
      </c>
      <c r="F511" s="924" t="s">
        <v>3899</v>
      </c>
      <c r="G511" s="918"/>
      <c r="H511" s="918"/>
      <c r="I511" s="924" t="s">
        <v>3899</v>
      </c>
    </row>
    <row r="512" spans="1:9" ht="26.4" x14ac:dyDescent="0.25">
      <c r="A512" s="917">
        <v>483</v>
      </c>
      <c r="B512" s="917" t="s">
        <v>3073</v>
      </c>
      <c r="C512" s="916" t="s">
        <v>3498</v>
      </c>
      <c r="D512" s="916" t="s">
        <v>4278</v>
      </c>
      <c r="E512" s="923" t="s">
        <v>4279</v>
      </c>
      <c r="F512" s="924" t="s">
        <v>3899</v>
      </c>
      <c r="G512" s="918"/>
      <c r="H512" s="918"/>
      <c r="I512" s="917"/>
    </row>
    <row r="513" spans="1:9" ht="26.4" x14ac:dyDescent="0.25">
      <c r="A513" s="917">
        <v>484</v>
      </c>
      <c r="B513" s="941" t="s">
        <v>3772</v>
      </c>
      <c r="C513" s="916" t="s">
        <v>3497</v>
      </c>
      <c r="D513" s="916" t="s">
        <v>4280</v>
      </c>
      <c r="E513" s="923" t="s">
        <v>4281</v>
      </c>
      <c r="F513" s="924" t="s">
        <v>3899</v>
      </c>
      <c r="G513" s="918"/>
      <c r="H513" s="918"/>
      <c r="I513" s="924" t="s">
        <v>3899</v>
      </c>
    </row>
    <row r="514" spans="1:9" ht="14.4" x14ac:dyDescent="0.25">
      <c r="A514" s="917">
        <v>485</v>
      </c>
      <c r="B514" s="941" t="s">
        <v>2018</v>
      </c>
      <c r="C514" s="916" t="s">
        <v>3497</v>
      </c>
      <c r="D514" s="916" t="s">
        <v>3181</v>
      </c>
      <c r="E514" s="917"/>
      <c r="F514" s="924"/>
      <c r="G514" s="918"/>
      <c r="H514" s="918"/>
      <c r="I514" s="917"/>
    </row>
    <row r="515" spans="1:9" ht="14.4" x14ac:dyDescent="0.25">
      <c r="A515" s="917">
        <v>486</v>
      </c>
      <c r="B515" s="941" t="s">
        <v>4282</v>
      </c>
      <c r="C515" s="916" t="s">
        <v>3497</v>
      </c>
      <c r="D515" s="916" t="s">
        <v>4283</v>
      </c>
      <c r="E515" s="917"/>
      <c r="F515" s="924"/>
      <c r="G515" s="918"/>
      <c r="H515" s="918"/>
      <c r="I515" s="917"/>
    </row>
    <row r="516" spans="1:9" ht="14.4" x14ac:dyDescent="0.25">
      <c r="A516" s="917">
        <v>487</v>
      </c>
      <c r="B516" s="941" t="s">
        <v>190</v>
      </c>
      <c r="C516" s="916" t="s">
        <v>3497</v>
      </c>
      <c r="D516" s="916" t="s">
        <v>4284</v>
      </c>
      <c r="E516" s="917"/>
      <c r="F516" s="924"/>
      <c r="G516" s="918"/>
      <c r="H516" s="918"/>
      <c r="I516" s="917"/>
    </row>
    <row r="517" spans="1:9" ht="26.4" x14ac:dyDescent="0.25">
      <c r="A517" s="917">
        <v>488</v>
      </c>
      <c r="B517" s="941" t="s">
        <v>49</v>
      </c>
      <c r="C517" s="916" t="s">
        <v>3497</v>
      </c>
      <c r="D517" s="920" t="s">
        <v>1020</v>
      </c>
      <c r="E517" s="917"/>
      <c r="F517" s="924"/>
      <c r="G517" s="918"/>
      <c r="H517" s="918"/>
      <c r="I517" s="917"/>
    </row>
    <row r="518" spans="1:9" ht="14.4" x14ac:dyDescent="0.25">
      <c r="A518" s="917">
        <v>489</v>
      </c>
      <c r="B518" s="941" t="s">
        <v>14</v>
      </c>
      <c r="C518" s="916" t="s">
        <v>3497</v>
      </c>
      <c r="D518" s="916" t="s">
        <v>4287</v>
      </c>
      <c r="E518" s="917"/>
      <c r="F518" s="924"/>
      <c r="G518" s="918"/>
      <c r="H518" s="918"/>
      <c r="I518" s="917"/>
    </row>
    <row r="519" spans="1:9" ht="14.4" x14ac:dyDescent="0.25">
      <c r="A519" s="917">
        <v>490</v>
      </c>
      <c r="B519" s="941" t="s">
        <v>229</v>
      </c>
      <c r="C519" s="916" t="s">
        <v>3497</v>
      </c>
      <c r="D519" s="916" t="s">
        <v>4289</v>
      </c>
      <c r="E519" s="917"/>
      <c r="F519" s="924"/>
      <c r="G519" s="918"/>
      <c r="H519" s="918"/>
      <c r="I519" s="917"/>
    </row>
    <row r="520" spans="1:9" ht="14.4" x14ac:dyDescent="0.25">
      <c r="A520" s="917">
        <v>491</v>
      </c>
      <c r="B520" s="941" t="s">
        <v>32</v>
      </c>
      <c r="C520" s="916" t="s">
        <v>3497</v>
      </c>
      <c r="D520" s="916" t="s">
        <v>3166</v>
      </c>
      <c r="E520" s="917"/>
      <c r="F520" s="924"/>
      <c r="G520" s="918"/>
      <c r="H520" s="918"/>
      <c r="I520" s="917"/>
    </row>
    <row r="521" spans="1:9" ht="14.4" x14ac:dyDescent="0.25">
      <c r="A521" s="917">
        <v>492</v>
      </c>
      <c r="B521" s="941" t="s">
        <v>50</v>
      </c>
      <c r="C521" s="916" t="s">
        <v>3497</v>
      </c>
      <c r="D521" s="916" t="s">
        <v>4293</v>
      </c>
      <c r="E521" s="917"/>
      <c r="F521" s="924"/>
      <c r="G521" s="918"/>
      <c r="H521" s="918"/>
      <c r="I521" s="917"/>
    </row>
    <row r="522" spans="1:9" ht="14.4" x14ac:dyDescent="0.25">
      <c r="A522" s="917">
        <v>493</v>
      </c>
      <c r="B522" s="941" t="s">
        <v>72</v>
      </c>
      <c r="C522" s="916" t="s">
        <v>3497</v>
      </c>
      <c r="D522" s="916" t="s">
        <v>73</v>
      </c>
      <c r="E522" s="917"/>
      <c r="F522" s="924"/>
      <c r="G522" s="918"/>
      <c r="H522" s="918"/>
      <c r="I522" s="917"/>
    </row>
    <row r="523" spans="1:9" ht="14.4" x14ac:dyDescent="0.25">
      <c r="A523" s="917">
        <v>494</v>
      </c>
      <c r="B523" s="941" t="s">
        <v>17</v>
      </c>
      <c r="C523" s="916" t="s">
        <v>3497</v>
      </c>
      <c r="D523" s="916" t="s">
        <v>18</v>
      </c>
      <c r="E523" s="917"/>
      <c r="F523" s="924"/>
      <c r="G523" s="918"/>
      <c r="H523" s="918"/>
      <c r="I523" s="917"/>
    </row>
    <row r="524" spans="1:9" ht="14.4" x14ac:dyDescent="0.25">
      <c r="A524" s="917">
        <v>495</v>
      </c>
      <c r="B524" s="941" t="s">
        <v>396</v>
      </c>
      <c r="C524" s="916" t="s">
        <v>3497</v>
      </c>
      <c r="D524" s="916" t="s">
        <v>203</v>
      </c>
      <c r="E524" s="917"/>
      <c r="F524" s="924"/>
      <c r="G524" s="918"/>
      <c r="H524" s="918"/>
      <c r="I524" s="917"/>
    </row>
    <row r="525" spans="1:9" ht="26.4" x14ac:dyDescent="0.25">
      <c r="A525" s="917">
        <v>496</v>
      </c>
      <c r="B525" s="941" t="s">
        <v>62</v>
      </c>
      <c r="C525" s="916" t="s">
        <v>3497</v>
      </c>
      <c r="D525" s="920" t="s">
        <v>1014</v>
      </c>
      <c r="E525" s="917"/>
      <c r="F525" s="924"/>
      <c r="G525" s="918"/>
      <c r="H525" s="918"/>
      <c r="I525" s="917"/>
    </row>
    <row r="526" spans="1:9" ht="26.4" x14ac:dyDescent="0.25">
      <c r="A526" s="917">
        <v>497</v>
      </c>
      <c r="B526" s="941" t="s">
        <v>3687</v>
      </c>
      <c r="C526" s="916" t="s">
        <v>3497</v>
      </c>
      <c r="D526" s="916" t="s">
        <v>3152</v>
      </c>
      <c r="E526" s="923" t="s">
        <v>4416</v>
      </c>
      <c r="F526" s="924" t="s">
        <v>4417</v>
      </c>
      <c r="G526" s="918"/>
      <c r="H526" s="918"/>
      <c r="I526" s="924" t="s">
        <v>4417</v>
      </c>
    </row>
    <row r="527" spans="1:9" ht="26.4" x14ac:dyDescent="0.25">
      <c r="A527" s="917">
        <v>498</v>
      </c>
      <c r="B527" s="941" t="s">
        <v>2822</v>
      </c>
      <c r="C527" s="916" t="s">
        <v>3497</v>
      </c>
      <c r="D527" s="916" t="s">
        <v>4418</v>
      </c>
      <c r="E527" s="923" t="s">
        <v>4419</v>
      </c>
      <c r="F527" s="924" t="s">
        <v>4417</v>
      </c>
      <c r="G527" s="918"/>
      <c r="H527" s="918"/>
      <c r="I527" s="924" t="s">
        <v>4417</v>
      </c>
    </row>
    <row r="528" spans="1:9" ht="26.4" x14ac:dyDescent="0.25">
      <c r="A528" s="917">
        <v>499</v>
      </c>
      <c r="B528" s="941" t="s">
        <v>3960</v>
      </c>
      <c r="C528" s="916" t="s">
        <v>3497</v>
      </c>
      <c r="D528" s="916" t="s">
        <v>3386</v>
      </c>
      <c r="E528" s="923" t="s">
        <v>4764</v>
      </c>
      <c r="F528" s="924"/>
      <c r="G528" s="918"/>
      <c r="H528" s="918"/>
      <c r="I528" s="917"/>
    </row>
    <row r="529" spans="1:9" ht="14.4" x14ac:dyDescent="0.25">
      <c r="A529" s="917">
        <v>500</v>
      </c>
      <c r="B529" s="941" t="s">
        <v>3051</v>
      </c>
      <c r="C529" s="916" t="s">
        <v>3497</v>
      </c>
      <c r="D529" s="916" t="s">
        <v>4035</v>
      </c>
      <c r="E529" s="917"/>
      <c r="F529" s="924"/>
      <c r="G529" s="918"/>
      <c r="H529" s="918"/>
      <c r="I529" s="917"/>
    </row>
    <row r="530" spans="1:9" ht="26.4" x14ac:dyDescent="0.25">
      <c r="A530" s="917">
        <v>501</v>
      </c>
      <c r="B530" s="941" t="s">
        <v>2880</v>
      </c>
      <c r="C530" s="916" t="s">
        <v>3497</v>
      </c>
      <c r="D530" s="916" t="s">
        <v>4532</v>
      </c>
      <c r="E530" s="923" t="s">
        <v>4754</v>
      </c>
      <c r="F530" s="924" t="s">
        <v>3899</v>
      </c>
      <c r="G530" s="918"/>
      <c r="H530" s="918"/>
      <c r="I530" s="917"/>
    </row>
    <row r="531" spans="1:9" ht="26.4" x14ac:dyDescent="0.25">
      <c r="A531" s="917">
        <v>502</v>
      </c>
      <c r="B531" s="941" t="s">
        <v>2944</v>
      </c>
      <c r="C531" s="916" t="s">
        <v>3497</v>
      </c>
      <c r="D531" s="916" t="s">
        <v>22</v>
      </c>
      <c r="E531" s="923" t="s">
        <v>4751</v>
      </c>
      <c r="F531" s="924" t="s">
        <v>3899</v>
      </c>
      <c r="G531" s="918"/>
      <c r="H531" s="918"/>
      <c r="I531" s="917"/>
    </row>
    <row r="532" spans="1:9" ht="14.4" x14ac:dyDescent="0.25">
      <c r="A532" s="917">
        <v>503</v>
      </c>
      <c r="B532" s="941" t="s">
        <v>2952</v>
      </c>
      <c r="C532" s="916" t="s">
        <v>3497</v>
      </c>
      <c r="D532" s="916" t="s">
        <v>4533</v>
      </c>
      <c r="E532" s="917"/>
      <c r="F532" s="924"/>
      <c r="G532" s="918"/>
      <c r="H532" s="918"/>
      <c r="I532" s="917"/>
    </row>
    <row r="533" spans="1:9" ht="26.4" x14ac:dyDescent="0.25">
      <c r="A533" s="917">
        <v>504</v>
      </c>
      <c r="B533" s="941" t="s">
        <v>2954</v>
      </c>
      <c r="C533" s="916" t="s">
        <v>3497</v>
      </c>
      <c r="D533" s="916" t="s">
        <v>4534</v>
      </c>
      <c r="E533" s="923" t="s">
        <v>4755</v>
      </c>
      <c r="F533" s="924" t="s">
        <v>3899</v>
      </c>
      <c r="G533" s="918"/>
      <c r="H533" s="918"/>
      <c r="I533" s="924" t="s">
        <v>3899</v>
      </c>
    </row>
    <row r="534" spans="1:9" ht="26.4" x14ac:dyDescent="0.25">
      <c r="A534" s="917">
        <v>505</v>
      </c>
      <c r="B534" s="941" t="s">
        <v>2964</v>
      </c>
      <c r="C534" s="916" t="s">
        <v>3497</v>
      </c>
      <c r="D534" s="916" t="s">
        <v>4035</v>
      </c>
      <c r="E534" s="923" t="s">
        <v>4741</v>
      </c>
      <c r="F534" s="924" t="s">
        <v>3899</v>
      </c>
      <c r="G534" s="918"/>
      <c r="H534" s="918"/>
      <c r="I534" s="924" t="s">
        <v>3899</v>
      </c>
    </row>
    <row r="535" spans="1:9" ht="26.4" x14ac:dyDescent="0.25">
      <c r="A535" s="917">
        <v>506</v>
      </c>
      <c r="B535" s="941" t="s">
        <v>3065</v>
      </c>
      <c r="C535" s="916" t="s">
        <v>3497</v>
      </c>
      <c r="D535" s="916" t="s">
        <v>22</v>
      </c>
      <c r="E535" s="923" t="s">
        <v>4752</v>
      </c>
      <c r="F535" s="918" t="s">
        <v>3899</v>
      </c>
      <c r="G535" s="918"/>
      <c r="H535" s="918"/>
      <c r="I535" s="918" t="s">
        <v>3899</v>
      </c>
    </row>
    <row r="536" spans="1:9" ht="26.4" x14ac:dyDescent="0.25">
      <c r="A536" s="917">
        <v>507</v>
      </c>
      <c r="B536" s="941" t="s">
        <v>3581</v>
      </c>
      <c r="C536" s="916" t="s">
        <v>3497</v>
      </c>
      <c r="D536" s="916" t="s">
        <v>4535</v>
      </c>
      <c r="E536" s="923" t="s">
        <v>4747</v>
      </c>
      <c r="F536" s="918" t="s">
        <v>3899</v>
      </c>
      <c r="G536" s="918"/>
      <c r="H536" s="918"/>
      <c r="I536" s="918" t="s">
        <v>3899</v>
      </c>
    </row>
    <row r="537" spans="1:9" ht="14.4" x14ac:dyDescent="0.25">
      <c r="A537" s="917">
        <v>508</v>
      </c>
      <c r="B537" s="941" t="s">
        <v>3598</v>
      </c>
      <c r="C537" s="916" t="s">
        <v>3497</v>
      </c>
      <c r="D537" s="916" t="s">
        <v>3521</v>
      </c>
      <c r="E537" s="917"/>
      <c r="F537" s="918" t="s">
        <v>3899</v>
      </c>
      <c r="G537" s="918"/>
      <c r="H537" s="918"/>
      <c r="I537" s="918" t="s">
        <v>3899</v>
      </c>
    </row>
    <row r="538" spans="1:9" ht="14.4" x14ac:dyDescent="0.25">
      <c r="A538" s="917">
        <v>509</v>
      </c>
      <c r="B538" s="941" t="s">
        <v>3603</v>
      </c>
      <c r="C538" s="916" t="s">
        <v>3497</v>
      </c>
      <c r="D538" s="916" t="s">
        <v>4537</v>
      </c>
      <c r="E538" s="917"/>
      <c r="F538" s="918" t="s">
        <v>3899</v>
      </c>
      <c r="G538" s="918"/>
      <c r="H538" s="918"/>
      <c r="I538" s="918" t="s">
        <v>3899</v>
      </c>
    </row>
    <row r="539" spans="1:9" ht="14.4" x14ac:dyDescent="0.3">
      <c r="A539" s="917">
        <v>510</v>
      </c>
      <c r="B539" s="948" t="s">
        <v>3615</v>
      </c>
      <c r="C539" s="916" t="s">
        <v>3497</v>
      </c>
      <c r="D539" s="916" t="s">
        <v>4538</v>
      </c>
      <c r="E539" s="917"/>
      <c r="F539" s="918" t="s">
        <v>3899</v>
      </c>
      <c r="G539" s="918"/>
      <c r="H539" s="918"/>
      <c r="I539" s="918" t="s">
        <v>3899</v>
      </c>
    </row>
    <row r="540" spans="1:9" ht="14.4" x14ac:dyDescent="0.3">
      <c r="A540" s="917">
        <v>511</v>
      </c>
      <c r="B540" s="948" t="s">
        <v>3704</v>
      </c>
      <c r="C540" s="916" t="s">
        <v>3497</v>
      </c>
      <c r="D540" s="916" t="s">
        <v>3809</v>
      </c>
      <c r="E540" s="917"/>
      <c r="F540" s="918" t="s">
        <v>3899</v>
      </c>
      <c r="G540" s="918"/>
      <c r="H540" s="918"/>
      <c r="I540" s="918" t="s">
        <v>3899</v>
      </c>
    </row>
    <row r="541" spans="1:9" ht="26.4" x14ac:dyDescent="0.25">
      <c r="A541" s="917">
        <v>512</v>
      </c>
      <c r="B541" s="991" t="s">
        <v>3835</v>
      </c>
      <c r="C541" s="916" t="s">
        <v>3498</v>
      </c>
      <c r="D541" s="916" t="s">
        <v>4539</v>
      </c>
      <c r="E541" s="923" t="s">
        <v>4767</v>
      </c>
      <c r="F541" s="918" t="s">
        <v>3899</v>
      </c>
      <c r="G541" s="918"/>
      <c r="H541" s="918"/>
      <c r="I541" s="917"/>
    </row>
    <row r="542" spans="1:9" ht="14.4" x14ac:dyDescent="0.3">
      <c r="A542" s="917">
        <v>513</v>
      </c>
      <c r="B542" s="948" t="s">
        <v>91</v>
      </c>
      <c r="C542" s="916" t="s">
        <v>3498</v>
      </c>
      <c r="D542" s="916" t="s">
        <v>1031</v>
      </c>
      <c r="E542" s="917"/>
      <c r="F542" s="918"/>
      <c r="G542" s="918"/>
      <c r="H542" s="918"/>
      <c r="I542" s="917"/>
    </row>
    <row r="543" spans="1:9" ht="14.4" x14ac:dyDescent="0.3">
      <c r="A543" s="917">
        <v>514</v>
      </c>
      <c r="B543" s="948" t="s">
        <v>3792</v>
      </c>
      <c r="C543" s="916" t="s">
        <v>3497</v>
      </c>
      <c r="D543" s="916" t="s">
        <v>4540</v>
      </c>
      <c r="E543" s="917"/>
      <c r="F543" s="918" t="s">
        <v>3526</v>
      </c>
      <c r="G543" s="918"/>
      <c r="H543" s="918"/>
      <c r="I543" s="918" t="s">
        <v>3526</v>
      </c>
    </row>
    <row r="544" spans="1:9" ht="26.4" x14ac:dyDescent="0.3">
      <c r="A544" s="917">
        <v>515</v>
      </c>
      <c r="B544" s="948" t="s">
        <v>3759</v>
      </c>
      <c r="C544" s="916" t="s">
        <v>3497</v>
      </c>
      <c r="D544" s="916" t="s">
        <v>4541</v>
      </c>
      <c r="E544" s="923" t="s">
        <v>4748</v>
      </c>
      <c r="F544" s="918"/>
      <c r="G544" s="918"/>
      <c r="H544" s="918"/>
      <c r="I544" s="917" t="s">
        <v>3899</v>
      </c>
    </row>
    <row r="545" spans="1:9" ht="14.4" x14ac:dyDescent="0.3">
      <c r="A545" s="917">
        <v>516</v>
      </c>
      <c r="B545" s="948" t="s">
        <v>2854</v>
      </c>
      <c r="C545" s="916" t="s">
        <v>3497</v>
      </c>
      <c r="D545" s="916" t="s">
        <v>4552</v>
      </c>
      <c r="E545" s="917"/>
      <c r="F545" s="918"/>
      <c r="G545" s="918"/>
      <c r="H545" s="918"/>
      <c r="I545" s="917" t="s">
        <v>3899</v>
      </c>
    </row>
    <row r="546" spans="1:9" ht="26.4" x14ac:dyDescent="0.25">
      <c r="A546" s="917">
        <v>517</v>
      </c>
      <c r="B546" s="991" t="s">
        <v>2937</v>
      </c>
      <c r="C546" s="916" t="s">
        <v>3498</v>
      </c>
      <c r="D546" s="916" t="s">
        <v>4553</v>
      </c>
      <c r="E546" s="923" t="s">
        <v>4554</v>
      </c>
      <c r="F546" s="918" t="s">
        <v>3899</v>
      </c>
      <c r="G546" s="918"/>
      <c r="H546" s="918"/>
      <c r="I546" s="917" t="s">
        <v>3899</v>
      </c>
    </row>
    <row r="547" spans="1:9" ht="26.4" x14ac:dyDescent="0.25">
      <c r="A547" s="917">
        <v>518</v>
      </c>
      <c r="B547" s="991" t="s">
        <v>3513</v>
      </c>
      <c r="C547" s="916" t="s">
        <v>3498</v>
      </c>
      <c r="D547" s="916" t="s">
        <v>3636</v>
      </c>
      <c r="E547" s="923" t="s">
        <v>4555</v>
      </c>
      <c r="F547" s="918" t="s">
        <v>3899</v>
      </c>
      <c r="G547" s="918"/>
      <c r="H547" s="918"/>
      <c r="I547" s="917" t="s">
        <v>3899</v>
      </c>
    </row>
    <row r="548" spans="1:9" ht="26.4" x14ac:dyDescent="0.3">
      <c r="A548" s="917">
        <v>519</v>
      </c>
      <c r="B548" s="948" t="s">
        <v>3881</v>
      </c>
      <c r="C548" s="916" t="s">
        <v>3497</v>
      </c>
      <c r="D548" s="916" t="s">
        <v>4556</v>
      </c>
      <c r="E548" s="923" t="s">
        <v>4557</v>
      </c>
      <c r="F548" s="918" t="s">
        <v>3899</v>
      </c>
      <c r="G548" s="918"/>
      <c r="H548" s="918"/>
      <c r="I548" s="917" t="s">
        <v>3899</v>
      </c>
    </row>
    <row r="549" spans="1:9" ht="26.4" x14ac:dyDescent="0.25">
      <c r="A549" s="917">
        <v>520</v>
      </c>
      <c r="B549" s="991" t="s">
        <v>2912</v>
      </c>
      <c r="C549" s="916" t="s">
        <v>3498</v>
      </c>
      <c r="D549" s="916" t="s">
        <v>4558</v>
      </c>
      <c r="E549" s="923" t="s">
        <v>4559</v>
      </c>
      <c r="F549" s="918" t="s">
        <v>3899</v>
      </c>
      <c r="G549" s="918"/>
      <c r="H549" s="918"/>
      <c r="I549" s="917" t="s">
        <v>3899</v>
      </c>
    </row>
    <row r="550" spans="1:9" ht="26.4" x14ac:dyDescent="0.3">
      <c r="A550" s="917">
        <v>521</v>
      </c>
      <c r="B550" s="948" t="s">
        <v>3751</v>
      </c>
      <c r="C550" s="916" t="s">
        <v>3497</v>
      </c>
      <c r="D550" s="916" t="s">
        <v>2732</v>
      </c>
      <c r="E550" s="923" t="s">
        <v>4560</v>
      </c>
      <c r="F550" s="918" t="s">
        <v>3899</v>
      </c>
      <c r="G550" s="918"/>
      <c r="H550" s="918"/>
      <c r="I550" s="917" t="s">
        <v>3899</v>
      </c>
    </row>
    <row r="551" spans="1:9" ht="26.4" x14ac:dyDescent="0.3">
      <c r="A551" s="917">
        <v>522</v>
      </c>
      <c r="B551" s="948" t="s">
        <v>3932</v>
      </c>
      <c r="C551" s="916" t="s">
        <v>3497</v>
      </c>
      <c r="D551" s="916" t="s">
        <v>3931</v>
      </c>
      <c r="E551" s="923" t="s">
        <v>4561</v>
      </c>
      <c r="F551" s="918" t="s">
        <v>3899</v>
      </c>
      <c r="G551" s="918"/>
      <c r="H551" s="918"/>
      <c r="I551" s="917" t="s">
        <v>3899</v>
      </c>
    </row>
    <row r="552" spans="1:9" ht="26.4" x14ac:dyDescent="0.25">
      <c r="A552" s="917">
        <v>523</v>
      </c>
      <c r="B552" s="991" t="s">
        <v>45</v>
      </c>
      <c r="C552" s="916" t="s">
        <v>3498</v>
      </c>
      <c r="D552" s="916" t="s">
        <v>46</v>
      </c>
      <c r="E552" s="923" t="s">
        <v>4562</v>
      </c>
      <c r="F552" s="918" t="s">
        <v>3899</v>
      </c>
      <c r="G552" s="918"/>
      <c r="H552" s="918"/>
      <c r="I552" s="917" t="s">
        <v>3899</v>
      </c>
    </row>
    <row r="553" spans="1:9" ht="26.4" x14ac:dyDescent="0.25">
      <c r="A553" s="917">
        <v>524</v>
      </c>
      <c r="B553" s="991" t="s">
        <v>103</v>
      </c>
      <c r="C553" s="916" t="s">
        <v>3498</v>
      </c>
      <c r="D553" s="916" t="s">
        <v>1632</v>
      </c>
      <c r="E553" s="945" t="s">
        <v>4564</v>
      </c>
      <c r="F553" s="918" t="s">
        <v>3899</v>
      </c>
      <c r="G553" s="918"/>
      <c r="H553" s="918"/>
      <c r="I553" s="917" t="s">
        <v>3899</v>
      </c>
    </row>
    <row r="554" spans="1:9" ht="26.4" x14ac:dyDescent="0.25">
      <c r="A554" s="917">
        <v>525</v>
      </c>
      <c r="B554" s="916" t="s">
        <v>34</v>
      </c>
      <c r="C554" s="916" t="s">
        <v>3497</v>
      </c>
      <c r="D554" s="916" t="s">
        <v>1008</v>
      </c>
      <c r="E554" s="923" t="s">
        <v>4565</v>
      </c>
      <c r="F554" s="918" t="s">
        <v>3899</v>
      </c>
      <c r="G554" s="918"/>
      <c r="H554" s="918"/>
      <c r="I554" s="917" t="s">
        <v>3899</v>
      </c>
    </row>
    <row r="555" spans="1:9" ht="26.4" x14ac:dyDescent="0.25">
      <c r="A555" s="917">
        <v>526</v>
      </c>
      <c r="B555" s="916" t="s">
        <v>2883</v>
      </c>
      <c r="C555" s="916" t="s">
        <v>3498</v>
      </c>
      <c r="D555" s="920" t="s">
        <v>3895</v>
      </c>
      <c r="E555" s="923" t="s">
        <v>4566</v>
      </c>
      <c r="F555" s="918" t="s">
        <v>3899</v>
      </c>
      <c r="G555" s="918"/>
      <c r="H555" s="918"/>
      <c r="I555" s="917" t="s">
        <v>3899</v>
      </c>
    </row>
    <row r="556" spans="1:9" ht="14.4" x14ac:dyDescent="0.3">
      <c r="A556" s="917">
        <v>527</v>
      </c>
      <c r="B556" s="995" t="s">
        <v>227</v>
      </c>
      <c r="C556" s="916" t="s">
        <v>3497</v>
      </c>
      <c r="D556" s="916" t="s">
        <v>3210</v>
      </c>
      <c r="E556" s="917"/>
      <c r="F556" s="918"/>
      <c r="G556" s="918"/>
      <c r="H556" s="918"/>
      <c r="I556" s="917" t="s">
        <v>3899</v>
      </c>
    </row>
    <row r="557" spans="1:9" ht="14.4" x14ac:dyDescent="0.3">
      <c r="A557" s="917">
        <v>528</v>
      </c>
      <c r="B557" s="995" t="s">
        <v>242</v>
      </c>
      <c r="C557" s="916" t="s">
        <v>3497</v>
      </c>
      <c r="D557" s="916" t="s">
        <v>235</v>
      </c>
      <c r="E557" s="917"/>
      <c r="F557" s="918"/>
      <c r="G557" s="918"/>
      <c r="H557" s="918"/>
      <c r="I557" s="917" t="s">
        <v>3899</v>
      </c>
    </row>
    <row r="558" spans="1:9" ht="14.4" x14ac:dyDescent="0.3">
      <c r="A558" s="917">
        <v>529</v>
      </c>
      <c r="B558" s="995" t="s">
        <v>167</v>
      </c>
      <c r="C558" s="916" t="s">
        <v>3497</v>
      </c>
      <c r="D558" s="916" t="s">
        <v>4586</v>
      </c>
      <c r="E558" s="917"/>
      <c r="F558" s="918"/>
      <c r="G558" s="918"/>
      <c r="H558" s="918"/>
      <c r="I558" s="917" t="s">
        <v>3899</v>
      </c>
    </row>
    <row r="559" spans="1:9" ht="14.4" x14ac:dyDescent="0.3">
      <c r="A559" s="917">
        <v>530</v>
      </c>
      <c r="B559" s="995" t="s">
        <v>93</v>
      </c>
      <c r="C559" s="916" t="s">
        <v>3497</v>
      </c>
      <c r="D559" s="916" t="s">
        <v>3472</v>
      </c>
      <c r="E559" s="917"/>
      <c r="F559" s="918"/>
      <c r="G559" s="918"/>
      <c r="H559" s="918"/>
      <c r="I559" s="917" t="s">
        <v>3899</v>
      </c>
    </row>
    <row r="560" spans="1:9" ht="26.4" x14ac:dyDescent="0.3">
      <c r="A560" s="917">
        <v>531</v>
      </c>
      <c r="B560" s="995" t="s">
        <v>76</v>
      </c>
      <c r="C560" s="916" t="s">
        <v>3497</v>
      </c>
      <c r="D560" s="916" t="s">
        <v>3181</v>
      </c>
      <c r="E560" s="923" t="s">
        <v>4720</v>
      </c>
      <c r="F560" s="918" t="s">
        <v>3899</v>
      </c>
      <c r="G560" s="918"/>
      <c r="H560" s="918"/>
      <c r="I560" s="917" t="s">
        <v>3899</v>
      </c>
    </row>
    <row r="561" spans="1:10" ht="26.4" x14ac:dyDescent="0.3">
      <c r="A561" s="917">
        <v>532</v>
      </c>
      <c r="B561" s="995" t="s">
        <v>2468</v>
      </c>
      <c r="C561" s="916" t="s">
        <v>3497</v>
      </c>
      <c r="D561" s="916" t="s">
        <v>1869</v>
      </c>
      <c r="E561" s="923" t="s">
        <v>4735</v>
      </c>
      <c r="F561" s="918" t="s">
        <v>3899</v>
      </c>
      <c r="G561" s="918"/>
      <c r="H561" s="918"/>
      <c r="I561" s="917" t="s">
        <v>3899</v>
      </c>
    </row>
    <row r="562" spans="1:10" ht="26.4" x14ac:dyDescent="0.3">
      <c r="A562" s="917">
        <v>533</v>
      </c>
      <c r="B562" s="995" t="s">
        <v>2550</v>
      </c>
      <c r="C562" s="916" t="s">
        <v>3497</v>
      </c>
      <c r="D562" s="916" t="s">
        <v>4716</v>
      </c>
      <c r="E562" s="945" t="s">
        <v>4732</v>
      </c>
      <c r="F562" s="918" t="s">
        <v>4733</v>
      </c>
      <c r="G562" s="918"/>
      <c r="H562" s="918"/>
      <c r="I562" s="917" t="s">
        <v>3899</v>
      </c>
    </row>
    <row r="563" spans="1:10" ht="26.4" x14ac:dyDescent="0.3">
      <c r="A563" s="917">
        <v>534</v>
      </c>
      <c r="B563" s="995" t="s">
        <v>2798</v>
      </c>
      <c r="C563" s="916" t="s">
        <v>3497</v>
      </c>
      <c r="D563" s="916" t="s">
        <v>4717</v>
      </c>
      <c r="E563" s="923" t="s">
        <v>4739</v>
      </c>
      <c r="F563" s="918" t="s">
        <v>3899</v>
      </c>
      <c r="G563" s="918"/>
      <c r="H563" s="918"/>
      <c r="I563" s="917" t="s">
        <v>3899</v>
      </c>
    </row>
    <row r="564" spans="1:10" ht="26.4" x14ac:dyDescent="0.25">
      <c r="A564" s="917">
        <v>535</v>
      </c>
      <c r="B564" s="916" t="s">
        <v>2840</v>
      </c>
      <c r="C564" s="916" t="s">
        <v>3497</v>
      </c>
      <c r="D564" s="916" t="s">
        <v>4718</v>
      </c>
      <c r="E564" s="923" t="s">
        <v>4721</v>
      </c>
      <c r="F564" s="918" t="s">
        <v>3899</v>
      </c>
      <c r="G564" s="918"/>
      <c r="H564" s="918"/>
      <c r="I564" s="917" t="s">
        <v>3899</v>
      </c>
    </row>
    <row r="565" spans="1:10" ht="26.4" x14ac:dyDescent="0.25">
      <c r="A565" s="917">
        <v>536</v>
      </c>
      <c r="B565" s="916" t="s">
        <v>2850</v>
      </c>
      <c r="C565" s="916" t="s">
        <v>3497</v>
      </c>
      <c r="D565" s="916" t="s">
        <v>4719</v>
      </c>
      <c r="E565" s="923" t="s">
        <v>4740</v>
      </c>
      <c r="F565" s="918" t="s">
        <v>3899</v>
      </c>
      <c r="G565" s="918"/>
      <c r="H565" s="918"/>
      <c r="I565" s="917" t="s">
        <v>3899</v>
      </c>
    </row>
    <row r="566" spans="1:10" ht="26.4" x14ac:dyDescent="0.3">
      <c r="A566" s="917">
        <v>537</v>
      </c>
      <c r="B566" s="995" t="s">
        <v>2921</v>
      </c>
      <c r="C566" s="916" t="s">
        <v>3497</v>
      </c>
      <c r="D566" s="916" t="s">
        <v>3125</v>
      </c>
      <c r="E566" s="923" t="s">
        <v>4722</v>
      </c>
      <c r="F566" s="918" t="s">
        <v>3899</v>
      </c>
      <c r="G566" s="918"/>
      <c r="H566" s="918"/>
      <c r="I566" s="917" t="s">
        <v>3899</v>
      </c>
    </row>
    <row r="567" spans="1:10" ht="26.4" x14ac:dyDescent="0.3">
      <c r="A567" s="917">
        <v>538</v>
      </c>
      <c r="B567" s="995" t="s">
        <v>2890</v>
      </c>
      <c r="C567" s="916" t="s">
        <v>3497</v>
      </c>
      <c r="D567" s="916" t="s">
        <v>4586</v>
      </c>
      <c r="E567" s="923" t="s">
        <v>4723</v>
      </c>
      <c r="F567" s="918" t="s">
        <v>3899</v>
      </c>
      <c r="G567" s="918"/>
      <c r="H567" s="918"/>
      <c r="I567" s="917" t="s">
        <v>3899</v>
      </c>
    </row>
    <row r="568" spans="1:10" ht="26.4" x14ac:dyDescent="0.25">
      <c r="A568" s="917">
        <v>539</v>
      </c>
      <c r="B568" s="916" t="s">
        <v>2939</v>
      </c>
      <c r="C568" s="916" t="s">
        <v>3498</v>
      </c>
      <c r="D568" s="916" t="s">
        <v>4724</v>
      </c>
      <c r="E568" s="923" t="s">
        <v>4750</v>
      </c>
      <c r="F568" s="918" t="s">
        <v>3899</v>
      </c>
      <c r="G568" s="918"/>
      <c r="H568" s="918"/>
      <c r="I568" s="917" t="s">
        <v>3899</v>
      </c>
    </row>
    <row r="569" spans="1:10" ht="26.4" x14ac:dyDescent="0.25">
      <c r="A569" s="917">
        <v>540</v>
      </c>
      <c r="B569" s="916" t="s">
        <v>2942</v>
      </c>
      <c r="C569" s="916" t="s">
        <v>3497</v>
      </c>
      <c r="D569" s="916" t="s">
        <v>4725</v>
      </c>
      <c r="E569" s="923" t="s">
        <v>4757</v>
      </c>
      <c r="F569" s="918" t="s">
        <v>3899</v>
      </c>
      <c r="G569" s="918"/>
      <c r="H569" s="918"/>
      <c r="I569" s="917" t="s">
        <v>3899</v>
      </c>
    </row>
    <row r="570" spans="1:10" ht="26.4" x14ac:dyDescent="0.25">
      <c r="A570" s="917">
        <v>541</v>
      </c>
      <c r="B570" s="916" t="s">
        <v>2968</v>
      </c>
      <c r="C570" s="916" t="s">
        <v>3498</v>
      </c>
      <c r="D570" s="916" t="s">
        <v>2695</v>
      </c>
      <c r="E570" s="923" t="s">
        <v>4760</v>
      </c>
      <c r="F570" s="918" t="s">
        <v>3899</v>
      </c>
      <c r="G570" s="918"/>
      <c r="H570" s="918"/>
      <c r="I570" s="917" t="s">
        <v>3899</v>
      </c>
    </row>
    <row r="571" spans="1:10" ht="26.4" x14ac:dyDescent="0.25">
      <c r="A571" s="917">
        <v>542</v>
      </c>
      <c r="B571" s="916" t="s">
        <v>3502</v>
      </c>
      <c r="C571" s="916" t="s">
        <v>3498</v>
      </c>
      <c r="D571" s="916" t="s">
        <v>4726</v>
      </c>
      <c r="E571" s="945" t="s">
        <v>4756</v>
      </c>
      <c r="F571" s="918" t="s">
        <v>3899</v>
      </c>
      <c r="G571" s="918"/>
      <c r="H571" s="918"/>
      <c r="I571" s="918" t="s">
        <v>3899</v>
      </c>
    </row>
    <row r="572" spans="1:10" ht="18" customHeight="1" x14ac:dyDescent="0.25">
      <c r="A572" s="917">
        <v>543</v>
      </c>
      <c r="B572" s="916" t="s">
        <v>3667</v>
      </c>
      <c r="C572" s="916" t="s">
        <v>3498</v>
      </c>
      <c r="D572" s="916" t="s">
        <v>4727</v>
      </c>
      <c r="E572" s="917"/>
      <c r="F572" s="918" t="s">
        <v>3899</v>
      </c>
      <c r="G572" s="918"/>
      <c r="H572" s="918"/>
      <c r="I572" s="918" t="s">
        <v>3899</v>
      </c>
    </row>
    <row r="573" spans="1:10" x14ac:dyDescent="0.25">
      <c r="A573" s="917">
        <v>544</v>
      </c>
      <c r="B573" s="916" t="s">
        <v>3683</v>
      </c>
      <c r="C573" s="916" t="s">
        <v>3498</v>
      </c>
      <c r="D573" s="916" t="s">
        <v>2023</v>
      </c>
      <c r="E573" s="917"/>
      <c r="F573" s="918" t="s">
        <v>3899</v>
      </c>
      <c r="G573" s="918"/>
      <c r="H573" s="918"/>
      <c r="I573" s="918" t="s">
        <v>3899</v>
      </c>
    </row>
    <row r="574" spans="1:10" x14ac:dyDescent="0.25">
      <c r="A574" s="917">
        <v>545</v>
      </c>
      <c r="B574" s="916" t="s">
        <v>3694</v>
      </c>
      <c r="C574" s="916" t="s">
        <v>3497</v>
      </c>
      <c r="D574" s="916" t="s">
        <v>3238</v>
      </c>
      <c r="E574" s="917"/>
      <c r="F574" s="918" t="s">
        <v>3899</v>
      </c>
      <c r="G574" s="918"/>
      <c r="H574" s="918"/>
      <c r="I574" s="918" t="s">
        <v>3899</v>
      </c>
    </row>
    <row r="575" spans="1:10" ht="52.8" x14ac:dyDescent="0.25">
      <c r="A575" s="917">
        <v>546</v>
      </c>
      <c r="B575" s="916" t="s">
        <v>2918</v>
      </c>
      <c r="C575" s="916" t="s">
        <v>3498</v>
      </c>
      <c r="D575" s="916" t="s">
        <v>2919</v>
      </c>
      <c r="E575" s="923" t="s">
        <v>4759</v>
      </c>
      <c r="F575" s="918" t="s">
        <v>3899</v>
      </c>
      <c r="G575" s="924" t="s">
        <v>6376</v>
      </c>
      <c r="H575" s="924" t="s">
        <v>6375</v>
      </c>
      <c r="I575" s="918" t="s">
        <v>3899</v>
      </c>
      <c r="J575" s="879" t="s">
        <v>6194</v>
      </c>
    </row>
    <row r="576" spans="1:10" ht="26.4" x14ac:dyDescent="0.3">
      <c r="A576" s="917">
        <v>547</v>
      </c>
      <c r="B576" s="995" t="s">
        <v>3708</v>
      </c>
      <c r="C576" s="916" t="s">
        <v>3497</v>
      </c>
      <c r="D576" s="916" t="s">
        <v>3709</v>
      </c>
      <c r="E576" s="923" t="s">
        <v>4746</v>
      </c>
      <c r="F576" s="918" t="s">
        <v>3899</v>
      </c>
      <c r="G576" s="918"/>
      <c r="H576" s="918"/>
      <c r="I576" s="918" t="s">
        <v>3899</v>
      </c>
    </row>
    <row r="577" spans="1:9" ht="27" x14ac:dyDescent="0.3">
      <c r="A577" s="917">
        <v>548</v>
      </c>
      <c r="B577" s="995" t="s">
        <v>3735</v>
      </c>
      <c r="C577" s="916" t="s">
        <v>3497</v>
      </c>
      <c r="D577" s="920" t="s">
        <v>4728</v>
      </c>
      <c r="E577" s="923" t="s">
        <v>4758</v>
      </c>
      <c r="F577" s="918" t="s">
        <v>3899</v>
      </c>
      <c r="G577" s="918"/>
      <c r="H577" s="918"/>
      <c r="I577" s="917" t="s">
        <v>3899</v>
      </c>
    </row>
    <row r="578" spans="1:9" ht="26.4" x14ac:dyDescent="0.25">
      <c r="A578" s="917">
        <v>549</v>
      </c>
      <c r="B578" s="916" t="s">
        <v>3769</v>
      </c>
      <c r="C578" s="916" t="s">
        <v>3498</v>
      </c>
      <c r="D578" s="916" t="s">
        <v>4729</v>
      </c>
      <c r="E578" s="923" t="s">
        <v>4742</v>
      </c>
      <c r="F578" s="918" t="s">
        <v>3899</v>
      </c>
      <c r="G578" s="918"/>
      <c r="H578" s="918"/>
      <c r="I578" s="917" t="s">
        <v>3899</v>
      </c>
    </row>
    <row r="579" spans="1:9" ht="26.4" x14ac:dyDescent="0.3">
      <c r="A579" s="917">
        <v>550</v>
      </c>
      <c r="B579" s="995" t="s">
        <v>3812</v>
      </c>
      <c r="C579" s="916" t="s">
        <v>3497</v>
      </c>
      <c r="D579" s="916" t="s">
        <v>4098</v>
      </c>
      <c r="E579" s="923" t="s">
        <v>4763</v>
      </c>
      <c r="F579" s="918" t="s">
        <v>3899</v>
      </c>
      <c r="G579" s="918"/>
      <c r="H579" s="918"/>
      <c r="I579" s="917" t="s">
        <v>3899</v>
      </c>
    </row>
    <row r="580" spans="1:9" ht="26.4" x14ac:dyDescent="0.25">
      <c r="A580" s="917">
        <v>551</v>
      </c>
      <c r="B580" s="916" t="s">
        <v>3829</v>
      </c>
      <c r="C580" s="916" t="s">
        <v>3497</v>
      </c>
      <c r="D580" s="916" t="s">
        <v>3593</v>
      </c>
      <c r="E580" s="923" t="s">
        <v>4766</v>
      </c>
      <c r="F580" s="918" t="s">
        <v>3899</v>
      </c>
      <c r="G580" s="920" t="s">
        <v>5480</v>
      </c>
      <c r="H580" s="918"/>
      <c r="I580" s="917" t="s">
        <v>5310</v>
      </c>
    </row>
    <row r="581" spans="1:9" x14ac:dyDescent="0.25">
      <c r="A581" s="917">
        <v>552</v>
      </c>
      <c r="B581" s="916" t="s">
        <v>4198</v>
      </c>
      <c r="C581" s="916" t="s">
        <v>3497</v>
      </c>
      <c r="D581" s="916" t="s">
        <v>4730</v>
      </c>
      <c r="E581" s="917"/>
      <c r="F581" s="918" t="s">
        <v>3899</v>
      </c>
      <c r="G581" s="918"/>
      <c r="H581" s="918"/>
      <c r="I581" s="917" t="s">
        <v>3899</v>
      </c>
    </row>
    <row r="582" spans="1:9" ht="26.4" x14ac:dyDescent="0.3">
      <c r="A582" s="917">
        <v>553</v>
      </c>
      <c r="B582" s="995" t="s">
        <v>4211</v>
      </c>
      <c r="C582" s="916" t="s">
        <v>3497</v>
      </c>
      <c r="D582" s="916" t="s">
        <v>4541</v>
      </c>
      <c r="E582" s="923" t="s">
        <v>4765</v>
      </c>
      <c r="F582" s="918" t="s">
        <v>3899</v>
      </c>
      <c r="G582" s="918"/>
      <c r="H582" s="918"/>
      <c r="I582" s="917" t="s">
        <v>3899</v>
      </c>
    </row>
    <row r="583" spans="1:9" ht="26.4" x14ac:dyDescent="0.25">
      <c r="A583" s="917">
        <v>554</v>
      </c>
      <c r="B583" s="916" t="s">
        <v>4233</v>
      </c>
      <c r="C583" s="916" t="s">
        <v>3497</v>
      </c>
      <c r="D583" s="916" t="s">
        <v>4731</v>
      </c>
      <c r="E583" s="923" t="s">
        <v>4761</v>
      </c>
      <c r="F583" s="918" t="s">
        <v>3899</v>
      </c>
      <c r="G583" s="918"/>
      <c r="H583" s="918"/>
      <c r="I583" s="917" t="s">
        <v>3899</v>
      </c>
    </row>
    <row r="584" spans="1:9" ht="26.4" x14ac:dyDescent="0.3">
      <c r="A584" s="917">
        <v>555</v>
      </c>
      <c r="B584" s="995" t="s">
        <v>4387</v>
      </c>
      <c r="C584" s="916" t="s">
        <v>3497</v>
      </c>
      <c r="D584" s="916" t="s">
        <v>4731</v>
      </c>
      <c r="E584" s="923" t="s">
        <v>4762</v>
      </c>
      <c r="F584" s="918" t="s">
        <v>3899</v>
      </c>
      <c r="G584" s="918"/>
      <c r="H584" s="918"/>
      <c r="I584" s="917" t="s">
        <v>3899</v>
      </c>
    </row>
    <row r="585" spans="1:9" ht="14.4" x14ac:dyDescent="0.3">
      <c r="A585" s="917">
        <v>556</v>
      </c>
      <c r="B585" s="995" t="s">
        <v>243</v>
      </c>
      <c r="C585" s="916" t="s">
        <v>3497</v>
      </c>
      <c r="D585" s="916" t="s">
        <v>244</v>
      </c>
      <c r="E585" s="917"/>
      <c r="F585" s="918"/>
      <c r="G585" s="918"/>
      <c r="H585" s="918"/>
      <c r="I585" s="917" t="s">
        <v>3899</v>
      </c>
    </row>
    <row r="586" spans="1:9" ht="14.4" x14ac:dyDescent="0.3">
      <c r="A586" s="917">
        <v>557</v>
      </c>
      <c r="B586" s="995" t="s">
        <v>209</v>
      </c>
      <c r="C586" s="916" t="s">
        <v>3497</v>
      </c>
      <c r="D586" s="916" t="s">
        <v>210</v>
      </c>
      <c r="E586" s="917"/>
      <c r="F586" s="918"/>
      <c r="G586" s="918"/>
      <c r="H586" s="918"/>
      <c r="I586" s="917" t="s">
        <v>3899</v>
      </c>
    </row>
    <row r="587" spans="1:9" x14ac:dyDescent="0.25">
      <c r="A587" s="917">
        <v>558</v>
      </c>
      <c r="B587" s="916" t="s">
        <v>191</v>
      </c>
      <c r="C587" s="916" t="s">
        <v>3497</v>
      </c>
      <c r="D587" s="916" t="s">
        <v>192</v>
      </c>
      <c r="E587" s="917"/>
      <c r="F587" s="918"/>
      <c r="G587" s="918"/>
      <c r="H587" s="918"/>
      <c r="I587" s="917" t="s">
        <v>3899</v>
      </c>
    </row>
    <row r="588" spans="1:9" ht="14.4" x14ac:dyDescent="0.3">
      <c r="A588" s="917">
        <v>559</v>
      </c>
      <c r="B588" s="995" t="s">
        <v>3055</v>
      </c>
      <c r="C588" s="916" t="s">
        <v>3497</v>
      </c>
      <c r="D588" s="916" t="s">
        <v>73</v>
      </c>
      <c r="E588" s="917"/>
      <c r="F588" s="918"/>
      <c r="G588" s="918"/>
      <c r="H588" s="918"/>
      <c r="I588" s="917" t="s">
        <v>3899</v>
      </c>
    </row>
    <row r="589" spans="1:9" ht="14.4" x14ac:dyDescent="0.3">
      <c r="A589" s="917">
        <v>560</v>
      </c>
      <c r="B589" s="995" t="s">
        <v>3063</v>
      </c>
      <c r="C589" s="916" t="s">
        <v>3497</v>
      </c>
      <c r="D589" s="916" t="s">
        <v>4925</v>
      </c>
      <c r="E589" s="917"/>
      <c r="F589" s="918"/>
      <c r="G589" s="918"/>
      <c r="H589" s="918"/>
      <c r="I589" s="917" t="s">
        <v>3899</v>
      </c>
    </row>
    <row r="590" spans="1:9" ht="14.4" x14ac:dyDescent="0.3">
      <c r="A590" s="917">
        <v>561</v>
      </c>
      <c r="B590" s="995" t="s">
        <v>3048</v>
      </c>
      <c r="C590" s="916" t="s">
        <v>3497</v>
      </c>
      <c r="D590" s="916" t="s">
        <v>4926</v>
      </c>
      <c r="E590" s="917"/>
      <c r="F590" s="918"/>
      <c r="G590" s="918"/>
      <c r="H590" s="918"/>
      <c r="I590" s="917" t="s">
        <v>3899</v>
      </c>
    </row>
    <row r="591" spans="1:9" ht="19.5" customHeight="1" x14ac:dyDescent="0.3">
      <c r="A591" s="917">
        <v>562</v>
      </c>
      <c r="B591" s="995" t="s">
        <v>4022</v>
      </c>
      <c r="C591" s="916" t="s">
        <v>3497</v>
      </c>
      <c r="D591" s="916" t="s">
        <v>102</v>
      </c>
      <c r="E591" s="917"/>
      <c r="F591" s="918"/>
      <c r="G591" s="918"/>
      <c r="H591" s="918"/>
      <c r="I591" s="917" t="s">
        <v>3899</v>
      </c>
    </row>
    <row r="592" spans="1:9" ht="22.5" customHeight="1" x14ac:dyDescent="0.3">
      <c r="A592" s="917">
        <v>563</v>
      </c>
      <c r="B592" s="995" t="s">
        <v>2851</v>
      </c>
      <c r="C592" s="916" t="s">
        <v>3497</v>
      </c>
      <c r="D592" s="916" t="s">
        <v>3565</v>
      </c>
      <c r="E592" s="917"/>
      <c r="F592" s="918"/>
      <c r="G592" s="918"/>
      <c r="H592" s="918"/>
      <c r="I592" s="917" t="s">
        <v>3899</v>
      </c>
    </row>
    <row r="593" spans="1:9" ht="20.25" customHeight="1" x14ac:dyDescent="0.3">
      <c r="A593" s="917">
        <v>564</v>
      </c>
      <c r="B593" s="995" t="s">
        <v>3926</v>
      </c>
      <c r="C593" s="916" t="s">
        <v>3497</v>
      </c>
      <c r="D593" s="916" t="s">
        <v>2832</v>
      </c>
      <c r="E593" s="917"/>
      <c r="F593" s="918"/>
      <c r="G593" s="918"/>
      <c r="H593" s="918"/>
      <c r="I593" s="917" t="s">
        <v>3899</v>
      </c>
    </row>
    <row r="594" spans="1:9" ht="27" x14ac:dyDescent="0.3">
      <c r="A594" s="917">
        <v>565</v>
      </c>
      <c r="B594" s="995" t="s">
        <v>3826</v>
      </c>
      <c r="C594" s="916" t="s">
        <v>3497</v>
      </c>
      <c r="D594" s="920" t="s">
        <v>1030</v>
      </c>
      <c r="E594" s="917"/>
      <c r="F594" s="918"/>
      <c r="G594" s="918"/>
      <c r="H594" s="918"/>
      <c r="I594" s="917" t="s">
        <v>3899</v>
      </c>
    </row>
    <row r="595" spans="1:9" ht="14.4" x14ac:dyDescent="0.3">
      <c r="A595" s="917">
        <v>566</v>
      </c>
      <c r="B595" s="995" t="s">
        <v>3761</v>
      </c>
      <c r="C595" s="916" t="s">
        <v>3497</v>
      </c>
      <c r="D595" s="916" t="s">
        <v>5154</v>
      </c>
      <c r="E595" s="917"/>
      <c r="F595" s="918"/>
      <c r="G595" s="918"/>
      <c r="H595" s="918"/>
      <c r="I595" s="917" t="s">
        <v>3899</v>
      </c>
    </row>
    <row r="596" spans="1:9" ht="14.4" x14ac:dyDescent="0.3">
      <c r="A596" s="917">
        <v>567</v>
      </c>
      <c r="B596" s="995" t="s">
        <v>3744</v>
      </c>
      <c r="C596" s="916" t="s">
        <v>3497</v>
      </c>
      <c r="D596" s="916" t="s">
        <v>5155</v>
      </c>
      <c r="E596" s="917"/>
      <c r="F596" s="918"/>
      <c r="G596" s="918"/>
      <c r="H596" s="918"/>
      <c r="I596" s="917" t="s">
        <v>3899</v>
      </c>
    </row>
    <row r="597" spans="1:9" ht="14.4" x14ac:dyDescent="0.3">
      <c r="A597" s="917">
        <v>568</v>
      </c>
      <c r="B597" s="995" t="s">
        <v>3727</v>
      </c>
      <c r="C597" s="916" t="s">
        <v>3497</v>
      </c>
      <c r="D597" s="916" t="s">
        <v>5157</v>
      </c>
      <c r="E597" s="917"/>
      <c r="F597" s="918"/>
      <c r="G597" s="918"/>
      <c r="H597" s="918"/>
      <c r="I597" s="917" t="s">
        <v>3899</v>
      </c>
    </row>
    <row r="598" spans="1:9" ht="14.4" x14ac:dyDescent="0.3">
      <c r="A598" s="917">
        <v>569</v>
      </c>
      <c r="B598" s="995" t="s">
        <v>3684</v>
      </c>
      <c r="C598" s="916" t="s">
        <v>3497</v>
      </c>
      <c r="D598" s="916" t="s">
        <v>5158</v>
      </c>
      <c r="E598" s="917"/>
      <c r="F598" s="918"/>
      <c r="G598" s="918"/>
      <c r="H598" s="918"/>
      <c r="I598" s="917" t="s">
        <v>3899</v>
      </c>
    </row>
    <row r="599" spans="1:9" ht="14.4" x14ac:dyDescent="0.3">
      <c r="A599" s="917">
        <v>570</v>
      </c>
      <c r="B599" s="995" t="s">
        <v>3676</v>
      </c>
      <c r="C599" s="916" t="s">
        <v>3497</v>
      </c>
      <c r="D599" s="916" t="s">
        <v>38</v>
      </c>
      <c r="E599" s="917"/>
      <c r="F599" s="918"/>
      <c r="G599" s="918"/>
      <c r="H599" s="918"/>
      <c r="I599" s="917" t="s">
        <v>3899</v>
      </c>
    </row>
    <row r="600" spans="1:9" ht="14.4" x14ac:dyDescent="0.3">
      <c r="A600" s="917">
        <v>571</v>
      </c>
      <c r="B600" s="995" t="s">
        <v>3650</v>
      </c>
      <c r="C600" s="916" t="s">
        <v>3497</v>
      </c>
      <c r="D600" s="916" t="s">
        <v>5159</v>
      </c>
      <c r="E600" s="917"/>
      <c r="F600" s="918"/>
      <c r="G600" s="918"/>
      <c r="H600" s="918"/>
      <c r="I600" s="917" t="s">
        <v>3899</v>
      </c>
    </row>
    <row r="601" spans="1:9" ht="14.4" x14ac:dyDescent="0.3">
      <c r="A601" s="917">
        <v>572</v>
      </c>
      <c r="B601" s="995" t="s">
        <v>3645</v>
      </c>
      <c r="C601" s="916" t="s">
        <v>3497</v>
      </c>
      <c r="D601" s="916" t="s">
        <v>5160</v>
      </c>
      <c r="E601" s="917"/>
      <c r="F601" s="918"/>
      <c r="G601" s="918"/>
      <c r="H601" s="918"/>
      <c r="I601" s="917" t="s">
        <v>3899</v>
      </c>
    </row>
    <row r="602" spans="1:9" ht="14.4" x14ac:dyDescent="0.3">
      <c r="A602" s="917">
        <v>573</v>
      </c>
      <c r="B602" s="995" t="s">
        <v>3620</v>
      </c>
      <c r="C602" s="916" t="s">
        <v>3497</v>
      </c>
      <c r="D602" s="916" t="s">
        <v>29</v>
      </c>
      <c r="E602" s="917"/>
      <c r="F602" s="918"/>
      <c r="G602" s="918"/>
      <c r="H602" s="918"/>
      <c r="I602" s="917" t="s">
        <v>3899</v>
      </c>
    </row>
    <row r="603" spans="1:9" ht="14.4" x14ac:dyDescent="0.3">
      <c r="A603" s="917">
        <v>574</v>
      </c>
      <c r="B603" s="995" t="s">
        <v>3589</v>
      </c>
      <c r="C603" s="916" t="s">
        <v>3497</v>
      </c>
      <c r="D603" s="916" t="s">
        <v>5161</v>
      </c>
      <c r="E603" s="917"/>
      <c r="F603" s="918"/>
      <c r="G603" s="918"/>
      <c r="H603" s="918"/>
      <c r="I603" s="917" t="s">
        <v>3899</v>
      </c>
    </row>
    <row r="604" spans="1:9" ht="14.4" x14ac:dyDescent="0.3">
      <c r="A604" s="917">
        <v>575</v>
      </c>
      <c r="B604" s="995" t="s">
        <v>2992</v>
      </c>
      <c r="C604" s="916" t="s">
        <v>3497</v>
      </c>
      <c r="D604" s="916" t="s">
        <v>5162</v>
      </c>
      <c r="E604" s="917"/>
      <c r="F604" s="918"/>
      <c r="G604" s="918"/>
      <c r="H604" s="918"/>
      <c r="I604" s="917" t="s">
        <v>3899</v>
      </c>
    </row>
    <row r="605" spans="1:9" ht="14.4" x14ac:dyDescent="0.3">
      <c r="A605" s="917">
        <v>576</v>
      </c>
      <c r="B605" s="995" t="s">
        <v>2862</v>
      </c>
      <c r="C605" s="916" t="s">
        <v>3497</v>
      </c>
      <c r="D605" s="916" t="s">
        <v>198</v>
      </c>
      <c r="E605" s="917"/>
      <c r="F605" s="918"/>
      <c r="G605" s="918"/>
      <c r="H605" s="918"/>
      <c r="I605" s="917" t="s">
        <v>3899</v>
      </c>
    </row>
    <row r="606" spans="1:9" ht="14.4" x14ac:dyDescent="0.3">
      <c r="A606" s="917">
        <v>577</v>
      </c>
      <c r="B606" s="995" t="s">
        <v>3721</v>
      </c>
      <c r="C606" s="916" t="s">
        <v>3497</v>
      </c>
      <c r="D606" s="916" t="s">
        <v>102</v>
      </c>
      <c r="E606" s="917"/>
      <c r="F606" s="918"/>
      <c r="G606" s="918"/>
      <c r="H606" s="918"/>
      <c r="I606" s="917" t="s">
        <v>3899</v>
      </c>
    </row>
    <row r="607" spans="1:9" ht="14.4" x14ac:dyDescent="0.3">
      <c r="A607" s="917">
        <v>578</v>
      </c>
      <c r="B607" s="995" t="s">
        <v>4049</v>
      </c>
      <c r="C607" s="916" t="s">
        <v>3497</v>
      </c>
      <c r="D607" s="916" t="s">
        <v>4035</v>
      </c>
      <c r="E607" s="917"/>
      <c r="F607" s="918"/>
      <c r="G607" s="918"/>
      <c r="H607" s="918"/>
      <c r="I607" s="917" t="s">
        <v>3899</v>
      </c>
    </row>
    <row r="608" spans="1:9" ht="26.4" x14ac:dyDescent="0.25">
      <c r="A608" s="917">
        <v>579</v>
      </c>
      <c r="B608" s="916" t="s">
        <v>4457</v>
      </c>
      <c r="C608" s="916" t="s">
        <v>3497</v>
      </c>
      <c r="D608" s="916" t="s">
        <v>5202</v>
      </c>
      <c r="E608" s="923" t="s">
        <v>5213</v>
      </c>
      <c r="F608" s="918" t="s">
        <v>3899</v>
      </c>
      <c r="G608" s="918"/>
      <c r="H608" s="918"/>
      <c r="I608" s="917" t="s">
        <v>3899</v>
      </c>
    </row>
    <row r="609" spans="1:9" ht="26.4" x14ac:dyDescent="0.25">
      <c r="A609" s="917">
        <v>580</v>
      </c>
      <c r="B609" s="916" t="s">
        <v>4110</v>
      </c>
      <c r="C609" s="916" t="s">
        <v>3497</v>
      </c>
      <c r="D609" s="916" t="s">
        <v>3347</v>
      </c>
      <c r="E609" s="923" t="s">
        <v>5212</v>
      </c>
      <c r="F609" s="918" t="s">
        <v>3899</v>
      </c>
      <c r="G609" s="918"/>
      <c r="H609" s="918"/>
      <c r="I609" s="917" t="s">
        <v>3899</v>
      </c>
    </row>
    <row r="610" spans="1:9" ht="26.4" x14ac:dyDescent="0.25">
      <c r="A610" s="917">
        <v>581</v>
      </c>
      <c r="B610" s="916" t="s">
        <v>4257</v>
      </c>
      <c r="C610" s="916" t="s">
        <v>3497</v>
      </c>
      <c r="D610" s="916" t="s">
        <v>4258</v>
      </c>
      <c r="E610" s="923" t="s">
        <v>5211</v>
      </c>
      <c r="F610" s="918" t="s">
        <v>3899</v>
      </c>
      <c r="G610" s="918"/>
      <c r="H610" s="918"/>
      <c r="I610" s="917" t="s">
        <v>3899</v>
      </c>
    </row>
    <row r="611" spans="1:9" ht="26.4" x14ac:dyDescent="0.25">
      <c r="A611" s="917">
        <v>582</v>
      </c>
      <c r="B611" s="916" t="s">
        <v>4630</v>
      </c>
      <c r="C611" s="916" t="s">
        <v>3497</v>
      </c>
      <c r="D611" s="916" t="s">
        <v>5202</v>
      </c>
      <c r="E611" s="923" t="s">
        <v>5210</v>
      </c>
      <c r="F611" s="918" t="s">
        <v>3899</v>
      </c>
      <c r="G611" s="918"/>
      <c r="H611" s="918"/>
      <c r="I611" s="917" t="s">
        <v>3899</v>
      </c>
    </row>
    <row r="612" spans="1:9" ht="26.4" x14ac:dyDescent="0.25">
      <c r="A612" s="917">
        <v>583</v>
      </c>
      <c r="B612" s="916" t="s">
        <v>3566</v>
      </c>
      <c r="C612" s="916" t="s">
        <v>3497</v>
      </c>
      <c r="D612" s="916" t="s">
        <v>5203</v>
      </c>
      <c r="E612" s="923" t="s">
        <v>5209</v>
      </c>
      <c r="F612" s="918" t="s">
        <v>3899</v>
      </c>
      <c r="G612" s="918"/>
      <c r="H612" s="918"/>
      <c r="I612" s="917" t="s">
        <v>3899</v>
      </c>
    </row>
    <row r="613" spans="1:9" ht="26.4" x14ac:dyDescent="0.25">
      <c r="A613" s="917">
        <v>584</v>
      </c>
      <c r="B613" s="916" t="s">
        <v>3870</v>
      </c>
      <c r="C613" s="916" t="s">
        <v>3505</v>
      </c>
      <c r="D613" s="916" t="s">
        <v>5204</v>
      </c>
      <c r="E613" s="923" t="s">
        <v>5208</v>
      </c>
      <c r="F613" s="918" t="s">
        <v>3899</v>
      </c>
      <c r="G613" s="924" t="s">
        <v>5721</v>
      </c>
      <c r="H613" s="918"/>
      <c r="I613" s="917" t="s">
        <v>3899</v>
      </c>
    </row>
    <row r="614" spans="1:9" x14ac:dyDescent="0.25">
      <c r="A614" s="917">
        <v>585</v>
      </c>
      <c r="B614" s="916" t="s">
        <v>3834</v>
      </c>
      <c r="C614" s="916" t="s">
        <v>3497</v>
      </c>
      <c r="D614" s="916" t="s">
        <v>86</v>
      </c>
      <c r="E614" s="917"/>
      <c r="F614" s="918"/>
      <c r="G614" s="918"/>
      <c r="H614" s="918"/>
      <c r="I614" s="917" t="s">
        <v>3899</v>
      </c>
    </row>
    <row r="615" spans="1:9" x14ac:dyDescent="0.25">
      <c r="A615" s="917">
        <v>586</v>
      </c>
      <c r="B615" s="916" t="s">
        <v>3950</v>
      </c>
      <c r="C615" s="916" t="s">
        <v>3497</v>
      </c>
      <c r="D615" s="916" t="s">
        <v>5205</v>
      </c>
      <c r="E615" s="917"/>
      <c r="F615" s="918"/>
      <c r="G615" s="918"/>
      <c r="H615" s="918"/>
      <c r="I615" s="917" t="s">
        <v>3899</v>
      </c>
    </row>
    <row r="616" spans="1:9" ht="26.4" x14ac:dyDescent="0.25">
      <c r="A616" s="917">
        <v>587</v>
      </c>
      <c r="B616" s="916" t="s">
        <v>4103</v>
      </c>
      <c r="C616" s="916" t="s">
        <v>3497</v>
      </c>
      <c r="D616" s="916" t="s">
        <v>5206</v>
      </c>
      <c r="E616" s="923" t="s">
        <v>5207</v>
      </c>
      <c r="F616" s="918" t="s">
        <v>3899</v>
      </c>
      <c r="G616" s="918"/>
      <c r="H616" s="918"/>
      <c r="I616" s="917" t="s">
        <v>3899</v>
      </c>
    </row>
    <row r="617" spans="1:9" ht="26.4" x14ac:dyDescent="0.25">
      <c r="A617" s="917">
        <v>588</v>
      </c>
      <c r="B617" s="916" t="s">
        <v>3965</v>
      </c>
      <c r="C617" s="916" t="s">
        <v>3497</v>
      </c>
      <c r="D617" s="916" t="s">
        <v>3966</v>
      </c>
      <c r="E617" s="923" t="s">
        <v>5214</v>
      </c>
      <c r="F617" s="918" t="s">
        <v>3899</v>
      </c>
      <c r="G617" s="918"/>
      <c r="H617" s="918"/>
      <c r="I617" s="917" t="s">
        <v>3899</v>
      </c>
    </row>
    <row r="618" spans="1:9" ht="26.4" x14ac:dyDescent="0.25">
      <c r="A618" s="917">
        <v>589</v>
      </c>
      <c r="B618" s="916" t="s">
        <v>3942</v>
      </c>
      <c r="C618" s="916" t="s">
        <v>3497</v>
      </c>
      <c r="D618" s="916" t="s">
        <v>5215</v>
      </c>
      <c r="E618" s="923" t="s">
        <v>5216</v>
      </c>
      <c r="F618" s="918" t="s">
        <v>3899</v>
      </c>
      <c r="G618" s="918"/>
      <c r="H618" s="918"/>
      <c r="I618" s="917" t="s">
        <v>3899</v>
      </c>
    </row>
    <row r="619" spans="1:9" ht="26.4" x14ac:dyDescent="0.25">
      <c r="A619" s="917">
        <v>590</v>
      </c>
      <c r="B619" s="916" t="s">
        <v>4140</v>
      </c>
      <c r="C619" s="916" t="s">
        <v>3497</v>
      </c>
      <c r="D619" s="916" t="s">
        <v>5218</v>
      </c>
      <c r="E619" s="923" t="s">
        <v>5219</v>
      </c>
      <c r="F619" s="918" t="s">
        <v>3899</v>
      </c>
      <c r="G619" s="918"/>
      <c r="H619" s="918"/>
      <c r="I619" s="917" t="s">
        <v>3899</v>
      </c>
    </row>
    <row r="620" spans="1:9" ht="26.4" x14ac:dyDescent="0.25">
      <c r="A620" s="917">
        <v>591</v>
      </c>
      <c r="B620" s="916" t="s">
        <v>4430</v>
      </c>
      <c r="C620" s="916" t="s">
        <v>3497</v>
      </c>
      <c r="D620" s="920" t="s">
        <v>4431</v>
      </c>
      <c r="E620" s="923" t="s">
        <v>5220</v>
      </c>
      <c r="F620" s="918" t="s">
        <v>3899</v>
      </c>
      <c r="G620" s="918"/>
      <c r="H620" s="918"/>
      <c r="I620" s="917" t="s">
        <v>3899</v>
      </c>
    </row>
    <row r="621" spans="1:9" ht="26.4" x14ac:dyDescent="0.25">
      <c r="A621" s="917">
        <v>592</v>
      </c>
      <c r="B621" s="916" t="s">
        <v>4884</v>
      </c>
      <c r="C621" s="916" t="s">
        <v>3497</v>
      </c>
      <c r="D621" s="916" t="s">
        <v>4885</v>
      </c>
      <c r="E621" s="923" t="s">
        <v>5221</v>
      </c>
      <c r="F621" s="918" t="s">
        <v>3899</v>
      </c>
      <c r="G621" s="918"/>
      <c r="H621" s="918"/>
      <c r="I621" s="917" t="s">
        <v>3899</v>
      </c>
    </row>
    <row r="622" spans="1:9" ht="14.4" x14ac:dyDescent="0.3">
      <c r="A622" s="917">
        <v>593</v>
      </c>
      <c r="B622" s="995" t="s">
        <v>3569</v>
      </c>
      <c r="C622" s="916" t="s">
        <v>3497</v>
      </c>
      <c r="D622" s="916" t="s">
        <v>5252</v>
      </c>
      <c r="E622" s="917"/>
      <c r="F622" s="918"/>
      <c r="G622" s="918"/>
      <c r="H622" s="918"/>
      <c r="I622" s="917" t="s">
        <v>3899</v>
      </c>
    </row>
    <row r="623" spans="1:9" ht="14.4" x14ac:dyDescent="0.3">
      <c r="A623" s="917">
        <v>594</v>
      </c>
      <c r="B623" s="995" t="s">
        <v>6</v>
      </c>
      <c r="C623" s="916" t="s">
        <v>3497</v>
      </c>
      <c r="D623" s="916" t="s">
        <v>5257</v>
      </c>
      <c r="E623" s="917"/>
      <c r="F623" s="918"/>
      <c r="G623" s="918"/>
      <c r="H623" s="918"/>
      <c r="I623" s="917"/>
    </row>
    <row r="624" spans="1:9" ht="14.4" x14ac:dyDescent="0.3">
      <c r="A624" s="917">
        <v>595</v>
      </c>
      <c r="B624" s="995" t="s">
        <v>132</v>
      </c>
      <c r="C624" s="916" t="s">
        <v>3497</v>
      </c>
      <c r="D624" s="916" t="s">
        <v>3897</v>
      </c>
      <c r="E624" s="917"/>
      <c r="F624" s="918"/>
      <c r="G624" s="918"/>
      <c r="H624" s="918"/>
      <c r="I624" s="917"/>
    </row>
    <row r="625" spans="1:10" ht="14.4" x14ac:dyDescent="0.3">
      <c r="A625" s="917">
        <v>596</v>
      </c>
      <c r="B625" s="995" t="s">
        <v>10</v>
      </c>
      <c r="C625" s="916" t="s">
        <v>3497</v>
      </c>
      <c r="D625" s="916" t="s">
        <v>5269</v>
      </c>
      <c r="E625" s="917"/>
      <c r="F625" s="918"/>
      <c r="G625" s="918"/>
      <c r="H625" s="918"/>
      <c r="I625" s="917"/>
    </row>
    <row r="626" spans="1:10" ht="14.4" x14ac:dyDescent="0.3">
      <c r="A626" s="917">
        <v>597</v>
      </c>
      <c r="B626" s="995" t="s">
        <v>5</v>
      </c>
      <c r="C626" s="916" t="s">
        <v>3497</v>
      </c>
      <c r="D626" s="916" t="s">
        <v>5271</v>
      </c>
      <c r="E626" s="917"/>
      <c r="F626" s="918"/>
      <c r="G626" s="918"/>
      <c r="H626" s="918"/>
      <c r="I626" s="917"/>
    </row>
    <row r="627" spans="1:10" ht="14.4" x14ac:dyDescent="0.3">
      <c r="A627" s="917">
        <v>598</v>
      </c>
      <c r="B627" s="995" t="s">
        <v>267</v>
      </c>
      <c r="C627" s="916" t="s">
        <v>3497</v>
      </c>
      <c r="D627" s="916" t="s">
        <v>3469</v>
      </c>
      <c r="E627" s="917"/>
      <c r="F627" s="918"/>
      <c r="G627" s="918"/>
      <c r="H627" s="918"/>
      <c r="I627" s="917"/>
    </row>
    <row r="628" spans="1:10" ht="30.75" customHeight="1" x14ac:dyDescent="0.25">
      <c r="A628" s="917">
        <v>599</v>
      </c>
      <c r="B628" s="916" t="s">
        <v>3879</v>
      </c>
      <c r="C628" s="916" t="s">
        <v>3505</v>
      </c>
      <c r="D628" s="916" t="s">
        <v>3205</v>
      </c>
      <c r="E628" s="923" t="s">
        <v>5286</v>
      </c>
      <c r="F628" s="924" t="s">
        <v>5287</v>
      </c>
      <c r="G628" s="918"/>
      <c r="H628" s="918"/>
      <c r="I628" s="924" t="s">
        <v>5287</v>
      </c>
      <c r="J628" s="879" t="s">
        <v>6192</v>
      </c>
    </row>
    <row r="629" spans="1:10" ht="30.75" customHeight="1" x14ac:dyDescent="0.25">
      <c r="A629" s="917">
        <v>600</v>
      </c>
      <c r="B629" s="916" t="s">
        <v>2933</v>
      </c>
      <c r="C629" s="916" t="s">
        <v>3497</v>
      </c>
      <c r="D629" s="916" t="s">
        <v>5288</v>
      </c>
      <c r="E629" s="923" t="s">
        <v>5289</v>
      </c>
      <c r="F629" s="924" t="s">
        <v>5287</v>
      </c>
      <c r="G629" s="918"/>
      <c r="H629" s="918"/>
      <c r="I629" s="924" t="s">
        <v>5287</v>
      </c>
      <c r="J629" s="879" t="s">
        <v>6193</v>
      </c>
    </row>
    <row r="630" spans="1:10" ht="33" customHeight="1" x14ac:dyDescent="0.25">
      <c r="A630" s="917">
        <v>601</v>
      </c>
      <c r="B630" s="916" t="s">
        <v>2930</v>
      </c>
      <c r="C630" s="916" t="s">
        <v>3497</v>
      </c>
      <c r="D630" s="916" t="s">
        <v>5290</v>
      </c>
      <c r="E630" s="923" t="s">
        <v>5291</v>
      </c>
      <c r="F630" s="924" t="s">
        <v>5287</v>
      </c>
      <c r="G630" s="918"/>
      <c r="H630" s="918"/>
      <c r="I630" s="924" t="s">
        <v>5287</v>
      </c>
      <c r="J630" s="879" t="s">
        <v>6193</v>
      </c>
    </row>
    <row r="631" spans="1:10" ht="34.5" customHeight="1" x14ac:dyDescent="0.25">
      <c r="A631" s="917">
        <v>602</v>
      </c>
      <c r="B631" s="916" t="s">
        <v>4524</v>
      </c>
      <c r="C631" s="916" t="s">
        <v>3505</v>
      </c>
      <c r="D631" s="916" t="s">
        <v>3218</v>
      </c>
      <c r="E631" s="923" t="s">
        <v>5292</v>
      </c>
      <c r="F631" s="924" t="s">
        <v>5287</v>
      </c>
      <c r="G631" s="918"/>
      <c r="H631" s="918"/>
      <c r="I631" s="924" t="s">
        <v>5287</v>
      </c>
      <c r="J631" s="879" t="s">
        <v>6192</v>
      </c>
    </row>
    <row r="632" spans="1:10" ht="26.4" x14ac:dyDescent="0.25">
      <c r="A632" s="917">
        <v>603</v>
      </c>
      <c r="B632" s="916" t="s">
        <v>3558</v>
      </c>
      <c r="C632" s="916" t="s">
        <v>3505</v>
      </c>
      <c r="D632" s="916" t="s">
        <v>5293</v>
      </c>
      <c r="E632" s="923" t="s">
        <v>5294</v>
      </c>
      <c r="F632" s="924" t="s">
        <v>5287</v>
      </c>
      <c r="G632" s="918"/>
      <c r="H632" s="918"/>
      <c r="I632" s="924" t="s">
        <v>5287</v>
      </c>
      <c r="J632" s="879" t="s">
        <v>6194</v>
      </c>
    </row>
    <row r="633" spans="1:10" ht="40.5" customHeight="1" x14ac:dyDescent="0.25">
      <c r="A633" s="917">
        <v>604</v>
      </c>
      <c r="B633" s="916" t="s">
        <v>2882</v>
      </c>
      <c r="C633" s="916" t="s">
        <v>3497</v>
      </c>
      <c r="D633" s="916" t="s">
        <v>2450</v>
      </c>
      <c r="E633" s="923" t="s">
        <v>5309</v>
      </c>
      <c r="F633" s="918" t="s">
        <v>5310</v>
      </c>
      <c r="G633" s="918"/>
      <c r="H633" s="918"/>
      <c r="I633" s="918" t="s">
        <v>5310</v>
      </c>
    </row>
    <row r="634" spans="1:10" ht="26.4" x14ac:dyDescent="0.25">
      <c r="A634" s="917">
        <v>605</v>
      </c>
      <c r="B634" s="916" t="s">
        <v>2892</v>
      </c>
      <c r="C634" s="916" t="s">
        <v>3497</v>
      </c>
      <c r="D634" s="916" t="s">
        <v>2893</v>
      </c>
      <c r="E634" s="923" t="s">
        <v>5311</v>
      </c>
      <c r="F634" s="918" t="s">
        <v>5310</v>
      </c>
      <c r="G634" s="918"/>
      <c r="H634" s="918"/>
      <c r="I634" s="918" t="s">
        <v>5310</v>
      </c>
    </row>
    <row r="635" spans="1:10" ht="26.4" x14ac:dyDescent="0.25">
      <c r="A635" s="917">
        <v>606</v>
      </c>
      <c r="B635" s="916" t="s">
        <v>2889</v>
      </c>
      <c r="C635" s="916" t="s">
        <v>3497</v>
      </c>
      <c r="D635" s="916" t="s">
        <v>2484</v>
      </c>
      <c r="E635" s="923" t="s">
        <v>5312</v>
      </c>
      <c r="F635" s="918" t="s">
        <v>5310</v>
      </c>
      <c r="G635" s="923"/>
      <c r="H635" s="918"/>
      <c r="I635" s="918" t="s">
        <v>5310</v>
      </c>
    </row>
    <row r="636" spans="1:10" ht="26.4" x14ac:dyDescent="0.25">
      <c r="A636" s="917">
        <v>607</v>
      </c>
      <c r="B636" s="916" t="s">
        <v>2915</v>
      </c>
      <c r="C636" s="916" t="s">
        <v>3497</v>
      </c>
      <c r="D636" s="916" t="s">
        <v>2916</v>
      </c>
      <c r="E636" s="923" t="s">
        <v>5313</v>
      </c>
      <c r="F636" s="918" t="s">
        <v>5310</v>
      </c>
      <c r="G636" s="918"/>
      <c r="H636" s="918"/>
      <c r="I636" s="918" t="s">
        <v>5310</v>
      </c>
    </row>
    <row r="637" spans="1:10" ht="26.4" x14ac:dyDescent="0.25">
      <c r="A637" s="917">
        <v>608</v>
      </c>
      <c r="B637" s="916" t="s">
        <v>4326</v>
      </c>
      <c r="C637" s="916" t="s">
        <v>3497</v>
      </c>
      <c r="D637" s="916" t="s">
        <v>5314</v>
      </c>
      <c r="E637" s="923" t="s">
        <v>5315</v>
      </c>
      <c r="F637" s="918" t="s">
        <v>5310</v>
      </c>
      <c r="G637" s="918"/>
      <c r="H637" s="918"/>
      <c r="I637" s="918" t="s">
        <v>5310</v>
      </c>
    </row>
    <row r="638" spans="1:10" ht="26.4" x14ac:dyDescent="0.25">
      <c r="A638" s="917">
        <v>609</v>
      </c>
      <c r="B638" s="916" t="s">
        <v>3829</v>
      </c>
      <c r="C638" s="916" t="s">
        <v>3497</v>
      </c>
      <c r="D638" s="916" t="s">
        <v>3593</v>
      </c>
      <c r="E638" s="923" t="s">
        <v>5316</v>
      </c>
      <c r="F638" s="918" t="s">
        <v>5310</v>
      </c>
      <c r="G638" s="918"/>
      <c r="H638" s="918"/>
      <c r="I638" s="918" t="s">
        <v>5310</v>
      </c>
    </row>
    <row r="639" spans="1:10" ht="26.4" x14ac:dyDescent="0.25">
      <c r="A639" s="917">
        <v>610</v>
      </c>
      <c r="B639" s="916" t="s">
        <v>2877</v>
      </c>
      <c r="C639" s="916" t="s">
        <v>3497</v>
      </c>
      <c r="D639" s="916" t="s">
        <v>2878</v>
      </c>
      <c r="E639" s="945" t="s">
        <v>5329</v>
      </c>
      <c r="F639" s="918" t="s">
        <v>5330</v>
      </c>
      <c r="G639" s="918"/>
      <c r="H639" s="918"/>
      <c r="I639" s="918" t="s">
        <v>5330</v>
      </c>
    </row>
    <row r="640" spans="1:10" ht="26.4" x14ac:dyDescent="0.25">
      <c r="A640" s="917">
        <v>611</v>
      </c>
      <c r="B640" s="916" t="s">
        <v>2871</v>
      </c>
      <c r="C640" s="916" t="s">
        <v>3498</v>
      </c>
      <c r="D640" s="916" t="s">
        <v>5331</v>
      </c>
      <c r="E640" s="923" t="s">
        <v>5332</v>
      </c>
      <c r="F640" s="918" t="s">
        <v>5330</v>
      </c>
      <c r="G640" s="918" t="s">
        <v>5648</v>
      </c>
      <c r="H640" s="918" t="s">
        <v>6359</v>
      </c>
      <c r="I640" s="918" t="s">
        <v>3899</v>
      </c>
    </row>
    <row r="641" spans="1:9" ht="26.4" x14ac:dyDescent="0.25">
      <c r="A641" s="917">
        <v>612</v>
      </c>
      <c r="B641" s="916" t="s">
        <v>4592</v>
      </c>
      <c r="C641" s="916" t="s">
        <v>3505</v>
      </c>
      <c r="D641" s="916" t="s">
        <v>4314</v>
      </c>
      <c r="E641" s="923" t="s">
        <v>5334</v>
      </c>
      <c r="F641" s="918" t="s">
        <v>5330</v>
      </c>
      <c r="G641" s="918" t="s">
        <v>5641</v>
      </c>
      <c r="H641" s="918"/>
      <c r="I641" s="918" t="s">
        <v>5330</v>
      </c>
    </row>
    <row r="642" spans="1:9" ht="26.4" x14ac:dyDescent="0.25">
      <c r="A642" s="917">
        <v>613</v>
      </c>
      <c r="B642" s="916" t="s">
        <v>4318</v>
      </c>
      <c r="C642" s="916" t="s">
        <v>3498</v>
      </c>
      <c r="D642" s="916" t="s">
        <v>4314</v>
      </c>
      <c r="E642" s="923" t="s">
        <v>5333</v>
      </c>
      <c r="F642" s="918" t="s">
        <v>5330</v>
      </c>
      <c r="G642" s="918"/>
      <c r="H642" s="918"/>
      <c r="I642" s="918" t="s">
        <v>5330</v>
      </c>
    </row>
    <row r="643" spans="1:9" ht="26.4" x14ac:dyDescent="0.25">
      <c r="A643" s="917">
        <v>614</v>
      </c>
      <c r="B643" s="916" t="s">
        <v>2958</v>
      </c>
      <c r="C643" s="916" t="s">
        <v>3498</v>
      </c>
      <c r="D643" s="916" t="s">
        <v>5335</v>
      </c>
      <c r="E643" s="923" t="s">
        <v>5336</v>
      </c>
      <c r="F643" s="918" t="s">
        <v>3899</v>
      </c>
      <c r="G643" s="918"/>
      <c r="H643" s="918"/>
      <c r="I643" s="917" t="s">
        <v>5337</v>
      </c>
    </row>
    <row r="644" spans="1:9" ht="26.4" x14ac:dyDescent="0.25">
      <c r="A644" s="917">
        <v>615</v>
      </c>
      <c r="B644" s="916" t="s">
        <v>4386</v>
      </c>
      <c r="C644" s="916" t="s">
        <v>3497</v>
      </c>
      <c r="D644" s="916" t="s">
        <v>3386</v>
      </c>
      <c r="E644" s="923" t="s">
        <v>5338</v>
      </c>
      <c r="F644" s="918" t="s">
        <v>3899</v>
      </c>
      <c r="G644" s="918"/>
      <c r="H644" s="918"/>
      <c r="I644" s="917" t="s">
        <v>5337</v>
      </c>
    </row>
    <row r="645" spans="1:9" ht="26.4" x14ac:dyDescent="0.25">
      <c r="A645" s="917">
        <v>616</v>
      </c>
      <c r="B645" s="916" t="s">
        <v>4470</v>
      </c>
      <c r="C645" s="916" t="s">
        <v>3497</v>
      </c>
      <c r="D645" s="916" t="s">
        <v>3386</v>
      </c>
      <c r="E645" s="923" t="s">
        <v>5339</v>
      </c>
      <c r="F645" s="918" t="s">
        <v>3899</v>
      </c>
      <c r="G645" s="918"/>
      <c r="H645" s="918"/>
      <c r="I645" s="917" t="s">
        <v>5337</v>
      </c>
    </row>
    <row r="646" spans="1:9" ht="26.4" x14ac:dyDescent="0.25">
      <c r="A646" s="917">
        <v>617</v>
      </c>
      <c r="B646" s="916" t="s">
        <v>4482</v>
      </c>
      <c r="C646" s="916" t="s">
        <v>3497</v>
      </c>
      <c r="D646" s="916" t="s">
        <v>3386</v>
      </c>
      <c r="E646" s="923" t="s">
        <v>5340</v>
      </c>
      <c r="F646" s="918" t="s">
        <v>3899</v>
      </c>
      <c r="G646" s="918" t="s">
        <v>5579</v>
      </c>
      <c r="H646" s="918"/>
      <c r="I646" s="917" t="s">
        <v>5337</v>
      </c>
    </row>
    <row r="647" spans="1:9" ht="26.4" x14ac:dyDescent="0.25">
      <c r="A647" s="917">
        <v>618</v>
      </c>
      <c r="B647" s="916" t="s">
        <v>4145</v>
      </c>
      <c r="C647" s="916" t="s">
        <v>3498</v>
      </c>
      <c r="D647" s="916" t="s">
        <v>3722</v>
      </c>
      <c r="E647" s="923" t="s">
        <v>5341</v>
      </c>
      <c r="F647" s="918" t="s">
        <v>3899</v>
      </c>
      <c r="G647" s="918"/>
      <c r="H647" s="918"/>
      <c r="I647" s="917" t="s">
        <v>5337</v>
      </c>
    </row>
    <row r="648" spans="1:9" ht="26.4" x14ac:dyDescent="0.25">
      <c r="A648" s="917">
        <v>619</v>
      </c>
      <c r="B648" s="916" t="s">
        <v>4297</v>
      </c>
      <c r="C648" s="916" t="s">
        <v>3497</v>
      </c>
      <c r="D648" s="916" t="s">
        <v>3988</v>
      </c>
      <c r="E648" s="923" t="s">
        <v>5342</v>
      </c>
      <c r="F648" s="918" t="s">
        <v>3899</v>
      </c>
      <c r="G648" s="918"/>
      <c r="H648" s="918"/>
      <c r="I648" s="917" t="s">
        <v>5337</v>
      </c>
    </row>
    <row r="649" spans="1:9" ht="26.4" x14ac:dyDescent="0.25">
      <c r="A649" s="917">
        <v>620</v>
      </c>
      <c r="B649" s="916" t="s">
        <v>4404</v>
      </c>
      <c r="C649" s="916" t="s">
        <v>3497</v>
      </c>
      <c r="D649" s="916" t="s">
        <v>5343</v>
      </c>
      <c r="E649" s="923" t="s">
        <v>5344</v>
      </c>
      <c r="F649" s="918" t="s">
        <v>3899</v>
      </c>
      <c r="G649" s="924" t="s">
        <v>5576</v>
      </c>
      <c r="H649" s="918"/>
      <c r="I649" s="917" t="s">
        <v>5337</v>
      </c>
    </row>
    <row r="650" spans="1:9" ht="26.4" x14ac:dyDescent="0.25">
      <c r="A650" s="917">
        <v>621</v>
      </c>
      <c r="B650" s="916" t="s">
        <v>3601</v>
      </c>
      <c r="C650" s="916" t="s">
        <v>3498</v>
      </c>
      <c r="D650" s="916" t="s">
        <v>3602</v>
      </c>
      <c r="E650" s="923" t="s">
        <v>5345</v>
      </c>
      <c r="F650" s="918" t="s">
        <v>3899</v>
      </c>
      <c r="G650" s="918"/>
      <c r="H650" s="918"/>
      <c r="I650" s="917" t="s">
        <v>5337</v>
      </c>
    </row>
    <row r="651" spans="1:9" ht="26.4" x14ac:dyDescent="0.25">
      <c r="A651" s="917">
        <v>622</v>
      </c>
      <c r="B651" s="916" t="s">
        <v>4117</v>
      </c>
      <c r="C651" s="916" t="s">
        <v>3497</v>
      </c>
      <c r="D651" s="916" t="s">
        <v>5346</v>
      </c>
      <c r="E651" s="945" t="s">
        <v>5347</v>
      </c>
      <c r="F651" s="918" t="s">
        <v>3899</v>
      </c>
      <c r="G651" s="918"/>
      <c r="H651" s="918"/>
      <c r="I651" s="917" t="s">
        <v>5337</v>
      </c>
    </row>
    <row r="652" spans="1:9" ht="26.4" x14ac:dyDescent="0.25">
      <c r="A652" s="917">
        <v>623</v>
      </c>
      <c r="B652" s="916" t="s">
        <v>3830</v>
      </c>
      <c r="C652" s="916" t="s">
        <v>3497</v>
      </c>
      <c r="D652" s="916" t="s">
        <v>4617</v>
      </c>
      <c r="E652" s="923" t="s">
        <v>5348</v>
      </c>
      <c r="F652" s="918" t="s">
        <v>3899</v>
      </c>
      <c r="G652" s="918"/>
      <c r="H652" s="918"/>
      <c r="I652" s="917" t="s">
        <v>5337</v>
      </c>
    </row>
    <row r="653" spans="1:9" ht="26.4" x14ac:dyDescent="0.25">
      <c r="A653" s="917">
        <v>624</v>
      </c>
      <c r="B653" s="916" t="s">
        <v>4078</v>
      </c>
      <c r="C653" s="916" t="s">
        <v>3497</v>
      </c>
      <c r="D653" s="920" t="s">
        <v>4079</v>
      </c>
      <c r="E653" s="923" t="s">
        <v>5349</v>
      </c>
      <c r="F653" s="918" t="s">
        <v>3899</v>
      </c>
      <c r="G653" s="918"/>
      <c r="H653" s="918"/>
      <c r="I653" s="917" t="s">
        <v>5337</v>
      </c>
    </row>
    <row r="654" spans="1:9" ht="26.4" x14ac:dyDescent="0.25">
      <c r="A654" s="917">
        <v>625</v>
      </c>
      <c r="B654" s="916" t="s">
        <v>4179</v>
      </c>
      <c r="C654" s="916" t="s">
        <v>3497</v>
      </c>
      <c r="D654" s="916" t="s">
        <v>4180</v>
      </c>
      <c r="E654" s="923" t="s">
        <v>5350</v>
      </c>
      <c r="F654" s="918" t="s">
        <v>3899</v>
      </c>
      <c r="G654" s="918"/>
      <c r="H654" s="918"/>
      <c r="I654" s="917" t="s">
        <v>5337</v>
      </c>
    </row>
    <row r="655" spans="1:9" ht="26.4" x14ac:dyDescent="0.25">
      <c r="A655" s="917">
        <v>626</v>
      </c>
      <c r="B655" s="916" t="s">
        <v>4465</v>
      </c>
      <c r="C655" s="916" t="s">
        <v>3497</v>
      </c>
      <c r="D655" s="916" t="s">
        <v>5351</v>
      </c>
      <c r="E655" s="923" t="s">
        <v>5352</v>
      </c>
      <c r="F655" s="918" t="s">
        <v>3899</v>
      </c>
      <c r="G655" s="918"/>
      <c r="H655" s="918"/>
      <c r="I655" s="917" t="s">
        <v>5337</v>
      </c>
    </row>
    <row r="656" spans="1:9" ht="26.4" x14ac:dyDescent="0.25">
      <c r="A656" s="917">
        <v>627</v>
      </c>
      <c r="B656" s="916" t="s">
        <v>4497</v>
      </c>
      <c r="C656" s="916" t="s">
        <v>3497</v>
      </c>
      <c r="D656" s="916" t="s">
        <v>4498</v>
      </c>
      <c r="E656" s="923" t="s">
        <v>5353</v>
      </c>
      <c r="F656" s="918" t="s">
        <v>3899</v>
      </c>
      <c r="G656" s="918"/>
      <c r="H656" s="918"/>
      <c r="I656" s="917" t="s">
        <v>5337</v>
      </c>
    </row>
    <row r="657" spans="1:10" ht="26.4" x14ac:dyDescent="0.25">
      <c r="A657" s="917">
        <v>628</v>
      </c>
      <c r="B657" s="916" t="s">
        <v>4542</v>
      </c>
      <c r="C657" s="916" t="s">
        <v>3497</v>
      </c>
      <c r="D657" s="916" t="s">
        <v>4537</v>
      </c>
      <c r="E657" s="923" t="s">
        <v>5354</v>
      </c>
      <c r="F657" s="918" t="s">
        <v>3899</v>
      </c>
      <c r="G657" s="918"/>
      <c r="H657" s="918"/>
      <c r="I657" s="917" t="s">
        <v>5337</v>
      </c>
    </row>
    <row r="658" spans="1:10" ht="26.4" x14ac:dyDescent="0.25">
      <c r="A658" s="917">
        <v>629</v>
      </c>
      <c r="B658" s="916" t="s">
        <v>3934</v>
      </c>
      <c r="C658" s="916" t="s">
        <v>3497</v>
      </c>
      <c r="D658" s="916" t="s">
        <v>3935</v>
      </c>
      <c r="E658" s="923" t="s">
        <v>5355</v>
      </c>
      <c r="F658" s="918" t="s">
        <v>3899</v>
      </c>
      <c r="G658" s="918"/>
      <c r="H658" s="918"/>
      <c r="I658" s="917" t="s">
        <v>5337</v>
      </c>
    </row>
    <row r="659" spans="1:10" ht="26.4" x14ac:dyDescent="0.25">
      <c r="A659" s="917">
        <v>630</v>
      </c>
      <c r="B659" s="916" t="s">
        <v>4106</v>
      </c>
      <c r="C659" s="916" t="s">
        <v>3497</v>
      </c>
      <c r="D659" s="916" t="s">
        <v>5356</v>
      </c>
      <c r="E659" s="923" t="s">
        <v>5357</v>
      </c>
      <c r="F659" s="918" t="s">
        <v>3899</v>
      </c>
      <c r="G659" s="918"/>
      <c r="H659" s="918"/>
      <c r="I659" s="917" t="s">
        <v>5337</v>
      </c>
    </row>
    <row r="660" spans="1:10" ht="26.4" x14ac:dyDescent="0.25">
      <c r="A660" s="917">
        <v>631</v>
      </c>
      <c r="B660" s="916" t="s">
        <v>4183</v>
      </c>
      <c r="C660" s="916" t="s">
        <v>3497</v>
      </c>
      <c r="D660" s="916" t="s">
        <v>2520</v>
      </c>
      <c r="E660" s="923" t="s">
        <v>5358</v>
      </c>
      <c r="F660" s="918" t="s">
        <v>3899</v>
      </c>
      <c r="G660" s="918"/>
      <c r="H660" s="918"/>
      <c r="I660" s="917" t="s">
        <v>5337</v>
      </c>
    </row>
    <row r="661" spans="1:10" ht="26.4" x14ac:dyDescent="0.25">
      <c r="A661" s="917">
        <v>632</v>
      </c>
      <c r="B661" s="916" t="s">
        <v>4446</v>
      </c>
      <c r="C661" s="916" t="s">
        <v>3497</v>
      </c>
      <c r="D661" s="916" t="s">
        <v>4035</v>
      </c>
      <c r="E661" s="923" t="s">
        <v>5577</v>
      </c>
      <c r="F661" s="918" t="s">
        <v>3899</v>
      </c>
      <c r="G661" s="918"/>
      <c r="H661" s="918"/>
      <c r="I661" s="917" t="s">
        <v>5337</v>
      </c>
    </row>
    <row r="662" spans="1:10" ht="26.4" x14ac:dyDescent="0.25">
      <c r="A662" s="917">
        <v>633</v>
      </c>
      <c r="B662" s="916" t="s">
        <v>4478</v>
      </c>
      <c r="C662" s="916" t="s">
        <v>3497</v>
      </c>
      <c r="D662" s="916" t="s">
        <v>4479</v>
      </c>
      <c r="E662" s="923" t="s">
        <v>5359</v>
      </c>
      <c r="F662" s="918" t="s">
        <v>3899</v>
      </c>
      <c r="G662" s="918"/>
      <c r="H662" s="918"/>
      <c r="I662" s="917" t="s">
        <v>5337</v>
      </c>
    </row>
    <row r="663" spans="1:10" ht="26.4" x14ac:dyDescent="0.25">
      <c r="A663" s="917">
        <v>634</v>
      </c>
      <c r="B663" s="916" t="s">
        <v>4216</v>
      </c>
      <c r="C663" s="916" t="s">
        <v>3498</v>
      </c>
      <c r="D663" s="916" t="s">
        <v>5395</v>
      </c>
      <c r="E663" s="923" t="s">
        <v>5396</v>
      </c>
      <c r="F663" s="924" t="s">
        <v>5287</v>
      </c>
      <c r="G663" s="924" t="s">
        <v>5727</v>
      </c>
      <c r="H663" s="924" t="s">
        <v>6404</v>
      </c>
      <c r="I663" s="917" t="s">
        <v>5337</v>
      </c>
    </row>
    <row r="664" spans="1:10" ht="26.4" x14ac:dyDescent="0.25">
      <c r="A664" s="917">
        <v>635</v>
      </c>
      <c r="B664" s="916" t="s">
        <v>4218</v>
      </c>
      <c r="C664" s="916" t="s">
        <v>3505</v>
      </c>
      <c r="D664" s="916" t="s">
        <v>2919</v>
      </c>
      <c r="E664" s="923" t="s">
        <v>5397</v>
      </c>
      <c r="F664" s="924" t="s">
        <v>5287</v>
      </c>
      <c r="G664" s="924" t="s">
        <v>5726</v>
      </c>
      <c r="H664" s="924" t="s">
        <v>6384</v>
      </c>
      <c r="I664" s="917" t="s">
        <v>5337</v>
      </c>
    </row>
    <row r="665" spans="1:10" ht="26.4" x14ac:dyDescent="0.25">
      <c r="A665" s="917">
        <v>636</v>
      </c>
      <c r="B665" s="916" t="s">
        <v>4608</v>
      </c>
      <c r="C665" s="916" t="s">
        <v>3497</v>
      </c>
      <c r="D665" s="916" t="s">
        <v>4730</v>
      </c>
      <c r="E665" s="923" t="s">
        <v>5398</v>
      </c>
      <c r="F665" s="924" t="s">
        <v>5287</v>
      </c>
      <c r="G665" s="924"/>
      <c r="H665" s="924"/>
      <c r="I665" s="924" t="s">
        <v>5287</v>
      </c>
      <c r="J665" s="879" t="s">
        <v>6194</v>
      </c>
    </row>
    <row r="666" spans="1:10" ht="26.4" x14ac:dyDescent="0.25">
      <c r="A666" s="917">
        <v>637</v>
      </c>
      <c r="B666" s="916" t="s">
        <v>2909</v>
      </c>
      <c r="C666" s="916" t="s">
        <v>3498</v>
      </c>
      <c r="D666" s="916" t="s">
        <v>5399</v>
      </c>
      <c r="E666" s="923" t="s">
        <v>5400</v>
      </c>
      <c r="F666" s="924" t="s">
        <v>5287</v>
      </c>
      <c r="G666" s="924" t="s">
        <v>5696</v>
      </c>
      <c r="H666" s="924" t="s">
        <v>6417</v>
      </c>
      <c r="I666" s="924" t="s">
        <v>3899</v>
      </c>
      <c r="J666" s="879" t="s">
        <v>6195</v>
      </c>
    </row>
    <row r="667" spans="1:10" ht="26.4" x14ac:dyDescent="0.25">
      <c r="A667" s="917">
        <v>638</v>
      </c>
      <c r="B667" s="916" t="s">
        <v>4142</v>
      </c>
      <c r="C667" s="916" t="s">
        <v>3497</v>
      </c>
      <c r="D667" s="916" t="s">
        <v>4922</v>
      </c>
      <c r="E667" s="923" t="s">
        <v>5408</v>
      </c>
      <c r="F667" s="924" t="s">
        <v>5330</v>
      </c>
      <c r="G667" s="924"/>
      <c r="H667" s="924"/>
      <c r="I667" s="924" t="s">
        <v>5330</v>
      </c>
    </row>
    <row r="668" spans="1:10" ht="26.4" x14ac:dyDescent="0.25">
      <c r="A668" s="917">
        <v>639</v>
      </c>
      <c r="B668" s="916" t="s">
        <v>4545</v>
      </c>
      <c r="C668" s="916" t="s">
        <v>3497</v>
      </c>
      <c r="D668" s="916" t="s">
        <v>4546</v>
      </c>
      <c r="E668" s="923" t="s">
        <v>5409</v>
      </c>
      <c r="F668" s="924" t="s">
        <v>5330</v>
      </c>
      <c r="G668" s="924"/>
      <c r="H668" s="924"/>
      <c r="I668" s="924" t="s">
        <v>5330</v>
      </c>
    </row>
    <row r="669" spans="1:10" ht="26.4" x14ac:dyDescent="0.25">
      <c r="A669" s="917">
        <v>640</v>
      </c>
      <c r="B669" s="916" t="s">
        <v>4138</v>
      </c>
      <c r="C669" s="916" t="s">
        <v>3497</v>
      </c>
      <c r="D669" s="916" t="s">
        <v>5410</v>
      </c>
      <c r="E669" s="923" t="s">
        <v>5411</v>
      </c>
      <c r="F669" s="924" t="s">
        <v>5330</v>
      </c>
      <c r="G669" s="924"/>
      <c r="H669" s="924"/>
      <c r="I669" s="924" t="s">
        <v>5330</v>
      </c>
    </row>
    <row r="670" spans="1:10" ht="26.4" x14ac:dyDescent="0.25">
      <c r="A670" s="917">
        <v>641</v>
      </c>
      <c r="B670" s="916" t="s">
        <v>4148</v>
      </c>
      <c r="C670" s="916" t="s">
        <v>3497</v>
      </c>
      <c r="D670" s="916" t="s">
        <v>4149</v>
      </c>
      <c r="E670" s="923" t="s">
        <v>5412</v>
      </c>
      <c r="F670" s="924" t="s">
        <v>5330</v>
      </c>
      <c r="G670" s="924"/>
      <c r="H670" s="924"/>
      <c r="I670" s="924" t="s">
        <v>5330</v>
      </c>
    </row>
    <row r="671" spans="1:10" ht="26.4" x14ac:dyDescent="0.25">
      <c r="A671" s="917">
        <v>642</v>
      </c>
      <c r="B671" s="916" t="s">
        <v>3847</v>
      </c>
      <c r="C671" s="916" t="s">
        <v>3497</v>
      </c>
      <c r="D671" s="916" t="s">
        <v>4047</v>
      </c>
      <c r="E671" s="923" t="s">
        <v>5413</v>
      </c>
      <c r="F671" s="924" t="s">
        <v>5330</v>
      </c>
      <c r="G671" s="924"/>
      <c r="H671" s="924"/>
      <c r="I671" s="924" t="s">
        <v>5330</v>
      </c>
    </row>
    <row r="672" spans="1:10" ht="26.4" x14ac:dyDescent="0.25">
      <c r="A672" s="917">
        <v>643</v>
      </c>
      <c r="B672" s="916" t="s">
        <v>4376</v>
      </c>
      <c r="C672" s="916" t="s">
        <v>3505</v>
      </c>
      <c r="D672" s="916" t="s">
        <v>4370</v>
      </c>
      <c r="E672" s="923" t="s">
        <v>5414</v>
      </c>
      <c r="F672" s="924" t="s">
        <v>5330</v>
      </c>
      <c r="G672" s="924" t="s">
        <v>5609</v>
      </c>
      <c r="H672" s="924" t="s">
        <v>5712</v>
      </c>
      <c r="I672" s="924" t="s">
        <v>5330</v>
      </c>
    </row>
    <row r="673" spans="1:9" ht="26.4" x14ac:dyDescent="0.25">
      <c r="A673" s="917">
        <v>644</v>
      </c>
      <c r="B673" s="916" t="s">
        <v>4329</v>
      </c>
      <c r="C673" s="916" t="s">
        <v>3497</v>
      </c>
      <c r="D673" s="916" t="s">
        <v>5415</v>
      </c>
      <c r="E673" s="923" t="s">
        <v>5416</v>
      </c>
      <c r="F673" s="924" t="s">
        <v>5330</v>
      </c>
      <c r="G673" s="924"/>
      <c r="H673" s="924"/>
      <c r="I673" s="924" t="s">
        <v>5330</v>
      </c>
    </row>
    <row r="674" spans="1:9" ht="26.4" x14ac:dyDescent="0.25">
      <c r="A674" s="917">
        <v>645</v>
      </c>
      <c r="B674" s="916" t="s">
        <v>3663</v>
      </c>
      <c r="C674" s="916" t="s">
        <v>3497</v>
      </c>
      <c r="D674" s="916" t="s">
        <v>5417</v>
      </c>
      <c r="E674" s="923" t="s">
        <v>5418</v>
      </c>
      <c r="F674" s="924" t="s">
        <v>5330</v>
      </c>
      <c r="G674" s="924"/>
      <c r="H674" s="924"/>
      <c r="I674" s="924" t="s">
        <v>5330</v>
      </c>
    </row>
    <row r="675" spans="1:9" ht="52.8" x14ac:dyDescent="0.25">
      <c r="A675" s="917">
        <v>646</v>
      </c>
      <c r="B675" s="916" t="s">
        <v>4360</v>
      </c>
      <c r="C675" s="916" t="s">
        <v>3498</v>
      </c>
      <c r="D675" s="916" t="s">
        <v>4361</v>
      </c>
      <c r="E675" s="923" t="s">
        <v>5419</v>
      </c>
      <c r="F675" s="924" t="s">
        <v>5330</v>
      </c>
      <c r="G675" s="924" t="s">
        <v>5616</v>
      </c>
      <c r="H675" s="924" t="s">
        <v>6485</v>
      </c>
      <c r="I675" s="924" t="s">
        <v>3899</v>
      </c>
    </row>
    <row r="676" spans="1:9" ht="26.4" x14ac:dyDescent="0.25">
      <c r="A676" s="917">
        <v>647</v>
      </c>
      <c r="B676" s="916" t="s">
        <v>4423</v>
      </c>
      <c r="C676" s="916" t="s">
        <v>3497</v>
      </c>
      <c r="D676" s="916" t="s">
        <v>4424</v>
      </c>
      <c r="E676" s="923" t="s">
        <v>5420</v>
      </c>
      <c r="F676" s="924" t="s">
        <v>5330</v>
      </c>
      <c r="G676" s="924"/>
      <c r="H676" s="924"/>
      <c r="I676" s="924" t="s">
        <v>5330</v>
      </c>
    </row>
    <row r="677" spans="1:9" ht="26.4" x14ac:dyDescent="0.25">
      <c r="A677" s="917">
        <v>648</v>
      </c>
      <c r="B677" s="916" t="s">
        <v>4334</v>
      </c>
      <c r="C677" s="916" t="s">
        <v>3497</v>
      </c>
      <c r="D677" s="916" t="s">
        <v>4335</v>
      </c>
      <c r="E677" s="923" t="s">
        <v>5464</v>
      </c>
      <c r="F677" s="924" t="s">
        <v>5330</v>
      </c>
      <c r="G677" s="924"/>
      <c r="H677" s="924"/>
      <c r="I677" s="924" t="s">
        <v>5330</v>
      </c>
    </row>
    <row r="678" spans="1:9" ht="26.4" x14ac:dyDescent="0.25">
      <c r="A678" s="917">
        <v>649</v>
      </c>
      <c r="B678" s="916" t="s">
        <v>4205</v>
      </c>
      <c r="C678" s="916" t="s">
        <v>3497</v>
      </c>
      <c r="D678" s="916" t="s">
        <v>4206</v>
      </c>
      <c r="E678" s="923" t="s">
        <v>5465</v>
      </c>
      <c r="F678" s="924" t="s">
        <v>5330</v>
      </c>
      <c r="G678" s="924" t="s">
        <v>5610</v>
      </c>
      <c r="H678" s="924"/>
      <c r="I678" s="924" t="s">
        <v>5330</v>
      </c>
    </row>
    <row r="679" spans="1:9" ht="26.4" x14ac:dyDescent="0.25">
      <c r="A679" s="917">
        <v>650</v>
      </c>
      <c r="B679" s="916" t="s">
        <v>4138</v>
      </c>
      <c r="C679" s="916" t="s">
        <v>3498</v>
      </c>
      <c r="D679" s="916" t="s">
        <v>4619</v>
      </c>
      <c r="E679" s="923" t="s">
        <v>5466</v>
      </c>
      <c r="F679" s="924" t="s">
        <v>5330</v>
      </c>
      <c r="G679" s="924"/>
      <c r="H679" s="924"/>
      <c r="I679" s="924" t="s">
        <v>5330</v>
      </c>
    </row>
    <row r="680" spans="1:9" ht="26.4" x14ac:dyDescent="0.25">
      <c r="A680" s="917">
        <v>651</v>
      </c>
      <c r="B680" s="916" t="s">
        <v>4462</v>
      </c>
      <c r="C680" s="916" t="s">
        <v>3505</v>
      </c>
      <c r="D680" s="916" t="s">
        <v>2624</v>
      </c>
      <c r="E680" s="923" t="s">
        <v>5467</v>
      </c>
      <c r="F680" s="924" t="s">
        <v>5330</v>
      </c>
      <c r="G680" s="924" t="s">
        <v>5591</v>
      </c>
      <c r="H680" s="924"/>
      <c r="I680" s="924" t="s">
        <v>5330</v>
      </c>
    </row>
    <row r="681" spans="1:9" ht="26.4" x14ac:dyDescent="0.25">
      <c r="A681" s="917">
        <v>652</v>
      </c>
      <c r="B681" s="916" t="s">
        <v>4264</v>
      </c>
      <c r="C681" s="916" t="s">
        <v>3497</v>
      </c>
      <c r="D681" s="916" t="s">
        <v>5468</v>
      </c>
      <c r="E681" s="923" t="s">
        <v>5469</v>
      </c>
      <c r="F681" s="924" t="s">
        <v>5330</v>
      </c>
      <c r="G681" s="924" t="s">
        <v>5581</v>
      </c>
      <c r="H681" s="924"/>
      <c r="I681" s="924" t="s">
        <v>5330</v>
      </c>
    </row>
    <row r="682" spans="1:9" ht="26.4" x14ac:dyDescent="0.25">
      <c r="A682" s="917">
        <v>654</v>
      </c>
      <c r="B682" s="916" t="s">
        <v>3848</v>
      </c>
      <c r="C682" s="916" t="s">
        <v>3497</v>
      </c>
      <c r="D682" s="916" t="s">
        <v>5481</v>
      </c>
      <c r="E682" s="923" t="s">
        <v>5482</v>
      </c>
      <c r="F682" s="924" t="s">
        <v>5310</v>
      </c>
      <c r="G682" s="924"/>
      <c r="H682" s="924"/>
      <c r="I682" s="923" t="s">
        <v>5310</v>
      </c>
    </row>
    <row r="683" spans="1:9" ht="26.4" x14ac:dyDescent="0.25">
      <c r="A683" s="917">
        <v>655</v>
      </c>
      <c r="B683" s="916" t="s">
        <v>4071</v>
      </c>
      <c r="C683" s="916" t="s">
        <v>3497</v>
      </c>
      <c r="D683" s="916" t="s">
        <v>4072</v>
      </c>
      <c r="E683" s="923" t="s">
        <v>5483</v>
      </c>
      <c r="F683" s="924" t="s">
        <v>5310</v>
      </c>
      <c r="G683" s="924"/>
      <c r="H683" s="924"/>
      <c r="I683" s="923" t="s">
        <v>5310</v>
      </c>
    </row>
    <row r="684" spans="1:9" ht="26.4" x14ac:dyDescent="0.25">
      <c r="A684" s="917">
        <v>656</v>
      </c>
      <c r="B684" s="916" t="s">
        <v>4160</v>
      </c>
      <c r="C684" s="916" t="s">
        <v>3497</v>
      </c>
      <c r="D684" s="916" t="s">
        <v>4161</v>
      </c>
      <c r="E684" s="923" t="s">
        <v>5484</v>
      </c>
      <c r="F684" s="924" t="s">
        <v>5310</v>
      </c>
      <c r="G684" s="924"/>
      <c r="H684" s="924"/>
      <c r="I684" s="923" t="s">
        <v>5310</v>
      </c>
    </row>
    <row r="685" spans="1:9" ht="26.4" x14ac:dyDescent="0.25">
      <c r="A685" s="917">
        <v>657</v>
      </c>
      <c r="B685" s="916" t="s">
        <v>4157</v>
      </c>
      <c r="C685" s="916" t="s">
        <v>3505</v>
      </c>
      <c r="D685" s="916" t="s">
        <v>4158</v>
      </c>
      <c r="E685" s="923" t="s">
        <v>5485</v>
      </c>
      <c r="F685" s="924" t="s">
        <v>5310</v>
      </c>
      <c r="G685" s="924" t="s">
        <v>5722</v>
      </c>
      <c r="H685" s="924"/>
      <c r="I685" s="923" t="s">
        <v>5310</v>
      </c>
    </row>
    <row r="686" spans="1:9" ht="26.4" x14ac:dyDescent="0.25">
      <c r="A686" s="917">
        <v>658</v>
      </c>
      <c r="B686" s="916" t="s">
        <v>4162</v>
      </c>
      <c r="C686" s="916" t="s">
        <v>3497</v>
      </c>
      <c r="D686" s="916" t="s">
        <v>2943</v>
      </c>
      <c r="E686" s="923" t="s">
        <v>5486</v>
      </c>
      <c r="F686" s="924" t="s">
        <v>5310</v>
      </c>
      <c r="G686" s="924"/>
      <c r="H686" s="924"/>
      <c r="I686" s="923" t="s">
        <v>5310</v>
      </c>
    </row>
    <row r="687" spans="1:9" ht="26.4" x14ac:dyDescent="0.25">
      <c r="A687" s="917">
        <v>659</v>
      </c>
      <c r="B687" s="916" t="s">
        <v>4163</v>
      </c>
      <c r="C687" s="916" t="s">
        <v>3497</v>
      </c>
      <c r="D687" s="916" t="s">
        <v>4164</v>
      </c>
      <c r="E687" s="923" t="s">
        <v>5487</v>
      </c>
      <c r="F687" s="924" t="s">
        <v>5310</v>
      </c>
      <c r="G687" s="924"/>
      <c r="H687" s="924"/>
      <c r="I687" s="923" t="s">
        <v>5310</v>
      </c>
    </row>
    <row r="688" spans="1:9" ht="26.4" x14ac:dyDescent="0.25">
      <c r="A688" s="917">
        <v>660</v>
      </c>
      <c r="B688" s="916" t="s">
        <v>4154</v>
      </c>
      <c r="C688" s="916" t="s">
        <v>3497</v>
      </c>
      <c r="D688" s="916" t="s">
        <v>5488</v>
      </c>
      <c r="E688" s="923" t="s">
        <v>5489</v>
      </c>
      <c r="F688" s="924" t="s">
        <v>5310</v>
      </c>
      <c r="G688" s="924"/>
      <c r="H688" s="924"/>
      <c r="I688" s="923" t="s">
        <v>5310</v>
      </c>
    </row>
    <row r="689" spans="1:10" ht="26.4" x14ac:dyDescent="0.25">
      <c r="A689" s="917">
        <v>661</v>
      </c>
      <c r="B689" s="916" t="s">
        <v>4613</v>
      </c>
      <c r="C689" s="916" t="s">
        <v>3497</v>
      </c>
      <c r="D689" s="916" t="s">
        <v>4614</v>
      </c>
      <c r="E689" s="923" t="s">
        <v>5490</v>
      </c>
      <c r="F689" s="924" t="s">
        <v>5310</v>
      </c>
      <c r="G689" s="924"/>
      <c r="H689" s="924"/>
      <c r="I689" s="923" t="s">
        <v>5310</v>
      </c>
    </row>
    <row r="690" spans="1:10" ht="26.4" x14ac:dyDescent="0.25">
      <c r="A690" s="917">
        <v>662</v>
      </c>
      <c r="B690" s="916" t="s">
        <v>4615</v>
      </c>
      <c r="C690" s="916" t="s">
        <v>3497</v>
      </c>
      <c r="D690" s="916" t="s">
        <v>5415</v>
      </c>
      <c r="E690" s="923" t="s">
        <v>5491</v>
      </c>
      <c r="F690" s="924" t="s">
        <v>5310</v>
      </c>
      <c r="G690" s="924"/>
      <c r="H690" s="924"/>
      <c r="I690" s="923" t="s">
        <v>5310</v>
      </c>
    </row>
    <row r="691" spans="1:10" ht="26.4" x14ac:dyDescent="0.25">
      <c r="A691" s="917">
        <v>663</v>
      </c>
      <c r="B691" s="916" t="s">
        <v>3853</v>
      </c>
      <c r="C691" s="916" t="s">
        <v>3505</v>
      </c>
      <c r="D691" s="916" t="s">
        <v>5551</v>
      </c>
      <c r="E691" s="923" t="s">
        <v>5552</v>
      </c>
      <c r="F691" s="918" t="s">
        <v>5330</v>
      </c>
      <c r="G691" s="918"/>
      <c r="H691" s="918"/>
      <c r="I691" s="918" t="s">
        <v>5330</v>
      </c>
    </row>
    <row r="692" spans="1:10" ht="39.6" x14ac:dyDescent="0.25">
      <c r="A692" s="917">
        <v>664</v>
      </c>
      <c r="B692" s="916" t="s">
        <v>4165</v>
      </c>
      <c r="C692" s="916" t="s">
        <v>3498</v>
      </c>
      <c r="D692" s="916" t="s">
        <v>5553</v>
      </c>
      <c r="E692" s="923" t="s">
        <v>5554</v>
      </c>
      <c r="F692" s="918" t="s">
        <v>5330</v>
      </c>
      <c r="G692" s="924" t="s">
        <v>5613</v>
      </c>
      <c r="H692" s="924" t="s">
        <v>6459</v>
      </c>
      <c r="I692" s="918" t="s">
        <v>5337</v>
      </c>
    </row>
    <row r="693" spans="1:10" ht="26.4" x14ac:dyDescent="0.25">
      <c r="A693" s="917">
        <v>665</v>
      </c>
      <c r="B693" s="916" t="s">
        <v>4249</v>
      </c>
      <c r="C693" s="916" t="s">
        <v>3498</v>
      </c>
      <c r="D693" s="916" t="s">
        <v>5555</v>
      </c>
      <c r="E693" s="923" t="s">
        <v>5556</v>
      </c>
      <c r="F693" s="918" t="s">
        <v>5330</v>
      </c>
      <c r="G693" s="918" t="s">
        <v>5761</v>
      </c>
      <c r="H693" s="924" t="s">
        <v>6402</v>
      </c>
      <c r="I693" s="918" t="s">
        <v>5337</v>
      </c>
    </row>
    <row r="694" spans="1:10" ht="26.4" x14ac:dyDescent="0.25">
      <c r="A694" s="917">
        <v>666</v>
      </c>
      <c r="B694" s="916" t="s">
        <v>4068</v>
      </c>
      <c r="C694" s="916" t="s">
        <v>3505</v>
      </c>
      <c r="D694" s="916" t="s">
        <v>5557</v>
      </c>
      <c r="E694" s="923" t="s">
        <v>5558</v>
      </c>
      <c r="F694" s="918" t="s">
        <v>5330</v>
      </c>
      <c r="G694" s="924" t="s">
        <v>5602</v>
      </c>
      <c r="H694" s="918"/>
      <c r="I694" s="918" t="s">
        <v>5330</v>
      </c>
    </row>
    <row r="695" spans="1:10" ht="52.8" x14ac:dyDescent="0.25">
      <c r="A695" s="917">
        <v>667</v>
      </c>
      <c r="B695" s="916" t="s">
        <v>3971</v>
      </c>
      <c r="C695" s="916" t="s">
        <v>3505</v>
      </c>
      <c r="D695" s="916" t="s">
        <v>5559</v>
      </c>
      <c r="E695" s="923" t="s">
        <v>5560</v>
      </c>
      <c r="F695" s="918" t="s">
        <v>5330</v>
      </c>
      <c r="G695" s="924" t="s">
        <v>5592</v>
      </c>
      <c r="H695" s="924" t="s">
        <v>6442</v>
      </c>
      <c r="I695" s="918" t="s">
        <v>6073</v>
      </c>
    </row>
    <row r="696" spans="1:10" x14ac:dyDescent="0.25">
      <c r="A696" s="917">
        <v>668</v>
      </c>
      <c r="B696" s="916" t="s">
        <v>4472</v>
      </c>
      <c r="C696" s="916" t="s">
        <v>3497</v>
      </c>
      <c r="D696" s="916" t="s">
        <v>5343</v>
      </c>
      <c r="E696" s="917"/>
      <c r="F696" s="918"/>
      <c r="G696" s="918"/>
      <c r="H696" s="918"/>
      <c r="I696" s="918" t="s">
        <v>5337</v>
      </c>
    </row>
    <row r="697" spans="1:10" ht="26.4" x14ac:dyDescent="0.25">
      <c r="A697" s="917">
        <v>669</v>
      </c>
      <c r="B697" s="916" t="s">
        <v>2874</v>
      </c>
      <c r="C697" s="916" t="s">
        <v>3497</v>
      </c>
      <c r="D697" s="916" t="s">
        <v>2043</v>
      </c>
      <c r="E697" s="923" t="s">
        <v>5562</v>
      </c>
      <c r="F697" s="924" t="s">
        <v>5287</v>
      </c>
      <c r="G697" s="924" t="s">
        <v>6374</v>
      </c>
      <c r="H697" s="924"/>
      <c r="I697" s="918" t="s">
        <v>3899</v>
      </c>
      <c r="J697" s="879" t="s">
        <v>6196</v>
      </c>
    </row>
    <row r="698" spans="1:10" x14ac:dyDescent="0.25">
      <c r="A698" s="917">
        <v>670</v>
      </c>
      <c r="B698" s="916" t="s">
        <v>4391</v>
      </c>
      <c r="C698" s="916" t="s">
        <v>3497</v>
      </c>
      <c r="D698" s="916" t="s">
        <v>5563</v>
      </c>
      <c r="E698" s="917"/>
      <c r="F698" s="918" t="s">
        <v>3899</v>
      </c>
      <c r="G698" s="918"/>
      <c r="H698" s="918"/>
      <c r="I698" s="918" t="s">
        <v>3899</v>
      </c>
    </row>
    <row r="699" spans="1:10" x14ac:dyDescent="0.25">
      <c r="A699" s="917">
        <v>671</v>
      </c>
      <c r="B699" s="916" t="s">
        <v>4323</v>
      </c>
      <c r="C699" s="916" t="s">
        <v>3497</v>
      </c>
      <c r="D699" s="916" t="s">
        <v>5564</v>
      </c>
      <c r="E699" s="917"/>
      <c r="F699" s="918"/>
      <c r="G699" s="918"/>
      <c r="H699" s="918"/>
      <c r="I699" s="917" t="s">
        <v>5337</v>
      </c>
    </row>
    <row r="700" spans="1:10" x14ac:dyDescent="0.25">
      <c r="A700" s="917">
        <v>672</v>
      </c>
      <c r="B700" s="916" t="s">
        <v>4395</v>
      </c>
      <c r="C700" s="916" t="s">
        <v>3497</v>
      </c>
      <c r="D700" s="916" t="s">
        <v>5565</v>
      </c>
      <c r="E700" s="917"/>
      <c r="F700" s="918"/>
      <c r="G700" s="918"/>
      <c r="H700" s="918"/>
      <c r="I700" s="917" t="s">
        <v>5337</v>
      </c>
    </row>
    <row r="701" spans="1:10" x14ac:dyDescent="0.25">
      <c r="A701" s="917">
        <v>673</v>
      </c>
      <c r="B701" s="916" t="s">
        <v>4509</v>
      </c>
      <c r="C701" s="916" t="s">
        <v>3497</v>
      </c>
      <c r="D701" s="916" t="s">
        <v>4510</v>
      </c>
      <c r="E701" s="917"/>
      <c r="F701" s="918"/>
      <c r="G701" s="918"/>
      <c r="H701" s="918"/>
      <c r="I701" s="917" t="s">
        <v>5337</v>
      </c>
    </row>
    <row r="702" spans="1:10" x14ac:dyDescent="0.25">
      <c r="A702" s="917">
        <v>674</v>
      </c>
      <c r="B702" s="916" t="s">
        <v>3755</v>
      </c>
      <c r="C702" s="916" t="s">
        <v>3497</v>
      </c>
      <c r="D702" s="916" t="s">
        <v>5566</v>
      </c>
      <c r="E702" s="917"/>
      <c r="F702" s="918"/>
      <c r="G702" s="918"/>
      <c r="H702" s="918"/>
      <c r="I702" s="917" t="s">
        <v>5337</v>
      </c>
    </row>
    <row r="703" spans="1:10" x14ac:dyDescent="0.25">
      <c r="A703" s="917">
        <v>675</v>
      </c>
      <c r="B703" s="916" t="s">
        <v>4240</v>
      </c>
      <c r="C703" s="916" t="s">
        <v>3497</v>
      </c>
      <c r="D703" s="916" t="s">
        <v>38</v>
      </c>
      <c r="E703" s="917"/>
      <c r="F703" s="918"/>
      <c r="G703" s="918"/>
      <c r="H703" s="918"/>
      <c r="I703" s="917" t="s">
        <v>5337</v>
      </c>
    </row>
    <row r="704" spans="1:10" x14ac:dyDescent="0.25">
      <c r="A704" s="917">
        <v>676</v>
      </c>
      <c r="B704" s="916" t="s">
        <v>4252</v>
      </c>
      <c r="C704" s="916" t="s">
        <v>3497</v>
      </c>
      <c r="D704" s="916" t="s">
        <v>3101</v>
      </c>
      <c r="E704" s="917"/>
      <c r="F704" s="918"/>
      <c r="G704" s="918"/>
      <c r="H704" s="918"/>
      <c r="I704" s="917" t="s">
        <v>5337</v>
      </c>
    </row>
    <row r="705" spans="1:9" x14ac:dyDescent="0.25">
      <c r="A705" s="917">
        <v>677</v>
      </c>
      <c r="B705" s="916" t="s">
        <v>4354</v>
      </c>
      <c r="C705" s="916" t="s">
        <v>3497</v>
      </c>
      <c r="D705" s="916" t="s">
        <v>22</v>
      </c>
      <c r="E705" s="917"/>
      <c r="F705" s="918"/>
      <c r="G705" s="918"/>
      <c r="H705" s="918"/>
      <c r="I705" s="917" t="s">
        <v>5337</v>
      </c>
    </row>
    <row r="706" spans="1:9" x14ac:dyDescent="0.25">
      <c r="A706" s="917">
        <v>678</v>
      </c>
      <c r="B706" s="916" t="s">
        <v>4966</v>
      </c>
      <c r="C706" s="916" t="s">
        <v>3497</v>
      </c>
      <c r="D706" s="916" t="s">
        <v>4967</v>
      </c>
      <c r="E706" s="917"/>
      <c r="F706" s="918"/>
      <c r="G706" s="918"/>
      <c r="H706" s="918"/>
      <c r="I706" s="917" t="s">
        <v>5337</v>
      </c>
    </row>
    <row r="707" spans="1:9" x14ac:dyDescent="0.25">
      <c r="A707" s="917">
        <v>679</v>
      </c>
      <c r="B707" s="916" t="s">
        <v>4693</v>
      </c>
      <c r="C707" s="916" t="s">
        <v>3497</v>
      </c>
      <c r="D707" s="916" t="s">
        <v>4694</v>
      </c>
      <c r="E707" s="917"/>
      <c r="F707" s="918"/>
      <c r="G707" s="918"/>
      <c r="H707" s="918"/>
      <c r="I707" s="917" t="s">
        <v>5337</v>
      </c>
    </row>
    <row r="708" spans="1:9" x14ac:dyDescent="0.25">
      <c r="A708" s="917">
        <v>680</v>
      </c>
      <c r="B708" s="916" t="s">
        <v>4186</v>
      </c>
      <c r="C708" s="916" t="s">
        <v>3497</v>
      </c>
      <c r="D708" s="916" t="s">
        <v>73</v>
      </c>
      <c r="E708" s="917"/>
      <c r="F708" s="918"/>
      <c r="G708" s="918"/>
      <c r="H708" s="918"/>
      <c r="I708" s="917" t="s">
        <v>5337</v>
      </c>
    </row>
    <row r="709" spans="1:9" ht="32.25" customHeight="1" x14ac:dyDescent="0.25">
      <c r="A709" s="917">
        <v>681</v>
      </c>
      <c r="B709" s="916" t="s">
        <v>4261</v>
      </c>
      <c r="C709" s="916" t="s">
        <v>3497</v>
      </c>
      <c r="D709" s="920" t="s">
        <v>4262</v>
      </c>
      <c r="E709" s="917"/>
      <c r="F709" s="918"/>
      <c r="G709" s="918"/>
      <c r="H709" s="918"/>
      <c r="I709" s="917" t="s">
        <v>5337</v>
      </c>
    </row>
    <row r="710" spans="1:9" ht="36.75" customHeight="1" x14ac:dyDescent="0.25">
      <c r="A710" s="917">
        <v>682</v>
      </c>
      <c r="B710" s="916" t="s">
        <v>4122</v>
      </c>
      <c r="C710" s="916" t="s">
        <v>3497</v>
      </c>
      <c r="D710" s="920" t="s">
        <v>3365</v>
      </c>
      <c r="E710" s="917"/>
      <c r="F710" s="918"/>
      <c r="G710" s="918"/>
      <c r="H710" s="918"/>
      <c r="I710" s="917" t="s">
        <v>5337</v>
      </c>
    </row>
    <row r="711" spans="1:9" ht="26.4" x14ac:dyDescent="0.25">
      <c r="A711" s="917">
        <v>683</v>
      </c>
      <c r="B711" s="916" t="s">
        <v>5105</v>
      </c>
      <c r="C711" s="916" t="s">
        <v>3497</v>
      </c>
      <c r="D711" s="916" t="s">
        <v>5343</v>
      </c>
      <c r="E711" s="923" t="s">
        <v>5567</v>
      </c>
      <c r="F711" s="917" t="s">
        <v>5337</v>
      </c>
      <c r="G711" s="924" t="s">
        <v>5568</v>
      </c>
      <c r="H711" s="918"/>
      <c r="I711" s="917" t="s">
        <v>5337</v>
      </c>
    </row>
    <row r="712" spans="1:9" ht="52.8" x14ac:dyDescent="0.25">
      <c r="A712" s="917">
        <v>684</v>
      </c>
      <c r="B712" s="916" t="s">
        <v>4228</v>
      </c>
      <c r="C712" s="916" t="s">
        <v>3498</v>
      </c>
      <c r="D712" s="916" t="s">
        <v>5335</v>
      </c>
      <c r="E712" s="923" t="s">
        <v>5569</v>
      </c>
      <c r="F712" s="917" t="s">
        <v>5337</v>
      </c>
      <c r="G712" s="924" t="s">
        <v>5570</v>
      </c>
      <c r="H712" s="924" t="s">
        <v>6334</v>
      </c>
      <c r="I712" s="917" t="s">
        <v>5337</v>
      </c>
    </row>
    <row r="713" spans="1:9" ht="52.8" x14ac:dyDescent="0.25">
      <c r="A713" s="917">
        <v>685</v>
      </c>
      <c r="B713" s="916" t="s">
        <v>4248</v>
      </c>
      <c r="C713" s="916" t="s">
        <v>3505</v>
      </c>
      <c r="D713" s="916" t="s">
        <v>5571</v>
      </c>
      <c r="E713" s="923" t="s">
        <v>5572</v>
      </c>
      <c r="F713" s="917" t="s">
        <v>5337</v>
      </c>
      <c r="G713" s="918" t="s">
        <v>5593</v>
      </c>
      <c r="H713" s="924" t="s">
        <v>6441</v>
      </c>
      <c r="I713" s="917" t="s">
        <v>5337</v>
      </c>
    </row>
    <row r="714" spans="1:9" ht="39.6" x14ac:dyDescent="0.25">
      <c r="A714" s="917">
        <v>686</v>
      </c>
      <c r="B714" s="916" t="s">
        <v>4616</v>
      </c>
      <c r="C714" s="916" t="s">
        <v>3497</v>
      </c>
      <c r="D714" s="916" t="s">
        <v>4617</v>
      </c>
      <c r="E714" s="923" t="s">
        <v>5573</v>
      </c>
      <c r="F714" s="917" t="s">
        <v>5337</v>
      </c>
      <c r="G714" s="924" t="s">
        <v>5580</v>
      </c>
      <c r="H714" s="918"/>
      <c r="I714" s="917" t="s">
        <v>5337</v>
      </c>
    </row>
    <row r="715" spans="1:9" ht="26.4" x14ac:dyDescent="0.25">
      <c r="A715" s="917">
        <v>687</v>
      </c>
      <c r="B715" s="916" t="s">
        <v>3955</v>
      </c>
      <c r="C715" s="916" t="s">
        <v>3497</v>
      </c>
      <c r="D715" s="916" t="s">
        <v>5574</v>
      </c>
      <c r="E715" s="923" t="s">
        <v>5575</v>
      </c>
      <c r="F715" s="917" t="s">
        <v>5337</v>
      </c>
      <c r="G715" s="918"/>
      <c r="H715" s="918"/>
      <c r="I715" s="917" t="s">
        <v>5337</v>
      </c>
    </row>
    <row r="716" spans="1:9" ht="26.4" x14ac:dyDescent="0.25">
      <c r="A716" s="917">
        <v>688</v>
      </c>
      <c r="B716" s="916" t="s">
        <v>4436</v>
      </c>
      <c r="C716" s="916" t="s">
        <v>3497</v>
      </c>
      <c r="D716" s="916" t="s">
        <v>4437</v>
      </c>
      <c r="E716" s="923" t="s">
        <v>5578</v>
      </c>
      <c r="F716" s="917" t="s">
        <v>5337</v>
      </c>
      <c r="G716" s="918"/>
      <c r="H716" s="918"/>
      <c r="I716" s="917" t="s">
        <v>5337</v>
      </c>
    </row>
    <row r="717" spans="1:9" ht="26.4" x14ac:dyDescent="0.25">
      <c r="A717" s="917">
        <v>689</v>
      </c>
      <c r="B717" s="916" t="s">
        <v>4229</v>
      </c>
      <c r="C717" s="916" t="s">
        <v>3505</v>
      </c>
      <c r="D717" s="916" t="s">
        <v>4230</v>
      </c>
      <c r="E717" s="923" t="s">
        <v>5594</v>
      </c>
      <c r="F717" s="917" t="s">
        <v>5595</v>
      </c>
      <c r="G717" s="917"/>
      <c r="H717" s="917"/>
      <c r="I717" s="917" t="s">
        <v>5595</v>
      </c>
    </row>
    <row r="718" spans="1:9" ht="26.4" x14ac:dyDescent="0.25">
      <c r="A718" s="917">
        <v>690</v>
      </c>
      <c r="B718" s="916" t="s">
        <v>4120</v>
      </c>
      <c r="C718" s="916" t="s">
        <v>3497</v>
      </c>
      <c r="D718" s="916" t="s">
        <v>5597</v>
      </c>
      <c r="E718" s="923" t="s">
        <v>5598</v>
      </c>
      <c r="F718" s="917" t="s">
        <v>5337</v>
      </c>
      <c r="G718" s="918"/>
      <c r="H718" s="918"/>
      <c r="I718" s="917" t="s">
        <v>5337</v>
      </c>
    </row>
    <row r="719" spans="1:9" ht="26.4" x14ac:dyDescent="0.25">
      <c r="A719" s="917">
        <v>691</v>
      </c>
      <c r="B719" s="916" t="s">
        <v>2897</v>
      </c>
      <c r="C719" s="916" t="s">
        <v>3497</v>
      </c>
      <c r="D719" s="916" t="s">
        <v>3238</v>
      </c>
      <c r="E719" s="945" t="s">
        <v>5599</v>
      </c>
      <c r="F719" s="917" t="s">
        <v>5337</v>
      </c>
      <c r="G719" s="918"/>
      <c r="H719" s="918"/>
      <c r="I719" s="917" t="s">
        <v>5337</v>
      </c>
    </row>
    <row r="720" spans="1:9" ht="26.4" x14ac:dyDescent="0.25">
      <c r="A720" s="917">
        <v>692</v>
      </c>
      <c r="B720" s="916" t="s">
        <v>4220</v>
      </c>
      <c r="C720" s="916" t="s">
        <v>3498</v>
      </c>
      <c r="D720" s="916" t="s">
        <v>5600</v>
      </c>
      <c r="E720" s="923" t="s">
        <v>5601</v>
      </c>
      <c r="F720" s="917" t="s">
        <v>5595</v>
      </c>
      <c r="G720" s="917"/>
      <c r="H720" s="917"/>
      <c r="I720" s="917" t="s">
        <v>5595</v>
      </c>
    </row>
    <row r="721" spans="1:10" ht="26.4" x14ac:dyDescent="0.25">
      <c r="A721" s="917">
        <v>693</v>
      </c>
      <c r="B721" s="916" t="s">
        <v>4647</v>
      </c>
      <c r="C721" s="916" t="s">
        <v>3497</v>
      </c>
      <c r="D721" s="916" t="s">
        <v>5603</v>
      </c>
      <c r="E721" s="923" t="s">
        <v>5604</v>
      </c>
      <c r="F721" s="924" t="s">
        <v>5310</v>
      </c>
      <c r="G721" s="924" t="s">
        <v>5605</v>
      </c>
      <c r="H721" s="924"/>
      <c r="I721" s="923" t="s">
        <v>5310</v>
      </c>
    </row>
    <row r="722" spans="1:10" ht="26.4" x14ac:dyDescent="0.25">
      <c r="A722" s="917">
        <v>694</v>
      </c>
      <c r="B722" s="916" t="s">
        <v>4174</v>
      </c>
      <c r="C722" s="916" t="s">
        <v>3498</v>
      </c>
      <c r="D722" s="916" t="s">
        <v>5606</v>
      </c>
      <c r="E722" s="923" t="s">
        <v>5607</v>
      </c>
      <c r="F722" s="923" t="s">
        <v>5287</v>
      </c>
      <c r="G722" s="918" t="s">
        <v>5608</v>
      </c>
      <c r="H722" s="924" t="s">
        <v>6519</v>
      </c>
      <c r="I722" s="923" t="s">
        <v>4617</v>
      </c>
      <c r="J722" s="879" t="s">
        <v>6190</v>
      </c>
    </row>
    <row r="723" spans="1:10" ht="26.4" x14ac:dyDescent="0.25">
      <c r="A723" s="917">
        <v>695</v>
      </c>
      <c r="B723" s="916" t="s">
        <v>4074</v>
      </c>
      <c r="C723" s="916" t="s">
        <v>3505</v>
      </c>
      <c r="D723" s="916" t="s">
        <v>5611</v>
      </c>
      <c r="E723" s="923" t="s">
        <v>5612</v>
      </c>
      <c r="F723" s="918" t="s">
        <v>5330</v>
      </c>
      <c r="G723" s="918" t="s">
        <v>5663</v>
      </c>
      <c r="H723" s="918"/>
      <c r="I723" s="918" t="s">
        <v>5330</v>
      </c>
    </row>
    <row r="724" spans="1:10" ht="26.4" x14ac:dyDescent="0.25">
      <c r="A724" s="917">
        <v>696</v>
      </c>
      <c r="B724" s="916" t="s">
        <v>4192</v>
      </c>
      <c r="C724" s="916" t="s">
        <v>3498</v>
      </c>
      <c r="D724" s="916" t="s">
        <v>5614</v>
      </c>
      <c r="E724" s="923" t="s">
        <v>5615</v>
      </c>
      <c r="F724" s="918" t="s">
        <v>5330</v>
      </c>
      <c r="G724" s="918" t="s">
        <v>5725</v>
      </c>
      <c r="H724" s="918" t="s">
        <v>6465</v>
      </c>
      <c r="I724" s="918" t="s">
        <v>3899</v>
      </c>
    </row>
    <row r="725" spans="1:10" x14ac:dyDescent="0.25">
      <c r="A725" s="917">
        <v>697</v>
      </c>
      <c r="B725" s="916" t="s">
        <v>4136</v>
      </c>
      <c r="C725" s="916" t="s">
        <v>3497</v>
      </c>
      <c r="D725" s="916" t="s">
        <v>5399</v>
      </c>
      <c r="E725" s="917"/>
      <c r="F725" s="918" t="s">
        <v>5310</v>
      </c>
      <c r="G725" s="918"/>
      <c r="H725" s="918"/>
      <c r="I725" s="917" t="s">
        <v>5310</v>
      </c>
    </row>
    <row r="726" spans="1:10" ht="26.4" x14ac:dyDescent="0.25">
      <c r="A726" s="917">
        <v>698</v>
      </c>
      <c r="B726" s="916" t="s">
        <v>4310</v>
      </c>
      <c r="C726" s="916" t="s">
        <v>3505</v>
      </c>
      <c r="D726" s="916" t="s">
        <v>4311</v>
      </c>
      <c r="E726" s="923" t="s">
        <v>5644</v>
      </c>
      <c r="F726" s="924" t="s">
        <v>5287</v>
      </c>
      <c r="G726" s="918" t="s">
        <v>5645</v>
      </c>
      <c r="H726" s="918"/>
      <c r="I726" s="924" t="s">
        <v>5287</v>
      </c>
      <c r="J726" s="879" t="s">
        <v>6190</v>
      </c>
    </row>
    <row r="727" spans="1:10" ht="26.4" x14ac:dyDescent="0.25">
      <c r="A727" s="917">
        <v>699</v>
      </c>
      <c r="B727" s="916" t="s">
        <v>4200</v>
      </c>
      <c r="C727" s="916" t="s">
        <v>3497</v>
      </c>
      <c r="D727" s="916" t="s">
        <v>5639</v>
      </c>
      <c r="E727" s="923" t="s">
        <v>6186</v>
      </c>
      <c r="F727" s="924" t="s">
        <v>5287</v>
      </c>
      <c r="G727" s="918"/>
      <c r="H727" s="918"/>
      <c r="I727" s="924" t="s">
        <v>5287</v>
      </c>
      <c r="J727" s="879" t="s">
        <v>6191</v>
      </c>
    </row>
    <row r="728" spans="1:10" ht="26.4" x14ac:dyDescent="0.25">
      <c r="A728" s="917">
        <v>700</v>
      </c>
      <c r="B728" s="916" t="s">
        <v>4420</v>
      </c>
      <c r="C728" s="916" t="s">
        <v>3498</v>
      </c>
      <c r="D728" s="916" t="s">
        <v>3636</v>
      </c>
      <c r="E728" s="923" t="s">
        <v>6185</v>
      </c>
      <c r="F728" s="923" t="s">
        <v>5287</v>
      </c>
      <c r="G728" s="918" t="s">
        <v>6517</v>
      </c>
      <c r="H728" s="918"/>
      <c r="I728" s="923" t="s">
        <v>3899</v>
      </c>
      <c r="J728" s="879" t="s">
        <v>6191</v>
      </c>
    </row>
    <row r="729" spans="1:10" ht="26.4" x14ac:dyDescent="0.25">
      <c r="A729" s="917">
        <v>701</v>
      </c>
      <c r="B729" s="916" t="s">
        <v>4195</v>
      </c>
      <c r="C729" s="916" t="s">
        <v>3497</v>
      </c>
      <c r="D729" s="916" t="s">
        <v>4196</v>
      </c>
      <c r="E729" s="923" t="s">
        <v>6187</v>
      </c>
      <c r="F729" s="924" t="s">
        <v>5287</v>
      </c>
      <c r="G729" s="918" t="s">
        <v>5762</v>
      </c>
      <c r="H729" s="918" t="s">
        <v>6385</v>
      </c>
      <c r="I729" s="924" t="s">
        <v>4617</v>
      </c>
      <c r="J729" s="879" t="s">
        <v>6191</v>
      </c>
    </row>
    <row r="730" spans="1:10" ht="26.4" x14ac:dyDescent="0.25">
      <c r="A730" s="917">
        <v>702</v>
      </c>
      <c r="B730" s="916" t="s">
        <v>4151</v>
      </c>
      <c r="C730" s="916" t="s">
        <v>3505</v>
      </c>
      <c r="D730" s="916" t="s">
        <v>4962</v>
      </c>
      <c r="E730" s="923" t="s">
        <v>6188</v>
      </c>
      <c r="F730" s="924" t="s">
        <v>5287</v>
      </c>
      <c r="G730" s="918"/>
      <c r="H730" s="918"/>
      <c r="I730" s="924" t="s">
        <v>5287</v>
      </c>
      <c r="J730" s="879" t="s">
        <v>6190</v>
      </c>
    </row>
    <row r="731" spans="1:10" ht="26.4" x14ac:dyDescent="0.25">
      <c r="A731" s="917">
        <v>703</v>
      </c>
      <c r="B731" s="916" t="s">
        <v>4340</v>
      </c>
      <c r="C731" s="916" t="s">
        <v>3498</v>
      </c>
      <c r="D731" s="916" t="s">
        <v>102</v>
      </c>
      <c r="E731" s="923" t="s">
        <v>6189</v>
      </c>
      <c r="F731" s="924" t="s">
        <v>5287</v>
      </c>
      <c r="G731" s="918" t="s">
        <v>6463</v>
      </c>
      <c r="H731" s="918"/>
      <c r="I731" s="924" t="s">
        <v>3899</v>
      </c>
      <c r="J731" s="879" t="s">
        <v>6190</v>
      </c>
    </row>
    <row r="732" spans="1:10" ht="26.4" x14ac:dyDescent="0.25">
      <c r="A732" s="917">
        <v>704</v>
      </c>
      <c r="B732" s="916" t="s">
        <v>4256</v>
      </c>
      <c r="C732" s="916" t="s">
        <v>3505</v>
      </c>
      <c r="D732" s="916" t="s">
        <v>1856</v>
      </c>
      <c r="E732" s="923" t="s">
        <v>5642</v>
      </c>
      <c r="F732" s="924" t="s">
        <v>5287</v>
      </c>
      <c r="G732" s="918" t="s">
        <v>5643</v>
      </c>
      <c r="H732" s="918"/>
      <c r="I732" s="924" t="s">
        <v>5287</v>
      </c>
      <c r="J732" s="879" t="s">
        <v>6190</v>
      </c>
    </row>
    <row r="733" spans="1:10" ht="26.4" x14ac:dyDescent="0.25">
      <c r="A733" s="917">
        <v>705</v>
      </c>
      <c r="B733" s="916" t="s">
        <v>3917</v>
      </c>
      <c r="C733" s="916" t="s">
        <v>3497</v>
      </c>
      <c r="D733" s="916" t="s">
        <v>3918</v>
      </c>
      <c r="E733" s="923" t="s">
        <v>6124</v>
      </c>
      <c r="F733" s="918"/>
      <c r="G733" s="918"/>
      <c r="H733" s="918"/>
      <c r="I733" s="917" t="s">
        <v>4617</v>
      </c>
    </row>
    <row r="734" spans="1:10" ht="26.4" x14ac:dyDescent="0.25">
      <c r="A734" s="917">
        <v>706</v>
      </c>
      <c r="B734" s="916" t="s">
        <v>2894</v>
      </c>
      <c r="C734" s="916" t="s">
        <v>3497</v>
      </c>
      <c r="D734" s="920" t="s">
        <v>3803</v>
      </c>
      <c r="E734" s="917"/>
      <c r="F734" s="918" t="s">
        <v>5310</v>
      </c>
      <c r="G734" s="918"/>
      <c r="H734" s="918"/>
      <c r="I734" s="918" t="s">
        <v>5310</v>
      </c>
    </row>
    <row r="735" spans="1:10" x14ac:dyDescent="0.25">
      <c r="A735" s="917">
        <v>707</v>
      </c>
      <c r="B735" s="916" t="s">
        <v>2888</v>
      </c>
      <c r="C735" s="916" t="s">
        <v>3497</v>
      </c>
      <c r="D735" s="916" t="s">
        <v>2641</v>
      </c>
      <c r="E735" s="917"/>
      <c r="F735" s="918" t="s">
        <v>5310</v>
      </c>
      <c r="G735" s="918"/>
      <c r="H735" s="918"/>
      <c r="I735" s="917" t="s">
        <v>5310</v>
      </c>
    </row>
    <row r="736" spans="1:10" x14ac:dyDescent="0.25">
      <c r="A736" s="917">
        <v>708</v>
      </c>
      <c r="B736" s="916" t="s">
        <v>4313</v>
      </c>
      <c r="C736" s="916" t="s">
        <v>3505</v>
      </c>
      <c r="D736" s="916" t="s">
        <v>5640</v>
      </c>
      <c r="E736" s="917"/>
      <c r="F736" s="918" t="s">
        <v>5310</v>
      </c>
      <c r="G736" s="918"/>
      <c r="H736" s="918"/>
      <c r="I736" s="918" t="s">
        <v>5310</v>
      </c>
    </row>
    <row r="737" spans="1:11" x14ac:dyDescent="0.25">
      <c r="A737" s="917">
        <v>709</v>
      </c>
      <c r="B737" s="916" t="s">
        <v>4442</v>
      </c>
      <c r="C737" s="916" t="s">
        <v>3505</v>
      </c>
      <c r="D737" s="916" t="s">
        <v>5343</v>
      </c>
      <c r="E737" s="917"/>
      <c r="F737" s="918" t="s">
        <v>5310</v>
      </c>
      <c r="G737" s="918" t="s">
        <v>5714</v>
      </c>
      <c r="H737" s="918"/>
      <c r="I737" s="918" t="s">
        <v>5310</v>
      </c>
    </row>
    <row r="738" spans="1:11" ht="39.6" x14ac:dyDescent="0.25">
      <c r="A738" s="917">
        <v>710</v>
      </c>
      <c r="B738" s="916" t="s">
        <v>3865</v>
      </c>
      <c r="C738" s="916" t="s">
        <v>3497</v>
      </c>
      <c r="D738" s="920" t="s">
        <v>3902</v>
      </c>
      <c r="E738" s="917"/>
      <c r="F738" s="918" t="s">
        <v>5310</v>
      </c>
      <c r="G738" s="918"/>
      <c r="H738" s="918"/>
      <c r="I738" s="918" t="s">
        <v>5310</v>
      </c>
    </row>
    <row r="739" spans="1:11" x14ac:dyDescent="0.25">
      <c r="A739" s="917">
        <v>711</v>
      </c>
      <c r="B739" s="916" t="s">
        <v>4594</v>
      </c>
      <c r="C739" s="916" t="s">
        <v>3497</v>
      </c>
      <c r="D739" s="916" t="s">
        <v>5640</v>
      </c>
      <c r="E739" s="917"/>
      <c r="F739" s="918" t="s">
        <v>5310</v>
      </c>
      <c r="G739" s="918"/>
      <c r="H739" s="918"/>
      <c r="I739" s="918" t="s">
        <v>5310</v>
      </c>
    </row>
    <row r="740" spans="1:11" ht="26.4" x14ac:dyDescent="0.25">
      <c r="A740" s="917">
        <v>712</v>
      </c>
      <c r="B740" s="916" t="s">
        <v>4450</v>
      </c>
      <c r="C740" s="916" t="s">
        <v>3498</v>
      </c>
      <c r="D740" s="920" t="s">
        <v>2712</v>
      </c>
      <c r="E740" s="917"/>
      <c r="F740" s="918" t="s">
        <v>5310</v>
      </c>
      <c r="G740" s="918" t="s">
        <v>6462</v>
      </c>
      <c r="H740" s="918"/>
      <c r="I740" s="918" t="s">
        <v>6077</v>
      </c>
    </row>
    <row r="741" spans="1:11" x14ac:dyDescent="0.25">
      <c r="A741" s="917">
        <v>713</v>
      </c>
      <c r="B741" s="916" t="s">
        <v>5010</v>
      </c>
      <c r="C741" s="916" t="s">
        <v>3497</v>
      </c>
      <c r="D741" s="916" t="s">
        <v>3157</v>
      </c>
      <c r="E741" s="917"/>
      <c r="F741" s="918" t="s">
        <v>5310</v>
      </c>
      <c r="G741" s="918" t="s">
        <v>6227</v>
      </c>
      <c r="H741" s="918"/>
      <c r="I741" s="918" t="s">
        <v>3899</v>
      </c>
    </row>
    <row r="742" spans="1:11" ht="26.4" x14ac:dyDescent="0.25">
      <c r="A742" s="917">
        <v>714</v>
      </c>
      <c r="B742" s="916" t="s">
        <v>4514</v>
      </c>
      <c r="C742" s="916" t="s">
        <v>3498</v>
      </c>
      <c r="D742" s="916" t="s">
        <v>4515</v>
      </c>
      <c r="E742" s="923" t="s">
        <v>5739</v>
      </c>
      <c r="F742" s="924" t="s">
        <v>5310</v>
      </c>
      <c r="G742" s="918"/>
      <c r="H742" s="918"/>
      <c r="I742" s="917"/>
    </row>
    <row r="743" spans="1:11" x14ac:dyDescent="0.25">
      <c r="A743" s="917">
        <v>715</v>
      </c>
      <c r="B743" s="916" t="s">
        <v>4210</v>
      </c>
      <c r="C743" s="916" t="s">
        <v>3497</v>
      </c>
      <c r="D743" s="916" t="s">
        <v>4925</v>
      </c>
      <c r="E743" s="917"/>
      <c r="F743" s="924" t="s">
        <v>5310</v>
      </c>
      <c r="G743" s="918" t="s">
        <v>5713</v>
      </c>
      <c r="H743" s="918"/>
      <c r="I743" s="917"/>
    </row>
    <row r="744" spans="1:11" ht="26.4" x14ac:dyDescent="0.25">
      <c r="A744" s="917">
        <v>716</v>
      </c>
      <c r="B744" s="916" t="s">
        <v>4349</v>
      </c>
      <c r="C744" s="916" t="s">
        <v>3498</v>
      </c>
      <c r="D744" s="916" t="s">
        <v>3365</v>
      </c>
      <c r="E744" s="923" t="s">
        <v>5646</v>
      </c>
      <c r="F744" s="924" t="s">
        <v>5287</v>
      </c>
      <c r="G744" s="918" t="s">
        <v>5647</v>
      </c>
      <c r="H744" s="924" t="s">
        <v>6574</v>
      </c>
      <c r="I744" s="924" t="s">
        <v>3899</v>
      </c>
    </row>
    <row r="745" spans="1:11" ht="26.4" x14ac:dyDescent="0.25">
      <c r="A745" s="917">
        <v>717</v>
      </c>
      <c r="B745" s="916" t="s">
        <v>4846</v>
      </c>
      <c r="C745" s="916" t="s">
        <v>3498</v>
      </c>
      <c r="D745" s="916" t="s">
        <v>4847</v>
      </c>
      <c r="E745" s="923" t="s">
        <v>5662</v>
      </c>
      <c r="F745" s="924" t="s">
        <v>5287</v>
      </c>
      <c r="G745" s="918" t="s">
        <v>6486</v>
      </c>
      <c r="H745" s="918"/>
      <c r="I745" s="924" t="s">
        <v>5287</v>
      </c>
    </row>
    <row r="746" spans="1:11" ht="26.4" x14ac:dyDescent="0.25">
      <c r="A746" s="917">
        <v>718</v>
      </c>
      <c r="B746" s="916" t="s">
        <v>4246</v>
      </c>
      <c r="C746" s="916" t="s">
        <v>3498</v>
      </c>
      <c r="D746" s="916" t="s">
        <v>5668</v>
      </c>
      <c r="E746" s="923" t="s">
        <v>5669</v>
      </c>
      <c r="F746" s="918" t="s">
        <v>5330</v>
      </c>
      <c r="G746" s="918" t="s">
        <v>5766</v>
      </c>
      <c r="H746" s="924" t="s">
        <v>6469</v>
      </c>
      <c r="I746" s="918" t="s">
        <v>3899</v>
      </c>
    </row>
    <row r="747" spans="1:11" ht="26.4" x14ac:dyDescent="0.25">
      <c r="A747" s="917">
        <v>719</v>
      </c>
      <c r="B747" s="916" t="s">
        <v>4267</v>
      </c>
      <c r="C747" s="916" t="s">
        <v>3497</v>
      </c>
      <c r="D747" s="916" t="s">
        <v>5670</v>
      </c>
      <c r="E747" s="923" t="s">
        <v>5671</v>
      </c>
      <c r="F747" s="918" t="s">
        <v>5330</v>
      </c>
      <c r="G747" s="918"/>
      <c r="H747" s="918"/>
      <c r="I747" s="918" t="s">
        <v>5330</v>
      </c>
    </row>
    <row r="748" spans="1:11" ht="26.4" x14ac:dyDescent="0.25">
      <c r="A748" s="917">
        <v>720</v>
      </c>
      <c r="B748" s="916" t="s">
        <v>4337</v>
      </c>
      <c r="C748" s="916" t="s">
        <v>3497</v>
      </c>
      <c r="D748" s="916" t="s">
        <v>3567</v>
      </c>
      <c r="E748" s="923" t="s">
        <v>5672</v>
      </c>
      <c r="F748" s="918" t="s">
        <v>5330</v>
      </c>
      <c r="G748" s="918"/>
      <c r="H748" s="918"/>
      <c r="I748" s="918" t="s">
        <v>5330</v>
      </c>
    </row>
    <row r="749" spans="1:11" x14ac:dyDescent="0.25">
      <c r="A749" s="917">
        <v>721</v>
      </c>
      <c r="B749" s="916" t="s">
        <v>107</v>
      </c>
      <c r="C749" s="916" t="s">
        <v>3497</v>
      </c>
      <c r="D749" s="916" t="s">
        <v>108</v>
      </c>
      <c r="E749" s="917"/>
      <c r="F749" s="918"/>
      <c r="G749" s="918"/>
      <c r="H749" s="918"/>
      <c r="I749" s="917"/>
      <c r="K749" s="1103"/>
    </row>
    <row r="750" spans="1:11" ht="26.4" x14ac:dyDescent="0.25">
      <c r="A750" s="917">
        <v>722</v>
      </c>
      <c r="B750" s="916" t="s">
        <v>4642</v>
      </c>
      <c r="C750" s="916" t="s">
        <v>3498</v>
      </c>
      <c r="D750" s="916" t="s">
        <v>3485</v>
      </c>
      <c r="E750" s="945" t="s">
        <v>5710</v>
      </c>
      <c r="F750" s="924" t="s">
        <v>5287</v>
      </c>
      <c r="G750" s="918" t="s">
        <v>5711</v>
      </c>
      <c r="H750" s="924" t="s">
        <v>6540</v>
      </c>
      <c r="I750" s="924" t="s">
        <v>3899</v>
      </c>
      <c r="K750" s="1103"/>
    </row>
    <row r="751" spans="1:11" ht="26.4" x14ac:dyDescent="0.25">
      <c r="A751" s="917">
        <v>723</v>
      </c>
      <c r="B751" s="916" t="s">
        <v>4336</v>
      </c>
      <c r="C751" s="916" t="s">
        <v>3498</v>
      </c>
      <c r="D751" s="916" t="s">
        <v>29</v>
      </c>
      <c r="E751" s="923" t="s">
        <v>5715</v>
      </c>
      <c r="F751" s="924" t="s">
        <v>5287</v>
      </c>
      <c r="G751" s="918" t="s">
        <v>5716</v>
      </c>
      <c r="H751" s="924" t="s">
        <v>6518</v>
      </c>
      <c r="I751" s="924" t="s">
        <v>4617</v>
      </c>
      <c r="K751" s="1103"/>
    </row>
    <row r="752" spans="1:11" x14ac:dyDescent="0.25">
      <c r="A752" s="917">
        <v>724</v>
      </c>
      <c r="B752" s="916" t="s">
        <v>4176</v>
      </c>
      <c r="C752" s="916" t="s">
        <v>3497</v>
      </c>
      <c r="D752" s="916" t="s">
        <v>4177</v>
      </c>
      <c r="E752" s="917"/>
      <c r="F752" s="918"/>
      <c r="G752" s="918"/>
      <c r="H752" s="918"/>
      <c r="I752" s="917"/>
    </row>
    <row r="753" spans="1:11" ht="26.4" x14ac:dyDescent="0.25">
      <c r="A753" s="917">
        <v>725</v>
      </c>
      <c r="B753" s="916" t="s">
        <v>5113</v>
      </c>
      <c r="C753" s="916" t="s">
        <v>3505</v>
      </c>
      <c r="D753" s="916" t="s">
        <v>5736</v>
      </c>
      <c r="E753" s="923" t="s">
        <v>5737</v>
      </c>
      <c r="F753" s="918" t="s">
        <v>5310</v>
      </c>
      <c r="G753" s="918" t="s">
        <v>6351</v>
      </c>
      <c r="H753" s="918"/>
      <c r="I753" s="918" t="s">
        <v>5310</v>
      </c>
      <c r="K753" s="1103"/>
    </row>
    <row r="754" spans="1:11" x14ac:dyDescent="0.25">
      <c r="A754" s="917">
        <v>726</v>
      </c>
      <c r="B754" s="916" t="s">
        <v>4307</v>
      </c>
      <c r="C754" s="916" t="s">
        <v>3498</v>
      </c>
      <c r="D754" s="916" t="s">
        <v>33</v>
      </c>
      <c r="E754" s="917" t="s">
        <v>5738</v>
      </c>
      <c r="F754" s="918" t="s">
        <v>5310</v>
      </c>
      <c r="G754" s="918"/>
      <c r="H754" s="918"/>
      <c r="I754" s="918" t="s">
        <v>5310</v>
      </c>
    </row>
    <row r="755" spans="1:11" ht="26.4" x14ac:dyDescent="0.25">
      <c r="A755" s="917">
        <v>727</v>
      </c>
      <c r="B755" s="916" t="s">
        <v>1107</v>
      </c>
      <c r="C755" s="916" t="s">
        <v>3497</v>
      </c>
      <c r="D755" s="916" t="s">
        <v>222</v>
      </c>
      <c r="E755" s="917"/>
      <c r="F755" s="923" t="s">
        <v>5749</v>
      </c>
      <c r="G755" s="918"/>
      <c r="H755" s="918"/>
      <c r="I755" s="923" t="s">
        <v>5749</v>
      </c>
    </row>
    <row r="756" spans="1:11" ht="26.4" x14ac:dyDescent="0.25">
      <c r="A756" s="917">
        <v>728</v>
      </c>
      <c r="B756" s="916" t="s">
        <v>223</v>
      </c>
      <c r="C756" s="916" t="s">
        <v>3497</v>
      </c>
      <c r="D756" s="916" t="s">
        <v>5758</v>
      </c>
      <c r="E756" s="917"/>
      <c r="F756" s="924" t="s">
        <v>5759</v>
      </c>
      <c r="G756" s="918"/>
      <c r="H756" s="918"/>
      <c r="I756" s="924" t="s">
        <v>5759</v>
      </c>
      <c r="K756" s="1103"/>
    </row>
    <row r="757" spans="1:11" ht="26.4" x14ac:dyDescent="0.25">
      <c r="A757" s="917">
        <v>729</v>
      </c>
      <c r="B757" s="916" t="s">
        <v>4345</v>
      </c>
      <c r="C757" s="916" t="s">
        <v>3498</v>
      </c>
      <c r="D757" s="916" t="s">
        <v>4346</v>
      </c>
      <c r="E757" s="923" t="s">
        <v>6468</v>
      </c>
      <c r="F757" s="918" t="s">
        <v>3899</v>
      </c>
      <c r="G757" s="918"/>
      <c r="H757" s="918"/>
      <c r="I757" s="917" t="s">
        <v>3899</v>
      </c>
      <c r="K757" s="1103"/>
    </row>
    <row r="758" spans="1:11" ht="26.4" x14ac:dyDescent="0.25">
      <c r="A758" s="917">
        <v>730</v>
      </c>
      <c r="B758" s="916" t="s">
        <v>4368</v>
      </c>
      <c r="C758" s="916" t="s">
        <v>391</v>
      </c>
      <c r="D758" s="916" t="s">
        <v>4096</v>
      </c>
      <c r="E758" s="917"/>
      <c r="F758" s="918"/>
      <c r="G758" s="924" t="s">
        <v>5925</v>
      </c>
      <c r="H758" s="918"/>
      <c r="I758" s="917"/>
      <c r="K758" s="1103"/>
    </row>
    <row r="759" spans="1:11" x14ac:dyDescent="0.25">
      <c r="A759" s="917">
        <v>731</v>
      </c>
      <c r="B759" s="916" t="s">
        <v>3997</v>
      </c>
      <c r="C759" s="916" t="s">
        <v>3497</v>
      </c>
      <c r="D759" s="916" t="s">
        <v>5926</v>
      </c>
      <c r="E759" s="1123" t="s">
        <v>6113</v>
      </c>
      <c r="F759" s="918"/>
      <c r="G759" s="918" t="s">
        <v>5927</v>
      </c>
      <c r="H759" s="918"/>
      <c r="I759" s="917" t="s">
        <v>3899</v>
      </c>
      <c r="K759" s="1103"/>
    </row>
    <row r="760" spans="1:11" x14ac:dyDescent="0.25">
      <c r="A760" s="917">
        <v>732</v>
      </c>
      <c r="B760" s="916" t="s">
        <v>4219</v>
      </c>
      <c r="C760" s="916" t="s">
        <v>3497</v>
      </c>
      <c r="D760" s="916" t="s">
        <v>4534</v>
      </c>
      <c r="E760" s="1123" t="s">
        <v>6114</v>
      </c>
      <c r="F760" s="918"/>
      <c r="G760" s="918" t="s">
        <v>5927</v>
      </c>
      <c r="H760" s="918"/>
      <c r="I760" s="917" t="s">
        <v>3899</v>
      </c>
    </row>
    <row r="761" spans="1:11" ht="26.4" x14ac:dyDescent="0.25">
      <c r="A761" s="917">
        <v>733</v>
      </c>
      <c r="B761" s="916" t="s">
        <v>4474</v>
      </c>
      <c r="C761" s="916" t="s">
        <v>3498</v>
      </c>
      <c r="D761" s="916" t="s">
        <v>5928</v>
      </c>
      <c r="E761" s="945" t="s">
        <v>6454</v>
      </c>
      <c r="F761" s="918"/>
      <c r="G761" s="918" t="s">
        <v>5927</v>
      </c>
      <c r="H761" s="918"/>
      <c r="I761" s="917" t="s">
        <v>6050</v>
      </c>
    </row>
    <row r="762" spans="1:11" x14ac:dyDescent="0.25">
      <c r="A762" s="917">
        <v>734</v>
      </c>
      <c r="B762" s="916" t="s">
        <v>4485</v>
      </c>
      <c r="C762" s="916" t="s">
        <v>3498</v>
      </c>
      <c r="D762" s="916" t="s">
        <v>4486</v>
      </c>
      <c r="E762" s="917" t="s">
        <v>6132</v>
      </c>
      <c r="F762" s="918"/>
      <c r="G762" s="918" t="s">
        <v>5927</v>
      </c>
      <c r="H762" s="918"/>
      <c r="I762" s="917" t="s">
        <v>3899</v>
      </c>
    </row>
    <row r="763" spans="1:11" x14ac:dyDescent="0.25">
      <c r="A763" s="917">
        <v>735</v>
      </c>
      <c r="B763" s="916" t="s">
        <v>4364</v>
      </c>
      <c r="C763" s="916" t="s">
        <v>3498</v>
      </c>
      <c r="D763" s="916" t="s">
        <v>5929</v>
      </c>
      <c r="E763" s="917"/>
      <c r="F763" s="918"/>
      <c r="G763" s="918" t="s">
        <v>5930</v>
      </c>
      <c r="H763" s="918"/>
      <c r="I763" s="917" t="s">
        <v>5047</v>
      </c>
    </row>
    <row r="764" spans="1:11" ht="26.4" x14ac:dyDescent="0.25">
      <c r="A764" s="917">
        <v>736</v>
      </c>
      <c r="B764" s="916" t="s">
        <v>4645</v>
      </c>
      <c r="C764" s="916" t="s">
        <v>3497</v>
      </c>
      <c r="D764" s="916" t="s">
        <v>2360</v>
      </c>
      <c r="E764" s="917"/>
      <c r="F764" s="918"/>
      <c r="G764" s="924" t="s">
        <v>5935</v>
      </c>
      <c r="H764" s="1115"/>
      <c r="I764" s="917" t="s">
        <v>3899</v>
      </c>
      <c r="J764" s="879" t="s">
        <v>6074</v>
      </c>
    </row>
    <row r="765" spans="1:11" x14ac:dyDescent="0.25">
      <c r="A765" s="917">
        <v>737</v>
      </c>
      <c r="B765" s="916" t="s">
        <v>4598</v>
      </c>
      <c r="C765" s="916" t="s">
        <v>3498</v>
      </c>
      <c r="D765" s="916" t="s">
        <v>5931</v>
      </c>
      <c r="E765" s="917"/>
      <c r="F765" s="918"/>
      <c r="G765" s="918" t="s">
        <v>5932</v>
      </c>
      <c r="H765" s="918"/>
      <c r="I765" s="917" t="s">
        <v>3899</v>
      </c>
      <c r="J765" s="879" t="s">
        <v>6074</v>
      </c>
    </row>
    <row r="766" spans="1:11" x14ac:dyDescent="0.25">
      <c r="A766" s="917">
        <v>738</v>
      </c>
      <c r="B766" s="916" t="s">
        <v>4601</v>
      </c>
      <c r="C766" s="916" t="s">
        <v>3497</v>
      </c>
      <c r="D766" s="916" t="s">
        <v>5933</v>
      </c>
      <c r="E766" s="917"/>
      <c r="F766" s="918"/>
      <c r="G766" s="918" t="s">
        <v>5932</v>
      </c>
      <c r="H766" s="918"/>
      <c r="I766" s="917" t="s">
        <v>3899</v>
      </c>
      <c r="J766" s="879" t="s">
        <v>6074</v>
      </c>
    </row>
    <row r="767" spans="1:11" x14ac:dyDescent="0.25">
      <c r="A767" s="917">
        <v>739</v>
      </c>
      <c r="B767" s="916" t="s">
        <v>4621</v>
      </c>
      <c r="C767" s="916" t="s">
        <v>3497</v>
      </c>
      <c r="D767" s="916" t="s">
        <v>5346</v>
      </c>
      <c r="E767" s="917"/>
      <c r="F767" s="918"/>
      <c r="G767" s="918" t="s">
        <v>5932</v>
      </c>
      <c r="H767" s="918"/>
      <c r="I767" s="917" t="s">
        <v>3899</v>
      </c>
      <c r="J767" s="879" t="s">
        <v>6074</v>
      </c>
    </row>
    <row r="768" spans="1:11" x14ac:dyDescent="0.25">
      <c r="A768" s="917">
        <v>740</v>
      </c>
      <c r="B768" s="916" t="s">
        <v>4623</v>
      </c>
      <c r="C768" s="916" t="s">
        <v>3497</v>
      </c>
      <c r="D768" s="916" t="s">
        <v>5934</v>
      </c>
      <c r="E768" s="917"/>
      <c r="F768" s="918"/>
      <c r="G768" s="918" t="s">
        <v>5927</v>
      </c>
      <c r="H768" s="918"/>
      <c r="I768" s="917" t="s">
        <v>6073</v>
      </c>
      <c r="J768" s="879" t="s">
        <v>6074</v>
      </c>
    </row>
    <row r="769" spans="1:10" x14ac:dyDescent="0.25">
      <c r="A769" s="917">
        <v>741</v>
      </c>
      <c r="B769" s="916" t="s">
        <v>4790</v>
      </c>
      <c r="C769" s="916" t="s">
        <v>3497</v>
      </c>
      <c r="D769" s="916" t="s">
        <v>4922</v>
      </c>
      <c r="E769" s="917"/>
      <c r="F769" s="918"/>
      <c r="G769" s="918" t="s">
        <v>5932</v>
      </c>
      <c r="H769" s="918"/>
      <c r="I769" s="917" t="s">
        <v>6073</v>
      </c>
      <c r="J769" s="879" t="s">
        <v>6074</v>
      </c>
    </row>
    <row r="770" spans="1:10" x14ac:dyDescent="0.25">
      <c r="A770" s="917">
        <v>742</v>
      </c>
      <c r="B770" s="916" t="s">
        <v>5295</v>
      </c>
      <c r="C770" s="916" t="s">
        <v>3498</v>
      </c>
      <c r="D770" s="916" t="s">
        <v>5936</v>
      </c>
      <c r="E770" s="917"/>
      <c r="F770" s="918"/>
      <c r="G770" s="918" t="s">
        <v>5932</v>
      </c>
      <c r="H770" s="918"/>
      <c r="I770" s="917" t="s">
        <v>3899</v>
      </c>
      <c r="J770" s="879" t="s">
        <v>6074</v>
      </c>
    </row>
    <row r="771" spans="1:10" x14ac:dyDescent="0.25">
      <c r="A771" s="917">
        <v>743</v>
      </c>
      <c r="B771" s="916" t="s">
        <v>4796</v>
      </c>
      <c r="C771" s="916" t="s">
        <v>3497</v>
      </c>
      <c r="D771" s="916" t="s">
        <v>5937</v>
      </c>
      <c r="E771" s="917"/>
      <c r="F771" s="918"/>
      <c r="G771" s="918" t="s">
        <v>5932</v>
      </c>
      <c r="H771" s="918"/>
      <c r="I771" s="917" t="s">
        <v>3899</v>
      </c>
      <c r="J771" s="879" t="s">
        <v>6074</v>
      </c>
    </row>
    <row r="772" spans="1:10" x14ac:dyDescent="0.25">
      <c r="A772" s="917">
        <v>744</v>
      </c>
      <c r="B772" s="916" t="s">
        <v>4797</v>
      </c>
      <c r="C772" s="916" t="s">
        <v>3498</v>
      </c>
      <c r="D772" s="916" t="s">
        <v>4424</v>
      </c>
      <c r="E772" s="917"/>
      <c r="F772" s="918"/>
      <c r="G772" s="918" t="s">
        <v>5932</v>
      </c>
      <c r="H772" s="918"/>
      <c r="I772" s="917" t="s">
        <v>3899</v>
      </c>
      <c r="J772" s="879" t="s">
        <v>6074</v>
      </c>
    </row>
    <row r="773" spans="1:10" x14ac:dyDescent="0.25">
      <c r="A773" s="917">
        <v>745</v>
      </c>
      <c r="B773" s="916" t="s">
        <v>4800</v>
      </c>
      <c r="C773" s="916" t="s">
        <v>3497</v>
      </c>
      <c r="D773" s="916" t="s">
        <v>5553</v>
      </c>
      <c r="E773" s="917"/>
      <c r="F773" s="918"/>
      <c r="G773" s="918" t="s">
        <v>5932</v>
      </c>
      <c r="H773" s="918"/>
      <c r="I773" s="917" t="s">
        <v>3899</v>
      </c>
      <c r="J773" s="879" t="s">
        <v>6074</v>
      </c>
    </row>
    <row r="774" spans="1:10" x14ac:dyDescent="0.25">
      <c r="A774" s="917">
        <v>746</v>
      </c>
      <c r="B774" s="916" t="s">
        <v>4870</v>
      </c>
      <c r="C774" s="916" t="s">
        <v>3497</v>
      </c>
      <c r="D774" s="916" t="s">
        <v>4164</v>
      </c>
      <c r="E774" s="917" t="s">
        <v>6049</v>
      </c>
      <c r="F774" s="918"/>
      <c r="G774" s="918"/>
      <c r="H774" s="918"/>
      <c r="I774" s="917" t="s">
        <v>6050</v>
      </c>
    </row>
    <row r="775" spans="1:10" x14ac:dyDescent="0.25">
      <c r="A775" s="917">
        <v>747</v>
      </c>
      <c r="B775" s="916" t="s">
        <v>4890</v>
      </c>
      <c r="C775" s="916" t="s">
        <v>3497</v>
      </c>
      <c r="D775" s="916" t="s">
        <v>6051</v>
      </c>
      <c r="E775" s="917" t="s">
        <v>6052</v>
      </c>
      <c r="F775" s="918"/>
      <c r="G775" s="918"/>
      <c r="H775" s="918"/>
      <c r="I775" s="917" t="s">
        <v>6050</v>
      </c>
    </row>
    <row r="776" spans="1:10" x14ac:dyDescent="0.25">
      <c r="A776" s="917">
        <v>748</v>
      </c>
      <c r="B776" s="916" t="s">
        <v>5097</v>
      </c>
      <c r="C776" s="916" t="s">
        <v>3497</v>
      </c>
      <c r="D776" s="916" t="s">
        <v>6053</v>
      </c>
      <c r="E776" s="917" t="s">
        <v>6054</v>
      </c>
      <c r="F776" s="918"/>
      <c r="G776" s="918"/>
      <c r="H776" s="918"/>
      <c r="I776" s="917" t="s">
        <v>6055</v>
      </c>
    </row>
    <row r="777" spans="1:10" x14ac:dyDescent="0.25">
      <c r="A777" s="917">
        <v>749</v>
      </c>
      <c r="B777" s="916" t="s">
        <v>5102</v>
      </c>
      <c r="C777" s="916" t="s">
        <v>3497</v>
      </c>
      <c r="D777" s="916" t="s">
        <v>6071</v>
      </c>
      <c r="E777" s="917" t="s">
        <v>6072</v>
      </c>
      <c r="F777" s="918"/>
      <c r="G777" s="918"/>
      <c r="H777" s="918"/>
      <c r="I777" s="917" t="s">
        <v>6055</v>
      </c>
    </row>
    <row r="778" spans="1:10" x14ac:dyDescent="0.25">
      <c r="A778" s="917">
        <v>750</v>
      </c>
      <c r="B778" s="916" t="s">
        <v>4789</v>
      </c>
      <c r="C778" s="916" t="s">
        <v>3497</v>
      </c>
      <c r="D778" s="916" t="s">
        <v>90</v>
      </c>
      <c r="E778" s="917"/>
      <c r="F778" s="918"/>
      <c r="G778" s="918"/>
      <c r="H778" s="918"/>
      <c r="I778" s="917" t="s">
        <v>3899</v>
      </c>
      <c r="J778" s="879" t="s">
        <v>6074</v>
      </c>
    </row>
    <row r="779" spans="1:10" ht="26.4" x14ac:dyDescent="0.25">
      <c r="A779" s="917">
        <v>751</v>
      </c>
      <c r="B779" s="916" t="s">
        <v>5392</v>
      </c>
      <c r="C779" s="916" t="s">
        <v>3497</v>
      </c>
      <c r="D779" s="916" t="s">
        <v>4617</v>
      </c>
      <c r="E779" s="917"/>
      <c r="F779" s="918"/>
      <c r="G779" s="918"/>
      <c r="H779" s="918"/>
      <c r="I779" s="923" t="s">
        <v>5891</v>
      </c>
      <c r="J779" s="879" t="s">
        <v>6074</v>
      </c>
    </row>
    <row r="780" spans="1:10" x14ac:dyDescent="0.25">
      <c r="A780" s="917">
        <v>752</v>
      </c>
      <c r="B780" s="916" t="s">
        <v>4701</v>
      </c>
      <c r="C780" s="916" t="s">
        <v>3497</v>
      </c>
      <c r="D780" s="916" t="s">
        <v>3992</v>
      </c>
      <c r="E780" s="917"/>
      <c r="F780" s="918"/>
      <c r="G780" s="918"/>
      <c r="H780" s="918"/>
      <c r="I780" s="917" t="s">
        <v>3899</v>
      </c>
      <c r="J780" s="879" t="s">
        <v>6074</v>
      </c>
    </row>
    <row r="781" spans="1:10" x14ac:dyDescent="0.25">
      <c r="A781" s="917">
        <v>753</v>
      </c>
      <c r="B781" s="916" t="s">
        <v>5036</v>
      </c>
      <c r="C781" s="916" t="s">
        <v>3497</v>
      </c>
      <c r="D781" s="916" t="s">
        <v>6075</v>
      </c>
      <c r="E781" s="917" t="s">
        <v>6080</v>
      </c>
      <c r="F781" s="918"/>
      <c r="G781" s="918"/>
      <c r="H781" s="918"/>
      <c r="I781" s="917" t="s">
        <v>6076</v>
      </c>
    </row>
    <row r="782" spans="1:10" x14ac:dyDescent="0.25">
      <c r="A782" s="917">
        <v>754</v>
      </c>
      <c r="B782" s="916" t="s">
        <v>5049</v>
      </c>
      <c r="C782" s="916" t="s">
        <v>3497</v>
      </c>
      <c r="D782" s="916" t="s">
        <v>6077</v>
      </c>
      <c r="E782" s="917" t="s">
        <v>6079</v>
      </c>
      <c r="F782" s="918"/>
      <c r="G782" s="918"/>
      <c r="H782" s="918"/>
      <c r="I782" s="917" t="s">
        <v>6078</v>
      </c>
    </row>
    <row r="783" spans="1:10" x14ac:dyDescent="0.25">
      <c r="A783" s="917">
        <v>755</v>
      </c>
      <c r="B783" s="916" t="s">
        <v>5070</v>
      </c>
      <c r="C783" s="916" t="s">
        <v>3498</v>
      </c>
      <c r="D783" s="916" t="s">
        <v>5310</v>
      </c>
      <c r="E783" s="917"/>
      <c r="F783" s="918"/>
      <c r="G783" s="918"/>
      <c r="H783" s="918"/>
      <c r="I783" s="917" t="s">
        <v>6055</v>
      </c>
    </row>
    <row r="784" spans="1:10" ht="26.4" x14ac:dyDescent="0.25">
      <c r="A784" s="917">
        <v>756</v>
      </c>
      <c r="B784" s="916" t="s">
        <v>4618</v>
      </c>
      <c r="C784" s="916" t="s">
        <v>3497</v>
      </c>
      <c r="D784" s="916" t="s">
        <v>4619</v>
      </c>
      <c r="E784" s="945" t="s">
        <v>6125</v>
      </c>
      <c r="F784" s="918"/>
      <c r="G784" s="918"/>
      <c r="H784" s="918"/>
      <c r="I784" s="917" t="s">
        <v>6073</v>
      </c>
    </row>
    <row r="785" spans="1:9" ht="26.4" x14ac:dyDescent="0.25">
      <c r="A785" s="917">
        <v>757</v>
      </c>
      <c r="B785" s="916" t="s">
        <v>4628</v>
      </c>
      <c r="C785" s="916" t="s">
        <v>3497</v>
      </c>
      <c r="D785" s="916" t="s">
        <v>4230</v>
      </c>
      <c r="E785" s="923" t="s">
        <v>6165</v>
      </c>
      <c r="F785" s="918"/>
      <c r="G785" s="918"/>
      <c r="H785" s="918"/>
      <c r="I785" s="923" t="s">
        <v>5891</v>
      </c>
    </row>
    <row r="786" spans="1:9" ht="26.4" x14ac:dyDescent="0.25">
      <c r="A786" s="917">
        <v>758</v>
      </c>
      <c r="B786" s="916" t="s">
        <v>5171</v>
      </c>
      <c r="C786" s="916" t="s">
        <v>3497</v>
      </c>
      <c r="D786" s="916" t="s">
        <v>5172</v>
      </c>
      <c r="E786" s="923" t="s">
        <v>6166</v>
      </c>
      <c r="F786" s="918"/>
      <c r="G786" s="918" t="s">
        <v>6342</v>
      </c>
      <c r="H786" s="918"/>
      <c r="I786" s="917" t="s">
        <v>6167</v>
      </c>
    </row>
    <row r="787" spans="1:9" ht="26.4" x14ac:dyDescent="0.25">
      <c r="A787" s="917">
        <v>759</v>
      </c>
      <c r="B787" s="916" t="s">
        <v>4625</v>
      </c>
      <c r="C787" s="916" t="s">
        <v>3498</v>
      </c>
      <c r="D787" s="920" t="s">
        <v>4840</v>
      </c>
      <c r="E787" s="917"/>
      <c r="F787" s="918"/>
      <c r="G787" s="918" t="s">
        <v>5927</v>
      </c>
      <c r="H787" s="918" t="s">
        <v>6457</v>
      </c>
      <c r="I787" s="917" t="s">
        <v>6167</v>
      </c>
    </row>
    <row r="788" spans="1:9" ht="26.4" x14ac:dyDescent="0.25">
      <c r="A788" s="917">
        <v>760</v>
      </c>
      <c r="B788" s="916" t="s">
        <v>5066</v>
      </c>
      <c r="C788" s="916" t="s">
        <v>3498</v>
      </c>
      <c r="D788" s="916" t="s">
        <v>6223</v>
      </c>
      <c r="E788" s="923" t="s">
        <v>6224</v>
      </c>
      <c r="F788" s="918"/>
      <c r="G788" s="918"/>
      <c r="H788" s="918"/>
      <c r="I788" s="917" t="s">
        <v>6167</v>
      </c>
    </row>
    <row r="789" spans="1:9" ht="26.4" x14ac:dyDescent="0.25">
      <c r="A789" s="917">
        <v>761</v>
      </c>
      <c r="B789" s="916" t="s">
        <v>5236</v>
      </c>
      <c r="C789" s="916" t="s">
        <v>3497</v>
      </c>
      <c r="D789" s="916" t="s">
        <v>6225</v>
      </c>
      <c r="E789" s="923" t="s">
        <v>6226</v>
      </c>
      <c r="F789" s="918"/>
      <c r="G789" s="918"/>
      <c r="H789" s="918"/>
      <c r="I789" s="917" t="s">
        <v>3899</v>
      </c>
    </row>
    <row r="790" spans="1:9" ht="26.4" x14ac:dyDescent="0.25">
      <c r="A790" s="917">
        <v>762</v>
      </c>
      <c r="B790" s="916" t="s">
        <v>5065</v>
      </c>
      <c r="C790" s="916" t="s">
        <v>3497</v>
      </c>
      <c r="D790" s="916" t="s">
        <v>6228</v>
      </c>
      <c r="E790" s="923" t="s">
        <v>6229</v>
      </c>
      <c r="F790" s="918"/>
      <c r="G790" s="918"/>
      <c r="H790" s="918"/>
      <c r="I790" s="917" t="s">
        <v>3899</v>
      </c>
    </row>
    <row r="791" spans="1:9" ht="26.4" x14ac:dyDescent="0.25">
      <c r="A791" s="917">
        <v>763</v>
      </c>
      <c r="B791" s="916" t="s">
        <v>4909</v>
      </c>
      <c r="C791" s="916" t="s">
        <v>3498</v>
      </c>
      <c r="D791" s="916" t="s">
        <v>2910</v>
      </c>
      <c r="E791" s="945" t="s">
        <v>6231</v>
      </c>
      <c r="F791" s="918"/>
      <c r="G791" s="918"/>
      <c r="H791" s="918"/>
      <c r="I791" s="917" t="s">
        <v>3899</v>
      </c>
    </row>
    <row r="792" spans="1:9" ht="26.4" x14ac:dyDescent="0.25">
      <c r="A792" s="917">
        <v>764</v>
      </c>
      <c r="B792" s="916" t="s">
        <v>4895</v>
      </c>
      <c r="C792" s="916" t="s">
        <v>3497</v>
      </c>
      <c r="D792" s="916" t="s">
        <v>6247</v>
      </c>
      <c r="E792" s="923" t="s">
        <v>6248</v>
      </c>
      <c r="F792" s="918"/>
      <c r="G792" s="918"/>
      <c r="H792" s="918"/>
      <c r="I792" s="917" t="s">
        <v>3899</v>
      </c>
    </row>
    <row r="793" spans="1:9" ht="26.4" x14ac:dyDescent="0.25">
      <c r="A793" s="917">
        <v>765</v>
      </c>
      <c r="B793" s="916" t="s">
        <v>5404</v>
      </c>
      <c r="C793" s="916" t="s">
        <v>3497</v>
      </c>
      <c r="D793" s="916" t="s">
        <v>4622</v>
      </c>
      <c r="E793" s="945" t="s">
        <v>6294</v>
      </c>
      <c r="F793" s="918"/>
      <c r="G793" s="918"/>
      <c r="H793" s="918"/>
      <c r="I793" s="923" t="s">
        <v>6077</v>
      </c>
    </row>
    <row r="794" spans="1:9" ht="26.4" x14ac:dyDescent="0.25">
      <c r="A794" s="917">
        <v>766</v>
      </c>
      <c r="B794" s="916" t="s">
        <v>4957</v>
      </c>
      <c r="C794" s="916" t="s">
        <v>3497</v>
      </c>
      <c r="D794" s="916" t="s">
        <v>4958</v>
      </c>
      <c r="E794" s="945" t="s">
        <v>6300</v>
      </c>
      <c r="F794" s="918"/>
      <c r="G794" s="918"/>
      <c r="H794" s="918"/>
      <c r="I794" s="923" t="s">
        <v>6077</v>
      </c>
    </row>
    <row r="795" spans="1:9" ht="26.4" x14ac:dyDescent="0.25">
      <c r="A795" s="917">
        <v>767</v>
      </c>
      <c r="B795" s="916" t="s">
        <v>4906</v>
      </c>
      <c r="C795" s="916" t="s">
        <v>3497</v>
      </c>
      <c r="D795" s="916" t="s">
        <v>2094</v>
      </c>
      <c r="E795" s="923" t="s">
        <v>6321</v>
      </c>
      <c r="F795" s="918"/>
      <c r="G795" s="918"/>
      <c r="H795" s="918"/>
      <c r="I795" s="923" t="s">
        <v>5891</v>
      </c>
    </row>
    <row r="796" spans="1:9" ht="26.4" x14ac:dyDescent="0.25">
      <c r="A796" s="917">
        <v>768</v>
      </c>
      <c r="B796" s="916" t="s">
        <v>4913</v>
      </c>
      <c r="C796" s="916" t="s">
        <v>3497</v>
      </c>
      <c r="D796" s="916" t="s">
        <v>4158</v>
      </c>
      <c r="E796" s="923" t="s">
        <v>6322</v>
      </c>
      <c r="F796" s="918"/>
      <c r="G796" s="918"/>
      <c r="H796" s="918"/>
      <c r="I796" s="923" t="s">
        <v>5891</v>
      </c>
    </row>
    <row r="797" spans="1:9" ht="26.4" x14ac:dyDescent="0.25">
      <c r="A797" s="917">
        <v>769</v>
      </c>
      <c r="B797" s="916" t="s">
        <v>4947</v>
      </c>
      <c r="C797" s="916" t="s">
        <v>3497</v>
      </c>
      <c r="D797" s="916" t="s">
        <v>2943</v>
      </c>
      <c r="E797" s="945" t="s">
        <v>6337</v>
      </c>
      <c r="F797" s="918"/>
      <c r="G797" s="918"/>
      <c r="H797" s="918"/>
      <c r="I797" s="917" t="s">
        <v>3899</v>
      </c>
    </row>
    <row r="798" spans="1:9" ht="26.4" x14ac:dyDescent="0.25">
      <c r="A798" s="917">
        <v>770</v>
      </c>
      <c r="B798" s="916" t="s">
        <v>5446</v>
      </c>
      <c r="C798" s="916" t="s">
        <v>3497</v>
      </c>
      <c r="D798" s="916" t="s">
        <v>6335</v>
      </c>
      <c r="E798" s="945" t="s">
        <v>6340</v>
      </c>
      <c r="F798" s="918"/>
      <c r="G798" s="918"/>
      <c r="H798" s="918"/>
      <c r="I798" s="923" t="s">
        <v>6077</v>
      </c>
    </row>
    <row r="799" spans="1:9" ht="26.4" x14ac:dyDescent="0.25">
      <c r="A799" s="917">
        <v>771</v>
      </c>
      <c r="B799" s="916" t="s">
        <v>5306</v>
      </c>
      <c r="C799" s="916" t="s">
        <v>3498</v>
      </c>
      <c r="D799" s="916" t="s">
        <v>6338</v>
      </c>
      <c r="E799" s="945" t="s">
        <v>6341</v>
      </c>
      <c r="F799" s="918"/>
      <c r="G799" s="918"/>
      <c r="H799" s="918"/>
      <c r="I799" s="917" t="s">
        <v>3899</v>
      </c>
    </row>
    <row r="800" spans="1:9" ht="26.4" x14ac:dyDescent="0.25">
      <c r="A800" s="917">
        <v>772</v>
      </c>
      <c r="B800" s="916" t="s">
        <v>5061</v>
      </c>
      <c r="C800" s="916" t="s">
        <v>3498</v>
      </c>
      <c r="D800" s="916" t="s">
        <v>5062</v>
      </c>
      <c r="E800" s="945" t="s">
        <v>6343</v>
      </c>
      <c r="F800" s="918"/>
      <c r="G800" s="918"/>
      <c r="H800" s="918"/>
      <c r="I800" s="923" t="s">
        <v>6339</v>
      </c>
    </row>
    <row r="801" spans="1:9" ht="26.4" x14ac:dyDescent="0.25">
      <c r="A801" s="917">
        <v>773</v>
      </c>
      <c r="B801" s="916" t="s">
        <v>5020</v>
      </c>
      <c r="C801" s="916" t="s">
        <v>3497</v>
      </c>
      <c r="D801" s="916" t="s">
        <v>6007</v>
      </c>
      <c r="E801" s="945" t="s">
        <v>6372</v>
      </c>
      <c r="F801" s="918"/>
      <c r="G801" s="918"/>
      <c r="H801" s="918"/>
      <c r="I801" s="917" t="s">
        <v>6167</v>
      </c>
    </row>
    <row r="802" spans="1:9" ht="26.4" x14ac:dyDescent="0.25">
      <c r="A802" s="917">
        <v>774</v>
      </c>
      <c r="B802" s="916" t="s">
        <v>4841</v>
      </c>
      <c r="C802" s="916" t="s">
        <v>3497</v>
      </c>
      <c r="D802" s="916" t="s">
        <v>4842</v>
      </c>
      <c r="E802" s="923" t="s">
        <v>6365</v>
      </c>
      <c r="F802" s="918"/>
      <c r="G802" s="918"/>
      <c r="H802" s="918"/>
      <c r="I802" s="923" t="s">
        <v>6077</v>
      </c>
    </row>
    <row r="803" spans="1:9" ht="26.4" x14ac:dyDescent="0.25">
      <c r="A803" s="917">
        <v>775</v>
      </c>
      <c r="B803" s="916" t="s">
        <v>4882</v>
      </c>
      <c r="C803" s="916" t="s">
        <v>3497</v>
      </c>
      <c r="D803" s="916" t="s">
        <v>4335</v>
      </c>
      <c r="E803" s="923" t="s">
        <v>6371</v>
      </c>
      <c r="F803" s="918"/>
      <c r="G803" s="918"/>
      <c r="H803" s="918"/>
      <c r="I803" s="917" t="s">
        <v>6167</v>
      </c>
    </row>
    <row r="804" spans="1:9" ht="26.4" x14ac:dyDescent="0.25">
      <c r="A804" s="917">
        <v>776</v>
      </c>
      <c r="B804" s="916" t="s">
        <v>5406</v>
      </c>
      <c r="C804" s="916" t="s">
        <v>3498</v>
      </c>
      <c r="D804" s="916" t="s">
        <v>5407</v>
      </c>
      <c r="E804" s="923" t="s">
        <v>6373</v>
      </c>
      <c r="F804" s="918"/>
      <c r="G804" s="918"/>
      <c r="H804" s="918"/>
      <c r="I804" s="923" t="s">
        <v>5891</v>
      </c>
    </row>
    <row r="805" spans="1:9" ht="26.4" x14ac:dyDescent="0.25">
      <c r="A805" s="917">
        <v>777</v>
      </c>
      <c r="B805" s="916" t="s">
        <v>5001</v>
      </c>
      <c r="C805" s="916" t="s">
        <v>3497</v>
      </c>
      <c r="D805" s="916" t="s">
        <v>5002</v>
      </c>
      <c r="E805" s="923" t="s">
        <v>6383</v>
      </c>
      <c r="F805" s="918"/>
      <c r="G805" s="918"/>
      <c r="H805" s="918"/>
      <c r="I805" s="917" t="s">
        <v>3899</v>
      </c>
    </row>
    <row r="806" spans="1:9" ht="26.4" x14ac:dyDescent="0.25">
      <c r="A806" s="917">
        <v>778</v>
      </c>
      <c r="B806" s="916" t="s">
        <v>4944</v>
      </c>
      <c r="C806" s="916" t="s">
        <v>3498</v>
      </c>
      <c r="D806" s="920" t="s">
        <v>5170</v>
      </c>
      <c r="E806" s="923" t="s">
        <v>6403</v>
      </c>
      <c r="F806" s="918"/>
      <c r="G806" s="918"/>
      <c r="H806" s="918"/>
      <c r="I806" s="917" t="s">
        <v>3899</v>
      </c>
    </row>
    <row r="807" spans="1:9" ht="26.4" x14ac:dyDescent="0.25">
      <c r="A807" s="917">
        <v>779</v>
      </c>
      <c r="B807" s="916" t="s">
        <v>4877</v>
      </c>
      <c r="C807" s="916" t="s">
        <v>3497</v>
      </c>
      <c r="D807" s="916" t="s">
        <v>4177</v>
      </c>
      <c r="E807" s="923" t="s">
        <v>6405</v>
      </c>
      <c r="F807" s="918"/>
      <c r="G807" s="918"/>
      <c r="H807" s="918"/>
      <c r="I807" s="917" t="s">
        <v>3899</v>
      </c>
    </row>
    <row r="808" spans="1:9" ht="26.4" x14ac:dyDescent="0.25">
      <c r="A808" s="917">
        <v>780</v>
      </c>
      <c r="B808" s="916" t="s">
        <v>4853</v>
      </c>
      <c r="C808" s="916" t="s">
        <v>3498</v>
      </c>
      <c r="D808" s="916" t="s">
        <v>4854</v>
      </c>
      <c r="E808" s="923" t="s">
        <v>6436</v>
      </c>
      <c r="F808" s="918"/>
      <c r="G808" s="918"/>
      <c r="H808" s="918"/>
      <c r="I808" s="917" t="s">
        <v>3899</v>
      </c>
    </row>
    <row r="809" spans="1:9" ht="26.4" x14ac:dyDescent="0.25">
      <c r="A809" s="917">
        <v>781</v>
      </c>
      <c r="B809" s="916" t="s">
        <v>4990</v>
      </c>
      <c r="C809" s="916" t="s">
        <v>3498</v>
      </c>
      <c r="D809" s="916" t="s">
        <v>6431</v>
      </c>
      <c r="E809" s="923" t="s">
        <v>6450</v>
      </c>
      <c r="F809" s="918"/>
      <c r="G809" s="918"/>
      <c r="H809" s="918"/>
      <c r="I809" s="917" t="s">
        <v>6050</v>
      </c>
    </row>
    <row r="810" spans="1:9" ht="26.4" x14ac:dyDescent="0.25">
      <c r="A810" s="917">
        <v>782</v>
      </c>
      <c r="B810" s="916" t="s">
        <v>4569</v>
      </c>
      <c r="C810" s="916" t="s">
        <v>3498</v>
      </c>
      <c r="D810" s="916" t="s">
        <v>3152</v>
      </c>
      <c r="E810" s="923" t="s">
        <v>6440</v>
      </c>
      <c r="F810" s="918"/>
      <c r="G810" s="918"/>
      <c r="H810" s="918"/>
      <c r="I810" s="917" t="s">
        <v>3899</v>
      </c>
    </row>
    <row r="811" spans="1:9" ht="26.4" x14ac:dyDescent="0.25">
      <c r="A811" s="917">
        <v>783</v>
      </c>
      <c r="B811" s="916" t="s">
        <v>5248</v>
      </c>
      <c r="C811" s="916" t="s">
        <v>3498</v>
      </c>
      <c r="D811" s="916" t="s">
        <v>4730</v>
      </c>
      <c r="E811" s="923" t="s">
        <v>6449</v>
      </c>
      <c r="F811" s="918"/>
      <c r="G811" s="918"/>
      <c r="H811" s="918"/>
      <c r="I811" s="923" t="s">
        <v>5891</v>
      </c>
    </row>
    <row r="812" spans="1:9" ht="26.4" x14ac:dyDescent="0.25">
      <c r="A812" s="917">
        <v>784</v>
      </c>
      <c r="B812" s="916" t="s">
        <v>4795</v>
      </c>
      <c r="C812" s="916" t="s">
        <v>3498</v>
      </c>
      <c r="D812" s="916" t="s">
        <v>5606</v>
      </c>
      <c r="E812" s="923" t="s">
        <v>6451</v>
      </c>
      <c r="F812" s="918"/>
      <c r="G812" s="918"/>
      <c r="H812" s="918"/>
      <c r="I812" s="917" t="s">
        <v>6050</v>
      </c>
    </row>
    <row r="813" spans="1:9" ht="26.4" x14ac:dyDescent="0.25">
      <c r="A813" s="917">
        <v>785</v>
      </c>
      <c r="B813" s="916" t="s">
        <v>5589</v>
      </c>
      <c r="C813" s="916" t="s">
        <v>3498</v>
      </c>
      <c r="D813" s="916" t="s">
        <v>4614</v>
      </c>
      <c r="E813" s="923" t="s">
        <v>6464</v>
      </c>
      <c r="F813" s="918"/>
      <c r="G813" s="918"/>
      <c r="H813" s="918"/>
      <c r="I813" s="923" t="s">
        <v>5891</v>
      </c>
    </row>
    <row r="814" spans="1:9" ht="26.4" x14ac:dyDescent="0.25">
      <c r="A814" s="917">
        <v>786</v>
      </c>
      <c r="B814" s="916" t="s">
        <v>5005</v>
      </c>
      <c r="C814" s="916" t="s">
        <v>3498</v>
      </c>
      <c r="D814" s="916" t="s">
        <v>6466</v>
      </c>
      <c r="E814" s="945" t="s">
        <v>6470</v>
      </c>
      <c r="F814" s="918"/>
      <c r="G814" s="918"/>
      <c r="H814" s="918"/>
      <c r="I814" s="917" t="s">
        <v>6055</v>
      </c>
    </row>
    <row r="815" spans="1:9" ht="26.4" x14ac:dyDescent="0.25">
      <c r="A815" s="917">
        <v>787</v>
      </c>
      <c r="B815" s="916" t="s">
        <v>5032</v>
      </c>
      <c r="C815" s="916" t="s">
        <v>3498</v>
      </c>
      <c r="D815" s="916" t="s">
        <v>6471</v>
      </c>
      <c r="E815" s="923" t="s">
        <v>6472</v>
      </c>
      <c r="F815" s="918"/>
      <c r="G815" s="918"/>
      <c r="H815" s="918"/>
      <c r="I815" s="917" t="s">
        <v>3899</v>
      </c>
    </row>
    <row r="816" spans="1:9" ht="26.4" x14ac:dyDescent="0.25">
      <c r="A816" s="917">
        <v>788</v>
      </c>
      <c r="B816" s="916" t="s">
        <v>5137</v>
      </c>
      <c r="C816" s="916" t="s">
        <v>3497</v>
      </c>
      <c r="D816" s="916" t="s">
        <v>3582</v>
      </c>
      <c r="E816" s="923" t="s">
        <v>6479</v>
      </c>
      <c r="F816" s="918"/>
      <c r="G816" s="918"/>
      <c r="H816" s="918"/>
      <c r="I816" s="917" t="s">
        <v>5891</v>
      </c>
    </row>
    <row r="817" spans="1:9" ht="39.6" x14ac:dyDescent="0.25">
      <c r="A817" s="917">
        <v>789</v>
      </c>
      <c r="B817" s="916" t="s">
        <v>5244</v>
      </c>
      <c r="C817" s="916" t="s">
        <v>3498</v>
      </c>
      <c r="D817" s="916" t="s">
        <v>6514</v>
      </c>
      <c r="E817" s="923" t="s">
        <v>6515</v>
      </c>
      <c r="F817" s="918"/>
      <c r="G817" s="918"/>
      <c r="H817" s="918"/>
      <c r="I817" s="917" t="s">
        <v>6167</v>
      </c>
    </row>
    <row r="818" spans="1:9" ht="26.4" x14ac:dyDescent="0.25">
      <c r="A818" s="917">
        <v>790</v>
      </c>
      <c r="B818" s="916" t="s">
        <v>5300</v>
      </c>
      <c r="C818" s="916" t="s">
        <v>3498</v>
      </c>
      <c r="D818" s="916" t="s">
        <v>5301</v>
      </c>
      <c r="E818" s="923" t="s">
        <v>6516</v>
      </c>
      <c r="F818" s="918"/>
      <c r="G818" s="918"/>
      <c r="H818" s="918"/>
      <c r="I818" s="917" t="s">
        <v>6167</v>
      </c>
    </row>
    <row r="819" spans="1:9" ht="26.4" x14ac:dyDescent="0.25">
      <c r="A819" s="917">
        <v>791</v>
      </c>
      <c r="B819" s="916" t="s">
        <v>5013</v>
      </c>
      <c r="C819" s="916" t="s">
        <v>3498</v>
      </c>
      <c r="D819" s="916" t="s">
        <v>5014</v>
      </c>
      <c r="E819" s="923" t="s">
        <v>6520</v>
      </c>
      <c r="F819" s="918"/>
      <c r="G819" s="918"/>
      <c r="H819" s="918"/>
      <c r="I819" s="917" t="s">
        <v>6167</v>
      </c>
    </row>
    <row r="820" spans="1:9" ht="26.4" x14ac:dyDescent="0.25">
      <c r="A820" s="917">
        <v>792</v>
      </c>
      <c r="B820" s="916" t="s">
        <v>4683</v>
      </c>
      <c r="C820" s="916" t="s">
        <v>3498</v>
      </c>
      <c r="D820" s="916" t="s">
        <v>5335</v>
      </c>
      <c r="E820" s="923" t="s">
        <v>6534</v>
      </c>
      <c r="F820" s="918"/>
      <c r="G820" s="918"/>
      <c r="H820" s="918"/>
      <c r="I820" s="917" t="s">
        <v>6077</v>
      </c>
    </row>
    <row r="821" spans="1:9" ht="26.4" x14ac:dyDescent="0.25">
      <c r="A821" s="917">
        <v>793</v>
      </c>
      <c r="B821" s="916" t="s">
        <v>5095</v>
      </c>
      <c r="C821" s="916" t="s">
        <v>3498</v>
      </c>
      <c r="D821" s="414" t="s">
        <v>5093</v>
      </c>
      <c r="E821" s="923" t="s">
        <v>6546</v>
      </c>
      <c r="F821" s="918"/>
      <c r="G821" s="918"/>
      <c r="H821" s="918"/>
      <c r="I821" s="917" t="s">
        <v>5891</v>
      </c>
    </row>
    <row r="822" spans="1:9" ht="26.4" x14ac:dyDescent="0.25">
      <c r="A822" s="917">
        <v>794</v>
      </c>
      <c r="B822" s="916" t="s">
        <v>5111</v>
      </c>
      <c r="C822" s="916" t="s">
        <v>3498</v>
      </c>
      <c r="D822" s="414" t="s">
        <v>2120</v>
      </c>
      <c r="E822" s="923" t="s">
        <v>6547</v>
      </c>
      <c r="F822" s="918"/>
      <c r="G822" s="918"/>
      <c r="H822" s="918"/>
      <c r="I822" s="917" t="s">
        <v>5891</v>
      </c>
    </row>
    <row r="823" spans="1:9" ht="26.4" x14ac:dyDescent="0.25">
      <c r="A823" s="917">
        <v>795</v>
      </c>
      <c r="B823" s="916" t="s">
        <v>4503</v>
      </c>
      <c r="C823" s="916" t="s">
        <v>3497</v>
      </c>
      <c r="D823" s="414" t="s">
        <v>4504</v>
      </c>
      <c r="E823" s="923" t="s">
        <v>6548</v>
      </c>
      <c r="F823" s="918"/>
      <c r="G823" s="918"/>
      <c r="H823" s="918"/>
      <c r="I823" s="917" t="s">
        <v>3899</v>
      </c>
    </row>
    <row r="824" spans="1:9" ht="26.4" x14ac:dyDescent="0.25">
      <c r="A824" s="917">
        <v>796</v>
      </c>
      <c r="B824" s="916" t="s">
        <v>5179</v>
      </c>
      <c r="C824" s="916" t="s">
        <v>3498</v>
      </c>
      <c r="D824" s="414" t="s">
        <v>5180</v>
      </c>
      <c r="E824" s="923" t="s">
        <v>6549</v>
      </c>
      <c r="F824" s="918"/>
      <c r="G824" s="918"/>
      <c r="H824" s="918"/>
      <c r="I824" s="917" t="s">
        <v>6550</v>
      </c>
    </row>
    <row r="825" spans="1:9" x14ac:dyDescent="0.25">
      <c r="A825" s="917">
        <v>797</v>
      </c>
      <c r="B825" s="916" t="s">
        <v>5090</v>
      </c>
      <c r="C825" s="916" t="s">
        <v>3498</v>
      </c>
      <c r="D825" s="916" t="s">
        <v>5088</v>
      </c>
      <c r="E825" s="917"/>
      <c r="F825" s="918"/>
      <c r="G825" s="918"/>
      <c r="H825" s="918"/>
      <c r="I825" s="917"/>
    </row>
    <row r="826" spans="1:9" x14ac:dyDescent="0.25">
      <c r="A826" s="917">
        <v>798</v>
      </c>
      <c r="B826" s="916"/>
      <c r="C826" s="916"/>
      <c r="D826" s="916"/>
      <c r="E826" s="917"/>
      <c r="F826" s="918"/>
      <c r="G826" s="918"/>
      <c r="H826" s="918"/>
      <c r="I826" s="917"/>
    </row>
    <row r="827" spans="1:9" x14ac:dyDescent="0.25">
      <c r="A827" s="917">
        <v>799</v>
      </c>
      <c r="B827" s="916"/>
      <c r="C827" s="916"/>
      <c r="D827" s="916"/>
      <c r="E827" s="917"/>
      <c r="F827" s="918"/>
      <c r="G827" s="918"/>
      <c r="H827" s="918"/>
      <c r="I827" s="917"/>
    </row>
    <row r="828" spans="1:9" x14ac:dyDescent="0.25">
      <c r="A828" s="917">
        <v>800</v>
      </c>
      <c r="B828" s="916"/>
      <c r="C828" s="916"/>
      <c r="D828" s="916"/>
      <c r="E828" s="917"/>
      <c r="F828" s="918"/>
      <c r="G828" s="918"/>
      <c r="H828" s="918"/>
      <c r="I828" s="917"/>
    </row>
    <row r="829" spans="1:9" x14ac:dyDescent="0.25">
      <c r="A829" s="917">
        <v>801</v>
      </c>
      <c r="B829" s="916"/>
      <c r="C829" s="916"/>
      <c r="D829" s="916"/>
      <c r="E829" s="917"/>
      <c r="F829" s="918"/>
      <c r="G829" s="918"/>
      <c r="H829" s="918"/>
      <c r="I829" s="917"/>
    </row>
    <row r="830" spans="1:9" x14ac:dyDescent="0.25">
      <c r="A830" s="917">
        <v>802</v>
      </c>
      <c r="B830" s="916"/>
      <c r="C830" s="916"/>
      <c r="D830" s="916"/>
      <c r="E830" s="917"/>
      <c r="F830" s="918"/>
      <c r="G830" s="918"/>
      <c r="H830" s="918"/>
      <c r="I830" s="917"/>
    </row>
    <row r="831" spans="1:9" x14ac:dyDescent="0.25">
      <c r="A831" s="917">
        <v>803</v>
      </c>
      <c r="B831" s="916"/>
      <c r="C831" s="916"/>
      <c r="D831" s="916"/>
      <c r="E831" s="917"/>
      <c r="F831" s="918"/>
      <c r="G831" s="918"/>
      <c r="H831" s="918"/>
      <c r="I831" s="917"/>
    </row>
    <row r="832" spans="1:9" x14ac:dyDescent="0.25">
      <c r="A832" s="917">
        <v>804</v>
      </c>
      <c r="B832" s="916"/>
      <c r="C832" s="916"/>
      <c r="D832" s="916"/>
      <c r="E832" s="917"/>
      <c r="F832" s="918"/>
      <c r="G832" s="918"/>
      <c r="H832" s="918"/>
      <c r="I832" s="917"/>
    </row>
    <row r="833" spans="1:9" x14ac:dyDescent="0.25">
      <c r="A833" s="917">
        <v>805</v>
      </c>
      <c r="B833" s="916"/>
      <c r="C833" s="916"/>
      <c r="D833" s="916"/>
      <c r="E833" s="917"/>
      <c r="F833" s="918"/>
      <c r="G833" s="918"/>
      <c r="H833" s="918"/>
      <c r="I833" s="917"/>
    </row>
    <row r="834" spans="1:9" x14ac:dyDescent="0.25">
      <c r="A834" s="917">
        <v>806</v>
      </c>
      <c r="B834" s="916"/>
      <c r="C834" s="916"/>
      <c r="D834" s="916"/>
      <c r="E834" s="917"/>
      <c r="F834" s="918"/>
      <c r="G834" s="918"/>
      <c r="H834" s="918"/>
      <c r="I834" s="917"/>
    </row>
    <row r="835" spans="1:9" x14ac:dyDescent="0.25">
      <c r="A835" s="917">
        <v>807</v>
      </c>
      <c r="B835" s="916"/>
      <c r="C835" s="916"/>
      <c r="D835" s="916"/>
      <c r="E835" s="917"/>
      <c r="F835" s="918"/>
      <c r="G835" s="918"/>
      <c r="H835" s="918"/>
      <c r="I835" s="917"/>
    </row>
    <row r="836" spans="1:9" x14ac:dyDescent="0.25">
      <c r="A836" s="917">
        <v>808</v>
      </c>
      <c r="B836" s="916"/>
      <c r="C836" s="916"/>
      <c r="D836" s="916"/>
      <c r="E836" s="917"/>
      <c r="F836" s="918"/>
      <c r="G836" s="918"/>
      <c r="H836" s="918"/>
      <c r="I836" s="917"/>
    </row>
    <row r="837" spans="1:9" x14ac:dyDescent="0.25">
      <c r="A837" s="917">
        <v>809</v>
      </c>
      <c r="B837" s="916"/>
      <c r="C837" s="916"/>
      <c r="D837" s="916"/>
      <c r="E837" s="917"/>
      <c r="F837" s="918"/>
      <c r="G837" s="918"/>
      <c r="H837" s="918"/>
      <c r="I837" s="917"/>
    </row>
    <row r="838" spans="1:9" x14ac:dyDescent="0.25">
      <c r="A838" s="917">
        <v>810</v>
      </c>
      <c r="B838" s="916"/>
      <c r="C838" s="916"/>
      <c r="D838" s="916"/>
      <c r="E838" s="917"/>
      <c r="F838" s="918"/>
      <c r="G838" s="918"/>
      <c r="H838" s="918"/>
      <c r="I838" s="917"/>
    </row>
    <row r="839" spans="1:9" x14ac:dyDescent="0.25">
      <c r="A839" s="917">
        <v>811</v>
      </c>
      <c r="B839" s="916"/>
      <c r="C839" s="916"/>
      <c r="D839" s="916"/>
      <c r="E839" s="917"/>
      <c r="F839" s="918"/>
      <c r="G839" s="918"/>
      <c r="H839" s="918"/>
      <c r="I839" s="917"/>
    </row>
    <row r="840" spans="1:9" x14ac:dyDescent="0.25">
      <c r="A840" s="917">
        <v>812</v>
      </c>
      <c r="B840" s="916"/>
      <c r="C840" s="916"/>
      <c r="D840" s="916"/>
      <c r="E840" s="917"/>
      <c r="F840" s="918"/>
      <c r="G840" s="918"/>
      <c r="H840" s="918"/>
      <c r="I840" s="917"/>
    </row>
    <row r="841" spans="1:9" x14ac:dyDescent="0.25">
      <c r="A841" s="917">
        <v>813</v>
      </c>
      <c r="B841" s="916"/>
      <c r="C841" s="916"/>
      <c r="D841" s="916"/>
      <c r="E841" s="917"/>
      <c r="F841" s="918"/>
      <c r="G841" s="918"/>
      <c r="H841" s="918"/>
      <c r="I841" s="917"/>
    </row>
    <row r="842" spans="1:9" x14ac:dyDescent="0.25">
      <c r="A842" s="917">
        <v>814</v>
      </c>
      <c r="B842" s="916"/>
      <c r="C842" s="916"/>
      <c r="D842" s="916"/>
      <c r="E842" s="917"/>
      <c r="F842" s="918"/>
      <c r="G842" s="918"/>
      <c r="H842" s="918"/>
      <c r="I842" s="917"/>
    </row>
    <row r="843" spans="1:9" x14ac:dyDescent="0.25">
      <c r="A843" s="917">
        <v>815</v>
      </c>
      <c r="B843" s="916"/>
      <c r="C843" s="916"/>
      <c r="D843" s="916"/>
      <c r="E843" s="917"/>
      <c r="F843" s="918"/>
      <c r="G843" s="918"/>
      <c r="H843" s="918"/>
      <c r="I843" s="917"/>
    </row>
    <row r="844" spans="1:9" x14ac:dyDescent="0.25">
      <c r="A844" s="917">
        <v>816</v>
      </c>
      <c r="B844" s="916"/>
      <c r="C844" s="916"/>
      <c r="D844" s="916"/>
      <c r="E844" s="917"/>
      <c r="F844" s="918"/>
      <c r="G844" s="918"/>
      <c r="H844" s="918"/>
      <c r="I844" s="917"/>
    </row>
    <row r="845" spans="1:9" x14ac:dyDescent="0.25">
      <c r="A845" s="917">
        <v>817</v>
      </c>
      <c r="B845" s="916"/>
      <c r="C845" s="916"/>
      <c r="D845" s="916"/>
      <c r="E845" s="917"/>
      <c r="F845" s="918"/>
      <c r="G845" s="918"/>
      <c r="H845" s="918"/>
      <c r="I845" s="917"/>
    </row>
    <row r="846" spans="1:9" x14ac:dyDescent="0.25">
      <c r="A846" s="917">
        <v>818</v>
      </c>
      <c r="B846" s="916"/>
      <c r="C846" s="916"/>
      <c r="D846" s="916"/>
      <c r="E846" s="917"/>
      <c r="F846" s="918"/>
      <c r="G846" s="918"/>
      <c r="H846" s="918"/>
      <c r="I846" s="917"/>
    </row>
    <row r="847" spans="1:9" x14ac:dyDescent="0.25">
      <c r="A847" s="917">
        <v>819</v>
      </c>
      <c r="B847" s="916"/>
      <c r="C847" s="916"/>
      <c r="D847" s="916"/>
      <c r="E847" s="917"/>
      <c r="F847" s="918"/>
      <c r="G847" s="918"/>
      <c r="H847" s="918"/>
      <c r="I847" s="917"/>
    </row>
    <row r="848" spans="1:9" x14ac:dyDescent="0.25">
      <c r="A848" s="917">
        <v>820</v>
      </c>
      <c r="B848" s="916"/>
      <c r="C848" s="916"/>
      <c r="D848" s="916"/>
      <c r="E848" s="917"/>
      <c r="F848" s="918"/>
      <c r="G848" s="918"/>
      <c r="H848" s="918"/>
      <c r="I848" s="917"/>
    </row>
    <row r="849" spans="1:9" x14ac:dyDescent="0.25">
      <c r="A849" s="917">
        <v>821</v>
      </c>
      <c r="B849" s="916"/>
      <c r="C849" s="916"/>
      <c r="D849" s="916"/>
      <c r="E849" s="917"/>
      <c r="F849" s="918"/>
      <c r="G849" s="918"/>
      <c r="H849" s="918"/>
      <c r="I849" s="917"/>
    </row>
    <row r="850" spans="1:9" x14ac:dyDescent="0.25">
      <c r="A850" s="917">
        <v>822</v>
      </c>
      <c r="B850" s="916"/>
      <c r="C850" s="916"/>
      <c r="D850" s="916"/>
      <c r="E850" s="917"/>
      <c r="F850" s="918"/>
      <c r="G850" s="918"/>
      <c r="H850" s="918"/>
      <c r="I850" s="917"/>
    </row>
    <row r="851" spans="1:9" x14ac:dyDescent="0.25">
      <c r="A851" s="917">
        <v>823</v>
      </c>
      <c r="B851" s="916"/>
      <c r="C851" s="916"/>
      <c r="D851" s="916"/>
      <c r="E851" s="917"/>
      <c r="F851" s="918"/>
      <c r="G851" s="918"/>
      <c r="H851" s="918"/>
      <c r="I851" s="917"/>
    </row>
    <row r="852" spans="1:9" x14ac:dyDescent="0.25">
      <c r="A852" s="917">
        <v>824</v>
      </c>
      <c r="B852" s="916"/>
      <c r="C852" s="916"/>
      <c r="D852" s="916"/>
      <c r="E852" s="917"/>
      <c r="F852" s="918"/>
      <c r="G852" s="918"/>
      <c r="H852" s="918"/>
      <c r="I852" s="917"/>
    </row>
    <row r="853" spans="1:9" x14ac:dyDescent="0.25">
      <c r="A853" s="917">
        <v>825</v>
      </c>
      <c r="B853" s="916"/>
      <c r="C853" s="916"/>
      <c r="D853" s="916"/>
      <c r="E853" s="917"/>
      <c r="F853" s="918"/>
      <c r="G853" s="918"/>
      <c r="H853" s="918"/>
      <c r="I853" s="917"/>
    </row>
    <row r="854" spans="1:9" x14ac:dyDescent="0.25">
      <c r="A854" s="917">
        <v>826</v>
      </c>
      <c r="B854" s="916"/>
      <c r="C854" s="916"/>
      <c r="D854" s="916"/>
      <c r="E854" s="917"/>
      <c r="F854" s="918"/>
      <c r="G854" s="918"/>
      <c r="H854" s="918"/>
      <c r="I854" s="917"/>
    </row>
    <row r="855" spans="1:9" x14ac:dyDescent="0.25">
      <c r="A855" s="917">
        <v>827</v>
      </c>
      <c r="B855" s="916"/>
      <c r="C855" s="916"/>
      <c r="D855" s="916"/>
      <c r="E855" s="917"/>
      <c r="F855" s="918"/>
      <c r="G855" s="918"/>
      <c r="H855" s="918"/>
      <c r="I855" s="917"/>
    </row>
    <row r="856" spans="1:9" x14ac:dyDescent="0.25">
      <c r="A856" s="917">
        <v>828</v>
      </c>
      <c r="B856" s="916"/>
      <c r="C856" s="916"/>
      <c r="D856" s="916"/>
      <c r="E856" s="917"/>
      <c r="F856" s="918"/>
      <c r="G856" s="918"/>
      <c r="H856" s="918"/>
      <c r="I856" s="917"/>
    </row>
    <row r="857" spans="1:9" x14ac:dyDescent="0.25">
      <c r="A857" s="917">
        <v>829</v>
      </c>
      <c r="B857" s="916"/>
      <c r="C857" s="916"/>
      <c r="D857" s="916"/>
      <c r="E857" s="917"/>
      <c r="F857" s="918"/>
      <c r="G857" s="918"/>
      <c r="H857" s="918"/>
      <c r="I857" s="917"/>
    </row>
    <row r="858" spans="1:9" x14ac:dyDescent="0.25">
      <c r="A858" s="917">
        <v>830</v>
      </c>
      <c r="B858" s="916"/>
      <c r="C858" s="916"/>
      <c r="D858" s="916"/>
      <c r="E858" s="917"/>
      <c r="F858" s="918"/>
      <c r="G858" s="918"/>
      <c r="H858" s="918"/>
      <c r="I858" s="917"/>
    </row>
    <row r="859" spans="1:9" x14ac:dyDescent="0.25">
      <c r="A859" s="917">
        <v>831</v>
      </c>
      <c r="B859" s="916"/>
      <c r="C859" s="916"/>
      <c r="D859" s="916"/>
      <c r="E859" s="917"/>
      <c r="F859" s="918"/>
      <c r="G859" s="918"/>
      <c r="H859" s="918"/>
      <c r="I859" s="917"/>
    </row>
    <row r="860" spans="1:9" x14ac:dyDescent="0.25">
      <c r="A860" s="917">
        <v>832</v>
      </c>
      <c r="B860" s="916"/>
      <c r="C860" s="916"/>
      <c r="D860" s="916"/>
      <c r="E860" s="917"/>
      <c r="F860" s="918"/>
      <c r="G860" s="918"/>
      <c r="H860" s="918"/>
      <c r="I860" s="917"/>
    </row>
    <row r="861" spans="1:9" x14ac:dyDescent="0.25">
      <c r="A861" s="917">
        <v>833</v>
      </c>
      <c r="B861" s="916"/>
      <c r="C861" s="916"/>
      <c r="D861" s="916"/>
      <c r="E861" s="917"/>
      <c r="F861" s="918"/>
      <c r="G861" s="918"/>
      <c r="H861" s="918"/>
      <c r="I861" s="917"/>
    </row>
    <row r="862" spans="1:9" x14ac:dyDescent="0.25">
      <c r="A862" s="917">
        <v>834</v>
      </c>
      <c r="B862" s="916"/>
      <c r="C862" s="916"/>
      <c r="D862" s="916"/>
      <c r="E862" s="917"/>
      <c r="F862" s="918"/>
      <c r="G862" s="918"/>
      <c r="H862" s="918"/>
      <c r="I862" s="917"/>
    </row>
    <row r="863" spans="1:9" x14ac:dyDescent="0.25">
      <c r="A863" s="917">
        <v>835</v>
      </c>
      <c r="B863" s="916"/>
      <c r="C863" s="916"/>
      <c r="D863" s="916"/>
      <c r="E863" s="917"/>
      <c r="F863" s="918"/>
      <c r="G863" s="918"/>
      <c r="H863" s="918"/>
      <c r="I863" s="917"/>
    </row>
    <row r="864" spans="1:9" x14ac:dyDescent="0.25">
      <c r="A864" s="917">
        <v>836</v>
      </c>
      <c r="B864" s="916"/>
      <c r="C864" s="916"/>
      <c r="D864" s="916"/>
      <c r="E864" s="917"/>
      <c r="F864" s="918"/>
      <c r="G864" s="918"/>
      <c r="H864" s="918"/>
      <c r="I864" s="917"/>
    </row>
    <row r="865" spans="1:9" x14ac:dyDescent="0.25">
      <c r="A865" s="917">
        <v>837</v>
      </c>
      <c r="B865" s="916"/>
      <c r="C865" s="916"/>
      <c r="D865" s="916"/>
      <c r="E865" s="917"/>
      <c r="F865" s="918"/>
      <c r="G865" s="918"/>
      <c r="H865" s="918"/>
      <c r="I865" s="917"/>
    </row>
    <row r="866" spans="1:9" x14ac:dyDescent="0.25">
      <c r="A866" s="917">
        <v>838</v>
      </c>
      <c r="B866" s="916"/>
      <c r="C866" s="916"/>
      <c r="D866" s="916"/>
      <c r="E866" s="917"/>
      <c r="F866" s="918"/>
      <c r="G866" s="918"/>
      <c r="H866" s="918"/>
      <c r="I866" s="917"/>
    </row>
    <row r="867" spans="1:9" x14ac:dyDescent="0.25">
      <c r="A867" s="917">
        <v>839</v>
      </c>
      <c r="B867" s="916"/>
      <c r="C867" s="916"/>
      <c r="D867" s="916"/>
      <c r="E867" s="917"/>
      <c r="F867" s="918"/>
      <c r="G867" s="918"/>
      <c r="H867" s="918"/>
      <c r="I867" s="917"/>
    </row>
    <row r="868" spans="1:9" x14ac:dyDescent="0.25">
      <c r="A868" s="917">
        <v>840</v>
      </c>
      <c r="B868" s="916"/>
      <c r="C868" s="916"/>
      <c r="D868" s="916"/>
      <c r="E868" s="917"/>
      <c r="F868" s="918"/>
      <c r="G868" s="918"/>
      <c r="H868" s="918"/>
      <c r="I868" s="917"/>
    </row>
    <row r="869" spans="1:9" x14ac:dyDescent="0.25">
      <c r="A869" s="917">
        <v>841</v>
      </c>
      <c r="B869" s="916"/>
      <c r="C869" s="916"/>
      <c r="D869" s="916"/>
      <c r="E869" s="917"/>
      <c r="F869" s="918"/>
      <c r="G869" s="918"/>
      <c r="H869" s="918"/>
      <c r="I869" s="917"/>
    </row>
    <row r="870" spans="1:9" x14ac:dyDescent="0.25">
      <c r="A870" s="917">
        <v>842</v>
      </c>
      <c r="B870" s="916"/>
      <c r="C870" s="916"/>
      <c r="D870" s="916"/>
      <c r="E870" s="917"/>
      <c r="F870" s="918"/>
      <c r="G870" s="918"/>
      <c r="H870" s="918"/>
      <c r="I870" s="917"/>
    </row>
    <row r="871" spans="1:9" x14ac:dyDescent="0.25">
      <c r="A871" s="917">
        <v>843</v>
      </c>
      <c r="B871" s="916"/>
      <c r="C871" s="916"/>
      <c r="D871" s="916"/>
      <c r="E871" s="917"/>
      <c r="F871" s="918"/>
      <c r="G871" s="918"/>
      <c r="H871" s="918"/>
      <c r="I871" s="917"/>
    </row>
    <row r="872" spans="1:9" x14ac:dyDescent="0.25">
      <c r="A872" s="917">
        <v>844</v>
      </c>
      <c r="B872" s="916"/>
      <c r="C872" s="916"/>
      <c r="D872" s="916"/>
      <c r="E872" s="917"/>
      <c r="F872" s="918"/>
      <c r="G872" s="918"/>
      <c r="H872" s="918"/>
      <c r="I872" s="917"/>
    </row>
    <row r="873" spans="1:9" x14ac:dyDescent="0.25">
      <c r="A873" s="917">
        <v>845</v>
      </c>
      <c r="B873" s="916"/>
      <c r="C873" s="916"/>
      <c r="D873" s="916"/>
      <c r="E873" s="917"/>
      <c r="F873" s="918"/>
      <c r="G873" s="918"/>
      <c r="H873" s="918"/>
      <c r="I873" s="917"/>
    </row>
    <row r="874" spans="1:9" x14ac:dyDescent="0.25">
      <c r="A874" s="917">
        <v>846</v>
      </c>
      <c r="B874" s="916"/>
      <c r="C874" s="916"/>
      <c r="D874" s="916"/>
      <c r="E874" s="917"/>
      <c r="F874" s="918"/>
      <c r="G874" s="918"/>
      <c r="H874" s="918"/>
      <c r="I874" s="917"/>
    </row>
    <row r="875" spans="1:9" x14ac:dyDescent="0.25">
      <c r="A875" s="917">
        <v>847</v>
      </c>
      <c r="B875" s="916"/>
      <c r="C875" s="916"/>
      <c r="D875" s="916"/>
      <c r="E875" s="917"/>
      <c r="F875" s="918"/>
      <c r="G875" s="918"/>
      <c r="H875" s="918"/>
      <c r="I875" s="917"/>
    </row>
    <row r="876" spans="1:9" x14ac:dyDescent="0.25">
      <c r="A876" s="917">
        <v>848</v>
      </c>
      <c r="B876" s="916"/>
      <c r="C876" s="916"/>
      <c r="D876" s="916"/>
      <c r="E876" s="917"/>
      <c r="F876" s="918"/>
      <c r="G876" s="918"/>
      <c r="H876" s="918"/>
      <c r="I876" s="917"/>
    </row>
    <row r="877" spans="1:9" x14ac:dyDescent="0.25">
      <c r="A877" s="917">
        <v>849</v>
      </c>
      <c r="B877" s="916"/>
      <c r="C877" s="916"/>
      <c r="D877" s="916"/>
      <c r="E877" s="917"/>
      <c r="F877" s="918"/>
      <c r="G877" s="918"/>
      <c r="H877" s="918"/>
      <c r="I877" s="917"/>
    </row>
    <row r="878" spans="1:9" x14ac:dyDescent="0.25">
      <c r="A878" s="917">
        <v>850</v>
      </c>
      <c r="B878" s="916"/>
      <c r="C878" s="916"/>
      <c r="D878" s="916"/>
      <c r="E878" s="917"/>
      <c r="F878" s="918"/>
      <c r="G878" s="918"/>
      <c r="H878" s="918"/>
      <c r="I878" s="917"/>
    </row>
    <row r="879" spans="1:9" x14ac:dyDescent="0.25">
      <c r="A879" s="917">
        <v>851</v>
      </c>
      <c r="B879" s="916"/>
      <c r="C879" s="916"/>
      <c r="D879" s="916"/>
      <c r="E879" s="917"/>
      <c r="F879" s="918"/>
      <c r="G879" s="918"/>
      <c r="H879" s="918"/>
      <c r="I879" s="917"/>
    </row>
    <row r="880" spans="1:9" x14ac:dyDescent="0.25">
      <c r="A880" s="917">
        <v>852</v>
      </c>
      <c r="B880" s="916"/>
      <c r="C880" s="916"/>
      <c r="D880" s="916"/>
      <c r="E880" s="917"/>
      <c r="F880" s="918"/>
      <c r="G880" s="918"/>
      <c r="H880" s="918"/>
      <c r="I880" s="917"/>
    </row>
    <row r="881" spans="1:9" x14ac:dyDescent="0.25">
      <c r="A881" s="917">
        <v>853</v>
      </c>
      <c r="B881" s="916"/>
      <c r="C881" s="916"/>
      <c r="D881" s="916"/>
      <c r="E881" s="917"/>
      <c r="F881" s="918"/>
      <c r="G881" s="918"/>
      <c r="H881" s="918"/>
      <c r="I881" s="917"/>
    </row>
    <row r="882" spans="1:9" x14ac:dyDescent="0.25">
      <c r="A882" s="917">
        <v>854</v>
      </c>
      <c r="B882" s="916"/>
      <c r="C882" s="916"/>
      <c r="D882" s="916"/>
      <c r="E882" s="917"/>
      <c r="F882" s="918"/>
      <c r="G882" s="918"/>
      <c r="H882" s="918"/>
      <c r="I882" s="917"/>
    </row>
    <row r="883" spans="1:9" x14ac:dyDescent="0.25">
      <c r="A883" s="917">
        <v>855</v>
      </c>
      <c r="B883" s="916"/>
      <c r="C883" s="916"/>
      <c r="D883" s="916"/>
      <c r="E883" s="917"/>
      <c r="F883" s="918"/>
      <c r="G883" s="918"/>
      <c r="H883" s="918"/>
      <c r="I883" s="917"/>
    </row>
    <row r="884" spans="1:9" x14ac:dyDescent="0.25">
      <c r="A884" s="917">
        <v>856</v>
      </c>
      <c r="B884" s="916"/>
      <c r="C884" s="916"/>
      <c r="D884" s="916"/>
      <c r="E884" s="917"/>
      <c r="F884" s="918"/>
      <c r="G884" s="918"/>
      <c r="H884" s="918"/>
      <c r="I884" s="917"/>
    </row>
    <row r="885" spans="1:9" x14ac:dyDescent="0.25">
      <c r="A885" s="917">
        <v>857</v>
      </c>
      <c r="B885" s="916"/>
      <c r="C885" s="916"/>
      <c r="D885" s="916"/>
      <c r="E885" s="917"/>
      <c r="F885" s="918"/>
      <c r="G885" s="918"/>
      <c r="H885" s="918"/>
      <c r="I885" s="917"/>
    </row>
    <row r="886" spans="1:9" x14ac:dyDescent="0.25">
      <c r="A886" s="917">
        <v>858</v>
      </c>
      <c r="B886" s="916"/>
      <c r="C886" s="916"/>
      <c r="D886" s="916"/>
      <c r="E886" s="917"/>
      <c r="F886" s="918"/>
      <c r="G886" s="918"/>
      <c r="H886" s="918"/>
      <c r="I886" s="917"/>
    </row>
    <row r="887" spans="1:9" x14ac:dyDescent="0.25">
      <c r="A887" s="917">
        <v>859</v>
      </c>
      <c r="B887" s="916"/>
      <c r="C887" s="916"/>
      <c r="D887" s="916"/>
      <c r="E887" s="917"/>
      <c r="F887" s="918"/>
      <c r="G887" s="918"/>
      <c r="H887" s="918"/>
      <c r="I887" s="917"/>
    </row>
    <row r="888" spans="1:9" x14ac:dyDescent="0.25">
      <c r="A888" s="917">
        <v>860</v>
      </c>
      <c r="B888" s="916"/>
      <c r="C888" s="916"/>
      <c r="D888" s="916"/>
      <c r="E888" s="917"/>
      <c r="F888" s="918"/>
      <c r="G888" s="918"/>
      <c r="H888" s="918"/>
      <c r="I888" s="917"/>
    </row>
    <row r="889" spans="1:9" x14ac:dyDescent="0.25">
      <c r="A889" s="917">
        <v>861</v>
      </c>
      <c r="B889" s="916"/>
      <c r="C889" s="916"/>
      <c r="D889" s="916"/>
      <c r="E889" s="917"/>
      <c r="F889" s="918"/>
      <c r="G889" s="918"/>
      <c r="H889" s="918"/>
      <c r="I889" s="917"/>
    </row>
    <row r="890" spans="1:9" x14ac:dyDescent="0.25">
      <c r="A890" s="917">
        <v>862</v>
      </c>
      <c r="B890" s="916"/>
      <c r="C890" s="916"/>
      <c r="D890" s="916"/>
      <c r="E890" s="917"/>
      <c r="F890" s="918"/>
      <c r="G890" s="918"/>
      <c r="H890" s="918"/>
      <c r="I890" s="917"/>
    </row>
    <row r="891" spans="1:9" x14ac:dyDescent="0.25">
      <c r="A891" s="917">
        <v>863</v>
      </c>
      <c r="B891" s="916"/>
      <c r="C891" s="916"/>
      <c r="D891" s="916"/>
      <c r="E891" s="917"/>
      <c r="F891" s="918"/>
      <c r="G891" s="918"/>
      <c r="H891" s="918"/>
      <c r="I891" s="917"/>
    </row>
    <row r="892" spans="1:9" x14ac:dyDescent="0.25">
      <c r="A892" s="917">
        <v>864</v>
      </c>
      <c r="B892" s="916"/>
      <c r="C892" s="916"/>
      <c r="D892" s="916"/>
      <c r="E892" s="917"/>
      <c r="F892" s="918"/>
      <c r="G892" s="918"/>
      <c r="H892" s="918"/>
      <c r="I892" s="917"/>
    </row>
    <row r="893" spans="1:9" x14ac:dyDescent="0.25">
      <c r="A893" s="917">
        <v>865</v>
      </c>
      <c r="B893" s="916"/>
      <c r="C893" s="916"/>
      <c r="D893" s="916"/>
      <c r="E893" s="917"/>
      <c r="F893" s="918"/>
      <c r="G893" s="918"/>
      <c r="H893" s="918"/>
      <c r="I893" s="917"/>
    </row>
    <row r="894" spans="1:9" x14ac:dyDescent="0.25">
      <c r="A894" s="917">
        <v>866</v>
      </c>
      <c r="B894" s="916"/>
      <c r="C894" s="916"/>
      <c r="D894" s="916"/>
      <c r="E894" s="917"/>
      <c r="F894" s="918"/>
      <c r="G894" s="918"/>
      <c r="H894" s="918"/>
      <c r="I894" s="917"/>
    </row>
    <row r="895" spans="1:9" x14ac:dyDescent="0.25">
      <c r="A895" s="917">
        <v>867</v>
      </c>
      <c r="B895" s="916"/>
      <c r="C895" s="916"/>
      <c r="D895" s="916"/>
      <c r="E895" s="917"/>
      <c r="F895" s="918"/>
      <c r="G895" s="918"/>
      <c r="H895" s="918"/>
      <c r="I895" s="917"/>
    </row>
    <row r="896" spans="1:9" x14ac:dyDescent="0.25">
      <c r="A896" s="917">
        <v>868</v>
      </c>
      <c r="B896" s="916"/>
      <c r="C896" s="916"/>
      <c r="D896" s="916"/>
      <c r="E896" s="917"/>
      <c r="F896" s="918"/>
      <c r="G896" s="918"/>
      <c r="H896" s="918"/>
      <c r="I896" s="917"/>
    </row>
    <row r="897" spans="1:9" x14ac:dyDescent="0.25">
      <c r="A897" s="917">
        <v>869</v>
      </c>
      <c r="B897" s="916"/>
      <c r="C897" s="916"/>
      <c r="D897" s="916"/>
      <c r="E897" s="917"/>
      <c r="F897" s="918"/>
      <c r="G897" s="918"/>
      <c r="H897" s="918"/>
      <c r="I897" s="917"/>
    </row>
    <row r="898" spans="1:9" x14ac:dyDescent="0.25">
      <c r="A898" s="917">
        <v>870</v>
      </c>
      <c r="B898" s="916"/>
      <c r="C898" s="916"/>
      <c r="D898" s="916"/>
      <c r="E898" s="917"/>
      <c r="F898" s="918"/>
      <c r="G898" s="918"/>
      <c r="H898" s="918"/>
      <c r="I898" s="917"/>
    </row>
    <row r="899" spans="1:9" x14ac:dyDescent="0.25">
      <c r="A899" s="917">
        <v>871</v>
      </c>
      <c r="B899" s="916"/>
      <c r="C899" s="916"/>
      <c r="D899" s="916"/>
      <c r="E899" s="917"/>
      <c r="F899" s="918"/>
      <c r="G899" s="918"/>
      <c r="H899" s="918"/>
      <c r="I899" s="917"/>
    </row>
    <row r="900" spans="1:9" x14ac:dyDescent="0.25">
      <c r="A900" s="917">
        <v>872</v>
      </c>
      <c r="B900" s="916"/>
      <c r="C900" s="916"/>
      <c r="D900" s="916"/>
      <c r="E900" s="917"/>
      <c r="F900" s="918"/>
      <c r="G900" s="918"/>
      <c r="H900" s="918"/>
      <c r="I900" s="917"/>
    </row>
    <row r="901" spans="1:9" x14ac:dyDescent="0.25">
      <c r="A901" s="917">
        <v>873</v>
      </c>
      <c r="B901" s="916"/>
      <c r="C901" s="916"/>
      <c r="D901" s="916"/>
      <c r="E901" s="917"/>
      <c r="F901" s="918"/>
      <c r="G901" s="918"/>
      <c r="H901" s="918"/>
      <c r="I901" s="917"/>
    </row>
    <row r="902" spans="1:9" x14ac:dyDescent="0.25">
      <c r="A902" s="917">
        <v>874</v>
      </c>
      <c r="B902" s="916"/>
      <c r="C902" s="916"/>
      <c r="D902" s="916"/>
      <c r="E902" s="917"/>
      <c r="F902" s="918"/>
      <c r="G902" s="918"/>
      <c r="H902" s="918"/>
      <c r="I902" s="917"/>
    </row>
    <row r="903" spans="1:9" x14ac:dyDescent="0.25">
      <c r="A903" s="917">
        <v>875</v>
      </c>
      <c r="B903" s="916"/>
      <c r="C903" s="916"/>
      <c r="D903" s="916"/>
      <c r="E903" s="917"/>
      <c r="F903" s="918"/>
      <c r="G903" s="918"/>
      <c r="H903" s="918"/>
      <c r="I903" s="917"/>
    </row>
    <row r="904" spans="1:9" x14ac:dyDescent="0.25">
      <c r="A904" s="917">
        <v>876</v>
      </c>
      <c r="B904" s="916"/>
      <c r="C904" s="916"/>
      <c r="D904" s="916"/>
      <c r="E904" s="917"/>
      <c r="F904" s="918"/>
      <c r="G904" s="918"/>
      <c r="H904" s="918"/>
      <c r="I904" s="917"/>
    </row>
    <row r="905" spans="1:9" x14ac:dyDescent="0.25">
      <c r="A905" s="917">
        <v>877</v>
      </c>
      <c r="B905" s="916"/>
      <c r="C905" s="916"/>
      <c r="D905" s="916"/>
      <c r="E905" s="917"/>
      <c r="F905" s="918"/>
      <c r="G905" s="918"/>
      <c r="H905" s="918"/>
      <c r="I905" s="917"/>
    </row>
    <row r="906" spans="1:9" x14ac:dyDescent="0.25">
      <c r="A906" s="917">
        <v>878</v>
      </c>
      <c r="B906" s="916"/>
      <c r="C906" s="916"/>
      <c r="D906" s="916"/>
      <c r="E906" s="917"/>
      <c r="F906" s="918"/>
      <c r="G906" s="918"/>
      <c r="H906" s="918"/>
      <c r="I906" s="917"/>
    </row>
    <row r="907" spans="1:9" x14ac:dyDescent="0.25">
      <c r="A907" s="917">
        <v>879</v>
      </c>
      <c r="B907" s="916"/>
      <c r="C907" s="916"/>
      <c r="D907" s="916"/>
      <c r="E907" s="917"/>
      <c r="F907" s="918"/>
      <c r="G907" s="918"/>
      <c r="H907" s="918"/>
      <c r="I907" s="917"/>
    </row>
    <row r="908" spans="1:9" x14ac:dyDescent="0.25">
      <c r="A908" s="917">
        <v>880</v>
      </c>
      <c r="B908" s="916"/>
      <c r="C908" s="916"/>
      <c r="D908" s="916"/>
      <c r="E908" s="917"/>
      <c r="F908" s="918"/>
      <c r="G908" s="918"/>
      <c r="H908" s="918"/>
      <c r="I908" s="917"/>
    </row>
    <row r="909" spans="1:9" x14ac:dyDescent="0.25">
      <c r="A909" s="917">
        <v>881</v>
      </c>
      <c r="B909" s="916"/>
      <c r="C909" s="916"/>
      <c r="D909" s="916"/>
      <c r="E909" s="917"/>
      <c r="F909" s="918"/>
      <c r="G909" s="918"/>
      <c r="H909" s="918"/>
      <c r="I909" s="917"/>
    </row>
    <row r="910" spans="1:9" x14ac:dyDescent="0.25">
      <c r="A910" s="917">
        <v>882</v>
      </c>
      <c r="B910" s="916"/>
      <c r="C910" s="916"/>
      <c r="D910" s="916"/>
      <c r="E910" s="917"/>
      <c r="F910" s="918"/>
      <c r="G910" s="918"/>
      <c r="H910" s="918"/>
      <c r="I910" s="917"/>
    </row>
    <row r="911" spans="1:9" x14ac:dyDescent="0.25">
      <c r="A911" s="917">
        <v>883</v>
      </c>
      <c r="B911" s="916"/>
      <c r="C911" s="916"/>
      <c r="D911" s="916"/>
      <c r="E911" s="917"/>
      <c r="F911" s="918"/>
      <c r="G911" s="918"/>
      <c r="H911" s="918"/>
      <c r="I911" s="917"/>
    </row>
    <row r="912" spans="1:9" x14ac:dyDescent="0.25">
      <c r="A912" s="917">
        <v>884</v>
      </c>
      <c r="B912" s="916"/>
      <c r="C912" s="916"/>
      <c r="D912" s="916"/>
      <c r="E912" s="917"/>
      <c r="F912" s="918"/>
      <c r="G912" s="918"/>
      <c r="H912" s="918"/>
      <c r="I912" s="917"/>
    </row>
    <row r="913" spans="1:9" x14ac:dyDescent="0.25">
      <c r="A913" s="917">
        <v>885</v>
      </c>
      <c r="B913" s="916"/>
      <c r="C913" s="916"/>
      <c r="D913" s="916"/>
      <c r="E913" s="917"/>
      <c r="F913" s="918"/>
      <c r="G913" s="918"/>
      <c r="H913" s="918"/>
      <c r="I913" s="917"/>
    </row>
    <row r="914" spans="1:9" x14ac:dyDescent="0.25">
      <c r="A914" s="917">
        <v>886</v>
      </c>
      <c r="B914" s="916"/>
      <c r="C914" s="916"/>
      <c r="D914" s="916"/>
      <c r="E914" s="917"/>
      <c r="F914" s="918"/>
      <c r="G914" s="918"/>
      <c r="H914" s="918"/>
      <c r="I914" s="917"/>
    </row>
    <row r="915" spans="1:9" x14ac:dyDescent="0.25">
      <c r="A915" s="917">
        <v>887</v>
      </c>
      <c r="B915" s="916"/>
      <c r="C915" s="916"/>
      <c r="D915" s="916"/>
      <c r="E915" s="917"/>
      <c r="F915" s="918"/>
      <c r="G915" s="918"/>
      <c r="H915" s="918"/>
      <c r="I915" s="917"/>
    </row>
    <row r="916" spans="1:9" x14ac:dyDescent="0.25">
      <c r="A916" s="917">
        <v>888</v>
      </c>
      <c r="B916" s="916"/>
      <c r="C916" s="916"/>
      <c r="D916" s="916"/>
      <c r="E916" s="917"/>
      <c r="F916" s="918"/>
      <c r="G916" s="918"/>
      <c r="H916" s="918"/>
      <c r="I916" s="917"/>
    </row>
    <row r="917" spans="1:9" x14ac:dyDescent="0.25">
      <c r="A917" s="917">
        <v>889</v>
      </c>
      <c r="B917" s="916"/>
      <c r="C917" s="916"/>
      <c r="D917" s="916"/>
      <c r="E917" s="917"/>
      <c r="F917" s="918"/>
      <c r="G917" s="918"/>
      <c r="H917" s="918"/>
      <c r="I917" s="917"/>
    </row>
    <row r="918" spans="1:9" x14ac:dyDescent="0.25">
      <c r="A918" s="917">
        <v>890</v>
      </c>
      <c r="B918" s="916"/>
      <c r="C918" s="916"/>
      <c r="D918" s="916"/>
      <c r="E918" s="917"/>
      <c r="F918" s="918"/>
      <c r="G918" s="918"/>
      <c r="H918" s="918"/>
      <c r="I918" s="917"/>
    </row>
    <row r="919" spans="1:9" x14ac:dyDescent="0.25">
      <c r="A919" s="917">
        <v>891</v>
      </c>
      <c r="B919" s="916"/>
      <c r="C919" s="916"/>
      <c r="D919" s="916"/>
      <c r="E919" s="917"/>
      <c r="F919" s="918"/>
      <c r="G919" s="918"/>
      <c r="H919" s="918"/>
      <c r="I919" s="917"/>
    </row>
    <row r="920" spans="1:9" x14ac:dyDescent="0.25">
      <c r="A920" s="917">
        <v>892</v>
      </c>
      <c r="B920" s="916"/>
      <c r="C920" s="916"/>
      <c r="D920" s="916"/>
      <c r="E920" s="917"/>
      <c r="F920" s="918"/>
      <c r="G920" s="918"/>
      <c r="H920" s="918"/>
      <c r="I920" s="917"/>
    </row>
    <row r="921" spans="1:9" x14ac:dyDescent="0.25">
      <c r="A921" s="917">
        <v>893</v>
      </c>
      <c r="B921" s="916"/>
      <c r="C921" s="916"/>
      <c r="D921" s="916"/>
      <c r="E921" s="917"/>
      <c r="F921" s="918"/>
      <c r="G921" s="918"/>
      <c r="H921" s="918"/>
      <c r="I921" s="917"/>
    </row>
    <row r="922" spans="1:9" x14ac:dyDescent="0.25">
      <c r="A922" s="917">
        <v>894</v>
      </c>
      <c r="B922" s="916"/>
      <c r="C922" s="916"/>
      <c r="D922" s="916"/>
      <c r="E922" s="917"/>
      <c r="F922" s="918"/>
      <c r="G922" s="918"/>
      <c r="H922" s="918"/>
      <c r="I922" s="917"/>
    </row>
    <row r="923" spans="1:9" x14ac:dyDescent="0.25">
      <c r="A923" s="917">
        <v>895</v>
      </c>
      <c r="B923" s="916"/>
      <c r="C923" s="916"/>
      <c r="D923" s="916"/>
      <c r="E923" s="917"/>
      <c r="F923" s="918"/>
      <c r="G923" s="918"/>
      <c r="H923" s="918"/>
      <c r="I923" s="917"/>
    </row>
    <row r="924" spans="1:9" x14ac:dyDescent="0.25">
      <c r="A924" s="917">
        <v>896</v>
      </c>
      <c r="B924" s="916"/>
      <c r="C924" s="916"/>
      <c r="D924" s="916"/>
      <c r="E924" s="917"/>
      <c r="F924" s="918"/>
      <c r="G924" s="918"/>
      <c r="H924" s="918"/>
      <c r="I924" s="917"/>
    </row>
    <row r="925" spans="1:9" x14ac:dyDescent="0.25">
      <c r="A925" s="917">
        <v>897</v>
      </c>
      <c r="B925" s="916"/>
      <c r="C925" s="916"/>
      <c r="D925" s="916"/>
      <c r="E925" s="917"/>
      <c r="F925" s="918"/>
      <c r="G925" s="918"/>
      <c r="H925" s="918"/>
      <c r="I925" s="917"/>
    </row>
    <row r="926" spans="1:9" x14ac:dyDescent="0.25">
      <c r="A926" s="917">
        <v>898</v>
      </c>
      <c r="B926" s="916"/>
      <c r="C926" s="916"/>
      <c r="D926" s="916"/>
      <c r="E926" s="917"/>
      <c r="F926" s="918"/>
      <c r="G926" s="918"/>
      <c r="H926" s="918"/>
      <c r="I926" s="917"/>
    </row>
    <row r="927" spans="1:9" x14ac:dyDescent="0.25">
      <c r="A927" s="917">
        <v>899</v>
      </c>
      <c r="B927" s="916"/>
      <c r="C927" s="916"/>
      <c r="D927" s="916"/>
      <c r="E927" s="917"/>
      <c r="F927" s="918"/>
      <c r="G927" s="918"/>
      <c r="H927" s="918"/>
      <c r="I927" s="917"/>
    </row>
    <row r="928" spans="1:9" x14ac:dyDescent="0.25">
      <c r="A928" s="917">
        <v>900</v>
      </c>
      <c r="B928" s="916"/>
      <c r="C928" s="916"/>
      <c r="D928" s="916"/>
      <c r="E928" s="917"/>
      <c r="F928" s="918"/>
      <c r="G928" s="918"/>
      <c r="H928" s="918"/>
      <c r="I928" s="917"/>
    </row>
    <row r="929" spans="1:9" x14ac:dyDescent="0.25">
      <c r="A929" s="917">
        <v>901</v>
      </c>
      <c r="B929" s="916"/>
      <c r="C929" s="916"/>
      <c r="D929" s="916"/>
      <c r="E929" s="917"/>
      <c r="F929" s="918"/>
      <c r="G929" s="918"/>
      <c r="H929" s="918"/>
      <c r="I929" s="917"/>
    </row>
    <row r="930" spans="1:9" x14ac:dyDescent="0.25">
      <c r="A930" s="917">
        <v>902</v>
      </c>
      <c r="B930" s="916"/>
      <c r="C930" s="916"/>
      <c r="D930" s="916"/>
      <c r="E930" s="917"/>
      <c r="F930" s="918"/>
      <c r="G930" s="918"/>
      <c r="H930" s="918"/>
      <c r="I930" s="917"/>
    </row>
    <row r="931" spans="1:9" x14ac:dyDescent="0.25">
      <c r="A931" s="917">
        <v>903</v>
      </c>
      <c r="B931" s="916"/>
      <c r="C931" s="916"/>
      <c r="D931" s="916"/>
      <c r="E931" s="917"/>
      <c r="F931" s="918"/>
      <c r="G931" s="918"/>
      <c r="H931" s="918"/>
      <c r="I931" s="917"/>
    </row>
    <row r="932" spans="1:9" x14ac:dyDescent="0.25">
      <c r="A932" s="917">
        <v>904</v>
      </c>
      <c r="B932" s="916"/>
      <c r="C932" s="916"/>
      <c r="D932" s="916"/>
      <c r="E932" s="917"/>
      <c r="F932" s="918"/>
      <c r="G932" s="918"/>
      <c r="H932" s="918"/>
      <c r="I932" s="917"/>
    </row>
    <row r="933" spans="1:9" x14ac:dyDescent="0.25">
      <c r="A933" s="917">
        <v>905</v>
      </c>
      <c r="B933" s="916"/>
      <c r="C933" s="916"/>
      <c r="D933" s="916"/>
      <c r="E933" s="917"/>
      <c r="F933" s="918"/>
      <c r="G933" s="918"/>
      <c r="H933" s="918"/>
      <c r="I933" s="917"/>
    </row>
    <row r="934" spans="1:9" x14ac:dyDescent="0.25">
      <c r="A934" s="917">
        <v>906</v>
      </c>
      <c r="B934" s="916"/>
      <c r="C934" s="916"/>
      <c r="D934" s="916"/>
      <c r="E934" s="917"/>
      <c r="F934" s="918"/>
      <c r="G934" s="918"/>
      <c r="H934" s="918"/>
      <c r="I934" s="917"/>
    </row>
    <row r="935" spans="1:9" x14ac:dyDescent="0.25">
      <c r="A935" s="917">
        <v>907</v>
      </c>
      <c r="B935" s="916"/>
      <c r="C935" s="916"/>
      <c r="D935" s="916"/>
      <c r="E935" s="917"/>
      <c r="F935" s="918"/>
      <c r="G935" s="918"/>
      <c r="H935" s="918"/>
      <c r="I935" s="917"/>
    </row>
    <row r="936" spans="1:9" x14ac:dyDescent="0.25">
      <c r="A936" s="917">
        <v>908</v>
      </c>
      <c r="B936" s="916"/>
      <c r="C936" s="916"/>
      <c r="D936" s="916"/>
      <c r="E936" s="917"/>
      <c r="F936" s="918"/>
      <c r="G936" s="918"/>
      <c r="H936" s="918"/>
      <c r="I936" s="917"/>
    </row>
    <row r="937" spans="1:9" x14ac:dyDescent="0.25">
      <c r="A937" s="917">
        <v>909</v>
      </c>
      <c r="B937" s="916"/>
      <c r="C937" s="916"/>
      <c r="D937" s="916"/>
      <c r="E937" s="917"/>
      <c r="F937" s="918"/>
      <c r="G937" s="918"/>
      <c r="H937" s="918"/>
      <c r="I937" s="917"/>
    </row>
    <row r="938" spans="1:9" x14ac:dyDescent="0.25">
      <c r="A938" s="917">
        <v>910</v>
      </c>
      <c r="B938" s="916"/>
      <c r="C938" s="916"/>
      <c r="D938" s="916"/>
      <c r="E938" s="917"/>
      <c r="F938" s="918"/>
      <c r="G938" s="918"/>
      <c r="H938" s="918"/>
      <c r="I938" s="917"/>
    </row>
    <row r="939" spans="1:9" x14ac:dyDescent="0.25">
      <c r="A939" s="917">
        <v>911</v>
      </c>
      <c r="B939" s="916"/>
      <c r="C939" s="916"/>
      <c r="D939" s="916"/>
      <c r="E939" s="917"/>
      <c r="F939" s="918"/>
      <c r="G939" s="918"/>
      <c r="H939" s="918"/>
      <c r="I939" s="917"/>
    </row>
    <row r="940" spans="1:9" x14ac:dyDescent="0.25">
      <c r="A940" s="917">
        <v>912</v>
      </c>
      <c r="B940" s="916"/>
      <c r="C940" s="916"/>
      <c r="D940" s="916"/>
      <c r="E940" s="917"/>
      <c r="F940" s="918"/>
      <c r="G940" s="918"/>
      <c r="H940" s="918"/>
      <c r="I940" s="917"/>
    </row>
    <row r="941" spans="1:9" x14ac:dyDescent="0.25">
      <c r="A941" s="917">
        <v>913</v>
      </c>
      <c r="B941" s="916"/>
      <c r="C941" s="916"/>
      <c r="D941" s="916"/>
      <c r="E941" s="917"/>
      <c r="F941" s="918"/>
      <c r="G941" s="918"/>
      <c r="H941" s="918"/>
      <c r="I941" s="917"/>
    </row>
    <row r="942" spans="1:9" x14ac:dyDescent="0.25">
      <c r="A942" s="917">
        <v>914</v>
      </c>
      <c r="B942" s="916"/>
      <c r="C942" s="916"/>
      <c r="D942" s="916"/>
      <c r="E942" s="917"/>
      <c r="F942" s="918"/>
      <c r="G942" s="918"/>
      <c r="H942" s="918"/>
      <c r="I942" s="917"/>
    </row>
    <row r="943" spans="1:9" x14ac:dyDescent="0.25">
      <c r="A943" s="917">
        <v>915</v>
      </c>
      <c r="B943" s="916"/>
      <c r="C943" s="916"/>
      <c r="D943" s="916"/>
      <c r="E943" s="917"/>
      <c r="F943" s="918"/>
      <c r="G943" s="918"/>
      <c r="H943" s="918"/>
      <c r="I943" s="917"/>
    </row>
    <row r="944" spans="1:9" x14ac:dyDescent="0.25">
      <c r="A944" s="917">
        <v>916</v>
      </c>
      <c r="B944" s="916"/>
      <c r="C944" s="916"/>
      <c r="D944" s="916"/>
      <c r="E944" s="917"/>
      <c r="F944" s="918"/>
      <c r="G944" s="918"/>
      <c r="H944" s="918"/>
      <c r="I944" s="917"/>
    </row>
    <row r="945" spans="1:9" x14ac:dyDescent="0.25">
      <c r="A945" s="917">
        <v>917</v>
      </c>
      <c r="B945" s="916"/>
      <c r="C945" s="916"/>
      <c r="D945" s="916"/>
      <c r="E945" s="917"/>
      <c r="F945" s="918"/>
      <c r="G945" s="918"/>
      <c r="H945" s="918"/>
      <c r="I945" s="917"/>
    </row>
    <row r="946" spans="1:9" x14ac:dyDescent="0.25">
      <c r="A946" s="917">
        <v>918</v>
      </c>
      <c r="B946" s="916"/>
      <c r="C946" s="916"/>
      <c r="D946" s="916"/>
      <c r="E946" s="917"/>
      <c r="F946" s="918"/>
      <c r="G946" s="918"/>
      <c r="H946" s="918"/>
      <c r="I946" s="917"/>
    </row>
    <row r="947" spans="1:9" x14ac:dyDescent="0.25">
      <c r="A947" s="917">
        <v>919</v>
      </c>
      <c r="B947" s="916"/>
      <c r="C947" s="916"/>
      <c r="D947" s="916"/>
      <c r="E947" s="917"/>
      <c r="F947" s="918"/>
      <c r="G947" s="918"/>
      <c r="H947" s="918"/>
      <c r="I947" s="917"/>
    </row>
    <row r="948" spans="1:9" x14ac:dyDescent="0.25">
      <c r="A948" s="917">
        <v>920</v>
      </c>
      <c r="B948" s="916"/>
      <c r="C948" s="916"/>
      <c r="D948" s="916"/>
      <c r="E948" s="917"/>
      <c r="F948" s="918"/>
      <c r="G948" s="918"/>
      <c r="H948" s="918"/>
      <c r="I948" s="917"/>
    </row>
    <row r="949" spans="1:9" x14ac:dyDescent="0.25">
      <c r="A949" s="917">
        <v>921</v>
      </c>
      <c r="B949" s="916"/>
      <c r="C949" s="916"/>
      <c r="D949" s="916"/>
      <c r="E949" s="917"/>
      <c r="F949" s="918"/>
      <c r="G949" s="918"/>
      <c r="H949" s="918"/>
      <c r="I949" s="917"/>
    </row>
    <row r="950" spans="1:9" x14ac:dyDescent="0.25">
      <c r="A950" s="917">
        <v>922</v>
      </c>
      <c r="B950" s="916"/>
      <c r="C950" s="916"/>
      <c r="D950" s="916"/>
      <c r="E950" s="917"/>
      <c r="F950" s="918"/>
      <c r="G950" s="918"/>
      <c r="H950" s="918"/>
      <c r="I950" s="917"/>
    </row>
    <row r="951" spans="1:9" x14ac:dyDescent="0.25">
      <c r="A951" s="917">
        <v>923</v>
      </c>
      <c r="B951" s="916"/>
      <c r="C951" s="916"/>
      <c r="D951" s="916"/>
      <c r="E951" s="917"/>
      <c r="F951" s="918"/>
      <c r="G951" s="918"/>
      <c r="H951" s="918"/>
      <c r="I951" s="917"/>
    </row>
    <row r="952" spans="1:9" x14ac:dyDescent="0.25">
      <c r="A952" s="917">
        <v>924</v>
      </c>
      <c r="B952" s="916"/>
      <c r="C952" s="916"/>
      <c r="D952" s="916"/>
      <c r="E952" s="917"/>
      <c r="F952" s="918"/>
      <c r="G952" s="918"/>
      <c r="H952" s="918"/>
      <c r="I952" s="917"/>
    </row>
    <row r="953" spans="1:9" x14ac:dyDescent="0.25">
      <c r="A953" s="917">
        <v>925</v>
      </c>
      <c r="B953" s="916"/>
      <c r="C953" s="916"/>
      <c r="D953" s="916"/>
      <c r="E953" s="917"/>
      <c r="F953" s="918"/>
      <c r="G953" s="918"/>
      <c r="H953" s="918"/>
      <c r="I953" s="917"/>
    </row>
    <row r="954" spans="1:9" x14ac:dyDescent="0.25">
      <c r="A954" s="917">
        <v>926</v>
      </c>
      <c r="B954" s="916"/>
      <c r="C954" s="916"/>
      <c r="D954" s="916"/>
      <c r="E954" s="917"/>
      <c r="F954" s="918"/>
      <c r="G954" s="918"/>
      <c r="H954" s="918"/>
      <c r="I954" s="917"/>
    </row>
    <row r="955" spans="1:9" x14ac:dyDescent="0.25">
      <c r="A955" s="917">
        <v>927</v>
      </c>
      <c r="B955" s="916"/>
      <c r="C955" s="916"/>
      <c r="D955" s="916"/>
      <c r="E955" s="917"/>
      <c r="F955" s="918"/>
      <c r="G955" s="918"/>
      <c r="H955" s="918"/>
      <c r="I955" s="917"/>
    </row>
    <row r="956" spans="1:9" x14ac:dyDescent="0.25">
      <c r="A956" s="917">
        <v>928</v>
      </c>
      <c r="B956" s="916"/>
      <c r="C956" s="916"/>
      <c r="D956" s="916"/>
      <c r="E956" s="917"/>
      <c r="F956" s="918"/>
      <c r="G956" s="918"/>
      <c r="H956" s="918"/>
      <c r="I956" s="917"/>
    </row>
    <row r="957" spans="1:9" x14ac:dyDescent="0.25">
      <c r="A957" s="917">
        <v>929</v>
      </c>
      <c r="B957" s="916"/>
      <c r="C957" s="916"/>
      <c r="D957" s="916"/>
      <c r="E957" s="917"/>
      <c r="F957" s="918"/>
      <c r="G957" s="918"/>
      <c r="H957" s="918"/>
      <c r="I957" s="917"/>
    </row>
    <row r="958" spans="1:9" x14ac:dyDescent="0.25">
      <c r="A958" s="917">
        <v>930</v>
      </c>
      <c r="B958" s="916"/>
      <c r="C958" s="916"/>
      <c r="D958" s="916"/>
      <c r="E958" s="917"/>
      <c r="F958" s="918"/>
      <c r="G958" s="918"/>
      <c r="H958" s="918"/>
      <c r="I958" s="917"/>
    </row>
    <row r="959" spans="1:9" x14ac:dyDescent="0.25">
      <c r="A959" s="917">
        <v>931</v>
      </c>
      <c r="B959" s="916"/>
      <c r="C959" s="916"/>
      <c r="D959" s="916"/>
      <c r="E959" s="917"/>
      <c r="F959" s="918"/>
      <c r="G959" s="918"/>
      <c r="H959" s="918"/>
      <c r="I959" s="917"/>
    </row>
    <row r="960" spans="1:9" x14ac:dyDescent="0.25">
      <c r="A960" s="917">
        <v>932</v>
      </c>
      <c r="B960" s="916"/>
      <c r="C960" s="916"/>
      <c r="D960" s="916"/>
      <c r="E960" s="917"/>
      <c r="F960" s="918"/>
      <c r="G960" s="918"/>
      <c r="H960" s="918"/>
      <c r="I960" s="917"/>
    </row>
    <row r="961" spans="1:9" x14ac:dyDescent="0.25">
      <c r="A961" s="917">
        <v>933</v>
      </c>
      <c r="B961" s="916"/>
      <c r="C961" s="916"/>
      <c r="D961" s="916"/>
      <c r="E961" s="917"/>
      <c r="F961" s="918"/>
      <c r="G961" s="918"/>
      <c r="H961" s="918"/>
      <c r="I961" s="917"/>
    </row>
    <row r="962" spans="1:9" x14ac:dyDescent="0.25">
      <c r="A962" s="917">
        <v>934</v>
      </c>
      <c r="B962" s="916"/>
      <c r="C962" s="916"/>
      <c r="D962" s="916"/>
      <c r="E962" s="917"/>
      <c r="F962" s="918"/>
      <c r="G962" s="918"/>
      <c r="H962" s="918"/>
      <c r="I962" s="917"/>
    </row>
    <row r="963" spans="1:9" x14ac:dyDescent="0.25">
      <c r="A963" s="917">
        <v>935</v>
      </c>
      <c r="B963" s="916"/>
      <c r="C963" s="916"/>
      <c r="D963" s="916"/>
      <c r="E963" s="917"/>
      <c r="F963" s="918"/>
      <c r="G963" s="918"/>
      <c r="H963" s="918"/>
      <c r="I963" s="917"/>
    </row>
    <row r="964" spans="1:9" x14ac:dyDescent="0.25">
      <c r="A964" s="917">
        <v>936</v>
      </c>
      <c r="B964" s="916"/>
      <c r="C964" s="916"/>
      <c r="D964" s="916"/>
      <c r="E964" s="917"/>
      <c r="F964" s="918"/>
      <c r="G964" s="918"/>
      <c r="H964" s="918"/>
      <c r="I964" s="917"/>
    </row>
    <row r="965" spans="1:9" x14ac:dyDescent="0.25">
      <c r="A965" s="917">
        <v>937</v>
      </c>
      <c r="B965" s="916"/>
      <c r="C965" s="916"/>
      <c r="D965" s="916"/>
      <c r="E965" s="917"/>
      <c r="F965" s="918"/>
      <c r="G965" s="918"/>
      <c r="H965" s="918"/>
      <c r="I965" s="917"/>
    </row>
    <row r="966" spans="1:9" x14ac:dyDescent="0.25">
      <c r="A966" s="917">
        <v>938</v>
      </c>
      <c r="B966" s="916"/>
      <c r="C966" s="916"/>
      <c r="D966" s="916"/>
      <c r="E966" s="917"/>
      <c r="F966" s="918"/>
      <c r="G966" s="918"/>
      <c r="H966" s="918"/>
      <c r="I966" s="917"/>
    </row>
    <row r="967" spans="1:9" x14ac:dyDescent="0.25">
      <c r="A967" s="917">
        <v>939</v>
      </c>
      <c r="B967" s="916"/>
      <c r="C967" s="916"/>
      <c r="D967" s="916"/>
      <c r="E967" s="917"/>
      <c r="F967" s="918"/>
      <c r="G967" s="918"/>
      <c r="H967" s="918"/>
      <c r="I967" s="917"/>
    </row>
    <row r="968" spans="1:9" x14ac:dyDescent="0.25">
      <c r="A968" s="917">
        <v>940</v>
      </c>
      <c r="B968" s="916"/>
      <c r="C968" s="916"/>
      <c r="D968" s="916"/>
      <c r="E968" s="917"/>
      <c r="F968" s="918"/>
      <c r="G968" s="918"/>
      <c r="H968" s="918"/>
      <c r="I968" s="917"/>
    </row>
    <row r="969" spans="1:9" x14ac:dyDescent="0.25">
      <c r="A969" s="917">
        <v>941</v>
      </c>
      <c r="B969" s="916"/>
      <c r="C969" s="916"/>
      <c r="D969" s="916"/>
      <c r="E969" s="917"/>
      <c r="F969" s="918"/>
      <c r="G969" s="918"/>
      <c r="H969" s="918"/>
      <c r="I969" s="917"/>
    </row>
    <row r="970" spans="1:9" x14ac:dyDescent="0.25">
      <c r="A970" s="917">
        <v>942</v>
      </c>
      <c r="B970" s="916"/>
      <c r="C970" s="916"/>
      <c r="D970" s="916"/>
      <c r="E970" s="917"/>
      <c r="F970" s="918"/>
      <c r="G970" s="918"/>
      <c r="H970" s="918"/>
      <c r="I970" s="917"/>
    </row>
    <row r="971" spans="1:9" x14ac:dyDescent="0.25">
      <c r="A971" s="917">
        <v>943</v>
      </c>
      <c r="B971" s="916"/>
      <c r="C971" s="916"/>
      <c r="D971" s="916"/>
      <c r="E971" s="917"/>
      <c r="F971" s="918"/>
      <c r="G971" s="918"/>
      <c r="H971" s="918"/>
      <c r="I971" s="917"/>
    </row>
    <row r="972" spans="1:9" x14ac:dyDescent="0.25">
      <c r="A972" s="917">
        <v>944</v>
      </c>
      <c r="B972" s="916"/>
      <c r="C972" s="916"/>
      <c r="D972" s="916"/>
      <c r="E972" s="917"/>
      <c r="F972" s="918"/>
      <c r="G972" s="918"/>
      <c r="H972" s="918"/>
      <c r="I972" s="917"/>
    </row>
    <row r="973" spans="1:9" x14ac:dyDescent="0.25">
      <c r="A973" s="917">
        <v>945</v>
      </c>
      <c r="B973" s="916"/>
      <c r="C973" s="916"/>
      <c r="D973" s="916"/>
      <c r="E973" s="917"/>
      <c r="F973" s="918"/>
      <c r="G973" s="918"/>
      <c r="H973" s="918"/>
      <c r="I973" s="917"/>
    </row>
    <row r="974" spans="1:9" x14ac:dyDescent="0.25">
      <c r="A974" s="917">
        <v>946</v>
      </c>
      <c r="B974" s="916"/>
      <c r="C974" s="916"/>
      <c r="D974" s="916"/>
      <c r="E974" s="917"/>
      <c r="F974" s="918"/>
      <c r="G974" s="918"/>
      <c r="H974" s="918"/>
      <c r="I974" s="917"/>
    </row>
    <row r="975" spans="1:9" x14ac:dyDescent="0.25">
      <c r="A975" s="917">
        <v>947</v>
      </c>
      <c r="B975" s="916"/>
      <c r="C975" s="916"/>
      <c r="D975" s="916"/>
      <c r="E975" s="917"/>
      <c r="F975" s="918"/>
      <c r="G975" s="918"/>
      <c r="H975" s="918"/>
      <c r="I975" s="917"/>
    </row>
    <row r="976" spans="1:9" x14ac:dyDescent="0.25">
      <c r="A976" s="917">
        <v>948</v>
      </c>
      <c r="B976" s="916"/>
      <c r="C976" s="916"/>
      <c r="D976" s="916"/>
      <c r="E976" s="917"/>
      <c r="F976" s="918"/>
      <c r="G976" s="918"/>
      <c r="H976" s="918"/>
      <c r="I976" s="917"/>
    </row>
    <row r="977" spans="1:9" x14ac:dyDescent="0.25">
      <c r="A977" s="917">
        <v>949</v>
      </c>
      <c r="B977" s="916"/>
      <c r="C977" s="916"/>
      <c r="D977" s="916"/>
      <c r="E977" s="917"/>
      <c r="F977" s="918"/>
      <c r="G977" s="918"/>
      <c r="H977" s="918"/>
      <c r="I977" s="917"/>
    </row>
    <row r="978" spans="1:9" x14ac:dyDescent="0.25">
      <c r="A978" s="917">
        <v>950</v>
      </c>
      <c r="B978" s="916"/>
      <c r="C978" s="916"/>
      <c r="D978" s="916"/>
      <c r="E978" s="917"/>
      <c r="F978" s="918"/>
      <c r="G978" s="918"/>
      <c r="H978" s="918"/>
      <c r="I978" s="917"/>
    </row>
    <row r="979" spans="1:9" x14ac:dyDescent="0.25">
      <c r="A979" s="917">
        <v>951</v>
      </c>
      <c r="B979" s="916"/>
      <c r="C979" s="916"/>
      <c r="D979" s="916"/>
      <c r="E979" s="917"/>
      <c r="F979" s="918"/>
      <c r="G979" s="918"/>
      <c r="H979" s="918"/>
      <c r="I979" s="917"/>
    </row>
    <row r="980" spans="1:9" x14ac:dyDescent="0.25">
      <c r="A980" s="917">
        <v>952</v>
      </c>
      <c r="B980" s="916"/>
      <c r="C980" s="916"/>
      <c r="D980" s="916"/>
      <c r="E980" s="917"/>
      <c r="F980" s="918"/>
      <c r="G980" s="918"/>
      <c r="H980" s="918"/>
      <c r="I980" s="917"/>
    </row>
    <row r="981" spans="1:9" x14ac:dyDescent="0.25">
      <c r="A981" s="917">
        <v>953</v>
      </c>
      <c r="B981" s="916"/>
      <c r="C981" s="916"/>
      <c r="D981" s="916"/>
      <c r="E981" s="917"/>
      <c r="F981" s="918"/>
      <c r="G981" s="918"/>
      <c r="H981" s="918"/>
      <c r="I981" s="917"/>
    </row>
    <row r="982" spans="1:9" x14ac:dyDescent="0.25">
      <c r="A982" s="917">
        <v>954</v>
      </c>
      <c r="B982" s="916"/>
      <c r="C982" s="916"/>
      <c r="D982" s="916"/>
      <c r="E982" s="917"/>
      <c r="F982" s="918"/>
      <c r="G982" s="918"/>
      <c r="H982" s="918"/>
      <c r="I982" s="917"/>
    </row>
    <row r="983" spans="1:9" x14ac:dyDescent="0.25">
      <c r="A983" s="917">
        <v>955</v>
      </c>
      <c r="B983" s="916"/>
      <c r="C983" s="916"/>
      <c r="D983" s="916"/>
      <c r="E983" s="917"/>
      <c r="F983" s="918"/>
      <c r="G983" s="918"/>
      <c r="H983" s="918"/>
      <c r="I983" s="917"/>
    </row>
    <row r="984" spans="1:9" x14ac:dyDescent="0.25">
      <c r="A984" s="917">
        <v>956</v>
      </c>
      <c r="B984" s="916"/>
      <c r="C984" s="916"/>
      <c r="D984" s="916"/>
      <c r="E984" s="917"/>
      <c r="F984" s="918"/>
      <c r="G984" s="918"/>
      <c r="H984" s="918"/>
      <c r="I984" s="917"/>
    </row>
    <row r="985" spans="1:9" x14ac:dyDescent="0.25">
      <c r="A985" s="917">
        <v>957</v>
      </c>
      <c r="B985" s="916"/>
      <c r="C985" s="916"/>
      <c r="D985" s="916"/>
      <c r="E985" s="917"/>
      <c r="F985" s="918"/>
      <c r="G985" s="918"/>
      <c r="H985" s="918"/>
      <c r="I985" s="917"/>
    </row>
    <row r="986" spans="1:9" x14ac:dyDescent="0.25">
      <c r="A986" s="917">
        <v>958</v>
      </c>
      <c r="B986" s="916"/>
      <c r="C986" s="916"/>
      <c r="D986" s="916"/>
      <c r="E986" s="917"/>
      <c r="F986" s="918"/>
      <c r="G986" s="918"/>
      <c r="H986" s="918"/>
      <c r="I986" s="917"/>
    </row>
    <row r="987" spans="1:9" x14ac:dyDescent="0.25">
      <c r="A987" s="917">
        <v>959</v>
      </c>
      <c r="B987" s="916"/>
      <c r="C987" s="916"/>
      <c r="D987" s="916"/>
      <c r="E987" s="917"/>
      <c r="F987" s="918"/>
      <c r="G987" s="918"/>
      <c r="H987" s="918"/>
      <c r="I987" s="917"/>
    </row>
    <row r="988" spans="1:9" x14ac:dyDescent="0.25">
      <c r="A988" s="917">
        <v>960</v>
      </c>
      <c r="B988" s="916"/>
      <c r="C988" s="916"/>
      <c r="D988" s="916"/>
      <c r="E988" s="917"/>
      <c r="F988" s="918"/>
      <c r="G988" s="918"/>
      <c r="H988" s="918"/>
      <c r="I988" s="917"/>
    </row>
    <row r="989" spans="1:9" x14ac:dyDescent="0.25">
      <c r="A989" s="917">
        <v>961</v>
      </c>
      <c r="B989" s="916"/>
      <c r="C989" s="916"/>
      <c r="D989" s="916"/>
      <c r="E989" s="917"/>
      <c r="F989" s="918"/>
      <c r="G989" s="918"/>
      <c r="H989" s="918"/>
      <c r="I989" s="917"/>
    </row>
    <row r="990" spans="1:9" x14ac:dyDescent="0.25">
      <c r="A990" s="917">
        <v>962</v>
      </c>
      <c r="B990" s="916"/>
      <c r="C990" s="916"/>
      <c r="D990" s="916"/>
      <c r="E990" s="917"/>
      <c r="F990" s="918"/>
      <c r="G990" s="918"/>
      <c r="H990" s="918"/>
      <c r="I990" s="917"/>
    </row>
    <row r="991" spans="1:9" x14ac:dyDescent="0.25">
      <c r="A991" s="917">
        <v>963</v>
      </c>
      <c r="B991" s="916"/>
      <c r="C991" s="916"/>
      <c r="D991" s="916"/>
      <c r="E991" s="917"/>
      <c r="F991" s="918"/>
      <c r="G991" s="918"/>
      <c r="H991" s="918"/>
      <c r="I991" s="917"/>
    </row>
    <row r="992" spans="1:9" x14ac:dyDescent="0.25">
      <c r="A992" s="917">
        <v>964</v>
      </c>
      <c r="B992" s="916"/>
      <c r="C992" s="916"/>
      <c r="D992" s="916"/>
      <c r="E992" s="917"/>
      <c r="F992" s="918"/>
      <c r="G992" s="918"/>
      <c r="H992" s="918"/>
      <c r="I992" s="917"/>
    </row>
    <row r="993" spans="1:9" x14ac:dyDescent="0.25">
      <c r="A993" s="917">
        <v>965</v>
      </c>
      <c r="B993" s="916"/>
      <c r="C993" s="916"/>
      <c r="D993" s="916"/>
      <c r="E993" s="917"/>
      <c r="F993" s="918"/>
      <c r="G993" s="918"/>
      <c r="H993" s="918"/>
      <c r="I993" s="917"/>
    </row>
    <row r="994" spans="1:9" x14ac:dyDescent="0.25">
      <c r="A994" s="917">
        <v>966</v>
      </c>
      <c r="B994" s="916"/>
      <c r="C994" s="916"/>
      <c r="D994" s="916"/>
      <c r="E994" s="917"/>
      <c r="F994" s="918"/>
      <c r="G994" s="918"/>
      <c r="H994" s="918"/>
      <c r="I994" s="917"/>
    </row>
    <row r="995" spans="1:9" x14ac:dyDescent="0.25">
      <c r="A995" s="917">
        <v>967</v>
      </c>
      <c r="B995" s="916"/>
      <c r="C995" s="916"/>
      <c r="D995" s="916"/>
      <c r="E995" s="917"/>
      <c r="F995" s="918"/>
      <c r="G995" s="918"/>
      <c r="H995" s="918"/>
      <c r="I995" s="917"/>
    </row>
    <row r="996" spans="1:9" x14ac:dyDescent="0.25">
      <c r="A996" s="917">
        <v>968</v>
      </c>
      <c r="B996" s="916"/>
      <c r="C996" s="916"/>
      <c r="D996" s="916"/>
      <c r="E996" s="917"/>
      <c r="F996" s="918"/>
      <c r="G996" s="918"/>
      <c r="H996" s="918"/>
      <c r="I996" s="917"/>
    </row>
    <row r="997" spans="1:9" x14ac:dyDescent="0.25">
      <c r="A997" s="917">
        <v>969</v>
      </c>
      <c r="B997" s="916"/>
      <c r="C997" s="916"/>
      <c r="D997" s="916"/>
      <c r="E997" s="917"/>
      <c r="F997" s="918"/>
      <c r="G997" s="918"/>
      <c r="H997" s="918"/>
      <c r="I997" s="917"/>
    </row>
    <row r="998" spans="1:9" x14ac:dyDescent="0.25">
      <c r="A998" s="917">
        <v>970</v>
      </c>
      <c r="B998" s="916"/>
      <c r="C998" s="916"/>
      <c r="D998" s="916"/>
      <c r="E998" s="917"/>
      <c r="F998" s="918"/>
      <c r="G998" s="918"/>
      <c r="H998" s="918"/>
      <c r="I998" s="917"/>
    </row>
    <row r="999" spans="1:9" x14ac:dyDescent="0.25">
      <c r="A999" s="917">
        <v>971</v>
      </c>
      <c r="B999" s="916"/>
      <c r="C999" s="916"/>
      <c r="D999" s="916"/>
      <c r="E999" s="917"/>
      <c r="F999" s="918"/>
      <c r="G999" s="918"/>
      <c r="H999" s="918"/>
      <c r="I999" s="917"/>
    </row>
    <row r="1000" spans="1:9" x14ac:dyDescent="0.25">
      <c r="A1000" s="917">
        <v>972</v>
      </c>
      <c r="B1000" s="916"/>
      <c r="C1000" s="916"/>
      <c r="D1000" s="916"/>
      <c r="E1000" s="917"/>
      <c r="F1000" s="918"/>
      <c r="G1000" s="918"/>
      <c r="H1000" s="918"/>
      <c r="I1000" s="917"/>
    </row>
    <row r="1001" spans="1:9" x14ac:dyDescent="0.25">
      <c r="A1001" s="917">
        <v>973</v>
      </c>
      <c r="B1001" s="916"/>
      <c r="C1001" s="916"/>
      <c r="D1001" s="916"/>
      <c r="E1001" s="917"/>
      <c r="F1001" s="918"/>
      <c r="G1001" s="918"/>
      <c r="H1001" s="918"/>
      <c r="I1001" s="917"/>
    </row>
    <row r="1002" spans="1:9" x14ac:dyDescent="0.25">
      <c r="A1002" s="917">
        <v>974</v>
      </c>
      <c r="B1002" s="916"/>
      <c r="C1002" s="916"/>
      <c r="D1002" s="916"/>
      <c r="E1002" s="917"/>
      <c r="F1002" s="918"/>
      <c r="G1002" s="918"/>
      <c r="H1002" s="918"/>
      <c r="I1002" s="917"/>
    </row>
    <row r="1003" spans="1:9" x14ac:dyDescent="0.25">
      <c r="A1003" s="917">
        <v>975</v>
      </c>
      <c r="B1003" s="916"/>
      <c r="C1003" s="916"/>
      <c r="D1003" s="916"/>
      <c r="E1003" s="917"/>
      <c r="F1003" s="918"/>
      <c r="G1003" s="918"/>
      <c r="H1003" s="918"/>
      <c r="I1003" s="917"/>
    </row>
    <row r="1004" spans="1:9" x14ac:dyDescent="0.25">
      <c r="A1004" s="917">
        <v>976</v>
      </c>
      <c r="B1004" s="916"/>
      <c r="C1004" s="916"/>
      <c r="D1004" s="916"/>
      <c r="E1004" s="917"/>
      <c r="F1004" s="918"/>
      <c r="G1004" s="918"/>
      <c r="H1004" s="918"/>
      <c r="I1004" s="917"/>
    </row>
    <row r="1005" spans="1:9" x14ac:dyDescent="0.25">
      <c r="A1005" s="917">
        <v>977</v>
      </c>
      <c r="B1005" s="916"/>
      <c r="C1005" s="916"/>
      <c r="D1005" s="916"/>
      <c r="E1005" s="917"/>
      <c r="F1005" s="918"/>
      <c r="G1005" s="918"/>
      <c r="H1005" s="918"/>
      <c r="I1005" s="917"/>
    </row>
    <row r="1006" spans="1:9" x14ac:dyDescent="0.25">
      <c r="A1006" s="917">
        <v>978</v>
      </c>
      <c r="B1006" s="916"/>
      <c r="C1006" s="916"/>
      <c r="D1006" s="916"/>
      <c r="E1006" s="917"/>
      <c r="F1006" s="918"/>
      <c r="G1006" s="918"/>
      <c r="H1006" s="918"/>
      <c r="I1006" s="917"/>
    </row>
    <row r="1007" spans="1:9" x14ac:dyDescent="0.25">
      <c r="A1007" s="917">
        <v>979</v>
      </c>
      <c r="B1007" s="916"/>
      <c r="C1007" s="916"/>
      <c r="D1007" s="916"/>
      <c r="E1007" s="917"/>
      <c r="F1007" s="918"/>
      <c r="G1007" s="918"/>
      <c r="H1007" s="918"/>
      <c r="I1007" s="917"/>
    </row>
    <row r="1008" spans="1:9" x14ac:dyDescent="0.25">
      <c r="A1008" s="917">
        <v>980</v>
      </c>
      <c r="B1008" s="916"/>
      <c r="C1008" s="916"/>
      <c r="D1008" s="916"/>
      <c r="E1008" s="917"/>
      <c r="F1008" s="918"/>
      <c r="G1008" s="918"/>
      <c r="H1008" s="918"/>
      <c r="I1008" s="917"/>
    </row>
    <row r="1009" spans="1:9" x14ac:dyDescent="0.25">
      <c r="A1009" s="917">
        <v>981</v>
      </c>
      <c r="B1009" s="916"/>
      <c r="C1009" s="916"/>
      <c r="D1009" s="916"/>
      <c r="E1009" s="917"/>
      <c r="F1009" s="918"/>
      <c r="G1009" s="918"/>
      <c r="H1009" s="918"/>
      <c r="I1009" s="917"/>
    </row>
    <row r="1010" spans="1:9" x14ac:dyDescent="0.25">
      <c r="A1010" s="917">
        <v>982</v>
      </c>
      <c r="B1010" s="916"/>
      <c r="C1010" s="916"/>
      <c r="D1010" s="916"/>
      <c r="E1010" s="917"/>
      <c r="F1010" s="918"/>
      <c r="G1010" s="918"/>
      <c r="H1010" s="918"/>
      <c r="I1010" s="917"/>
    </row>
    <row r="1011" spans="1:9" x14ac:dyDescent="0.25">
      <c r="A1011" s="917">
        <v>983</v>
      </c>
      <c r="B1011" s="916"/>
      <c r="C1011" s="916"/>
      <c r="D1011" s="916"/>
      <c r="E1011" s="917"/>
      <c r="F1011" s="918"/>
      <c r="G1011" s="918"/>
      <c r="H1011" s="918"/>
      <c r="I1011" s="917"/>
    </row>
    <row r="1012" spans="1:9" x14ac:dyDescent="0.25">
      <c r="A1012" s="917">
        <v>984</v>
      </c>
      <c r="B1012" s="916"/>
      <c r="C1012" s="916"/>
      <c r="D1012" s="916"/>
      <c r="E1012" s="917"/>
      <c r="F1012" s="918"/>
      <c r="G1012" s="918"/>
      <c r="H1012" s="918"/>
      <c r="I1012" s="917"/>
    </row>
    <row r="1013" spans="1:9" x14ac:dyDescent="0.25">
      <c r="A1013" s="917">
        <v>985</v>
      </c>
      <c r="B1013" s="916"/>
      <c r="C1013" s="916"/>
      <c r="D1013" s="916"/>
      <c r="E1013" s="917"/>
      <c r="F1013" s="918"/>
      <c r="G1013" s="918"/>
      <c r="H1013" s="918"/>
      <c r="I1013" s="917"/>
    </row>
    <row r="1014" spans="1:9" x14ac:dyDescent="0.25">
      <c r="A1014" s="917">
        <v>986</v>
      </c>
      <c r="B1014" s="916"/>
      <c r="C1014" s="916"/>
      <c r="D1014" s="916"/>
      <c r="E1014" s="917"/>
      <c r="F1014" s="918"/>
      <c r="G1014" s="918"/>
      <c r="H1014" s="918"/>
      <c r="I1014" s="917"/>
    </row>
    <row r="1015" spans="1:9" x14ac:dyDescent="0.25">
      <c r="A1015" s="917">
        <v>987</v>
      </c>
      <c r="B1015" s="916"/>
      <c r="C1015" s="916"/>
      <c r="D1015" s="916"/>
      <c r="E1015" s="917"/>
      <c r="F1015" s="918"/>
      <c r="G1015" s="918"/>
      <c r="H1015" s="918"/>
      <c r="I1015" s="917"/>
    </row>
    <row r="1016" spans="1:9" x14ac:dyDescent="0.25">
      <c r="A1016" s="917">
        <v>988</v>
      </c>
      <c r="B1016" s="916"/>
      <c r="C1016" s="916"/>
      <c r="D1016" s="916"/>
      <c r="E1016" s="917"/>
      <c r="F1016" s="918"/>
      <c r="G1016" s="918"/>
      <c r="H1016" s="918"/>
      <c r="I1016" s="917"/>
    </row>
    <row r="1017" spans="1:9" x14ac:dyDescent="0.25">
      <c r="A1017" s="917">
        <v>989</v>
      </c>
      <c r="B1017" s="916"/>
      <c r="C1017" s="916"/>
      <c r="D1017" s="916"/>
      <c r="E1017" s="917"/>
      <c r="F1017" s="918"/>
      <c r="G1017" s="918"/>
      <c r="H1017" s="918"/>
      <c r="I1017" s="917"/>
    </row>
    <row r="1018" spans="1:9" x14ac:dyDescent="0.25">
      <c r="A1018" s="917">
        <v>990</v>
      </c>
      <c r="B1018" s="916"/>
      <c r="C1018" s="916"/>
      <c r="D1018" s="916"/>
      <c r="E1018" s="917"/>
      <c r="F1018" s="918"/>
      <c r="G1018" s="918"/>
      <c r="H1018" s="918"/>
      <c r="I1018" s="917"/>
    </row>
    <row r="1019" spans="1:9" x14ac:dyDescent="0.25">
      <c r="A1019" s="917">
        <v>991</v>
      </c>
      <c r="B1019" s="916"/>
      <c r="C1019" s="916"/>
      <c r="D1019" s="916"/>
      <c r="E1019" s="917"/>
      <c r="F1019" s="918"/>
      <c r="G1019" s="918"/>
      <c r="H1019" s="918"/>
      <c r="I1019" s="917"/>
    </row>
    <row r="1020" spans="1:9" x14ac:dyDescent="0.25">
      <c r="A1020" s="917">
        <v>992</v>
      </c>
      <c r="B1020" s="916"/>
      <c r="C1020" s="916"/>
      <c r="D1020" s="916"/>
      <c r="E1020" s="917"/>
      <c r="F1020" s="918"/>
      <c r="G1020" s="918"/>
      <c r="H1020" s="918"/>
      <c r="I1020" s="917"/>
    </row>
    <row r="1021" spans="1:9" x14ac:dyDescent="0.25">
      <c r="A1021" s="917">
        <v>993</v>
      </c>
      <c r="B1021" s="916"/>
      <c r="C1021" s="916"/>
      <c r="D1021" s="916"/>
      <c r="E1021" s="917"/>
      <c r="F1021" s="918"/>
      <c r="G1021" s="918"/>
      <c r="H1021" s="918"/>
      <c r="I1021" s="917"/>
    </row>
    <row r="1022" spans="1:9" x14ac:dyDescent="0.25">
      <c r="A1022" s="917">
        <v>994</v>
      </c>
      <c r="B1022" s="916"/>
      <c r="C1022" s="916"/>
      <c r="D1022" s="916"/>
      <c r="E1022" s="917"/>
      <c r="F1022" s="918"/>
      <c r="G1022" s="918"/>
      <c r="H1022" s="918"/>
      <c r="I1022" s="917"/>
    </row>
    <row r="1023" spans="1:9" x14ac:dyDescent="0.25">
      <c r="A1023" s="917">
        <v>995</v>
      </c>
      <c r="B1023" s="916"/>
      <c r="C1023" s="916"/>
      <c r="D1023" s="916"/>
      <c r="E1023" s="917"/>
      <c r="F1023" s="918"/>
      <c r="G1023" s="918"/>
      <c r="H1023" s="918"/>
      <c r="I1023" s="917"/>
    </row>
    <row r="1024" spans="1:9" x14ac:dyDescent="0.25">
      <c r="A1024" s="917">
        <v>996</v>
      </c>
      <c r="B1024" s="916"/>
      <c r="C1024" s="916"/>
      <c r="D1024" s="916"/>
      <c r="E1024" s="917"/>
      <c r="F1024" s="918"/>
      <c r="G1024" s="918"/>
      <c r="H1024" s="918"/>
      <c r="I1024" s="917"/>
    </row>
    <row r="1025" spans="1:9" x14ac:dyDescent="0.25">
      <c r="A1025" s="917">
        <v>997</v>
      </c>
      <c r="B1025" s="916"/>
      <c r="C1025" s="916"/>
      <c r="D1025" s="916"/>
      <c r="E1025" s="917"/>
      <c r="F1025" s="918"/>
      <c r="G1025" s="918"/>
      <c r="H1025" s="918"/>
      <c r="I1025" s="917"/>
    </row>
    <row r="1026" spans="1:9" x14ac:dyDescent="0.25">
      <c r="A1026" s="917">
        <v>998</v>
      </c>
      <c r="B1026" s="916"/>
      <c r="C1026" s="916"/>
      <c r="D1026" s="916"/>
      <c r="E1026" s="917"/>
      <c r="F1026" s="918"/>
      <c r="G1026" s="918"/>
      <c r="H1026" s="918"/>
      <c r="I1026" s="917"/>
    </row>
    <row r="1027" spans="1:9" x14ac:dyDescent="0.25">
      <c r="A1027" s="917">
        <v>999</v>
      </c>
      <c r="B1027" s="916"/>
      <c r="C1027" s="916"/>
      <c r="D1027" s="916"/>
      <c r="E1027" s="917"/>
      <c r="F1027" s="918"/>
      <c r="G1027" s="918"/>
      <c r="H1027" s="918"/>
      <c r="I1027" s="917"/>
    </row>
    <row r="1028" spans="1:9" x14ac:dyDescent="0.25">
      <c r="A1028" s="917">
        <v>1000</v>
      </c>
      <c r="B1028" s="916"/>
      <c r="C1028" s="916"/>
      <c r="D1028" s="916"/>
      <c r="E1028" s="917"/>
      <c r="F1028" s="918"/>
      <c r="G1028" s="918"/>
      <c r="H1028" s="918"/>
      <c r="I1028" s="917"/>
    </row>
    <row r="1029" spans="1:9" x14ac:dyDescent="0.25">
      <c r="A1029" s="917">
        <v>1001</v>
      </c>
      <c r="B1029" s="916"/>
      <c r="C1029" s="916"/>
      <c r="D1029" s="916"/>
      <c r="E1029" s="917"/>
      <c r="F1029" s="918"/>
      <c r="G1029" s="918"/>
      <c r="H1029" s="918"/>
      <c r="I1029" s="917"/>
    </row>
    <row r="1030" spans="1:9" x14ac:dyDescent="0.25">
      <c r="A1030" s="917">
        <v>1002</v>
      </c>
      <c r="B1030" s="916"/>
      <c r="C1030" s="916"/>
      <c r="D1030" s="916"/>
      <c r="E1030" s="917"/>
      <c r="F1030" s="918"/>
      <c r="G1030" s="918"/>
      <c r="H1030" s="918"/>
      <c r="I1030" s="917"/>
    </row>
    <row r="1031" spans="1:9" x14ac:dyDescent="0.25">
      <c r="A1031" s="917">
        <v>1003</v>
      </c>
      <c r="B1031" s="916"/>
      <c r="C1031" s="916"/>
      <c r="D1031" s="916"/>
      <c r="E1031" s="917"/>
      <c r="F1031" s="918"/>
      <c r="G1031" s="918"/>
      <c r="H1031" s="918"/>
      <c r="I1031" s="917"/>
    </row>
  </sheetData>
  <autoFilter ref="A1:K1031" xr:uid="{6E3392F3-1DF9-4F79-BA8E-99D98D88A349}"/>
  <hyperlinks>
    <hyperlink ref="D181" r:id="rId1" xr:uid="{00000000-0004-0000-1200-000000000000}"/>
    <hyperlink ref="D195" r:id="rId2" xr:uid="{00000000-0004-0000-1200-000001000000}"/>
    <hyperlink ref="B160" r:id="rId3" xr:uid="{00000000-0004-0000-1200-000002000000}"/>
    <hyperlink ref="B169" r:id="rId4" xr:uid="{00000000-0004-0000-1200-000003000000}"/>
    <hyperlink ref="B158" r:id="rId5" xr:uid="{00000000-0004-0000-1200-000004000000}"/>
    <hyperlink ref="B161" r:id="rId6" xr:uid="{00000000-0004-0000-1200-000005000000}"/>
    <hyperlink ref="B206" r:id="rId7" xr:uid="{00000000-0004-0000-1200-000006000000}"/>
    <hyperlink ref="B179" r:id="rId8" xr:uid="{00000000-0004-0000-1200-000007000000}"/>
    <hyperlink ref="B216" r:id="rId9" xr:uid="{00000000-0004-0000-1200-000008000000}"/>
    <hyperlink ref="B224" r:id="rId10" xr:uid="{00000000-0004-0000-1200-000009000000}"/>
    <hyperlink ref="B182" r:id="rId11" xr:uid="{00000000-0004-0000-1200-00000A000000}"/>
    <hyperlink ref="B152" r:id="rId12" xr:uid="{00000000-0004-0000-1200-00000B000000}"/>
    <hyperlink ref="B173" r:id="rId13" xr:uid="{00000000-0004-0000-1200-00000C000000}"/>
    <hyperlink ref="B200" r:id="rId14" xr:uid="{00000000-0004-0000-1200-00000D000000}"/>
    <hyperlink ref="B226" r:id="rId15" xr:uid="{00000000-0004-0000-1200-00000E000000}"/>
    <hyperlink ref="B165" r:id="rId16" xr:uid="{00000000-0004-0000-1200-00000F000000}"/>
    <hyperlink ref="B239" r:id="rId17" xr:uid="{00000000-0004-0000-1200-000010000000}"/>
    <hyperlink ref="B164" r:id="rId18" xr:uid="{00000000-0004-0000-1200-000011000000}"/>
    <hyperlink ref="B163" r:id="rId19" xr:uid="{00000000-0004-0000-1200-000012000000}"/>
    <hyperlink ref="B151" r:id="rId20" xr:uid="{00000000-0004-0000-1200-000013000000}"/>
    <hyperlink ref="B148" r:id="rId21" xr:uid="{00000000-0004-0000-1200-000014000000}"/>
    <hyperlink ref="B225" r:id="rId22" xr:uid="{00000000-0004-0000-1200-000015000000}"/>
    <hyperlink ref="B166" r:id="rId23" xr:uid="{00000000-0004-0000-1200-000016000000}"/>
    <hyperlink ref="B202" r:id="rId24" xr:uid="{00000000-0004-0000-1200-000017000000}"/>
    <hyperlink ref="B185" r:id="rId25" xr:uid="{00000000-0004-0000-1200-000018000000}"/>
    <hyperlink ref="B230" r:id="rId26" xr:uid="{00000000-0004-0000-1200-000019000000}"/>
    <hyperlink ref="B210" r:id="rId27" xr:uid="{00000000-0004-0000-1200-00001A000000}"/>
    <hyperlink ref="B233" r:id="rId28" xr:uid="{00000000-0004-0000-1200-00001B000000}"/>
    <hyperlink ref="B196" r:id="rId29" xr:uid="{00000000-0004-0000-1200-00001C000000}"/>
    <hyperlink ref="B218" r:id="rId30" xr:uid="{00000000-0004-0000-1200-00001D000000}"/>
    <hyperlink ref="B221" r:id="rId31" xr:uid="{00000000-0004-0000-1200-00001E000000}"/>
    <hyperlink ref="B237" r:id="rId32" xr:uid="{00000000-0004-0000-1200-00001F000000}"/>
    <hyperlink ref="B171" r:id="rId33" xr:uid="{00000000-0004-0000-1200-000020000000}"/>
    <hyperlink ref="B232" r:id="rId34" xr:uid="{00000000-0004-0000-1200-000021000000}"/>
    <hyperlink ref="B234" r:id="rId35" xr:uid="{00000000-0004-0000-1200-000022000000}"/>
    <hyperlink ref="B227" r:id="rId36" xr:uid="{00000000-0004-0000-1200-000023000000}"/>
    <hyperlink ref="B228" r:id="rId37" xr:uid="{00000000-0004-0000-1200-000024000000}"/>
    <hyperlink ref="B231" r:id="rId38" xr:uid="{00000000-0004-0000-1200-000025000000}"/>
    <hyperlink ref="B235" r:id="rId39" xr:uid="{00000000-0004-0000-1200-000026000000}"/>
    <hyperlink ref="B201" r:id="rId40" xr:uid="{00000000-0004-0000-1200-000027000000}"/>
    <hyperlink ref="B195" r:id="rId41" xr:uid="{00000000-0004-0000-1200-000028000000}"/>
    <hyperlink ref="B154" r:id="rId42" xr:uid="{00000000-0004-0000-1200-000029000000}"/>
    <hyperlink ref="B155" r:id="rId43" xr:uid="{00000000-0004-0000-1200-00002A000000}"/>
    <hyperlink ref="B194" r:id="rId44" xr:uid="{00000000-0004-0000-1200-00002B000000}"/>
    <hyperlink ref="B199" r:id="rId45" xr:uid="{00000000-0004-0000-1200-00002C000000}"/>
    <hyperlink ref="B262" r:id="rId46" xr:uid="{00000000-0004-0000-1200-00002D000000}"/>
    <hyperlink ref="B276" r:id="rId47" xr:uid="{00000000-0004-0000-1200-00002E000000}"/>
    <hyperlink ref="B243" r:id="rId48" xr:uid="{00000000-0004-0000-1200-00002F000000}"/>
    <hyperlink ref="B272" r:id="rId49" xr:uid="{00000000-0004-0000-1200-000030000000}"/>
    <hyperlink ref="B275" r:id="rId50" display="160092-0-2017" xr:uid="{00000000-0004-0000-1200-000031000000}"/>
    <hyperlink ref="B273" r:id="rId51" xr:uid="{00000000-0004-0000-1200-000032000000}"/>
    <hyperlink ref="B270" r:id="rId52" xr:uid="{00000000-0004-0000-1200-000033000000}"/>
    <hyperlink ref="B261" r:id="rId53" xr:uid="{00000000-0004-0000-1200-000034000000}"/>
    <hyperlink ref="B274" r:id="rId54" xr:uid="{00000000-0004-0000-1200-000035000000}"/>
    <hyperlink ref="B255" r:id="rId55" xr:uid="{00000000-0004-0000-1200-000036000000}"/>
    <hyperlink ref="B244" r:id="rId56" xr:uid="{00000000-0004-0000-1200-000037000000}"/>
    <hyperlink ref="B240" r:id="rId57" xr:uid="{00000000-0004-0000-1200-000038000000}"/>
    <hyperlink ref="B241" r:id="rId58" xr:uid="{00000000-0004-0000-1200-000039000000}"/>
    <hyperlink ref="B242" r:id="rId59" xr:uid="{00000000-0004-0000-1200-00003A000000}"/>
    <hyperlink ref="B245" r:id="rId60" xr:uid="{00000000-0004-0000-1200-00003B000000}"/>
    <hyperlink ref="B246" r:id="rId61" xr:uid="{00000000-0004-0000-1200-00003C000000}"/>
    <hyperlink ref="B249" r:id="rId62" xr:uid="{00000000-0004-0000-1200-00003D000000}"/>
    <hyperlink ref="B256" r:id="rId63" xr:uid="{00000000-0004-0000-1200-00003E000000}"/>
    <hyperlink ref="B278" r:id="rId64" xr:uid="{00000000-0004-0000-1200-00003F000000}"/>
    <hyperlink ref="B279" r:id="rId65" xr:uid="{00000000-0004-0000-1200-000040000000}"/>
    <hyperlink ref="B271" r:id="rId66" xr:uid="{00000000-0004-0000-1200-000041000000}"/>
    <hyperlink ref="B283" r:id="rId67" xr:uid="{00000000-0004-0000-1200-000042000000}"/>
    <hyperlink ref="B282" r:id="rId68" xr:uid="{00000000-0004-0000-1200-000043000000}"/>
    <hyperlink ref="B287" r:id="rId69" xr:uid="{00000000-0004-0000-1200-000044000000}"/>
    <hyperlink ref="B285" r:id="rId70" xr:uid="{00000000-0004-0000-1200-000045000000}"/>
    <hyperlink ref="B281" r:id="rId71" xr:uid="{00000000-0004-0000-1200-000046000000}"/>
    <hyperlink ref="B269" r:id="rId72" xr:uid="{00000000-0004-0000-1200-000047000000}"/>
    <hyperlink ref="B280" r:id="rId73" xr:uid="{00000000-0004-0000-1200-000048000000}"/>
    <hyperlink ref="B284" r:id="rId74" xr:uid="{00000000-0004-0000-1200-000049000000}"/>
    <hyperlink ref="B290" r:id="rId75" xr:uid="{00000000-0004-0000-1200-00004A000000}"/>
    <hyperlink ref="B288" r:id="rId76" xr:uid="{00000000-0004-0000-1200-00004B000000}"/>
    <hyperlink ref="B266" r:id="rId77" xr:uid="{00000000-0004-0000-1200-00004C000000}"/>
    <hyperlink ref="B254" r:id="rId78" xr:uid="{00000000-0004-0000-1200-00004D000000}"/>
    <hyperlink ref="B259" r:id="rId79" xr:uid="{00000000-0004-0000-1200-00004E000000}"/>
    <hyperlink ref="B291" r:id="rId80" xr:uid="{00000000-0004-0000-1200-00004F000000}"/>
    <hyperlink ref="B263" r:id="rId81" xr:uid="{00000000-0004-0000-1200-000050000000}"/>
    <hyperlink ref="B293" r:id="rId82" xr:uid="{00000000-0004-0000-1200-000051000000}"/>
    <hyperlink ref="B294" r:id="rId83" xr:uid="{00000000-0004-0000-1200-000052000000}"/>
    <hyperlink ref="B292" r:id="rId84" xr:uid="{00000000-0004-0000-1200-000053000000}"/>
    <hyperlink ref="B298" r:id="rId85" xr:uid="{00000000-0004-0000-1200-000054000000}"/>
    <hyperlink ref="B295" r:id="rId86" xr:uid="{00000000-0004-0000-1200-000055000000}"/>
    <hyperlink ref="B277" r:id="rId87" xr:uid="{00000000-0004-0000-1200-000056000000}"/>
    <hyperlink ref="B253" r:id="rId88" xr:uid="{00000000-0004-0000-1200-000057000000}"/>
    <hyperlink ref="B299" r:id="rId89" xr:uid="{00000000-0004-0000-1200-000058000000}"/>
    <hyperlink ref="B296" r:id="rId90" xr:uid="{00000000-0004-0000-1200-000059000000}"/>
    <hyperlink ref="B297" r:id="rId91" xr:uid="{00000000-0004-0000-1200-00005A000000}"/>
    <hyperlink ref="B188" r:id="rId92" xr:uid="{00000000-0004-0000-1200-00005B000000}"/>
    <hyperlink ref="B307" r:id="rId93" xr:uid="{00000000-0004-0000-1200-00005C000000}"/>
    <hyperlink ref="B308" r:id="rId94" xr:uid="{00000000-0004-0000-1200-00005D000000}"/>
    <hyperlink ref="B318" r:id="rId95" xr:uid="{00000000-0004-0000-1200-00005E000000}"/>
    <hyperlink ref="B319" r:id="rId96" xr:uid="{00000000-0004-0000-1200-00005F000000}"/>
    <hyperlink ref="B177" r:id="rId97" xr:uid="{00000000-0004-0000-1200-000060000000}"/>
    <hyperlink ref="B320" r:id="rId98" xr:uid="{00000000-0004-0000-1200-000061000000}"/>
    <hyperlink ref="B197" r:id="rId99" xr:uid="{00000000-0004-0000-1200-000062000000}"/>
    <hyperlink ref="B321" r:id="rId100" xr:uid="{00000000-0004-0000-1200-000063000000}"/>
    <hyperlink ref="B193" r:id="rId101" xr:uid="{00000000-0004-0000-1200-000064000000}"/>
    <hyperlink ref="B140" r:id="rId102" xr:uid="{00000000-0004-0000-1200-000065000000}"/>
    <hyperlink ref="B181" r:id="rId103" xr:uid="{00000000-0004-0000-1200-000066000000}"/>
    <hyperlink ref="B322" r:id="rId104" xr:uid="{00000000-0004-0000-1200-000067000000}"/>
    <hyperlink ref="B323" r:id="rId105" xr:uid="{00000000-0004-0000-1200-000068000000}"/>
    <hyperlink ref="B264" r:id="rId106" xr:uid="{00000000-0004-0000-1200-000069000000}"/>
    <hyperlink ref="B260" r:id="rId107" xr:uid="{00000000-0004-0000-1200-00006A000000}"/>
    <hyperlink ref="B252" r:id="rId108" xr:uid="{00000000-0004-0000-1200-00006B000000}"/>
    <hyperlink ref="B258" r:id="rId109" xr:uid="{00000000-0004-0000-1200-00006C000000}"/>
    <hyperlink ref="B289" r:id="rId110" xr:uid="{00000000-0004-0000-1200-00006D000000}"/>
    <hyperlink ref="B174" r:id="rId111" xr:uid="{00000000-0004-0000-1200-00006E000000}"/>
    <hyperlink ref="B191" r:id="rId112" xr:uid="{00000000-0004-0000-1200-00006F000000}"/>
    <hyperlink ref="B326" r:id="rId113" xr:uid="{00000000-0004-0000-1200-000070000000}"/>
    <hyperlink ref="B212" r:id="rId114" xr:uid="{00000000-0004-0000-1200-000071000000}"/>
    <hyperlink ref="B327" r:id="rId115" xr:uid="{00000000-0004-0000-1200-000072000000}"/>
    <hyperlink ref="B328" r:id="rId116" xr:uid="{00000000-0004-0000-1200-000073000000}"/>
    <hyperlink ref="B329" r:id="rId117" xr:uid="{00000000-0004-0000-1200-000074000000}"/>
    <hyperlink ref="B330" r:id="rId118" xr:uid="{00000000-0004-0000-1200-000075000000}"/>
    <hyperlink ref="B331" r:id="rId119" xr:uid="{00000000-0004-0000-1200-000076000000}"/>
    <hyperlink ref="B332" r:id="rId120" xr:uid="{00000000-0004-0000-1200-000077000000}"/>
    <hyperlink ref="B333" r:id="rId121" xr:uid="{00000000-0004-0000-1200-000078000000}"/>
    <hyperlink ref="B334" r:id="rId122" xr:uid="{00000000-0004-0000-1200-000079000000}"/>
    <hyperlink ref="B335" r:id="rId123" xr:uid="{00000000-0004-0000-1200-00007A000000}"/>
    <hyperlink ref="B336" r:id="rId124" xr:uid="{00000000-0004-0000-1200-00007B000000}"/>
    <hyperlink ref="B337" r:id="rId125" xr:uid="{00000000-0004-0000-1200-00007C000000}"/>
    <hyperlink ref="B338" r:id="rId126" xr:uid="{00000000-0004-0000-1200-00007D000000}"/>
    <hyperlink ref="B339" r:id="rId127" xr:uid="{00000000-0004-0000-1200-00007E000000}"/>
    <hyperlink ref="B340" r:id="rId128" xr:uid="{00000000-0004-0000-1200-00007F000000}"/>
    <hyperlink ref="B341" r:id="rId129" xr:uid="{00000000-0004-0000-1200-000080000000}"/>
    <hyperlink ref="B342" r:id="rId130" xr:uid="{00000000-0004-0000-1200-000081000000}"/>
    <hyperlink ref="B343" r:id="rId131" xr:uid="{00000000-0004-0000-1200-000082000000}"/>
    <hyperlink ref="B344" r:id="rId132" xr:uid="{00000000-0004-0000-1200-000083000000}"/>
    <hyperlink ref="B345" r:id="rId133" xr:uid="{00000000-0004-0000-1200-000084000000}"/>
    <hyperlink ref="B346" r:id="rId134" xr:uid="{00000000-0004-0000-1200-000085000000}"/>
    <hyperlink ref="B347" r:id="rId135" xr:uid="{00000000-0004-0000-1200-000086000000}"/>
    <hyperlink ref="B348" r:id="rId136" xr:uid="{00000000-0004-0000-1200-000087000000}"/>
    <hyperlink ref="B349" r:id="rId137" xr:uid="{00000000-0004-0000-1200-000088000000}"/>
    <hyperlink ref="B350" r:id="rId138" xr:uid="{00000000-0004-0000-1200-000089000000}"/>
    <hyperlink ref="B351" r:id="rId139" xr:uid="{00000000-0004-0000-1200-00008A000000}"/>
    <hyperlink ref="B352" r:id="rId140" xr:uid="{00000000-0004-0000-1200-00008B000000}"/>
    <hyperlink ref="B353" r:id="rId141" xr:uid="{00000000-0004-0000-1200-00008C000000}"/>
    <hyperlink ref="B354" r:id="rId142" xr:uid="{00000000-0004-0000-1200-00008D000000}"/>
    <hyperlink ref="B355" r:id="rId143" xr:uid="{00000000-0004-0000-1200-00008E000000}"/>
    <hyperlink ref="B356" r:id="rId144" xr:uid="{00000000-0004-0000-1200-00008F000000}"/>
    <hyperlink ref="B357" r:id="rId145" xr:uid="{00000000-0004-0000-1200-000090000000}"/>
    <hyperlink ref="B358" r:id="rId146" xr:uid="{00000000-0004-0000-1200-000091000000}"/>
    <hyperlink ref="B359" r:id="rId147" xr:uid="{00000000-0004-0000-1200-000092000000}"/>
    <hyperlink ref="B360" r:id="rId148" xr:uid="{00000000-0004-0000-1200-000093000000}"/>
    <hyperlink ref="B361" r:id="rId149" xr:uid="{00000000-0004-0000-1200-000094000000}"/>
    <hyperlink ref="B362" r:id="rId150" xr:uid="{00000000-0004-0000-1200-000095000000}"/>
    <hyperlink ref="B363" r:id="rId151" xr:uid="{00000000-0004-0000-1200-000096000000}"/>
    <hyperlink ref="B364" r:id="rId152" xr:uid="{00000000-0004-0000-1200-000097000000}"/>
    <hyperlink ref="B365" r:id="rId153" xr:uid="{00000000-0004-0000-1200-000098000000}"/>
    <hyperlink ref="B366" r:id="rId154" xr:uid="{00000000-0004-0000-1200-000099000000}"/>
    <hyperlink ref="B367" r:id="rId155" xr:uid="{00000000-0004-0000-1200-00009A000000}"/>
    <hyperlink ref="B368" r:id="rId156" xr:uid="{00000000-0004-0000-1200-00009B000000}"/>
    <hyperlink ref="B369" r:id="rId157" xr:uid="{00000000-0004-0000-1200-00009C000000}"/>
    <hyperlink ref="B370" r:id="rId158" xr:uid="{00000000-0004-0000-1200-00009D000000}"/>
    <hyperlink ref="B371" r:id="rId159" xr:uid="{00000000-0004-0000-1200-00009E000000}"/>
    <hyperlink ref="B372" r:id="rId160" xr:uid="{00000000-0004-0000-1200-00009F000000}"/>
    <hyperlink ref="B373" r:id="rId161" xr:uid="{00000000-0004-0000-1200-0000A0000000}"/>
    <hyperlink ref="B374" r:id="rId162" xr:uid="{00000000-0004-0000-1200-0000A1000000}"/>
    <hyperlink ref="B375" r:id="rId163" xr:uid="{00000000-0004-0000-1200-0000A2000000}"/>
    <hyperlink ref="B376" r:id="rId164" xr:uid="{00000000-0004-0000-1200-0000A3000000}"/>
    <hyperlink ref="B377" r:id="rId165" xr:uid="{00000000-0004-0000-1200-0000A4000000}"/>
    <hyperlink ref="B378" r:id="rId166" xr:uid="{00000000-0004-0000-1200-0000A5000000}"/>
    <hyperlink ref="B379" r:id="rId167" xr:uid="{00000000-0004-0000-1200-0000A6000000}"/>
    <hyperlink ref="B380" r:id="rId168" xr:uid="{00000000-0004-0000-1200-0000A7000000}"/>
    <hyperlink ref="B381" r:id="rId169" xr:uid="{00000000-0004-0000-1200-0000A8000000}"/>
    <hyperlink ref="B382" r:id="rId170" xr:uid="{00000000-0004-0000-1200-0000A9000000}"/>
    <hyperlink ref="B383" r:id="rId171" xr:uid="{00000000-0004-0000-1200-0000AA000000}"/>
    <hyperlink ref="B384" r:id="rId172" xr:uid="{00000000-0004-0000-1200-0000AB000000}"/>
    <hyperlink ref="B385" r:id="rId173" xr:uid="{00000000-0004-0000-1200-0000AC000000}"/>
    <hyperlink ref="B386" r:id="rId174" xr:uid="{00000000-0004-0000-1200-0000AD000000}"/>
    <hyperlink ref="B387" r:id="rId175" xr:uid="{00000000-0004-0000-1200-0000AE000000}"/>
    <hyperlink ref="B388" r:id="rId176" xr:uid="{00000000-0004-0000-1200-0000AF000000}"/>
    <hyperlink ref="B389" r:id="rId177" xr:uid="{00000000-0004-0000-1200-0000B0000000}"/>
    <hyperlink ref="B205" r:id="rId178" xr:uid="{00000000-0004-0000-1200-0000B1000000}"/>
    <hyperlink ref="B150" r:id="rId179" xr:uid="{00000000-0004-0000-1200-0000B2000000}"/>
    <hyperlink ref="B149" r:id="rId180" xr:uid="{00000000-0004-0000-1200-0000B3000000}"/>
    <hyperlink ref="B236" r:id="rId181" xr:uid="{00000000-0004-0000-1200-0000B4000000}"/>
    <hyperlink ref="B251" r:id="rId182" xr:uid="{00000000-0004-0000-1200-0000B5000000}"/>
    <hyperlink ref="B198" r:id="rId183" xr:uid="{00000000-0004-0000-1200-0000B6000000}"/>
    <hyperlink ref="B180" r:id="rId184" xr:uid="{00000000-0004-0000-1200-0000B7000000}"/>
    <hyperlink ref="B186" r:id="rId185" xr:uid="{00000000-0004-0000-1200-0000B8000000}"/>
    <hyperlink ref="B390" r:id="rId186" xr:uid="{00000000-0004-0000-1200-0000B9000000}"/>
    <hyperlink ref="B391" r:id="rId187" xr:uid="{00000000-0004-0000-1200-0000BA000000}"/>
    <hyperlink ref="B392" r:id="rId188" xr:uid="{00000000-0004-0000-1200-0000BB000000}"/>
    <hyperlink ref="B162" r:id="rId189" xr:uid="{00000000-0004-0000-1200-0000BC000000}"/>
    <hyperlink ref="B223" r:id="rId190" xr:uid="{00000000-0004-0000-1200-0000BD000000}"/>
    <hyperlink ref="B393" r:id="rId191" xr:uid="{00000000-0004-0000-1200-0000BE000000}"/>
    <hyperlink ref="B183" r:id="rId192" xr:uid="{00000000-0004-0000-1200-0000BF000000}"/>
    <hyperlink ref="B189" r:id="rId193" xr:uid="{00000000-0004-0000-1200-0000C0000000}"/>
    <hyperlink ref="B192" r:id="rId194" xr:uid="{00000000-0004-0000-1200-0000C1000000}"/>
    <hyperlink ref="B139" r:id="rId195" xr:uid="{00000000-0004-0000-1200-0000C2000000}"/>
    <hyperlink ref="B153" r:id="rId196" xr:uid="{00000000-0004-0000-1200-0000C3000000}"/>
    <hyperlink ref="B184" r:id="rId197" xr:uid="{00000000-0004-0000-1200-0000C4000000}"/>
    <hyperlink ref="B257" r:id="rId198" xr:uid="{00000000-0004-0000-1200-0000C5000000}"/>
    <hyperlink ref="B156" r:id="rId199" xr:uid="{00000000-0004-0000-1200-0000C6000000}"/>
    <hyperlink ref="B317" r:id="rId200" xr:uid="{00000000-0004-0000-1200-0000C7000000}"/>
    <hyperlink ref="B178" r:id="rId201" xr:uid="{00000000-0004-0000-1200-0000C8000000}"/>
    <hyperlink ref="B394" r:id="rId202" xr:uid="{00000000-0004-0000-1200-0000C9000000}"/>
    <hyperlink ref="B395" r:id="rId203" xr:uid="{00000000-0004-0000-1200-0000CA000000}"/>
    <hyperlink ref="B238" r:id="rId204" xr:uid="{00000000-0004-0000-1200-0000CB000000}"/>
    <hyperlink ref="B396" r:id="rId205" xr:uid="{00000000-0004-0000-1200-0000CC000000}"/>
    <hyperlink ref="B207" r:id="rId206" xr:uid="{00000000-0004-0000-1200-0000CD000000}"/>
    <hyperlink ref="B187" r:id="rId207" xr:uid="{00000000-0004-0000-1200-0000CE000000}"/>
    <hyperlink ref="B219" r:id="rId208" xr:uid="{00000000-0004-0000-1200-0000CF000000}"/>
    <hyperlink ref="B167" r:id="rId209" xr:uid="{00000000-0004-0000-1200-0000D0000000}"/>
    <hyperlink ref="B175" r:id="rId210" xr:uid="{00000000-0004-0000-1200-0000D1000000}"/>
    <hyperlink ref="B220" r:id="rId211" xr:uid="{00000000-0004-0000-1200-0000D2000000}"/>
    <hyperlink ref="B159" r:id="rId212" xr:uid="{00000000-0004-0000-1200-0000D3000000}"/>
    <hyperlink ref="B168" r:id="rId213" xr:uid="{00000000-0004-0000-1200-0000D4000000}"/>
    <hyperlink ref="B190" r:id="rId214" xr:uid="{00000000-0004-0000-1200-0000D5000000}"/>
    <hyperlink ref="B204" r:id="rId215" xr:uid="{00000000-0004-0000-1200-0000D6000000}"/>
    <hyperlink ref="B203" r:id="rId216" xr:uid="{00000000-0004-0000-1200-0000D7000000}"/>
    <hyperlink ref="B172" r:id="rId217" xr:uid="{00000000-0004-0000-1200-0000D8000000}"/>
    <hyperlink ref="B267" r:id="rId218" xr:uid="{00000000-0004-0000-1200-0000D9000000}"/>
    <hyperlink ref="B324" r:id="rId219" xr:uid="{00000000-0004-0000-1200-0000DA000000}"/>
    <hyperlink ref="B145" r:id="rId220" xr:uid="{00000000-0004-0000-1200-0000DB000000}"/>
    <hyperlink ref="B176" r:id="rId221" xr:uid="{00000000-0004-0000-1200-0000DC000000}"/>
    <hyperlink ref="B170" r:id="rId222" xr:uid="{00000000-0004-0000-1200-0000DD000000}"/>
    <hyperlink ref="B229" r:id="rId223" xr:uid="{00000000-0004-0000-1200-0000DE000000}"/>
    <hyperlink ref="B301" r:id="rId224" xr:uid="{00000000-0004-0000-1200-0000DF000000}"/>
    <hyperlink ref="B300" r:id="rId225" xr:uid="{00000000-0004-0000-1200-0000E0000000}"/>
    <hyperlink ref="B325" r:id="rId226" xr:uid="{00000000-0004-0000-1200-0000E1000000}"/>
    <hyperlink ref="B305" r:id="rId227" xr:uid="{00000000-0004-0000-1200-0000E2000000}"/>
    <hyperlink ref="B286" r:id="rId228" xr:uid="{00000000-0004-0000-1200-0000E3000000}"/>
    <hyperlink ref="B302" r:id="rId229" xr:uid="{00000000-0004-0000-1200-0000E4000000}"/>
    <hyperlink ref="B303" r:id="rId230" xr:uid="{00000000-0004-0000-1200-0000E5000000}"/>
    <hyperlink ref="B304" r:id="rId231" xr:uid="{00000000-0004-0000-1200-0000E6000000}"/>
    <hyperlink ref="B397" r:id="rId232" display="130306-0-2013" xr:uid="{00000000-0004-0000-1200-0000E7000000}"/>
    <hyperlink ref="B121" r:id="rId233" xr:uid="{00000000-0004-0000-1200-0000E8000000}"/>
    <hyperlink ref="B122" r:id="rId234" xr:uid="{00000000-0004-0000-1200-0000E9000000}"/>
    <hyperlink ref="B127" r:id="rId235" xr:uid="{00000000-0004-0000-1200-0000EA000000}"/>
    <hyperlink ref="B129" r:id="rId236" xr:uid="{00000000-0004-0000-1200-0000EB000000}"/>
    <hyperlink ref="B125" r:id="rId237" xr:uid="{00000000-0004-0000-1200-0000EC000000}"/>
    <hyperlink ref="B118" r:id="rId238" xr:uid="{00000000-0004-0000-1200-0000ED000000}"/>
    <hyperlink ref="B120" r:id="rId239" xr:uid="{00000000-0004-0000-1200-0000EE000000}"/>
    <hyperlink ref="B442" r:id="rId240" xr:uid="{00000000-0004-0000-1200-0000EF000000}"/>
    <hyperlink ref="B403" r:id="rId241" xr:uid="{00000000-0004-0000-1200-0000F0000000}"/>
    <hyperlink ref="B444" r:id="rId242" xr:uid="{00000000-0004-0000-1200-0000F1000000}"/>
    <hyperlink ref="B446" r:id="rId243" xr:uid="{00000000-0004-0000-1200-0000F2000000}"/>
    <hyperlink ref="B447" r:id="rId244" xr:uid="{00000000-0004-0000-1200-0000F3000000}"/>
    <hyperlink ref="B24" r:id="rId245" xr:uid="{00000000-0004-0000-1200-0000F4000000}"/>
    <hyperlink ref="B448" r:id="rId246" xr:uid="{00000000-0004-0000-1200-0000F5000000}"/>
    <hyperlink ref="B424" r:id="rId247" xr:uid="{00000000-0004-0000-1200-0000F6000000}"/>
    <hyperlink ref="B14" r:id="rId248" xr:uid="{00000000-0004-0000-1200-0000F7000000}"/>
    <hyperlink ref="B433" r:id="rId249" xr:uid="{00000000-0004-0000-1200-0000F8000000}"/>
    <hyperlink ref="B441" r:id="rId250" xr:uid="{00000000-0004-0000-1200-0000F9000000}"/>
    <hyperlink ref="B436" r:id="rId251" xr:uid="{00000000-0004-0000-1200-0000FA000000}"/>
    <hyperlink ref="B456" r:id="rId252" xr:uid="{00000000-0004-0000-1200-0000FB000000}"/>
    <hyperlink ref="B430" r:id="rId253" xr:uid="{00000000-0004-0000-1200-0000FC000000}"/>
    <hyperlink ref="B425" r:id="rId254" xr:uid="{00000000-0004-0000-1200-0000FD000000}"/>
    <hyperlink ref="B416" r:id="rId255" xr:uid="{00000000-0004-0000-1200-0000FE000000}"/>
    <hyperlink ref="B418" r:id="rId256" xr:uid="{00000000-0004-0000-1200-0000FF000000}"/>
    <hyperlink ref="B72" r:id="rId257" xr:uid="{00000000-0004-0000-1200-000000010000}"/>
    <hyperlink ref="B419" r:id="rId258" xr:uid="{00000000-0004-0000-1200-000001010000}"/>
    <hyperlink ref="B452" r:id="rId259" xr:uid="{00000000-0004-0000-1200-000002010000}"/>
    <hyperlink ref="B453" r:id="rId260" xr:uid="{00000000-0004-0000-1200-000003010000}"/>
    <hyperlink ref="B454" r:id="rId261" xr:uid="{00000000-0004-0000-1200-000004010000}"/>
    <hyperlink ref="B455" r:id="rId262" xr:uid="{00000000-0004-0000-1200-000005010000}"/>
    <hyperlink ref="B434" r:id="rId263" xr:uid="{00000000-0004-0000-1200-000006010000}"/>
    <hyperlink ref="B19" r:id="rId264" xr:uid="{00000000-0004-0000-1200-000007010000}"/>
    <hyperlink ref="B398" r:id="rId265" xr:uid="{00000000-0004-0000-1200-000008010000}"/>
    <hyperlink ref="B449" r:id="rId266" xr:uid="{00000000-0004-0000-1200-000009010000}"/>
    <hyperlink ref="B459" r:id="rId267" xr:uid="{00000000-0004-0000-1200-00000A010000}"/>
    <hyperlink ref="B460" r:id="rId268" xr:uid="{00000000-0004-0000-1200-00000B010000}"/>
    <hyperlink ref="B5" r:id="rId269" xr:uid="{00000000-0004-0000-1200-00000C010000}"/>
    <hyperlink ref="B413" r:id="rId270" xr:uid="{00000000-0004-0000-1200-00000D010000}"/>
    <hyperlink ref="B124" r:id="rId271" xr:uid="{00000000-0004-0000-1200-00000E010000}"/>
    <hyperlink ref="B432" r:id="rId272" xr:uid="{00000000-0004-0000-1200-00000F010000}"/>
    <hyperlink ref="B461" r:id="rId273" xr:uid="{00000000-0004-0000-1200-000010010000}"/>
    <hyperlink ref="B439" r:id="rId274" xr:uid="{00000000-0004-0000-1200-000011010000}"/>
    <hyperlink ref="B427" r:id="rId275" xr:uid="{00000000-0004-0000-1200-000012010000}"/>
    <hyperlink ref="B407" r:id="rId276" xr:uid="{00000000-0004-0000-1200-000013010000}"/>
    <hyperlink ref="B408" r:id="rId277" xr:uid="{00000000-0004-0000-1200-000014010000}"/>
    <hyperlink ref="B4" r:id="rId278" xr:uid="{00000000-0004-0000-1200-000015010000}"/>
    <hyperlink ref="B126" r:id="rId279" xr:uid="{00000000-0004-0000-1200-000016010000}"/>
    <hyperlink ref="B47" r:id="rId280" xr:uid="{00000000-0004-0000-1200-000017010000}"/>
    <hyperlink ref="B462" r:id="rId281" xr:uid="{00000000-0004-0000-1200-000018010000}"/>
    <hyperlink ref="B463" r:id="rId282" xr:uid="{00000000-0004-0000-1200-000019010000}"/>
    <hyperlink ref="B411" r:id="rId283" xr:uid="{00000000-0004-0000-1200-00001A010000}"/>
    <hyperlink ref="B426" r:id="rId284" xr:uid="{00000000-0004-0000-1200-00001B010000}"/>
    <hyperlink ref="B87" r:id="rId285" xr:uid="{00000000-0004-0000-1200-00001C010000}"/>
    <hyperlink ref="B468" r:id="rId286" xr:uid="{00000000-0004-0000-1200-00001D010000}"/>
    <hyperlink ref="B469" r:id="rId287" xr:uid="{00000000-0004-0000-1200-00001E010000}"/>
    <hyperlink ref="B470" r:id="rId288" xr:uid="{00000000-0004-0000-1200-00001F010000}"/>
    <hyperlink ref="B471" r:id="rId289" xr:uid="{00000000-0004-0000-1200-000020010000}"/>
    <hyperlink ref="B466" r:id="rId290" xr:uid="{00000000-0004-0000-1200-000021010000}"/>
    <hyperlink ref="B451" r:id="rId291" xr:uid="{00000000-0004-0000-1200-000022010000}"/>
    <hyperlink ref="B12" r:id="rId292" xr:uid="{00000000-0004-0000-1200-000023010000}"/>
    <hyperlink ref="B464" r:id="rId293" xr:uid="{00000000-0004-0000-1200-000024010000}"/>
    <hyperlink ref="B467" r:id="rId294" xr:uid="{00000000-0004-0000-1200-000025010000}"/>
    <hyperlink ref="B440" r:id="rId295" xr:uid="{00000000-0004-0000-1200-000026010000}"/>
    <hyperlink ref="B482" r:id="rId296" xr:uid="{00000000-0004-0000-1200-000027010000}"/>
    <hyperlink ref="B481" r:id="rId297" xr:uid="{00000000-0004-0000-1200-000028010000}"/>
    <hyperlink ref="B474" r:id="rId298" xr:uid="{00000000-0004-0000-1200-000029010000}"/>
    <hyperlink ref="B465" r:id="rId299" xr:uid="{00000000-0004-0000-1200-00002A010000}"/>
    <hyperlink ref="B431" r:id="rId300" xr:uid="{00000000-0004-0000-1200-00002B010000}"/>
    <hyperlink ref="B123" r:id="rId301" xr:uid="{00000000-0004-0000-1200-00002C010000}"/>
    <hyperlink ref="B422" r:id="rId302" xr:uid="{00000000-0004-0000-1200-00002D010000}"/>
    <hyperlink ref="B108" r:id="rId303" xr:uid="{00000000-0004-0000-1200-00002E010000}"/>
    <hyperlink ref="B29" r:id="rId304" xr:uid="{00000000-0004-0000-1200-00002F010000}"/>
    <hyperlink ref="B483" r:id="rId305" xr:uid="{00000000-0004-0000-1200-000030010000}"/>
    <hyperlink ref="B484" r:id="rId306" xr:uid="{00000000-0004-0000-1200-000031010000}"/>
    <hyperlink ref="B485" r:id="rId307" xr:uid="{00000000-0004-0000-1200-000032010000}"/>
    <hyperlink ref="B486" r:id="rId308" xr:uid="{00000000-0004-0000-1200-000033010000}"/>
    <hyperlink ref="B487" r:id="rId309" xr:uid="{00000000-0004-0000-1200-000034010000}"/>
    <hyperlink ref="B488" r:id="rId310" xr:uid="{00000000-0004-0000-1200-000035010000}"/>
    <hyperlink ref="B489" r:id="rId311" xr:uid="{00000000-0004-0000-1200-000036010000}"/>
    <hyperlink ref="B490" r:id="rId312" xr:uid="{00000000-0004-0000-1200-000037010000}"/>
    <hyperlink ref="B491" r:id="rId313" xr:uid="{00000000-0004-0000-1200-000038010000}"/>
    <hyperlink ref="B492" r:id="rId314" xr:uid="{00000000-0004-0000-1200-000039010000}"/>
    <hyperlink ref="B493" r:id="rId315" xr:uid="{00000000-0004-0000-1200-00003A010000}"/>
    <hyperlink ref="B494" r:id="rId316" xr:uid="{00000000-0004-0000-1200-00003B010000}"/>
    <hyperlink ref="B480" r:id="rId317" xr:uid="{00000000-0004-0000-1200-00003C010000}"/>
    <hyperlink ref="B404" r:id="rId318" xr:uid="{00000000-0004-0000-1200-00003D010000}"/>
    <hyperlink ref="B437" r:id="rId319" xr:uid="{00000000-0004-0000-1200-00003E010000}"/>
    <hyperlink ref="B420" r:id="rId320" xr:uid="{00000000-0004-0000-1200-00003F010000}"/>
    <hyperlink ref="B423" r:id="rId321" xr:uid="{00000000-0004-0000-1200-000040010000}"/>
    <hyperlink ref="B428" r:id="rId322" xr:uid="{00000000-0004-0000-1200-000041010000}"/>
    <hyperlink ref="B497" r:id="rId323" xr:uid="{00000000-0004-0000-1200-000042010000}"/>
    <hyperlink ref="B504" r:id="rId324" xr:uid="{00000000-0004-0000-1200-000043010000}"/>
    <hyperlink ref="B15" r:id="rId325" xr:uid="{00000000-0004-0000-1200-000044010000}"/>
    <hyperlink ref="B25" r:id="rId326" xr:uid="{00000000-0004-0000-1200-000045010000}"/>
    <hyperlink ref="B102" r:id="rId327" xr:uid="{00000000-0004-0000-1200-000046010000}"/>
    <hyperlink ref="B507" r:id="rId328" xr:uid="{00000000-0004-0000-1200-000047010000}"/>
    <hyperlink ref="B509" r:id="rId329" xr:uid="{00000000-0004-0000-1200-000048010000}"/>
    <hyperlink ref="B401" r:id="rId330" xr:uid="{00000000-0004-0000-1200-000049010000}"/>
    <hyperlink ref="B514" r:id="rId331" xr:uid="{00000000-0004-0000-1200-00004A010000}"/>
    <hyperlink ref="B515" r:id="rId332" xr:uid="{00000000-0004-0000-1200-00004B010000}"/>
    <hyperlink ref="B516" r:id="rId333" xr:uid="{00000000-0004-0000-1200-00004C010000}"/>
    <hyperlink ref="B517" r:id="rId334" xr:uid="{00000000-0004-0000-1200-00004D010000}"/>
    <hyperlink ref="B518" r:id="rId335" xr:uid="{00000000-0004-0000-1200-00004E010000}"/>
    <hyperlink ref="B519" r:id="rId336" xr:uid="{00000000-0004-0000-1200-00004F010000}"/>
    <hyperlink ref="B520" r:id="rId337" xr:uid="{00000000-0004-0000-1200-000050010000}"/>
    <hyperlink ref="B478" r:id="rId338" xr:uid="{00000000-0004-0000-1200-000051010000}"/>
    <hyperlink ref="B521" r:id="rId339" xr:uid="{00000000-0004-0000-1200-000052010000}"/>
    <hyperlink ref="B522" r:id="rId340" xr:uid="{00000000-0004-0000-1200-000053010000}"/>
    <hyperlink ref="B523" r:id="rId341" xr:uid="{00000000-0004-0000-1200-000054010000}"/>
    <hyperlink ref="B524" r:id="rId342" xr:uid="{00000000-0004-0000-1200-000055010000}"/>
    <hyperlink ref="B525" r:id="rId343" xr:uid="{00000000-0004-0000-1200-000056010000}"/>
    <hyperlink ref="B503" r:id="rId344" xr:uid="{00000000-0004-0000-1200-000057010000}"/>
    <hyperlink ref="B27" r:id="rId345" xr:uid="{00000000-0004-0000-1200-000058010000}"/>
    <hyperlink ref="B528" r:id="rId346" xr:uid="{00000000-0004-0000-1200-000059010000}"/>
    <hyperlink ref="B526" r:id="rId347" xr:uid="{00000000-0004-0000-1200-00005A010000}"/>
    <hyperlink ref="B511" r:id="rId348" xr:uid="{00000000-0004-0000-1200-00005B010000}"/>
    <hyperlink ref="B510" r:id="rId349" xr:uid="{00000000-0004-0000-1200-00005C010000}"/>
    <hyperlink ref="B417" r:id="rId350" xr:uid="{00000000-0004-0000-1200-00005D010000}"/>
    <hyperlink ref="B529" r:id="rId351" xr:uid="{00000000-0004-0000-1200-00005E010000}"/>
    <hyperlink ref="B502" r:id="rId352" xr:uid="{00000000-0004-0000-1200-00005F010000}"/>
    <hyperlink ref="B527" r:id="rId353" xr:uid="{00000000-0004-0000-1200-000060010000}"/>
    <hyperlink ref="B477" r:id="rId354" xr:uid="{00000000-0004-0000-1200-000061010000}"/>
    <hyperlink ref="B530" r:id="rId355" xr:uid="{00000000-0004-0000-1200-000062010000}"/>
    <hyperlink ref="B531" r:id="rId356" xr:uid="{00000000-0004-0000-1200-000063010000}"/>
    <hyperlink ref="B532" r:id="rId357" xr:uid="{00000000-0004-0000-1200-000064010000}"/>
    <hyperlink ref="B533" r:id="rId358" xr:uid="{00000000-0004-0000-1200-000065010000}"/>
    <hyperlink ref="B534" r:id="rId359" xr:uid="{00000000-0004-0000-1200-000066010000}"/>
    <hyperlink ref="B450" r:id="rId360" xr:uid="{00000000-0004-0000-1200-000067010000}"/>
    <hyperlink ref="B535" r:id="rId361" xr:uid="{00000000-0004-0000-1200-000068010000}"/>
    <hyperlink ref="B536" r:id="rId362" xr:uid="{00000000-0004-0000-1200-000069010000}"/>
    <hyperlink ref="B537" r:id="rId363" xr:uid="{00000000-0004-0000-1200-00006A010000}"/>
    <hyperlink ref="B538" r:id="rId364" xr:uid="{00000000-0004-0000-1200-00006B010000}"/>
    <hyperlink ref="B539" r:id="rId365" xr:uid="{00000000-0004-0000-1200-00006C010000}"/>
    <hyperlink ref="B506" r:id="rId366" xr:uid="{00000000-0004-0000-1200-00006D010000}"/>
    <hyperlink ref="B540" r:id="rId367" xr:uid="{00000000-0004-0000-1200-00006E010000}"/>
    <hyperlink ref="B505" r:id="rId368" xr:uid="{00000000-0004-0000-1200-00006F010000}"/>
    <hyperlink ref="B513" r:id="rId369" xr:uid="{00000000-0004-0000-1200-000070010000}"/>
    <hyperlink ref="B543" r:id="rId370" xr:uid="{00000000-0004-0000-1200-000071010000}"/>
    <hyperlink ref="B21" r:id="rId371" xr:uid="{00000000-0004-0000-1200-000072010000}"/>
    <hyperlink ref="B544" r:id="rId372" xr:uid="{00000000-0004-0000-1200-000073010000}"/>
    <hyperlink ref="B147" r:id="rId373" xr:uid="{00000000-0004-0000-1200-000074010000}"/>
    <hyperlink ref="B136" r:id="rId374" xr:uid="{00000000-0004-0000-1200-000075010000}"/>
    <hyperlink ref="B545" r:id="rId375" xr:uid="{00000000-0004-0000-1200-000076010000}"/>
    <hyperlink ref="B548" r:id="rId376" xr:uid="{00000000-0004-0000-1200-000077010000}"/>
    <hyperlink ref="B550" r:id="rId377" xr:uid="{00000000-0004-0000-1200-000078010000}"/>
    <hyperlink ref="B556" r:id="rId378" xr:uid="{00000000-0004-0000-1200-000079010000}"/>
    <hyperlink ref="B33" r:id="rId379" xr:uid="{00000000-0004-0000-1200-00007A010000}"/>
    <hyperlink ref="B557" r:id="rId380" xr:uid="{00000000-0004-0000-1200-00007B010000}"/>
    <hyperlink ref="B558" r:id="rId381" xr:uid="{00000000-0004-0000-1200-00007C010000}"/>
    <hyperlink ref="B559" r:id="rId382" xr:uid="{00000000-0004-0000-1200-00007D010000}"/>
    <hyperlink ref="B542" r:id="rId383" xr:uid="{00000000-0004-0000-1200-00007E010000}"/>
    <hyperlink ref="B73" r:id="rId384" xr:uid="{00000000-0004-0000-1200-00007F010000}"/>
    <hyperlink ref="B46" r:id="rId385" xr:uid="{00000000-0004-0000-1200-000080010000}"/>
    <hyperlink ref="B7" r:id="rId386" xr:uid="{00000000-0004-0000-1200-000081010000}"/>
    <hyperlink ref="B10" r:id="rId387" xr:uid="{00000000-0004-0000-1200-000082010000}"/>
    <hyperlink ref="B560" r:id="rId388" xr:uid="{00000000-0004-0000-1200-000083010000}"/>
    <hyperlink ref="B561" r:id="rId389" xr:uid="{00000000-0004-0000-1200-000084010000}"/>
    <hyperlink ref="B562" r:id="rId390" xr:uid="{00000000-0004-0000-1200-000085010000}"/>
    <hyperlink ref="B563" r:id="rId391" xr:uid="{00000000-0004-0000-1200-000086010000}"/>
    <hyperlink ref="B577" r:id="rId392" xr:uid="{00000000-0004-0000-1200-000087010000}"/>
    <hyperlink ref="B579" r:id="rId393" xr:uid="{00000000-0004-0000-1200-000088010000}"/>
    <hyperlink ref="B585" r:id="rId394" xr:uid="{00000000-0004-0000-1200-000089010000}"/>
    <hyperlink ref="B586" r:id="rId395" xr:uid="{00000000-0004-0000-1200-00008A010000}"/>
    <hyperlink ref="B213" r:id="rId396" xr:uid="{00000000-0004-0000-1200-00008B010000}"/>
    <hyperlink ref="B499" r:id="rId397" xr:uid="{00000000-0004-0000-1200-00008C010000}"/>
    <hyperlink ref="B566" r:id="rId398" xr:uid="{00000000-0004-0000-1200-00008D010000}"/>
    <hyperlink ref="B584" r:id="rId399" xr:uid="{00000000-0004-0000-1200-00008E010000}"/>
    <hyperlink ref="B588" r:id="rId400" xr:uid="{00000000-0004-0000-1200-00008F010000}"/>
    <hyperlink ref="B589" r:id="rId401" xr:uid="{00000000-0004-0000-1200-000090010000}"/>
    <hyperlink ref="B590" r:id="rId402" xr:uid="{00000000-0004-0000-1200-000091010000}"/>
    <hyperlink ref="B591" r:id="rId403" xr:uid="{00000000-0004-0000-1200-000092010000}"/>
    <hyperlink ref="B592" r:id="rId404" xr:uid="{00000000-0004-0000-1200-000093010000}"/>
    <hyperlink ref="B593" r:id="rId405" xr:uid="{533A6D12-0C5B-4D0D-93C1-1DF044C3460F}"/>
    <hyperlink ref="B594" r:id="rId406" xr:uid="{7E945637-B819-468E-A567-B044584FAC39}"/>
    <hyperlink ref="B595" r:id="rId407" xr:uid="{CFE350E8-CAA5-4693-AF37-8E644F53C38F}"/>
    <hyperlink ref="B596" r:id="rId408" xr:uid="{09C36C0C-BD9C-44AB-AB89-916C7525B563}"/>
    <hyperlink ref="B597" r:id="rId409" xr:uid="{92485A3C-2079-46B9-861F-448C2B1346F7}"/>
    <hyperlink ref="B576" r:id="rId410" xr:uid="{FACB48A7-FA5F-4C59-B066-280FDA0E68F9}"/>
    <hyperlink ref="B598" r:id="rId411" xr:uid="{0D985552-F903-43C3-8ECB-0EE0ADA64776}"/>
    <hyperlink ref="B599" r:id="rId412" xr:uid="{069685CA-9B95-43BC-9AC9-3E3D7681F898}"/>
    <hyperlink ref="B600" r:id="rId413" xr:uid="{33DDAA91-5080-4FDB-BA1D-577E927D67DE}"/>
    <hyperlink ref="B601" r:id="rId414" xr:uid="{0F0A2F2B-CBD9-4314-AE30-447D9FB2990F}"/>
    <hyperlink ref="B602" r:id="rId415" xr:uid="{BD6BD2C3-9EA1-45FC-A52A-34853E7DF520}"/>
    <hyperlink ref="B603" r:id="rId416" xr:uid="{58F53081-C43F-4373-804D-7196CA07ED88}"/>
    <hyperlink ref="B604" r:id="rId417" xr:uid="{90840895-9A55-44D5-A384-9604770F709D}"/>
    <hyperlink ref="B605" r:id="rId418" xr:uid="{8CA37B1A-DE8F-470E-B8FC-345D27B81D66}"/>
    <hyperlink ref="B606" r:id="rId419" xr:uid="{47E691DF-6949-4A76-AC6A-1852B4438F96}"/>
    <hyperlink ref="B607" r:id="rId420" xr:uid="{98151C6A-BABC-4BEF-B15F-C65B3D3F922E}"/>
    <hyperlink ref="B551" r:id="rId421" xr:uid="{21DCB43B-A576-4009-B634-F8810E025716}"/>
    <hyperlink ref="B624" r:id="rId422" xr:uid="{DFEE2D40-AB8A-4877-857F-F783F47B5454}"/>
    <hyperlink ref="B625" r:id="rId423" xr:uid="{BBFBF8C1-0E87-47A0-88B0-C303F462FFE3}"/>
    <hyperlink ref="B623" r:id="rId424" xr:uid="{77BAC0D1-4A76-496A-A4A0-EE279B218DCC}"/>
    <hyperlink ref="B622" r:id="rId425" xr:uid="{10EAE8CD-4527-436D-8A7E-86160E6AFF40}"/>
    <hyperlink ref="B626" r:id="rId426" xr:uid="{F9B3DB4A-B68F-4228-86E4-A4D9CDC63AFF}"/>
    <hyperlink ref="B627" r:id="rId427" xr:uid="{DB946632-A6AA-4A2D-8956-36972BDAF5A2}"/>
    <hyperlink ref="B582" r:id="rId428" xr:uid="{BD0B5619-6250-4E77-A77E-497345F9304E}"/>
    <hyperlink ref="B567" r:id="rId429" xr:uid="{F85F7EDD-83A7-4EBA-9EAA-EF82669DD7A8}"/>
  </hyperlinks>
  <pageMargins left="0.70866141732283472" right="0.70866141732283472" top="0.74803149606299213" bottom="0.74803149606299213" header="0.31496062992125984" footer="0.31496062992125984"/>
  <pageSetup orientation="landscape" r:id="rId43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754"/>
  <sheetViews>
    <sheetView topLeftCell="A733" zoomScaleNormal="100" workbookViewId="0">
      <selection activeCell="D495" sqref="D495"/>
    </sheetView>
  </sheetViews>
  <sheetFormatPr baseColWidth="10" defaultColWidth="0" defaultRowHeight="14.4" x14ac:dyDescent="0.3"/>
  <cols>
    <col min="1" max="1" width="77.6640625" style="103" customWidth="1"/>
    <col min="2" max="2" width="12.33203125" style="67" customWidth="1"/>
    <col min="3" max="3" width="11" style="56" bestFit="1" customWidth="1"/>
    <col min="4" max="4" width="12.33203125" style="104" bestFit="1" customWidth="1"/>
    <col min="5" max="6" width="11.6640625" style="104" bestFit="1" customWidth="1"/>
    <col min="7" max="7" width="4.6640625" style="56" customWidth="1"/>
    <col min="8" max="16384" width="11.44140625" style="56" hidden="1"/>
  </cols>
  <sheetData>
    <row r="1" spans="1:7" s="54" customFormat="1" x14ac:dyDescent="0.3">
      <c r="A1" s="103"/>
      <c r="B1" s="67"/>
      <c r="C1" s="56"/>
      <c r="D1" s="104"/>
      <c r="E1" s="104"/>
      <c r="F1" s="104"/>
      <c r="G1" s="56"/>
    </row>
    <row r="2" spans="1:7" s="54" customFormat="1" x14ac:dyDescent="0.3">
      <c r="A2" s="103"/>
      <c r="B2" s="67"/>
      <c r="C2" s="56"/>
      <c r="D2" s="104"/>
      <c r="E2" s="104"/>
      <c r="F2" s="104"/>
      <c r="G2" s="56"/>
    </row>
    <row r="3" spans="1:7" s="54" customFormat="1" ht="15" customHeight="1" x14ac:dyDescent="0.3">
      <c r="A3" s="97"/>
      <c r="B3" s="97"/>
      <c r="C3" s="97"/>
      <c r="D3" s="97"/>
      <c r="E3" s="97"/>
      <c r="F3" s="97"/>
      <c r="G3" s="97"/>
    </row>
    <row r="4" spans="1:7" s="54" customFormat="1" ht="15" customHeight="1" x14ac:dyDescent="0.3">
      <c r="A4" s="1156" t="s">
        <v>960</v>
      </c>
      <c r="B4" s="1156"/>
      <c r="C4" s="1156"/>
      <c r="D4" s="1156"/>
      <c r="E4" s="1156"/>
      <c r="F4" s="1156"/>
      <c r="G4" s="97"/>
    </row>
    <row r="5" spans="1:7" s="54" customFormat="1" ht="15" customHeight="1" x14ac:dyDescent="0.3">
      <c r="A5" s="75"/>
      <c r="B5" s="75"/>
      <c r="C5" s="75"/>
      <c r="D5" s="75"/>
      <c r="E5" s="75"/>
      <c r="F5" s="75"/>
      <c r="G5" s="97"/>
    </row>
    <row r="6" spans="1:7" s="54" customFormat="1" ht="15" customHeight="1" x14ac:dyDescent="0.3">
      <c r="A6" s="75"/>
      <c r="B6" s="75"/>
      <c r="C6" s="75"/>
      <c r="D6" s="75"/>
      <c r="E6" s="75"/>
      <c r="F6" s="75"/>
      <c r="G6" s="97"/>
    </row>
    <row r="7" spans="1:7" s="54" customFormat="1" ht="15" customHeight="1" thickBot="1" x14ac:dyDescent="0.35">
      <c r="A7" s="75"/>
      <c r="B7" s="98"/>
      <c r="C7" s="75"/>
      <c r="D7" s="75"/>
      <c r="E7" s="75"/>
      <c r="F7" s="75"/>
      <c r="G7" s="97"/>
    </row>
    <row r="8" spans="1:7" s="54" customFormat="1" ht="15" customHeight="1" thickTop="1" thickBot="1" x14ac:dyDescent="0.35">
      <c r="A8" s="105" t="s">
        <v>1061</v>
      </c>
      <c r="B8" s="106">
        <f ca="1">COUNTIF('Base de Datos'!AC7:AC264,100%)</f>
        <v>258</v>
      </c>
      <c r="C8" s="56"/>
      <c r="D8" s="56"/>
      <c r="E8" s="56"/>
      <c r="F8" s="56"/>
      <c r="G8" s="97"/>
    </row>
    <row r="9" spans="1:7" s="54" customFormat="1" ht="15" customHeight="1" thickTop="1" thickBot="1" x14ac:dyDescent="0.35">
      <c r="A9" s="101" t="s">
        <v>1060</v>
      </c>
      <c r="B9" s="102">
        <f ca="1">COUNTIF('Base de Datos'!AC7:AC264,"&lt;100%")</f>
        <v>0</v>
      </c>
      <c r="C9" s="97"/>
      <c r="D9" s="245"/>
      <c r="E9" s="97"/>
      <c r="F9" s="97"/>
      <c r="G9" s="97"/>
    </row>
    <row r="10" spans="1:7" s="54" customFormat="1" ht="15" thickTop="1" x14ac:dyDescent="0.3">
      <c r="A10" s="103"/>
      <c r="B10" s="67"/>
      <c r="C10" s="56"/>
      <c r="D10" s="104"/>
      <c r="E10" s="104"/>
      <c r="F10" s="104"/>
      <c r="G10" s="56"/>
    </row>
    <row r="11" spans="1:7" s="54" customFormat="1" x14ac:dyDescent="0.3">
      <c r="A11" s="103"/>
      <c r="B11" s="67"/>
      <c r="C11" s="56"/>
      <c r="D11" s="104"/>
      <c r="E11" s="104"/>
      <c r="F11" s="104"/>
      <c r="G11" s="56"/>
    </row>
    <row r="12" spans="1:7" s="54" customFormat="1" x14ac:dyDescent="0.3">
      <c r="A12"/>
      <c r="B12"/>
      <c r="C12" s="56"/>
      <c r="D12" s="104"/>
      <c r="E12" s="104"/>
      <c r="F12" s="104"/>
      <c r="G12" s="56"/>
    </row>
    <row r="13" spans="1:7" s="54" customFormat="1" x14ac:dyDescent="0.3">
      <c r="A13" s="1282" t="s">
        <v>1000</v>
      </c>
      <c r="B13" s="1283">
        <v>1</v>
      </c>
      <c r="C13" s="56"/>
      <c r="D13" s="104"/>
      <c r="E13" s="104"/>
      <c r="F13" s="104"/>
      <c r="G13" s="56"/>
    </row>
    <row r="14" spans="1:7" customFormat="1" x14ac:dyDescent="0.3">
      <c r="A14" s="1284" t="s">
        <v>1056</v>
      </c>
      <c r="B14" s="1285" t="s">
        <v>392</v>
      </c>
      <c r="C14" s="56"/>
      <c r="D14" s="104"/>
      <c r="E14" s="104"/>
      <c r="F14" s="104"/>
      <c r="G14" s="56"/>
    </row>
    <row r="15" spans="1:7" customFormat="1" x14ac:dyDescent="0.3">
      <c r="A15" s="389"/>
      <c r="B15" s="67"/>
      <c r="C15" s="56"/>
      <c r="D15" s="104"/>
      <c r="E15" s="104"/>
      <c r="F15" s="104"/>
      <c r="G15" s="56"/>
    </row>
    <row r="16" spans="1:7" customFormat="1" ht="30.6" x14ac:dyDescent="0.3">
      <c r="A16" s="1280" t="s">
        <v>393</v>
      </c>
      <c r="B16" s="96" t="s">
        <v>956</v>
      </c>
      <c r="C16" s="96" t="s">
        <v>1059</v>
      </c>
      <c r="D16" s="1281" t="s">
        <v>955</v>
      </c>
      <c r="E16" s="1281" t="s">
        <v>957</v>
      </c>
      <c r="F16" s="1281" t="s">
        <v>958</v>
      </c>
      <c r="G16" s="56"/>
    </row>
    <row r="17" spans="1:7" customFormat="1" x14ac:dyDescent="0.3">
      <c r="A17" s="813" t="s">
        <v>92</v>
      </c>
      <c r="B17" s="1276"/>
      <c r="C17" s="1276"/>
      <c r="D17" s="1277"/>
      <c r="E17" s="1277"/>
      <c r="F17" s="1277"/>
      <c r="G17" s="56"/>
    </row>
    <row r="18" spans="1:7" customFormat="1" x14ac:dyDescent="0.3">
      <c r="A18" s="813" t="s">
        <v>425</v>
      </c>
      <c r="B18" s="1276"/>
      <c r="C18" s="1276"/>
      <c r="D18" s="1277"/>
      <c r="E18" s="1277"/>
      <c r="F18" s="1277"/>
      <c r="G18" s="56"/>
    </row>
    <row r="19" spans="1:7" customFormat="1" ht="100.8" x14ac:dyDescent="0.3">
      <c r="A19" s="813" t="s">
        <v>438</v>
      </c>
      <c r="B19" s="1276">
        <v>39724</v>
      </c>
      <c r="C19" s="1276">
        <v>41673</v>
      </c>
      <c r="D19" s="1277">
        <v>7329236109</v>
      </c>
      <c r="E19" s="1277">
        <v>6218260556</v>
      </c>
      <c r="F19" s="1277">
        <v>1110975553</v>
      </c>
      <c r="G19" s="56"/>
    </row>
    <row r="20" spans="1:7" customFormat="1" x14ac:dyDescent="0.3">
      <c r="A20" s="813" t="s">
        <v>151</v>
      </c>
      <c r="B20" s="1276"/>
      <c r="C20" s="1276"/>
      <c r="D20" s="1277"/>
      <c r="E20" s="1277"/>
      <c r="F20" s="1277"/>
      <c r="G20" s="56"/>
    </row>
    <row r="21" spans="1:7" customFormat="1" x14ac:dyDescent="0.3">
      <c r="A21" s="813" t="s">
        <v>152</v>
      </c>
      <c r="B21" s="1276"/>
      <c r="C21" s="1276"/>
      <c r="D21" s="1277"/>
      <c r="E21" s="1277"/>
      <c r="F21" s="1277"/>
      <c r="G21" s="56"/>
    </row>
    <row r="22" spans="1:7" customFormat="1" ht="43.2" x14ac:dyDescent="0.3">
      <c r="A22" s="813" t="s">
        <v>439</v>
      </c>
      <c r="B22" s="1276">
        <v>39904</v>
      </c>
      <c r="C22" s="1276">
        <v>41486</v>
      </c>
      <c r="D22" s="1277">
        <v>3100400677</v>
      </c>
      <c r="E22" s="1277">
        <v>3066561119</v>
      </c>
      <c r="F22" s="1277">
        <v>33839558</v>
      </c>
      <c r="G22" s="56"/>
    </row>
    <row r="23" spans="1:7" customFormat="1" x14ac:dyDescent="0.3">
      <c r="A23" s="813" t="s">
        <v>149</v>
      </c>
      <c r="B23" s="1276"/>
      <c r="C23" s="1276"/>
      <c r="D23" s="1277"/>
      <c r="E23" s="1277"/>
      <c r="F23" s="1277"/>
      <c r="G23" s="56"/>
    </row>
    <row r="24" spans="1:7" customFormat="1" x14ac:dyDescent="0.3">
      <c r="A24" s="813" t="s">
        <v>150</v>
      </c>
      <c r="B24" s="1276"/>
      <c r="C24" s="1276"/>
      <c r="D24" s="1277"/>
      <c r="E24" s="1277"/>
      <c r="F24" s="1277"/>
      <c r="G24" s="56"/>
    </row>
    <row r="25" spans="1:7" customFormat="1" ht="57.6" x14ac:dyDescent="0.3">
      <c r="A25" s="813" t="s">
        <v>1275</v>
      </c>
      <c r="B25" s="1276">
        <v>39864</v>
      </c>
      <c r="C25" s="1276">
        <v>41476</v>
      </c>
      <c r="D25" s="1277">
        <v>2909992591</v>
      </c>
      <c r="E25" s="1277">
        <v>13400894</v>
      </c>
      <c r="F25" s="1277">
        <v>2896591697</v>
      </c>
      <c r="G25" s="56"/>
    </row>
    <row r="26" spans="1:7" customFormat="1" x14ac:dyDescent="0.3">
      <c r="A26" s="813" t="s">
        <v>21</v>
      </c>
      <c r="B26" s="1276"/>
      <c r="C26" s="1276"/>
      <c r="D26" s="1277"/>
      <c r="E26" s="1277"/>
      <c r="F26" s="1277"/>
      <c r="G26" s="56"/>
    </row>
    <row r="27" spans="1:7" customFormat="1" x14ac:dyDescent="0.3">
      <c r="A27" s="813" t="s">
        <v>22</v>
      </c>
      <c r="B27" s="1276"/>
      <c r="C27" s="1276"/>
      <c r="D27" s="1277"/>
      <c r="E27" s="1277"/>
      <c r="F27" s="1277"/>
      <c r="G27" s="56"/>
    </row>
    <row r="28" spans="1:7" customFormat="1" x14ac:dyDescent="0.3">
      <c r="A28" s="813" t="s">
        <v>321</v>
      </c>
      <c r="B28" s="1276">
        <v>41087</v>
      </c>
      <c r="C28" s="1276">
        <v>41513</v>
      </c>
      <c r="D28" s="1277">
        <v>79634000</v>
      </c>
      <c r="E28" s="1277">
        <v>79634000</v>
      </c>
      <c r="F28" s="1277">
        <v>0</v>
      </c>
      <c r="G28" s="56"/>
    </row>
    <row r="29" spans="1:7" customFormat="1" x14ac:dyDescent="0.3">
      <c r="A29" s="813" t="s">
        <v>103</v>
      </c>
      <c r="B29" s="1276"/>
      <c r="C29" s="1276"/>
      <c r="D29" s="1277"/>
      <c r="E29" s="1277"/>
      <c r="F29" s="1277"/>
      <c r="G29" s="56"/>
    </row>
    <row r="30" spans="1:7" customFormat="1" x14ac:dyDescent="0.3">
      <c r="A30" s="813" t="s">
        <v>1632</v>
      </c>
      <c r="B30" s="1276"/>
      <c r="C30" s="1276"/>
      <c r="D30" s="1277"/>
      <c r="E30" s="1277"/>
      <c r="F30" s="1277"/>
      <c r="G30" s="56"/>
    </row>
    <row r="31" spans="1:7" customFormat="1" ht="43.2" x14ac:dyDescent="0.3">
      <c r="A31" s="813" t="s">
        <v>448</v>
      </c>
      <c r="B31" s="1276">
        <v>41213</v>
      </c>
      <c r="C31" s="1276">
        <v>41274</v>
      </c>
      <c r="D31" s="1277">
        <v>4206160</v>
      </c>
      <c r="E31" s="1277">
        <v>0</v>
      </c>
      <c r="F31" s="1277">
        <v>4206160</v>
      </c>
      <c r="G31" s="56"/>
    </row>
    <row r="32" spans="1:7" customFormat="1" x14ac:dyDescent="0.3">
      <c r="A32" s="813" t="s">
        <v>179</v>
      </c>
      <c r="B32" s="1276"/>
      <c r="C32" s="1276"/>
      <c r="D32" s="1277"/>
      <c r="E32" s="1277"/>
      <c r="F32" s="1277"/>
      <c r="G32" s="56"/>
    </row>
    <row r="33" spans="1:7" customFormat="1" x14ac:dyDescent="0.3">
      <c r="A33" s="813" t="s">
        <v>433</v>
      </c>
      <c r="B33" s="1276"/>
      <c r="C33" s="1276"/>
      <c r="D33" s="1277"/>
      <c r="E33" s="1277"/>
      <c r="F33" s="1277"/>
      <c r="G33" s="56"/>
    </row>
    <row r="34" spans="1:7" customFormat="1" ht="43.2" x14ac:dyDescent="0.3">
      <c r="A34" s="813" t="s">
        <v>449</v>
      </c>
      <c r="B34" s="1276">
        <v>41206</v>
      </c>
      <c r="C34" s="1276">
        <v>41609</v>
      </c>
      <c r="D34" s="1277">
        <v>726335435</v>
      </c>
      <c r="E34" s="1277">
        <v>577978609</v>
      </c>
      <c r="F34" s="1277">
        <v>148356826</v>
      </c>
      <c r="G34" s="56"/>
    </row>
    <row r="35" spans="1:7" customFormat="1" x14ac:dyDescent="0.3">
      <c r="A35" s="813" t="s">
        <v>180</v>
      </c>
      <c r="B35" s="1276"/>
      <c r="C35" s="1276"/>
      <c r="D35" s="1277"/>
      <c r="E35" s="1277"/>
      <c r="F35" s="1277"/>
      <c r="G35" s="56"/>
    </row>
    <row r="36" spans="1:7" customFormat="1" x14ac:dyDescent="0.3">
      <c r="A36" s="813" t="s">
        <v>181</v>
      </c>
      <c r="B36" s="1276"/>
      <c r="C36" s="1276"/>
      <c r="D36" s="1277"/>
      <c r="E36" s="1277"/>
      <c r="F36" s="1277"/>
      <c r="G36" s="56"/>
    </row>
    <row r="37" spans="1:7" customFormat="1" ht="72" x14ac:dyDescent="0.3">
      <c r="A37" s="813" t="s">
        <v>440</v>
      </c>
      <c r="B37" s="1276">
        <v>40197</v>
      </c>
      <c r="C37" s="1276">
        <v>41323</v>
      </c>
      <c r="D37" s="1277">
        <v>234495075</v>
      </c>
      <c r="E37" s="1277">
        <v>234495075</v>
      </c>
      <c r="F37" s="1277">
        <v>0</v>
      </c>
      <c r="G37" s="56"/>
    </row>
    <row r="38" spans="1:7" customFormat="1" x14ac:dyDescent="0.3">
      <c r="A38" s="813" t="s">
        <v>56</v>
      </c>
      <c r="B38" s="1276"/>
      <c r="C38" s="1276"/>
      <c r="D38" s="1277"/>
      <c r="E38" s="1277"/>
      <c r="F38" s="1277"/>
      <c r="G38" s="56"/>
    </row>
    <row r="39" spans="1:7" customFormat="1" x14ac:dyDescent="0.3">
      <c r="A39" s="813" t="s">
        <v>57</v>
      </c>
      <c r="B39" s="1276"/>
      <c r="C39" s="1276"/>
      <c r="D39" s="1277"/>
      <c r="E39" s="1277"/>
      <c r="F39" s="1277"/>
      <c r="G39" s="56"/>
    </row>
    <row r="40" spans="1:7" customFormat="1" ht="28.8" x14ac:dyDescent="0.3">
      <c r="A40" s="813" t="s">
        <v>335</v>
      </c>
      <c r="B40" s="1276">
        <v>41025</v>
      </c>
      <c r="C40" s="1276">
        <v>41623</v>
      </c>
      <c r="D40" s="1277">
        <v>71096157</v>
      </c>
      <c r="E40" s="1277">
        <v>71096157</v>
      </c>
      <c r="F40" s="1277">
        <v>0</v>
      </c>
      <c r="G40" s="56"/>
    </row>
    <row r="41" spans="1:7" customFormat="1" x14ac:dyDescent="0.3">
      <c r="A41" s="813" t="s">
        <v>19</v>
      </c>
      <c r="B41" s="1276"/>
      <c r="C41" s="1276"/>
      <c r="D41" s="1277"/>
      <c r="E41" s="1277"/>
      <c r="F41" s="1277"/>
      <c r="G41" s="56"/>
    </row>
    <row r="42" spans="1:7" customFormat="1" x14ac:dyDescent="0.3">
      <c r="A42" s="813" t="s">
        <v>20</v>
      </c>
      <c r="B42" s="1276"/>
      <c r="C42" s="1276"/>
      <c r="D42" s="1277"/>
      <c r="E42" s="1277"/>
      <c r="F42" s="1277"/>
      <c r="G42" s="56"/>
    </row>
    <row r="43" spans="1:7" customFormat="1" ht="28.8" x14ac:dyDescent="0.3">
      <c r="A43" s="813" t="s">
        <v>320</v>
      </c>
      <c r="B43" s="1276">
        <v>41074</v>
      </c>
      <c r="C43" s="1276">
        <v>41347</v>
      </c>
      <c r="D43" s="1277">
        <v>11587500</v>
      </c>
      <c r="E43" s="1277">
        <v>10316808</v>
      </c>
      <c r="F43" s="1277">
        <v>1270692</v>
      </c>
      <c r="G43" s="56"/>
    </row>
    <row r="44" spans="1:7" customFormat="1" x14ac:dyDescent="0.3">
      <c r="A44" s="813" t="s">
        <v>23</v>
      </c>
      <c r="B44" s="1276"/>
      <c r="C44" s="1276"/>
      <c r="D44" s="1277"/>
      <c r="E44" s="1277"/>
      <c r="F44" s="1277"/>
      <c r="G44" s="56"/>
    </row>
    <row r="45" spans="1:7" customFormat="1" x14ac:dyDescent="0.3">
      <c r="A45" s="813" t="s">
        <v>27</v>
      </c>
      <c r="B45" s="1276"/>
      <c r="C45" s="1276"/>
      <c r="D45" s="1277"/>
      <c r="E45" s="1277"/>
      <c r="F45" s="1277"/>
      <c r="G45" s="56"/>
    </row>
    <row r="46" spans="1:7" customFormat="1" ht="43.2" x14ac:dyDescent="0.3">
      <c r="A46" s="813" t="s">
        <v>450</v>
      </c>
      <c r="B46" s="1276">
        <v>41044</v>
      </c>
      <c r="C46" s="1276">
        <v>41409</v>
      </c>
      <c r="D46" s="1277">
        <v>849000</v>
      </c>
      <c r="E46" s="1277">
        <v>849000</v>
      </c>
      <c r="F46" s="1277">
        <v>0</v>
      </c>
      <c r="G46" s="56"/>
    </row>
    <row r="47" spans="1:7" customFormat="1" x14ac:dyDescent="0.3">
      <c r="A47" s="813" t="s">
        <v>113</v>
      </c>
      <c r="B47" s="1276"/>
      <c r="C47" s="1276"/>
      <c r="D47" s="1277"/>
      <c r="E47" s="1277"/>
      <c r="F47" s="1277"/>
      <c r="G47" s="56"/>
    </row>
    <row r="48" spans="1:7" customFormat="1" x14ac:dyDescent="0.3">
      <c r="A48" s="813" t="s">
        <v>434</v>
      </c>
      <c r="B48" s="1276"/>
      <c r="C48" s="1276"/>
      <c r="D48" s="1277"/>
      <c r="E48" s="1277"/>
      <c r="F48" s="1277"/>
      <c r="G48" s="56"/>
    </row>
    <row r="49" spans="1:7" customFormat="1" ht="57.6" x14ac:dyDescent="0.3">
      <c r="A49" s="813" t="s">
        <v>1370</v>
      </c>
      <c r="B49" s="1276">
        <v>41089</v>
      </c>
      <c r="C49" s="1276">
        <v>41333</v>
      </c>
      <c r="D49" s="1277">
        <v>7192000</v>
      </c>
      <c r="E49" s="1277">
        <v>7192000</v>
      </c>
      <c r="F49" s="1277">
        <v>0</v>
      </c>
      <c r="G49" s="56"/>
    </row>
    <row r="50" spans="1:7" customFormat="1" x14ac:dyDescent="0.3">
      <c r="A50" s="813" t="s">
        <v>101</v>
      </c>
      <c r="B50" s="1276"/>
      <c r="C50" s="1276"/>
      <c r="D50" s="1277"/>
      <c r="E50" s="1277"/>
      <c r="F50" s="1277"/>
      <c r="G50" s="56"/>
    </row>
    <row r="51" spans="1:7" customFormat="1" x14ac:dyDescent="0.3">
      <c r="A51" s="813" t="s">
        <v>427</v>
      </c>
      <c r="B51" s="1276"/>
      <c r="C51" s="1276"/>
      <c r="D51" s="1277"/>
      <c r="E51" s="1277"/>
      <c r="F51" s="1277"/>
      <c r="G51" s="56"/>
    </row>
    <row r="52" spans="1:7" customFormat="1" ht="43.2" x14ac:dyDescent="0.3">
      <c r="A52" s="813" t="s">
        <v>443</v>
      </c>
      <c r="B52" s="1276">
        <v>40822</v>
      </c>
      <c r="C52" s="1276">
        <v>41370</v>
      </c>
      <c r="D52" s="1277">
        <v>2625000</v>
      </c>
      <c r="E52" s="1277">
        <v>0</v>
      </c>
      <c r="F52" s="1277">
        <v>2625000</v>
      </c>
      <c r="G52" s="56"/>
    </row>
    <row r="53" spans="1:7" customFormat="1" x14ac:dyDescent="0.3">
      <c r="A53" s="813" t="s">
        <v>16</v>
      </c>
      <c r="B53" s="1276"/>
      <c r="C53" s="1276"/>
      <c r="D53" s="1277"/>
      <c r="E53" s="1277"/>
      <c r="F53" s="1277"/>
      <c r="G53" s="56"/>
    </row>
    <row r="54" spans="1:7" customFormat="1" x14ac:dyDescent="0.3">
      <c r="A54" s="813" t="s">
        <v>435</v>
      </c>
      <c r="B54" s="1276"/>
      <c r="C54" s="1276"/>
      <c r="D54" s="1277"/>
      <c r="E54" s="1277"/>
      <c r="F54" s="1277"/>
      <c r="G54" s="56"/>
    </row>
    <row r="55" spans="1:7" customFormat="1" ht="43.2" x14ac:dyDescent="0.3">
      <c r="A55" s="813" t="s">
        <v>318</v>
      </c>
      <c r="B55" s="1276">
        <v>41144</v>
      </c>
      <c r="C55" s="1276">
        <v>41328</v>
      </c>
      <c r="D55" s="1277">
        <v>4839200</v>
      </c>
      <c r="E55" s="1277">
        <v>4839200</v>
      </c>
      <c r="F55" s="1277">
        <v>0</v>
      </c>
      <c r="G55" s="56"/>
    </row>
    <row r="56" spans="1:7" customFormat="1" x14ac:dyDescent="0.3">
      <c r="A56" s="813" t="s">
        <v>107</v>
      </c>
      <c r="B56" s="1276"/>
      <c r="C56" s="1276"/>
      <c r="D56" s="1277"/>
      <c r="E56" s="1277"/>
      <c r="F56" s="1277"/>
      <c r="G56" s="56"/>
    </row>
    <row r="57" spans="1:7" customFormat="1" x14ac:dyDescent="0.3">
      <c r="A57" s="813" t="s">
        <v>108</v>
      </c>
      <c r="B57" s="1276"/>
      <c r="C57" s="1276"/>
      <c r="D57" s="1277"/>
      <c r="E57" s="1277"/>
      <c r="F57" s="1277"/>
      <c r="G57" s="56"/>
    </row>
    <row r="58" spans="1:7" customFormat="1" ht="28.8" x14ac:dyDescent="0.3">
      <c r="A58" s="813" t="s">
        <v>348</v>
      </c>
      <c r="B58" s="1276">
        <v>41137</v>
      </c>
      <c r="C58" s="1276">
        <v>41349</v>
      </c>
      <c r="D58" s="1277">
        <v>13527752</v>
      </c>
      <c r="E58" s="1277">
        <v>0</v>
      </c>
      <c r="F58" s="1277">
        <v>13527752</v>
      </c>
      <c r="G58" s="56"/>
    </row>
    <row r="59" spans="1:7" customFormat="1" x14ac:dyDescent="0.3">
      <c r="A59" s="813" t="s">
        <v>61</v>
      </c>
      <c r="B59" s="1276"/>
      <c r="C59" s="1276"/>
      <c r="D59" s="1277"/>
      <c r="E59" s="1277"/>
      <c r="F59" s="1277"/>
      <c r="G59" s="56"/>
    </row>
    <row r="60" spans="1:7" customFormat="1" x14ac:dyDescent="0.3">
      <c r="A60" s="813" t="s">
        <v>436</v>
      </c>
      <c r="B60" s="1276"/>
      <c r="C60" s="1276"/>
      <c r="D60" s="1277"/>
      <c r="E60" s="1277"/>
      <c r="F60" s="1277"/>
      <c r="G60" s="56"/>
    </row>
    <row r="61" spans="1:7" customFormat="1" ht="57.6" x14ac:dyDescent="0.3">
      <c r="A61" s="813" t="s">
        <v>1371</v>
      </c>
      <c r="B61" s="1276">
        <v>41122</v>
      </c>
      <c r="C61" s="1276">
        <v>41531</v>
      </c>
      <c r="D61" s="1277">
        <v>100321355</v>
      </c>
      <c r="E61" s="1277">
        <v>95321355</v>
      </c>
      <c r="F61" s="1277">
        <v>5000000</v>
      </c>
      <c r="G61" s="56"/>
    </row>
    <row r="62" spans="1:7" customFormat="1" x14ac:dyDescent="0.3">
      <c r="A62" s="813" t="s">
        <v>58</v>
      </c>
      <c r="B62" s="1276"/>
      <c r="C62" s="1276"/>
      <c r="D62" s="1277"/>
      <c r="E62" s="1277"/>
      <c r="F62" s="1277"/>
      <c r="G62" s="56"/>
    </row>
    <row r="63" spans="1:7" customFormat="1" ht="28.8" x14ac:dyDescent="0.3">
      <c r="A63" s="813" t="s">
        <v>437</v>
      </c>
      <c r="B63" s="1276"/>
      <c r="C63" s="1276"/>
      <c r="D63" s="1277"/>
      <c r="E63" s="1277"/>
      <c r="F63" s="1277"/>
      <c r="G63" s="56"/>
    </row>
    <row r="64" spans="1:7" customFormat="1" ht="72" x14ac:dyDescent="0.3">
      <c r="A64" s="813" t="s">
        <v>1007</v>
      </c>
      <c r="B64" s="1276">
        <v>41122</v>
      </c>
      <c r="C64" s="1276">
        <v>41623</v>
      </c>
      <c r="D64" s="1277">
        <v>99122327</v>
      </c>
      <c r="E64" s="1277">
        <v>93840542</v>
      </c>
      <c r="F64" s="1277">
        <v>5281785</v>
      </c>
      <c r="G64" s="56"/>
    </row>
    <row r="65" spans="1:7" customFormat="1" x14ac:dyDescent="0.3">
      <c r="A65" s="813" t="s">
        <v>423</v>
      </c>
      <c r="B65" s="1276"/>
      <c r="C65" s="1276"/>
      <c r="D65" s="1277"/>
      <c r="E65" s="1277"/>
      <c r="F65" s="1277"/>
      <c r="G65" s="56"/>
    </row>
    <row r="66" spans="1:7" customFormat="1" x14ac:dyDescent="0.3">
      <c r="A66" s="813" t="s">
        <v>13</v>
      </c>
      <c r="B66" s="1276"/>
      <c r="C66" s="1276"/>
      <c r="D66" s="1277"/>
      <c r="E66" s="1277"/>
      <c r="F66" s="1277"/>
      <c r="G66" s="56"/>
    </row>
    <row r="67" spans="1:7" customFormat="1" ht="28.8" x14ac:dyDescent="0.3">
      <c r="A67" s="813" t="s">
        <v>451</v>
      </c>
      <c r="B67" s="1276">
        <v>41162</v>
      </c>
      <c r="C67" s="1276">
        <v>41527</v>
      </c>
      <c r="D67" s="1277">
        <v>900000</v>
      </c>
      <c r="E67" s="1277">
        <v>900000</v>
      </c>
      <c r="F67" s="1277">
        <v>0</v>
      </c>
      <c r="G67" s="56"/>
    </row>
    <row r="68" spans="1:7" customFormat="1" x14ac:dyDescent="0.3">
      <c r="A68" s="813" t="s">
        <v>28</v>
      </c>
      <c r="B68" s="1276"/>
      <c r="C68" s="1276"/>
      <c r="D68" s="1277"/>
      <c r="E68" s="1277"/>
      <c r="F68" s="1277"/>
      <c r="G68" s="56"/>
    </row>
    <row r="69" spans="1:7" customFormat="1" x14ac:dyDescent="0.3">
      <c r="A69" s="813" t="s">
        <v>29</v>
      </c>
      <c r="B69" s="1276"/>
      <c r="C69" s="1276"/>
      <c r="D69" s="1277"/>
      <c r="E69" s="1277"/>
      <c r="F69" s="1277"/>
      <c r="G69" s="56"/>
    </row>
    <row r="70" spans="1:7" customFormat="1" ht="28.8" x14ac:dyDescent="0.3">
      <c r="A70" s="813" t="s">
        <v>324</v>
      </c>
      <c r="B70" s="1276">
        <v>41165</v>
      </c>
      <c r="C70" s="1276">
        <v>41530</v>
      </c>
      <c r="D70" s="1277">
        <v>840000</v>
      </c>
      <c r="E70" s="1277">
        <v>840000</v>
      </c>
      <c r="F70" s="1277">
        <v>0</v>
      </c>
      <c r="G70" s="56"/>
    </row>
    <row r="71" spans="1:7" customFormat="1" x14ac:dyDescent="0.3">
      <c r="A71" s="813" t="s">
        <v>32</v>
      </c>
      <c r="B71" s="1276"/>
      <c r="C71" s="1276"/>
      <c r="D71" s="1277"/>
      <c r="E71" s="1277"/>
      <c r="F71" s="1277"/>
      <c r="G71" s="56"/>
    </row>
    <row r="72" spans="1:7" customFormat="1" x14ac:dyDescent="0.3">
      <c r="A72" s="813" t="s">
        <v>33</v>
      </c>
      <c r="B72" s="1276"/>
      <c r="C72" s="1276"/>
      <c r="D72" s="1277"/>
      <c r="E72" s="1277"/>
      <c r="F72" s="1277"/>
      <c r="G72" s="56"/>
    </row>
    <row r="73" spans="1:7" customFormat="1" ht="28.8" x14ac:dyDescent="0.3">
      <c r="A73" s="813" t="s">
        <v>452</v>
      </c>
      <c r="B73" s="1276">
        <v>41180</v>
      </c>
      <c r="C73" s="1276">
        <v>41545</v>
      </c>
      <c r="D73" s="1277">
        <v>795000</v>
      </c>
      <c r="E73" s="1277">
        <v>795000</v>
      </c>
      <c r="F73" s="1277">
        <v>0</v>
      </c>
      <c r="G73" s="56"/>
    </row>
    <row r="74" spans="1:7" customFormat="1" x14ac:dyDescent="0.3">
      <c r="A74" s="813" t="s">
        <v>109</v>
      </c>
      <c r="B74" s="1276"/>
      <c r="C74" s="1276"/>
      <c r="D74" s="1277"/>
      <c r="E74" s="1277"/>
      <c r="F74" s="1277"/>
      <c r="G74" s="56"/>
    </row>
    <row r="75" spans="1:7" customFormat="1" x14ac:dyDescent="0.3">
      <c r="A75" s="813" t="s">
        <v>420</v>
      </c>
      <c r="B75" s="1276"/>
      <c r="C75" s="1276"/>
      <c r="D75" s="1277"/>
      <c r="E75" s="1277"/>
      <c r="F75" s="1277"/>
      <c r="G75" s="56"/>
    </row>
    <row r="76" spans="1:7" customFormat="1" ht="28.8" x14ac:dyDescent="0.3">
      <c r="A76" s="813" t="s">
        <v>349</v>
      </c>
      <c r="B76" s="1276">
        <v>41165</v>
      </c>
      <c r="C76" s="1276">
        <v>41346</v>
      </c>
      <c r="D76" s="1277">
        <v>1818000</v>
      </c>
      <c r="E76" s="1277">
        <v>0</v>
      </c>
      <c r="F76" s="1277">
        <v>1818000</v>
      </c>
      <c r="G76" s="56"/>
    </row>
    <row r="77" spans="1:7" customFormat="1" x14ac:dyDescent="0.3">
      <c r="A77" s="813" t="s">
        <v>34</v>
      </c>
      <c r="B77" s="1276"/>
      <c r="C77" s="1276"/>
      <c r="D77" s="1277"/>
      <c r="E77" s="1277"/>
      <c r="F77" s="1277"/>
      <c r="G77" s="56"/>
    </row>
    <row r="78" spans="1:7" customFormat="1" x14ac:dyDescent="0.3">
      <c r="A78" s="813" t="s">
        <v>1008</v>
      </c>
      <c r="B78" s="1276"/>
      <c r="C78" s="1276"/>
      <c r="D78" s="1277"/>
      <c r="E78" s="1277"/>
      <c r="F78" s="1277"/>
      <c r="G78" s="56"/>
    </row>
    <row r="79" spans="1:7" customFormat="1" ht="28.8" x14ac:dyDescent="0.3">
      <c r="A79" s="813" t="s">
        <v>453</v>
      </c>
      <c r="B79" s="1276">
        <v>41151</v>
      </c>
      <c r="C79" s="1276">
        <v>41333</v>
      </c>
      <c r="D79" s="1277">
        <v>30000000</v>
      </c>
      <c r="E79" s="1277">
        <v>30000000</v>
      </c>
      <c r="F79" s="1277">
        <v>0</v>
      </c>
      <c r="G79" s="56"/>
    </row>
    <row r="80" spans="1:7" customFormat="1" x14ac:dyDescent="0.3">
      <c r="A80" s="813" t="s">
        <v>10</v>
      </c>
      <c r="B80" s="1276"/>
      <c r="C80" s="1276"/>
      <c r="D80" s="1277"/>
      <c r="E80" s="1277"/>
      <c r="F80" s="1277"/>
      <c r="G80" s="56"/>
    </row>
    <row r="81" spans="1:7" customFormat="1" x14ac:dyDescent="0.3">
      <c r="A81" s="813" t="s">
        <v>1009</v>
      </c>
      <c r="B81" s="1276"/>
      <c r="C81" s="1276"/>
      <c r="D81" s="1277"/>
      <c r="E81" s="1277"/>
      <c r="F81" s="1277"/>
      <c r="G81" s="56"/>
    </row>
    <row r="82" spans="1:7" customFormat="1" ht="72" x14ac:dyDescent="0.3">
      <c r="A82" s="813" t="s">
        <v>454</v>
      </c>
      <c r="B82" s="1276">
        <v>41155</v>
      </c>
      <c r="C82" s="1276">
        <v>41367</v>
      </c>
      <c r="D82" s="1277">
        <v>35000000</v>
      </c>
      <c r="E82" s="1277">
        <v>34666667</v>
      </c>
      <c r="F82" s="1277">
        <v>333333</v>
      </c>
      <c r="G82" s="56"/>
    </row>
    <row r="83" spans="1:7" customFormat="1" x14ac:dyDescent="0.3">
      <c r="A83" s="813" t="s">
        <v>114</v>
      </c>
      <c r="B83" s="1276"/>
      <c r="C83" s="1276"/>
      <c r="D83" s="1277"/>
      <c r="E83" s="1277"/>
      <c r="F83" s="1277"/>
      <c r="G83" s="56"/>
    </row>
    <row r="84" spans="1:7" customFormat="1" x14ac:dyDescent="0.3">
      <c r="A84" s="813" t="s">
        <v>115</v>
      </c>
      <c r="B84" s="1276"/>
      <c r="C84" s="1276"/>
      <c r="D84" s="1277"/>
      <c r="E84" s="1277"/>
      <c r="F84" s="1277"/>
      <c r="G84" s="56"/>
    </row>
    <row r="85" spans="1:7" customFormat="1" ht="57.6" x14ac:dyDescent="0.3">
      <c r="A85" s="813" t="s">
        <v>455</v>
      </c>
      <c r="B85" s="1276">
        <v>41170</v>
      </c>
      <c r="C85" s="1276">
        <v>41626</v>
      </c>
      <c r="D85" s="1277">
        <v>8334226</v>
      </c>
      <c r="E85" s="1277">
        <v>8334226</v>
      </c>
      <c r="F85" s="1277">
        <v>0</v>
      </c>
      <c r="G85" s="56"/>
    </row>
    <row r="86" spans="1:7" customFormat="1" x14ac:dyDescent="0.3">
      <c r="A86" s="813" t="s">
        <v>106</v>
      </c>
      <c r="B86" s="1276"/>
      <c r="C86" s="1276"/>
      <c r="D86" s="1277"/>
      <c r="E86" s="1277"/>
      <c r="F86" s="1277"/>
      <c r="G86" s="56"/>
    </row>
    <row r="87" spans="1:7" customFormat="1" x14ac:dyDescent="0.3">
      <c r="A87" s="813" t="s">
        <v>1010</v>
      </c>
      <c r="B87" s="1276"/>
      <c r="C87" s="1276"/>
      <c r="D87" s="1277"/>
      <c r="E87" s="1277"/>
      <c r="F87" s="1277"/>
      <c r="G87" s="56"/>
    </row>
    <row r="88" spans="1:7" customFormat="1" ht="43.2" x14ac:dyDescent="0.3">
      <c r="A88" s="813" t="s">
        <v>457</v>
      </c>
      <c r="B88" s="1276">
        <v>41162</v>
      </c>
      <c r="C88" s="1276">
        <v>41343</v>
      </c>
      <c r="D88" s="1277">
        <v>20565000</v>
      </c>
      <c r="E88" s="1277">
        <v>20565000</v>
      </c>
      <c r="F88" s="1277">
        <v>0</v>
      </c>
      <c r="G88" s="56"/>
    </row>
    <row r="89" spans="1:7" customFormat="1" x14ac:dyDescent="0.3">
      <c r="A89" s="813" t="s">
        <v>105</v>
      </c>
      <c r="B89" s="1276"/>
      <c r="C89" s="1276"/>
      <c r="D89" s="1277"/>
      <c r="E89" s="1277"/>
      <c r="F89" s="1277"/>
      <c r="G89" s="56"/>
    </row>
    <row r="90" spans="1:7" customFormat="1" x14ac:dyDescent="0.3">
      <c r="A90" s="813" t="s">
        <v>1011</v>
      </c>
      <c r="B90" s="1276"/>
      <c r="C90" s="1276"/>
      <c r="D90" s="1277"/>
      <c r="E90" s="1277"/>
      <c r="F90" s="1277"/>
      <c r="G90" s="56"/>
    </row>
    <row r="91" spans="1:7" customFormat="1" ht="43.2" x14ac:dyDescent="0.3">
      <c r="A91" s="813" t="s">
        <v>347</v>
      </c>
      <c r="B91" s="1276">
        <v>41193</v>
      </c>
      <c r="C91" s="1276">
        <v>41263</v>
      </c>
      <c r="D91" s="1277">
        <v>6730000</v>
      </c>
      <c r="E91" s="1277">
        <v>6395000</v>
      </c>
      <c r="F91" s="1277">
        <v>335000</v>
      </c>
      <c r="G91" s="56"/>
    </row>
    <row r="92" spans="1:7" customFormat="1" x14ac:dyDescent="0.3">
      <c r="A92" s="813" t="s">
        <v>17</v>
      </c>
      <c r="B92" s="1276"/>
      <c r="C92" s="1276"/>
      <c r="D92" s="1277"/>
      <c r="E92" s="1277"/>
      <c r="F92" s="1277"/>
      <c r="G92" s="56"/>
    </row>
    <row r="93" spans="1:7" customFormat="1" x14ac:dyDescent="0.3">
      <c r="A93" s="813" t="s">
        <v>18</v>
      </c>
      <c r="B93" s="1276"/>
      <c r="C93" s="1276"/>
      <c r="D93" s="1277"/>
      <c r="E93" s="1277"/>
      <c r="F93" s="1277"/>
      <c r="G93" s="56"/>
    </row>
    <row r="94" spans="1:7" customFormat="1" ht="43.2" x14ac:dyDescent="0.3">
      <c r="A94" s="813" t="s">
        <v>319</v>
      </c>
      <c r="B94" s="1276">
        <v>41205</v>
      </c>
      <c r="C94" s="1276">
        <v>41387</v>
      </c>
      <c r="D94" s="1277">
        <v>23994880</v>
      </c>
      <c r="E94" s="1277">
        <v>23994876</v>
      </c>
      <c r="F94" s="1277">
        <v>4</v>
      </c>
      <c r="G94" s="56"/>
    </row>
    <row r="95" spans="1:7" customFormat="1" x14ac:dyDescent="0.3">
      <c r="A95" s="813" t="s">
        <v>24</v>
      </c>
      <c r="B95" s="1276"/>
      <c r="C95" s="1276"/>
      <c r="D95" s="1277"/>
      <c r="E95" s="1277"/>
      <c r="F95" s="1277"/>
      <c r="G95" s="56"/>
    </row>
    <row r="96" spans="1:7" customFormat="1" x14ac:dyDescent="0.3">
      <c r="A96" s="813" t="s">
        <v>1012</v>
      </c>
      <c r="B96" s="1276"/>
      <c r="C96" s="1276"/>
      <c r="D96" s="1277"/>
      <c r="E96" s="1277"/>
      <c r="F96" s="1277"/>
      <c r="G96" s="56"/>
    </row>
    <row r="97" spans="1:7" customFormat="1" ht="28.8" x14ac:dyDescent="0.3">
      <c r="A97" s="813" t="s">
        <v>323</v>
      </c>
      <c r="B97" s="1276">
        <v>41187</v>
      </c>
      <c r="C97" s="1276">
        <v>41369</v>
      </c>
      <c r="D97" s="1277">
        <v>38400000</v>
      </c>
      <c r="E97" s="1277">
        <v>38400000</v>
      </c>
      <c r="F97" s="1277">
        <v>0</v>
      </c>
      <c r="G97" s="56"/>
    </row>
    <row r="98" spans="1:7" customFormat="1" x14ac:dyDescent="0.3">
      <c r="A98" s="813" t="s">
        <v>118</v>
      </c>
      <c r="B98" s="1276"/>
      <c r="C98" s="1276"/>
      <c r="D98" s="1277"/>
      <c r="E98" s="1277"/>
      <c r="F98" s="1277"/>
      <c r="G98" s="56"/>
    </row>
    <row r="99" spans="1:7" customFormat="1" x14ac:dyDescent="0.3">
      <c r="A99" s="813" t="s">
        <v>1013</v>
      </c>
      <c r="B99" s="1276"/>
      <c r="C99" s="1276"/>
      <c r="D99" s="1277"/>
      <c r="E99" s="1277"/>
      <c r="F99" s="1277"/>
      <c r="G99" s="56"/>
    </row>
    <row r="100" spans="1:7" customFormat="1" ht="43.2" x14ac:dyDescent="0.3">
      <c r="A100" s="813" t="s">
        <v>351</v>
      </c>
      <c r="B100" s="1276">
        <v>41246</v>
      </c>
      <c r="C100" s="1276">
        <v>41308</v>
      </c>
      <c r="D100" s="1277">
        <v>3961330</v>
      </c>
      <c r="E100" s="1277">
        <v>3961330</v>
      </c>
      <c r="F100" s="1277">
        <v>0</v>
      </c>
      <c r="G100" s="56"/>
    </row>
    <row r="101" spans="1:7" customFormat="1" x14ac:dyDescent="0.3">
      <c r="A101" s="813" t="s">
        <v>62</v>
      </c>
      <c r="B101" s="1276"/>
      <c r="C101" s="1276"/>
      <c r="D101" s="1277"/>
      <c r="E101" s="1277"/>
      <c r="F101" s="1277"/>
      <c r="G101" s="56"/>
    </row>
    <row r="102" spans="1:7" customFormat="1" x14ac:dyDescent="0.3">
      <c r="A102" s="813" t="s">
        <v>1014</v>
      </c>
      <c r="B102" s="1276"/>
      <c r="C102" s="1276"/>
      <c r="D102" s="1277"/>
      <c r="E102" s="1277"/>
      <c r="F102" s="1277"/>
      <c r="G102" s="56"/>
    </row>
    <row r="103" spans="1:7" customFormat="1" ht="57.6" x14ac:dyDescent="0.3">
      <c r="A103" s="813" t="s">
        <v>416</v>
      </c>
      <c r="B103" s="1276">
        <v>41270</v>
      </c>
      <c r="C103" s="1276">
        <v>41452</v>
      </c>
      <c r="D103" s="1277">
        <v>24000000</v>
      </c>
      <c r="E103" s="1277">
        <v>24000000</v>
      </c>
      <c r="F103" s="1277">
        <v>0</v>
      </c>
      <c r="G103" s="56"/>
    </row>
    <row r="104" spans="1:7" customFormat="1" x14ac:dyDescent="0.3">
      <c r="A104" s="813" t="s">
        <v>30</v>
      </c>
      <c r="B104" s="1276"/>
      <c r="C104" s="1276"/>
      <c r="D104" s="1277"/>
      <c r="E104" s="1277"/>
      <c r="F104" s="1277"/>
      <c r="G104" s="56"/>
    </row>
    <row r="105" spans="1:7" customFormat="1" x14ac:dyDescent="0.3">
      <c r="A105" s="813" t="s">
        <v>31</v>
      </c>
      <c r="B105" s="1276"/>
      <c r="C105" s="1276"/>
      <c r="D105" s="1277"/>
      <c r="E105" s="1277"/>
      <c r="F105" s="1277"/>
      <c r="G105" s="56"/>
    </row>
    <row r="106" spans="1:7" customFormat="1" ht="43.2" x14ac:dyDescent="0.3">
      <c r="A106" s="813" t="s">
        <v>325</v>
      </c>
      <c r="B106" s="1276">
        <v>41292</v>
      </c>
      <c r="C106" s="1276">
        <v>41350</v>
      </c>
      <c r="D106" s="1277">
        <v>6000000</v>
      </c>
      <c r="E106" s="1277">
        <v>6000000</v>
      </c>
      <c r="F106" s="1277">
        <v>0</v>
      </c>
      <c r="G106" s="56"/>
    </row>
    <row r="107" spans="1:7" customFormat="1" x14ac:dyDescent="0.3">
      <c r="A107" s="813" t="s">
        <v>14</v>
      </c>
      <c r="B107" s="1276"/>
      <c r="C107" s="1276"/>
      <c r="D107" s="1277"/>
      <c r="E107" s="1277"/>
      <c r="F107" s="1277"/>
      <c r="G107" s="56"/>
    </row>
    <row r="108" spans="1:7" customFormat="1" x14ac:dyDescent="0.3">
      <c r="A108" s="813" t="s">
        <v>15</v>
      </c>
      <c r="B108" s="1276"/>
      <c r="C108" s="1276"/>
      <c r="D108" s="1277"/>
      <c r="E108" s="1277"/>
      <c r="F108" s="1277"/>
      <c r="G108" s="56"/>
    </row>
    <row r="109" spans="1:7" customFormat="1" ht="28.8" x14ac:dyDescent="0.3">
      <c r="A109" s="813" t="s">
        <v>317</v>
      </c>
      <c r="B109" s="1276">
        <v>41107</v>
      </c>
      <c r="C109" s="1276">
        <v>41472</v>
      </c>
      <c r="D109" s="1277">
        <v>7740000</v>
      </c>
      <c r="E109" s="1277">
        <v>7740000</v>
      </c>
      <c r="F109" s="1277">
        <v>0</v>
      </c>
      <c r="G109" s="56"/>
    </row>
    <row r="110" spans="1:7" customFormat="1" x14ac:dyDescent="0.3">
      <c r="A110" s="813" t="s">
        <v>40</v>
      </c>
      <c r="B110" s="1276"/>
      <c r="C110" s="1276"/>
      <c r="D110" s="1277"/>
      <c r="E110" s="1277"/>
      <c r="F110" s="1277"/>
      <c r="G110" s="56"/>
    </row>
    <row r="111" spans="1:7" customFormat="1" x14ac:dyDescent="0.3">
      <c r="A111" s="813" t="s">
        <v>41</v>
      </c>
      <c r="B111" s="1276"/>
      <c r="C111" s="1276"/>
      <c r="D111" s="1277"/>
      <c r="E111" s="1277"/>
      <c r="F111" s="1277"/>
      <c r="G111" s="56"/>
    </row>
    <row r="112" spans="1:7" customFormat="1" ht="28.8" x14ac:dyDescent="0.3">
      <c r="A112" s="813" t="s">
        <v>458</v>
      </c>
      <c r="B112" s="1276">
        <v>41064</v>
      </c>
      <c r="C112" s="1276">
        <v>41398</v>
      </c>
      <c r="D112" s="1277">
        <v>47000000</v>
      </c>
      <c r="E112" s="1277">
        <v>41245000</v>
      </c>
      <c r="F112" s="1277">
        <v>5755000</v>
      </c>
      <c r="G112" s="56"/>
    </row>
    <row r="113" spans="1:7" customFormat="1" x14ac:dyDescent="0.3">
      <c r="A113" s="813" t="s">
        <v>72</v>
      </c>
      <c r="B113" s="1276"/>
      <c r="C113" s="1276"/>
      <c r="D113" s="1277"/>
      <c r="E113" s="1277"/>
      <c r="F113" s="1277"/>
      <c r="G113" s="56"/>
    </row>
    <row r="114" spans="1:7" customFormat="1" x14ac:dyDescent="0.3">
      <c r="A114" s="813" t="s">
        <v>73</v>
      </c>
      <c r="B114" s="1276"/>
      <c r="C114" s="1276"/>
      <c r="D114" s="1277"/>
      <c r="E114" s="1277"/>
      <c r="F114" s="1277"/>
      <c r="G114" s="56"/>
    </row>
    <row r="115" spans="1:7" customFormat="1" ht="72" x14ac:dyDescent="0.3">
      <c r="A115" s="813" t="s">
        <v>395</v>
      </c>
      <c r="B115" s="1276">
        <v>41053</v>
      </c>
      <c r="C115" s="1276">
        <v>41400</v>
      </c>
      <c r="D115" s="1277">
        <v>950000000</v>
      </c>
      <c r="E115" s="1277">
        <v>950000000</v>
      </c>
      <c r="F115" s="1277">
        <v>0</v>
      </c>
      <c r="G115" s="56"/>
    </row>
    <row r="116" spans="1:7" customFormat="1" x14ac:dyDescent="0.3">
      <c r="A116" s="813" t="s">
        <v>396</v>
      </c>
      <c r="B116" s="1276"/>
      <c r="C116" s="1276"/>
      <c r="D116" s="1277"/>
      <c r="E116" s="1277"/>
      <c r="F116" s="1277"/>
      <c r="G116" s="56"/>
    </row>
    <row r="117" spans="1:7" customFormat="1" x14ac:dyDescent="0.3">
      <c r="A117" s="813" t="s">
        <v>203</v>
      </c>
      <c r="B117" s="1276"/>
      <c r="C117" s="1276"/>
      <c r="D117" s="1277"/>
      <c r="E117" s="1277"/>
      <c r="F117" s="1277"/>
      <c r="G117" s="56"/>
    </row>
    <row r="118" spans="1:7" customFormat="1" ht="28.8" x14ac:dyDescent="0.3">
      <c r="A118" s="813" t="s">
        <v>346</v>
      </c>
      <c r="B118" s="1276">
        <v>41067</v>
      </c>
      <c r="C118" s="1276">
        <v>41312</v>
      </c>
      <c r="D118" s="1277">
        <v>10440000</v>
      </c>
      <c r="E118" s="1277">
        <v>10440000</v>
      </c>
      <c r="F118" s="1277">
        <v>0</v>
      </c>
      <c r="G118" s="56"/>
    </row>
    <row r="119" spans="1:7" customFormat="1" x14ac:dyDescent="0.3">
      <c r="A119" s="813" t="s">
        <v>153</v>
      </c>
      <c r="B119" s="1276"/>
      <c r="C119" s="1276"/>
      <c r="D119" s="1277"/>
      <c r="E119" s="1277"/>
      <c r="F119" s="1277"/>
      <c r="G119" s="56"/>
    </row>
    <row r="120" spans="1:7" customFormat="1" x14ac:dyDescent="0.3">
      <c r="A120" s="813" t="s">
        <v>154</v>
      </c>
      <c r="B120" s="1276"/>
      <c r="C120" s="1276"/>
      <c r="D120" s="1277"/>
      <c r="E120" s="1277"/>
      <c r="F120" s="1277"/>
      <c r="G120" s="56"/>
    </row>
    <row r="121" spans="1:7" customFormat="1" ht="57.6" x14ac:dyDescent="0.3">
      <c r="A121" s="813" t="s">
        <v>419</v>
      </c>
      <c r="B121" s="1276">
        <v>41081</v>
      </c>
      <c r="C121" s="1276">
        <v>41213</v>
      </c>
      <c r="D121" s="1277">
        <v>41705635</v>
      </c>
      <c r="E121" s="1277">
        <v>41705635</v>
      </c>
      <c r="F121" s="1277">
        <v>0</v>
      </c>
      <c r="G121" s="56"/>
    </row>
    <row r="122" spans="1:7" customFormat="1" x14ac:dyDescent="0.3">
      <c r="A122" s="813" t="s">
        <v>170</v>
      </c>
      <c r="B122" s="1276"/>
      <c r="C122" s="1276"/>
      <c r="D122" s="1277"/>
      <c r="E122" s="1277"/>
      <c r="F122" s="1277"/>
      <c r="G122" s="56"/>
    </row>
    <row r="123" spans="1:7" customFormat="1" x14ac:dyDescent="0.3">
      <c r="A123" s="813" t="s">
        <v>428</v>
      </c>
      <c r="B123" s="1276"/>
      <c r="C123" s="1276"/>
      <c r="D123" s="1277"/>
      <c r="E123" s="1277"/>
      <c r="F123" s="1277"/>
      <c r="G123" s="56"/>
    </row>
    <row r="124" spans="1:7" customFormat="1" ht="43.2" x14ac:dyDescent="0.3">
      <c r="A124" s="813" t="s">
        <v>444</v>
      </c>
      <c r="B124" s="1276">
        <v>40746</v>
      </c>
      <c r="C124" s="1276">
        <v>41112</v>
      </c>
      <c r="D124" s="1277">
        <v>497000000</v>
      </c>
      <c r="E124" s="1277">
        <v>495932967</v>
      </c>
      <c r="F124" s="1277">
        <v>1067033</v>
      </c>
      <c r="G124" s="56"/>
    </row>
    <row r="125" spans="1:7" customFormat="1" x14ac:dyDescent="0.3">
      <c r="A125" s="813" t="s">
        <v>594</v>
      </c>
      <c r="B125" s="1276"/>
      <c r="C125" s="1276"/>
      <c r="D125" s="1277"/>
      <c r="E125" s="1277"/>
      <c r="F125" s="1277"/>
      <c r="G125" s="56"/>
    </row>
    <row r="126" spans="1:7" customFormat="1" x14ac:dyDescent="0.3">
      <c r="A126" s="813" t="s">
        <v>1005</v>
      </c>
      <c r="B126" s="1276"/>
      <c r="C126" s="1276"/>
      <c r="D126" s="1277"/>
      <c r="E126" s="1277"/>
      <c r="F126" s="1277"/>
      <c r="G126" s="56"/>
    </row>
    <row r="127" spans="1:7" customFormat="1" ht="72" x14ac:dyDescent="0.3">
      <c r="A127" s="813" t="s">
        <v>363</v>
      </c>
      <c r="B127" s="1276">
        <v>40870</v>
      </c>
      <c r="C127" s="1276">
        <v>41356</v>
      </c>
      <c r="D127" s="1277">
        <v>9425000</v>
      </c>
      <c r="E127" s="1277">
        <v>9425000</v>
      </c>
      <c r="F127" s="1277">
        <v>0</v>
      </c>
      <c r="G127" s="56"/>
    </row>
    <row r="128" spans="1:7" customFormat="1" x14ac:dyDescent="0.3">
      <c r="A128" s="813" t="s">
        <v>127</v>
      </c>
      <c r="B128" s="1276"/>
      <c r="C128" s="1276"/>
      <c r="D128" s="1277"/>
      <c r="E128" s="1277"/>
      <c r="F128" s="1277"/>
      <c r="G128" s="56"/>
    </row>
    <row r="129" spans="1:7" customFormat="1" x14ac:dyDescent="0.3">
      <c r="A129" s="813" t="s">
        <v>128</v>
      </c>
      <c r="B129" s="1276"/>
      <c r="C129" s="1276"/>
      <c r="D129" s="1277"/>
      <c r="E129" s="1277"/>
      <c r="F129" s="1277"/>
      <c r="G129" s="56"/>
    </row>
    <row r="130" spans="1:7" customFormat="1" ht="28.8" x14ac:dyDescent="0.3">
      <c r="A130" s="813" t="s">
        <v>355</v>
      </c>
      <c r="B130" s="1276">
        <v>40863</v>
      </c>
      <c r="C130" s="1276">
        <v>41364</v>
      </c>
      <c r="D130" s="1277">
        <v>22930000</v>
      </c>
      <c r="E130" s="1277">
        <v>18432731</v>
      </c>
      <c r="F130" s="1277">
        <v>4497269</v>
      </c>
      <c r="G130" s="56"/>
    </row>
    <row r="131" spans="1:7" customFormat="1" x14ac:dyDescent="0.3">
      <c r="A131" s="813" t="s">
        <v>59</v>
      </c>
      <c r="B131" s="1276"/>
      <c r="C131" s="1276"/>
      <c r="D131" s="1277"/>
      <c r="E131" s="1277"/>
      <c r="F131" s="1277"/>
      <c r="G131" s="56"/>
    </row>
    <row r="132" spans="1:7" customFormat="1" x14ac:dyDescent="0.3">
      <c r="A132" s="813" t="s">
        <v>60</v>
      </c>
      <c r="B132" s="1276"/>
      <c r="C132" s="1276"/>
      <c r="D132" s="1277"/>
      <c r="E132" s="1277"/>
      <c r="F132" s="1277"/>
      <c r="G132" s="56"/>
    </row>
    <row r="133" spans="1:7" customFormat="1" ht="43.2" x14ac:dyDescent="0.3">
      <c r="A133" s="813" t="s">
        <v>336</v>
      </c>
      <c r="B133" s="1276">
        <v>41103</v>
      </c>
      <c r="C133" s="1276">
        <v>41471</v>
      </c>
      <c r="D133" s="1277">
        <v>4100000</v>
      </c>
      <c r="E133" s="1277">
        <v>3389600</v>
      </c>
      <c r="F133" s="1277">
        <v>710400</v>
      </c>
      <c r="G133" s="56"/>
    </row>
    <row r="134" spans="1:7" customFormat="1" x14ac:dyDescent="0.3">
      <c r="A134" s="813" t="s">
        <v>120</v>
      </c>
      <c r="B134" s="1276"/>
      <c r="C134" s="1276"/>
      <c r="D134" s="1277"/>
      <c r="E134" s="1277"/>
      <c r="F134" s="1277"/>
      <c r="G134" s="56"/>
    </row>
    <row r="135" spans="1:7" customFormat="1" x14ac:dyDescent="0.3">
      <c r="A135" s="813" t="s">
        <v>429</v>
      </c>
      <c r="B135" s="1276"/>
      <c r="C135" s="1276"/>
      <c r="D135" s="1277"/>
      <c r="E135" s="1277"/>
      <c r="F135" s="1277"/>
      <c r="G135" s="56"/>
    </row>
    <row r="136" spans="1:7" customFormat="1" ht="43.2" x14ac:dyDescent="0.3">
      <c r="A136" s="813" t="s">
        <v>445</v>
      </c>
      <c r="B136" s="1276">
        <v>40862</v>
      </c>
      <c r="C136" s="1276">
        <v>41362</v>
      </c>
      <c r="D136" s="1277">
        <v>20044800</v>
      </c>
      <c r="E136" s="1277">
        <v>20044800</v>
      </c>
      <c r="F136" s="1277">
        <v>0</v>
      </c>
      <c r="G136" s="56"/>
    </row>
    <row r="137" spans="1:7" customFormat="1" x14ac:dyDescent="0.3">
      <c r="A137" s="813" t="s">
        <v>112</v>
      </c>
      <c r="B137" s="1276"/>
      <c r="C137" s="1276"/>
      <c r="D137" s="1277"/>
      <c r="E137" s="1277"/>
      <c r="F137" s="1277"/>
      <c r="G137" s="56"/>
    </row>
    <row r="138" spans="1:7" customFormat="1" x14ac:dyDescent="0.3">
      <c r="A138" s="813" t="s">
        <v>430</v>
      </c>
      <c r="B138" s="1276"/>
      <c r="C138" s="1276"/>
      <c r="D138" s="1277"/>
      <c r="E138" s="1277"/>
      <c r="F138" s="1277"/>
      <c r="G138" s="56"/>
    </row>
    <row r="139" spans="1:7" customFormat="1" ht="57.6" x14ac:dyDescent="0.3">
      <c r="A139" s="813" t="s">
        <v>446</v>
      </c>
      <c r="B139" s="1276">
        <v>40865</v>
      </c>
      <c r="C139" s="1276">
        <v>41323</v>
      </c>
      <c r="D139" s="1277">
        <v>9976800</v>
      </c>
      <c r="E139" s="1277">
        <v>9976596</v>
      </c>
      <c r="F139" s="1277">
        <v>204</v>
      </c>
      <c r="G139" s="56"/>
    </row>
    <row r="140" spans="1:7" customFormat="1" x14ac:dyDescent="0.3">
      <c r="A140" s="813" t="s">
        <v>44</v>
      </c>
      <c r="B140" s="1276"/>
      <c r="C140" s="1276"/>
      <c r="D140" s="1277"/>
      <c r="E140" s="1277"/>
      <c r="F140" s="1277"/>
      <c r="G140" s="56"/>
    </row>
    <row r="141" spans="1:7" customFormat="1" x14ac:dyDescent="0.3">
      <c r="A141" s="813" t="s">
        <v>1016</v>
      </c>
      <c r="B141" s="1276"/>
      <c r="C141" s="1276"/>
      <c r="D141" s="1277"/>
      <c r="E141" s="1277"/>
      <c r="F141" s="1277"/>
      <c r="G141" s="56"/>
    </row>
    <row r="142" spans="1:7" customFormat="1" ht="43.2" x14ac:dyDescent="0.3">
      <c r="A142" s="813" t="s">
        <v>329</v>
      </c>
      <c r="B142" s="1276">
        <v>41151</v>
      </c>
      <c r="C142" s="1276">
        <v>41547</v>
      </c>
      <c r="D142" s="1277">
        <v>8932201</v>
      </c>
      <c r="E142" s="1277">
        <v>8906668</v>
      </c>
      <c r="F142" s="1277">
        <v>25533</v>
      </c>
      <c r="G142" s="56"/>
    </row>
    <row r="143" spans="1:7" customFormat="1" x14ac:dyDescent="0.3">
      <c r="A143" s="813" t="s">
        <v>7</v>
      </c>
      <c r="B143" s="1276"/>
      <c r="C143" s="1276"/>
      <c r="D143" s="1277"/>
      <c r="E143" s="1277"/>
      <c r="F143" s="1277"/>
      <c r="G143" s="56"/>
    </row>
    <row r="144" spans="1:7" customFormat="1" x14ac:dyDescent="0.3">
      <c r="A144" s="813" t="s">
        <v>8</v>
      </c>
      <c r="B144" s="1276"/>
      <c r="C144" s="1276"/>
      <c r="D144" s="1277"/>
      <c r="E144" s="1277"/>
      <c r="F144" s="1277"/>
      <c r="G144" s="56"/>
    </row>
    <row r="145" spans="1:7" customFormat="1" ht="43.2" x14ac:dyDescent="0.3">
      <c r="A145" s="813" t="s">
        <v>314</v>
      </c>
      <c r="B145" s="1276">
        <v>41155</v>
      </c>
      <c r="C145" s="1276">
        <v>41458</v>
      </c>
      <c r="D145" s="1277">
        <v>8545000</v>
      </c>
      <c r="E145" s="1277">
        <v>4336000</v>
      </c>
      <c r="F145" s="1277">
        <v>4209000</v>
      </c>
      <c r="G145" s="56"/>
    </row>
    <row r="146" spans="1:7" customFormat="1" x14ac:dyDescent="0.3">
      <c r="A146" s="813" t="s">
        <v>161</v>
      </c>
      <c r="B146" s="1276"/>
      <c r="C146" s="1276"/>
      <c r="D146" s="1277"/>
      <c r="E146" s="1277"/>
      <c r="F146" s="1277"/>
      <c r="G146" s="56"/>
    </row>
    <row r="147" spans="1:7" customFormat="1" x14ac:dyDescent="0.3">
      <c r="A147" s="813" t="s">
        <v>162</v>
      </c>
      <c r="B147" s="1276"/>
      <c r="C147" s="1276"/>
      <c r="D147" s="1277"/>
      <c r="E147" s="1277"/>
      <c r="F147" s="1277"/>
      <c r="G147" s="56"/>
    </row>
    <row r="148" spans="1:7" customFormat="1" ht="28.8" x14ac:dyDescent="0.3">
      <c r="A148" s="813" t="s">
        <v>360</v>
      </c>
      <c r="B148" s="1276">
        <v>40891</v>
      </c>
      <c r="C148" s="1276">
        <v>40922</v>
      </c>
      <c r="D148" s="1277">
        <v>1306508</v>
      </c>
      <c r="E148" s="1277">
        <v>1306508</v>
      </c>
      <c r="F148" s="1277">
        <v>0</v>
      </c>
      <c r="G148" s="56"/>
    </row>
    <row r="149" spans="1:7" customFormat="1" x14ac:dyDescent="0.3">
      <c r="A149" s="813" t="s">
        <v>5</v>
      </c>
      <c r="B149" s="1276"/>
      <c r="C149" s="1276"/>
      <c r="D149" s="1277"/>
      <c r="E149" s="1277"/>
      <c r="F149" s="1277"/>
      <c r="G149" s="56"/>
    </row>
    <row r="150" spans="1:7" customFormat="1" x14ac:dyDescent="0.3">
      <c r="A150" s="813" t="s">
        <v>431</v>
      </c>
      <c r="B150" s="1276"/>
      <c r="C150" s="1276"/>
      <c r="D150" s="1277"/>
      <c r="E150" s="1277"/>
      <c r="F150" s="1277"/>
      <c r="G150" s="56"/>
    </row>
    <row r="151" spans="1:7" customFormat="1" ht="43.2" x14ac:dyDescent="0.3">
      <c r="A151" s="813" t="s">
        <v>312</v>
      </c>
      <c r="B151" s="1276">
        <v>40897</v>
      </c>
      <c r="C151" s="1276">
        <v>41243</v>
      </c>
      <c r="D151" s="1277">
        <v>102786079</v>
      </c>
      <c r="E151" s="1277">
        <v>84046373</v>
      </c>
      <c r="F151" s="1277">
        <v>18739706</v>
      </c>
      <c r="G151" s="56"/>
    </row>
    <row r="152" spans="1:7" customFormat="1" x14ac:dyDescent="0.3">
      <c r="A152" s="813" t="s">
        <v>6</v>
      </c>
      <c r="B152" s="1276"/>
      <c r="C152" s="1276"/>
      <c r="D152" s="1277"/>
      <c r="E152" s="1277"/>
      <c r="F152" s="1277"/>
      <c r="G152" s="56"/>
    </row>
    <row r="153" spans="1:7" customFormat="1" x14ac:dyDescent="0.3">
      <c r="A153" s="813" t="s">
        <v>1017</v>
      </c>
      <c r="B153" s="1276"/>
      <c r="C153" s="1276"/>
      <c r="D153" s="1277"/>
      <c r="E153" s="1277"/>
      <c r="F153" s="1277"/>
      <c r="G153" s="56"/>
    </row>
    <row r="154" spans="1:7" customFormat="1" ht="28.8" x14ac:dyDescent="0.3">
      <c r="A154" s="813" t="s">
        <v>541</v>
      </c>
      <c r="B154" s="1276">
        <v>41172</v>
      </c>
      <c r="C154" s="1276">
        <v>41445</v>
      </c>
      <c r="D154" s="1277">
        <v>242578353</v>
      </c>
      <c r="E154" s="1277">
        <v>218264339</v>
      </c>
      <c r="F154" s="1277">
        <v>24314014</v>
      </c>
      <c r="G154" s="56"/>
    </row>
    <row r="155" spans="1:7" customFormat="1" x14ac:dyDescent="0.3">
      <c r="A155" s="813" t="s">
        <v>35</v>
      </c>
      <c r="B155" s="1276"/>
      <c r="C155" s="1276"/>
      <c r="D155" s="1277"/>
      <c r="E155" s="1277"/>
      <c r="F155" s="1277"/>
      <c r="G155" s="56"/>
    </row>
    <row r="156" spans="1:7" customFormat="1" x14ac:dyDescent="0.3">
      <c r="A156" s="813" t="s">
        <v>36</v>
      </c>
      <c r="B156" s="1276"/>
      <c r="C156" s="1276"/>
      <c r="D156" s="1277"/>
      <c r="E156" s="1277"/>
      <c r="F156" s="1277"/>
      <c r="G156" s="56"/>
    </row>
    <row r="157" spans="1:7" customFormat="1" ht="43.2" x14ac:dyDescent="0.3">
      <c r="A157" s="813" t="s">
        <v>326</v>
      </c>
      <c r="B157" s="1276">
        <v>41172</v>
      </c>
      <c r="C157" s="1276">
        <v>41414</v>
      </c>
      <c r="D157" s="1277">
        <v>4493000</v>
      </c>
      <c r="E157" s="1277">
        <v>3309000</v>
      </c>
      <c r="F157" s="1277">
        <v>1184000</v>
      </c>
      <c r="G157" s="56"/>
    </row>
    <row r="158" spans="1:7" customFormat="1" x14ac:dyDescent="0.3">
      <c r="A158" s="813" t="s">
        <v>37</v>
      </c>
      <c r="B158" s="1276"/>
      <c r="C158" s="1276"/>
      <c r="D158" s="1277"/>
      <c r="E158" s="1277"/>
      <c r="F158" s="1277"/>
      <c r="G158" s="56"/>
    </row>
    <row r="159" spans="1:7" customFormat="1" x14ac:dyDescent="0.3">
      <c r="A159" s="813" t="s">
        <v>38</v>
      </c>
      <c r="B159" s="1276"/>
      <c r="C159" s="1276"/>
      <c r="D159" s="1277"/>
      <c r="E159" s="1277"/>
      <c r="F159" s="1277"/>
      <c r="G159" s="56"/>
    </row>
    <row r="160" spans="1:7" customFormat="1" ht="28.8" x14ac:dyDescent="0.3">
      <c r="A160" s="813" t="s">
        <v>327</v>
      </c>
      <c r="B160" s="1276">
        <v>41163</v>
      </c>
      <c r="C160" s="1276">
        <v>41425</v>
      </c>
      <c r="D160" s="1277">
        <v>24726000</v>
      </c>
      <c r="E160" s="1277">
        <v>24725958</v>
      </c>
      <c r="F160" s="1277">
        <v>42</v>
      </c>
      <c r="G160" s="56"/>
    </row>
    <row r="161" spans="1:7" customFormat="1" x14ac:dyDescent="0.3">
      <c r="A161" s="813" t="s">
        <v>9</v>
      </c>
      <c r="B161" s="1276"/>
      <c r="C161" s="1276"/>
      <c r="D161" s="1277"/>
      <c r="E161" s="1277"/>
      <c r="F161" s="1277"/>
      <c r="G161" s="56"/>
    </row>
    <row r="162" spans="1:7" customFormat="1" x14ac:dyDescent="0.3">
      <c r="A162" s="813" t="s">
        <v>1018</v>
      </c>
      <c r="B162" s="1276"/>
      <c r="C162" s="1276"/>
      <c r="D162" s="1277"/>
      <c r="E162" s="1277"/>
      <c r="F162" s="1277"/>
      <c r="G162" s="56"/>
    </row>
    <row r="163" spans="1:7" customFormat="1" ht="43.2" x14ac:dyDescent="0.3">
      <c r="A163" s="813" t="s">
        <v>315</v>
      </c>
      <c r="B163" s="1276">
        <v>41176</v>
      </c>
      <c r="C163" s="1276">
        <v>41409</v>
      </c>
      <c r="D163" s="1277">
        <v>20923575</v>
      </c>
      <c r="E163" s="1277">
        <v>19912200</v>
      </c>
      <c r="F163" s="1277">
        <v>1011375</v>
      </c>
      <c r="G163" s="56"/>
    </row>
    <row r="164" spans="1:7" customFormat="1" x14ac:dyDescent="0.3">
      <c r="A164" s="813" t="s">
        <v>63</v>
      </c>
      <c r="B164" s="1276"/>
      <c r="C164" s="1276"/>
      <c r="D164" s="1277"/>
      <c r="E164" s="1277"/>
      <c r="F164" s="1277"/>
      <c r="G164" s="56"/>
    </row>
    <row r="165" spans="1:7" customFormat="1" ht="28.8" x14ac:dyDescent="0.3">
      <c r="A165" s="813" t="s">
        <v>64</v>
      </c>
      <c r="B165" s="1276"/>
      <c r="C165" s="1276"/>
      <c r="D165" s="1277"/>
      <c r="E165" s="1277"/>
      <c r="F165" s="1277"/>
      <c r="G165" s="56"/>
    </row>
    <row r="166" spans="1:7" customFormat="1" ht="57.6" x14ac:dyDescent="0.3">
      <c r="A166" s="813" t="s">
        <v>337</v>
      </c>
      <c r="B166" s="1276">
        <v>41198</v>
      </c>
      <c r="C166" s="1276">
        <v>41441</v>
      </c>
      <c r="D166" s="1277">
        <v>282073266</v>
      </c>
      <c r="E166" s="1277">
        <v>282073266</v>
      </c>
      <c r="F166" s="1277">
        <v>0</v>
      </c>
      <c r="G166" s="56"/>
    </row>
    <row r="167" spans="1:7" customFormat="1" x14ac:dyDescent="0.3">
      <c r="A167" s="813" t="s">
        <v>110</v>
      </c>
      <c r="B167" s="1276"/>
      <c r="C167" s="1276"/>
      <c r="D167" s="1277"/>
      <c r="E167" s="1277"/>
      <c r="F167" s="1277"/>
      <c r="G167" s="56"/>
    </row>
    <row r="168" spans="1:7" customFormat="1" x14ac:dyDescent="0.3">
      <c r="A168" s="813" t="s">
        <v>111</v>
      </c>
      <c r="B168" s="1276"/>
      <c r="C168" s="1276"/>
      <c r="D168" s="1277"/>
      <c r="E168" s="1277"/>
      <c r="F168" s="1277"/>
      <c r="G168" s="56"/>
    </row>
    <row r="169" spans="1:7" customFormat="1" ht="72" x14ac:dyDescent="0.3">
      <c r="A169" s="813" t="s">
        <v>1373</v>
      </c>
      <c r="B169" s="1276">
        <v>41198</v>
      </c>
      <c r="C169" s="1276">
        <v>41441</v>
      </c>
      <c r="D169" s="1277">
        <v>50618751</v>
      </c>
      <c r="E169" s="1277">
        <v>50618751</v>
      </c>
      <c r="F169" s="1277">
        <v>0</v>
      </c>
      <c r="G169" s="56"/>
    </row>
    <row r="170" spans="1:7" customFormat="1" x14ac:dyDescent="0.3">
      <c r="A170" s="813" t="s">
        <v>65</v>
      </c>
      <c r="B170" s="1276"/>
      <c r="C170" s="1276"/>
      <c r="D170" s="1277"/>
      <c r="E170" s="1277"/>
      <c r="F170" s="1277"/>
      <c r="G170" s="56"/>
    </row>
    <row r="171" spans="1:7" customFormat="1" x14ac:dyDescent="0.3">
      <c r="A171" s="813" t="s">
        <v>66</v>
      </c>
      <c r="B171" s="1276"/>
      <c r="C171" s="1276"/>
      <c r="D171" s="1277"/>
      <c r="E171" s="1277"/>
      <c r="F171" s="1277"/>
      <c r="G171" s="56"/>
    </row>
    <row r="172" spans="1:7" customFormat="1" ht="43.2" x14ac:dyDescent="0.3">
      <c r="A172" s="813" t="s">
        <v>459</v>
      </c>
      <c r="B172" s="1276">
        <v>41202</v>
      </c>
      <c r="C172" s="1276">
        <v>41445</v>
      </c>
      <c r="D172" s="1277">
        <v>69900000</v>
      </c>
      <c r="E172" s="1277">
        <v>69900000</v>
      </c>
      <c r="F172" s="1277">
        <v>0</v>
      </c>
      <c r="G172" s="56"/>
    </row>
    <row r="173" spans="1:7" customFormat="1" x14ac:dyDescent="0.3">
      <c r="A173" s="813" t="s">
        <v>69</v>
      </c>
      <c r="B173" s="1276"/>
      <c r="C173" s="1276"/>
      <c r="D173" s="1277"/>
      <c r="E173" s="1277"/>
      <c r="F173" s="1277"/>
      <c r="G173" s="56"/>
    </row>
    <row r="174" spans="1:7" customFormat="1" x14ac:dyDescent="0.3">
      <c r="A174" s="813" t="s">
        <v>77</v>
      </c>
      <c r="B174" s="1276"/>
      <c r="C174" s="1276"/>
      <c r="D174" s="1277"/>
      <c r="E174" s="1277"/>
      <c r="F174" s="1277"/>
      <c r="G174" s="56"/>
    </row>
    <row r="175" spans="1:7" customFormat="1" ht="72" x14ac:dyDescent="0.3">
      <c r="A175" s="813" t="s">
        <v>397</v>
      </c>
      <c r="B175" s="1276">
        <v>41170</v>
      </c>
      <c r="C175" s="1276">
        <v>41412</v>
      </c>
      <c r="D175" s="1277">
        <v>500000000</v>
      </c>
      <c r="E175" s="1277">
        <v>500000000</v>
      </c>
      <c r="F175" s="1277">
        <v>0</v>
      </c>
      <c r="G175" s="56"/>
    </row>
    <row r="176" spans="1:7" customFormat="1" x14ac:dyDescent="0.3">
      <c r="A176" s="813" t="s">
        <v>47</v>
      </c>
      <c r="B176" s="1276"/>
      <c r="C176" s="1276"/>
      <c r="D176" s="1277"/>
      <c r="E176" s="1277"/>
      <c r="F176" s="1277"/>
      <c r="G176" s="56"/>
    </row>
    <row r="177" spans="1:7" customFormat="1" x14ac:dyDescent="0.3">
      <c r="A177" s="813" t="s">
        <v>48</v>
      </c>
      <c r="B177" s="1276"/>
      <c r="C177" s="1276"/>
      <c r="D177" s="1277"/>
      <c r="E177" s="1277"/>
      <c r="F177" s="1277"/>
      <c r="G177" s="56"/>
    </row>
    <row r="178" spans="1:7" customFormat="1" ht="72" x14ac:dyDescent="0.3">
      <c r="A178" s="813" t="s">
        <v>421</v>
      </c>
      <c r="B178" s="1276">
        <v>41208</v>
      </c>
      <c r="C178" s="1276">
        <v>41481</v>
      </c>
      <c r="D178" s="1277">
        <v>24824832</v>
      </c>
      <c r="E178" s="1277">
        <v>24824832</v>
      </c>
      <c r="F178" s="1277">
        <v>0</v>
      </c>
      <c r="G178" s="56"/>
    </row>
    <row r="179" spans="1:7" customFormat="1" x14ac:dyDescent="0.3">
      <c r="A179" s="813" t="s">
        <v>39</v>
      </c>
      <c r="B179" s="1276"/>
      <c r="C179" s="1276"/>
      <c r="D179" s="1277"/>
      <c r="E179" s="1277"/>
      <c r="F179" s="1277"/>
      <c r="G179" s="56"/>
    </row>
    <row r="180" spans="1:7" customFormat="1" x14ac:dyDescent="0.3">
      <c r="A180" s="813" t="s">
        <v>1019</v>
      </c>
      <c r="B180" s="1276"/>
      <c r="C180" s="1276"/>
      <c r="D180" s="1277"/>
      <c r="E180" s="1277"/>
      <c r="F180" s="1277"/>
      <c r="G180" s="56"/>
    </row>
    <row r="181" spans="1:7" customFormat="1" ht="28.8" x14ac:dyDescent="0.3">
      <c r="A181" s="813" t="s">
        <v>328</v>
      </c>
      <c r="B181" s="1276">
        <v>41193</v>
      </c>
      <c r="C181" s="1276">
        <v>41558</v>
      </c>
      <c r="D181" s="1277">
        <v>810000</v>
      </c>
      <c r="E181" s="1277">
        <v>810000</v>
      </c>
      <c r="F181" s="1277">
        <v>0</v>
      </c>
      <c r="G181" s="56"/>
    </row>
    <row r="182" spans="1:7" customFormat="1" x14ac:dyDescent="0.3">
      <c r="A182" s="813" t="s">
        <v>49</v>
      </c>
      <c r="B182" s="1276"/>
      <c r="C182" s="1276"/>
      <c r="D182" s="1277"/>
      <c r="E182" s="1277"/>
      <c r="F182" s="1277"/>
      <c r="G182" s="56"/>
    </row>
    <row r="183" spans="1:7" customFormat="1" x14ac:dyDescent="0.3">
      <c r="A183" s="813" t="s">
        <v>1020</v>
      </c>
      <c r="B183" s="1276"/>
      <c r="C183" s="1276"/>
      <c r="D183" s="1277"/>
      <c r="E183" s="1277"/>
      <c r="F183" s="1277"/>
      <c r="G183" s="56"/>
    </row>
    <row r="184" spans="1:7" customFormat="1" ht="43.2" x14ac:dyDescent="0.3">
      <c r="A184" s="813" t="s">
        <v>460</v>
      </c>
      <c r="B184" s="1276">
        <v>41208</v>
      </c>
      <c r="C184" s="1276">
        <v>41451</v>
      </c>
      <c r="D184" s="1277">
        <v>299287875</v>
      </c>
      <c r="E184" s="1277">
        <v>160844981</v>
      </c>
      <c r="F184" s="1277">
        <v>138442894</v>
      </c>
      <c r="G184" s="56"/>
    </row>
    <row r="185" spans="1:7" customFormat="1" x14ac:dyDescent="0.3">
      <c r="A185" s="813" t="s">
        <v>50</v>
      </c>
      <c r="B185" s="1276"/>
      <c r="C185" s="1276"/>
      <c r="D185" s="1277"/>
      <c r="E185" s="1277"/>
      <c r="F185" s="1277"/>
      <c r="G185" s="56"/>
    </row>
    <row r="186" spans="1:7" customFormat="1" x14ac:dyDescent="0.3">
      <c r="A186" s="813" t="s">
        <v>1021</v>
      </c>
      <c r="B186" s="1276"/>
      <c r="C186" s="1276"/>
      <c r="D186" s="1277"/>
      <c r="E186" s="1277"/>
      <c r="F186" s="1277"/>
      <c r="G186" s="56"/>
    </row>
    <row r="187" spans="1:7" customFormat="1" ht="28.8" x14ac:dyDescent="0.3">
      <c r="A187" s="813" t="s">
        <v>331</v>
      </c>
      <c r="B187" s="1276">
        <v>41242</v>
      </c>
      <c r="C187" s="1276">
        <v>41534</v>
      </c>
      <c r="D187" s="1277">
        <v>1392000</v>
      </c>
      <c r="E187" s="1277">
        <v>0</v>
      </c>
      <c r="F187" s="1277">
        <v>1392000</v>
      </c>
      <c r="G187" s="56"/>
    </row>
    <row r="188" spans="1:7" customFormat="1" x14ac:dyDescent="0.3">
      <c r="A188" s="813" t="s">
        <v>119</v>
      </c>
      <c r="B188" s="1276"/>
      <c r="C188" s="1276"/>
      <c r="D188" s="1277"/>
      <c r="E188" s="1277"/>
      <c r="F188" s="1277"/>
      <c r="G188" s="56"/>
    </row>
    <row r="189" spans="1:7" customFormat="1" x14ac:dyDescent="0.3">
      <c r="A189" s="813" t="s">
        <v>398</v>
      </c>
      <c r="B189" s="1276"/>
      <c r="C189" s="1276"/>
      <c r="D189" s="1277"/>
      <c r="E189" s="1277"/>
      <c r="F189" s="1277"/>
      <c r="G189" s="56"/>
    </row>
    <row r="190" spans="1:7" customFormat="1" ht="28.8" x14ac:dyDescent="0.3">
      <c r="A190" s="813" t="s">
        <v>352</v>
      </c>
      <c r="B190" s="1276">
        <v>41208</v>
      </c>
      <c r="C190" s="1276">
        <v>41390</v>
      </c>
      <c r="D190" s="1277">
        <v>4056000</v>
      </c>
      <c r="E190" s="1277">
        <v>4056000</v>
      </c>
      <c r="F190" s="1277">
        <v>0</v>
      </c>
      <c r="G190" s="56"/>
    </row>
    <row r="191" spans="1:7" customFormat="1" x14ac:dyDescent="0.3">
      <c r="A191" s="813" t="s">
        <v>589</v>
      </c>
      <c r="B191" s="1276"/>
      <c r="C191" s="1276"/>
      <c r="D191" s="1277"/>
      <c r="E191" s="1277"/>
      <c r="F191" s="1277"/>
      <c r="G191" s="56"/>
    </row>
    <row r="192" spans="1:7" customFormat="1" x14ac:dyDescent="0.3">
      <c r="A192" s="813" t="s">
        <v>426</v>
      </c>
      <c r="B192" s="1276"/>
      <c r="C192" s="1276"/>
      <c r="D192" s="1277"/>
      <c r="E192" s="1277"/>
      <c r="F192" s="1277"/>
      <c r="G192" s="56"/>
    </row>
    <row r="193" spans="1:7" customFormat="1" ht="43.2" x14ac:dyDescent="0.3">
      <c r="A193" s="813" t="s">
        <v>442</v>
      </c>
      <c r="B193" s="1276">
        <v>40966</v>
      </c>
      <c r="C193" s="1276">
        <v>41332</v>
      </c>
      <c r="D193" s="1277">
        <v>12835200</v>
      </c>
      <c r="E193" s="1277">
        <v>1092200</v>
      </c>
      <c r="F193" s="1277">
        <v>11743000</v>
      </c>
      <c r="G193" s="56"/>
    </row>
    <row r="194" spans="1:7" customFormat="1" x14ac:dyDescent="0.3">
      <c r="A194" s="813" t="s">
        <v>163</v>
      </c>
      <c r="B194" s="1276"/>
      <c r="C194" s="1276"/>
      <c r="D194" s="1277"/>
      <c r="E194" s="1277"/>
      <c r="F194" s="1277"/>
      <c r="G194" s="56"/>
    </row>
    <row r="195" spans="1:7" customFormat="1" x14ac:dyDescent="0.3">
      <c r="A195" s="813" t="s">
        <v>432</v>
      </c>
      <c r="B195" s="1276"/>
      <c r="C195" s="1276"/>
      <c r="D195" s="1277"/>
      <c r="E195" s="1277"/>
      <c r="F195" s="1277"/>
      <c r="G195" s="56"/>
    </row>
    <row r="196" spans="1:7" customFormat="1" ht="43.2" x14ac:dyDescent="0.3">
      <c r="A196" s="813" t="s">
        <v>447</v>
      </c>
      <c r="B196" s="1276">
        <v>40946</v>
      </c>
      <c r="C196" s="1276">
        <v>41312</v>
      </c>
      <c r="D196" s="1277">
        <v>49376272</v>
      </c>
      <c r="E196" s="1277">
        <v>49376272</v>
      </c>
      <c r="F196" s="1277">
        <v>0</v>
      </c>
      <c r="G196" s="56"/>
    </row>
    <row r="197" spans="1:7" x14ac:dyDescent="0.3">
      <c r="A197" s="813" t="s">
        <v>51</v>
      </c>
      <c r="B197" s="1276"/>
      <c r="C197" s="1276"/>
      <c r="D197" s="1277"/>
      <c r="E197" s="1277"/>
      <c r="F197" s="1277"/>
    </row>
    <row r="198" spans="1:7" x14ac:dyDescent="0.3">
      <c r="A198" s="813" t="s">
        <v>1022</v>
      </c>
      <c r="B198" s="1276"/>
      <c r="C198" s="1276"/>
      <c r="D198" s="1277"/>
      <c r="E198" s="1277"/>
      <c r="F198" s="1277"/>
    </row>
    <row r="199" spans="1:7" ht="100.8" x14ac:dyDescent="0.3">
      <c r="A199" s="813" t="s">
        <v>1374</v>
      </c>
      <c r="B199" s="1276">
        <v>41214</v>
      </c>
      <c r="C199" s="1276">
        <v>41579</v>
      </c>
      <c r="D199" s="1277">
        <v>526745000</v>
      </c>
      <c r="E199" s="1277">
        <v>526745000</v>
      </c>
      <c r="F199" s="1277">
        <v>0</v>
      </c>
    </row>
    <row r="200" spans="1:7" x14ac:dyDescent="0.3">
      <c r="A200" s="813" t="s">
        <v>597</v>
      </c>
      <c r="B200" s="1276"/>
      <c r="C200" s="1276"/>
      <c r="D200" s="1277"/>
      <c r="E200" s="1277"/>
      <c r="F200" s="1277"/>
    </row>
    <row r="201" spans="1:7" x14ac:dyDescent="0.3">
      <c r="A201" s="813" t="s">
        <v>1023</v>
      </c>
      <c r="B201" s="1276"/>
      <c r="C201" s="1276"/>
      <c r="D201" s="1277"/>
      <c r="E201" s="1277"/>
      <c r="F201" s="1277"/>
    </row>
    <row r="202" spans="1:7" ht="57.6" x14ac:dyDescent="0.3">
      <c r="A202" s="813" t="s">
        <v>338</v>
      </c>
      <c r="B202" s="1276">
        <v>41232</v>
      </c>
      <c r="C202" s="1276">
        <v>41562</v>
      </c>
      <c r="D202" s="1277">
        <v>619289880</v>
      </c>
      <c r="E202" s="1277">
        <v>619289880</v>
      </c>
      <c r="F202" s="1277">
        <v>0</v>
      </c>
    </row>
    <row r="203" spans="1:7" x14ac:dyDescent="0.3">
      <c r="A203" s="813" t="s">
        <v>52</v>
      </c>
      <c r="B203" s="1276"/>
      <c r="C203" s="1276"/>
      <c r="D203" s="1277"/>
      <c r="E203" s="1277"/>
      <c r="F203" s="1277"/>
    </row>
    <row r="204" spans="1:7" x14ac:dyDescent="0.3">
      <c r="A204" s="813" t="s">
        <v>53</v>
      </c>
      <c r="B204" s="1276"/>
      <c r="C204" s="1276"/>
      <c r="D204" s="1277"/>
      <c r="E204" s="1277"/>
      <c r="F204" s="1277"/>
    </row>
    <row r="205" spans="1:7" ht="28.8" x14ac:dyDescent="0.3">
      <c r="A205" s="813" t="s">
        <v>332</v>
      </c>
      <c r="B205" s="1276">
        <v>41278</v>
      </c>
      <c r="C205" s="1276">
        <v>41459</v>
      </c>
      <c r="D205" s="1277">
        <v>13806000</v>
      </c>
      <c r="E205" s="1277">
        <v>12439108</v>
      </c>
      <c r="F205" s="1277">
        <v>1366892</v>
      </c>
    </row>
    <row r="206" spans="1:7" x14ac:dyDescent="0.3">
      <c r="A206" s="813" t="s">
        <v>598</v>
      </c>
      <c r="B206" s="1276"/>
      <c r="C206" s="1276"/>
      <c r="D206" s="1277"/>
      <c r="E206" s="1277"/>
      <c r="F206" s="1277"/>
    </row>
    <row r="207" spans="1:7" x14ac:dyDescent="0.3">
      <c r="A207" s="813" t="s">
        <v>1024</v>
      </c>
      <c r="B207" s="1276"/>
      <c r="C207" s="1276"/>
      <c r="D207" s="1277"/>
      <c r="E207" s="1277"/>
      <c r="F207" s="1277"/>
    </row>
    <row r="208" spans="1:7" ht="28.8" x14ac:dyDescent="0.3">
      <c r="A208" s="813" t="s">
        <v>333</v>
      </c>
      <c r="B208" s="1276">
        <v>41234</v>
      </c>
      <c r="C208" s="1276">
        <v>41446</v>
      </c>
      <c r="D208" s="1277">
        <v>37359000</v>
      </c>
      <c r="E208" s="1277">
        <v>37359000</v>
      </c>
      <c r="F208" s="1277">
        <v>0</v>
      </c>
    </row>
    <row r="209" spans="1:6" x14ac:dyDescent="0.3">
      <c r="A209" s="813" t="s">
        <v>399</v>
      </c>
      <c r="B209" s="1276"/>
      <c r="C209" s="1276"/>
      <c r="D209" s="1277"/>
      <c r="E209" s="1277"/>
      <c r="F209" s="1277"/>
    </row>
    <row r="210" spans="1:6" x14ac:dyDescent="0.3">
      <c r="A210" s="813" t="s">
        <v>424</v>
      </c>
      <c r="B210" s="1276"/>
      <c r="C210" s="1276"/>
      <c r="D210" s="1277"/>
      <c r="E210" s="1277"/>
      <c r="F210" s="1277"/>
    </row>
    <row r="211" spans="1:6" ht="43.2" x14ac:dyDescent="0.3">
      <c r="A211" s="813" t="s">
        <v>322</v>
      </c>
      <c r="B211" s="1276">
        <v>41235</v>
      </c>
      <c r="C211" s="1276">
        <v>41278</v>
      </c>
      <c r="D211" s="1277">
        <v>4452000</v>
      </c>
      <c r="E211" s="1277">
        <v>4452000</v>
      </c>
      <c r="F211" s="1277">
        <v>0</v>
      </c>
    </row>
    <row r="212" spans="1:6" x14ac:dyDescent="0.3">
      <c r="A212" s="813" t="s">
        <v>42</v>
      </c>
      <c r="B212" s="1276"/>
      <c r="C212" s="1276"/>
      <c r="D212" s="1277"/>
      <c r="E212" s="1277"/>
      <c r="F212" s="1277"/>
    </row>
    <row r="213" spans="1:6" x14ac:dyDescent="0.3">
      <c r="A213" s="813" t="s">
        <v>43</v>
      </c>
      <c r="B213" s="1276"/>
      <c r="C213" s="1276"/>
      <c r="D213" s="1277"/>
      <c r="E213" s="1277"/>
      <c r="F213" s="1277"/>
    </row>
    <row r="214" spans="1:6" ht="43.2" x14ac:dyDescent="0.3">
      <c r="A214" s="813" t="s">
        <v>1375</v>
      </c>
      <c r="B214" s="1276">
        <v>41240</v>
      </c>
      <c r="C214" s="1276">
        <v>41452</v>
      </c>
      <c r="D214" s="1277">
        <v>28420000</v>
      </c>
      <c r="E214" s="1277">
        <v>28379400</v>
      </c>
      <c r="F214" s="1277">
        <v>40600</v>
      </c>
    </row>
    <row r="215" spans="1:6" x14ac:dyDescent="0.3">
      <c r="A215" s="813" t="s">
        <v>67</v>
      </c>
      <c r="B215" s="1276"/>
      <c r="C215" s="1276"/>
      <c r="D215" s="1277"/>
      <c r="E215" s="1277"/>
      <c r="F215" s="1277"/>
    </row>
    <row r="216" spans="1:6" x14ac:dyDescent="0.3">
      <c r="A216" s="813" t="s">
        <v>68</v>
      </c>
      <c r="B216" s="1276"/>
      <c r="C216" s="1276"/>
      <c r="D216" s="1277"/>
      <c r="E216" s="1277"/>
      <c r="F216" s="1277"/>
    </row>
    <row r="217" spans="1:6" ht="43.2" x14ac:dyDescent="0.3">
      <c r="A217" s="813" t="s">
        <v>462</v>
      </c>
      <c r="B217" s="1276">
        <v>41260</v>
      </c>
      <c r="C217" s="1276">
        <v>41322</v>
      </c>
      <c r="D217" s="1277">
        <v>58300000</v>
      </c>
      <c r="E217" s="1277">
        <v>58300000</v>
      </c>
      <c r="F217" s="1277">
        <v>0</v>
      </c>
    </row>
    <row r="218" spans="1:6" x14ac:dyDescent="0.3">
      <c r="A218" s="813" t="s">
        <v>74</v>
      </c>
      <c r="B218" s="1276"/>
      <c r="C218" s="1276"/>
      <c r="D218" s="1277"/>
      <c r="E218" s="1277"/>
      <c r="F218" s="1277"/>
    </row>
    <row r="219" spans="1:6" x14ac:dyDescent="0.3">
      <c r="A219" s="813" t="s">
        <v>75</v>
      </c>
      <c r="B219" s="1276"/>
      <c r="C219" s="1276"/>
      <c r="D219" s="1277"/>
      <c r="E219" s="1277"/>
      <c r="F219" s="1277"/>
    </row>
    <row r="220" spans="1:6" ht="72" x14ac:dyDescent="0.3">
      <c r="A220" s="813" t="s">
        <v>415</v>
      </c>
      <c r="B220" s="1276">
        <v>41269</v>
      </c>
      <c r="C220" s="1276">
        <v>41593</v>
      </c>
      <c r="D220" s="1277">
        <v>411000000</v>
      </c>
      <c r="E220" s="1277">
        <v>411000000</v>
      </c>
      <c r="F220" s="1277">
        <v>0</v>
      </c>
    </row>
    <row r="221" spans="1:6" x14ac:dyDescent="0.3">
      <c r="A221" s="813" t="s">
        <v>54</v>
      </c>
      <c r="B221" s="1276"/>
      <c r="C221" s="1276"/>
      <c r="D221" s="1277"/>
      <c r="E221" s="1277"/>
      <c r="F221" s="1277"/>
    </row>
    <row r="222" spans="1:6" x14ac:dyDescent="0.3">
      <c r="A222" s="813" t="s">
        <v>55</v>
      </c>
      <c r="B222" s="1276"/>
      <c r="C222" s="1276"/>
      <c r="D222" s="1277"/>
      <c r="E222" s="1277"/>
      <c r="F222" s="1277"/>
    </row>
    <row r="223" spans="1:6" ht="57.6" x14ac:dyDescent="0.3">
      <c r="A223" s="813" t="s">
        <v>334</v>
      </c>
      <c r="B223" s="1276">
        <v>41271</v>
      </c>
      <c r="C223" s="1276">
        <v>41575</v>
      </c>
      <c r="D223" s="1277">
        <v>10032000</v>
      </c>
      <c r="E223" s="1277">
        <v>9339930</v>
      </c>
      <c r="F223" s="1277">
        <v>692070</v>
      </c>
    </row>
    <row r="224" spans="1:6" x14ac:dyDescent="0.3">
      <c r="A224" s="813" t="s">
        <v>11</v>
      </c>
      <c r="B224" s="1276"/>
      <c r="C224" s="1276"/>
      <c r="D224" s="1277"/>
      <c r="E224" s="1277"/>
      <c r="F224" s="1277"/>
    </row>
    <row r="225" spans="1:6" x14ac:dyDescent="0.3">
      <c r="A225" s="813" t="s">
        <v>12</v>
      </c>
      <c r="B225" s="1276"/>
      <c r="C225" s="1276"/>
      <c r="D225" s="1277"/>
      <c r="E225" s="1277"/>
      <c r="F225" s="1277"/>
    </row>
    <row r="226" spans="1:6" ht="28.8" x14ac:dyDescent="0.3">
      <c r="A226" s="813" t="s">
        <v>316</v>
      </c>
      <c r="B226" s="1276">
        <v>41288</v>
      </c>
      <c r="C226" s="1276">
        <v>41711</v>
      </c>
      <c r="D226" s="1277">
        <v>1918200</v>
      </c>
      <c r="E226" s="1277">
        <v>1755170</v>
      </c>
      <c r="F226" s="1277">
        <v>163030</v>
      </c>
    </row>
    <row r="227" spans="1:6" x14ac:dyDescent="0.3">
      <c r="A227" s="813" t="s">
        <v>4</v>
      </c>
      <c r="B227" s="1276"/>
      <c r="C227" s="1276"/>
      <c r="D227" s="1277"/>
      <c r="E227" s="1277"/>
      <c r="F227" s="1277"/>
    </row>
    <row r="228" spans="1:6" x14ac:dyDescent="0.3">
      <c r="A228" s="813" t="s">
        <v>1027</v>
      </c>
      <c r="B228" s="1276"/>
      <c r="C228" s="1276"/>
      <c r="D228" s="1277"/>
      <c r="E228" s="1277"/>
      <c r="F228" s="1277"/>
    </row>
    <row r="229" spans="1:6" ht="43.2" x14ac:dyDescent="0.3">
      <c r="A229" s="813" t="s">
        <v>312</v>
      </c>
      <c r="B229" s="1276">
        <v>41292</v>
      </c>
      <c r="C229" s="1276">
        <v>41608</v>
      </c>
      <c r="D229" s="1277">
        <v>79213111</v>
      </c>
      <c r="E229" s="1277">
        <v>65129800</v>
      </c>
      <c r="F229" s="1277">
        <v>14083311</v>
      </c>
    </row>
    <row r="230" spans="1:6" x14ac:dyDescent="0.3">
      <c r="A230" s="813" t="s">
        <v>71</v>
      </c>
      <c r="B230" s="1276"/>
      <c r="C230" s="1276"/>
      <c r="D230" s="1277"/>
      <c r="E230" s="1277"/>
      <c r="F230" s="1277"/>
    </row>
    <row r="231" spans="1:6" x14ac:dyDescent="0.3">
      <c r="A231" s="813" t="s">
        <v>1028</v>
      </c>
      <c r="B231" s="1276"/>
      <c r="C231" s="1276"/>
      <c r="D231" s="1277"/>
      <c r="E231" s="1277"/>
      <c r="F231" s="1277"/>
    </row>
    <row r="232" spans="1:6" ht="43.2" x14ac:dyDescent="0.3">
      <c r="A232" s="813" t="s">
        <v>339</v>
      </c>
      <c r="B232" s="1276">
        <v>41325</v>
      </c>
      <c r="C232" s="1276">
        <v>41505</v>
      </c>
      <c r="D232" s="1277">
        <v>75246412</v>
      </c>
      <c r="E232" s="1277">
        <v>75232704</v>
      </c>
      <c r="F232" s="1277">
        <v>13708</v>
      </c>
    </row>
    <row r="233" spans="1:6" x14ac:dyDescent="0.3">
      <c r="A233" s="1279" t="s">
        <v>76</v>
      </c>
      <c r="B233" s="1276"/>
      <c r="C233" s="1276"/>
      <c r="D233" s="1277"/>
      <c r="E233" s="1277"/>
      <c r="F233" s="1277"/>
    </row>
    <row r="234" spans="1:6" x14ac:dyDescent="0.3">
      <c r="A234" s="1279" t="s">
        <v>77</v>
      </c>
      <c r="B234" s="1276"/>
      <c r="C234" s="1276"/>
      <c r="D234" s="1277"/>
      <c r="E234" s="1277"/>
      <c r="F234" s="1277"/>
    </row>
    <row r="235" spans="1:6" ht="52.2" x14ac:dyDescent="0.3">
      <c r="A235" s="1279" t="s">
        <v>417</v>
      </c>
      <c r="B235" s="404">
        <v>41263</v>
      </c>
      <c r="C235" s="404">
        <v>43281</v>
      </c>
      <c r="D235" s="1278">
        <v>3900374978</v>
      </c>
      <c r="E235" s="1278">
        <v>680003244</v>
      </c>
      <c r="F235" s="1278">
        <v>3220371734</v>
      </c>
    </row>
    <row r="236" spans="1:6" x14ac:dyDescent="0.3">
      <c r="A236" s="813" t="s">
        <v>45</v>
      </c>
      <c r="B236" s="1276"/>
      <c r="C236" s="1276"/>
      <c r="D236" s="1277"/>
      <c r="E236" s="1277"/>
      <c r="F236" s="1277"/>
    </row>
    <row r="237" spans="1:6" x14ac:dyDescent="0.3">
      <c r="A237" s="813" t="s">
        <v>46</v>
      </c>
      <c r="B237" s="1276"/>
      <c r="C237" s="1276"/>
      <c r="D237" s="1277"/>
      <c r="E237" s="1277"/>
      <c r="F237" s="1277"/>
    </row>
    <row r="238" spans="1:6" ht="43.2" x14ac:dyDescent="0.3">
      <c r="A238" s="813" t="s">
        <v>330</v>
      </c>
      <c r="B238" s="1276">
        <v>41292</v>
      </c>
      <c r="C238" s="1276">
        <v>41322</v>
      </c>
      <c r="D238" s="1277">
        <v>1062500</v>
      </c>
      <c r="E238" s="1277">
        <v>1062500</v>
      </c>
      <c r="F238" s="1277">
        <v>0</v>
      </c>
    </row>
    <row r="239" spans="1:6" x14ac:dyDescent="0.3">
      <c r="A239" s="813" t="s">
        <v>25</v>
      </c>
      <c r="B239" s="1276"/>
      <c r="C239" s="1276"/>
      <c r="D239" s="1277"/>
      <c r="E239" s="1277"/>
      <c r="F239" s="1277"/>
    </row>
    <row r="240" spans="1:6" x14ac:dyDescent="0.3">
      <c r="A240" s="813" t="s">
        <v>26</v>
      </c>
      <c r="B240" s="1276"/>
      <c r="C240" s="1276"/>
      <c r="D240" s="1277"/>
      <c r="E240" s="1277"/>
      <c r="F240" s="1277"/>
    </row>
    <row r="241" spans="1:6" ht="57.6" x14ac:dyDescent="0.3">
      <c r="A241" s="813" t="s">
        <v>1376</v>
      </c>
      <c r="B241" s="1276">
        <v>41313</v>
      </c>
      <c r="C241" s="1276">
        <v>41736</v>
      </c>
      <c r="D241" s="1277">
        <v>115663600</v>
      </c>
      <c r="E241" s="1277">
        <v>115663040</v>
      </c>
      <c r="F241" s="1277">
        <v>560</v>
      </c>
    </row>
    <row r="242" spans="1:6" x14ac:dyDescent="0.3">
      <c r="A242" s="813" t="s">
        <v>116</v>
      </c>
      <c r="B242" s="1276"/>
      <c r="C242" s="1276"/>
      <c r="D242" s="1277"/>
      <c r="E242" s="1277"/>
      <c r="F242" s="1277"/>
    </row>
    <row r="243" spans="1:6" x14ac:dyDescent="0.3">
      <c r="A243" s="813" t="s">
        <v>418</v>
      </c>
      <c r="B243" s="1276"/>
      <c r="C243" s="1276"/>
      <c r="D243" s="1277"/>
      <c r="E243" s="1277"/>
      <c r="F243" s="1277"/>
    </row>
    <row r="244" spans="1:6" x14ac:dyDescent="0.3">
      <c r="A244" s="813" t="s">
        <v>350</v>
      </c>
      <c r="B244" s="1276">
        <v>41323</v>
      </c>
      <c r="C244" s="1276">
        <v>41442</v>
      </c>
      <c r="D244" s="1277">
        <v>36990000</v>
      </c>
      <c r="E244" s="1277">
        <v>36990000</v>
      </c>
      <c r="F244" s="1277">
        <v>0</v>
      </c>
    </row>
    <row r="245" spans="1:6" x14ac:dyDescent="0.3">
      <c r="A245" s="813" t="s">
        <v>122</v>
      </c>
      <c r="B245" s="1276"/>
      <c r="C245" s="1276"/>
      <c r="D245" s="1277"/>
      <c r="E245" s="1277"/>
      <c r="F245" s="1277"/>
    </row>
    <row r="246" spans="1:6" x14ac:dyDescent="0.3">
      <c r="A246" s="813" t="s">
        <v>244</v>
      </c>
      <c r="B246" s="1276"/>
      <c r="C246" s="1276"/>
      <c r="D246" s="1277"/>
      <c r="E246" s="1277"/>
      <c r="F246" s="1277"/>
    </row>
    <row r="247" spans="1:6" ht="28.8" x14ac:dyDescent="0.3">
      <c r="A247" s="813" t="s">
        <v>354</v>
      </c>
      <c r="B247" s="1276">
        <v>41316</v>
      </c>
      <c r="C247" s="1276">
        <v>41680</v>
      </c>
      <c r="D247" s="1277">
        <v>85314724</v>
      </c>
      <c r="E247" s="1277">
        <v>85314724</v>
      </c>
      <c r="F247" s="1277">
        <v>0</v>
      </c>
    </row>
    <row r="248" spans="1:6" x14ac:dyDescent="0.3">
      <c r="A248" s="813" t="s">
        <v>182</v>
      </c>
      <c r="B248" s="1276"/>
      <c r="C248" s="1276"/>
      <c r="D248" s="1277"/>
      <c r="E248" s="1277"/>
      <c r="F248" s="1277"/>
    </row>
    <row r="249" spans="1:6" x14ac:dyDescent="0.3">
      <c r="A249" s="813" t="s">
        <v>152</v>
      </c>
      <c r="B249" s="1276"/>
      <c r="C249" s="1276"/>
      <c r="D249" s="1277"/>
      <c r="E249" s="1277"/>
      <c r="F249" s="1277"/>
    </row>
    <row r="250" spans="1:6" ht="57.6" x14ac:dyDescent="0.3">
      <c r="A250" s="813" t="s">
        <v>441</v>
      </c>
      <c r="B250" s="1276">
        <v>40150</v>
      </c>
      <c r="C250" s="1276">
        <v>41336</v>
      </c>
      <c r="D250" s="1277">
        <v>507000000</v>
      </c>
      <c r="E250" s="1277">
        <v>471070424</v>
      </c>
      <c r="F250" s="1277">
        <v>35929576</v>
      </c>
    </row>
    <row r="251" spans="1:6" x14ac:dyDescent="0.3">
      <c r="A251" s="813" t="s">
        <v>78</v>
      </c>
      <c r="B251" s="1276"/>
      <c r="C251" s="1276"/>
      <c r="D251" s="1277"/>
      <c r="E251" s="1277"/>
      <c r="F251" s="1277"/>
    </row>
    <row r="252" spans="1:6" x14ac:dyDescent="0.3">
      <c r="A252" s="813" t="s">
        <v>79</v>
      </c>
      <c r="B252" s="1276"/>
      <c r="C252" s="1276"/>
      <c r="D252" s="1277"/>
      <c r="E252" s="1277"/>
      <c r="F252" s="1277"/>
    </row>
    <row r="253" spans="1:6" ht="57.6" x14ac:dyDescent="0.3">
      <c r="A253" s="813" t="s">
        <v>340</v>
      </c>
      <c r="B253" s="1276">
        <v>41319</v>
      </c>
      <c r="C253" s="1276">
        <v>41683</v>
      </c>
      <c r="D253" s="1277">
        <v>123000000</v>
      </c>
      <c r="E253" s="1277">
        <v>123000000</v>
      </c>
      <c r="F253" s="1277">
        <v>0</v>
      </c>
    </row>
    <row r="254" spans="1:6" x14ac:dyDescent="0.3">
      <c r="A254" s="813" t="s">
        <v>80</v>
      </c>
      <c r="B254" s="1276"/>
      <c r="C254" s="1276"/>
      <c r="D254" s="1277"/>
      <c r="E254" s="1277"/>
      <c r="F254" s="1277"/>
    </row>
    <row r="255" spans="1:6" x14ac:dyDescent="0.3">
      <c r="A255" s="813" t="s">
        <v>81</v>
      </c>
      <c r="B255" s="1276"/>
      <c r="C255" s="1276"/>
      <c r="D255" s="1277"/>
      <c r="E255" s="1277"/>
      <c r="F255" s="1277"/>
    </row>
    <row r="256" spans="1:6" ht="43.2" x14ac:dyDescent="0.3">
      <c r="A256" s="813" t="s">
        <v>1072</v>
      </c>
      <c r="B256" s="1276">
        <v>41347</v>
      </c>
      <c r="C256" s="1276">
        <v>41711</v>
      </c>
      <c r="D256" s="1277">
        <v>1113600</v>
      </c>
      <c r="E256" s="1277">
        <v>1113600</v>
      </c>
      <c r="F256" s="1277">
        <v>0</v>
      </c>
    </row>
    <row r="257" spans="1:6" x14ac:dyDescent="0.3">
      <c r="A257" s="813" t="s">
        <v>82</v>
      </c>
      <c r="B257" s="1276"/>
      <c r="C257" s="1276"/>
      <c r="D257" s="1277"/>
      <c r="E257" s="1277"/>
      <c r="F257" s="1277"/>
    </row>
    <row r="258" spans="1:6" x14ac:dyDescent="0.3">
      <c r="A258" s="813" t="s">
        <v>1029</v>
      </c>
      <c r="B258" s="1276"/>
      <c r="C258" s="1276"/>
      <c r="D258" s="1277"/>
      <c r="E258" s="1277"/>
      <c r="F258" s="1277"/>
    </row>
    <row r="259" spans="1:6" ht="43.2" x14ac:dyDescent="0.3">
      <c r="A259" s="813" t="s">
        <v>463</v>
      </c>
      <c r="B259" s="1276">
        <v>41347</v>
      </c>
      <c r="C259" s="1276">
        <v>41652</v>
      </c>
      <c r="D259" s="1277">
        <v>4967474</v>
      </c>
      <c r="E259" s="1277">
        <v>4453683</v>
      </c>
      <c r="F259" s="1277">
        <v>513791</v>
      </c>
    </row>
    <row r="260" spans="1:6" x14ac:dyDescent="0.3">
      <c r="A260" s="813" t="s">
        <v>83</v>
      </c>
      <c r="B260" s="1276"/>
      <c r="C260" s="1276"/>
      <c r="D260" s="1277"/>
      <c r="E260" s="1277"/>
      <c r="F260" s="1277"/>
    </row>
    <row r="261" spans="1:6" x14ac:dyDescent="0.3">
      <c r="A261" s="813" t="s">
        <v>84</v>
      </c>
      <c r="B261" s="1276"/>
      <c r="C261" s="1276"/>
      <c r="D261" s="1277"/>
      <c r="E261" s="1277"/>
      <c r="F261" s="1277"/>
    </row>
    <row r="262" spans="1:6" ht="28.8" x14ac:dyDescent="0.3">
      <c r="A262" s="813" t="s">
        <v>320</v>
      </c>
      <c r="B262" s="1276">
        <v>41367</v>
      </c>
      <c r="C262" s="1276">
        <v>41731</v>
      </c>
      <c r="D262" s="1277">
        <v>15913500</v>
      </c>
      <c r="E262" s="1277">
        <v>15453868</v>
      </c>
      <c r="F262" s="1277">
        <v>459632</v>
      </c>
    </row>
    <row r="263" spans="1:6" x14ac:dyDescent="0.3">
      <c r="A263" s="813" t="s">
        <v>85</v>
      </c>
      <c r="B263" s="1276"/>
      <c r="C263" s="1276"/>
      <c r="D263" s="1277"/>
      <c r="E263" s="1277"/>
      <c r="F263" s="1277"/>
    </row>
    <row r="264" spans="1:6" x14ac:dyDescent="0.3">
      <c r="A264" s="813" t="s">
        <v>86</v>
      </c>
      <c r="B264" s="1276"/>
      <c r="C264" s="1276"/>
      <c r="D264" s="1277"/>
      <c r="E264" s="1277"/>
      <c r="F264" s="1277"/>
    </row>
    <row r="265" spans="1:6" ht="28.8" x14ac:dyDescent="0.3">
      <c r="A265" s="813" t="s">
        <v>341</v>
      </c>
      <c r="B265" s="1276">
        <v>41352</v>
      </c>
      <c r="C265" s="1276">
        <v>41716</v>
      </c>
      <c r="D265" s="1277">
        <v>1197000</v>
      </c>
      <c r="E265" s="1277">
        <v>1197000</v>
      </c>
      <c r="F265" s="1277">
        <v>0</v>
      </c>
    </row>
    <row r="266" spans="1:6" x14ac:dyDescent="0.3">
      <c r="A266" s="813" t="s">
        <v>87</v>
      </c>
      <c r="B266" s="1276"/>
      <c r="C266" s="1276"/>
      <c r="D266" s="1277"/>
      <c r="E266" s="1277"/>
      <c r="F266" s="1277"/>
    </row>
    <row r="267" spans="1:6" x14ac:dyDescent="0.3">
      <c r="A267" s="813" t="s">
        <v>435</v>
      </c>
      <c r="B267" s="1276"/>
      <c r="C267" s="1276"/>
      <c r="D267" s="1277"/>
      <c r="E267" s="1277"/>
      <c r="F267" s="1277"/>
    </row>
    <row r="268" spans="1:6" ht="43.2" x14ac:dyDescent="0.3">
      <c r="A268" s="813" t="s">
        <v>318</v>
      </c>
      <c r="B268" s="1276">
        <v>41400</v>
      </c>
      <c r="C268" s="1276">
        <v>41764</v>
      </c>
      <c r="D268" s="1277">
        <v>8360000</v>
      </c>
      <c r="E268" s="1277">
        <v>7018000</v>
      </c>
      <c r="F268" s="1277">
        <v>1342000</v>
      </c>
    </row>
    <row r="269" spans="1:6" x14ac:dyDescent="0.3">
      <c r="A269" s="813" t="s">
        <v>88</v>
      </c>
      <c r="B269" s="1276"/>
      <c r="C269" s="1276"/>
      <c r="D269" s="1277"/>
      <c r="E269" s="1277"/>
      <c r="F269" s="1277"/>
    </row>
    <row r="270" spans="1:6" x14ac:dyDescent="0.3">
      <c r="A270" s="813" t="s">
        <v>1030</v>
      </c>
      <c r="B270" s="1276"/>
      <c r="C270" s="1276"/>
      <c r="D270" s="1277"/>
      <c r="E270" s="1277"/>
      <c r="F270" s="1277"/>
    </row>
    <row r="271" spans="1:6" ht="43.2" x14ac:dyDescent="0.3">
      <c r="A271" s="813" t="s">
        <v>342</v>
      </c>
      <c r="B271" s="1276">
        <v>41393</v>
      </c>
      <c r="C271" s="1276">
        <v>41545</v>
      </c>
      <c r="D271" s="1277">
        <v>3700000</v>
      </c>
      <c r="E271" s="1277">
        <v>3700000</v>
      </c>
      <c r="F271" s="1277">
        <v>0</v>
      </c>
    </row>
    <row r="272" spans="1:6" x14ac:dyDescent="0.3">
      <c r="A272" s="813" t="s">
        <v>91</v>
      </c>
      <c r="B272" s="1276"/>
      <c r="C272" s="1276"/>
      <c r="D272" s="1277"/>
      <c r="E272" s="1277"/>
      <c r="F272" s="1277"/>
    </row>
    <row r="273" spans="1:6" x14ac:dyDescent="0.3">
      <c r="A273" s="813" t="s">
        <v>1031</v>
      </c>
      <c r="B273" s="1276"/>
      <c r="C273" s="1276"/>
      <c r="D273" s="1277"/>
      <c r="E273" s="1277"/>
      <c r="F273" s="1277"/>
    </row>
    <row r="274" spans="1:6" ht="72" x14ac:dyDescent="0.3">
      <c r="A274" s="813" t="s">
        <v>464</v>
      </c>
      <c r="B274" s="1276">
        <v>41387</v>
      </c>
      <c r="C274" s="1276">
        <v>41692</v>
      </c>
      <c r="D274" s="1277">
        <v>50000000</v>
      </c>
      <c r="E274" s="1277">
        <v>50000000</v>
      </c>
      <c r="F274" s="1277">
        <v>0</v>
      </c>
    </row>
    <row r="275" spans="1:6" x14ac:dyDescent="0.3">
      <c r="A275" s="813" t="s">
        <v>93</v>
      </c>
      <c r="B275" s="1276"/>
      <c r="C275" s="1276"/>
      <c r="D275" s="1277"/>
      <c r="E275" s="1277"/>
      <c r="F275" s="1277"/>
    </row>
    <row r="276" spans="1:6" x14ac:dyDescent="0.3">
      <c r="A276" s="813" t="s">
        <v>1032</v>
      </c>
      <c r="B276" s="1276"/>
      <c r="C276" s="1276"/>
      <c r="D276" s="1277"/>
      <c r="E276" s="1277"/>
      <c r="F276" s="1277"/>
    </row>
    <row r="277" spans="1:6" ht="28.8" x14ac:dyDescent="0.3">
      <c r="A277" s="813" t="s">
        <v>343</v>
      </c>
      <c r="B277" s="1276">
        <v>41396</v>
      </c>
      <c r="C277" s="1276">
        <v>41699</v>
      </c>
      <c r="D277" s="1277">
        <v>41600000</v>
      </c>
      <c r="E277" s="1277">
        <v>41600000</v>
      </c>
      <c r="F277" s="1277">
        <v>0</v>
      </c>
    </row>
    <row r="278" spans="1:6" x14ac:dyDescent="0.3">
      <c r="A278" s="813" t="s">
        <v>94</v>
      </c>
      <c r="B278" s="1276"/>
      <c r="C278" s="1276"/>
      <c r="D278" s="1277"/>
      <c r="E278" s="1277"/>
      <c r="F278" s="1277"/>
    </row>
    <row r="279" spans="1:6" x14ac:dyDescent="0.3">
      <c r="A279" s="813" t="s">
        <v>433</v>
      </c>
      <c r="B279" s="1276"/>
      <c r="C279" s="1276"/>
      <c r="D279" s="1277"/>
      <c r="E279" s="1277"/>
      <c r="F279" s="1277"/>
    </row>
    <row r="280" spans="1:6" ht="43.2" x14ac:dyDescent="0.3">
      <c r="A280" s="813" t="s">
        <v>344</v>
      </c>
      <c r="B280" s="1276">
        <v>41411</v>
      </c>
      <c r="C280" s="1276">
        <v>41508</v>
      </c>
      <c r="D280" s="1277">
        <v>240000000</v>
      </c>
      <c r="E280" s="1277">
        <v>239999964</v>
      </c>
      <c r="F280" s="1277">
        <v>36</v>
      </c>
    </row>
    <row r="281" spans="1:6" x14ac:dyDescent="0.3">
      <c r="A281" s="813" t="s">
        <v>95</v>
      </c>
      <c r="B281" s="1276"/>
      <c r="C281" s="1276"/>
      <c r="D281" s="1277"/>
      <c r="E281" s="1277"/>
      <c r="F281" s="1277"/>
    </row>
    <row r="282" spans="1:6" x14ac:dyDescent="0.3">
      <c r="A282" s="813" t="s">
        <v>41</v>
      </c>
      <c r="B282" s="1276"/>
      <c r="C282" s="1276"/>
      <c r="D282" s="1277"/>
      <c r="E282" s="1277"/>
      <c r="F282" s="1277"/>
    </row>
    <row r="283" spans="1:6" ht="28.8" x14ac:dyDescent="0.3">
      <c r="A283" s="813" t="s">
        <v>458</v>
      </c>
      <c r="B283" s="1276">
        <v>41403</v>
      </c>
      <c r="C283" s="1276">
        <v>41890</v>
      </c>
      <c r="D283" s="1277">
        <v>67179000</v>
      </c>
      <c r="E283" s="1277">
        <v>67115300</v>
      </c>
      <c r="F283" s="1277">
        <v>63700</v>
      </c>
    </row>
    <row r="284" spans="1:6" x14ac:dyDescent="0.3">
      <c r="A284" s="813" t="s">
        <v>96</v>
      </c>
      <c r="B284" s="1276"/>
      <c r="C284" s="1276"/>
      <c r="D284" s="1277"/>
      <c r="E284" s="1277"/>
      <c r="F284" s="1277"/>
    </row>
    <row r="285" spans="1:6" x14ac:dyDescent="0.3">
      <c r="A285" s="813" t="s">
        <v>3</v>
      </c>
      <c r="B285" s="1276"/>
      <c r="C285" s="1276"/>
      <c r="D285" s="1277"/>
      <c r="E285" s="1277"/>
      <c r="F285" s="1277"/>
    </row>
    <row r="286" spans="1:6" ht="43.2" x14ac:dyDescent="0.3">
      <c r="A286" s="813" t="s">
        <v>456</v>
      </c>
      <c r="B286" s="1276">
        <v>41426</v>
      </c>
      <c r="C286" s="1276">
        <v>41820</v>
      </c>
      <c r="D286" s="1277">
        <v>473134060</v>
      </c>
      <c r="E286" s="1277">
        <v>473133510</v>
      </c>
      <c r="F286" s="1277">
        <v>550</v>
      </c>
    </row>
    <row r="287" spans="1:6" x14ac:dyDescent="0.3">
      <c r="A287" s="813" t="s">
        <v>97</v>
      </c>
      <c r="B287" s="1276"/>
      <c r="C287" s="1276"/>
      <c r="D287" s="1277"/>
      <c r="E287" s="1277"/>
      <c r="F287" s="1277"/>
    </row>
    <row r="288" spans="1:6" x14ac:dyDescent="0.3">
      <c r="A288" s="813" t="s">
        <v>98</v>
      </c>
      <c r="B288" s="1276"/>
      <c r="C288" s="1276"/>
      <c r="D288" s="1277"/>
      <c r="E288" s="1277"/>
      <c r="F288" s="1277"/>
    </row>
    <row r="289" spans="1:6" ht="43.2" x14ac:dyDescent="0.3">
      <c r="A289" s="813" t="s">
        <v>345</v>
      </c>
      <c r="B289" s="1276">
        <v>41417</v>
      </c>
      <c r="C289" s="1276">
        <v>41692</v>
      </c>
      <c r="D289" s="1277">
        <v>2096276</v>
      </c>
      <c r="E289" s="1277">
        <v>2086672</v>
      </c>
      <c r="F289" s="1277">
        <v>9604</v>
      </c>
    </row>
    <row r="290" spans="1:6" x14ac:dyDescent="0.3">
      <c r="A290" s="813" t="s">
        <v>99</v>
      </c>
      <c r="B290" s="1276"/>
      <c r="C290" s="1276"/>
      <c r="D290" s="1277"/>
      <c r="E290" s="1277"/>
      <c r="F290" s="1277"/>
    </row>
    <row r="291" spans="1:6" x14ac:dyDescent="0.3">
      <c r="A291" s="813" t="s">
        <v>100</v>
      </c>
      <c r="B291" s="1276">
        <v>41416</v>
      </c>
      <c r="C291" s="1276">
        <v>41660</v>
      </c>
      <c r="D291" s="1277">
        <v>18744000</v>
      </c>
      <c r="E291" s="1277">
        <v>18286734</v>
      </c>
      <c r="F291" s="1277">
        <v>457266</v>
      </c>
    </row>
    <row r="292" spans="1:6" x14ac:dyDescent="0.3">
      <c r="A292" s="813" t="s">
        <v>121</v>
      </c>
      <c r="B292" s="1276"/>
      <c r="C292" s="1276"/>
      <c r="D292" s="1277"/>
      <c r="E292" s="1277"/>
      <c r="F292" s="1277"/>
    </row>
    <row r="293" spans="1:6" x14ac:dyDescent="0.3">
      <c r="A293" s="813" t="s">
        <v>15</v>
      </c>
      <c r="B293" s="1276"/>
      <c r="C293" s="1276"/>
      <c r="D293" s="1277"/>
      <c r="E293" s="1277"/>
      <c r="F293" s="1277"/>
    </row>
    <row r="294" spans="1:6" x14ac:dyDescent="0.3">
      <c r="A294" s="813" t="s">
        <v>353</v>
      </c>
      <c r="B294" s="1276">
        <v>41410</v>
      </c>
      <c r="C294" s="1276">
        <v>41774</v>
      </c>
      <c r="D294" s="1277">
        <v>7740000</v>
      </c>
      <c r="E294" s="1277">
        <v>7740000</v>
      </c>
      <c r="F294" s="1277">
        <v>0</v>
      </c>
    </row>
    <row r="295" spans="1:6" x14ac:dyDescent="0.3">
      <c r="A295" s="813" t="s">
        <v>123</v>
      </c>
      <c r="B295" s="1276"/>
      <c r="C295" s="1276"/>
      <c r="D295" s="1277"/>
      <c r="E295" s="1277"/>
      <c r="F295" s="1277"/>
    </row>
    <row r="296" spans="1:6" x14ac:dyDescent="0.3">
      <c r="A296" s="813" t="s">
        <v>124</v>
      </c>
      <c r="B296" s="1276"/>
      <c r="C296" s="1276"/>
      <c r="D296" s="1277"/>
      <c r="E296" s="1277"/>
      <c r="F296" s="1277"/>
    </row>
    <row r="297" spans="1:6" ht="72" x14ac:dyDescent="0.3">
      <c r="A297" s="813" t="s">
        <v>464</v>
      </c>
      <c r="B297" s="1276">
        <v>41410</v>
      </c>
      <c r="C297" s="1276">
        <v>41713</v>
      </c>
      <c r="D297" s="1277">
        <v>50000000</v>
      </c>
      <c r="E297" s="1277">
        <v>27500000</v>
      </c>
      <c r="F297" s="1277">
        <v>22500000</v>
      </c>
    </row>
    <row r="298" spans="1:6" x14ac:dyDescent="0.3">
      <c r="A298" s="813" t="s">
        <v>125</v>
      </c>
      <c r="B298" s="1276"/>
      <c r="C298" s="1276"/>
      <c r="D298" s="1277"/>
      <c r="E298" s="1277"/>
      <c r="F298" s="1277"/>
    </row>
    <row r="299" spans="1:6" x14ac:dyDescent="0.3">
      <c r="A299" s="813" t="s">
        <v>126</v>
      </c>
      <c r="B299" s="1276"/>
      <c r="C299" s="1276"/>
      <c r="D299" s="1277"/>
      <c r="E299" s="1277"/>
      <c r="F299" s="1277"/>
    </row>
    <row r="300" spans="1:6" ht="43.2" x14ac:dyDescent="0.3">
      <c r="A300" s="813" t="s">
        <v>466</v>
      </c>
      <c r="B300" s="1276">
        <v>41423</v>
      </c>
      <c r="C300" s="1276">
        <v>41698</v>
      </c>
      <c r="D300" s="1277">
        <v>9366000</v>
      </c>
      <c r="E300" s="1277">
        <v>7783682</v>
      </c>
      <c r="F300" s="1277">
        <v>1582318</v>
      </c>
    </row>
    <row r="301" spans="1:6" x14ac:dyDescent="0.3">
      <c r="A301" s="813" t="s">
        <v>129</v>
      </c>
      <c r="B301" s="1276"/>
      <c r="C301" s="1276"/>
      <c r="D301" s="1277"/>
      <c r="E301" s="1277"/>
      <c r="F301" s="1277"/>
    </row>
    <row r="302" spans="1:6" x14ac:dyDescent="0.3">
      <c r="A302" s="813" t="s">
        <v>1018</v>
      </c>
      <c r="B302" s="1276"/>
      <c r="C302" s="1276"/>
      <c r="D302" s="1277"/>
      <c r="E302" s="1277"/>
      <c r="F302" s="1277"/>
    </row>
    <row r="303" spans="1:6" ht="43.2" x14ac:dyDescent="0.3">
      <c r="A303" s="813" t="s">
        <v>315</v>
      </c>
      <c r="B303" s="1276">
        <v>41410</v>
      </c>
      <c r="C303" s="1276">
        <v>41806</v>
      </c>
      <c r="D303" s="1277">
        <v>33120000</v>
      </c>
      <c r="E303" s="1277">
        <v>32832950</v>
      </c>
      <c r="F303" s="1277">
        <v>287050</v>
      </c>
    </row>
    <row r="304" spans="1:6" x14ac:dyDescent="0.3">
      <c r="A304" s="813" t="s">
        <v>89</v>
      </c>
      <c r="B304" s="1276"/>
      <c r="C304" s="1276"/>
      <c r="D304" s="1277"/>
      <c r="E304" s="1277"/>
      <c r="F304" s="1277"/>
    </row>
    <row r="305" spans="1:6" x14ac:dyDescent="0.3">
      <c r="A305" s="813" t="s">
        <v>90</v>
      </c>
      <c r="B305" s="1276"/>
      <c r="C305" s="1276"/>
      <c r="D305" s="1277"/>
      <c r="E305" s="1277"/>
      <c r="F305" s="1277"/>
    </row>
    <row r="306" spans="1:6" ht="43.2" x14ac:dyDescent="0.3">
      <c r="A306" s="813" t="s">
        <v>467</v>
      </c>
      <c r="B306" s="1276">
        <v>41438</v>
      </c>
      <c r="C306" s="1276">
        <v>41802</v>
      </c>
      <c r="D306" s="1277">
        <v>1030000</v>
      </c>
      <c r="E306" s="1277">
        <v>1030000</v>
      </c>
      <c r="F306" s="1277">
        <v>0</v>
      </c>
    </row>
    <row r="307" spans="1:6" x14ac:dyDescent="0.3">
      <c r="A307" s="813" t="s">
        <v>130</v>
      </c>
      <c r="B307" s="1276"/>
      <c r="C307" s="1276"/>
      <c r="D307" s="1277"/>
      <c r="E307" s="1277"/>
      <c r="F307" s="1277"/>
    </row>
    <row r="308" spans="1:6" x14ac:dyDescent="0.3">
      <c r="A308" s="813" t="s">
        <v>1110</v>
      </c>
      <c r="B308" s="1276"/>
      <c r="C308" s="1276"/>
      <c r="D308" s="1277"/>
      <c r="E308" s="1277"/>
      <c r="F308" s="1277"/>
    </row>
    <row r="309" spans="1:6" ht="57.6" x14ac:dyDescent="0.3">
      <c r="A309" s="813" t="s">
        <v>468</v>
      </c>
      <c r="B309" s="1276">
        <v>41421</v>
      </c>
      <c r="C309" s="1276">
        <v>41897</v>
      </c>
      <c r="D309" s="1277">
        <v>1552431776</v>
      </c>
      <c r="E309" s="1277">
        <v>1552431775</v>
      </c>
      <c r="F309" s="1277">
        <v>1</v>
      </c>
    </row>
    <row r="310" spans="1:6" x14ac:dyDescent="0.3">
      <c r="A310" s="1279" t="s">
        <v>132</v>
      </c>
      <c r="B310" s="404"/>
      <c r="C310" s="404"/>
      <c r="D310" s="1278"/>
      <c r="E310" s="1278"/>
      <c r="F310" s="1278"/>
    </row>
    <row r="311" spans="1:6" x14ac:dyDescent="0.3">
      <c r="A311" s="813" t="s">
        <v>27</v>
      </c>
      <c r="B311" s="404"/>
      <c r="C311" s="404"/>
      <c r="D311" s="1278"/>
      <c r="E311" s="1278"/>
      <c r="F311" s="1278"/>
    </row>
    <row r="312" spans="1:6" ht="43.2" x14ac:dyDescent="0.3">
      <c r="A312" s="813" t="s">
        <v>450</v>
      </c>
      <c r="B312" s="404">
        <v>41421</v>
      </c>
      <c r="C312" s="404">
        <v>41969</v>
      </c>
      <c r="D312" s="1278">
        <v>849000</v>
      </c>
      <c r="E312" s="1278">
        <v>849000</v>
      </c>
      <c r="F312" s="1278">
        <v>0</v>
      </c>
    </row>
    <row r="313" spans="1:6" x14ac:dyDescent="0.3">
      <c r="A313" s="813" t="s">
        <v>133</v>
      </c>
      <c r="B313" s="1276"/>
      <c r="C313" s="1276"/>
      <c r="D313" s="1277"/>
      <c r="E313" s="1277"/>
      <c r="F313" s="1277"/>
    </row>
    <row r="314" spans="1:6" x14ac:dyDescent="0.3">
      <c r="A314" s="813" t="s">
        <v>134</v>
      </c>
      <c r="B314" s="1276"/>
      <c r="C314" s="1276"/>
      <c r="D314" s="1277"/>
      <c r="E314" s="1277"/>
      <c r="F314" s="1277"/>
    </row>
    <row r="315" spans="1:6" ht="28.8" x14ac:dyDescent="0.3">
      <c r="A315" s="813" t="s">
        <v>356</v>
      </c>
      <c r="B315" s="1276">
        <v>41459</v>
      </c>
      <c r="C315" s="1276">
        <v>41823</v>
      </c>
      <c r="D315" s="1277">
        <v>15000000</v>
      </c>
      <c r="E315" s="1277">
        <v>5368620</v>
      </c>
      <c r="F315" s="1277">
        <v>9631380</v>
      </c>
    </row>
    <row r="316" spans="1:6" x14ac:dyDescent="0.3">
      <c r="A316" s="813" t="s">
        <v>135</v>
      </c>
      <c r="B316" s="1276"/>
      <c r="C316" s="1276"/>
      <c r="D316" s="1277"/>
      <c r="E316" s="1277"/>
      <c r="F316" s="1277"/>
    </row>
    <row r="317" spans="1:6" x14ac:dyDescent="0.3">
      <c r="A317" s="813" t="s">
        <v>38</v>
      </c>
      <c r="B317" s="1276"/>
      <c r="C317" s="1276"/>
      <c r="D317" s="1277"/>
      <c r="E317" s="1277"/>
      <c r="F317" s="1277"/>
    </row>
    <row r="318" spans="1:6" ht="28.8" x14ac:dyDescent="0.3">
      <c r="A318" s="813" t="s">
        <v>327</v>
      </c>
      <c r="B318" s="1276">
        <v>41426</v>
      </c>
      <c r="C318" s="1276">
        <v>41820</v>
      </c>
      <c r="D318" s="1277">
        <v>35904847</v>
      </c>
      <c r="E318" s="1277">
        <v>35904845</v>
      </c>
      <c r="F318" s="1277">
        <v>2</v>
      </c>
    </row>
    <row r="319" spans="1:6" x14ac:dyDescent="0.3">
      <c r="A319" s="813" t="s">
        <v>136</v>
      </c>
      <c r="B319" s="1276"/>
      <c r="C319" s="1276"/>
      <c r="D319" s="1277"/>
      <c r="E319" s="1277"/>
      <c r="F319" s="1277"/>
    </row>
    <row r="320" spans="1:6" x14ac:dyDescent="0.3">
      <c r="A320" s="813" t="s">
        <v>137</v>
      </c>
      <c r="B320" s="1276"/>
      <c r="C320" s="1276"/>
      <c r="D320" s="1277"/>
      <c r="E320" s="1277"/>
      <c r="F320" s="1277"/>
    </row>
    <row r="321" spans="1:6" ht="28.8" x14ac:dyDescent="0.3">
      <c r="A321" s="813" t="s">
        <v>469</v>
      </c>
      <c r="B321" s="1276">
        <v>41416</v>
      </c>
      <c r="C321" s="1276">
        <v>41660</v>
      </c>
      <c r="D321" s="1277">
        <v>40000000</v>
      </c>
      <c r="E321" s="1277">
        <v>16667000</v>
      </c>
      <c r="F321" s="1277">
        <v>23333000</v>
      </c>
    </row>
    <row r="322" spans="1:6" x14ac:dyDescent="0.3">
      <c r="A322" s="813" t="s">
        <v>202</v>
      </c>
      <c r="B322" s="1276"/>
      <c r="C322" s="1276"/>
      <c r="D322" s="1277"/>
      <c r="E322" s="1277"/>
      <c r="F322" s="1277"/>
    </row>
    <row r="323" spans="1:6" x14ac:dyDescent="0.3">
      <c r="A323" s="813" t="s">
        <v>203</v>
      </c>
      <c r="B323" s="1276"/>
      <c r="C323" s="1276"/>
      <c r="D323" s="1277"/>
      <c r="E323" s="1277"/>
      <c r="F323" s="1277"/>
    </row>
    <row r="324" spans="1:6" ht="28.8" x14ac:dyDescent="0.3">
      <c r="A324" s="813" t="s">
        <v>470</v>
      </c>
      <c r="B324" s="1276">
        <v>41548</v>
      </c>
      <c r="C324" s="1276">
        <v>41578</v>
      </c>
      <c r="D324" s="1277">
        <v>4524000</v>
      </c>
      <c r="E324" s="1277">
        <v>4524000</v>
      </c>
      <c r="F324" s="1277">
        <v>0</v>
      </c>
    </row>
    <row r="325" spans="1:6" x14ac:dyDescent="0.3">
      <c r="A325" s="813" t="s">
        <v>138</v>
      </c>
      <c r="B325" s="1276"/>
      <c r="C325" s="1276"/>
      <c r="D325" s="1277"/>
      <c r="E325" s="1277"/>
      <c r="F325" s="1277"/>
    </row>
    <row r="326" spans="1:6" x14ac:dyDescent="0.3">
      <c r="A326" s="813" t="s">
        <v>1033</v>
      </c>
      <c r="B326" s="1276"/>
      <c r="C326" s="1276"/>
      <c r="D326" s="1277"/>
      <c r="E326" s="1277"/>
      <c r="F326" s="1277"/>
    </row>
    <row r="327" spans="1:6" ht="43.2" x14ac:dyDescent="0.3">
      <c r="A327" s="813" t="s">
        <v>357</v>
      </c>
      <c r="B327" s="1276">
        <v>41421</v>
      </c>
      <c r="C327" s="1276">
        <v>41665</v>
      </c>
      <c r="D327" s="1277">
        <v>20800000</v>
      </c>
      <c r="E327" s="1277">
        <v>20800000</v>
      </c>
      <c r="F327" s="1277">
        <v>0</v>
      </c>
    </row>
    <row r="328" spans="1:6" x14ac:dyDescent="0.3">
      <c r="A328" s="813" t="s">
        <v>139</v>
      </c>
      <c r="B328" s="1276"/>
      <c r="C328" s="1276"/>
      <c r="D328" s="1277"/>
      <c r="E328" s="1277"/>
      <c r="F328" s="1277"/>
    </row>
    <row r="329" spans="1:6" x14ac:dyDescent="0.3">
      <c r="A329" s="813" t="s">
        <v>140</v>
      </c>
      <c r="B329" s="1276"/>
      <c r="C329" s="1276"/>
      <c r="D329" s="1277"/>
      <c r="E329" s="1277"/>
      <c r="F329" s="1277"/>
    </row>
    <row r="330" spans="1:6" ht="72" x14ac:dyDescent="0.3">
      <c r="A330" s="813" t="s">
        <v>1052</v>
      </c>
      <c r="B330" s="1276">
        <v>41423</v>
      </c>
      <c r="C330" s="1276">
        <v>41667</v>
      </c>
      <c r="D330" s="1277">
        <v>28000000</v>
      </c>
      <c r="E330" s="1277">
        <v>28000000</v>
      </c>
      <c r="F330" s="1277">
        <v>0</v>
      </c>
    </row>
    <row r="331" spans="1:6" x14ac:dyDescent="0.3">
      <c r="A331" s="813" t="s">
        <v>141</v>
      </c>
      <c r="B331" s="1276"/>
      <c r="C331" s="1276"/>
      <c r="D331" s="1277"/>
      <c r="E331" s="1277"/>
      <c r="F331" s="1277"/>
    </row>
    <row r="332" spans="1:6" x14ac:dyDescent="0.3">
      <c r="A332" s="813" t="s">
        <v>142</v>
      </c>
      <c r="B332" s="1276"/>
      <c r="C332" s="1276"/>
      <c r="D332" s="1277"/>
      <c r="E332" s="1277"/>
      <c r="F332" s="1277"/>
    </row>
    <row r="333" spans="1:6" ht="28.8" x14ac:dyDescent="0.3">
      <c r="A333" s="813" t="s">
        <v>471</v>
      </c>
      <c r="B333" s="1276">
        <v>41457</v>
      </c>
      <c r="C333" s="1276">
        <v>41501</v>
      </c>
      <c r="D333" s="1277">
        <v>266580829</v>
      </c>
      <c r="E333" s="1277">
        <v>266580829</v>
      </c>
      <c r="F333" s="1277">
        <v>0</v>
      </c>
    </row>
    <row r="334" spans="1:6" x14ac:dyDescent="0.3">
      <c r="A334" s="813" t="s">
        <v>143</v>
      </c>
      <c r="B334" s="1276"/>
      <c r="C334" s="1276"/>
      <c r="D334" s="1277"/>
      <c r="E334" s="1277"/>
      <c r="F334" s="1277"/>
    </row>
    <row r="335" spans="1:6" x14ac:dyDescent="0.3">
      <c r="A335" s="813" t="s">
        <v>144</v>
      </c>
      <c r="B335" s="1276"/>
      <c r="C335" s="1276"/>
      <c r="D335" s="1277"/>
      <c r="E335" s="1277"/>
      <c r="F335" s="1277"/>
    </row>
    <row r="336" spans="1:6" ht="28.8" x14ac:dyDescent="0.3">
      <c r="A336" s="813" t="s">
        <v>358</v>
      </c>
      <c r="B336" s="1276">
        <v>41463</v>
      </c>
      <c r="C336" s="1276">
        <v>41849</v>
      </c>
      <c r="D336" s="1277">
        <v>348897514</v>
      </c>
      <c r="E336" s="1277">
        <v>348897514</v>
      </c>
      <c r="F336" s="1277">
        <v>0</v>
      </c>
    </row>
    <row r="337" spans="1:6" x14ac:dyDescent="0.3">
      <c r="A337" s="813" t="s">
        <v>145</v>
      </c>
      <c r="B337" s="1276"/>
      <c r="C337" s="1276"/>
      <c r="D337" s="1277"/>
      <c r="E337" s="1277"/>
      <c r="F337" s="1277"/>
    </row>
    <row r="338" spans="1:6" x14ac:dyDescent="0.3">
      <c r="A338" s="813" t="s">
        <v>43</v>
      </c>
      <c r="B338" s="1276"/>
      <c r="C338" s="1276"/>
      <c r="D338" s="1277"/>
      <c r="E338" s="1277"/>
      <c r="F338" s="1277"/>
    </row>
    <row r="339" spans="1:6" ht="43.2" x14ac:dyDescent="0.3">
      <c r="A339" s="813" t="s">
        <v>1460</v>
      </c>
      <c r="B339" s="1276">
        <v>41463</v>
      </c>
      <c r="C339" s="1276">
        <v>41736</v>
      </c>
      <c r="D339" s="1277">
        <v>23246000</v>
      </c>
      <c r="E339" s="1277">
        <v>19772977</v>
      </c>
      <c r="F339" s="1277">
        <v>3473023</v>
      </c>
    </row>
    <row r="340" spans="1:6" x14ac:dyDescent="0.3">
      <c r="A340" s="813" t="s">
        <v>146</v>
      </c>
      <c r="B340" s="1276"/>
      <c r="C340" s="1276"/>
      <c r="D340" s="1277"/>
      <c r="E340" s="1277"/>
      <c r="F340" s="1277"/>
    </row>
    <row r="341" spans="1:6" x14ac:dyDescent="0.3">
      <c r="A341" s="813" t="s">
        <v>1017</v>
      </c>
      <c r="B341" s="1276"/>
      <c r="C341" s="1276"/>
      <c r="D341" s="1277"/>
      <c r="E341" s="1277"/>
      <c r="F341" s="1277"/>
    </row>
    <row r="342" spans="1:6" ht="28.8" x14ac:dyDescent="0.3">
      <c r="A342" s="813" t="s">
        <v>313</v>
      </c>
      <c r="B342" s="1276">
        <v>41446</v>
      </c>
      <c r="C342" s="1276">
        <v>41810</v>
      </c>
      <c r="D342" s="1277">
        <v>321573359</v>
      </c>
      <c r="E342" s="1277">
        <v>317232018</v>
      </c>
      <c r="F342" s="1277">
        <v>4341341</v>
      </c>
    </row>
    <row r="343" spans="1:6" x14ac:dyDescent="0.3">
      <c r="A343" s="813" t="s">
        <v>147</v>
      </c>
      <c r="B343" s="1276"/>
      <c r="C343" s="1276"/>
      <c r="D343" s="1277"/>
      <c r="E343" s="1277"/>
      <c r="F343" s="1277"/>
    </row>
    <row r="344" spans="1:6" x14ac:dyDescent="0.3">
      <c r="A344" s="813" t="s">
        <v>148</v>
      </c>
      <c r="B344" s="1276"/>
      <c r="C344" s="1276"/>
      <c r="D344" s="1277"/>
      <c r="E344" s="1277"/>
      <c r="F344" s="1277"/>
    </row>
    <row r="345" spans="1:6" ht="43.2" x14ac:dyDescent="0.3">
      <c r="A345" s="813" t="s">
        <v>472</v>
      </c>
      <c r="B345" s="1276">
        <v>41464</v>
      </c>
      <c r="C345" s="1276">
        <v>41851</v>
      </c>
      <c r="D345" s="1277">
        <v>22292691</v>
      </c>
      <c r="E345" s="1277">
        <v>22292691</v>
      </c>
      <c r="F345" s="1277">
        <v>0</v>
      </c>
    </row>
    <row r="346" spans="1:6" x14ac:dyDescent="0.3">
      <c r="A346" s="813" t="s">
        <v>155</v>
      </c>
      <c r="B346" s="1276"/>
      <c r="C346" s="1276"/>
      <c r="D346" s="1277"/>
      <c r="E346" s="1277"/>
      <c r="F346" s="1277"/>
    </row>
    <row r="347" spans="1:6" x14ac:dyDescent="0.3">
      <c r="A347" s="813" t="s">
        <v>1034</v>
      </c>
      <c r="B347" s="1276"/>
      <c r="C347" s="1276"/>
      <c r="D347" s="1277"/>
      <c r="E347" s="1277"/>
      <c r="F347" s="1277"/>
    </row>
    <row r="348" spans="1:6" ht="57.6" x14ac:dyDescent="0.3">
      <c r="A348" s="813" t="s">
        <v>359</v>
      </c>
      <c r="B348" s="1276">
        <v>41457</v>
      </c>
      <c r="C348" s="1276">
        <v>41671</v>
      </c>
      <c r="D348" s="1277">
        <v>23989000</v>
      </c>
      <c r="E348" s="1277">
        <v>23989000</v>
      </c>
      <c r="F348" s="1277">
        <v>0</v>
      </c>
    </row>
    <row r="349" spans="1:6" x14ac:dyDescent="0.3">
      <c r="A349" s="813" t="s">
        <v>156</v>
      </c>
      <c r="B349" s="1276"/>
      <c r="C349" s="1276"/>
      <c r="D349" s="1277"/>
      <c r="E349" s="1277"/>
      <c r="F349" s="1277"/>
    </row>
    <row r="350" spans="1:6" x14ac:dyDescent="0.3">
      <c r="A350" s="813" t="s">
        <v>53</v>
      </c>
      <c r="B350" s="1276"/>
      <c r="C350" s="1276"/>
      <c r="D350" s="1277"/>
      <c r="E350" s="1277"/>
      <c r="F350" s="1277"/>
    </row>
    <row r="351" spans="1:6" ht="28.8" x14ac:dyDescent="0.3">
      <c r="A351" s="813" t="s">
        <v>332</v>
      </c>
      <c r="B351" s="1276">
        <v>41470</v>
      </c>
      <c r="C351" s="1276">
        <v>41712</v>
      </c>
      <c r="D351" s="1277">
        <v>19576000</v>
      </c>
      <c r="E351" s="1277">
        <v>19571370</v>
      </c>
      <c r="F351" s="1277">
        <v>4630</v>
      </c>
    </row>
    <row r="352" spans="1:6" x14ac:dyDescent="0.3">
      <c r="A352" s="813" t="s">
        <v>157</v>
      </c>
      <c r="B352" s="1276"/>
      <c r="C352" s="1276"/>
      <c r="D352" s="1277"/>
      <c r="E352" s="1277"/>
      <c r="F352" s="1277"/>
    </row>
    <row r="353" spans="1:6" x14ac:dyDescent="0.3">
      <c r="A353" s="813" t="s">
        <v>158</v>
      </c>
      <c r="B353" s="1276"/>
      <c r="C353" s="1276"/>
      <c r="D353" s="1277"/>
      <c r="E353" s="1277"/>
      <c r="F353" s="1277"/>
    </row>
    <row r="354" spans="1:6" ht="28.8" x14ac:dyDescent="0.3">
      <c r="A354" s="813" t="s">
        <v>473</v>
      </c>
      <c r="B354" s="1276">
        <v>41471</v>
      </c>
      <c r="C354" s="1276">
        <v>41562</v>
      </c>
      <c r="D354" s="1277">
        <v>6499930</v>
      </c>
      <c r="E354" s="1277">
        <v>6499930</v>
      </c>
      <c r="F354" s="1277">
        <v>0</v>
      </c>
    </row>
    <row r="355" spans="1:6" x14ac:dyDescent="0.3">
      <c r="A355" s="813" t="s">
        <v>159</v>
      </c>
      <c r="B355" s="1276"/>
      <c r="C355" s="1276"/>
      <c r="D355" s="1277"/>
      <c r="E355" s="1277"/>
      <c r="F355" s="1277"/>
    </row>
    <row r="356" spans="1:6" x14ac:dyDescent="0.3">
      <c r="A356" s="813" t="s">
        <v>160</v>
      </c>
      <c r="B356" s="1276"/>
      <c r="C356" s="1276"/>
      <c r="D356" s="1277"/>
      <c r="E356" s="1277"/>
      <c r="F356" s="1277"/>
    </row>
    <row r="357" spans="1:6" ht="43.2" x14ac:dyDescent="0.3">
      <c r="A357" s="813" t="s">
        <v>474</v>
      </c>
      <c r="B357" s="1276">
        <v>41472</v>
      </c>
      <c r="C357" s="1276">
        <v>41533</v>
      </c>
      <c r="D357" s="1277">
        <v>2367000</v>
      </c>
      <c r="E357" s="1277">
        <v>2367000</v>
      </c>
      <c r="F357" s="1277">
        <v>0</v>
      </c>
    </row>
    <row r="358" spans="1:6" x14ac:dyDescent="0.3">
      <c r="A358" s="813" t="s">
        <v>164</v>
      </c>
      <c r="B358" s="1276"/>
      <c r="C358" s="1276"/>
      <c r="D358" s="1277"/>
      <c r="E358" s="1277"/>
      <c r="F358" s="1277"/>
    </row>
    <row r="359" spans="1:6" x14ac:dyDescent="0.3">
      <c r="A359" s="813" t="s">
        <v>165</v>
      </c>
      <c r="B359" s="1276"/>
      <c r="C359" s="1276"/>
      <c r="D359" s="1277"/>
      <c r="E359" s="1277"/>
      <c r="F359" s="1277"/>
    </row>
    <row r="360" spans="1:6" ht="43.2" x14ac:dyDescent="0.3">
      <c r="A360" s="813" t="s">
        <v>1443</v>
      </c>
      <c r="B360" s="1276">
        <v>41464</v>
      </c>
      <c r="C360" s="1276">
        <v>41820</v>
      </c>
      <c r="D360" s="1277">
        <v>269441460</v>
      </c>
      <c r="E360" s="1277">
        <v>265223666</v>
      </c>
      <c r="F360" s="1277">
        <v>4217794</v>
      </c>
    </row>
    <row r="361" spans="1:6" x14ac:dyDescent="0.3">
      <c r="A361" s="813" t="s">
        <v>190</v>
      </c>
      <c r="B361" s="1276"/>
      <c r="C361" s="1276"/>
      <c r="D361" s="1277"/>
      <c r="E361" s="1277"/>
      <c r="F361" s="1277"/>
    </row>
    <row r="362" spans="1:6" x14ac:dyDescent="0.3">
      <c r="A362" s="813" t="s">
        <v>29</v>
      </c>
      <c r="B362" s="1276"/>
      <c r="C362" s="1276"/>
      <c r="D362" s="1277"/>
      <c r="E362" s="1277"/>
      <c r="F362" s="1277"/>
    </row>
    <row r="363" spans="1:6" x14ac:dyDescent="0.3">
      <c r="A363" s="813" t="s">
        <v>404</v>
      </c>
      <c r="B363" s="1276">
        <v>41531</v>
      </c>
      <c r="C363" s="1276">
        <v>41895</v>
      </c>
      <c r="D363" s="1277">
        <v>840000</v>
      </c>
      <c r="E363" s="1277">
        <v>840000</v>
      </c>
      <c r="F363" s="1277">
        <v>0</v>
      </c>
    </row>
    <row r="364" spans="1:6" x14ac:dyDescent="0.3">
      <c r="A364" s="813" t="s">
        <v>166</v>
      </c>
      <c r="B364" s="1276"/>
      <c r="C364" s="1276"/>
      <c r="D364" s="1277"/>
      <c r="E364" s="1277"/>
      <c r="F364" s="1277"/>
    </row>
    <row r="365" spans="1:6" x14ac:dyDescent="0.3">
      <c r="A365" s="813" t="s">
        <v>1024</v>
      </c>
      <c r="B365" s="1276"/>
      <c r="C365" s="1276"/>
      <c r="D365" s="1277"/>
      <c r="E365" s="1277"/>
      <c r="F365" s="1277"/>
    </row>
    <row r="366" spans="1:6" ht="28.8" x14ac:dyDescent="0.3">
      <c r="A366" s="813" t="s">
        <v>333</v>
      </c>
      <c r="B366" s="1276">
        <v>41472</v>
      </c>
      <c r="C366" s="1276">
        <v>41714</v>
      </c>
      <c r="D366" s="1277">
        <v>38271000</v>
      </c>
      <c r="E366" s="1277">
        <v>38271000</v>
      </c>
      <c r="F366" s="1277">
        <v>0</v>
      </c>
    </row>
    <row r="367" spans="1:6" x14ac:dyDescent="0.3">
      <c r="A367" s="1279" t="s">
        <v>175</v>
      </c>
      <c r="B367" s="404"/>
      <c r="C367" s="404"/>
      <c r="D367" s="1278"/>
      <c r="E367" s="1278"/>
      <c r="F367" s="1278"/>
    </row>
    <row r="368" spans="1:6" x14ac:dyDescent="0.3">
      <c r="A368" s="813" t="s">
        <v>176</v>
      </c>
      <c r="B368" s="404"/>
      <c r="C368" s="404"/>
      <c r="D368" s="1278"/>
      <c r="E368" s="1278"/>
      <c r="F368" s="1278"/>
    </row>
    <row r="369" spans="1:6" ht="43.2" x14ac:dyDescent="0.3">
      <c r="A369" s="813" t="s">
        <v>475</v>
      </c>
      <c r="B369" s="404">
        <v>41472</v>
      </c>
      <c r="C369" s="404">
        <v>42082</v>
      </c>
      <c r="D369" s="1278">
        <v>4001000</v>
      </c>
      <c r="E369" s="1278">
        <v>4001000</v>
      </c>
      <c r="F369" s="1278">
        <v>0</v>
      </c>
    </row>
    <row r="370" spans="1:6" x14ac:dyDescent="0.3">
      <c r="A370" s="813" t="s">
        <v>197</v>
      </c>
      <c r="B370" s="1276"/>
      <c r="C370" s="1276"/>
      <c r="D370" s="1277"/>
      <c r="E370" s="1277"/>
      <c r="F370" s="1277"/>
    </row>
    <row r="371" spans="1:6" x14ac:dyDescent="0.3">
      <c r="A371" s="813" t="s">
        <v>198</v>
      </c>
      <c r="B371" s="1276"/>
      <c r="C371" s="1276"/>
      <c r="D371" s="1277"/>
      <c r="E371" s="1277"/>
      <c r="F371" s="1277"/>
    </row>
    <row r="372" spans="1:6" ht="43.2" x14ac:dyDescent="0.3">
      <c r="A372" s="813" t="s">
        <v>476</v>
      </c>
      <c r="B372" s="1276">
        <v>41548</v>
      </c>
      <c r="C372" s="1276">
        <v>41790</v>
      </c>
      <c r="D372" s="1277">
        <v>10222000</v>
      </c>
      <c r="E372" s="1277">
        <v>10208006</v>
      </c>
      <c r="F372" s="1277">
        <v>13994</v>
      </c>
    </row>
    <row r="373" spans="1:6" x14ac:dyDescent="0.3">
      <c r="A373" s="813" t="s">
        <v>167</v>
      </c>
      <c r="B373" s="1276"/>
      <c r="C373" s="1276"/>
      <c r="D373" s="1277"/>
      <c r="E373" s="1277"/>
      <c r="F373" s="1277"/>
    </row>
    <row r="374" spans="1:6" x14ac:dyDescent="0.3">
      <c r="A374" s="813" t="s">
        <v>1514</v>
      </c>
      <c r="B374" s="1276"/>
      <c r="C374" s="1276"/>
      <c r="D374" s="1277"/>
      <c r="E374" s="1277"/>
      <c r="F374" s="1277"/>
    </row>
    <row r="375" spans="1:6" ht="57.6" x14ac:dyDescent="0.3">
      <c r="A375" s="813" t="s">
        <v>361</v>
      </c>
      <c r="B375" s="1276">
        <v>41477</v>
      </c>
      <c r="C375" s="1276">
        <v>41691</v>
      </c>
      <c r="D375" s="1277">
        <v>23989000</v>
      </c>
      <c r="E375" s="1277">
        <v>23989000</v>
      </c>
      <c r="F375" s="1277">
        <v>0</v>
      </c>
    </row>
    <row r="376" spans="1:6" x14ac:dyDescent="0.3">
      <c r="A376" s="813" t="s">
        <v>178</v>
      </c>
      <c r="B376" s="1276"/>
      <c r="C376" s="1276"/>
      <c r="D376" s="1277"/>
      <c r="E376" s="1277"/>
      <c r="F376" s="1277"/>
    </row>
    <row r="377" spans="1:6" x14ac:dyDescent="0.3">
      <c r="A377" s="813" t="s">
        <v>33</v>
      </c>
      <c r="B377" s="1276"/>
      <c r="C377" s="1276"/>
      <c r="D377" s="1277"/>
      <c r="E377" s="1277"/>
      <c r="F377" s="1277"/>
    </row>
    <row r="378" spans="1:6" x14ac:dyDescent="0.3">
      <c r="A378" s="813" t="s">
        <v>477</v>
      </c>
      <c r="B378" s="1276">
        <v>41547</v>
      </c>
      <c r="C378" s="1276">
        <v>41911</v>
      </c>
      <c r="D378" s="1277">
        <v>795000</v>
      </c>
      <c r="E378" s="1277">
        <v>795000</v>
      </c>
      <c r="F378" s="1277">
        <v>0</v>
      </c>
    </row>
    <row r="379" spans="1:6" x14ac:dyDescent="0.3">
      <c r="A379" s="813" t="s">
        <v>189</v>
      </c>
      <c r="B379" s="1276"/>
      <c r="C379" s="1276"/>
      <c r="D379" s="1277"/>
      <c r="E379" s="1277"/>
      <c r="F379" s="1277"/>
    </row>
    <row r="380" spans="1:6" x14ac:dyDescent="0.3">
      <c r="A380" s="813" t="s">
        <v>13</v>
      </c>
      <c r="B380" s="1276"/>
      <c r="C380" s="1276"/>
      <c r="D380" s="1277"/>
      <c r="E380" s="1277"/>
      <c r="F380" s="1277"/>
    </row>
    <row r="381" spans="1:6" x14ac:dyDescent="0.3">
      <c r="A381" s="813" t="s">
        <v>478</v>
      </c>
      <c r="B381" s="1276">
        <v>41528</v>
      </c>
      <c r="C381" s="1276">
        <v>41892</v>
      </c>
      <c r="D381" s="1277">
        <v>936000</v>
      </c>
      <c r="E381" s="1277">
        <v>936000</v>
      </c>
      <c r="F381" s="1277">
        <v>0</v>
      </c>
    </row>
    <row r="382" spans="1:6" x14ac:dyDescent="0.3">
      <c r="A382" s="813" t="s">
        <v>168</v>
      </c>
      <c r="B382" s="1276"/>
      <c r="C382" s="1276"/>
      <c r="D382" s="1277"/>
      <c r="E382" s="1277"/>
      <c r="F382" s="1277"/>
    </row>
    <row r="383" spans="1:6" x14ac:dyDescent="0.3">
      <c r="A383" s="813" t="s">
        <v>169</v>
      </c>
      <c r="B383" s="1276"/>
      <c r="C383" s="1276"/>
      <c r="D383" s="1277"/>
      <c r="E383" s="1277"/>
      <c r="F383" s="1277"/>
    </row>
    <row r="384" spans="1:6" ht="43.2" x14ac:dyDescent="0.3">
      <c r="A384" s="813" t="s">
        <v>362</v>
      </c>
      <c r="B384" s="1276">
        <v>41494</v>
      </c>
      <c r="C384" s="1276">
        <v>41858</v>
      </c>
      <c r="D384" s="1277">
        <v>3847300</v>
      </c>
      <c r="E384" s="1277">
        <v>3847300</v>
      </c>
      <c r="F384" s="1277">
        <v>0</v>
      </c>
    </row>
    <row r="385" spans="1:6" x14ac:dyDescent="0.3">
      <c r="A385" s="813" t="s">
        <v>172</v>
      </c>
      <c r="B385" s="1276"/>
      <c r="C385" s="1276"/>
      <c r="D385" s="1277"/>
      <c r="E385" s="1277"/>
      <c r="F385" s="1277"/>
    </row>
    <row r="386" spans="1:6" x14ac:dyDescent="0.3">
      <c r="A386" s="813" t="s">
        <v>152</v>
      </c>
      <c r="B386" s="1276"/>
      <c r="C386" s="1276"/>
      <c r="D386" s="1277"/>
      <c r="E386" s="1277"/>
      <c r="F386" s="1277"/>
    </row>
    <row r="387" spans="1:6" ht="72" x14ac:dyDescent="0.3">
      <c r="A387" s="813" t="s">
        <v>364</v>
      </c>
      <c r="B387" s="1276">
        <v>41500</v>
      </c>
      <c r="C387" s="1276">
        <v>41864</v>
      </c>
      <c r="D387" s="1277">
        <v>60693200</v>
      </c>
      <c r="E387" s="1277">
        <v>59391828</v>
      </c>
      <c r="F387" s="1277">
        <v>1301372</v>
      </c>
    </row>
    <row r="388" spans="1:6" x14ac:dyDescent="0.3">
      <c r="A388" s="813" t="s">
        <v>173</v>
      </c>
      <c r="B388" s="1276"/>
      <c r="C388" s="1276"/>
      <c r="D388" s="1277"/>
      <c r="E388" s="1277"/>
      <c r="F388" s="1277"/>
    </row>
    <row r="389" spans="1:6" x14ac:dyDescent="0.3">
      <c r="A389" s="813" t="s">
        <v>174</v>
      </c>
      <c r="B389" s="1276"/>
      <c r="C389" s="1276"/>
      <c r="D389" s="1277"/>
      <c r="E389" s="1277"/>
      <c r="F389" s="1277"/>
    </row>
    <row r="390" spans="1:6" ht="57.6" x14ac:dyDescent="0.3">
      <c r="A390" s="813" t="s">
        <v>365</v>
      </c>
      <c r="B390" s="1276">
        <v>41512</v>
      </c>
      <c r="C390" s="1276">
        <v>41876</v>
      </c>
      <c r="D390" s="1277">
        <v>4393120</v>
      </c>
      <c r="E390" s="1277">
        <v>2578000</v>
      </c>
      <c r="F390" s="1277">
        <v>1815120</v>
      </c>
    </row>
    <row r="391" spans="1:6" x14ac:dyDescent="0.3">
      <c r="A391" s="813" t="s">
        <v>187</v>
      </c>
      <c r="B391" s="1276"/>
      <c r="C391" s="1276"/>
      <c r="D391" s="1277"/>
      <c r="E391" s="1277"/>
      <c r="F391" s="1277"/>
    </row>
    <row r="392" spans="1:6" x14ac:dyDescent="0.3">
      <c r="A392" s="813" t="s">
        <v>188</v>
      </c>
      <c r="B392" s="1276"/>
      <c r="C392" s="1276"/>
      <c r="D392" s="1277"/>
      <c r="E392" s="1277"/>
      <c r="F392" s="1277"/>
    </row>
    <row r="393" spans="1:6" ht="57.6" x14ac:dyDescent="0.3">
      <c r="A393" s="813" t="s">
        <v>479</v>
      </c>
      <c r="B393" s="1276">
        <v>41523</v>
      </c>
      <c r="C393" s="1276">
        <v>42099</v>
      </c>
      <c r="D393" s="1277">
        <v>25204000</v>
      </c>
      <c r="E393" s="1277">
        <v>25201450</v>
      </c>
      <c r="F393" s="1277">
        <v>2550</v>
      </c>
    </row>
    <row r="394" spans="1:6" x14ac:dyDescent="0.3">
      <c r="A394" s="1279" t="s">
        <v>183</v>
      </c>
      <c r="B394" s="404"/>
      <c r="C394" s="404"/>
      <c r="D394" s="1278"/>
      <c r="E394" s="1278"/>
      <c r="F394" s="1278"/>
    </row>
    <row r="395" spans="1:6" x14ac:dyDescent="0.3">
      <c r="A395" s="813" t="s">
        <v>184</v>
      </c>
      <c r="B395" s="404"/>
      <c r="C395" s="404"/>
      <c r="D395" s="1278"/>
      <c r="E395" s="1278"/>
      <c r="F395" s="1278"/>
    </row>
    <row r="396" spans="1:6" ht="72" x14ac:dyDescent="0.3">
      <c r="A396" s="813" t="s">
        <v>480</v>
      </c>
      <c r="B396" s="404">
        <v>41506</v>
      </c>
      <c r="C396" s="404">
        <v>42055</v>
      </c>
      <c r="D396" s="1278">
        <v>130384697</v>
      </c>
      <c r="E396" s="1278">
        <v>96359635</v>
      </c>
      <c r="F396" s="1278">
        <v>34025062</v>
      </c>
    </row>
    <row r="397" spans="1:6" x14ac:dyDescent="0.3">
      <c r="A397" s="813" t="s">
        <v>185</v>
      </c>
      <c r="B397" s="1276"/>
      <c r="C397" s="1276"/>
      <c r="D397" s="1277"/>
      <c r="E397" s="1277"/>
      <c r="F397" s="1277"/>
    </row>
    <row r="398" spans="1:6" x14ac:dyDescent="0.3">
      <c r="A398" s="813" t="s">
        <v>186</v>
      </c>
      <c r="B398" s="1276"/>
      <c r="C398" s="1276"/>
      <c r="D398" s="1277"/>
      <c r="E398" s="1277"/>
      <c r="F398" s="1277"/>
    </row>
    <row r="399" spans="1:6" ht="57.6" x14ac:dyDescent="0.3">
      <c r="A399" s="813" t="s">
        <v>481</v>
      </c>
      <c r="B399" s="1276">
        <v>41533</v>
      </c>
      <c r="C399" s="1276">
        <v>41897</v>
      </c>
      <c r="D399" s="1277">
        <v>45056000</v>
      </c>
      <c r="E399" s="1277">
        <v>25056000</v>
      </c>
      <c r="F399" s="1277">
        <v>20000000</v>
      </c>
    </row>
    <row r="400" spans="1:6" x14ac:dyDescent="0.3">
      <c r="A400" s="813" t="s">
        <v>195</v>
      </c>
      <c r="B400" s="1276"/>
      <c r="C400" s="1276"/>
      <c r="D400" s="1277"/>
      <c r="E400" s="1277"/>
      <c r="F400" s="1277"/>
    </row>
    <row r="401" spans="1:6" x14ac:dyDescent="0.3">
      <c r="A401" s="813" t="s">
        <v>1036</v>
      </c>
      <c r="B401" s="1276"/>
      <c r="C401" s="1276"/>
      <c r="D401" s="1277"/>
      <c r="E401" s="1277"/>
      <c r="F401" s="1277"/>
    </row>
    <row r="402" spans="1:6" ht="86.4" x14ac:dyDescent="0.3">
      <c r="A402" s="813" t="s">
        <v>482</v>
      </c>
      <c r="B402" s="1276">
        <v>41541</v>
      </c>
      <c r="C402" s="1276">
        <v>41782</v>
      </c>
      <c r="D402" s="1277">
        <v>114225288</v>
      </c>
      <c r="E402" s="1277">
        <v>114217068</v>
      </c>
      <c r="F402" s="1277">
        <v>8220</v>
      </c>
    </row>
    <row r="403" spans="1:6" x14ac:dyDescent="0.3">
      <c r="A403" s="813" t="s">
        <v>191</v>
      </c>
      <c r="B403" s="1276"/>
      <c r="C403" s="1276"/>
      <c r="D403" s="1277"/>
      <c r="E403" s="1277"/>
      <c r="F403" s="1277"/>
    </row>
    <row r="404" spans="1:6" x14ac:dyDescent="0.3">
      <c r="A404" s="813" t="s">
        <v>192</v>
      </c>
      <c r="B404" s="1276"/>
      <c r="C404" s="1276"/>
      <c r="D404" s="1277"/>
      <c r="E404" s="1277"/>
      <c r="F404" s="1277"/>
    </row>
    <row r="405" spans="1:6" ht="57.6" x14ac:dyDescent="0.3">
      <c r="A405" s="813" t="s">
        <v>483</v>
      </c>
      <c r="B405" s="1276">
        <v>41555</v>
      </c>
      <c r="C405" s="1276">
        <v>41615</v>
      </c>
      <c r="D405" s="1277">
        <v>4715000</v>
      </c>
      <c r="E405" s="1277">
        <v>4715000</v>
      </c>
      <c r="F405" s="1277">
        <v>0</v>
      </c>
    </row>
    <row r="406" spans="1:6" x14ac:dyDescent="0.3">
      <c r="A406" s="813" t="s">
        <v>199</v>
      </c>
      <c r="B406" s="1276"/>
      <c r="C406" s="1276"/>
      <c r="D406" s="1277"/>
      <c r="E406" s="1277"/>
      <c r="F406" s="1277"/>
    </row>
    <row r="407" spans="1:6" x14ac:dyDescent="0.3">
      <c r="A407" s="813" t="s">
        <v>1037</v>
      </c>
      <c r="B407" s="1276"/>
      <c r="C407" s="1276"/>
      <c r="D407" s="1277"/>
      <c r="E407" s="1277"/>
      <c r="F407" s="1277"/>
    </row>
    <row r="408" spans="1:6" ht="28.8" x14ac:dyDescent="0.3">
      <c r="A408" s="813" t="s">
        <v>484</v>
      </c>
      <c r="B408" s="1276">
        <v>41556</v>
      </c>
      <c r="C408" s="1276">
        <v>41890</v>
      </c>
      <c r="D408" s="1277">
        <v>457000000</v>
      </c>
      <c r="E408" s="1277">
        <v>416287285</v>
      </c>
      <c r="F408" s="1277">
        <v>40712715</v>
      </c>
    </row>
    <row r="409" spans="1:6" x14ac:dyDescent="0.3">
      <c r="A409" s="813" t="s">
        <v>177</v>
      </c>
      <c r="B409" s="1276"/>
      <c r="C409" s="1276"/>
      <c r="D409" s="1277"/>
      <c r="E409" s="1277"/>
      <c r="F409" s="1277"/>
    </row>
    <row r="410" spans="1:6" x14ac:dyDescent="0.3">
      <c r="A410" s="813" t="s">
        <v>1038</v>
      </c>
      <c r="B410" s="1276"/>
      <c r="C410" s="1276"/>
      <c r="D410" s="1277"/>
      <c r="E410" s="1277"/>
      <c r="F410" s="1277"/>
    </row>
    <row r="411" spans="1:6" ht="57.6" x14ac:dyDescent="0.3">
      <c r="A411" s="813" t="s">
        <v>485</v>
      </c>
      <c r="B411" s="1276">
        <v>41554</v>
      </c>
      <c r="C411" s="1276">
        <v>41645</v>
      </c>
      <c r="D411" s="1277">
        <v>3356320</v>
      </c>
      <c r="E411" s="1277">
        <v>3356320</v>
      </c>
      <c r="F411" s="1277">
        <v>0</v>
      </c>
    </row>
    <row r="412" spans="1:6" x14ac:dyDescent="0.3">
      <c r="A412" s="1279" t="s">
        <v>193</v>
      </c>
      <c r="B412" s="404"/>
      <c r="C412" s="404"/>
      <c r="D412" s="1278"/>
      <c r="E412" s="1278"/>
      <c r="F412" s="1278"/>
    </row>
    <row r="413" spans="1:6" x14ac:dyDescent="0.3">
      <c r="A413" s="813" t="s">
        <v>194</v>
      </c>
      <c r="B413" s="404"/>
      <c r="C413" s="404"/>
      <c r="D413" s="1278"/>
      <c r="E413" s="1278"/>
      <c r="F413" s="1278"/>
    </row>
    <row r="414" spans="1:6" ht="43.2" x14ac:dyDescent="0.3">
      <c r="A414" s="813" t="s">
        <v>486</v>
      </c>
      <c r="B414" s="404">
        <v>41555</v>
      </c>
      <c r="C414" s="404">
        <v>41935</v>
      </c>
      <c r="D414" s="1278">
        <v>19965572</v>
      </c>
      <c r="E414" s="1278">
        <v>19965572</v>
      </c>
      <c r="F414" s="1278">
        <v>0</v>
      </c>
    </row>
    <row r="415" spans="1:6" x14ac:dyDescent="0.3">
      <c r="A415" s="1279" t="s">
        <v>196</v>
      </c>
      <c r="B415" s="404"/>
      <c r="C415" s="404"/>
      <c r="D415" s="1278"/>
      <c r="E415" s="1278"/>
      <c r="F415" s="1278"/>
    </row>
    <row r="416" spans="1:6" x14ac:dyDescent="0.3">
      <c r="A416" s="813" t="s">
        <v>22</v>
      </c>
      <c r="B416" s="404"/>
      <c r="C416" s="404"/>
      <c r="D416" s="1278"/>
      <c r="E416" s="1278"/>
      <c r="F416" s="1278"/>
    </row>
    <row r="417" spans="1:6" ht="28.8" x14ac:dyDescent="0.3">
      <c r="A417" s="813" t="s">
        <v>487</v>
      </c>
      <c r="B417" s="404">
        <v>41562</v>
      </c>
      <c r="C417" s="404">
        <v>41926</v>
      </c>
      <c r="D417" s="1278">
        <v>38280000</v>
      </c>
      <c r="E417" s="1278">
        <v>38280000</v>
      </c>
      <c r="F417" s="1278">
        <v>0</v>
      </c>
    </row>
    <row r="418" spans="1:6" x14ac:dyDescent="0.3">
      <c r="A418" s="813" t="s">
        <v>200</v>
      </c>
      <c r="B418" s="1276"/>
      <c r="C418" s="1276"/>
      <c r="D418" s="1277"/>
      <c r="E418" s="1277"/>
      <c r="F418" s="1277"/>
    </row>
    <row r="419" spans="1:6" x14ac:dyDescent="0.3">
      <c r="A419" s="813" t="s">
        <v>201</v>
      </c>
      <c r="B419" s="1276"/>
      <c r="C419" s="1276"/>
      <c r="D419" s="1277"/>
      <c r="E419" s="1277"/>
      <c r="F419" s="1277"/>
    </row>
    <row r="420" spans="1:6" ht="43.2" x14ac:dyDescent="0.3">
      <c r="A420" s="813" t="s">
        <v>488</v>
      </c>
      <c r="B420" s="1276">
        <v>41562</v>
      </c>
      <c r="C420" s="1276">
        <v>41592</v>
      </c>
      <c r="D420" s="1277">
        <v>26073552</v>
      </c>
      <c r="E420" s="1277">
        <v>26073552</v>
      </c>
      <c r="F420" s="1277">
        <v>0</v>
      </c>
    </row>
    <row r="421" spans="1:6" x14ac:dyDescent="0.3">
      <c r="A421" s="813" t="s">
        <v>204</v>
      </c>
      <c r="B421" s="1276"/>
      <c r="C421" s="1276"/>
      <c r="D421" s="1277"/>
      <c r="E421" s="1277"/>
      <c r="F421" s="1277"/>
    </row>
    <row r="422" spans="1:6" x14ac:dyDescent="0.3">
      <c r="A422" s="813" t="s">
        <v>205</v>
      </c>
      <c r="B422" s="1276"/>
      <c r="C422" s="1276"/>
      <c r="D422" s="1277"/>
      <c r="E422" s="1277"/>
      <c r="F422" s="1277"/>
    </row>
    <row r="423" spans="1:6" ht="43.2" x14ac:dyDescent="0.3">
      <c r="A423" s="813" t="s">
        <v>489</v>
      </c>
      <c r="B423" s="1276">
        <v>41570</v>
      </c>
      <c r="C423" s="1276">
        <v>41692</v>
      </c>
      <c r="D423" s="1277">
        <v>17262940</v>
      </c>
      <c r="E423" s="1277">
        <v>17262940</v>
      </c>
      <c r="F423" s="1277">
        <v>0</v>
      </c>
    </row>
    <row r="424" spans="1:6" x14ac:dyDescent="0.3">
      <c r="A424" s="1279" t="s">
        <v>206</v>
      </c>
      <c r="B424" s="404"/>
      <c r="C424" s="404"/>
      <c r="D424" s="1278"/>
      <c r="E424" s="1278"/>
      <c r="F424" s="1278"/>
    </row>
    <row r="425" spans="1:6" x14ac:dyDescent="0.3">
      <c r="A425" s="813" t="s">
        <v>1019</v>
      </c>
      <c r="B425" s="404"/>
      <c r="C425" s="404"/>
      <c r="D425" s="1278"/>
      <c r="E425" s="1278"/>
      <c r="F425" s="1278"/>
    </row>
    <row r="426" spans="1:6" ht="28.8" x14ac:dyDescent="0.3">
      <c r="A426" s="813" t="s">
        <v>490</v>
      </c>
      <c r="B426" s="404">
        <v>41575</v>
      </c>
      <c r="C426" s="404">
        <v>41939</v>
      </c>
      <c r="D426" s="1278">
        <v>810000</v>
      </c>
      <c r="E426" s="1278">
        <v>810000</v>
      </c>
      <c r="F426" s="1278">
        <v>0</v>
      </c>
    </row>
    <row r="427" spans="1:6" x14ac:dyDescent="0.3">
      <c r="A427" s="813" t="s">
        <v>211</v>
      </c>
      <c r="B427" s="1276"/>
      <c r="C427" s="1276"/>
      <c r="D427" s="1277"/>
      <c r="E427" s="1277"/>
      <c r="F427" s="1277"/>
    </row>
    <row r="428" spans="1:6" x14ac:dyDescent="0.3">
      <c r="A428" s="813" t="s">
        <v>212</v>
      </c>
      <c r="B428" s="1276"/>
      <c r="C428" s="1276"/>
      <c r="D428" s="1277"/>
      <c r="E428" s="1277"/>
      <c r="F428" s="1277"/>
    </row>
    <row r="429" spans="1:6" ht="72" x14ac:dyDescent="0.3">
      <c r="A429" s="813" t="s">
        <v>491</v>
      </c>
      <c r="B429" s="1276">
        <v>41590</v>
      </c>
      <c r="C429" s="1276">
        <v>41650</v>
      </c>
      <c r="D429" s="1277">
        <v>5545000</v>
      </c>
      <c r="E429" s="1277">
        <v>5545000</v>
      </c>
      <c r="F429" s="1277">
        <v>0</v>
      </c>
    </row>
    <row r="430" spans="1:6" x14ac:dyDescent="0.3">
      <c r="A430" s="813" t="s">
        <v>209</v>
      </c>
      <c r="B430" s="1276"/>
      <c r="C430" s="1276"/>
      <c r="D430" s="1277"/>
      <c r="E430" s="1277"/>
      <c r="F430" s="1277"/>
    </row>
    <row r="431" spans="1:6" x14ac:dyDescent="0.3">
      <c r="A431" s="813" t="s">
        <v>210</v>
      </c>
      <c r="B431" s="1276"/>
      <c r="C431" s="1276"/>
      <c r="D431" s="1277"/>
      <c r="E431" s="1277"/>
      <c r="F431" s="1277"/>
    </row>
    <row r="432" spans="1:6" ht="72" x14ac:dyDescent="0.3">
      <c r="A432" s="813" t="s">
        <v>1444</v>
      </c>
      <c r="B432" s="1276">
        <v>41590</v>
      </c>
      <c r="C432" s="1276">
        <v>41650</v>
      </c>
      <c r="D432" s="1277">
        <v>19360400</v>
      </c>
      <c r="E432" s="1277">
        <v>19360400</v>
      </c>
      <c r="F432" s="1277">
        <v>0</v>
      </c>
    </row>
    <row r="433" spans="1:6" x14ac:dyDescent="0.3">
      <c r="A433" s="813" t="s">
        <v>207</v>
      </c>
      <c r="B433" s="1276"/>
      <c r="C433" s="1276"/>
      <c r="D433" s="1277"/>
      <c r="E433" s="1277"/>
      <c r="F433" s="1277"/>
    </row>
    <row r="434" spans="1:6" x14ac:dyDescent="0.3">
      <c r="A434" s="813" t="s">
        <v>208</v>
      </c>
      <c r="B434" s="1276"/>
      <c r="C434" s="1276"/>
      <c r="D434" s="1277"/>
      <c r="E434" s="1277"/>
      <c r="F434" s="1277"/>
    </row>
    <row r="435" spans="1:6" ht="28.8" x14ac:dyDescent="0.3">
      <c r="A435" s="813" t="s">
        <v>492</v>
      </c>
      <c r="B435" s="1276">
        <v>41572</v>
      </c>
      <c r="C435" s="1276">
        <v>41814</v>
      </c>
      <c r="D435" s="1277">
        <v>502280800</v>
      </c>
      <c r="E435" s="1277">
        <v>502247588</v>
      </c>
      <c r="F435" s="1277">
        <v>33212</v>
      </c>
    </row>
    <row r="436" spans="1:6" x14ac:dyDescent="0.3">
      <c r="A436" s="1279" t="s">
        <v>213</v>
      </c>
      <c r="B436" s="404"/>
      <c r="C436" s="404"/>
      <c r="D436" s="1278"/>
      <c r="E436" s="1278"/>
      <c r="F436" s="1278"/>
    </row>
    <row r="437" spans="1:6" x14ac:dyDescent="0.3">
      <c r="A437" s="813" t="s">
        <v>1039</v>
      </c>
      <c r="B437" s="404"/>
      <c r="C437" s="404"/>
      <c r="D437" s="1278"/>
      <c r="E437" s="1278"/>
      <c r="F437" s="1278"/>
    </row>
    <row r="438" spans="1:6" ht="100.8" x14ac:dyDescent="0.3">
      <c r="A438" s="813" t="s">
        <v>493</v>
      </c>
      <c r="B438" s="404">
        <v>41580</v>
      </c>
      <c r="C438" s="404">
        <v>41975</v>
      </c>
      <c r="D438" s="1278">
        <v>692839272</v>
      </c>
      <c r="E438" s="1278">
        <v>678164443</v>
      </c>
      <c r="F438" s="1278">
        <v>14674829</v>
      </c>
    </row>
    <row r="439" spans="1:6" x14ac:dyDescent="0.3">
      <c r="A439" s="1279" t="s">
        <v>258</v>
      </c>
      <c r="B439" s="404"/>
      <c r="C439" s="404"/>
      <c r="D439" s="1278"/>
      <c r="E439" s="1278"/>
      <c r="F439" s="1278"/>
    </row>
    <row r="440" spans="1:6" x14ac:dyDescent="0.3">
      <c r="A440" s="813" t="s">
        <v>259</v>
      </c>
      <c r="B440" s="404"/>
      <c r="C440" s="404"/>
      <c r="D440" s="1278"/>
      <c r="E440" s="1278"/>
      <c r="F440" s="1278"/>
    </row>
    <row r="441" spans="1:6" ht="57.6" x14ac:dyDescent="0.3">
      <c r="A441" s="813" t="s">
        <v>494</v>
      </c>
      <c r="B441" s="404">
        <v>41696</v>
      </c>
      <c r="C441" s="404">
        <v>42425</v>
      </c>
      <c r="D441" s="1278">
        <v>0</v>
      </c>
      <c r="E441" s="1278">
        <v>0</v>
      </c>
      <c r="F441" s="1278">
        <v>0</v>
      </c>
    </row>
    <row r="442" spans="1:6" x14ac:dyDescent="0.3">
      <c r="A442" s="1279" t="s">
        <v>309</v>
      </c>
      <c r="B442" s="404"/>
      <c r="C442" s="404"/>
      <c r="D442" s="1278"/>
      <c r="E442" s="1278"/>
      <c r="F442" s="1278"/>
    </row>
    <row r="443" spans="1:6" x14ac:dyDescent="0.3">
      <c r="A443" s="813" t="s">
        <v>77</v>
      </c>
      <c r="B443" s="1276"/>
      <c r="C443" s="1276"/>
      <c r="D443" s="1277"/>
      <c r="E443" s="1277"/>
      <c r="F443" s="1277"/>
    </row>
    <row r="444" spans="1:6" ht="57.6" x14ac:dyDescent="0.3">
      <c r="A444" s="813" t="s">
        <v>1886</v>
      </c>
      <c r="B444" s="1276">
        <v>41864</v>
      </c>
      <c r="C444" s="1276">
        <v>42321</v>
      </c>
      <c r="D444" s="1277">
        <v>398614000</v>
      </c>
      <c r="E444" s="1277">
        <v>398614000</v>
      </c>
      <c r="F444" s="1277">
        <v>0</v>
      </c>
    </row>
    <row r="445" spans="1:6" x14ac:dyDescent="0.3">
      <c r="A445" s="813" t="s">
        <v>234</v>
      </c>
      <c r="B445" s="1276"/>
      <c r="C445" s="1276"/>
      <c r="D445" s="1277"/>
      <c r="E445" s="1277"/>
      <c r="F445" s="1277"/>
    </row>
    <row r="446" spans="1:6" x14ac:dyDescent="0.3">
      <c r="A446" s="813" t="s">
        <v>235</v>
      </c>
      <c r="B446" s="1276"/>
      <c r="C446" s="1276"/>
      <c r="D446" s="1277"/>
      <c r="E446" s="1277"/>
      <c r="F446" s="1277"/>
    </row>
    <row r="447" spans="1:6" ht="57.6" x14ac:dyDescent="0.3">
      <c r="A447" s="813" t="s">
        <v>367</v>
      </c>
      <c r="B447" s="1276">
        <v>41659</v>
      </c>
      <c r="C447" s="1276">
        <v>41748</v>
      </c>
      <c r="D447" s="1277">
        <v>430036764</v>
      </c>
      <c r="E447" s="1277">
        <v>430036600</v>
      </c>
      <c r="F447" s="1277">
        <v>164</v>
      </c>
    </row>
    <row r="448" spans="1:6" x14ac:dyDescent="0.3">
      <c r="A448" s="813" t="s">
        <v>214</v>
      </c>
      <c r="B448" s="1276"/>
      <c r="C448" s="1276"/>
      <c r="D448" s="1277"/>
      <c r="E448" s="1277"/>
      <c r="F448" s="1277"/>
    </row>
    <row r="449" spans="1:6" x14ac:dyDescent="0.3">
      <c r="A449" s="813" t="s">
        <v>31</v>
      </c>
      <c r="B449" s="1276"/>
      <c r="C449" s="1276"/>
      <c r="D449" s="1277"/>
      <c r="E449" s="1277"/>
      <c r="F449" s="1277"/>
    </row>
    <row r="450" spans="1:6" ht="43.2" x14ac:dyDescent="0.3">
      <c r="A450" s="813" t="s">
        <v>495</v>
      </c>
      <c r="B450" s="1276">
        <v>41620</v>
      </c>
      <c r="C450" s="1276">
        <v>41681</v>
      </c>
      <c r="D450" s="1277">
        <v>6000000</v>
      </c>
      <c r="E450" s="1277">
        <v>6000000</v>
      </c>
      <c r="F450" s="1277">
        <v>0</v>
      </c>
    </row>
    <row r="451" spans="1:6" x14ac:dyDescent="0.3">
      <c r="A451" s="1279" t="s">
        <v>232</v>
      </c>
      <c r="B451" s="404"/>
      <c r="C451" s="404"/>
      <c r="D451" s="1278"/>
      <c r="E451" s="1278"/>
      <c r="F451" s="1278"/>
    </row>
    <row r="452" spans="1:6" x14ac:dyDescent="0.3">
      <c r="A452" s="813" t="s">
        <v>233</v>
      </c>
      <c r="B452" s="404"/>
      <c r="C452" s="404"/>
      <c r="D452" s="1278"/>
      <c r="E452" s="1278"/>
      <c r="F452" s="1278"/>
    </row>
    <row r="453" spans="1:6" ht="57.6" x14ac:dyDescent="0.3">
      <c r="A453" s="813" t="s">
        <v>496</v>
      </c>
      <c r="B453" s="404">
        <v>41641</v>
      </c>
      <c r="C453" s="404">
        <v>42005</v>
      </c>
      <c r="D453" s="1278">
        <v>7937504</v>
      </c>
      <c r="E453" s="1278">
        <v>5992064</v>
      </c>
      <c r="F453" s="1278">
        <v>1945440</v>
      </c>
    </row>
    <row r="454" spans="1:6" x14ac:dyDescent="0.3">
      <c r="A454" s="813" t="s">
        <v>215</v>
      </c>
      <c r="B454" s="1276"/>
      <c r="C454" s="1276"/>
      <c r="D454" s="1277"/>
      <c r="E454" s="1277"/>
      <c r="F454" s="1277"/>
    </row>
    <row r="455" spans="1:6" x14ac:dyDescent="0.3">
      <c r="A455" s="813" t="s">
        <v>1595</v>
      </c>
      <c r="B455" s="1276"/>
      <c r="C455" s="1276"/>
      <c r="D455" s="1277"/>
      <c r="E455" s="1277"/>
      <c r="F455" s="1277"/>
    </row>
    <row r="456" spans="1:6" ht="43.2" x14ac:dyDescent="0.3">
      <c r="A456" s="813" t="s">
        <v>1445</v>
      </c>
      <c r="B456" s="1276">
        <v>41612</v>
      </c>
      <c r="C456" s="1276">
        <v>41658</v>
      </c>
      <c r="D456" s="1277">
        <v>15000000</v>
      </c>
      <c r="E456" s="1277">
        <v>15000000</v>
      </c>
      <c r="F456" s="1277">
        <v>0</v>
      </c>
    </row>
    <row r="457" spans="1:6" x14ac:dyDescent="0.3">
      <c r="A457" s="1279" t="s">
        <v>216</v>
      </c>
      <c r="B457" s="404"/>
      <c r="C457" s="404"/>
      <c r="D457" s="1278"/>
      <c r="E457" s="1278"/>
      <c r="F457" s="1278"/>
    </row>
    <row r="458" spans="1:6" x14ac:dyDescent="0.3">
      <c r="A458" s="813" t="s">
        <v>217</v>
      </c>
      <c r="B458" s="404"/>
      <c r="C458" s="404"/>
      <c r="D458" s="1278"/>
      <c r="E458" s="1278"/>
      <c r="F458" s="1278"/>
    </row>
    <row r="459" spans="1:6" ht="43.2" x14ac:dyDescent="0.3">
      <c r="A459" s="813" t="s">
        <v>1127</v>
      </c>
      <c r="B459" s="1276">
        <v>41621</v>
      </c>
      <c r="C459" s="1276">
        <v>41985</v>
      </c>
      <c r="D459" s="1277">
        <v>452974000</v>
      </c>
      <c r="E459" s="1277">
        <v>452973998</v>
      </c>
      <c r="F459" s="1277">
        <v>2</v>
      </c>
    </row>
    <row r="460" spans="1:6" x14ac:dyDescent="0.3">
      <c r="A460" s="813" t="s">
        <v>218</v>
      </c>
      <c r="B460" s="1276"/>
      <c r="C460" s="1276"/>
      <c r="D460" s="1277"/>
      <c r="E460" s="1277"/>
      <c r="F460" s="1277"/>
    </row>
    <row r="461" spans="1:6" x14ac:dyDescent="0.3">
      <c r="A461" s="813" t="s">
        <v>219</v>
      </c>
      <c r="B461" s="1276"/>
      <c r="C461" s="1276"/>
      <c r="D461" s="1277"/>
      <c r="E461" s="1277"/>
      <c r="F461" s="1277"/>
    </row>
    <row r="462" spans="1:6" ht="43.2" x14ac:dyDescent="0.3">
      <c r="A462" s="813" t="s">
        <v>366</v>
      </c>
      <c r="B462" s="1276">
        <v>41647</v>
      </c>
      <c r="C462" s="1276">
        <v>41980</v>
      </c>
      <c r="D462" s="1277">
        <v>95000000</v>
      </c>
      <c r="E462" s="1277">
        <v>88983693</v>
      </c>
      <c r="F462" s="1277">
        <v>6016307</v>
      </c>
    </row>
    <row r="463" spans="1:6" x14ac:dyDescent="0.3">
      <c r="A463" s="813" t="s">
        <v>220</v>
      </c>
      <c r="B463" s="1276"/>
      <c r="C463" s="1276"/>
      <c r="D463" s="1277"/>
      <c r="E463" s="1277"/>
      <c r="F463" s="1277"/>
    </row>
    <row r="464" spans="1:6" x14ac:dyDescent="0.3">
      <c r="A464" s="813" t="s">
        <v>1148</v>
      </c>
      <c r="B464" s="1276"/>
      <c r="C464" s="1276"/>
      <c r="D464" s="1277"/>
      <c r="E464" s="1277"/>
      <c r="F464" s="1277"/>
    </row>
    <row r="465" spans="1:6" x14ac:dyDescent="0.3">
      <c r="A465" s="813" t="s">
        <v>497</v>
      </c>
      <c r="B465" s="1276">
        <v>41626</v>
      </c>
      <c r="C465" s="1276">
        <v>41641</v>
      </c>
      <c r="D465" s="1277">
        <v>63128000</v>
      </c>
      <c r="E465" s="1277">
        <v>63128000</v>
      </c>
      <c r="F465" s="1277">
        <v>0</v>
      </c>
    </row>
    <row r="466" spans="1:6" x14ac:dyDescent="0.3">
      <c r="A466" s="813" t="s">
        <v>227</v>
      </c>
      <c r="B466" s="1276"/>
      <c r="C466" s="1276"/>
      <c r="D466" s="1277"/>
      <c r="E466" s="1277"/>
      <c r="F466" s="1277"/>
    </row>
    <row r="467" spans="1:6" x14ac:dyDescent="0.3">
      <c r="A467" s="813" t="s">
        <v>228</v>
      </c>
      <c r="B467" s="1276"/>
      <c r="C467" s="1276"/>
      <c r="D467" s="1277"/>
      <c r="E467" s="1277"/>
      <c r="F467" s="1277"/>
    </row>
    <row r="468" spans="1:6" ht="43.2" x14ac:dyDescent="0.3">
      <c r="A468" s="813" t="s">
        <v>498</v>
      </c>
      <c r="B468" s="1276">
        <v>41628</v>
      </c>
      <c r="C468" s="1276">
        <v>41658</v>
      </c>
      <c r="D468" s="1277">
        <v>5000000</v>
      </c>
      <c r="E468" s="1277">
        <v>5000000</v>
      </c>
      <c r="F468" s="1277">
        <v>0</v>
      </c>
    </row>
    <row r="469" spans="1:6" x14ac:dyDescent="0.3">
      <c r="A469" s="813" t="s">
        <v>223</v>
      </c>
      <c r="B469" s="1276"/>
      <c r="C469" s="1276"/>
      <c r="D469" s="1277"/>
      <c r="E469" s="1277"/>
      <c r="F469" s="1277"/>
    </row>
    <row r="470" spans="1:6" x14ac:dyDescent="0.3">
      <c r="A470" s="813" t="s">
        <v>224</v>
      </c>
      <c r="B470" s="1276"/>
      <c r="C470" s="1276"/>
      <c r="D470" s="1277"/>
      <c r="E470" s="1277"/>
      <c r="F470" s="1277"/>
    </row>
    <row r="471" spans="1:6" ht="43.2" x14ac:dyDescent="0.3">
      <c r="A471" s="813" t="s">
        <v>498</v>
      </c>
      <c r="B471" s="1276">
        <v>41628</v>
      </c>
      <c r="C471" s="1276">
        <v>41658</v>
      </c>
      <c r="D471" s="1277">
        <v>5000000</v>
      </c>
      <c r="E471" s="1277">
        <v>5000000</v>
      </c>
      <c r="F471" s="1277">
        <v>0</v>
      </c>
    </row>
    <row r="472" spans="1:6" x14ac:dyDescent="0.3">
      <c r="A472" s="813" t="s">
        <v>231</v>
      </c>
      <c r="B472" s="1276"/>
      <c r="C472" s="1276"/>
      <c r="D472" s="1277"/>
      <c r="E472" s="1277"/>
      <c r="F472" s="1277"/>
    </row>
    <row r="473" spans="1:6" x14ac:dyDescent="0.3">
      <c r="A473" s="813" t="s">
        <v>1041</v>
      </c>
      <c r="B473" s="1276"/>
      <c r="C473" s="1276"/>
      <c r="D473" s="1277"/>
      <c r="E473" s="1277"/>
      <c r="F473" s="1277"/>
    </row>
    <row r="474" spans="1:6" ht="43.2" x14ac:dyDescent="0.3">
      <c r="A474" s="813" t="s">
        <v>499</v>
      </c>
      <c r="B474" s="1276">
        <v>41647</v>
      </c>
      <c r="C474" s="1276">
        <v>41797</v>
      </c>
      <c r="D474" s="1277">
        <v>70000000</v>
      </c>
      <c r="E474" s="1277">
        <v>69658711</v>
      </c>
      <c r="F474" s="1277">
        <v>341289</v>
      </c>
    </row>
    <row r="475" spans="1:6" x14ac:dyDescent="0.3">
      <c r="A475" s="813" t="s">
        <v>225</v>
      </c>
      <c r="B475" s="1276"/>
      <c r="C475" s="1276"/>
      <c r="D475" s="1277"/>
      <c r="E475" s="1277"/>
      <c r="F475" s="1277"/>
    </row>
    <row r="476" spans="1:6" x14ac:dyDescent="0.3">
      <c r="A476" s="813" t="s">
        <v>226</v>
      </c>
      <c r="B476" s="1276"/>
      <c r="C476" s="1276"/>
      <c r="D476" s="1277"/>
      <c r="E476" s="1277"/>
      <c r="F476" s="1277"/>
    </row>
    <row r="477" spans="1:6" ht="43.2" x14ac:dyDescent="0.3">
      <c r="A477" s="813" t="s">
        <v>498</v>
      </c>
      <c r="B477" s="1276">
        <v>41628</v>
      </c>
      <c r="C477" s="1276">
        <v>41658</v>
      </c>
      <c r="D477" s="1277">
        <v>5000000</v>
      </c>
      <c r="E477" s="1277">
        <v>5000000</v>
      </c>
      <c r="F477" s="1277">
        <v>0</v>
      </c>
    </row>
    <row r="478" spans="1:6" x14ac:dyDescent="0.3">
      <c r="A478" s="813" t="s">
        <v>221</v>
      </c>
      <c r="B478" s="1276"/>
      <c r="C478" s="1276"/>
      <c r="D478" s="1277"/>
      <c r="E478" s="1277"/>
      <c r="F478" s="1277"/>
    </row>
    <row r="479" spans="1:6" x14ac:dyDescent="0.3">
      <c r="A479" s="813" t="s">
        <v>222</v>
      </c>
      <c r="B479" s="1276">
        <v>41628</v>
      </c>
      <c r="C479" s="1276">
        <v>41658</v>
      </c>
      <c r="D479" s="1277">
        <v>5000000</v>
      </c>
      <c r="E479" s="1277">
        <v>5000000</v>
      </c>
      <c r="F479" s="1277">
        <v>0</v>
      </c>
    </row>
    <row r="480" spans="1:6" x14ac:dyDescent="0.3">
      <c r="A480" s="813" t="s">
        <v>242</v>
      </c>
      <c r="B480" s="1276"/>
      <c r="C480" s="1276"/>
      <c r="D480" s="1277"/>
      <c r="E480" s="1277"/>
      <c r="F480" s="1277"/>
    </row>
    <row r="481" spans="1:6" x14ac:dyDescent="0.3">
      <c r="A481" s="813" t="s">
        <v>235</v>
      </c>
      <c r="B481" s="1276"/>
      <c r="C481" s="1276"/>
      <c r="D481" s="1277"/>
      <c r="E481" s="1277"/>
      <c r="F481" s="1277"/>
    </row>
    <row r="482" spans="1:6" ht="43.2" x14ac:dyDescent="0.3">
      <c r="A482" s="813" t="s">
        <v>500</v>
      </c>
      <c r="B482" s="1276">
        <v>41662</v>
      </c>
      <c r="C482" s="1276">
        <v>41751</v>
      </c>
      <c r="D482" s="1277">
        <v>3017160</v>
      </c>
      <c r="E482" s="1277">
        <v>3017160</v>
      </c>
      <c r="F482" s="1277">
        <v>0</v>
      </c>
    </row>
    <row r="483" spans="1:6" x14ac:dyDescent="0.3">
      <c r="A483" s="1279" t="s">
        <v>240</v>
      </c>
      <c r="B483" s="404"/>
      <c r="C483" s="404"/>
      <c r="D483" s="1278"/>
      <c r="E483" s="1278"/>
      <c r="F483" s="1278"/>
    </row>
    <row r="484" spans="1:6" x14ac:dyDescent="0.3">
      <c r="A484" s="813" t="s">
        <v>290</v>
      </c>
      <c r="B484" s="404"/>
      <c r="C484" s="404"/>
      <c r="D484" s="1278"/>
      <c r="E484" s="1278"/>
      <c r="F484" s="1278"/>
    </row>
    <row r="485" spans="1:6" x14ac:dyDescent="0.3">
      <c r="A485" s="813" t="s">
        <v>501</v>
      </c>
      <c r="B485" s="404">
        <v>41655</v>
      </c>
      <c r="C485" s="404">
        <v>42019</v>
      </c>
      <c r="D485" s="1278">
        <v>90000000</v>
      </c>
      <c r="E485" s="1278">
        <v>42574877.200000003</v>
      </c>
      <c r="F485" s="1278">
        <v>47425122.799999997</v>
      </c>
    </row>
    <row r="486" spans="1:6" x14ac:dyDescent="0.3">
      <c r="A486" s="813" t="s">
        <v>229</v>
      </c>
      <c r="B486" s="1276"/>
      <c r="C486" s="1276"/>
      <c r="D486" s="1277"/>
      <c r="E486" s="1277"/>
      <c r="F486" s="1277"/>
    </row>
    <row r="487" spans="1:6" x14ac:dyDescent="0.3">
      <c r="A487" s="813" t="s">
        <v>1042</v>
      </c>
      <c r="B487" s="1276"/>
      <c r="C487" s="1276"/>
      <c r="D487" s="1277"/>
      <c r="E487" s="1277"/>
      <c r="F487" s="1277"/>
    </row>
    <row r="488" spans="1:6" ht="43.2" x14ac:dyDescent="0.3">
      <c r="A488" s="813" t="s">
        <v>498</v>
      </c>
      <c r="B488" s="1276">
        <v>41634</v>
      </c>
      <c r="C488" s="1276">
        <v>41664</v>
      </c>
      <c r="D488" s="1277">
        <v>5000000</v>
      </c>
      <c r="E488" s="1277">
        <v>5000000</v>
      </c>
      <c r="F488" s="1277">
        <v>0</v>
      </c>
    </row>
    <row r="489" spans="1:6" x14ac:dyDescent="0.3">
      <c r="A489" s="813" t="s">
        <v>239</v>
      </c>
      <c r="B489" s="1276"/>
      <c r="C489" s="1276"/>
      <c r="D489" s="1277"/>
      <c r="E489" s="1277"/>
      <c r="F489" s="1277"/>
    </row>
    <row r="490" spans="1:6" x14ac:dyDescent="0.3">
      <c r="A490" s="813" t="s">
        <v>152</v>
      </c>
      <c r="B490" s="1276"/>
      <c r="C490" s="1276"/>
      <c r="D490" s="1277"/>
      <c r="E490" s="1277"/>
      <c r="F490" s="1277"/>
    </row>
    <row r="491" spans="1:6" ht="43.2" x14ac:dyDescent="0.3">
      <c r="A491" s="813" t="s">
        <v>502</v>
      </c>
      <c r="B491" s="1276">
        <v>41662</v>
      </c>
      <c r="C491" s="1276">
        <v>41754</v>
      </c>
      <c r="D491" s="1277">
        <v>3743343</v>
      </c>
      <c r="E491" s="1277">
        <v>3743343</v>
      </c>
      <c r="F491" s="1277">
        <v>0</v>
      </c>
    </row>
    <row r="492" spans="1:6" x14ac:dyDescent="0.3">
      <c r="A492" s="1279" t="s">
        <v>405</v>
      </c>
      <c r="B492" s="404"/>
      <c r="C492" s="404"/>
      <c r="D492" s="1278"/>
      <c r="E492" s="1278"/>
      <c r="F492" s="1278"/>
    </row>
    <row r="493" spans="1:6" x14ac:dyDescent="0.3">
      <c r="A493" s="813" t="s">
        <v>238</v>
      </c>
      <c r="B493" s="404"/>
      <c r="C493" s="404"/>
      <c r="D493" s="1278"/>
      <c r="E493" s="1278"/>
      <c r="F493" s="1278"/>
    </row>
    <row r="494" spans="1:6" ht="57.6" x14ac:dyDescent="0.3">
      <c r="A494" s="813" t="s">
        <v>503</v>
      </c>
      <c r="B494" s="404">
        <v>41662</v>
      </c>
      <c r="C494" s="404">
        <v>42026</v>
      </c>
      <c r="D494" s="1278">
        <v>1620000</v>
      </c>
      <c r="E494" s="1278">
        <v>354000</v>
      </c>
      <c r="F494" s="1278">
        <v>1266000</v>
      </c>
    </row>
    <row r="495" spans="1:6" x14ac:dyDescent="0.3">
      <c r="A495" s="813" t="s">
        <v>236</v>
      </c>
      <c r="B495" s="1276"/>
      <c r="C495" s="1276"/>
      <c r="D495" s="1277"/>
      <c r="E495" s="1277"/>
      <c r="F495" s="1277"/>
    </row>
    <row r="496" spans="1:6" x14ac:dyDescent="0.3">
      <c r="A496" s="813" t="s">
        <v>186</v>
      </c>
      <c r="B496" s="1276"/>
      <c r="C496" s="1276"/>
      <c r="D496" s="1277"/>
      <c r="E496" s="1277"/>
      <c r="F496" s="1277"/>
    </row>
    <row r="497" spans="1:6" ht="43.2" x14ac:dyDescent="0.3">
      <c r="A497" s="813" t="s">
        <v>504</v>
      </c>
      <c r="B497" s="1276">
        <v>41655</v>
      </c>
      <c r="C497" s="1276">
        <v>41713</v>
      </c>
      <c r="D497" s="1277">
        <v>32048480</v>
      </c>
      <c r="E497" s="1277">
        <v>32048480</v>
      </c>
      <c r="F497" s="1277">
        <v>0</v>
      </c>
    </row>
    <row r="498" spans="1:6" x14ac:dyDescent="0.3">
      <c r="A498" s="813" t="s">
        <v>241</v>
      </c>
      <c r="B498" s="1276"/>
      <c r="C498" s="1276"/>
      <c r="D498" s="1277"/>
      <c r="E498" s="1277"/>
      <c r="F498" s="1277"/>
    </row>
    <row r="499" spans="1:6" x14ac:dyDescent="0.3">
      <c r="A499" s="813" t="s">
        <v>1043</v>
      </c>
      <c r="B499" s="1276"/>
      <c r="C499" s="1276"/>
      <c r="D499" s="1277"/>
      <c r="E499" s="1277"/>
      <c r="F499" s="1277"/>
    </row>
    <row r="500" spans="1:6" ht="43.2" x14ac:dyDescent="0.3">
      <c r="A500" s="813" t="s">
        <v>505</v>
      </c>
      <c r="B500" s="1276">
        <v>41662</v>
      </c>
      <c r="C500" s="1276">
        <v>41720</v>
      </c>
      <c r="D500" s="1277">
        <v>3480000</v>
      </c>
      <c r="E500" s="1277">
        <v>3480000</v>
      </c>
      <c r="F500" s="1277">
        <v>0</v>
      </c>
    </row>
    <row r="501" spans="1:6" x14ac:dyDescent="0.3">
      <c r="A501" s="813" t="s">
        <v>237</v>
      </c>
      <c r="B501" s="1276"/>
      <c r="C501" s="1276"/>
      <c r="D501" s="1277"/>
      <c r="E501" s="1277"/>
      <c r="F501" s="1277"/>
    </row>
    <row r="502" spans="1:6" x14ac:dyDescent="0.3">
      <c r="A502" s="813" t="s">
        <v>186</v>
      </c>
      <c r="B502" s="1276"/>
      <c r="C502" s="1276"/>
      <c r="D502" s="1277"/>
      <c r="E502" s="1277"/>
      <c r="F502" s="1277"/>
    </row>
    <row r="503" spans="1:6" ht="57.6" x14ac:dyDescent="0.3">
      <c r="A503" s="813" t="s">
        <v>506</v>
      </c>
      <c r="B503" s="1276">
        <v>41662</v>
      </c>
      <c r="C503" s="1276">
        <v>41736</v>
      </c>
      <c r="D503" s="1277">
        <v>126308000</v>
      </c>
      <c r="E503" s="1277">
        <v>126308000</v>
      </c>
      <c r="F503" s="1277">
        <v>0</v>
      </c>
    </row>
    <row r="504" spans="1:6" x14ac:dyDescent="0.3">
      <c r="A504" s="813" t="s">
        <v>230</v>
      </c>
      <c r="B504" s="1276"/>
      <c r="C504" s="1276"/>
      <c r="D504" s="1277"/>
      <c r="E504" s="1277"/>
      <c r="F504" s="1277"/>
    </row>
    <row r="505" spans="1:6" x14ac:dyDescent="0.3">
      <c r="A505" s="813" t="s">
        <v>1044</v>
      </c>
      <c r="B505" s="1276"/>
      <c r="C505" s="1276"/>
      <c r="D505" s="1277"/>
      <c r="E505" s="1277"/>
      <c r="F505" s="1277"/>
    </row>
    <row r="506" spans="1:6" ht="43.2" x14ac:dyDescent="0.3">
      <c r="A506" s="813" t="s">
        <v>507</v>
      </c>
      <c r="B506" s="1276">
        <v>41638</v>
      </c>
      <c r="C506" s="1276">
        <v>41668</v>
      </c>
      <c r="D506" s="1277">
        <v>3500000</v>
      </c>
      <c r="E506" s="1277">
        <v>3500000</v>
      </c>
      <c r="F506" s="1277">
        <v>0</v>
      </c>
    </row>
    <row r="507" spans="1:6" x14ac:dyDescent="0.3">
      <c r="A507" s="813" t="s">
        <v>243</v>
      </c>
      <c r="B507" s="1276"/>
      <c r="C507" s="1276"/>
      <c r="D507" s="1277"/>
      <c r="E507" s="1277"/>
      <c r="F507" s="1277"/>
    </row>
    <row r="508" spans="1:6" x14ac:dyDescent="0.3">
      <c r="A508" s="813" t="s">
        <v>244</v>
      </c>
      <c r="B508" s="1276"/>
      <c r="C508" s="1276"/>
      <c r="D508" s="1277"/>
      <c r="E508" s="1277"/>
      <c r="F508" s="1277"/>
    </row>
    <row r="509" spans="1:6" ht="57.6" x14ac:dyDescent="0.3">
      <c r="A509" s="813" t="s">
        <v>508</v>
      </c>
      <c r="B509" s="1276">
        <v>41670</v>
      </c>
      <c r="C509" s="1276">
        <v>41789</v>
      </c>
      <c r="D509" s="1277">
        <v>803432165</v>
      </c>
      <c r="E509" s="1277">
        <v>741115935</v>
      </c>
      <c r="F509" s="1277">
        <v>62316230</v>
      </c>
    </row>
    <row r="510" spans="1:6" x14ac:dyDescent="0.3">
      <c r="A510" s="1279" t="s">
        <v>278</v>
      </c>
      <c r="B510" s="404"/>
      <c r="C510" s="404"/>
      <c r="D510" s="1278"/>
      <c r="E510" s="1278"/>
      <c r="F510" s="1278"/>
    </row>
    <row r="511" spans="1:6" x14ac:dyDescent="0.3">
      <c r="A511" s="813" t="s">
        <v>15</v>
      </c>
      <c r="B511" s="404"/>
      <c r="C511" s="404"/>
      <c r="D511" s="1278"/>
      <c r="E511" s="1278"/>
      <c r="F511" s="1278"/>
    </row>
    <row r="512" spans="1:6" ht="28.8" x14ac:dyDescent="0.3">
      <c r="A512" s="813" t="s">
        <v>509</v>
      </c>
      <c r="B512" s="404">
        <v>41775</v>
      </c>
      <c r="C512" s="404">
        <v>42139</v>
      </c>
      <c r="D512" s="1278">
        <v>7740000</v>
      </c>
      <c r="E512" s="1278">
        <v>7740000</v>
      </c>
      <c r="F512" s="1278">
        <v>0</v>
      </c>
    </row>
    <row r="513" spans="1:6" x14ac:dyDescent="0.3">
      <c r="A513" s="1279" t="s">
        <v>171</v>
      </c>
      <c r="B513" s="404"/>
      <c r="C513" s="404"/>
      <c r="D513" s="1278"/>
      <c r="E513" s="1278"/>
      <c r="F513" s="1278"/>
    </row>
    <row r="514" spans="1:6" x14ac:dyDescent="0.3">
      <c r="A514" s="813" t="s">
        <v>1033</v>
      </c>
      <c r="B514" s="404"/>
      <c r="C514" s="404"/>
      <c r="D514" s="1278"/>
      <c r="E514" s="1278"/>
      <c r="F514" s="1278"/>
    </row>
    <row r="515" spans="1:6" ht="43.2" x14ac:dyDescent="0.3">
      <c r="A515" s="813" t="s">
        <v>510</v>
      </c>
      <c r="B515" s="404">
        <v>41675</v>
      </c>
      <c r="C515" s="404">
        <v>42008</v>
      </c>
      <c r="D515" s="1278">
        <v>29819999</v>
      </c>
      <c r="E515" s="1278">
        <v>29819999</v>
      </c>
      <c r="F515" s="1278">
        <v>0</v>
      </c>
    </row>
    <row r="516" spans="1:6" x14ac:dyDescent="0.3">
      <c r="A516" s="1279" t="s">
        <v>252</v>
      </c>
      <c r="B516" s="404"/>
      <c r="C516" s="404"/>
      <c r="D516" s="1278"/>
      <c r="E516" s="1278"/>
      <c r="F516" s="1278"/>
    </row>
    <row r="517" spans="1:6" x14ac:dyDescent="0.3">
      <c r="A517" s="813" t="s">
        <v>86</v>
      </c>
      <c r="B517" s="404"/>
      <c r="C517" s="404"/>
      <c r="D517" s="1278"/>
      <c r="E517" s="1278"/>
      <c r="F517" s="1278"/>
    </row>
    <row r="518" spans="1:6" x14ac:dyDescent="0.3">
      <c r="A518" s="813" t="s">
        <v>511</v>
      </c>
      <c r="B518" s="404">
        <v>41717</v>
      </c>
      <c r="C518" s="404">
        <v>42081</v>
      </c>
      <c r="D518" s="1278">
        <v>1197000</v>
      </c>
      <c r="E518" s="1278">
        <v>1197000</v>
      </c>
      <c r="F518" s="1278">
        <v>0</v>
      </c>
    </row>
    <row r="519" spans="1:6" x14ac:dyDescent="0.3">
      <c r="A519" s="813" t="s">
        <v>270</v>
      </c>
      <c r="B519" s="1276"/>
      <c r="C519" s="1276"/>
      <c r="D519" s="1277"/>
      <c r="E519" s="1277"/>
      <c r="F519" s="1277"/>
    </row>
    <row r="520" spans="1:6" x14ac:dyDescent="0.3">
      <c r="A520" s="813" t="s">
        <v>1030</v>
      </c>
      <c r="B520" s="1276"/>
      <c r="C520" s="1276"/>
      <c r="D520" s="1277"/>
      <c r="E520" s="1277"/>
      <c r="F520" s="1277"/>
    </row>
    <row r="521" spans="1:6" ht="28.8" x14ac:dyDescent="0.3">
      <c r="A521" s="813" t="s">
        <v>512</v>
      </c>
      <c r="B521" s="1276">
        <v>41739</v>
      </c>
      <c r="C521" s="1276">
        <v>41891</v>
      </c>
      <c r="D521" s="1277">
        <v>4000000</v>
      </c>
      <c r="E521" s="1277">
        <v>4000000</v>
      </c>
      <c r="F521" s="1277">
        <v>0</v>
      </c>
    </row>
    <row r="522" spans="1:6" x14ac:dyDescent="0.3">
      <c r="A522" s="1279" t="s">
        <v>254</v>
      </c>
      <c r="B522" s="404"/>
      <c r="C522" s="404"/>
      <c r="D522" s="1278"/>
      <c r="E522" s="1278"/>
      <c r="F522" s="1278"/>
    </row>
    <row r="523" spans="1:6" x14ac:dyDescent="0.3">
      <c r="A523" s="813" t="s">
        <v>1032</v>
      </c>
      <c r="B523" s="404"/>
      <c r="C523" s="404"/>
      <c r="D523" s="1278"/>
      <c r="E523" s="1278"/>
      <c r="F523" s="1278"/>
    </row>
    <row r="524" spans="1:6" ht="43.2" x14ac:dyDescent="0.3">
      <c r="A524" s="813" t="s">
        <v>513</v>
      </c>
      <c r="B524" s="404">
        <v>41701</v>
      </c>
      <c r="C524" s="404">
        <v>42006</v>
      </c>
      <c r="D524" s="1278">
        <v>42800000</v>
      </c>
      <c r="E524" s="1278">
        <v>42800000</v>
      </c>
      <c r="F524" s="1278">
        <v>0</v>
      </c>
    </row>
    <row r="525" spans="1:6" x14ac:dyDescent="0.3">
      <c r="A525" s="1279" t="s">
        <v>267</v>
      </c>
      <c r="B525" s="404"/>
      <c r="C525" s="404"/>
      <c r="D525" s="1278"/>
      <c r="E525" s="1278"/>
      <c r="F525" s="1278"/>
    </row>
    <row r="526" spans="1:6" x14ac:dyDescent="0.3">
      <c r="A526" s="813" t="s">
        <v>1514</v>
      </c>
      <c r="B526" s="1276"/>
      <c r="C526" s="1276"/>
      <c r="D526" s="1277"/>
      <c r="E526" s="1277"/>
      <c r="F526" s="1277"/>
    </row>
    <row r="527" spans="1:6" ht="43.2" x14ac:dyDescent="0.3">
      <c r="A527" s="813" t="s">
        <v>514</v>
      </c>
      <c r="B527" s="1276">
        <v>41708</v>
      </c>
      <c r="C527" s="1276">
        <v>42013</v>
      </c>
      <c r="D527" s="1277">
        <v>38830000</v>
      </c>
      <c r="E527" s="1277">
        <v>38830000</v>
      </c>
      <c r="F527" s="1277">
        <v>0</v>
      </c>
    </row>
    <row r="528" spans="1:6" x14ac:dyDescent="0.3">
      <c r="A528" s="1279" t="s">
        <v>257</v>
      </c>
      <c r="B528" s="404"/>
      <c r="C528" s="404"/>
      <c r="D528" s="1278"/>
      <c r="E528" s="1278"/>
      <c r="F528" s="1278"/>
    </row>
    <row r="529" spans="1:6" x14ac:dyDescent="0.3">
      <c r="A529" s="813" t="s">
        <v>1034</v>
      </c>
      <c r="B529" s="404"/>
      <c r="C529" s="404"/>
      <c r="D529" s="1278"/>
      <c r="E529" s="1278"/>
      <c r="F529" s="1278"/>
    </row>
    <row r="530" spans="1:6" ht="72" x14ac:dyDescent="0.3">
      <c r="A530" s="813" t="s">
        <v>515</v>
      </c>
      <c r="B530" s="404">
        <v>41675</v>
      </c>
      <c r="C530" s="404">
        <v>42008</v>
      </c>
      <c r="D530" s="1278">
        <v>40997000</v>
      </c>
      <c r="E530" s="1278">
        <v>40997000</v>
      </c>
      <c r="F530" s="1278">
        <v>0</v>
      </c>
    </row>
    <row r="531" spans="1:6" x14ac:dyDescent="0.3">
      <c r="A531" s="1279" t="s">
        <v>245</v>
      </c>
      <c r="B531" s="404"/>
      <c r="C531" s="404"/>
      <c r="D531" s="1278"/>
      <c r="E531" s="1278"/>
      <c r="F531" s="1278"/>
    </row>
    <row r="532" spans="1:6" x14ac:dyDescent="0.3">
      <c r="A532" s="813" t="s">
        <v>226</v>
      </c>
      <c r="B532" s="404"/>
      <c r="C532" s="404"/>
      <c r="D532" s="1278"/>
      <c r="E532" s="1278"/>
      <c r="F532" s="1278"/>
    </row>
    <row r="533" spans="1:6" ht="57.6" x14ac:dyDescent="0.3">
      <c r="A533" s="813" t="s">
        <v>516</v>
      </c>
      <c r="B533" s="404">
        <v>41675</v>
      </c>
      <c r="C533" s="404">
        <v>42008</v>
      </c>
      <c r="D533" s="1278">
        <v>55000000</v>
      </c>
      <c r="E533" s="1278">
        <v>54333333</v>
      </c>
      <c r="F533" s="1278">
        <v>666667</v>
      </c>
    </row>
    <row r="534" spans="1:6" x14ac:dyDescent="0.3">
      <c r="A534" s="1279" t="s">
        <v>247</v>
      </c>
      <c r="B534" s="404"/>
      <c r="C534" s="404"/>
      <c r="D534" s="1278"/>
      <c r="E534" s="1278"/>
      <c r="F534" s="1278"/>
    </row>
    <row r="535" spans="1:6" ht="28.8" x14ac:dyDescent="0.3">
      <c r="A535" s="813" t="s">
        <v>1513</v>
      </c>
      <c r="B535" s="1276"/>
      <c r="C535" s="1276"/>
      <c r="D535" s="1277"/>
      <c r="E535" s="1277"/>
      <c r="F535" s="1277"/>
    </row>
    <row r="536" spans="1:6" ht="57.6" x14ac:dyDescent="0.3">
      <c r="A536" s="813" t="s">
        <v>516</v>
      </c>
      <c r="B536" s="1276">
        <v>41675</v>
      </c>
      <c r="C536" s="1276">
        <v>42008</v>
      </c>
      <c r="D536" s="1277">
        <v>55000000</v>
      </c>
      <c r="E536" s="1277">
        <v>54666666</v>
      </c>
      <c r="F536" s="1277">
        <v>333334</v>
      </c>
    </row>
    <row r="537" spans="1:6" x14ac:dyDescent="0.3">
      <c r="A537" s="1279" t="s">
        <v>249</v>
      </c>
      <c r="B537" s="404"/>
      <c r="C537" s="404"/>
      <c r="D537" s="1278"/>
      <c r="E537" s="1278"/>
      <c r="F537" s="1278"/>
    </row>
    <row r="538" spans="1:6" x14ac:dyDescent="0.3">
      <c r="A538" s="813" t="s">
        <v>1044</v>
      </c>
      <c r="B538" s="404"/>
      <c r="C538" s="404"/>
      <c r="D538" s="1278"/>
      <c r="E538" s="1278"/>
      <c r="F538" s="1278"/>
    </row>
    <row r="539" spans="1:6" ht="57.6" x14ac:dyDescent="0.3">
      <c r="A539" s="813" t="s">
        <v>2201</v>
      </c>
      <c r="B539" s="1276">
        <v>41675</v>
      </c>
      <c r="C539" s="1276">
        <v>42008</v>
      </c>
      <c r="D539" s="1277">
        <v>38500000</v>
      </c>
      <c r="E539" s="1277">
        <v>38500000</v>
      </c>
      <c r="F539" s="1277">
        <v>0</v>
      </c>
    </row>
    <row r="540" spans="1:6" x14ac:dyDescent="0.3">
      <c r="A540" s="1279" t="s">
        <v>246</v>
      </c>
      <c r="B540" s="404"/>
      <c r="C540" s="404"/>
      <c r="D540" s="1278"/>
      <c r="E540" s="1278"/>
      <c r="F540" s="1278"/>
    </row>
    <row r="541" spans="1:6" x14ac:dyDescent="0.3">
      <c r="A541" s="813" t="s">
        <v>228</v>
      </c>
      <c r="B541" s="404"/>
      <c r="C541" s="404"/>
      <c r="D541" s="1278"/>
      <c r="E541" s="1278"/>
      <c r="F541" s="1278"/>
    </row>
    <row r="542" spans="1:6" ht="43.2" x14ac:dyDescent="0.3">
      <c r="A542" s="813" t="s">
        <v>1618</v>
      </c>
      <c r="B542" s="1276">
        <v>41675</v>
      </c>
      <c r="C542" s="1276">
        <v>42008</v>
      </c>
      <c r="D542" s="1277">
        <v>55000000</v>
      </c>
      <c r="E542" s="1277">
        <v>55000000</v>
      </c>
      <c r="F542" s="1277">
        <v>0</v>
      </c>
    </row>
    <row r="543" spans="1:6" x14ac:dyDescent="0.3">
      <c r="A543" s="1279" t="s">
        <v>248</v>
      </c>
      <c r="B543" s="404"/>
      <c r="C543" s="404"/>
      <c r="D543" s="1278"/>
      <c r="E543" s="1278"/>
      <c r="F543" s="1278"/>
    </row>
    <row r="544" spans="1:6" x14ac:dyDescent="0.3">
      <c r="A544" s="813" t="s">
        <v>224</v>
      </c>
      <c r="B544" s="404"/>
      <c r="C544" s="404"/>
      <c r="D544" s="1278"/>
      <c r="E544" s="1278"/>
      <c r="F544" s="1278"/>
    </row>
    <row r="545" spans="1:6" ht="57.6" x14ac:dyDescent="0.3">
      <c r="A545" s="813" t="s">
        <v>516</v>
      </c>
      <c r="B545" s="404">
        <v>41675</v>
      </c>
      <c r="C545" s="404">
        <v>42008</v>
      </c>
      <c r="D545" s="1278">
        <v>55000000</v>
      </c>
      <c r="E545" s="1278">
        <v>55000000</v>
      </c>
      <c r="F545" s="1278">
        <v>0</v>
      </c>
    </row>
    <row r="546" spans="1:6" x14ac:dyDescent="0.3">
      <c r="A546" s="1279" t="s">
        <v>268</v>
      </c>
      <c r="B546" s="404"/>
      <c r="C546" s="404"/>
      <c r="D546" s="1278"/>
      <c r="E546" s="1278"/>
      <c r="F546" s="1278"/>
    </row>
    <row r="547" spans="1:6" x14ac:dyDescent="0.3">
      <c r="A547" s="813" t="s">
        <v>269</v>
      </c>
      <c r="B547" s="404"/>
      <c r="C547" s="404"/>
      <c r="D547" s="1278"/>
      <c r="E547" s="1278"/>
      <c r="F547" s="1278"/>
    </row>
    <row r="548" spans="1:6" ht="43.2" x14ac:dyDescent="0.3">
      <c r="A548" s="813" t="s">
        <v>369</v>
      </c>
      <c r="B548" s="404">
        <v>41732</v>
      </c>
      <c r="C548" s="404">
        <v>42096</v>
      </c>
      <c r="D548" s="1278">
        <v>16555000</v>
      </c>
      <c r="E548" s="1278">
        <v>15762669</v>
      </c>
      <c r="F548" s="1278">
        <v>792331</v>
      </c>
    </row>
    <row r="549" spans="1:6" x14ac:dyDescent="0.3">
      <c r="A549" s="1279" t="s">
        <v>253</v>
      </c>
      <c r="B549" s="404"/>
      <c r="C549" s="404"/>
      <c r="D549" s="1278"/>
      <c r="E549" s="1278"/>
      <c r="F549" s="1278"/>
    </row>
    <row r="550" spans="1:6" x14ac:dyDescent="0.3">
      <c r="A550" s="813" t="s">
        <v>140</v>
      </c>
      <c r="B550" s="404"/>
      <c r="C550" s="404"/>
      <c r="D550" s="1278"/>
      <c r="E550" s="1278"/>
      <c r="F550" s="1278"/>
    </row>
    <row r="551" spans="1:6" ht="43.2" x14ac:dyDescent="0.3">
      <c r="A551" s="813" t="s">
        <v>1131</v>
      </c>
      <c r="B551" s="1276">
        <v>41675</v>
      </c>
      <c r="C551" s="1276">
        <v>42008</v>
      </c>
      <c r="D551" s="1277">
        <v>39600000</v>
      </c>
      <c r="E551" s="1277">
        <v>24720000</v>
      </c>
      <c r="F551" s="1277">
        <v>14880000</v>
      </c>
    </row>
    <row r="552" spans="1:6" x14ac:dyDescent="0.3">
      <c r="A552" s="1279" t="s">
        <v>255</v>
      </c>
      <c r="B552" s="404"/>
      <c r="C552" s="404"/>
      <c r="D552" s="1278"/>
      <c r="E552" s="1278"/>
      <c r="F552" s="1278"/>
    </row>
    <row r="553" spans="1:6" x14ac:dyDescent="0.3">
      <c r="A553" s="813" t="s">
        <v>1031</v>
      </c>
      <c r="B553" s="404"/>
      <c r="C553" s="404"/>
      <c r="D553" s="1278"/>
      <c r="E553" s="1278"/>
      <c r="F553" s="1278"/>
    </row>
    <row r="554" spans="1:6" ht="72" x14ac:dyDescent="0.3">
      <c r="A554" s="813" t="s">
        <v>517</v>
      </c>
      <c r="B554" s="404">
        <v>41694</v>
      </c>
      <c r="C554" s="404">
        <v>41996</v>
      </c>
      <c r="D554" s="1278">
        <v>51500000</v>
      </c>
      <c r="E554" s="1278">
        <v>32788333</v>
      </c>
      <c r="F554" s="1278">
        <v>18711667</v>
      </c>
    </row>
    <row r="555" spans="1:6" x14ac:dyDescent="0.3">
      <c r="A555" s="1279" t="s">
        <v>250</v>
      </c>
      <c r="B555" s="404"/>
      <c r="C555" s="404"/>
      <c r="D555" s="1278"/>
      <c r="E555" s="1278"/>
      <c r="F555" s="1278"/>
    </row>
    <row r="556" spans="1:6" x14ac:dyDescent="0.3">
      <c r="A556" s="813" t="s">
        <v>251</v>
      </c>
      <c r="B556" s="404"/>
      <c r="C556" s="404"/>
      <c r="D556" s="1278"/>
      <c r="E556" s="1278"/>
      <c r="F556" s="1278"/>
    </row>
    <row r="557" spans="1:6" ht="43.2" x14ac:dyDescent="0.3">
      <c r="A557" s="813" t="s">
        <v>518</v>
      </c>
      <c r="B557" s="404">
        <v>41675</v>
      </c>
      <c r="C557" s="404">
        <v>42008</v>
      </c>
      <c r="D557" s="1278">
        <v>16500000</v>
      </c>
      <c r="E557" s="1278">
        <v>10300000</v>
      </c>
      <c r="F557" s="1278">
        <v>6200000</v>
      </c>
    </row>
    <row r="558" spans="1:6" x14ac:dyDescent="0.3">
      <c r="A558" s="1279" t="s">
        <v>256</v>
      </c>
      <c r="B558" s="404"/>
      <c r="C558" s="404"/>
      <c r="D558" s="1278"/>
      <c r="E558" s="1278"/>
      <c r="F558" s="1278"/>
    </row>
    <row r="559" spans="1:6" ht="28.8" x14ac:dyDescent="0.3">
      <c r="A559" s="813" t="s">
        <v>1393</v>
      </c>
      <c r="B559" s="1276"/>
      <c r="C559" s="1276"/>
      <c r="D559" s="1277"/>
      <c r="E559" s="1277"/>
      <c r="F559" s="1277"/>
    </row>
    <row r="560" spans="1:6" ht="72" x14ac:dyDescent="0.3">
      <c r="A560" s="813" t="s">
        <v>519</v>
      </c>
      <c r="B560" s="1276">
        <v>41677</v>
      </c>
      <c r="C560" s="1276">
        <v>42041</v>
      </c>
      <c r="D560" s="1277">
        <v>61800000</v>
      </c>
      <c r="E560" s="1277">
        <v>54933333</v>
      </c>
      <c r="F560" s="1277">
        <v>6866667</v>
      </c>
    </row>
    <row r="561" spans="1:6" x14ac:dyDescent="0.3">
      <c r="A561" s="813" t="s">
        <v>264</v>
      </c>
      <c r="B561" s="1276"/>
      <c r="C561" s="1276"/>
      <c r="D561" s="1277"/>
      <c r="E561" s="1277"/>
      <c r="F561" s="1277"/>
    </row>
    <row r="562" spans="1:6" x14ac:dyDescent="0.3">
      <c r="A562" s="813" t="s">
        <v>186</v>
      </c>
      <c r="B562" s="1276"/>
      <c r="C562" s="1276"/>
      <c r="D562" s="1277"/>
      <c r="E562" s="1277"/>
      <c r="F562" s="1277"/>
    </row>
    <row r="563" spans="1:6" ht="57.6" x14ac:dyDescent="0.3">
      <c r="A563" s="813" t="s">
        <v>520</v>
      </c>
      <c r="B563" s="1276">
        <v>41704</v>
      </c>
      <c r="C563" s="1276">
        <v>41748</v>
      </c>
      <c r="D563" s="1277">
        <v>340808000</v>
      </c>
      <c r="E563" s="1277">
        <v>340808000</v>
      </c>
      <c r="F563" s="1277">
        <v>0</v>
      </c>
    </row>
    <row r="564" spans="1:6" x14ac:dyDescent="0.3">
      <c r="A564" s="813" t="s">
        <v>262</v>
      </c>
      <c r="B564" s="1276"/>
      <c r="C564" s="1276"/>
      <c r="D564" s="1277"/>
      <c r="E564" s="1277"/>
      <c r="F564" s="1277"/>
    </row>
    <row r="565" spans="1:6" x14ac:dyDescent="0.3">
      <c r="A565" s="813" t="s">
        <v>263</v>
      </c>
      <c r="B565" s="1276"/>
      <c r="C565" s="1276"/>
      <c r="D565" s="1277"/>
      <c r="E565" s="1277"/>
      <c r="F565" s="1277"/>
    </row>
    <row r="566" spans="1:6" ht="57.6" x14ac:dyDescent="0.3">
      <c r="A566" s="813" t="s">
        <v>521</v>
      </c>
      <c r="B566" s="1276">
        <v>41704</v>
      </c>
      <c r="C566" s="1276">
        <v>41748</v>
      </c>
      <c r="D566" s="1277">
        <v>28900000</v>
      </c>
      <c r="E566" s="1277">
        <v>28900000</v>
      </c>
      <c r="F566" s="1277">
        <v>0</v>
      </c>
    </row>
    <row r="567" spans="1:6" x14ac:dyDescent="0.3">
      <c r="A567" s="813" t="s">
        <v>260</v>
      </c>
      <c r="B567" s="1276"/>
      <c r="C567" s="1276"/>
      <c r="D567" s="1277"/>
      <c r="E567" s="1277"/>
      <c r="F567" s="1277"/>
    </row>
    <row r="568" spans="1:6" x14ac:dyDescent="0.3">
      <c r="A568" s="813" t="s">
        <v>261</v>
      </c>
      <c r="B568" s="1276"/>
      <c r="C568" s="1276"/>
      <c r="D568" s="1277"/>
      <c r="E568" s="1277"/>
      <c r="F568" s="1277"/>
    </row>
    <row r="569" spans="1:6" x14ac:dyDescent="0.3">
      <c r="A569" s="813" t="s">
        <v>522</v>
      </c>
      <c r="B569" s="1276">
        <v>41708</v>
      </c>
      <c r="C569" s="1276">
        <v>41738</v>
      </c>
      <c r="D569" s="1277">
        <v>325128875</v>
      </c>
      <c r="E569" s="1277">
        <v>325028452</v>
      </c>
      <c r="F569" s="1277">
        <v>100423</v>
      </c>
    </row>
    <row r="570" spans="1:6" x14ac:dyDescent="0.3">
      <c r="A570" s="1279" t="s">
        <v>273</v>
      </c>
      <c r="B570" s="404"/>
      <c r="C570" s="404"/>
      <c r="D570" s="1278"/>
      <c r="E570" s="1278"/>
      <c r="F570" s="1278"/>
    </row>
    <row r="571" spans="1:6" x14ac:dyDescent="0.3">
      <c r="A571" s="813" t="s">
        <v>126</v>
      </c>
      <c r="B571" s="404"/>
      <c r="C571" s="404"/>
      <c r="D571" s="1278"/>
      <c r="E571" s="1278"/>
      <c r="F571" s="1278"/>
    </row>
    <row r="572" spans="1:6" ht="57.6" x14ac:dyDescent="0.3">
      <c r="A572" s="813" t="s">
        <v>523</v>
      </c>
      <c r="B572" s="404">
        <v>41738</v>
      </c>
      <c r="C572" s="404">
        <v>42012</v>
      </c>
      <c r="D572" s="1278">
        <v>11000000</v>
      </c>
      <c r="E572" s="1278">
        <v>2672466</v>
      </c>
      <c r="F572" s="1278">
        <v>8327534</v>
      </c>
    </row>
    <row r="573" spans="1:6" x14ac:dyDescent="0.3">
      <c r="A573" s="1279" t="s">
        <v>288</v>
      </c>
      <c r="B573" s="404"/>
      <c r="C573" s="404"/>
      <c r="D573" s="1278"/>
      <c r="E573" s="1278"/>
      <c r="F573" s="1278"/>
    </row>
    <row r="574" spans="1:6" x14ac:dyDescent="0.3">
      <c r="A574" s="813" t="s">
        <v>12</v>
      </c>
      <c r="B574" s="404"/>
      <c r="C574" s="404"/>
      <c r="D574" s="1278"/>
      <c r="E574" s="1278"/>
      <c r="F574" s="1278"/>
    </row>
    <row r="575" spans="1:6" ht="43.2" x14ac:dyDescent="0.3">
      <c r="A575" s="813" t="s">
        <v>524</v>
      </c>
      <c r="B575" s="404">
        <v>41738</v>
      </c>
      <c r="C575" s="404">
        <v>42102</v>
      </c>
      <c r="D575" s="1278">
        <v>1607400</v>
      </c>
      <c r="E575" s="1278">
        <v>0</v>
      </c>
      <c r="F575" s="1278">
        <v>1607400</v>
      </c>
    </row>
    <row r="576" spans="1:6" x14ac:dyDescent="0.3">
      <c r="A576" s="1279" t="s">
        <v>266</v>
      </c>
      <c r="B576" s="404"/>
      <c r="C576" s="404"/>
      <c r="D576" s="1278"/>
      <c r="E576" s="1278"/>
      <c r="F576" s="1278"/>
    </row>
    <row r="577" spans="1:6" x14ac:dyDescent="0.3">
      <c r="A577" s="813" t="s">
        <v>1029</v>
      </c>
      <c r="B577" s="404"/>
      <c r="C577" s="404"/>
      <c r="D577" s="1278"/>
      <c r="E577" s="1278"/>
      <c r="F577" s="1278"/>
    </row>
    <row r="578" spans="1:6" ht="72" x14ac:dyDescent="0.3">
      <c r="A578" s="813" t="s">
        <v>368</v>
      </c>
      <c r="B578" s="404">
        <v>41725</v>
      </c>
      <c r="C578" s="404">
        <v>41969</v>
      </c>
      <c r="D578" s="1278">
        <v>4982000</v>
      </c>
      <c r="E578" s="1278">
        <v>2832000</v>
      </c>
      <c r="F578" s="1278">
        <v>2150000</v>
      </c>
    </row>
    <row r="579" spans="1:6" x14ac:dyDescent="0.3">
      <c r="A579" s="1279" t="s">
        <v>271</v>
      </c>
      <c r="B579" s="404"/>
      <c r="C579" s="404"/>
      <c r="D579" s="1278"/>
      <c r="E579" s="1278"/>
      <c r="F579" s="1278"/>
    </row>
    <row r="580" spans="1:6" x14ac:dyDescent="0.3">
      <c r="A580" s="813" t="s">
        <v>272</v>
      </c>
      <c r="B580" s="404"/>
      <c r="C580" s="404"/>
      <c r="D580" s="1278"/>
      <c r="E580" s="1278"/>
      <c r="F580" s="1278"/>
    </row>
    <row r="581" spans="1:6" ht="57.6" x14ac:dyDescent="0.3">
      <c r="A581" s="813" t="s">
        <v>525</v>
      </c>
      <c r="B581" s="404">
        <v>41738</v>
      </c>
      <c r="C581" s="404">
        <v>41951</v>
      </c>
      <c r="D581" s="1278">
        <v>28000000</v>
      </c>
      <c r="E581" s="1278">
        <v>10978240</v>
      </c>
      <c r="F581" s="1278">
        <v>17021760</v>
      </c>
    </row>
    <row r="582" spans="1:6" x14ac:dyDescent="0.3">
      <c r="A582" s="1279" t="s">
        <v>400</v>
      </c>
      <c r="B582" s="404"/>
      <c r="C582" s="404"/>
      <c r="D582" s="1278"/>
      <c r="E582" s="1278"/>
      <c r="F582" s="1278"/>
    </row>
    <row r="583" spans="1:6" x14ac:dyDescent="0.3">
      <c r="A583" s="813" t="s">
        <v>198</v>
      </c>
      <c r="B583" s="404"/>
      <c r="C583" s="404"/>
      <c r="D583" s="1278"/>
      <c r="E583" s="1278"/>
      <c r="F583" s="1278"/>
    </row>
    <row r="584" spans="1:6" ht="57.6" x14ac:dyDescent="0.3">
      <c r="A584" s="813" t="s">
        <v>1142</v>
      </c>
      <c r="B584" s="1276">
        <v>41793</v>
      </c>
      <c r="C584" s="1276">
        <v>42096</v>
      </c>
      <c r="D584" s="1277">
        <v>10564000</v>
      </c>
      <c r="E584" s="1277">
        <v>10055157</v>
      </c>
      <c r="F584" s="1277">
        <v>508843</v>
      </c>
    </row>
    <row r="585" spans="1:6" x14ac:dyDescent="0.3">
      <c r="A585" s="1279" t="s">
        <v>274</v>
      </c>
      <c r="B585" s="404"/>
      <c r="C585" s="404"/>
      <c r="D585" s="1278"/>
      <c r="E585" s="1278"/>
      <c r="F585" s="1278"/>
    </row>
    <row r="586" spans="1:6" x14ac:dyDescent="0.3">
      <c r="A586" s="813" t="s">
        <v>275</v>
      </c>
      <c r="B586" s="404"/>
      <c r="C586" s="404"/>
      <c r="D586" s="1278"/>
      <c r="E586" s="1278"/>
      <c r="F586" s="1278"/>
    </row>
    <row r="587" spans="1:6" ht="57.6" x14ac:dyDescent="0.3">
      <c r="A587" s="813" t="s">
        <v>1448</v>
      </c>
      <c r="B587" s="1276">
        <v>41752</v>
      </c>
      <c r="C587" s="1276">
        <v>42116</v>
      </c>
      <c r="D587" s="1277">
        <v>2122000</v>
      </c>
      <c r="E587" s="1277">
        <v>2122000</v>
      </c>
      <c r="F587" s="1277">
        <v>0</v>
      </c>
    </row>
    <row r="588" spans="1:6" x14ac:dyDescent="0.3">
      <c r="A588" s="1279" t="s">
        <v>279</v>
      </c>
      <c r="B588" s="404"/>
      <c r="C588" s="404"/>
      <c r="D588" s="1278"/>
      <c r="E588" s="1278"/>
      <c r="F588" s="1278"/>
    </row>
    <row r="589" spans="1:6" x14ac:dyDescent="0.3">
      <c r="A589" s="813" t="s">
        <v>53</v>
      </c>
      <c r="B589" s="404"/>
      <c r="C589" s="404"/>
      <c r="D589" s="1278"/>
      <c r="E589" s="1278"/>
      <c r="F589" s="1278"/>
    </row>
    <row r="590" spans="1:6" ht="57.6" x14ac:dyDescent="0.3">
      <c r="A590" s="813" t="s">
        <v>1767</v>
      </c>
      <c r="B590" s="1276">
        <v>41757</v>
      </c>
      <c r="C590" s="1276">
        <v>42091</v>
      </c>
      <c r="D590" s="1277">
        <v>31218000</v>
      </c>
      <c r="E590" s="1277">
        <v>29571427</v>
      </c>
      <c r="F590" s="1277">
        <v>1646573</v>
      </c>
    </row>
    <row r="591" spans="1:6" x14ac:dyDescent="0.3">
      <c r="A591" s="813" t="s">
        <v>282</v>
      </c>
      <c r="B591" s="1276"/>
      <c r="C591" s="1276"/>
      <c r="D591" s="1277"/>
      <c r="E591" s="1277"/>
      <c r="F591" s="1277"/>
    </row>
    <row r="592" spans="1:6" x14ac:dyDescent="0.3">
      <c r="A592" s="813" t="s">
        <v>418</v>
      </c>
      <c r="B592" s="1276"/>
      <c r="C592" s="1276"/>
      <c r="D592" s="1277"/>
      <c r="E592" s="1277"/>
      <c r="F592" s="1277"/>
    </row>
    <row r="593" spans="1:6" ht="43.2" x14ac:dyDescent="0.3">
      <c r="A593" s="813" t="s">
        <v>526</v>
      </c>
      <c r="B593" s="1276">
        <v>41764</v>
      </c>
      <c r="C593" s="1276">
        <v>41901</v>
      </c>
      <c r="D593" s="1277">
        <v>18217800</v>
      </c>
      <c r="E593" s="1277">
        <v>18217800</v>
      </c>
      <c r="F593" s="1277">
        <v>0</v>
      </c>
    </row>
    <row r="594" spans="1:6" x14ac:dyDescent="0.3">
      <c r="A594" s="813" t="s">
        <v>280</v>
      </c>
      <c r="B594" s="1276"/>
      <c r="C594" s="1276"/>
      <c r="D594" s="1277"/>
      <c r="E594" s="1277"/>
      <c r="F594" s="1277"/>
    </row>
    <row r="595" spans="1:6" x14ac:dyDescent="0.3">
      <c r="A595" s="813" t="s">
        <v>281</v>
      </c>
      <c r="B595" s="1276"/>
      <c r="C595" s="1276"/>
      <c r="D595" s="1277"/>
      <c r="E595" s="1277"/>
      <c r="F595" s="1277"/>
    </row>
    <row r="596" spans="1:6" ht="43.2" x14ac:dyDescent="0.3">
      <c r="A596" s="813" t="s">
        <v>527</v>
      </c>
      <c r="B596" s="1276">
        <v>41757</v>
      </c>
      <c r="C596" s="1276">
        <v>41817</v>
      </c>
      <c r="D596" s="1277">
        <v>1700007</v>
      </c>
      <c r="E596" s="1277">
        <v>1700000</v>
      </c>
      <c r="F596" s="1277">
        <v>7</v>
      </c>
    </row>
    <row r="597" spans="1:6" x14ac:dyDescent="0.3">
      <c r="A597" s="1279" t="s">
        <v>276</v>
      </c>
      <c r="B597" s="404"/>
      <c r="C597" s="404"/>
      <c r="D597" s="1278"/>
      <c r="E597" s="1278"/>
      <c r="F597" s="1278"/>
    </row>
    <row r="598" spans="1:6" x14ac:dyDescent="0.3">
      <c r="A598" s="813" t="s">
        <v>277</v>
      </c>
      <c r="B598" s="404"/>
      <c r="C598" s="404"/>
      <c r="D598" s="1278"/>
      <c r="E598" s="1278"/>
      <c r="F598" s="1278"/>
    </row>
    <row r="599" spans="1:6" ht="43.2" x14ac:dyDescent="0.3">
      <c r="A599" s="813" t="s">
        <v>370</v>
      </c>
      <c r="B599" s="404">
        <v>41753</v>
      </c>
      <c r="C599" s="404">
        <v>42117</v>
      </c>
      <c r="D599" s="1278">
        <v>32631000</v>
      </c>
      <c r="E599" s="1278">
        <v>32594631</v>
      </c>
      <c r="F599" s="1278">
        <v>36369</v>
      </c>
    </row>
    <row r="600" spans="1:6" x14ac:dyDescent="0.3">
      <c r="A600" s="1279" t="s">
        <v>283</v>
      </c>
      <c r="B600" s="404"/>
      <c r="C600" s="404"/>
      <c r="D600" s="1278"/>
      <c r="E600" s="1278"/>
      <c r="F600" s="1278"/>
    </row>
    <row r="601" spans="1:6" x14ac:dyDescent="0.3">
      <c r="A601" s="813" t="s">
        <v>284</v>
      </c>
      <c r="B601" s="404"/>
      <c r="C601" s="404"/>
      <c r="D601" s="1278"/>
      <c r="E601" s="1278"/>
      <c r="F601" s="1278"/>
    </row>
    <row r="602" spans="1:6" ht="43.2" x14ac:dyDescent="0.3">
      <c r="A602" s="813" t="s">
        <v>528</v>
      </c>
      <c r="B602" s="404">
        <v>41807</v>
      </c>
      <c r="C602" s="404">
        <v>42128</v>
      </c>
      <c r="D602" s="1278">
        <v>45100746</v>
      </c>
      <c r="E602" s="1278">
        <v>45045000</v>
      </c>
      <c r="F602" s="1278">
        <v>55746</v>
      </c>
    </row>
    <row r="603" spans="1:6" x14ac:dyDescent="0.3">
      <c r="A603" s="813" t="s">
        <v>289</v>
      </c>
      <c r="B603" s="1276"/>
      <c r="C603" s="1276"/>
      <c r="D603" s="1277"/>
      <c r="E603" s="1277"/>
      <c r="F603" s="1277"/>
    </row>
    <row r="604" spans="1:6" x14ac:dyDescent="0.3">
      <c r="A604" s="813" t="s">
        <v>290</v>
      </c>
      <c r="B604" s="1276"/>
      <c r="C604" s="1276"/>
      <c r="D604" s="1277"/>
      <c r="E604" s="1277"/>
      <c r="F604" s="1277"/>
    </row>
    <row r="605" spans="1:6" ht="43.2" x14ac:dyDescent="0.3">
      <c r="A605" s="813" t="s">
        <v>529</v>
      </c>
      <c r="B605" s="1276">
        <v>41794</v>
      </c>
      <c r="C605" s="1276">
        <v>41855</v>
      </c>
      <c r="D605" s="1277">
        <v>9998117</v>
      </c>
      <c r="E605" s="1277">
        <v>9998097</v>
      </c>
      <c r="F605" s="1277">
        <v>20</v>
      </c>
    </row>
    <row r="606" spans="1:6" x14ac:dyDescent="0.3">
      <c r="A606" s="1279" t="s">
        <v>300</v>
      </c>
      <c r="B606" s="404"/>
      <c r="C606" s="404"/>
      <c r="D606" s="1278"/>
      <c r="E606" s="1278"/>
      <c r="F606" s="1278"/>
    </row>
    <row r="607" spans="1:6" x14ac:dyDescent="0.3">
      <c r="A607" s="813" t="s">
        <v>1567</v>
      </c>
      <c r="B607" s="1276"/>
      <c r="C607" s="1276"/>
      <c r="D607" s="1277"/>
      <c r="E607" s="1277"/>
      <c r="F607" s="1277"/>
    </row>
    <row r="608" spans="1:6" ht="43.2" x14ac:dyDescent="0.3">
      <c r="A608" s="813" t="s">
        <v>530</v>
      </c>
      <c r="B608" s="1276">
        <v>41824</v>
      </c>
      <c r="C608" s="1276">
        <v>42312</v>
      </c>
      <c r="D608" s="1277">
        <v>12000000</v>
      </c>
      <c r="E608" s="1277">
        <v>10800000</v>
      </c>
      <c r="F608" s="1277">
        <v>1200000</v>
      </c>
    </row>
    <row r="609" spans="1:6" x14ac:dyDescent="0.3">
      <c r="A609" s="1279" t="s">
        <v>401</v>
      </c>
      <c r="B609" s="404"/>
      <c r="C609" s="404"/>
      <c r="D609" s="1278"/>
      <c r="E609" s="1278"/>
      <c r="F609" s="1278"/>
    </row>
    <row r="610" spans="1:6" x14ac:dyDescent="0.3">
      <c r="A610" s="813" t="s">
        <v>547</v>
      </c>
      <c r="B610" s="404"/>
      <c r="C610" s="404"/>
      <c r="D610" s="1278"/>
      <c r="E610" s="1278"/>
      <c r="F610" s="1278"/>
    </row>
    <row r="611" spans="1:6" ht="57.6" x14ac:dyDescent="0.3">
      <c r="A611" s="813" t="s">
        <v>1050</v>
      </c>
      <c r="B611" s="404">
        <v>41837</v>
      </c>
      <c r="C611" s="404">
        <v>42216</v>
      </c>
      <c r="D611" s="1278">
        <v>249991314</v>
      </c>
      <c r="E611" s="1278">
        <v>248275406</v>
      </c>
      <c r="F611" s="1278">
        <v>1715908</v>
      </c>
    </row>
    <row r="612" spans="1:6" x14ac:dyDescent="0.3">
      <c r="A612" s="813" t="s">
        <v>296</v>
      </c>
      <c r="B612" s="1276"/>
      <c r="C612" s="1276"/>
      <c r="D612" s="1277"/>
      <c r="E612" s="1277"/>
      <c r="F612" s="1277"/>
    </row>
    <row r="613" spans="1:6" x14ac:dyDescent="0.3">
      <c r="A613" s="813" t="s">
        <v>1038</v>
      </c>
      <c r="B613" s="1276"/>
      <c r="C613" s="1276"/>
      <c r="D613" s="1277"/>
      <c r="E613" s="1277"/>
      <c r="F613" s="1277"/>
    </row>
    <row r="614" spans="1:6" ht="43.2" x14ac:dyDescent="0.3">
      <c r="A614" s="813" t="s">
        <v>531</v>
      </c>
      <c r="B614" s="1276">
        <v>41807</v>
      </c>
      <c r="C614" s="1276">
        <v>41867</v>
      </c>
      <c r="D614" s="1277">
        <v>5719790</v>
      </c>
      <c r="E614" s="1277">
        <v>5719790</v>
      </c>
      <c r="F614" s="1277">
        <v>0</v>
      </c>
    </row>
    <row r="615" spans="1:6" x14ac:dyDescent="0.3">
      <c r="A615" s="1279" t="s">
        <v>287</v>
      </c>
      <c r="B615" s="404"/>
      <c r="C615" s="404"/>
      <c r="D615" s="1278"/>
      <c r="E615" s="1278"/>
      <c r="F615" s="1278"/>
    </row>
    <row r="616" spans="1:6" x14ac:dyDescent="0.3">
      <c r="A616" s="813" t="s">
        <v>1017</v>
      </c>
      <c r="B616" s="1276"/>
      <c r="C616" s="1276"/>
      <c r="D616" s="1277"/>
      <c r="E616" s="1277"/>
      <c r="F616" s="1277"/>
    </row>
    <row r="617" spans="1:6" ht="57.6" x14ac:dyDescent="0.3">
      <c r="A617" s="813" t="s">
        <v>532</v>
      </c>
      <c r="B617" s="1276">
        <v>41811</v>
      </c>
      <c r="C617" s="1276">
        <v>42186</v>
      </c>
      <c r="D617" s="1277">
        <v>337487000</v>
      </c>
      <c r="E617" s="1277">
        <v>337486998</v>
      </c>
      <c r="F617" s="1277">
        <v>2</v>
      </c>
    </row>
    <row r="618" spans="1:6" x14ac:dyDescent="0.3">
      <c r="A618" s="1279" t="s">
        <v>291</v>
      </c>
      <c r="B618" s="404"/>
      <c r="C618" s="404"/>
      <c r="D618" s="1278"/>
      <c r="E618" s="1278"/>
      <c r="F618" s="1278"/>
    </row>
    <row r="619" spans="1:6" x14ac:dyDescent="0.3">
      <c r="A619" s="813" t="s">
        <v>1047</v>
      </c>
      <c r="B619" s="404"/>
      <c r="C619" s="404"/>
      <c r="D619" s="1278"/>
      <c r="E619" s="1278"/>
      <c r="F619" s="1278"/>
    </row>
    <row r="620" spans="1:6" ht="57.6" x14ac:dyDescent="0.3">
      <c r="A620" s="813" t="s">
        <v>533</v>
      </c>
      <c r="B620" s="404">
        <v>41808</v>
      </c>
      <c r="C620" s="404">
        <v>42116</v>
      </c>
      <c r="D620" s="1278">
        <v>3463454100</v>
      </c>
      <c r="E620" s="1278">
        <v>3320263630</v>
      </c>
      <c r="F620" s="1278">
        <v>143190470</v>
      </c>
    </row>
    <row r="621" spans="1:6" x14ac:dyDescent="0.3">
      <c r="A621" s="813" t="s">
        <v>305</v>
      </c>
      <c r="B621" s="1276"/>
      <c r="C621" s="1276"/>
      <c r="D621" s="1277"/>
      <c r="E621" s="1277"/>
      <c r="F621" s="1277"/>
    </row>
    <row r="622" spans="1:6" x14ac:dyDescent="0.3">
      <c r="A622" s="813" t="s">
        <v>306</v>
      </c>
      <c r="B622" s="1276"/>
      <c r="C622" s="1276"/>
      <c r="D622" s="1277"/>
      <c r="E622" s="1277"/>
      <c r="F622" s="1277"/>
    </row>
    <row r="623" spans="1:6" ht="28.8" x14ac:dyDescent="0.3">
      <c r="A623" s="813" t="s">
        <v>534</v>
      </c>
      <c r="B623" s="1276">
        <v>41841</v>
      </c>
      <c r="C623" s="1276">
        <v>41872</v>
      </c>
      <c r="D623" s="1277">
        <v>330000</v>
      </c>
      <c r="E623" s="1277">
        <v>330000</v>
      </c>
      <c r="F623" s="1277">
        <v>0</v>
      </c>
    </row>
    <row r="624" spans="1:6" x14ac:dyDescent="0.3">
      <c r="A624" s="1279" t="s">
        <v>285</v>
      </c>
      <c r="B624" s="404"/>
      <c r="C624" s="404"/>
      <c r="D624" s="1278"/>
      <c r="E624" s="1278"/>
      <c r="F624" s="1278"/>
    </row>
    <row r="625" spans="1:6" x14ac:dyDescent="0.3">
      <c r="A625" s="813" t="s">
        <v>3</v>
      </c>
      <c r="B625" s="1276"/>
      <c r="C625" s="1276"/>
      <c r="D625" s="1277"/>
      <c r="E625" s="1277"/>
      <c r="F625" s="1277"/>
    </row>
    <row r="626" spans="1:6" x14ac:dyDescent="0.3">
      <c r="A626" s="813" t="s">
        <v>402</v>
      </c>
      <c r="B626" s="1276">
        <v>41806</v>
      </c>
      <c r="C626" s="1276">
        <v>41959</v>
      </c>
      <c r="D626" s="1277">
        <v>251750000</v>
      </c>
      <c r="E626" s="1277">
        <v>180186681</v>
      </c>
      <c r="F626" s="1277">
        <v>71563319</v>
      </c>
    </row>
    <row r="627" spans="1:6" x14ac:dyDescent="0.3">
      <c r="A627" s="813" t="s">
        <v>299</v>
      </c>
      <c r="B627" s="1276"/>
      <c r="C627" s="1276"/>
      <c r="D627" s="1277"/>
      <c r="E627" s="1277"/>
      <c r="F627" s="1277"/>
    </row>
    <row r="628" spans="1:6" x14ac:dyDescent="0.3">
      <c r="A628" s="813" t="s">
        <v>1048</v>
      </c>
      <c r="B628" s="1276"/>
      <c r="C628" s="1276"/>
      <c r="D628" s="1277"/>
      <c r="E628" s="1277"/>
      <c r="F628" s="1277"/>
    </row>
    <row r="629" spans="1:6" ht="28.8" x14ac:dyDescent="0.3">
      <c r="A629" s="813" t="s">
        <v>535</v>
      </c>
      <c r="B629" s="1276">
        <v>41838</v>
      </c>
      <c r="C629" s="1276">
        <v>41852</v>
      </c>
      <c r="D629" s="1277">
        <v>2962640</v>
      </c>
      <c r="E629" s="1277">
        <v>2962640</v>
      </c>
      <c r="F629" s="1277">
        <v>0</v>
      </c>
    </row>
    <row r="630" spans="1:6" x14ac:dyDescent="0.3">
      <c r="A630" s="1279" t="s">
        <v>294</v>
      </c>
      <c r="B630" s="404"/>
      <c r="C630" s="404"/>
      <c r="D630" s="1278"/>
      <c r="E630" s="1278"/>
      <c r="F630" s="1278"/>
    </row>
    <row r="631" spans="1:6" x14ac:dyDescent="0.3">
      <c r="A631" s="813" t="s">
        <v>295</v>
      </c>
      <c r="B631" s="404"/>
      <c r="C631" s="404"/>
      <c r="D631" s="1278"/>
      <c r="E631" s="1278"/>
      <c r="F631" s="1278"/>
    </row>
    <row r="632" spans="1:6" ht="28.8" x14ac:dyDescent="0.3">
      <c r="A632" s="813" t="s">
        <v>536</v>
      </c>
      <c r="B632" s="404">
        <v>41821</v>
      </c>
      <c r="C632" s="404">
        <v>42186</v>
      </c>
      <c r="D632" s="1278">
        <v>36581760</v>
      </c>
      <c r="E632" s="1278">
        <v>34363318</v>
      </c>
      <c r="F632" s="1278">
        <v>2218442</v>
      </c>
    </row>
    <row r="633" spans="1:6" x14ac:dyDescent="0.3">
      <c r="A633" s="1279" t="s">
        <v>292</v>
      </c>
      <c r="B633" s="404"/>
      <c r="C633" s="404"/>
      <c r="D633" s="1278"/>
      <c r="E633" s="1278"/>
      <c r="F633" s="1278"/>
    </row>
    <row r="634" spans="1:6" x14ac:dyDescent="0.3">
      <c r="A634" s="813" t="s">
        <v>293</v>
      </c>
      <c r="B634" s="404"/>
      <c r="C634" s="404"/>
      <c r="D634" s="1278"/>
      <c r="E634" s="1278"/>
      <c r="F634" s="1278"/>
    </row>
    <row r="635" spans="1:6" ht="57.6" x14ac:dyDescent="0.3">
      <c r="A635" s="813" t="s">
        <v>537</v>
      </c>
      <c r="B635" s="404">
        <v>41799</v>
      </c>
      <c r="C635" s="404">
        <v>42247</v>
      </c>
      <c r="D635" s="1278">
        <v>18714400</v>
      </c>
      <c r="E635" s="1278">
        <v>18714400</v>
      </c>
      <c r="F635" s="1278">
        <v>0</v>
      </c>
    </row>
    <row r="636" spans="1:6" x14ac:dyDescent="0.3">
      <c r="A636" s="1279" t="s">
        <v>298</v>
      </c>
      <c r="B636" s="404"/>
      <c r="C636" s="404"/>
      <c r="D636" s="1278"/>
      <c r="E636" s="1278"/>
      <c r="F636" s="1278"/>
    </row>
    <row r="637" spans="1:6" x14ac:dyDescent="0.3">
      <c r="A637" s="813" t="s">
        <v>90</v>
      </c>
      <c r="B637" s="404"/>
      <c r="C637" s="404"/>
      <c r="D637" s="1278"/>
      <c r="E637" s="1278"/>
      <c r="F637" s="1278"/>
    </row>
    <row r="638" spans="1:6" ht="57.6" x14ac:dyDescent="0.3">
      <c r="A638" s="813" t="s">
        <v>538</v>
      </c>
      <c r="B638" s="404">
        <v>41838</v>
      </c>
      <c r="C638" s="404">
        <v>42203</v>
      </c>
      <c r="D638" s="1278">
        <v>683000</v>
      </c>
      <c r="E638" s="1278">
        <v>683000</v>
      </c>
      <c r="F638" s="1278">
        <v>0</v>
      </c>
    </row>
    <row r="639" spans="1:6" x14ac:dyDescent="0.3">
      <c r="A639" s="1279" t="s">
        <v>302</v>
      </c>
      <c r="B639" s="404"/>
      <c r="C639" s="404"/>
      <c r="D639" s="1278"/>
      <c r="E639" s="1278"/>
      <c r="F639" s="1278"/>
    </row>
    <row r="640" spans="1:6" x14ac:dyDescent="0.3">
      <c r="A640" s="813" t="s">
        <v>303</v>
      </c>
      <c r="B640" s="404"/>
      <c r="C640" s="404"/>
      <c r="D640" s="1278"/>
      <c r="E640" s="1278"/>
      <c r="F640" s="1278"/>
    </row>
    <row r="641" spans="1:6" ht="57.6" x14ac:dyDescent="0.3">
      <c r="A641" s="813" t="s">
        <v>539</v>
      </c>
      <c r="B641" s="404">
        <v>41835</v>
      </c>
      <c r="C641" s="404">
        <v>42050</v>
      </c>
      <c r="D641" s="1278">
        <v>4672000</v>
      </c>
      <c r="E641" s="1278">
        <v>1806200</v>
      </c>
      <c r="F641" s="1278">
        <v>2865800</v>
      </c>
    </row>
    <row r="642" spans="1:6" x14ac:dyDescent="0.3">
      <c r="A642" s="1279" t="s">
        <v>297</v>
      </c>
      <c r="B642" s="404"/>
      <c r="C642" s="404"/>
      <c r="D642" s="1278"/>
      <c r="E642" s="1278"/>
      <c r="F642" s="1278"/>
    </row>
    <row r="643" spans="1:6" x14ac:dyDescent="0.3">
      <c r="A643" s="1279" t="s">
        <v>999</v>
      </c>
      <c r="B643" s="404"/>
      <c r="C643" s="404"/>
      <c r="D643" s="1278"/>
      <c r="E643" s="1278"/>
      <c r="F643" s="1278"/>
    </row>
    <row r="644" spans="1:6" ht="42" x14ac:dyDescent="0.3">
      <c r="A644" s="1279" t="s">
        <v>540</v>
      </c>
      <c r="B644" s="404">
        <v>41835</v>
      </c>
      <c r="C644" s="404">
        <v>42139</v>
      </c>
      <c r="D644" s="1278">
        <v>97800000</v>
      </c>
      <c r="E644" s="1278">
        <v>97794518</v>
      </c>
      <c r="F644" s="1278">
        <v>5482</v>
      </c>
    </row>
    <row r="645" spans="1:6" x14ac:dyDescent="0.3">
      <c r="A645" s="1279" t="s">
        <v>304</v>
      </c>
      <c r="B645" s="404"/>
      <c r="C645" s="404"/>
      <c r="D645" s="1278"/>
      <c r="E645" s="1278"/>
      <c r="F645" s="1278"/>
    </row>
    <row r="646" spans="1:6" x14ac:dyDescent="0.3">
      <c r="A646" s="813" t="s">
        <v>1005</v>
      </c>
      <c r="B646" s="404"/>
      <c r="C646" s="404"/>
      <c r="D646" s="1278"/>
      <c r="E646" s="1278"/>
      <c r="F646" s="1278"/>
    </row>
    <row r="647" spans="1:6" ht="43.2" x14ac:dyDescent="0.3">
      <c r="A647" s="813" t="s">
        <v>371</v>
      </c>
      <c r="B647" s="404">
        <v>41842</v>
      </c>
      <c r="C647" s="404">
        <v>41965</v>
      </c>
      <c r="D647" s="1278">
        <v>2228070</v>
      </c>
      <c r="E647" s="1278">
        <v>2228070</v>
      </c>
      <c r="F647" s="1278">
        <v>0</v>
      </c>
    </row>
    <row r="648" spans="1:6" x14ac:dyDescent="0.3">
      <c r="A648" s="1279" t="s">
        <v>308</v>
      </c>
      <c r="B648" s="404"/>
      <c r="C648" s="404"/>
      <c r="D648" s="1278"/>
      <c r="E648" s="1278"/>
      <c r="F648" s="1278"/>
    </row>
    <row r="649" spans="1:6" x14ac:dyDescent="0.3">
      <c r="A649" s="813" t="s">
        <v>1049</v>
      </c>
      <c r="B649" s="404"/>
      <c r="C649" s="404"/>
      <c r="D649" s="1278"/>
      <c r="E649" s="1278"/>
      <c r="F649" s="1278"/>
    </row>
    <row r="650" spans="1:6" ht="28.8" x14ac:dyDescent="0.3">
      <c r="A650" s="813" t="s">
        <v>373</v>
      </c>
      <c r="B650" s="404">
        <v>41862</v>
      </c>
      <c r="C650" s="404">
        <v>41923</v>
      </c>
      <c r="D650" s="1278">
        <v>2260000</v>
      </c>
      <c r="E650" s="1278">
        <v>1595000</v>
      </c>
      <c r="F650" s="1278">
        <v>665000</v>
      </c>
    </row>
    <row r="651" spans="1:6" x14ac:dyDescent="0.3">
      <c r="A651" s="1279" t="s">
        <v>307</v>
      </c>
      <c r="B651" s="404"/>
      <c r="C651" s="404"/>
      <c r="D651" s="1278"/>
      <c r="E651" s="1278"/>
      <c r="F651" s="1278"/>
    </row>
    <row r="652" spans="1:6" x14ac:dyDescent="0.3">
      <c r="A652" s="813" t="s">
        <v>144</v>
      </c>
      <c r="B652" s="404"/>
      <c r="C652" s="404"/>
      <c r="D652" s="1278"/>
      <c r="E652" s="1278"/>
      <c r="F652" s="1278"/>
    </row>
    <row r="653" spans="1:6" ht="43.2" x14ac:dyDescent="0.3">
      <c r="A653" s="813" t="s">
        <v>372</v>
      </c>
      <c r="B653" s="404">
        <v>41850</v>
      </c>
      <c r="C653" s="404">
        <v>42108</v>
      </c>
      <c r="D653" s="1278">
        <v>290648563</v>
      </c>
      <c r="E653" s="1278">
        <v>290648563</v>
      </c>
      <c r="F653" s="1278">
        <v>0</v>
      </c>
    </row>
    <row r="654" spans="1:6" x14ac:dyDescent="0.3">
      <c r="A654" s="1279" t="s">
        <v>546</v>
      </c>
      <c r="B654" s="404"/>
      <c r="C654" s="404"/>
      <c r="D654" s="1278"/>
      <c r="E654" s="1278"/>
      <c r="F654" s="1278"/>
    </row>
    <row r="655" spans="1:6" x14ac:dyDescent="0.3">
      <c r="A655" s="813" t="s">
        <v>310</v>
      </c>
      <c r="B655" s="404"/>
      <c r="C655" s="404"/>
      <c r="D655" s="1278"/>
      <c r="E655" s="1278"/>
      <c r="F655" s="1278"/>
    </row>
    <row r="656" spans="1:6" x14ac:dyDescent="0.3">
      <c r="A656" s="813" t="s">
        <v>545</v>
      </c>
      <c r="B656" s="404">
        <v>41871</v>
      </c>
      <c r="C656" s="404">
        <v>41932</v>
      </c>
      <c r="D656" s="1278">
        <v>14975600</v>
      </c>
      <c r="E656" s="1278">
        <v>14975600</v>
      </c>
      <c r="F656" s="1278">
        <v>0</v>
      </c>
    </row>
    <row r="657" spans="1:6" x14ac:dyDescent="0.3">
      <c r="A657" s="1279" t="s">
        <v>548</v>
      </c>
      <c r="B657" s="404"/>
      <c r="C657" s="404"/>
      <c r="D657" s="1278"/>
      <c r="E657" s="1278"/>
      <c r="F657" s="1278"/>
    </row>
    <row r="658" spans="1:6" x14ac:dyDescent="0.3">
      <c r="A658" s="813" t="s">
        <v>13</v>
      </c>
      <c r="B658" s="1276"/>
      <c r="C658" s="1276"/>
      <c r="D658" s="1277"/>
      <c r="E658" s="1277"/>
      <c r="F658" s="1277"/>
    </row>
    <row r="659" spans="1:6" x14ac:dyDescent="0.3">
      <c r="A659" s="813" t="s">
        <v>550</v>
      </c>
      <c r="B659" s="1276">
        <v>41893</v>
      </c>
      <c r="C659" s="1276">
        <v>42258</v>
      </c>
      <c r="D659" s="1277">
        <v>936000</v>
      </c>
      <c r="E659" s="1277">
        <v>936000</v>
      </c>
      <c r="F659" s="1277">
        <v>0</v>
      </c>
    </row>
    <row r="660" spans="1:6" x14ac:dyDescent="0.3">
      <c r="A660" s="1279" t="s">
        <v>551</v>
      </c>
      <c r="B660" s="404"/>
      <c r="C660" s="404"/>
      <c r="D660" s="1278"/>
      <c r="E660" s="1278"/>
      <c r="F660" s="1278"/>
    </row>
    <row r="661" spans="1:6" x14ac:dyDescent="0.3">
      <c r="A661" s="813" t="s">
        <v>29</v>
      </c>
      <c r="B661" s="1276"/>
      <c r="C661" s="1276"/>
      <c r="D661" s="1277"/>
      <c r="E661" s="1277"/>
      <c r="F661" s="1277"/>
    </row>
    <row r="662" spans="1:6" x14ac:dyDescent="0.3">
      <c r="A662" s="813" t="s">
        <v>1001</v>
      </c>
      <c r="B662" s="1276">
        <v>41896</v>
      </c>
      <c r="C662" s="1276">
        <v>42261</v>
      </c>
      <c r="D662" s="1277">
        <v>855000</v>
      </c>
      <c r="E662" s="1277">
        <v>855000</v>
      </c>
      <c r="F662" s="1277">
        <v>0</v>
      </c>
    </row>
    <row r="663" spans="1:6" x14ac:dyDescent="0.3">
      <c r="A663" s="1279" t="s">
        <v>553</v>
      </c>
      <c r="B663" s="404"/>
      <c r="C663" s="404"/>
      <c r="D663" s="1278"/>
      <c r="E663" s="1278"/>
      <c r="F663" s="1278"/>
    </row>
    <row r="664" spans="1:6" x14ac:dyDescent="0.3">
      <c r="A664" s="813" t="s">
        <v>554</v>
      </c>
      <c r="B664" s="404"/>
      <c r="C664" s="404"/>
      <c r="D664" s="1278"/>
      <c r="E664" s="1278"/>
      <c r="F664" s="1278"/>
    </row>
    <row r="665" spans="1:6" ht="43.2" x14ac:dyDescent="0.3">
      <c r="A665" s="813" t="s">
        <v>1002</v>
      </c>
      <c r="B665" s="404">
        <v>41887</v>
      </c>
      <c r="C665" s="404">
        <v>42009</v>
      </c>
      <c r="D665" s="1278">
        <v>19356282</v>
      </c>
      <c r="E665" s="1278">
        <v>19356282</v>
      </c>
      <c r="F665" s="1278">
        <v>0</v>
      </c>
    </row>
    <row r="666" spans="1:6" x14ac:dyDescent="0.3">
      <c r="A666" s="1279" t="s">
        <v>555</v>
      </c>
      <c r="B666" s="404"/>
      <c r="C666" s="404"/>
      <c r="D666" s="1278"/>
      <c r="E666" s="1278"/>
      <c r="F666" s="1278"/>
    </row>
    <row r="667" spans="1:6" x14ac:dyDescent="0.3">
      <c r="A667" s="813" t="s">
        <v>1066</v>
      </c>
      <c r="B667" s="1276"/>
      <c r="C667" s="1276"/>
      <c r="D667" s="1277"/>
      <c r="E667" s="1277"/>
      <c r="F667" s="1277"/>
    </row>
    <row r="668" spans="1:6" ht="43.2" x14ac:dyDescent="0.3">
      <c r="A668" s="813" t="s">
        <v>1003</v>
      </c>
      <c r="B668" s="1276">
        <v>41891</v>
      </c>
      <c r="C668" s="1276">
        <v>42013</v>
      </c>
      <c r="D668" s="1277">
        <v>25000000</v>
      </c>
      <c r="E668" s="1277">
        <v>25000000</v>
      </c>
      <c r="F668" s="1277">
        <v>0</v>
      </c>
    </row>
    <row r="669" spans="1:6" x14ac:dyDescent="0.3">
      <c r="A669" s="1279" t="s">
        <v>556</v>
      </c>
      <c r="B669" s="404"/>
      <c r="C669" s="404"/>
      <c r="D669" s="1278"/>
      <c r="E669" s="1278"/>
      <c r="F669" s="1278"/>
    </row>
    <row r="670" spans="1:6" x14ac:dyDescent="0.3">
      <c r="A670" s="813" t="s">
        <v>1004</v>
      </c>
      <c r="B670" s="404"/>
      <c r="C670" s="404"/>
      <c r="D670" s="1278"/>
      <c r="E670" s="1278"/>
      <c r="F670" s="1278"/>
    </row>
    <row r="671" spans="1:6" ht="43.2" x14ac:dyDescent="0.3">
      <c r="A671" s="813" t="s">
        <v>557</v>
      </c>
      <c r="B671" s="404">
        <v>41893</v>
      </c>
      <c r="C671" s="404">
        <v>42046</v>
      </c>
      <c r="D671" s="1278">
        <v>25000000</v>
      </c>
      <c r="E671" s="1278">
        <v>25000000</v>
      </c>
      <c r="F671" s="1278">
        <v>0</v>
      </c>
    </row>
    <row r="672" spans="1:6" x14ac:dyDescent="0.3">
      <c r="A672" s="813" t="s">
        <v>1068</v>
      </c>
      <c r="B672" s="1276"/>
      <c r="C672" s="1276"/>
      <c r="D672" s="1277"/>
      <c r="E672" s="1277"/>
      <c r="F672" s="1277"/>
    </row>
    <row r="673" spans="1:6" x14ac:dyDescent="0.3">
      <c r="A673" s="813" t="s">
        <v>1069</v>
      </c>
      <c r="B673" s="1276"/>
      <c r="C673" s="1276"/>
      <c r="D673" s="1277"/>
      <c r="E673" s="1277"/>
      <c r="F673" s="1277"/>
    </row>
    <row r="674" spans="1:6" ht="43.2" x14ac:dyDescent="0.3">
      <c r="A674" s="813" t="s">
        <v>1073</v>
      </c>
      <c r="B674" s="1276">
        <v>41900</v>
      </c>
      <c r="C674" s="1276">
        <v>42053</v>
      </c>
      <c r="D674" s="1277">
        <v>17500000</v>
      </c>
      <c r="E674" s="1277">
        <v>17500000</v>
      </c>
      <c r="F674" s="1277">
        <v>0</v>
      </c>
    </row>
    <row r="675" spans="1:6" x14ac:dyDescent="0.3">
      <c r="A675" s="813" t="s">
        <v>1070</v>
      </c>
      <c r="B675" s="1276"/>
      <c r="C675" s="1276"/>
      <c r="D675" s="1277"/>
      <c r="E675" s="1277"/>
      <c r="F675" s="1277"/>
    </row>
    <row r="676" spans="1:6" x14ac:dyDescent="0.3">
      <c r="A676" s="813" t="s">
        <v>1071</v>
      </c>
      <c r="B676" s="1276"/>
      <c r="C676" s="1276"/>
      <c r="D676" s="1277"/>
      <c r="E676" s="1277"/>
      <c r="F676" s="1277"/>
    </row>
    <row r="677" spans="1:6" ht="43.2" x14ac:dyDescent="0.3">
      <c r="A677" s="813" t="s">
        <v>1074</v>
      </c>
      <c r="B677" s="1276">
        <v>41911</v>
      </c>
      <c r="C677" s="1276">
        <v>42033</v>
      </c>
      <c r="D677" s="1277">
        <v>10000000</v>
      </c>
      <c r="E677" s="1277">
        <v>10000000</v>
      </c>
      <c r="F677" s="1277">
        <v>0</v>
      </c>
    </row>
    <row r="678" spans="1:6" x14ac:dyDescent="0.3">
      <c r="A678" s="813" t="s">
        <v>1096</v>
      </c>
      <c r="B678" s="1276"/>
      <c r="C678" s="1276"/>
      <c r="D678" s="1277"/>
      <c r="E678" s="1277"/>
      <c r="F678" s="1277"/>
    </row>
    <row r="679" spans="1:6" x14ac:dyDescent="0.3">
      <c r="A679" s="813" t="s">
        <v>1097</v>
      </c>
      <c r="B679" s="1276"/>
      <c r="C679" s="1276"/>
      <c r="D679" s="1277"/>
      <c r="E679" s="1277"/>
      <c r="F679" s="1277"/>
    </row>
    <row r="680" spans="1:6" ht="57.6" x14ac:dyDescent="0.3">
      <c r="A680" s="813" t="s">
        <v>1098</v>
      </c>
      <c r="B680" s="1276"/>
      <c r="C680" s="1276">
        <v>43921</v>
      </c>
      <c r="D680" s="1277">
        <v>0</v>
      </c>
      <c r="E680" s="1277">
        <v>0</v>
      </c>
      <c r="F680" s="1277">
        <v>0</v>
      </c>
    </row>
    <row r="681" spans="1:6" x14ac:dyDescent="0.3">
      <c r="A681" s="813" t="s">
        <v>1100</v>
      </c>
      <c r="B681" s="1276"/>
      <c r="C681" s="1276"/>
      <c r="D681" s="1277"/>
      <c r="E681" s="1277"/>
      <c r="F681" s="1277"/>
    </row>
    <row r="682" spans="1:6" x14ac:dyDescent="0.3">
      <c r="A682" s="813" t="s">
        <v>435</v>
      </c>
      <c r="B682" s="1276"/>
      <c r="C682" s="1276"/>
      <c r="D682" s="1277"/>
      <c r="E682" s="1277"/>
      <c r="F682" s="1277"/>
    </row>
    <row r="683" spans="1:6" ht="43.2" x14ac:dyDescent="0.3">
      <c r="A683" s="813" t="s">
        <v>1102</v>
      </c>
      <c r="B683" s="1276">
        <v>41842</v>
      </c>
      <c r="C683" s="1276">
        <v>42207</v>
      </c>
      <c r="D683" s="1277">
        <v>6252000</v>
      </c>
      <c r="E683" s="1277">
        <v>5665189</v>
      </c>
      <c r="F683" s="1277">
        <v>586811</v>
      </c>
    </row>
    <row r="684" spans="1:6" x14ac:dyDescent="0.3">
      <c r="A684" s="813" t="s">
        <v>1332</v>
      </c>
      <c r="B684" s="1276"/>
      <c r="C684" s="1276"/>
      <c r="D684" s="1277"/>
      <c r="E684" s="1277"/>
      <c r="F684" s="1277"/>
    </row>
    <row r="685" spans="1:6" x14ac:dyDescent="0.3">
      <c r="A685" s="813" t="s">
        <v>1333</v>
      </c>
      <c r="B685" s="1276"/>
      <c r="C685" s="1276"/>
      <c r="D685" s="1277"/>
      <c r="E685" s="1277"/>
      <c r="F685" s="1277"/>
    </row>
    <row r="686" spans="1:6" ht="57.6" x14ac:dyDescent="0.3">
      <c r="A686" s="813" t="s">
        <v>1334</v>
      </c>
      <c r="B686" s="1276">
        <v>41935</v>
      </c>
      <c r="C686" s="1276">
        <v>42027</v>
      </c>
      <c r="D686" s="1277">
        <v>4136000</v>
      </c>
      <c r="E686" s="1277">
        <v>2251047</v>
      </c>
      <c r="F686" s="1277">
        <v>1884953</v>
      </c>
    </row>
    <row r="687" spans="1:6" x14ac:dyDescent="0.3">
      <c r="A687" s="813" t="s">
        <v>919</v>
      </c>
      <c r="B687" s="1276"/>
      <c r="C687" s="1276"/>
      <c r="D687" s="1277"/>
      <c r="E687" s="1277"/>
      <c r="F687" s="1277"/>
    </row>
    <row r="688" spans="1:6" x14ac:dyDescent="0.3">
      <c r="A688" s="813" t="s">
        <v>1103</v>
      </c>
      <c r="B688" s="1276">
        <v>41837</v>
      </c>
      <c r="C688" s="1276">
        <v>42202</v>
      </c>
      <c r="D688" s="1277">
        <v>3846133</v>
      </c>
      <c r="E688" s="1277">
        <v>0</v>
      </c>
      <c r="F688" s="1277">
        <v>3846133</v>
      </c>
    </row>
    <row r="689" spans="1:6" x14ac:dyDescent="0.3">
      <c r="A689" s="813" t="s">
        <v>1105</v>
      </c>
      <c r="B689" s="1276"/>
      <c r="C689" s="1276"/>
      <c r="D689" s="1277"/>
      <c r="E689" s="1277"/>
      <c r="F689" s="1277"/>
    </row>
    <row r="690" spans="1:6" x14ac:dyDescent="0.3">
      <c r="A690" s="813" t="s">
        <v>100</v>
      </c>
      <c r="B690" s="1276">
        <v>41703</v>
      </c>
      <c r="C690" s="1276">
        <v>42129</v>
      </c>
      <c r="D690" s="1277">
        <v>30000000</v>
      </c>
      <c r="E690" s="1277">
        <v>28330110</v>
      </c>
      <c r="F690" s="1277">
        <v>1669890</v>
      </c>
    </row>
    <row r="691" spans="1:6" x14ac:dyDescent="0.3">
      <c r="A691" s="813" t="s">
        <v>1107</v>
      </c>
      <c r="B691" s="1276"/>
      <c r="C691" s="1276"/>
      <c r="D691" s="1277"/>
      <c r="E691" s="1277"/>
      <c r="F691" s="1277"/>
    </row>
    <row r="692" spans="1:6" x14ac:dyDescent="0.3">
      <c r="A692" s="813" t="s">
        <v>222</v>
      </c>
      <c r="B692" s="1276">
        <v>41675</v>
      </c>
      <c r="C692" s="1276">
        <v>42008</v>
      </c>
      <c r="D692" s="1277">
        <v>55000000</v>
      </c>
      <c r="E692" s="1277">
        <v>55000000</v>
      </c>
      <c r="F692" s="1277">
        <v>0</v>
      </c>
    </row>
    <row r="693" spans="1:6" x14ac:dyDescent="0.3">
      <c r="A693" s="813" t="s">
        <v>1112</v>
      </c>
      <c r="B693" s="1276"/>
      <c r="C693" s="1276"/>
      <c r="D693" s="1277"/>
      <c r="E693" s="1277"/>
      <c r="F693" s="1277"/>
    </row>
    <row r="694" spans="1:6" x14ac:dyDescent="0.3">
      <c r="A694" s="813" t="s">
        <v>1113</v>
      </c>
      <c r="B694" s="1276"/>
      <c r="C694" s="1276"/>
      <c r="D694" s="1277"/>
      <c r="E694" s="1277"/>
      <c r="F694" s="1277"/>
    </row>
    <row r="695" spans="1:6" x14ac:dyDescent="0.3">
      <c r="A695" s="813" t="s">
        <v>1114</v>
      </c>
      <c r="B695" s="1276">
        <v>41929</v>
      </c>
      <c r="C695" s="1276">
        <v>42021</v>
      </c>
      <c r="D695" s="1277">
        <v>14153603</v>
      </c>
      <c r="E695" s="1277">
        <v>14153603</v>
      </c>
      <c r="F695" s="1277">
        <v>0</v>
      </c>
    </row>
    <row r="696" spans="1:6" x14ac:dyDescent="0.3">
      <c r="A696" s="813" t="s">
        <v>1118</v>
      </c>
      <c r="B696" s="1276"/>
      <c r="C696" s="1276"/>
      <c r="D696" s="1277"/>
      <c r="E696" s="1277"/>
      <c r="F696" s="1277"/>
    </row>
    <row r="697" spans="1:6" x14ac:dyDescent="0.3">
      <c r="A697" s="813" t="s">
        <v>1119</v>
      </c>
      <c r="B697" s="1276"/>
      <c r="C697" s="1276"/>
      <c r="D697" s="1277"/>
      <c r="E697" s="1277"/>
      <c r="F697" s="1277"/>
    </row>
    <row r="698" spans="1:6" ht="28.8" x14ac:dyDescent="0.3">
      <c r="A698" s="813" t="s">
        <v>1769</v>
      </c>
      <c r="B698" s="1276">
        <v>41928</v>
      </c>
      <c r="C698" s="1276">
        <v>42004</v>
      </c>
      <c r="D698" s="1277">
        <v>812500</v>
      </c>
      <c r="E698" s="1277">
        <v>812500</v>
      </c>
      <c r="F698" s="1277">
        <v>0</v>
      </c>
    </row>
    <row r="699" spans="1:6" x14ac:dyDescent="0.3">
      <c r="A699" s="813" t="s">
        <v>1109</v>
      </c>
      <c r="B699" s="1276"/>
      <c r="C699" s="1276"/>
      <c r="D699" s="1277"/>
      <c r="E699" s="1277"/>
      <c r="F699" s="1277"/>
    </row>
    <row r="700" spans="1:6" x14ac:dyDescent="0.3">
      <c r="A700" s="813" t="s">
        <v>1110</v>
      </c>
      <c r="B700" s="1276"/>
      <c r="C700" s="1276"/>
      <c r="D700" s="1277"/>
      <c r="E700" s="1277"/>
      <c r="F700" s="1277"/>
    </row>
    <row r="701" spans="1:6" ht="28.8" x14ac:dyDescent="0.3">
      <c r="A701" s="813" t="s">
        <v>1111</v>
      </c>
      <c r="B701" s="1276">
        <v>41921</v>
      </c>
      <c r="C701" s="1276">
        <v>42116</v>
      </c>
      <c r="D701" s="1277">
        <v>818527824</v>
      </c>
      <c r="E701" s="1277">
        <v>800790708</v>
      </c>
      <c r="F701" s="1277">
        <v>17737116</v>
      </c>
    </row>
    <row r="702" spans="1:6" x14ac:dyDescent="0.3">
      <c r="A702" s="813" t="s">
        <v>1115</v>
      </c>
      <c r="B702" s="1276"/>
      <c r="C702" s="1276"/>
      <c r="D702" s="1277"/>
      <c r="E702" s="1277"/>
      <c r="F702" s="1277"/>
    </row>
    <row r="703" spans="1:6" x14ac:dyDescent="0.3">
      <c r="A703" s="813" t="s">
        <v>1116</v>
      </c>
      <c r="B703" s="1276"/>
      <c r="C703" s="1276"/>
      <c r="D703" s="1277"/>
      <c r="E703" s="1277"/>
      <c r="F703" s="1277"/>
    </row>
    <row r="704" spans="1:6" ht="43.2" x14ac:dyDescent="0.3">
      <c r="A704" s="813" t="s">
        <v>1117</v>
      </c>
      <c r="B704" s="1276">
        <v>41929</v>
      </c>
      <c r="C704" s="1276">
        <v>42294</v>
      </c>
      <c r="D704" s="1277">
        <v>75520000</v>
      </c>
      <c r="E704" s="1277">
        <v>75519999</v>
      </c>
      <c r="F704" s="1277">
        <v>1</v>
      </c>
    </row>
    <row r="705" spans="1:6" x14ac:dyDescent="0.3">
      <c r="A705" s="813" t="s">
        <v>1161</v>
      </c>
      <c r="B705" s="1276"/>
      <c r="C705" s="1276"/>
      <c r="D705" s="1277"/>
      <c r="E705" s="1277"/>
      <c r="F705" s="1277"/>
    </row>
    <row r="706" spans="1:6" x14ac:dyDescent="0.3">
      <c r="A706" s="813" t="s">
        <v>1162</v>
      </c>
      <c r="B706" s="1276"/>
      <c r="C706" s="1276"/>
      <c r="D706" s="1277"/>
      <c r="E706" s="1277"/>
      <c r="F706" s="1277"/>
    </row>
    <row r="707" spans="1:6" ht="28.8" x14ac:dyDescent="0.3">
      <c r="A707" s="813" t="s">
        <v>2131</v>
      </c>
      <c r="B707" s="1276">
        <v>41936</v>
      </c>
      <c r="C707" s="1276">
        <v>42301</v>
      </c>
      <c r="D707" s="1277">
        <v>16592327</v>
      </c>
      <c r="E707" s="1277">
        <v>14933095</v>
      </c>
      <c r="F707" s="1277">
        <v>1659232</v>
      </c>
    </row>
    <row r="708" spans="1:6" x14ac:dyDescent="0.3">
      <c r="A708" s="813" t="s">
        <v>1154</v>
      </c>
      <c r="B708" s="1276"/>
      <c r="C708" s="1276"/>
      <c r="D708" s="1277"/>
      <c r="E708" s="1277"/>
      <c r="F708" s="1277"/>
    </row>
    <row r="709" spans="1:6" x14ac:dyDescent="0.3">
      <c r="A709" s="813" t="s">
        <v>33</v>
      </c>
      <c r="B709" s="1276"/>
      <c r="C709" s="1276"/>
      <c r="D709" s="1277"/>
      <c r="E709" s="1277"/>
      <c r="F709" s="1277"/>
    </row>
    <row r="710" spans="1:6" x14ac:dyDescent="0.3">
      <c r="A710" s="813" t="s">
        <v>1155</v>
      </c>
      <c r="B710" s="1276">
        <v>41912</v>
      </c>
      <c r="C710" s="1276">
        <v>42277</v>
      </c>
      <c r="D710" s="1277">
        <v>807000</v>
      </c>
      <c r="E710" s="1277">
        <v>807000</v>
      </c>
      <c r="F710" s="1277">
        <v>0</v>
      </c>
    </row>
    <row r="711" spans="1:6" x14ac:dyDescent="0.3">
      <c r="A711" s="813" t="s">
        <v>1159</v>
      </c>
      <c r="B711" s="1276"/>
      <c r="C711" s="1276"/>
      <c r="D711" s="1277"/>
      <c r="E711" s="1277"/>
      <c r="F711" s="1277"/>
    </row>
    <row r="712" spans="1:6" x14ac:dyDescent="0.3">
      <c r="A712" s="813" t="s">
        <v>1160</v>
      </c>
      <c r="B712" s="1276"/>
      <c r="C712" s="1276"/>
      <c r="D712" s="1277"/>
      <c r="E712" s="1277"/>
      <c r="F712" s="1277"/>
    </row>
    <row r="713" spans="1:6" ht="57.6" x14ac:dyDescent="0.3">
      <c r="A713" s="813" t="s">
        <v>1768</v>
      </c>
      <c r="B713" s="1276">
        <v>41926</v>
      </c>
      <c r="C713" s="1276">
        <v>42138</v>
      </c>
      <c r="D713" s="1277">
        <v>41850000</v>
      </c>
      <c r="E713" s="1277">
        <v>26363000</v>
      </c>
      <c r="F713" s="1277">
        <v>15487000</v>
      </c>
    </row>
    <row r="714" spans="1:6" x14ac:dyDescent="0.3">
      <c r="A714" s="813" t="s">
        <v>1156</v>
      </c>
      <c r="B714" s="1276"/>
      <c r="C714" s="1276"/>
      <c r="D714" s="1277"/>
      <c r="E714" s="1277"/>
      <c r="F714" s="1277"/>
    </row>
    <row r="715" spans="1:6" x14ac:dyDescent="0.3">
      <c r="A715" s="813" t="s">
        <v>186</v>
      </c>
      <c r="B715" s="1276"/>
      <c r="C715" s="1276"/>
      <c r="D715" s="1277"/>
      <c r="E715" s="1277"/>
      <c r="F715" s="1277"/>
    </row>
    <row r="716" spans="1:6" ht="43.2" x14ac:dyDescent="0.3">
      <c r="A716" s="813" t="s">
        <v>1315</v>
      </c>
      <c r="B716" s="1276">
        <v>41907</v>
      </c>
      <c r="C716" s="1276">
        <v>41996</v>
      </c>
      <c r="D716" s="1277">
        <v>311460000</v>
      </c>
      <c r="E716" s="1277">
        <v>311460000</v>
      </c>
      <c r="F716" s="1277">
        <v>0</v>
      </c>
    </row>
    <row r="717" spans="1:6" x14ac:dyDescent="0.3">
      <c r="A717" s="813" t="s">
        <v>1157</v>
      </c>
      <c r="B717" s="1276"/>
      <c r="C717" s="1276"/>
      <c r="D717" s="1277"/>
      <c r="E717" s="1277"/>
      <c r="F717" s="1277"/>
    </row>
    <row r="718" spans="1:6" x14ac:dyDescent="0.3">
      <c r="A718" s="813" t="s">
        <v>22</v>
      </c>
      <c r="B718" s="1276"/>
      <c r="C718" s="1276"/>
      <c r="D718" s="1277"/>
      <c r="E718" s="1277"/>
      <c r="F718" s="1277"/>
    </row>
    <row r="719" spans="1:6" ht="28.8" x14ac:dyDescent="0.3">
      <c r="A719" s="813" t="s">
        <v>1158</v>
      </c>
      <c r="B719" s="1276">
        <v>41929</v>
      </c>
      <c r="C719" s="1276">
        <v>42477</v>
      </c>
      <c r="D719" s="1277">
        <v>66816000</v>
      </c>
      <c r="E719" s="1277">
        <v>66816000</v>
      </c>
      <c r="F719" s="1277">
        <v>0</v>
      </c>
    </row>
    <row r="720" spans="1:6" x14ac:dyDescent="0.3">
      <c r="A720" s="813" t="s">
        <v>599</v>
      </c>
      <c r="B720" s="1276"/>
      <c r="C720" s="1276"/>
      <c r="D720" s="1277"/>
      <c r="E720" s="1277"/>
      <c r="F720" s="1277"/>
    </row>
    <row r="721" spans="1:6" x14ac:dyDescent="0.3">
      <c r="A721" s="813" t="s">
        <v>1025</v>
      </c>
      <c r="B721" s="1276"/>
      <c r="C721" s="1276"/>
      <c r="D721" s="1277"/>
      <c r="E721" s="1277"/>
      <c r="F721" s="1277"/>
    </row>
    <row r="722" spans="1:6" ht="43.2" x14ac:dyDescent="0.3">
      <c r="A722" s="813" t="s">
        <v>461</v>
      </c>
      <c r="B722" s="1276">
        <v>41248</v>
      </c>
      <c r="C722" s="1276">
        <v>41580</v>
      </c>
      <c r="D722" s="1277">
        <v>9037264</v>
      </c>
      <c r="E722" s="1277">
        <v>7492420</v>
      </c>
      <c r="F722" s="1277">
        <v>1544844</v>
      </c>
    </row>
    <row r="723" spans="1:6" x14ac:dyDescent="0.3">
      <c r="A723" s="813" t="s">
        <v>857</v>
      </c>
      <c r="B723" s="1276"/>
      <c r="C723" s="1276"/>
      <c r="D723" s="1277"/>
      <c r="E723" s="1277"/>
      <c r="F723" s="1277"/>
    </row>
    <row r="724" spans="1:6" x14ac:dyDescent="0.3">
      <c r="A724" s="813" t="s">
        <v>1337</v>
      </c>
      <c r="B724" s="1276"/>
      <c r="C724" s="1276"/>
      <c r="D724" s="1277"/>
      <c r="E724" s="1277"/>
      <c r="F724" s="1277"/>
    </row>
    <row r="725" spans="1:6" ht="28.8" x14ac:dyDescent="0.3">
      <c r="A725" s="813" t="s">
        <v>1338</v>
      </c>
      <c r="B725" s="1276">
        <v>41610</v>
      </c>
      <c r="C725" s="1276">
        <v>41975</v>
      </c>
      <c r="D725" s="1277">
        <v>150000000</v>
      </c>
      <c r="E725" s="1277">
        <v>0</v>
      </c>
      <c r="F725" s="1277">
        <v>150000000</v>
      </c>
    </row>
    <row r="726" spans="1:6" x14ac:dyDescent="0.3">
      <c r="A726" s="813" t="s">
        <v>1328</v>
      </c>
      <c r="B726" s="1276"/>
      <c r="C726" s="1276"/>
      <c r="D726" s="1277"/>
      <c r="E726" s="1277"/>
      <c r="F726" s="1277"/>
    </row>
    <row r="727" spans="1:6" x14ac:dyDescent="0.3">
      <c r="A727" s="813" t="s">
        <v>1019</v>
      </c>
      <c r="B727" s="1276"/>
      <c r="C727" s="1276"/>
      <c r="D727" s="1277"/>
      <c r="E727" s="1277"/>
      <c r="F727" s="1277"/>
    </row>
    <row r="728" spans="1:6" x14ac:dyDescent="0.3">
      <c r="A728" s="813" t="s">
        <v>1329</v>
      </c>
      <c r="B728" s="1276">
        <v>41940</v>
      </c>
      <c r="C728" s="1276">
        <v>42305</v>
      </c>
      <c r="D728" s="1277">
        <v>810000</v>
      </c>
      <c r="E728" s="1277">
        <v>810000</v>
      </c>
      <c r="F728" s="1277">
        <v>0</v>
      </c>
    </row>
    <row r="729" spans="1:6" x14ac:dyDescent="0.3">
      <c r="A729" s="813" t="s">
        <v>1335</v>
      </c>
      <c r="B729" s="1276"/>
      <c r="C729" s="1276"/>
      <c r="D729" s="1277"/>
      <c r="E729" s="1277"/>
      <c r="F729" s="1277"/>
    </row>
    <row r="730" spans="1:6" x14ac:dyDescent="0.3">
      <c r="A730" s="813" t="s">
        <v>203</v>
      </c>
      <c r="B730" s="1276"/>
      <c r="C730" s="1276"/>
      <c r="D730" s="1277"/>
      <c r="E730" s="1277"/>
      <c r="F730" s="1277"/>
    </row>
    <row r="731" spans="1:6" ht="28.8" x14ac:dyDescent="0.3">
      <c r="A731" s="813" t="s">
        <v>1336</v>
      </c>
      <c r="B731" s="1276">
        <v>41934</v>
      </c>
      <c r="C731" s="1276">
        <v>42085</v>
      </c>
      <c r="D731" s="1277">
        <v>4621440</v>
      </c>
      <c r="E731" s="1277">
        <v>4621440</v>
      </c>
      <c r="F731" s="1277">
        <v>0</v>
      </c>
    </row>
    <row r="732" spans="1:6" x14ac:dyDescent="0.3">
      <c r="A732" s="813" t="s">
        <v>1330</v>
      </c>
      <c r="B732" s="1276"/>
      <c r="C732" s="1276"/>
      <c r="D732" s="1277"/>
      <c r="E732" s="1277"/>
      <c r="F732" s="1277"/>
    </row>
    <row r="733" spans="1:6" x14ac:dyDescent="0.3">
      <c r="A733" s="813" t="s">
        <v>212</v>
      </c>
      <c r="B733" s="1276"/>
      <c r="C733" s="1276"/>
      <c r="D733" s="1277"/>
      <c r="E733" s="1277"/>
      <c r="F733" s="1277"/>
    </row>
    <row r="734" spans="1:6" ht="43.2" x14ac:dyDescent="0.3">
      <c r="A734" s="813" t="s">
        <v>1331</v>
      </c>
      <c r="B734" s="1276">
        <v>41939</v>
      </c>
      <c r="C734" s="1276">
        <v>41970</v>
      </c>
      <c r="D734" s="1277">
        <v>324800</v>
      </c>
      <c r="E734" s="1277">
        <v>324800</v>
      </c>
      <c r="F734" s="1277">
        <v>0</v>
      </c>
    </row>
    <row r="735" spans="1:6" x14ac:dyDescent="0.3">
      <c r="A735" s="813" t="s">
        <v>1343</v>
      </c>
      <c r="B735" s="1276"/>
      <c r="C735" s="1276"/>
      <c r="D735" s="1277"/>
      <c r="E735" s="1277"/>
      <c r="F735" s="1277"/>
    </row>
    <row r="736" spans="1:6" x14ac:dyDescent="0.3">
      <c r="A736" s="813" t="s">
        <v>1344</v>
      </c>
      <c r="B736" s="1276"/>
      <c r="C736" s="1276"/>
      <c r="D736" s="1277"/>
      <c r="E736" s="1277"/>
      <c r="F736" s="1277"/>
    </row>
    <row r="737" spans="1:6" ht="28.8" x14ac:dyDescent="0.3">
      <c r="A737" s="813" t="s">
        <v>1345</v>
      </c>
      <c r="B737" s="1276">
        <v>41968</v>
      </c>
      <c r="C737" s="1276">
        <v>42241</v>
      </c>
      <c r="D737" s="1277">
        <v>2459960</v>
      </c>
      <c r="E737" s="1277">
        <v>2457884</v>
      </c>
      <c r="F737" s="1277">
        <v>2076</v>
      </c>
    </row>
    <row r="738" spans="1:6" x14ac:dyDescent="0.3">
      <c r="A738" s="813" t="s">
        <v>1346</v>
      </c>
      <c r="B738" s="1276"/>
      <c r="C738" s="1276"/>
      <c r="D738" s="1277"/>
      <c r="E738" s="1277"/>
      <c r="F738" s="1277"/>
    </row>
    <row r="739" spans="1:6" x14ac:dyDescent="0.3">
      <c r="A739" s="813" t="s">
        <v>1347</v>
      </c>
      <c r="B739" s="1276"/>
      <c r="C739" s="1276"/>
      <c r="D739" s="1277"/>
      <c r="E739" s="1277"/>
      <c r="F739" s="1277"/>
    </row>
    <row r="740" spans="1:6" ht="43.2" x14ac:dyDescent="0.3">
      <c r="A740" s="813" t="s">
        <v>1348</v>
      </c>
      <c r="B740" s="1276">
        <v>41957</v>
      </c>
      <c r="C740" s="1276">
        <v>42077</v>
      </c>
      <c r="D740" s="1277">
        <v>20188000</v>
      </c>
      <c r="E740" s="1277">
        <v>20188000</v>
      </c>
      <c r="F740" s="1277">
        <v>0</v>
      </c>
    </row>
    <row r="741" spans="1:6" x14ac:dyDescent="0.3">
      <c r="A741" s="813" t="s">
        <v>1350</v>
      </c>
      <c r="B741" s="1276"/>
      <c r="C741" s="1276"/>
      <c r="D741" s="1277"/>
      <c r="E741" s="1277"/>
      <c r="F741" s="1277"/>
    </row>
    <row r="742" spans="1:6" x14ac:dyDescent="0.3">
      <c r="A742" s="813" t="s">
        <v>1351</v>
      </c>
      <c r="B742" s="1276"/>
      <c r="C742" s="1276"/>
      <c r="D742" s="1277"/>
      <c r="E742" s="1277"/>
      <c r="F742" s="1277"/>
    </row>
    <row r="743" spans="1:6" ht="28.8" x14ac:dyDescent="0.3">
      <c r="A743" s="813" t="s">
        <v>1571</v>
      </c>
      <c r="B743" s="1276">
        <v>41941</v>
      </c>
      <c r="C743" s="1276">
        <v>42184</v>
      </c>
      <c r="D743" s="1277">
        <v>59383678</v>
      </c>
      <c r="E743" s="1277">
        <v>27770152</v>
      </c>
      <c r="F743" s="1277">
        <v>31613526</v>
      </c>
    </row>
    <row r="744" spans="1:6" x14ac:dyDescent="0.3">
      <c r="A744" s="813" t="s">
        <v>1353</v>
      </c>
      <c r="B744" s="1276"/>
      <c r="C744" s="1276"/>
      <c r="D744" s="1277"/>
      <c r="E744" s="1277"/>
      <c r="F744" s="1277"/>
    </row>
    <row r="745" spans="1:6" x14ac:dyDescent="0.3">
      <c r="A745" s="813" t="s">
        <v>27</v>
      </c>
      <c r="B745" s="1276"/>
      <c r="C745" s="1276"/>
      <c r="D745" s="1277"/>
      <c r="E745" s="1277"/>
      <c r="F745" s="1277"/>
    </row>
    <row r="746" spans="1:6" x14ac:dyDescent="0.3">
      <c r="A746" s="813" t="s">
        <v>1354</v>
      </c>
      <c r="B746" s="1276">
        <v>41970</v>
      </c>
      <c r="C746" s="1276">
        <v>42335</v>
      </c>
      <c r="D746" s="1277">
        <v>764100</v>
      </c>
      <c r="E746" s="1277">
        <v>764100</v>
      </c>
      <c r="F746" s="1277">
        <v>0</v>
      </c>
    </row>
    <row r="747" spans="1:6" x14ac:dyDescent="0.3">
      <c r="A747" s="813" t="s">
        <v>2252</v>
      </c>
      <c r="B747" s="1276"/>
      <c r="C747" s="1276"/>
      <c r="D747" s="1277"/>
      <c r="E747" s="1277"/>
      <c r="F747" s="1277"/>
    </row>
    <row r="748" spans="1:6" x14ac:dyDescent="0.3">
      <c r="A748" s="813" t="s">
        <v>3</v>
      </c>
      <c r="B748" s="1276"/>
      <c r="C748" s="1276"/>
      <c r="D748" s="1277"/>
      <c r="E748" s="1277"/>
      <c r="F748" s="1277"/>
    </row>
    <row r="749" spans="1:6" ht="43.2" x14ac:dyDescent="0.3">
      <c r="A749" s="813" t="s">
        <v>456</v>
      </c>
      <c r="B749" s="1276">
        <v>41163</v>
      </c>
      <c r="C749" s="1276">
        <v>41452</v>
      </c>
      <c r="D749" s="1277">
        <v>315000000</v>
      </c>
      <c r="E749" s="1277">
        <v>314473887</v>
      </c>
      <c r="F749" s="1277">
        <v>526113</v>
      </c>
    </row>
    <row r="750" spans="1:6" x14ac:dyDescent="0.3">
      <c r="A750"/>
      <c r="B750"/>
      <c r="C750"/>
      <c r="D750"/>
      <c r="E750"/>
      <c r="F750"/>
    </row>
    <row r="751" spans="1:6" x14ac:dyDescent="0.3">
      <c r="A751"/>
      <c r="B751"/>
      <c r="C751"/>
      <c r="D751"/>
      <c r="E751"/>
      <c r="F751"/>
    </row>
    <row r="752" spans="1:6" x14ac:dyDescent="0.3">
      <c r="A752"/>
      <c r="B752"/>
      <c r="C752"/>
      <c r="D752"/>
      <c r="E752"/>
      <c r="F752"/>
    </row>
    <row r="753" spans="1:6" x14ac:dyDescent="0.3">
      <c r="A753"/>
      <c r="B753"/>
      <c r="C753"/>
      <c r="D753"/>
      <c r="E753"/>
      <c r="F753"/>
    </row>
    <row r="754" spans="1:6" x14ac:dyDescent="0.3">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election activeCell="B3" sqref="B3"/>
    </sheetView>
  </sheetViews>
  <sheetFormatPr baseColWidth="10"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Q720"/>
  <sheetViews>
    <sheetView topLeftCell="A713" workbookViewId="0">
      <selection activeCell="D495" sqref="D495"/>
    </sheetView>
  </sheetViews>
  <sheetFormatPr baseColWidth="10" defaultColWidth="0" defaultRowHeight="10.199999999999999" x14ac:dyDescent="0.2"/>
  <cols>
    <col min="1" max="1" width="51.88671875" style="109" customWidth="1"/>
    <col min="2" max="2" width="14.109375" style="110" bestFit="1" customWidth="1"/>
    <col min="3" max="3" width="14.109375" style="111" customWidth="1"/>
    <col min="4" max="4" width="14.5546875" style="111" customWidth="1"/>
    <col min="5" max="5" width="14" style="112" customWidth="1"/>
    <col min="6" max="6" width="13.5546875" style="109" customWidth="1"/>
    <col min="7" max="7" width="6.33203125" style="109" customWidth="1"/>
    <col min="8" max="224" width="26.88671875" style="109" hidden="1" customWidth="1"/>
    <col min="225" max="225" width="12.5546875" style="109" hidden="1" customWidth="1"/>
    <col min="226" max="16384" width="11.44140625" style="109" hidden="1"/>
  </cols>
  <sheetData>
    <row r="1" spans="1:7" s="99" customFormat="1" x14ac:dyDescent="0.2">
      <c r="A1" s="109"/>
      <c r="B1" s="110"/>
      <c r="C1" s="111"/>
      <c r="D1" s="111"/>
      <c r="E1" s="112"/>
      <c r="F1" s="109"/>
      <c r="G1" s="109"/>
    </row>
    <row r="2" spans="1:7" s="99" customFormat="1" x14ac:dyDescent="0.2">
      <c r="A2" s="109"/>
      <c r="B2" s="110"/>
      <c r="C2" s="111"/>
      <c r="D2" s="111"/>
      <c r="E2" s="112"/>
      <c r="F2" s="109"/>
      <c r="G2" s="109"/>
    </row>
    <row r="3" spans="1:7" s="99" customFormat="1" x14ac:dyDescent="0.2">
      <c r="A3" s="109"/>
      <c r="B3" s="110"/>
      <c r="C3" s="111"/>
      <c r="D3" s="111"/>
      <c r="E3" s="112"/>
      <c r="F3" s="109"/>
      <c r="G3" s="109"/>
    </row>
    <row r="4" spans="1:7" s="99" customFormat="1" ht="21" x14ac:dyDescent="0.2">
      <c r="A4" s="1156" t="s">
        <v>1062</v>
      </c>
      <c r="B4" s="1156"/>
      <c r="C4" s="1156"/>
      <c r="D4" s="1156"/>
      <c r="E4" s="1156"/>
      <c r="F4" s="100"/>
      <c r="G4" s="109"/>
    </row>
    <row r="5" spans="1:7" s="99" customFormat="1" x14ac:dyDescent="0.2">
      <c r="A5" s="109"/>
      <c r="B5" s="110"/>
      <c r="C5" s="111"/>
      <c r="D5" s="111"/>
      <c r="E5" s="112"/>
      <c r="F5" s="109"/>
      <c r="G5" s="109"/>
    </row>
    <row r="6" spans="1:7" s="99" customFormat="1" ht="10.8" thickBot="1" x14ac:dyDescent="0.25">
      <c r="A6" s="109"/>
      <c r="B6" s="110"/>
      <c r="C6" s="111"/>
      <c r="D6" s="111"/>
      <c r="E6" s="112"/>
      <c r="F6" s="109"/>
      <c r="G6" s="109"/>
    </row>
    <row r="7" spans="1:7" s="99" customFormat="1" ht="11.4" thickTop="1" thickBot="1" x14ac:dyDescent="0.25">
      <c r="A7" s="105" t="s">
        <v>1063</v>
      </c>
      <c r="B7" s="107">
        <f>COUNTIF('Base de Datos'!AB7:AB514,100%)</f>
        <v>278</v>
      </c>
      <c r="C7" s="111"/>
      <c r="D7" s="111"/>
      <c r="E7" s="112"/>
      <c r="F7" s="109"/>
      <c r="G7" s="109"/>
    </row>
    <row r="8" spans="1:7" s="99" customFormat="1" ht="11.4" thickTop="1" thickBot="1" x14ac:dyDescent="0.25">
      <c r="A8" s="101" t="s">
        <v>1146</v>
      </c>
      <c r="B8" s="108">
        <f>(COUNTA('Base de Datos'!E6:E514))-B7</f>
        <v>231</v>
      </c>
      <c r="C8" s="111"/>
      <c r="D8" s="111"/>
      <c r="E8" s="112"/>
      <c r="F8" s="109"/>
      <c r="G8" s="109"/>
    </row>
    <row r="9" spans="1:7" s="99" customFormat="1" ht="10.8" thickTop="1" x14ac:dyDescent="0.2">
      <c r="A9" s="109"/>
      <c r="B9" s="110"/>
      <c r="C9" s="111"/>
      <c r="D9" s="111"/>
      <c r="E9" s="112"/>
      <c r="F9" s="109"/>
      <c r="G9" s="109"/>
    </row>
    <row r="10" spans="1:7" s="99" customFormat="1" ht="14.4" x14ac:dyDescent="0.3">
      <c r="A10"/>
      <c r="B10"/>
      <c r="C10" s="111"/>
      <c r="D10" s="111"/>
      <c r="E10" s="112"/>
      <c r="F10" s="109"/>
      <c r="G10" s="109"/>
    </row>
    <row r="11" spans="1:7" s="99" customFormat="1" x14ac:dyDescent="0.2">
      <c r="A11" s="853" t="s">
        <v>1056</v>
      </c>
      <c r="B11" s="861" t="s">
        <v>392</v>
      </c>
      <c r="C11" s="111"/>
      <c r="D11" s="111"/>
      <c r="E11" s="112"/>
      <c r="F11" s="109"/>
      <c r="G11" s="109"/>
    </row>
    <row r="12" spans="1:7" s="99" customFormat="1" x14ac:dyDescent="0.2">
      <c r="A12" s="853" t="s">
        <v>1000</v>
      </c>
      <c r="B12" s="862">
        <v>1</v>
      </c>
      <c r="C12" s="111"/>
      <c r="D12" s="111"/>
      <c r="E12" s="112"/>
      <c r="F12" s="109"/>
      <c r="G12" s="109"/>
    </row>
    <row r="13" spans="1:7" s="99" customFormat="1" x14ac:dyDescent="0.2">
      <c r="A13" s="109"/>
      <c r="B13" s="110"/>
      <c r="C13" s="111"/>
      <c r="D13" s="111"/>
      <c r="E13" s="112"/>
      <c r="F13" s="109"/>
      <c r="G13" s="109"/>
    </row>
    <row r="14" spans="1:7" s="96" customFormat="1" ht="20.399999999999999" x14ac:dyDescent="0.3">
      <c r="A14" s="851" t="s">
        <v>393</v>
      </c>
      <c r="B14" s="852" t="s">
        <v>1059</v>
      </c>
      <c r="C14" s="855" t="s">
        <v>955</v>
      </c>
      <c r="D14" s="855" t="s">
        <v>957</v>
      </c>
      <c r="E14" s="855" t="s">
        <v>958</v>
      </c>
      <c r="F14" s="856" t="s">
        <v>959</v>
      </c>
      <c r="G14" s="113"/>
    </row>
    <row r="15" spans="1:7" s="99" customFormat="1" x14ac:dyDescent="0.2">
      <c r="A15" s="857" t="s">
        <v>92</v>
      </c>
      <c r="B15" s="860"/>
      <c r="C15" s="854"/>
      <c r="D15" s="854"/>
      <c r="E15" s="854"/>
      <c r="F15" s="858"/>
      <c r="G15" s="109"/>
    </row>
    <row r="16" spans="1:7" s="99" customFormat="1" x14ac:dyDescent="0.2">
      <c r="A16" s="859" t="s">
        <v>425</v>
      </c>
      <c r="B16" s="860">
        <v>41673</v>
      </c>
      <c r="C16" s="854">
        <v>7329236109</v>
      </c>
      <c r="D16" s="854">
        <v>6218260556</v>
      </c>
      <c r="E16" s="854">
        <v>1110975553</v>
      </c>
      <c r="F16" s="858">
        <v>0.84841864329684125</v>
      </c>
      <c r="G16" s="109"/>
    </row>
    <row r="17" spans="1:7" s="99" customFormat="1" x14ac:dyDescent="0.2">
      <c r="A17" s="857" t="s">
        <v>151</v>
      </c>
      <c r="B17" s="860"/>
      <c r="C17" s="854"/>
      <c r="D17" s="854"/>
      <c r="E17" s="854"/>
      <c r="F17" s="858"/>
      <c r="G17" s="109"/>
    </row>
    <row r="18" spans="1:7" s="99" customFormat="1" x14ac:dyDescent="0.2">
      <c r="A18" s="859" t="s">
        <v>152</v>
      </c>
      <c r="B18" s="860">
        <v>41486</v>
      </c>
      <c r="C18" s="854">
        <v>3100400677</v>
      </c>
      <c r="D18" s="854">
        <v>3066561119</v>
      </c>
      <c r="E18" s="854">
        <v>33839558</v>
      </c>
      <c r="F18" s="858">
        <v>0.98908542426434254</v>
      </c>
      <c r="G18" s="109"/>
    </row>
    <row r="19" spans="1:7" s="99" customFormat="1" x14ac:dyDescent="0.2">
      <c r="A19" s="857" t="s">
        <v>149</v>
      </c>
      <c r="B19" s="860"/>
      <c r="C19" s="854"/>
      <c r="D19" s="854"/>
      <c r="E19" s="854"/>
      <c r="F19" s="858"/>
      <c r="G19" s="109"/>
    </row>
    <row r="20" spans="1:7" s="99" customFormat="1" x14ac:dyDescent="0.2">
      <c r="A20" s="859" t="s">
        <v>150</v>
      </c>
      <c r="B20" s="860">
        <v>41476</v>
      </c>
      <c r="C20" s="854">
        <v>2909992591</v>
      </c>
      <c r="D20" s="854">
        <v>13400894</v>
      </c>
      <c r="E20" s="854">
        <v>2896591697</v>
      </c>
      <c r="F20" s="858">
        <v>4.6051299379407939E-3</v>
      </c>
      <c r="G20" s="109"/>
    </row>
    <row r="21" spans="1:7" s="99" customFormat="1" x14ac:dyDescent="0.2">
      <c r="A21" s="857" t="s">
        <v>21</v>
      </c>
      <c r="B21" s="860"/>
      <c r="C21" s="854"/>
      <c r="D21" s="854"/>
      <c r="E21" s="854"/>
      <c r="F21" s="858"/>
      <c r="G21" s="109"/>
    </row>
    <row r="22" spans="1:7" s="99" customFormat="1" x14ac:dyDescent="0.2">
      <c r="A22" s="859" t="s">
        <v>22</v>
      </c>
      <c r="B22" s="860">
        <v>41513</v>
      </c>
      <c r="C22" s="854">
        <v>79634000</v>
      </c>
      <c r="D22" s="854">
        <v>79634000</v>
      </c>
      <c r="E22" s="854">
        <v>0</v>
      </c>
      <c r="F22" s="858">
        <v>1</v>
      </c>
      <c r="G22" s="109"/>
    </row>
    <row r="23" spans="1:7" s="99" customFormat="1" x14ac:dyDescent="0.2">
      <c r="A23" s="857" t="s">
        <v>103</v>
      </c>
      <c r="B23" s="860"/>
      <c r="C23" s="854"/>
      <c r="D23" s="854"/>
      <c r="E23" s="854"/>
      <c r="F23" s="858"/>
      <c r="G23" s="109"/>
    </row>
    <row r="24" spans="1:7" s="99" customFormat="1" x14ac:dyDescent="0.2">
      <c r="A24" s="859" t="s">
        <v>1632</v>
      </c>
      <c r="B24" s="860">
        <v>41274</v>
      </c>
      <c r="C24" s="854">
        <v>4206160</v>
      </c>
      <c r="D24" s="854">
        <v>0</v>
      </c>
      <c r="E24" s="854">
        <v>4206160</v>
      </c>
      <c r="F24" s="858">
        <v>0</v>
      </c>
      <c r="G24" s="109"/>
    </row>
    <row r="25" spans="1:7" s="99" customFormat="1" x14ac:dyDescent="0.2">
      <c r="A25" s="857" t="s">
        <v>179</v>
      </c>
      <c r="B25" s="860"/>
      <c r="C25" s="854"/>
      <c r="D25" s="854"/>
      <c r="E25" s="854"/>
      <c r="F25" s="858"/>
      <c r="G25" s="109"/>
    </row>
    <row r="26" spans="1:7" s="99" customFormat="1" x14ac:dyDescent="0.2">
      <c r="A26" s="859" t="s">
        <v>433</v>
      </c>
      <c r="B26" s="860">
        <v>41609</v>
      </c>
      <c r="C26" s="854">
        <v>726335435</v>
      </c>
      <c r="D26" s="854">
        <v>577978609</v>
      </c>
      <c r="E26" s="854">
        <v>148356826</v>
      </c>
      <c r="F26" s="858">
        <v>0.79574612658130883</v>
      </c>
      <c r="G26" s="109"/>
    </row>
    <row r="27" spans="1:7" s="99" customFormat="1" x14ac:dyDescent="0.2">
      <c r="A27" s="857" t="s">
        <v>180</v>
      </c>
      <c r="B27" s="860"/>
      <c r="C27" s="854"/>
      <c r="D27" s="854"/>
      <c r="E27" s="854"/>
      <c r="F27" s="858"/>
      <c r="G27" s="109"/>
    </row>
    <row r="28" spans="1:7" s="99" customFormat="1" x14ac:dyDescent="0.2">
      <c r="A28" s="859" t="s">
        <v>181</v>
      </c>
      <c r="B28" s="860">
        <v>41323</v>
      </c>
      <c r="C28" s="854">
        <v>234495075</v>
      </c>
      <c r="D28" s="854">
        <v>234495075</v>
      </c>
      <c r="E28" s="854">
        <v>0</v>
      </c>
      <c r="F28" s="858">
        <v>1</v>
      </c>
      <c r="G28" s="109"/>
    </row>
    <row r="29" spans="1:7" s="99" customFormat="1" x14ac:dyDescent="0.2">
      <c r="A29" s="857" t="s">
        <v>56</v>
      </c>
      <c r="B29" s="860"/>
      <c r="C29" s="854"/>
      <c r="D29" s="854"/>
      <c r="E29" s="854"/>
      <c r="F29" s="858"/>
      <c r="G29" s="109"/>
    </row>
    <row r="30" spans="1:7" s="99" customFormat="1" x14ac:dyDescent="0.2">
      <c r="A30" s="859" t="s">
        <v>57</v>
      </c>
      <c r="B30" s="860">
        <v>41623</v>
      </c>
      <c r="C30" s="854">
        <v>71096157</v>
      </c>
      <c r="D30" s="854">
        <v>71096157</v>
      </c>
      <c r="E30" s="854">
        <v>0</v>
      </c>
      <c r="F30" s="858">
        <v>1</v>
      </c>
      <c r="G30" s="109"/>
    </row>
    <row r="31" spans="1:7" s="99" customFormat="1" x14ac:dyDescent="0.2">
      <c r="A31" s="857" t="s">
        <v>19</v>
      </c>
      <c r="B31" s="860"/>
      <c r="C31" s="854"/>
      <c r="D31" s="854"/>
      <c r="E31" s="854"/>
      <c r="F31" s="858"/>
      <c r="G31" s="109"/>
    </row>
    <row r="32" spans="1:7" s="99" customFormat="1" x14ac:dyDescent="0.2">
      <c r="A32" s="859" t="s">
        <v>20</v>
      </c>
      <c r="B32" s="860">
        <v>41347</v>
      </c>
      <c r="C32" s="854">
        <v>11587500</v>
      </c>
      <c r="D32" s="854">
        <v>10316808</v>
      </c>
      <c r="E32" s="854">
        <v>1270692</v>
      </c>
      <c r="F32" s="858">
        <v>0.8903394174757282</v>
      </c>
      <c r="G32" s="109"/>
    </row>
    <row r="33" spans="1:7" s="99" customFormat="1" x14ac:dyDescent="0.2">
      <c r="A33" s="857" t="s">
        <v>23</v>
      </c>
      <c r="B33" s="860"/>
      <c r="C33" s="854"/>
      <c r="D33" s="854"/>
      <c r="E33" s="854"/>
      <c r="F33" s="858"/>
      <c r="G33" s="109"/>
    </row>
    <row r="34" spans="1:7" s="99" customFormat="1" x14ac:dyDescent="0.2">
      <c r="A34" s="859" t="s">
        <v>27</v>
      </c>
      <c r="B34" s="860">
        <v>41409</v>
      </c>
      <c r="C34" s="854">
        <v>849000</v>
      </c>
      <c r="D34" s="854">
        <v>849000</v>
      </c>
      <c r="E34" s="854">
        <v>0</v>
      </c>
      <c r="F34" s="858">
        <v>1</v>
      </c>
      <c r="G34" s="109"/>
    </row>
    <row r="35" spans="1:7" s="99" customFormat="1" x14ac:dyDescent="0.2">
      <c r="A35" s="857" t="s">
        <v>113</v>
      </c>
      <c r="B35" s="860"/>
      <c r="C35" s="854"/>
      <c r="D35" s="854"/>
      <c r="E35" s="854"/>
      <c r="F35" s="858"/>
      <c r="G35" s="109"/>
    </row>
    <row r="36" spans="1:7" s="99" customFormat="1" x14ac:dyDescent="0.2">
      <c r="A36" s="859" t="s">
        <v>434</v>
      </c>
      <c r="B36" s="860">
        <v>41333</v>
      </c>
      <c r="C36" s="854">
        <v>7192000</v>
      </c>
      <c r="D36" s="854">
        <v>7192000</v>
      </c>
      <c r="E36" s="854">
        <v>0</v>
      </c>
      <c r="F36" s="858">
        <v>1</v>
      </c>
      <c r="G36" s="109"/>
    </row>
    <row r="37" spans="1:7" s="99" customFormat="1" x14ac:dyDescent="0.2">
      <c r="A37" s="857" t="s">
        <v>101</v>
      </c>
      <c r="B37" s="860"/>
      <c r="C37" s="854"/>
      <c r="D37" s="854"/>
      <c r="E37" s="854"/>
      <c r="F37" s="858"/>
      <c r="G37" s="109"/>
    </row>
    <row r="38" spans="1:7" s="99" customFormat="1" x14ac:dyDescent="0.2">
      <c r="A38" s="859" t="s">
        <v>427</v>
      </c>
      <c r="B38" s="860">
        <v>41370</v>
      </c>
      <c r="C38" s="854">
        <v>2625000</v>
      </c>
      <c r="D38" s="854">
        <v>0</v>
      </c>
      <c r="E38" s="854">
        <v>2625000</v>
      </c>
      <c r="F38" s="858">
        <v>0</v>
      </c>
      <c r="G38" s="109"/>
    </row>
    <row r="39" spans="1:7" s="99" customFormat="1" x14ac:dyDescent="0.2">
      <c r="A39" s="857" t="s">
        <v>16</v>
      </c>
      <c r="B39" s="860"/>
      <c r="C39" s="854"/>
      <c r="D39" s="854"/>
      <c r="E39" s="854"/>
      <c r="F39" s="858"/>
      <c r="G39" s="109"/>
    </row>
    <row r="40" spans="1:7" s="99" customFormat="1" x14ac:dyDescent="0.2">
      <c r="A40" s="859" t="s">
        <v>435</v>
      </c>
      <c r="B40" s="860">
        <v>41328</v>
      </c>
      <c r="C40" s="854">
        <v>4839200</v>
      </c>
      <c r="D40" s="854">
        <v>4839200</v>
      </c>
      <c r="E40" s="854">
        <v>0</v>
      </c>
      <c r="F40" s="858">
        <v>1</v>
      </c>
      <c r="G40" s="109"/>
    </row>
    <row r="41" spans="1:7" s="99" customFormat="1" x14ac:dyDescent="0.2">
      <c r="A41" s="857" t="s">
        <v>107</v>
      </c>
      <c r="B41" s="860"/>
      <c r="C41" s="854"/>
      <c r="D41" s="854"/>
      <c r="E41" s="854"/>
      <c r="F41" s="858"/>
      <c r="G41" s="109"/>
    </row>
    <row r="42" spans="1:7" s="99" customFormat="1" x14ac:dyDescent="0.2">
      <c r="A42" s="859" t="s">
        <v>108</v>
      </c>
      <c r="B42" s="860">
        <v>41349</v>
      </c>
      <c r="C42" s="854">
        <v>13527752</v>
      </c>
      <c r="D42" s="854">
        <v>0</v>
      </c>
      <c r="E42" s="854">
        <v>13527752</v>
      </c>
      <c r="F42" s="858">
        <v>0</v>
      </c>
      <c r="G42" s="109"/>
    </row>
    <row r="43" spans="1:7" s="99" customFormat="1" x14ac:dyDescent="0.2">
      <c r="A43" s="857" t="s">
        <v>61</v>
      </c>
      <c r="B43" s="860"/>
      <c r="C43" s="854"/>
      <c r="D43" s="854"/>
      <c r="E43" s="854"/>
      <c r="F43" s="858"/>
      <c r="G43" s="109"/>
    </row>
    <row r="44" spans="1:7" s="99" customFormat="1" x14ac:dyDescent="0.2">
      <c r="A44" s="859" t="s">
        <v>436</v>
      </c>
      <c r="B44" s="860">
        <v>41531</v>
      </c>
      <c r="C44" s="854">
        <v>85219000</v>
      </c>
      <c r="D44" s="854">
        <v>95321355</v>
      </c>
      <c r="E44" s="854">
        <v>-10102355</v>
      </c>
      <c r="F44" s="858">
        <v>1.1185458055128552</v>
      </c>
      <c r="G44" s="109"/>
    </row>
    <row r="45" spans="1:7" s="99" customFormat="1" x14ac:dyDescent="0.2">
      <c r="A45" s="857" t="s">
        <v>58</v>
      </c>
      <c r="B45" s="860"/>
      <c r="C45" s="854"/>
      <c r="D45" s="854"/>
      <c r="E45" s="854"/>
      <c r="F45" s="858"/>
      <c r="G45" s="109"/>
    </row>
    <row r="46" spans="1:7" s="99" customFormat="1" x14ac:dyDescent="0.2">
      <c r="A46" s="859" t="s">
        <v>437</v>
      </c>
      <c r="B46" s="860">
        <v>41623</v>
      </c>
      <c r="C46" s="854">
        <v>99122327</v>
      </c>
      <c r="D46" s="854">
        <v>93840542</v>
      </c>
      <c r="E46" s="854">
        <v>5281785</v>
      </c>
      <c r="F46" s="858">
        <v>0.94671447735483449</v>
      </c>
      <c r="G46" s="109"/>
    </row>
    <row r="47" spans="1:7" s="99" customFormat="1" x14ac:dyDescent="0.2">
      <c r="A47" s="857" t="s">
        <v>423</v>
      </c>
      <c r="B47" s="860"/>
      <c r="C47" s="854"/>
      <c r="D47" s="854"/>
      <c r="E47" s="854"/>
      <c r="F47" s="858"/>
      <c r="G47" s="109"/>
    </row>
    <row r="48" spans="1:7" s="99" customFormat="1" x14ac:dyDescent="0.2">
      <c r="A48" s="859" t="s">
        <v>13</v>
      </c>
      <c r="B48" s="860">
        <v>41527</v>
      </c>
      <c r="C48" s="854">
        <v>900000</v>
      </c>
      <c r="D48" s="854">
        <v>900000</v>
      </c>
      <c r="E48" s="854">
        <v>0</v>
      </c>
      <c r="F48" s="858">
        <v>1</v>
      </c>
      <c r="G48" s="109"/>
    </row>
    <row r="49" spans="1:7" s="99" customFormat="1" x14ac:dyDescent="0.2">
      <c r="A49" s="857" t="s">
        <v>28</v>
      </c>
      <c r="B49" s="860"/>
      <c r="C49" s="854"/>
      <c r="D49" s="854"/>
      <c r="E49" s="854"/>
      <c r="F49" s="858"/>
      <c r="G49" s="109"/>
    </row>
    <row r="50" spans="1:7" s="99" customFormat="1" x14ac:dyDescent="0.2">
      <c r="A50" s="859" t="s">
        <v>29</v>
      </c>
      <c r="B50" s="860">
        <v>41530</v>
      </c>
      <c r="C50" s="854">
        <v>840000</v>
      </c>
      <c r="D50" s="854">
        <v>840000</v>
      </c>
      <c r="E50" s="854">
        <v>0</v>
      </c>
      <c r="F50" s="858">
        <v>1</v>
      </c>
      <c r="G50" s="109"/>
    </row>
    <row r="51" spans="1:7" s="99" customFormat="1" x14ac:dyDescent="0.2">
      <c r="A51" s="857" t="s">
        <v>32</v>
      </c>
      <c r="B51" s="860"/>
      <c r="C51" s="854"/>
      <c r="D51" s="854"/>
      <c r="E51" s="854"/>
      <c r="F51" s="858"/>
      <c r="G51" s="109"/>
    </row>
    <row r="52" spans="1:7" s="99" customFormat="1" x14ac:dyDescent="0.2">
      <c r="A52" s="859" t="s">
        <v>33</v>
      </c>
      <c r="B52" s="860">
        <v>41545</v>
      </c>
      <c r="C52" s="854">
        <v>795000</v>
      </c>
      <c r="D52" s="854">
        <v>795000</v>
      </c>
      <c r="E52" s="854">
        <v>0</v>
      </c>
      <c r="F52" s="858">
        <v>1</v>
      </c>
      <c r="G52" s="109"/>
    </row>
    <row r="53" spans="1:7" s="99" customFormat="1" x14ac:dyDescent="0.2">
      <c r="A53" s="857" t="s">
        <v>109</v>
      </c>
      <c r="B53" s="860"/>
      <c r="C53" s="854"/>
      <c r="D53" s="854"/>
      <c r="E53" s="854"/>
      <c r="F53" s="858"/>
      <c r="G53" s="109"/>
    </row>
    <row r="54" spans="1:7" s="99" customFormat="1" x14ac:dyDescent="0.2">
      <c r="A54" s="859" t="s">
        <v>420</v>
      </c>
      <c r="B54" s="860">
        <v>41346</v>
      </c>
      <c r="C54" s="854">
        <v>1818000</v>
      </c>
      <c r="D54" s="854">
        <v>0</v>
      </c>
      <c r="E54" s="854">
        <v>1818000</v>
      </c>
      <c r="F54" s="858">
        <v>0</v>
      </c>
      <c r="G54" s="109"/>
    </row>
    <row r="55" spans="1:7" s="99" customFormat="1" x14ac:dyDescent="0.2">
      <c r="A55" s="857" t="s">
        <v>34</v>
      </c>
      <c r="B55" s="860"/>
      <c r="C55" s="854"/>
      <c r="D55" s="854"/>
      <c r="E55" s="854"/>
      <c r="F55" s="858"/>
      <c r="G55" s="109"/>
    </row>
    <row r="56" spans="1:7" s="99" customFormat="1" x14ac:dyDescent="0.2">
      <c r="A56" s="859" t="s">
        <v>1008</v>
      </c>
      <c r="B56" s="860">
        <v>41333</v>
      </c>
      <c r="C56" s="854">
        <v>30000000</v>
      </c>
      <c r="D56" s="854">
        <v>30000000</v>
      </c>
      <c r="E56" s="854">
        <v>0</v>
      </c>
      <c r="F56" s="858">
        <v>1</v>
      </c>
      <c r="G56" s="109"/>
    </row>
    <row r="57" spans="1:7" s="99" customFormat="1" x14ac:dyDescent="0.2">
      <c r="A57" s="857" t="s">
        <v>10</v>
      </c>
      <c r="B57" s="860"/>
      <c r="C57" s="854"/>
      <c r="D57" s="854"/>
      <c r="E57" s="854"/>
      <c r="F57" s="858"/>
      <c r="G57" s="109"/>
    </row>
    <row r="58" spans="1:7" s="99" customFormat="1" x14ac:dyDescent="0.2">
      <c r="A58" s="859" t="s">
        <v>1009</v>
      </c>
      <c r="B58" s="860">
        <v>41367</v>
      </c>
      <c r="C58" s="854">
        <v>35000000</v>
      </c>
      <c r="D58" s="854">
        <v>34666667</v>
      </c>
      <c r="E58" s="854">
        <v>333333</v>
      </c>
      <c r="F58" s="858">
        <v>0.99047620000000003</v>
      </c>
      <c r="G58" s="109"/>
    </row>
    <row r="59" spans="1:7" s="99" customFormat="1" x14ac:dyDescent="0.2">
      <c r="A59" s="857" t="s">
        <v>114</v>
      </c>
      <c r="B59" s="860"/>
      <c r="C59" s="854"/>
      <c r="D59" s="854"/>
      <c r="E59" s="854"/>
      <c r="F59" s="858"/>
      <c r="G59" s="109"/>
    </row>
    <row r="60" spans="1:7" s="99" customFormat="1" x14ac:dyDescent="0.2">
      <c r="A60" s="859" t="s">
        <v>115</v>
      </c>
      <c r="B60" s="860">
        <v>41626</v>
      </c>
      <c r="C60" s="854">
        <v>8334226</v>
      </c>
      <c r="D60" s="854">
        <v>8334226</v>
      </c>
      <c r="E60" s="854">
        <v>0</v>
      </c>
      <c r="F60" s="858">
        <v>1</v>
      </c>
      <c r="G60" s="109"/>
    </row>
    <row r="61" spans="1:7" s="99" customFormat="1" x14ac:dyDescent="0.2">
      <c r="A61" s="857" t="s">
        <v>106</v>
      </c>
      <c r="B61" s="860"/>
      <c r="C61" s="854"/>
      <c r="D61" s="854"/>
      <c r="E61" s="854"/>
      <c r="F61" s="858"/>
      <c r="G61" s="109"/>
    </row>
    <row r="62" spans="1:7" s="99" customFormat="1" x14ac:dyDescent="0.2">
      <c r="A62" s="859" t="s">
        <v>1010</v>
      </c>
      <c r="B62" s="860">
        <v>41343</v>
      </c>
      <c r="C62" s="854">
        <v>20565000</v>
      </c>
      <c r="D62" s="854">
        <v>20565000</v>
      </c>
      <c r="E62" s="854">
        <v>0</v>
      </c>
      <c r="F62" s="858">
        <v>1</v>
      </c>
      <c r="G62" s="109"/>
    </row>
    <row r="63" spans="1:7" s="99" customFormat="1" x14ac:dyDescent="0.2">
      <c r="A63" s="857" t="s">
        <v>105</v>
      </c>
      <c r="B63" s="860"/>
      <c r="C63" s="854"/>
      <c r="D63" s="854"/>
      <c r="E63" s="854"/>
      <c r="F63" s="858"/>
      <c r="G63" s="109"/>
    </row>
    <row r="64" spans="1:7" s="99" customFormat="1" x14ac:dyDescent="0.2">
      <c r="A64" s="859" t="s">
        <v>1011</v>
      </c>
      <c r="B64" s="860">
        <v>41263</v>
      </c>
      <c r="C64" s="854">
        <v>6730000</v>
      </c>
      <c r="D64" s="854">
        <v>6395000</v>
      </c>
      <c r="E64" s="854">
        <v>335000</v>
      </c>
      <c r="F64" s="858">
        <v>0.95022288261515597</v>
      </c>
      <c r="G64" s="109"/>
    </row>
    <row r="65" spans="1:7" s="99" customFormat="1" x14ac:dyDescent="0.2">
      <c r="A65" s="857" t="s">
        <v>17</v>
      </c>
      <c r="B65" s="860"/>
      <c r="C65" s="854"/>
      <c r="D65" s="854"/>
      <c r="E65" s="854"/>
      <c r="F65" s="858"/>
      <c r="G65" s="109"/>
    </row>
    <row r="66" spans="1:7" s="99" customFormat="1" x14ac:dyDescent="0.2">
      <c r="A66" s="859" t="s">
        <v>18</v>
      </c>
      <c r="B66" s="860">
        <v>41387</v>
      </c>
      <c r="C66" s="854">
        <v>23994880</v>
      </c>
      <c r="D66" s="854">
        <v>23994876</v>
      </c>
      <c r="E66" s="854">
        <v>4</v>
      </c>
      <c r="F66" s="858">
        <v>0.9999998332977702</v>
      </c>
      <c r="G66" s="109"/>
    </row>
    <row r="67" spans="1:7" s="99" customFormat="1" x14ac:dyDescent="0.2">
      <c r="A67" s="857" t="s">
        <v>24</v>
      </c>
      <c r="B67" s="860"/>
      <c r="C67" s="854"/>
      <c r="D67" s="854"/>
      <c r="E67" s="854"/>
      <c r="F67" s="858"/>
      <c r="G67" s="109"/>
    </row>
    <row r="68" spans="1:7" s="99" customFormat="1" x14ac:dyDescent="0.2">
      <c r="A68" s="859" t="s">
        <v>1012</v>
      </c>
      <c r="B68" s="860">
        <v>41369</v>
      </c>
      <c r="C68" s="854">
        <v>38400000</v>
      </c>
      <c r="D68" s="854">
        <v>38400000</v>
      </c>
      <c r="E68" s="854">
        <v>0</v>
      </c>
      <c r="F68" s="858">
        <v>1</v>
      </c>
      <c r="G68" s="109"/>
    </row>
    <row r="69" spans="1:7" s="99" customFormat="1" x14ac:dyDescent="0.2">
      <c r="A69" s="857" t="s">
        <v>118</v>
      </c>
      <c r="B69" s="860"/>
      <c r="C69" s="854"/>
      <c r="D69" s="854"/>
      <c r="E69" s="854"/>
      <c r="F69" s="858"/>
      <c r="G69" s="109"/>
    </row>
    <row r="70" spans="1:7" s="99" customFormat="1" x14ac:dyDescent="0.2">
      <c r="A70" s="859" t="s">
        <v>1013</v>
      </c>
      <c r="B70" s="860">
        <v>41308</v>
      </c>
      <c r="C70" s="854">
        <v>3961330</v>
      </c>
      <c r="D70" s="854">
        <v>3961330</v>
      </c>
      <c r="E70" s="854">
        <v>0</v>
      </c>
      <c r="F70" s="858">
        <v>1</v>
      </c>
      <c r="G70" s="109"/>
    </row>
    <row r="71" spans="1:7" s="99" customFormat="1" x14ac:dyDescent="0.2">
      <c r="A71" s="857" t="s">
        <v>62</v>
      </c>
      <c r="B71" s="860"/>
      <c r="C71" s="854"/>
      <c r="D71" s="854"/>
      <c r="E71" s="854"/>
      <c r="F71" s="858"/>
      <c r="G71" s="109"/>
    </row>
    <row r="72" spans="1:7" s="99" customFormat="1" x14ac:dyDescent="0.2">
      <c r="A72" s="859" t="s">
        <v>1014</v>
      </c>
      <c r="B72" s="860">
        <v>41452</v>
      </c>
      <c r="C72" s="854">
        <v>24000000</v>
      </c>
      <c r="D72" s="854">
        <v>24000000</v>
      </c>
      <c r="E72" s="854">
        <v>0</v>
      </c>
      <c r="F72" s="858">
        <v>1</v>
      </c>
      <c r="G72" s="109"/>
    </row>
    <row r="73" spans="1:7" s="99" customFormat="1" x14ac:dyDescent="0.2">
      <c r="A73" s="857" t="s">
        <v>30</v>
      </c>
      <c r="B73" s="860"/>
      <c r="C73" s="854"/>
      <c r="D73" s="854"/>
      <c r="E73" s="854"/>
      <c r="F73" s="858"/>
      <c r="G73" s="109"/>
    </row>
    <row r="74" spans="1:7" s="99" customFormat="1" x14ac:dyDescent="0.2">
      <c r="A74" s="859" t="s">
        <v>31</v>
      </c>
      <c r="B74" s="860">
        <v>41350</v>
      </c>
      <c r="C74" s="854">
        <v>6000000</v>
      </c>
      <c r="D74" s="854">
        <v>6000000</v>
      </c>
      <c r="E74" s="854">
        <v>0</v>
      </c>
      <c r="F74" s="858">
        <v>1</v>
      </c>
      <c r="G74" s="109"/>
    </row>
    <row r="75" spans="1:7" s="99" customFormat="1" x14ac:dyDescent="0.2">
      <c r="A75" s="857" t="s">
        <v>14</v>
      </c>
      <c r="B75" s="860"/>
      <c r="C75" s="854"/>
      <c r="D75" s="854"/>
      <c r="E75" s="854"/>
      <c r="F75" s="858"/>
      <c r="G75" s="109"/>
    </row>
    <row r="76" spans="1:7" s="99" customFormat="1" x14ac:dyDescent="0.2">
      <c r="A76" s="859" t="s">
        <v>15</v>
      </c>
      <c r="B76" s="860">
        <v>41472</v>
      </c>
      <c r="C76" s="854">
        <v>7740000</v>
      </c>
      <c r="D76" s="854">
        <v>7740000</v>
      </c>
      <c r="E76" s="854">
        <v>0</v>
      </c>
      <c r="F76" s="858">
        <v>1</v>
      </c>
      <c r="G76" s="109"/>
    </row>
    <row r="77" spans="1:7" s="99" customFormat="1" x14ac:dyDescent="0.2">
      <c r="A77" s="857" t="s">
        <v>40</v>
      </c>
      <c r="B77" s="860"/>
      <c r="C77" s="854"/>
      <c r="D77" s="854"/>
      <c r="E77" s="854"/>
      <c r="F77" s="858"/>
      <c r="G77" s="109"/>
    </row>
    <row r="78" spans="1:7" s="99" customFormat="1" x14ac:dyDescent="0.2">
      <c r="A78" s="859" t="s">
        <v>41</v>
      </c>
      <c r="B78" s="860">
        <v>41398</v>
      </c>
      <c r="C78" s="854">
        <v>47000000</v>
      </c>
      <c r="D78" s="854">
        <v>41245000</v>
      </c>
      <c r="E78" s="854">
        <v>5755000</v>
      </c>
      <c r="F78" s="858">
        <v>0.87755319148936173</v>
      </c>
      <c r="G78" s="109"/>
    </row>
    <row r="79" spans="1:7" s="99" customFormat="1" x14ac:dyDescent="0.2">
      <c r="A79" s="857" t="s">
        <v>72</v>
      </c>
      <c r="B79" s="860"/>
      <c r="C79" s="854"/>
      <c r="D79" s="854"/>
      <c r="E79" s="854"/>
      <c r="F79" s="858"/>
      <c r="G79" s="109"/>
    </row>
    <row r="80" spans="1:7" s="99" customFormat="1" x14ac:dyDescent="0.2">
      <c r="A80" s="859" t="s">
        <v>73</v>
      </c>
      <c r="B80" s="860">
        <v>41400</v>
      </c>
      <c r="C80" s="854">
        <v>950000000</v>
      </c>
      <c r="D80" s="854">
        <v>950000000</v>
      </c>
      <c r="E80" s="854">
        <v>0</v>
      </c>
      <c r="F80" s="858">
        <v>1</v>
      </c>
      <c r="G80" s="109"/>
    </row>
    <row r="81" spans="1:7" s="99" customFormat="1" x14ac:dyDescent="0.2">
      <c r="A81" s="857" t="s">
        <v>396</v>
      </c>
      <c r="B81" s="860"/>
      <c r="C81" s="854"/>
      <c r="D81" s="854"/>
      <c r="E81" s="854"/>
      <c r="F81" s="858"/>
      <c r="G81" s="109"/>
    </row>
    <row r="82" spans="1:7" s="99" customFormat="1" x14ac:dyDescent="0.2">
      <c r="A82" s="859" t="s">
        <v>203</v>
      </c>
      <c r="B82" s="860">
        <v>41312</v>
      </c>
      <c r="C82" s="854">
        <v>10440000</v>
      </c>
      <c r="D82" s="854">
        <v>10440000</v>
      </c>
      <c r="E82" s="854">
        <v>0</v>
      </c>
      <c r="F82" s="858">
        <v>1</v>
      </c>
      <c r="G82" s="109"/>
    </row>
    <row r="83" spans="1:7" s="99" customFormat="1" x14ac:dyDescent="0.2">
      <c r="A83" s="857" t="s">
        <v>153</v>
      </c>
      <c r="B83" s="860"/>
      <c r="C83" s="854"/>
      <c r="D83" s="854"/>
      <c r="E83" s="854"/>
      <c r="F83" s="858"/>
      <c r="G83" s="109"/>
    </row>
    <row r="84" spans="1:7" s="99" customFormat="1" x14ac:dyDescent="0.2">
      <c r="A84" s="859" t="s">
        <v>154</v>
      </c>
      <c r="B84" s="860">
        <v>41213</v>
      </c>
      <c r="C84" s="854">
        <v>41705635</v>
      </c>
      <c r="D84" s="854">
        <v>41705635</v>
      </c>
      <c r="E84" s="854">
        <v>0</v>
      </c>
      <c r="F84" s="858">
        <v>1</v>
      </c>
      <c r="G84" s="109"/>
    </row>
    <row r="85" spans="1:7" s="99" customFormat="1" x14ac:dyDescent="0.2">
      <c r="A85" s="857" t="s">
        <v>170</v>
      </c>
      <c r="B85" s="860"/>
      <c r="C85" s="854"/>
      <c r="D85" s="854"/>
      <c r="E85" s="854"/>
      <c r="F85" s="858"/>
      <c r="G85" s="109"/>
    </row>
    <row r="86" spans="1:7" s="99" customFormat="1" x14ac:dyDescent="0.2">
      <c r="A86" s="859" t="s">
        <v>428</v>
      </c>
      <c r="B86" s="860">
        <v>41112</v>
      </c>
      <c r="C86" s="854">
        <v>497000000</v>
      </c>
      <c r="D86" s="854">
        <v>495932967</v>
      </c>
      <c r="E86" s="854">
        <v>1067033</v>
      </c>
      <c r="F86" s="858">
        <v>0.99785305231388333</v>
      </c>
      <c r="G86" s="109"/>
    </row>
    <row r="87" spans="1:7" s="99" customFormat="1" x14ac:dyDescent="0.2">
      <c r="A87" s="857" t="s">
        <v>594</v>
      </c>
      <c r="B87" s="860"/>
      <c r="C87" s="854"/>
      <c r="D87" s="854"/>
      <c r="E87" s="854"/>
      <c r="F87" s="858"/>
      <c r="G87" s="109"/>
    </row>
    <row r="88" spans="1:7" s="99" customFormat="1" x14ac:dyDescent="0.2">
      <c r="A88" s="859" t="s">
        <v>1005</v>
      </c>
      <c r="B88" s="860">
        <v>41356</v>
      </c>
      <c r="C88" s="854">
        <v>9425000</v>
      </c>
      <c r="D88" s="854">
        <v>9425000</v>
      </c>
      <c r="E88" s="854">
        <v>0</v>
      </c>
      <c r="F88" s="858">
        <v>1</v>
      </c>
      <c r="G88" s="109"/>
    </row>
    <row r="89" spans="1:7" s="99" customFormat="1" x14ac:dyDescent="0.2">
      <c r="A89" s="857" t="s">
        <v>127</v>
      </c>
      <c r="B89" s="860"/>
      <c r="C89" s="854"/>
      <c r="D89" s="854"/>
      <c r="E89" s="854"/>
      <c r="F89" s="858"/>
      <c r="G89" s="109"/>
    </row>
    <row r="90" spans="1:7" s="99" customFormat="1" x14ac:dyDescent="0.2">
      <c r="A90" s="859" t="s">
        <v>128</v>
      </c>
      <c r="B90" s="860">
        <v>41364</v>
      </c>
      <c r="C90" s="854">
        <v>22930000</v>
      </c>
      <c r="D90" s="854">
        <v>18432731</v>
      </c>
      <c r="E90" s="854">
        <v>4497269</v>
      </c>
      <c r="F90" s="858">
        <v>0.80386964675098127</v>
      </c>
      <c r="G90" s="109"/>
    </row>
    <row r="91" spans="1:7" s="99" customFormat="1" x14ac:dyDescent="0.2">
      <c r="A91" s="857" t="s">
        <v>59</v>
      </c>
      <c r="B91" s="860"/>
      <c r="C91" s="854"/>
      <c r="D91" s="854"/>
      <c r="E91" s="854"/>
      <c r="F91" s="858"/>
      <c r="G91" s="109"/>
    </row>
    <row r="92" spans="1:7" s="99" customFormat="1" x14ac:dyDescent="0.2">
      <c r="A92" s="859" t="s">
        <v>60</v>
      </c>
      <c r="B92" s="860">
        <v>41471</v>
      </c>
      <c r="C92" s="854">
        <v>4100000</v>
      </c>
      <c r="D92" s="854">
        <v>3389600</v>
      </c>
      <c r="E92" s="854">
        <v>710400</v>
      </c>
      <c r="F92" s="858">
        <v>0.82673170731707313</v>
      </c>
      <c r="G92" s="109"/>
    </row>
    <row r="93" spans="1:7" s="99" customFormat="1" x14ac:dyDescent="0.2">
      <c r="A93" s="857" t="s">
        <v>120</v>
      </c>
      <c r="B93" s="860"/>
      <c r="C93" s="854"/>
      <c r="D93" s="854"/>
      <c r="E93" s="854"/>
      <c r="F93" s="858"/>
      <c r="G93" s="109"/>
    </row>
    <row r="94" spans="1:7" s="99" customFormat="1" x14ac:dyDescent="0.2">
      <c r="A94" s="859" t="s">
        <v>429</v>
      </c>
      <c r="B94" s="860">
        <v>41362</v>
      </c>
      <c r="C94" s="854">
        <v>20044800</v>
      </c>
      <c r="D94" s="854">
        <v>20044800</v>
      </c>
      <c r="E94" s="854">
        <v>0</v>
      </c>
      <c r="F94" s="858">
        <v>1</v>
      </c>
      <c r="G94" s="109"/>
    </row>
    <row r="95" spans="1:7" s="99" customFormat="1" x14ac:dyDescent="0.2">
      <c r="A95" s="857" t="s">
        <v>112</v>
      </c>
      <c r="B95" s="860"/>
      <c r="C95" s="854"/>
      <c r="D95" s="854"/>
      <c r="E95" s="854"/>
      <c r="F95" s="858"/>
      <c r="G95" s="109"/>
    </row>
    <row r="96" spans="1:7" s="99" customFormat="1" x14ac:dyDescent="0.2">
      <c r="A96" s="859" t="s">
        <v>430</v>
      </c>
      <c r="B96" s="860">
        <v>41323</v>
      </c>
      <c r="C96" s="854">
        <v>9976800</v>
      </c>
      <c r="D96" s="854">
        <v>9976596</v>
      </c>
      <c r="E96" s="854">
        <v>204</v>
      </c>
      <c r="F96" s="858">
        <v>0.99997955256194371</v>
      </c>
      <c r="G96" s="109"/>
    </row>
    <row r="97" spans="1:7" s="99" customFormat="1" x14ac:dyDescent="0.2">
      <c r="A97" s="857" t="s">
        <v>44</v>
      </c>
      <c r="B97" s="860"/>
      <c r="C97" s="854"/>
      <c r="D97" s="854"/>
      <c r="E97" s="854"/>
      <c r="F97" s="858"/>
      <c r="G97" s="109"/>
    </row>
    <row r="98" spans="1:7" s="99" customFormat="1" x14ac:dyDescent="0.2">
      <c r="A98" s="859" t="s">
        <v>1016</v>
      </c>
      <c r="B98" s="860">
        <v>41547</v>
      </c>
      <c r="C98" s="854">
        <v>8932201</v>
      </c>
      <c r="D98" s="854">
        <v>8906668</v>
      </c>
      <c r="E98" s="854">
        <v>25533</v>
      </c>
      <c r="F98" s="858">
        <v>0.99714146602836184</v>
      </c>
      <c r="G98" s="109"/>
    </row>
    <row r="99" spans="1:7" s="99" customFormat="1" x14ac:dyDescent="0.2">
      <c r="A99" s="857" t="s">
        <v>7</v>
      </c>
      <c r="B99" s="860"/>
      <c r="C99" s="854"/>
      <c r="D99" s="854"/>
      <c r="E99" s="854"/>
      <c r="F99" s="858"/>
      <c r="G99" s="109"/>
    </row>
    <row r="100" spans="1:7" s="99" customFormat="1" x14ac:dyDescent="0.2">
      <c r="A100" s="859" t="s">
        <v>8</v>
      </c>
      <c r="B100" s="860">
        <v>41458</v>
      </c>
      <c r="C100" s="854">
        <v>8545000</v>
      </c>
      <c r="D100" s="854">
        <v>4336000</v>
      </c>
      <c r="E100" s="854">
        <v>4209000</v>
      </c>
      <c r="F100" s="858">
        <v>0.50743124634289061</v>
      </c>
      <c r="G100" s="109"/>
    </row>
    <row r="101" spans="1:7" s="99" customFormat="1" x14ac:dyDescent="0.2">
      <c r="A101" s="857" t="s">
        <v>161</v>
      </c>
      <c r="B101" s="860"/>
      <c r="C101" s="854"/>
      <c r="D101" s="854"/>
      <c r="E101" s="854"/>
      <c r="F101" s="858"/>
      <c r="G101" s="109"/>
    </row>
    <row r="102" spans="1:7" s="99" customFormat="1" x14ac:dyDescent="0.2">
      <c r="A102" s="859" t="s">
        <v>162</v>
      </c>
      <c r="B102" s="860">
        <v>40922</v>
      </c>
      <c r="C102" s="854">
        <v>1306508</v>
      </c>
      <c r="D102" s="854">
        <v>1306508</v>
      </c>
      <c r="E102" s="854">
        <v>0</v>
      </c>
      <c r="F102" s="858">
        <v>1</v>
      </c>
      <c r="G102" s="109"/>
    </row>
    <row r="103" spans="1:7" s="99" customFormat="1" x14ac:dyDescent="0.2">
      <c r="A103" s="857" t="s">
        <v>5</v>
      </c>
      <c r="B103" s="860"/>
      <c r="C103" s="854"/>
      <c r="D103" s="854"/>
      <c r="E103" s="854"/>
      <c r="F103" s="858"/>
      <c r="G103" s="109"/>
    </row>
    <row r="104" spans="1:7" s="99" customFormat="1" x14ac:dyDescent="0.2">
      <c r="A104" s="859" t="s">
        <v>431</v>
      </c>
      <c r="B104" s="860">
        <v>41243</v>
      </c>
      <c r="C104" s="854">
        <v>102786079</v>
      </c>
      <c r="D104" s="854">
        <v>84046373</v>
      </c>
      <c r="E104" s="854">
        <v>18739706</v>
      </c>
      <c r="F104" s="858">
        <v>0.81768245094746728</v>
      </c>
      <c r="G104" s="109"/>
    </row>
    <row r="105" spans="1:7" s="99" customFormat="1" x14ac:dyDescent="0.2">
      <c r="A105" s="857" t="s">
        <v>6</v>
      </c>
      <c r="B105" s="860"/>
      <c r="C105" s="854"/>
      <c r="D105" s="854"/>
      <c r="E105" s="854"/>
      <c r="F105" s="858"/>
      <c r="G105" s="109"/>
    </row>
    <row r="106" spans="1:7" s="99" customFormat="1" x14ac:dyDescent="0.2">
      <c r="A106" s="859" t="s">
        <v>1017</v>
      </c>
      <c r="B106" s="860">
        <v>41445</v>
      </c>
      <c r="C106" s="854">
        <v>242578353</v>
      </c>
      <c r="D106" s="854">
        <v>218264339</v>
      </c>
      <c r="E106" s="854">
        <v>24314014</v>
      </c>
      <c r="F106" s="858">
        <v>0.89976841008562702</v>
      </c>
      <c r="G106" s="109"/>
    </row>
    <row r="107" spans="1:7" s="99" customFormat="1" x14ac:dyDescent="0.2">
      <c r="A107" s="857" t="s">
        <v>35</v>
      </c>
      <c r="B107" s="860"/>
      <c r="C107" s="854"/>
      <c r="D107" s="854"/>
      <c r="E107" s="854"/>
      <c r="F107" s="858"/>
      <c r="G107" s="109"/>
    </row>
    <row r="108" spans="1:7" s="99" customFormat="1" x14ac:dyDescent="0.2">
      <c r="A108" s="859" t="s">
        <v>36</v>
      </c>
      <c r="B108" s="860">
        <v>41414</v>
      </c>
      <c r="C108" s="854">
        <v>4493000</v>
      </c>
      <c r="D108" s="854">
        <v>3309000</v>
      </c>
      <c r="E108" s="854">
        <v>1184000</v>
      </c>
      <c r="F108" s="858">
        <v>0.73647896728243933</v>
      </c>
      <c r="G108" s="109"/>
    </row>
    <row r="109" spans="1:7" s="99" customFormat="1" x14ac:dyDescent="0.2">
      <c r="A109" s="857" t="s">
        <v>37</v>
      </c>
      <c r="B109" s="860"/>
      <c r="C109" s="854"/>
      <c r="D109" s="854"/>
      <c r="E109" s="854"/>
      <c r="F109" s="858"/>
      <c r="G109" s="109"/>
    </row>
    <row r="110" spans="1:7" s="99" customFormat="1" x14ac:dyDescent="0.2">
      <c r="A110" s="859" t="s">
        <v>38</v>
      </c>
      <c r="B110" s="860">
        <v>41425</v>
      </c>
      <c r="C110" s="854">
        <v>24726000</v>
      </c>
      <c r="D110" s="854">
        <v>24725958</v>
      </c>
      <c r="E110" s="854">
        <v>42</v>
      </c>
      <c r="F110" s="858">
        <v>0.99999830138315948</v>
      </c>
      <c r="G110" s="109"/>
    </row>
    <row r="111" spans="1:7" s="99" customFormat="1" x14ac:dyDescent="0.2">
      <c r="A111" s="857" t="s">
        <v>9</v>
      </c>
      <c r="B111" s="860"/>
      <c r="C111" s="854"/>
      <c r="D111" s="854"/>
      <c r="E111" s="854"/>
      <c r="F111" s="858"/>
      <c r="G111" s="109"/>
    </row>
    <row r="112" spans="1:7" s="99" customFormat="1" x14ac:dyDescent="0.2">
      <c r="A112" s="859" t="s">
        <v>1018</v>
      </c>
      <c r="B112" s="860">
        <v>41409</v>
      </c>
      <c r="C112" s="854">
        <v>20923575</v>
      </c>
      <c r="D112" s="854">
        <v>19912200</v>
      </c>
      <c r="E112" s="854">
        <v>1011375</v>
      </c>
      <c r="F112" s="858">
        <v>0.95166337492517417</v>
      </c>
      <c r="G112" s="109"/>
    </row>
    <row r="113" spans="1:7" s="99" customFormat="1" x14ac:dyDescent="0.2">
      <c r="A113" s="857" t="s">
        <v>63</v>
      </c>
      <c r="B113" s="860"/>
      <c r="C113" s="854"/>
      <c r="D113" s="854"/>
      <c r="E113" s="854"/>
      <c r="F113" s="858"/>
      <c r="G113" s="109"/>
    </row>
    <row r="114" spans="1:7" s="99" customFormat="1" x14ac:dyDescent="0.2">
      <c r="A114" s="859" t="s">
        <v>64</v>
      </c>
      <c r="B114" s="860">
        <v>41441</v>
      </c>
      <c r="C114" s="854">
        <v>282073266</v>
      </c>
      <c r="D114" s="854">
        <v>282073266</v>
      </c>
      <c r="E114" s="854">
        <v>0</v>
      </c>
      <c r="F114" s="858">
        <v>1</v>
      </c>
      <c r="G114" s="109"/>
    </row>
    <row r="115" spans="1:7" s="99" customFormat="1" x14ac:dyDescent="0.2">
      <c r="A115" s="857" t="s">
        <v>110</v>
      </c>
      <c r="B115" s="860"/>
      <c r="C115" s="854"/>
      <c r="D115" s="854"/>
      <c r="E115" s="854"/>
      <c r="F115" s="858"/>
      <c r="G115" s="109"/>
    </row>
    <row r="116" spans="1:7" s="99" customFormat="1" x14ac:dyDescent="0.2">
      <c r="A116" s="859" t="s">
        <v>111</v>
      </c>
      <c r="B116" s="860">
        <v>41441</v>
      </c>
      <c r="C116" s="854">
        <v>50618751</v>
      </c>
      <c r="D116" s="854">
        <v>50618751</v>
      </c>
      <c r="E116" s="854">
        <v>0</v>
      </c>
      <c r="F116" s="858">
        <v>1</v>
      </c>
      <c r="G116" s="109"/>
    </row>
    <row r="117" spans="1:7" s="99" customFormat="1" x14ac:dyDescent="0.2">
      <c r="A117" s="857" t="s">
        <v>65</v>
      </c>
      <c r="B117" s="860"/>
      <c r="C117" s="854"/>
      <c r="D117" s="854"/>
      <c r="E117" s="854"/>
      <c r="F117" s="858"/>
      <c r="G117" s="109"/>
    </row>
    <row r="118" spans="1:7" s="99" customFormat="1" x14ac:dyDescent="0.2">
      <c r="A118" s="859" t="s">
        <v>66</v>
      </c>
      <c r="B118" s="860">
        <v>41486</v>
      </c>
      <c r="C118" s="854">
        <v>69900000</v>
      </c>
      <c r="D118" s="854">
        <v>69900000</v>
      </c>
      <c r="E118" s="854">
        <v>0</v>
      </c>
      <c r="F118" s="858">
        <v>1</v>
      </c>
      <c r="G118" s="109"/>
    </row>
    <row r="119" spans="1:7" s="99" customFormat="1" x14ac:dyDescent="0.2">
      <c r="A119" s="857" t="s">
        <v>69</v>
      </c>
      <c r="B119" s="860"/>
      <c r="C119" s="854"/>
      <c r="D119" s="854"/>
      <c r="E119" s="854"/>
      <c r="F119" s="858"/>
      <c r="G119" s="109"/>
    </row>
    <row r="120" spans="1:7" s="99" customFormat="1" x14ac:dyDescent="0.2">
      <c r="A120" s="859" t="s">
        <v>77</v>
      </c>
      <c r="B120" s="860">
        <v>41412</v>
      </c>
      <c r="C120" s="854">
        <v>500000000</v>
      </c>
      <c r="D120" s="854">
        <v>500000000</v>
      </c>
      <c r="E120" s="854">
        <v>0</v>
      </c>
      <c r="F120" s="858">
        <v>1</v>
      </c>
      <c r="G120" s="109"/>
    </row>
    <row r="121" spans="1:7" s="99" customFormat="1" x14ac:dyDescent="0.2">
      <c r="A121" s="857" t="s">
        <v>47</v>
      </c>
      <c r="B121" s="860"/>
      <c r="C121" s="854"/>
      <c r="D121" s="854"/>
      <c r="E121" s="854"/>
      <c r="F121" s="858"/>
      <c r="G121" s="109"/>
    </row>
    <row r="122" spans="1:7" s="99" customFormat="1" x14ac:dyDescent="0.2">
      <c r="A122" s="859" t="s">
        <v>48</v>
      </c>
      <c r="B122" s="860">
        <v>41481</v>
      </c>
      <c r="C122" s="854">
        <v>24824832</v>
      </c>
      <c r="D122" s="854">
        <v>24824832</v>
      </c>
      <c r="E122" s="854">
        <v>0</v>
      </c>
      <c r="F122" s="858">
        <v>1</v>
      </c>
      <c r="G122" s="109"/>
    </row>
    <row r="123" spans="1:7" s="99" customFormat="1" x14ac:dyDescent="0.2">
      <c r="A123" s="857" t="s">
        <v>39</v>
      </c>
      <c r="B123" s="860"/>
      <c r="C123" s="854"/>
      <c r="D123" s="854"/>
      <c r="E123" s="854"/>
      <c r="F123" s="858"/>
      <c r="G123" s="109"/>
    </row>
    <row r="124" spans="1:7" s="99" customFormat="1" x14ac:dyDescent="0.2">
      <c r="A124" s="859" t="s">
        <v>1019</v>
      </c>
      <c r="B124" s="860">
        <v>41558</v>
      </c>
      <c r="C124" s="854">
        <v>810000</v>
      </c>
      <c r="D124" s="854">
        <v>810000</v>
      </c>
      <c r="E124" s="854">
        <v>0</v>
      </c>
      <c r="F124" s="858">
        <v>1</v>
      </c>
      <c r="G124" s="109"/>
    </row>
    <row r="125" spans="1:7" s="99" customFormat="1" x14ac:dyDescent="0.2">
      <c r="A125" s="857" t="s">
        <v>49</v>
      </c>
      <c r="B125" s="860"/>
      <c r="C125" s="854"/>
      <c r="D125" s="854"/>
      <c r="E125" s="854"/>
      <c r="F125" s="858"/>
      <c r="G125" s="109"/>
    </row>
    <row r="126" spans="1:7" s="99" customFormat="1" x14ac:dyDescent="0.2">
      <c r="A126" s="859" t="s">
        <v>1020</v>
      </c>
      <c r="B126" s="860">
        <v>41451</v>
      </c>
      <c r="C126" s="854">
        <v>299287875</v>
      </c>
      <c r="D126" s="854">
        <v>160844981</v>
      </c>
      <c r="E126" s="854">
        <v>138442894</v>
      </c>
      <c r="F126" s="858">
        <v>0.53742565080526572</v>
      </c>
      <c r="G126" s="109"/>
    </row>
    <row r="127" spans="1:7" s="99" customFormat="1" x14ac:dyDescent="0.2">
      <c r="A127" s="857" t="s">
        <v>50</v>
      </c>
      <c r="B127" s="860"/>
      <c r="C127" s="854"/>
      <c r="D127" s="854"/>
      <c r="E127" s="854"/>
      <c r="F127" s="858"/>
      <c r="G127" s="109"/>
    </row>
    <row r="128" spans="1:7" s="99" customFormat="1" x14ac:dyDescent="0.2">
      <c r="A128" s="859" t="s">
        <v>1021</v>
      </c>
      <c r="B128" s="860">
        <v>41534</v>
      </c>
      <c r="C128" s="854">
        <v>1392000</v>
      </c>
      <c r="D128" s="854">
        <v>0</v>
      </c>
      <c r="E128" s="854">
        <v>1392000</v>
      </c>
      <c r="F128" s="858">
        <v>0</v>
      </c>
      <c r="G128" s="109"/>
    </row>
    <row r="129" spans="1:7" s="99" customFormat="1" x14ac:dyDescent="0.2">
      <c r="A129" s="857" t="s">
        <v>119</v>
      </c>
      <c r="B129" s="860"/>
      <c r="C129" s="854"/>
      <c r="D129" s="854"/>
      <c r="E129" s="854"/>
      <c r="F129" s="858"/>
      <c r="G129" s="109"/>
    </row>
    <row r="130" spans="1:7" s="99" customFormat="1" x14ac:dyDescent="0.2">
      <c r="A130" s="859" t="s">
        <v>398</v>
      </c>
      <c r="B130" s="860">
        <v>41390</v>
      </c>
      <c r="C130" s="854">
        <v>4056000</v>
      </c>
      <c r="D130" s="854">
        <v>4056000</v>
      </c>
      <c r="E130" s="854">
        <v>0</v>
      </c>
      <c r="F130" s="858">
        <v>1</v>
      </c>
      <c r="G130" s="109"/>
    </row>
    <row r="131" spans="1:7" s="99" customFormat="1" x14ac:dyDescent="0.2">
      <c r="A131" s="857" t="s">
        <v>589</v>
      </c>
      <c r="B131" s="860"/>
      <c r="C131" s="854"/>
      <c r="D131" s="854"/>
      <c r="E131" s="854"/>
      <c r="F131" s="858"/>
      <c r="G131" s="109"/>
    </row>
    <row r="132" spans="1:7" s="99" customFormat="1" x14ac:dyDescent="0.2">
      <c r="A132" s="859" t="s">
        <v>426</v>
      </c>
      <c r="B132" s="860">
        <v>41332</v>
      </c>
      <c r="C132" s="854">
        <v>12835200</v>
      </c>
      <c r="D132" s="854">
        <v>1092200</v>
      </c>
      <c r="E132" s="854">
        <v>11743000</v>
      </c>
      <c r="F132" s="858">
        <v>8.5094116180503609E-2</v>
      </c>
      <c r="G132" s="109"/>
    </row>
    <row r="133" spans="1:7" s="99" customFormat="1" x14ac:dyDescent="0.2">
      <c r="A133" s="857" t="s">
        <v>163</v>
      </c>
      <c r="B133" s="860"/>
      <c r="C133" s="854"/>
      <c r="D133" s="854"/>
      <c r="E133" s="854"/>
      <c r="F133" s="858"/>
      <c r="G133" s="109"/>
    </row>
    <row r="134" spans="1:7" s="99" customFormat="1" x14ac:dyDescent="0.2">
      <c r="A134" s="859" t="s">
        <v>432</v>
      </c>
      <c r="B134" s="860">
        <v>41312</v>
      </c>
      <c r="C134" s="854">
        <v>49376272</v>
      </c>
      <c r="D134" s="854">
        <v>49376272</v>
      </c>
      <c r="E134" s="854">
        <v>0</v>
      </c>
      <c r="F134" s="858">
        <v>1</v>
      </c>
      <c r="G134" s="109"/>
    </row>
    <row r="135" spans="1:7" s="99" customFormat="1" x14ac:dyDescent="0.2">
      <c r="A135" s="857" t="s">
        <v>51</v>
      </c>
      <c r="B135" s="860"/>
      <c r="C135" s="854"/>
      <c r="D135" s="854"/>
      <c r="E135" s="854"/>
      <c r="F135" s="858"/>
      <c r="G135" s="109"/>
    </row>
    <row r="136" spans="1:7" s="99" customFormat="1" x14ac:dyDescent="0.2">
      <c r="A136" s="859" t="s">
        <v>1022</v>
      </c>
      <c r="B136" s="860">
        <v>41579</v>
      </c>
      <c r="C136" s="854">
        <v>526745000</v>
      </c>
      <c r="D136" s="854">
        <v>526745000</v>
      </c>
      <c r="E136" s="854">
        <v>0</v>
      </c>
      <c r="F136" s="858">
        <v>1</v>
      </c>
      <c r="G136" s="109"/>
    </row>
    <row r="137" spans="1:7" s="99" customFormat="1" x14ac:dyDescent="0.2">
      <c r="A137" s="857" t="s">
        <v>597</v>
      </c>
      <c r="B137" s="860"/>
      <c r="C137" s="854"/>
      <c r="D137" s="854"/>
      <c r="E137" s="854"/>
      <c r="F137" s="858"/>
      <c r="G137" s="109"/>
    </row>
    <row r="138" spans="1:7" s="99" customFormat="1" x14ac:dyDescent="0.2">
      <c r="A138" s="859" t="s">
        <v>1023</v>
      </c>
      <c r="B138" s="860">
        <v>41562</v>
      </c>
      <c r="C138" s="854">
        <v>619289880</v>
      </c>
      <c r="D138" s="854">
        <v>619289880</v>
      </c>
      <c r="E138" s="854">
        <v>0</v>
      </c>
      <c r="F138" s="858">
        <v>1</v>
      </c>
      <c r="G138" s="109"/>
    </row>
    <row r="139" spans="1:7" s="99" customFormat="1" x14ac:dyDescent="0.2">
      <c r="A139" s="857" t="s">
        <v>52</v>
      </c>
      <c r="B139" s="860"/>
      <c r="C139" s="854"/>
      <c r="D139" s="854"/>
      <c r="E139" s="854"/>
      <c r="F139" s="858"/>
      <c r="G139" s="109"/>
    </row>
    <row r="140" spans="1:7" s="99" customFormat="1" x14ac:dyDescent="0.2">
      <c r="A140" s="859" t="s">
        <v>53</v>
      </c>
      <c r="B140" s="860">
        <v>41459</v>
      </c>
      <c r="C140" s="854">
        <v>13806000</v>
      </c>
      <c r="D140" s="854">
        <v>12439108</v>
      </c>
      <c r="E140" s="854">
        <v>1366892</v>
      </c>
      <c r="F140" s="858">
        <v>0.90099290163696943</v>
      </c>
      <c r="G140" s="109"/>
    </row>
    <row r="141" spans="1:7" s="99" customFormat="1" x14ac:dyDescent="0.2">
      <c r="A141" s="857" t="s">
        <v>598</v>
      </c>
      <c r="B141" s="860"/>
      <c r="C141" s="854"/>
      <c r="D141" s="854"/>
      <c r="E141" s="854"/>
      <c r="F141" s="858"/>
      <c r="G141" s="109"/>
    </row>
    <row r="142" spans="1:7" s="99" customFormat="1" x14ac:dyDescent="0.2">
      <c r="A142" s="859" t="s">
        <v>1024</v>
      </c>
      <c r="B142" s="860">
        <v>41446</v>
      </c>
      <c r="C142" s="854">
        <v>37359000</v>
      </c>
      <c r="D142" s="854">
        <v>37359000</v>
      </c>
      <c r="E142" s="854">
        <v>0</v>
      </c>
      <c r="F142" s="858">
        <v>1</v>
      </c>
      <c r="G142" s="109"/>
    </row>
    <row r="143" spans="1:7" s="99" customFormat="1" x14ac:dyDescent="0.2">
      <c r="A143" s="857" t="s">
        <v>399</v>
      </c>
      <c r="B143" s="860"/>
      <c r="C143" s="854"/>
      <c r="D143" s="854"/>
      <c r="E143" s="854"/>
      <c r="F143" s="858"/>
      <c r="G143" s="109"/>
    </row>
    <row r="144" spans="1:7" s="99" customFormat="1" x14ac:dyDescent="0.2">
      <c r="A144" s="859" t="s">
        <v>424</v>
      </c>
      <c r="B144" s="860">
        <v>41278</v>
      </c>
      <c r="C144" s="854">
        <v>4452000</v>
      </c>
      <c r="D144" s="854">
        <v>4452000</v>
      </c>
      <c r="E144" s="854">
        <v>0</v>
      </c>
      <c r="F144" s="858">
        <v>1</v>
      </c>
      <c r="G144" s="109"/>
    </row>
    <row r="145" spans="1:7" s="99" customFormat="1" x14ac:dyDescent="0.2">
      <c r="A145" s="857" t="s">
        <v>42</v>
      </c>
      <c r="B145" s="860"/>
      <c r="C145" s="854"/>
      <c r="D145" s="854"/>
      <c r="E145" s="854"/>
      <c r="F145" s="858"/>
      <c r="G145" s="109"/>
    </row>
    <row r="146" spans="1:7" s="99" customFormat="1" x14ac:dyDescent="0.2">
      <c r="A146" s="859" t="s">
        <v>43</v>
      </c>
      <c r="B146" s="860">
        <v>41452</v>
      </c>
      <c r="C146" s="854">
        <v>28420000</v>
      </c>
      <c r="D146" s="854">
        <v>28379400</v>
      </c>
      <c r="E146" s="854">
        <v>40600</v>
      </c>
      <c r="F146" s="858">
        <v>0.99857142857142855</v>
      </c>
      <c r="G146" s="109"/>
    </row>
    <row r="147" spans="1:7" s="99" customFormat="1" x14ac:dyDescent="0.2">
      <c r="A147" s="857" t="s">
        <v>67</v>
      </c>
      <c r="B147" s="860"/>
      <c r="C147" s="854"/>
      <c r="D147" s="854"/>
      <c r="E147" s="854"/>
      <c r="F147" s="858"/>
      <c r="G147" s="109"/>
    </row>
    <row r="148" spans="1:7" s="99" customFormat="1" x14ac:dyDescent="0.2">
      <c r="A148" s="859" t="s">
        <v>68</v>
      </c>
      <c r="B148" s="860">
        <v>41322</v>
      </c>
      <c r="C148" s="854">
        <v>58300000</v>
      </c>
      <c r="D148" s="854">
        <v>58300000</v>
      </c>
      <c r="E148" s="854">
        <v>0</v>
      </c>
      <c r="F148" s="858">
        <v>1</v>
      </c>
      <c r="G148" s="109"/>
    </row>
    <row r="149" spans="1:7" s="99" customFormat="1" x14ac:dyDescent="0.2">
      <c r="A149" s="857" t="s">
        <v>74</v>
      </c>
      <c r="B149" s="860"/>
      <c r="C149" s="854"/>
      <c r="D149" s="854"/>
      <c r="E149" s="854"/>
      <c r="F149" s="858"/>
      <c r="G149" s="109"/>
    </row>
    <row r="150" spans="1:7" s="99" customFormat="1" x14ac:dyDescent="0.2">
      <c r="A150" s="859" t="s">
        <v>75</v>
      </c>
      <c r="B150" s="860">
        <v>41593</v>
      </c>
      <c r="C150" s="854">
        <v>411000000</v>
      </c>
      <c r="D150" s="854">
        <v>411000000</v>
      </c>
      <c r="E150" s="854">
        <v>0</v>
      </c>
      <c r="F150" s="858">
        <v>1</v>
      </c>
      <c r="G150" s="109"/>
    </row>
    <row r="151" spans="1:7" s="99" customFormat="1" x14ac:dyDescent="0.2">
      <c r="A151" s="857" t="s">
        <v>54</v>
      </c>
      <c r="B151" s="860"/>
      <c r="C151" s="854"/>
      <c r="D151" s="854"/>
      <c r="E151" s="854"/>
      <c r="F151" s="858"/>
      <c r="G151" s="109"/>
    </row>
    <row r="152" spans="1:7" s="99" customFormat="1" x14ac:dyDescent="0.2">
      <c r="A152" s="859" t="s">
        <v>55</v>
      </c>
      <c r="B152" s="860">
        <v>41575</v>
      </c>
      <c r="C152" s="854">
        <v>10032000</v>
      </c>
      <c r="D152" s="854">
        <v>9339930</v>
      </c>
      <c r="E152" s="854">
        <v>692070</v>
      </c>
      <c r="F152" s="858">
        <v>0.93101375598086122</v>
      </c>
      <c r="G152" s="109"/>
    </row>
    <row r="153" spans="1:7" s="99" customFormat="1" x14ac:dyDescent="0.2">
      <c r="A153" s="857" t="s">
        <v>11</v>
      </c>
      <c r="B153" s="860"/>
      <c r="C153" s="854"/>
      <c r="D153" s="854"/>
      <c r="E153" s="854"/>
      <c r="F153" s="858"/>
      <c r="G153" s="109"/>
    </row>
    <row r="154" spans="1:7" s="99" customFormat="1" x14ac:dyDescent="0.2">
      <c r="A154" s="859" t="s">
        <v>12</v>
      </c>
      <c r="B154" s="860">
        <v>41711</v>
      </c>
      <c r="C154" s="854">
        <v>1918200</v>
      </c>
      <c r="D154" s="854">
        <v>1755170</v>
      </c>
      <c r="E154" s="854">
        <v>163030</v>
      </c>
      <c r="F154" s="858">
        <v>0.91500886247523716</v>
      </c>
      <c r="G154" s="109"/>
    </row>
    <row r="155" spans="1:7" s="99" customFormat="1" x14ac:dyDescent="0.2">
      <c r="A155" s="857" t="s">
        <v>4</v>
      </c>
      <c r="B155" s="860"/>
      <c r="C155" s="854"/>
      <c r="D155" s="854"/>
      <c r="E155" s="854"/>
      <c r="F155" s="858"/>
      <c r="G155" s="109"/>
    </row>
    <row r="156" spans="1:7" s="99" customFormat="1" x14ac:dyDescent="0.2">
      <c r="A156" s="859" t="s">
        <v>1027</v>
      </c>
      <c r="B156" s="860">
        <v>41608</v>
      </c>
      <c r="C156" s="854">
        <v>79213111</v>
      </c>
      <c r="D156" s="854">
        <v>65129800</v>
      </c>
      <c r="E156" s="854">
        <v>14083311</v>
      </c>
      <c r="F156" s="858">
        <v>0.82220984856913393</v>
      </c>
      <c r="G156" s="109"/>
    </row>
    <row r="157" spans="1:7" s="99" customFormat="1" x14ac:dyDescent="0.2">
      <c r="A157" s="857" t="s">
        <v>71</v>
      </c>
      <c r="B157" s="860"/>
      <c r="C157" s="854"/>
      <c r="D157" s="854"/>
      <c r="E157" s="854"/>
      <c r="F157" s="858"/>
      <c r="G157" s="109"/>
    </row>
    <row r="158" spans="1:7" s="99" customFormat="1" x14ac:dyDescent="0.2">
      <c r="A158" s="859" t="s">
        <v>1028</v>
      </c>
      <c r="B158" s="860">
        <v>41505</v>
      </c>
      <c r="C158" s="854">
        <v>75246412</v>
      </c>
      <c r="D158" s="854">
        <v>75232704</v>
      </c>
      <c r="E158" s="854">
        <v>13708</v>
      </c>
      <c r="F158" s="858">
        <v>0.99981782520075513</v>
      </c>
      <c r="G158" s="109"/>
    </row>
    <row r="159" spans="1:7" s="99" customFormat="1" x14ac:dyDescent="0.2">
      <c r="A159" s="857" t="s">
        <v>45</v>
      </c>
      <c r="B159" s="860"/>
      <c r="C159" s="854"/>
      <c r="D159" s="854"/>
      <c r="E159" s="854"/>
      <c r="F159" s="858"/>
      <c r="G159" s="109"/>
    </row>
    <row r="160" spans="1:7" s="99" customFormat="1" x14ac:dyDescent="0.2">
      <c r="A160" s="859" t="s">
        <v>46</v>
      </c>
      <c r="B160" s="860">
        <v>42052</v>
      </c>
      <c r="C160" s="854">
        <v>1062500</v>
      </c>
      <c r="D160" s="854">
        <v>1062500</v>
      </c>
      <c r="E160" s="854">
        <v>0</v>
      </c>
      <c r="F160" s="858">
        <v>1</v>
      </c>
      <c r="G160" s="109"/>
    </row>
    <row r="161" spans="1:7" s="99" customFormat="1" x14ac:dyDescent="0.2">
      <c r="A161" s="857" t="s">
        <v>25</v>
      </c>
      <c r="B161" s="860"/>
      <c r="C161" s="854"/>
      <c r="D161" s="854"/>
      <c r="E161" s="854"/>
      <c r="F161" s="858"/>
      <c r="G161" s="109"/>
    </row>
    <row r="162" spans="1:7" s="99" customFormat="1" x14ac:dyDescent="0.2">
      <c r="A162" s="859" t="s">
        <v>26</v>
      </c>
      <c r="B162" s="860">
        <v>41736</v>
      </c>
      <c r="C162" s="854">
        <v>115663600</v>
      </c>
      <c r="D162" s="854">
        <v>115663040</v>
      </c>
      <c r="E162" s="854">
        <v>560</v>
      </c>
      <c r="F162" s="858">
        <v>0.99999515837307507</v>
      </c>
      <c r="G162" s="109"/>
    </row>
    <row r="163" spans="1:7" s="99" customFormat="1" x14ac:dyDescent="0.2">
      <c r="A163" s="857" t="s">
        <v>116</v>
      </c>
      <c r="B163" s="860"/>
      <c r="C163" s="854"/>
      <c r="D163" s="854"/>
      <c r="E163" s="854"/>
      <c r="F163" s="858"/>
      <c r="G163" s="109"/>
    </row>
    <row r="164" spans="1:7" s="99" customFormat="1" x14ac:dyDescent="0.2">
      <c r="A164" s="859" t="s">
        <v>418</v>
      </c>
      <c r="B164" s="860">
        <v>41442</v>
      </c>
      <c r="C164" s="854">
        <v>36990000</v>
      </c>
      <c r="D164" s="854">
        <v>36990000</v>
      </c>
      <c r="E164" s="854">
        <v>0</v>
      </c>
      <c r="F164" s="858">
        <v>1</v>
      </c>
      <c r="G164" s="109"/>
    </row>
    <row r="165" spans="1:7" s="99" customFormat="1" x14ac:dyDescent="0.2">
      <c r="A165" s="857" t="s">
        <v>122</v>
      </c>
      <c r="B165" s="860"/>
      <c r="C165" s="854"/>
      <c r="D165" s="854"/>
      <c r="E165" s="854"/>
      <c r="F165" s="858"/>
      <c r="G165" s="109"/>
    </row>
    <row r="166" spans="1:7" s="99" customFormat="1" x14ac:dyDescent="0.2">
      <c r="A166" s="859" t="s">
        <v>244</v>
      </c>
      <c r="B166" s="860">
        <v>41680</v>
      </c>
      <c r="C166" s="854">
        <v>85314724</v>
      </c>
      <c r="D166" s="854">
        <v>85314724</v>
      </c>
      <c r="E166" s="854">
        <v>0</v>
      </c>
      <c r="F166" s="858">
        <v>1</v>
      </c>
      <c r="G166" s="109"/>
    </row>
    <row r="167" spans="1:7" s="99" customFormat="1" x14ac:dyDescent="0.2">
      <c r="A167" s="857" t="s">
        <v>182</v>
      </c>
      <c r="B167" s="860"/>
      <c r="C167" s="854"/>
      <c r="D167" s="854"/>
      <c r="E167" s="854"/>
      <c r="F167" s="858"/>
      <c r="G167" s="109"/>
    </row>
    <row r="168" spans="1:7" s="99" customFormat="1" x14ac:dyDescent="0.2">
      <c r="A168" s="859" t="s">
        <v>152</v>
      </c>
      <c r="B168" s="860">
        <v>41336</v>
      </c>
      <c r="C168" s="854">
        <v>507000000</v>
      </c>
      <c r="D168" s="854">
        <v>471070424</v>
      </c>
      <c r="E168" s="854">
        <v>35929576</v>
      </c>
      <c r="F168" s="858">
        <v>0.92913298619329387</v>
      </c>
      <c r="G168" s="109"/>
    </row>
    <row r="169" spans="1:7" s="99" customFormat="1" x14ac:dyDescent="0.2">
      <c r="A169" s="857" t="s">
        <v>78</v>
      </c>
      <c r="B169" s="860"/>
      <c r="C169" s="854"/>
      <c r="D169" s="854"/>
      <c r="E169" s="854"/>
      <c r="F169" s="858"/>
      <c r="G169" s="109"/>
    </row>
    <row r="170" spans="1:7" s="99" customFormat="1" x14ac:dyDescent="0.2">
      <c r="A170" s="859" t="s">
        <v>79</v>
      </c>
      <c r="B170" s="860">
        <v>41683</v>
      </c>
      <c r="C170" s="854">
        <v>123000000</v>
      </c>
      <c r="D170" s="854">
        <v>123000000</v>
      </c>
      <c r="E170" s="854">
        <v>0</v>
      </c>
      <c r="F170" s="858">
        <v>1</v>
      </c>
      <c r="G170" s="109"/>
    </row>
    <row r="171" spans="1:7" s="99" customFormat="1" x14ac:dyDescent="0.2">
      <c r="A171" s="857" t="s">
        <v>80</v>
      </c>
      <c r="B171" s="860"/>
      <c r="C171" s="854"/>
      <c r="D171" s="854"/>
      <c r="E171" s="854"/>
      <c r="F171" s="858"/>
      <c r="G171" s="109"/>
    </row>
    <row r="172" spans="1:7" s="99" customFormat="1" x14ac:dyDescent="0.2">
      <c r="A172" s="859" t="s">
        <v>81</v>
      </c>
      <c r="B172" s="860">
        <v>41711</v>
      </c>
      <c r="C172" s="854">
        <v>1113600</v>
      </c>
      <c r="D172" s="854">
        <v>1113600</v>
      </c>
      <c r="E172" s="854">
        <v>0</v>
      </c>
      <c r="F172" s="858">
        <v>1</v>
      </c>
      <c r="G172" s="109"/>
    </row>
    <row r="173" spans="1:7" s="99" customFormat="1" x14ac:dyDescent="0.2">
      <c r="A173" s="857" t="s">
        <v>82</v>
      </c>
      <c r="B173" s="860"/>
      <c r="C173" s="854"/>
      <c r="D173" s="854"/>
      <c r="E173" s="854"/>
      <c r="F173" s="858"/>
      <c r="G173" s="109"/>
    </row>
    <row r="174" spans="1:7" s="99" customFormat="1" x14ac:dyDescent="0.2">
      <c r="A174" s="859" t="s">
        <v>1029</v>
      </c>
      <c r="B174" s="860">
        <v>41652</v>
      </c>
      <c r="C174" s="854">
        <v>4967474</v>
      </c>
      <c r="D174" s="854">
        <v>4453683</v>
      </c>
      <c r="E174" s="854">
        <v>513791</v>
      </c>
      <c r="F174" s="858">
        <v>0.89656896040120193</v>
      </c>
      <c r="G174" s="109"/>
    </row>
    <row r="175" spans="1:7" s="99" customFormat="1" x14ac:dyDescent="0.2">
      <c r="A175" s="857" t="s">
        <v>83</v>
      </c>
      <c r="B175" s="860"/>
      <c r="C175" s="854"/>
      <c r="D175" s="854"/>
      <c r="E175" s="854"/>
      <c r="F175" s="858"/>
      <c r="G175" s="109"/>
    </row>
    <row r="176" spans="1:7" s="99" customFormat="1" x14ac:dyDescent="0.2">
      <c r="A176" s="859" t="s">
        <v>84</v>
      </c>
      <c r="B176" s="860">
        <v>41731</v>
      </c>
      <c r="C176" s="854">
        <v>15913500</v>
      </c>
      <c r="D176" s="854">
        <v>15453868</v>
      </c>
      <c r="E176" s="854">
        <v>459632</v>
      </c>
      <c r="F176" s="858">
        <v>0.971116850472869</v>
      </c>
      <c r="G176" s="109"/>
    </row>
    <row r="177" spans="1:7" s="99" customFormat="1" x14ac:dyDescent="0.2">
      <c r="A177" s="857" t="s">
        <v>85</v>
      </c>
      <c r="B177" s="860"/>
      <c r="C177" s="854"/>
      <c r="D177" s="854"/>
      <c r="E177" s="854"/>
      <c r="F177" s="858"/>
      <c r="G177" s="109"/>
    </row>
    <row r="178" spans="1:7" s="99" customFormat="1" x14ac:dyDescent="0.2">
      <c r="A178" s="859" t="s">
        <v>86</v>
      </c>
      <c r="B178" s="860">
        <v>41716</v>
      </c>
      <c r="C178" s="854">
        <v>1197000</v>
      </c>
      <c r="D178" s="854">
        <v>1197000</v>
      </c>
      <c r="E178" s="854">
        <v>0</v>
      </c>
      <c r="F178" s="858">
        <v>1</v>
      </c>
      <c r="G178" s="109"/>
    </row>
    <row r="179" spans="1:7" s="99" customFormat="1" x14ac:dyDescent="0.2">
      <c r="A179" s="857" t="s">
        <v>87</v>
      </c>
      <c r="B179" s="860"/>
      <c r="C179" s="854"/>
      <c r="D179" s="854"/>
      <c r="E179" s="854"/>
      <c r="F179" s="858"/>
      <c r="G179" s="109"/>
    </row>
    <row r="180" spans="1:7" s="99" customFormat="1" x14ac:dyDescent="0.2">
      <c r="A180" s="859" t="s">
        <v>435</v>
      </c>
      <c r="B180" s="860">
        <v>41764</v>
      </c>
      <c r="C180" s="854">
        <v>8360000</v>
      </c>
      <c r="D180" s="854">
        <v>7018000</v>
      </c>
      <c r="E180" s="854">
        <v>1342000</v>
      </c>
      <c r="F180" s="858">
        <v>0.83947368421052626</v>
      </c>
      <c r="G180" s="109"/>
    </row>
    <row r="181" spans="1:7" s="99" customFormat="1" x14ac:dyDescent="0.2">
      <c r="A181" s="857" t="s">
        <v>88</v>
      </c>
      <c r="B181" s="860"/>
      <c r="C181" s="854"/>
      <c r="D181" s="854"/>
      <c r="E181" s="854"/>
      <c r="F181" s="858"/>
      <c r="G181" s="109"/>
    </row>
    <row r="182" spans="1:7" s="99" customFormat="1" x14ac:dyDescent="0.2">
      <c r="A182" s="859" t="s">
        <v>1030</v>
      </c>
      <c r="B182" s="860">
        <v>41545</v>
      </c>
      <c r="C182" s="854">
        <v>3700000</v>
      </c>
      <c r="D182" s="854">
        <v>3700000</v>
      </c>
      <c r="E182" s="854">
        <v>0</v>
      </c>
      <c r="F182" s="858">
        <v>1</v>
      </c>
      <c r="G182" s="109"/>
    </row>
    <row r="183" spans="1:7" s="99" customFormat="1" x14ac:dyDescent="0.2">
      <c r="A183" s="857" t="s">
        <v>91</v>
      </c>
      <c r="B183" s="860"/>
      <c r="C183" s="854"/>
      <c r="D183" s="854"/>
      <c r="E183" s="854"/>
      <c r="F183" s="858"/>
      <c r="G183" s="109"/>
    </row>
    <row r="184" spans="1:7" s="99" customFormat="1" x14ac:dyDescent="0.2">
      <c r="A184" s="859" t="s">
        <v>1031</v>
      </c>
      <c r="B184" s="860">
        <v>41692</v>
      </c>
      <c r="C184" s="854">
        <v>50000000</v>
      </c>
      <c r="D184" s="854">
        <v>50000000</v>
      </c>
      <c r="E184" s="854">
        <v>0</v>
      </c>
      <c r="F184" s="858">
        <v>1</v>
      </c>
      <c r="G184" s="109"/>
    </row>
    <row r="185" spans="1:7" s="99" customFormat="1" x14ac:dyDescent="0.2">
      <c r="A185" s="857" t="s">
        <v>93</v>
      </c>
      <c r="B185" s="860"/>
      <c r="C185" s="854"/>
      <c r="D185" s="854"/>
      <c r="E185" s="854"/>
      <c r="F185" s="858"/>
      <c r="G185" s="109"/>
    </row>
    <row r="186" spans="1:7" s="99" customFormat="1" x14ac:dyDescent="0.2">
      <c r="A186" s="859" t="s">
        <v>1032</v>
      </c>
      <c r="B186" s="860">
        <v>41699</v>
      </c>
      <c r="C186" s="854">
        <v>41600000</v>
      </c>
      <c r="D186" s="854">
        <v>41600000</v>
      </c>
      <c r="E186" s="854">
        <v>0</v>
      </c>
      <c r="F186" s="858">
        <v>1</v>
      </c>
      <c r="G186" s="109"/>
    </row>
    <row r="187" spans="1:7" s="99" customFormat="1" x14ac:dyDescent="0.2">
      <c r="A187" s="857" t="s">
        <v>94</v>
      </c>
      <c r="B187" s="860"/>
      <c r="C187" s="854"/>
      <c r="D187" s="854"/>
      <c r="E187" s="854"/>
      <c r="F187" s="858"/>
      <c r="G187" s="109"/>
    </row>
    <row r="188" spans="1:7" s="99" customFormat="1" x14ac:dyDescent="0.2">
      <c r="A188" s="859" t="s">
        <v>433</v>
      </c>
      <c r="B188" s="860">
        <v>41508</v>
      </c>
      <c r="C188" s="854">
        <v>240000000</v>
      </c>
      <c r="D188" s="854">
        <v>239999964</v>
      </c>
      <c r="E188" s="854">
        <v>36</v>
      </c>
      <c r="F188" s="858">
        <v>0.99999985000000002</v>
      </c>
      <c r="G188" s="109"/>
    </row>
    <row r="189" spans="1:7" s="99" customFormat="1" x14ac:dyDescent="0.2">
      <c r="A189" s="857" t="s">
        <v>95</v>
      </c>
      <c r="B189" s="860"/>
      <c r="C189" s="854"/>
      <c r="D189" s="854"/>
      <c r="E189" s="854"/>
      <c r="F189" s="858"/>
      <c r="G189" s="109"/>
    </row>
    <row r="190" spans="1:7" s="99" customFormat="1" x14ac:dyDescent="0.2">
      <c r="A190" s="859" t="s">
        <v>41</v>
      </c>
      <c r="B190" s="860">
        <v>41890</v>
      </c>
      <c r="C190" s="854">
        <v>67179000</v>
      </c>
      <c r="D190" s="854">
        <v>67115300</v>
      </c>
      <c r="E190" s="854">
        <v>63700</v>
      </c>
      <c r="F190" s="858">
        <v>0.9990517870167761</v>
      </c>
      <c r="G190" s="109"/>
    </row>
    <row r="191" spans="1:7" s="99" customFormat="1" x14ac:dyDescent="0.2">
      <c r="A191" s="857" t="s">
        <v>96</v>
      </c>
      <c r="B191" s="860"/>
      <c r="C191" s="854"/>
      <c r="D191" s="854"/>
      <c r="E191" s="854"/>
      <c r="F191" s="858"/>
      <c r="G191" s="109"/>
    </row>
    <row r="192" spans="1:7" s="99" customFormat="1" x14ac:dyDescent="0.2">
      <c r="A192" s="859" t="s">
        <v>3</v>
      </c>
      <c r="B192" s="860">
        <v>41820</v>
      </c>
      <c r="C192" s="854">
        <v>473134060</v>
      </c>
      <c r="D192" s="854">
        <v>473133510</v>
      </c>
      <c r="E192" s="854">
        <v>550</v>
      </c>
      <c r="F192" s="858">
        <v>0.99999883753877283</v>
      </c>
      <c r="G192" s="109"/>
    </row>
    <row r="193" spans="1:7" s="99" customFormat="1" x14ac:dyDescent="0.2">
      <c r="A193" s="857" t="s">
        <v>97</v>
      </c>
      <c r="B193" s="860"/>
      <c r="C193" s="854"/>
      <c r="D193" s="854"/>
      <c r="E193" s="854"/>
      <c r="F193" s="858"/>
      <c r="G193" s="109"/>
    </row>
    <row r="194" spans="1:7" s="99" customFormat="1" x14ac:dyDescent="0.2">
      <c r="A194" s="859" t="s">
        <v>98</v>
      </c>
      <c r="B194" s="860">
        <v>41692</v>
      </c>
      <c r="C194" s="854">
        <v>2096276</v>
      </c>
      <c r="D194" s="854">
        <v>2086672</v>
      </c>
      <c r="E194" s="854">
        <v>9604</v>
      </c>
      <c r="F194" s="858">
        <v>0.99541854221486104</v>
      </c>
      <c r="G194" s="109"/>
    </row>
    <row r="195" spans="1:7" s="99" customFormat="1" x14ac:dyDescent="0.2">
      <c r="A195" s="857" t="s">
        <v>99</v>
      </c>
      <c r="B195" s="860"/>
      <c r="C195" s="854"/>
      <c r="D195" s="854"/>
      <c r="E195" s="854"/>
      <c r="F195" s="858"/>
      <c r="G195" s="109"/>
    </row>
    <row r="196" spans="1:7" s="99" customFormat="1" x14ac:dyDescent="0.2">
      <c r="A196" s="859" t="s">
        <v>100</v>
      </c>
      <c r="B196" s="860">
        <v>41660</v>
      </c>
      <c r="C196" s="854">
        <v>18744000</v>
      </c>
      <c r="D196" s="854">
        <v>18286734</v>
      </c>
      <c r="E196" s="854">
        <v>457266</v>
      </c>
      <c r="F196" s="858">
        <v>0.9756046734955186</v>
      </c>
      <c r="G196" s="109"/>
    </row>
    <row r="197" spans="1:7" s="99" customFormat="1" x14ac:dyDescent="0.2">
      <c r="A197" s="857" t="s">
        <v>121</v>
      </c>
      <c r="B197" s="860"/>
      <c r="C197" s="854"/>
      <c r="D197" s="854"/>
      <c r="E197" s="854"/>
      <c r="F197" s="858"/>
      <c r="G197" s="109"/>
    </row>
    <row r="198" spans="1:7" s="99" customFormat="1" x14ac:dyDescent="0.2">
      <c r="A198" s="859" t="s">
        <v>15</v>
      </c>
      <c r="B198" s="860">
        <v>41774</v>
      </c>
      <c r="C198" s="854">
        <v>7740000</v>
      </c>
      <c r="D198" s="854">
        <v>7740000</v>
      </c>
      <c r="E198" s="854">
        <v>0</v>
      </c>
      <c r="F198" s="858">
        <v>1</v>
      </c>
      <c r="G198" s="109"/>
    </row>
    <row r="199" spans="1:7" s="99" customFormat="1" x14ac:dyDescent="0.2">
      <c r="A199" s="857" t="s">
        <v>123</v>
      </c>
      <c r="B199" s="860"/>
      <c r="C199" s="854"/>
      <c r="D199" s="854"/>
      <c r="E199" s="854"/>
      <c r="F199" s="858"/>
      <c r="G199" s="109"/>
    </row>
    <row r="200" spans="1:7" s="99" customFormat="1" x14ac:dyDescent="0.2">
      <c r="A200" s="859" t="s">
        <v>124</v>
      </c>
      <c r="B200" s="860">
        <v>41713</v>
      </c>
      <c r="C200" s="854">
        <v>50000000</v>
      </c>
      <c r="D200" s="854">
        <v>27500000</v>
      </c>
      <c r="E200" s="854">
        <v>22500000</v>
      </c>
      <c r="F200" s="858">
        <v>0.55000000000000004</v>
      </c>
      <c r="G200" s="109"/>
    </row>
    <row r="201" spans="1:7" s="99" customFormat="1" x14ac:dyDescent="0.2">
      <c r="A201" s="857" t="s">
        <v>125</v>
      </c>
      <c r="B201" s="860"/>
      <c r="C201" s="854"/>
      <c r="D201" s="854"/>
      <c r="E201" s="854"/>
      <c r="F201" s="858"/>
      <c r="G201" s="109"/>
    </row>
    <row r="202" spans="1:7" s="99" customFormat="1" x14ac:dyDescent="0.2">
      <c r="A202" s="859" t="s">
        <v>126</v>
      </c>
      <c r="B202" s="860">
        <v>41698</v>
      </c>
      <c r="C202" s="854">
        <v>9366000</v>
      </c>
      <c r="D202" s="854">
        <v>7783682</v>
      </c>
      <c r="E202" s="854">
        <v>1582318</v>
      </c>
      <c r="F202" s="858">
        <v>0.83105722827247486</v>
      </c>
      <c r="G202" s="109"/>
    </row>
    <row r="203" spans="1:7" s="99" customFormat="1" x14ac:dyDescent="0.2">
      <c r="A203" s="857" t="s">
        <v>129</v>
      </c>
      <c r="B203" s="860"/>
      <c r="C203" s="854"/>
      <c r="D203" s="854"/>
      <c r="E203" s="854"/>
      <c r="F203" s="858"/>
      <c r="G203" s="109"/>
    </row>
    <row r="204" spans="1:7" s="99" customFormat="1" x14ac:dyDescent="0.2">
      <c r="A204" s="859" t="s">
        <v>1018</v>
      </c>
      <c r="B204" s="860">
        <v>41806</v>
      </c>
      <c r="C204" s="854">
        <v>33120000</v>
      </c>
      <c r="D204" s="854">
        <v>32832950</v>
      </c>
      <c r="E204" s="854">
        <v>287050</v>
      </c>
      <c r="F204" s="858">
        <v>0.99133303140096618</v>
      </c>
      <c r="G204" s="109"/>
    </row>
    <row r="205" spans="1:7" s="99" customFormat="1" x14ac:dyDescent="0.2">
      <c r="A205" s="857" t="s">
        <v>89</v>
      </c>
      <c r="B205" s="860"/>
      <c r="C205" s="854"/>
      <c r="D205" s="854"/>
      <c r="E205" s="854"/>
      <c r="F205" s="858"/>
      <c r="G205" s="109"/>
    </row>
    <row r="206" spans="1:7" s="99" customFormat="1" x14ac:dyDescent="0.2">
      <c r="A206" s="859" t="s">
        <v>90</v>
      </c>
      <c r="B206" s="860">
        <v>41802</v>
      </c>
      <c r="C206" s="854">
        <v>1030000</v>
      </c>
      <c r="D206" s="854">
        <v>1030000</v>
      </c>
      <c r="E206" s="854">
        <v>0</v>
      </c>
      <c r="F206" s="858">
        <v>1</v>
      </c>
      <c r="G206" s="109"/>
    </row>
    <row r="207" spans="1:7" s="99" customFormat="1" x14ac:dyDescent="0.2">
      <c r="A207" s="857" t="s">
        <v>130</v>
      </c>
      <c r="B207" s="860"/>
      <c r="C207" s="854"/>
      <c r="D207" s="854"/>
      <c r="E207" s="854"/>
      <c r="F207" s="858"/>
      <c r="G207" s="109"/>
    </row>
    <row r="208" spans="1:7" s="99" customFormat="1" x14ac:dyDescent="0.2">
      <c r="A208" s="859" t="s">
        <v>1110</v>
      </c>
      <c r="B208" s="860">
        <v>41897</v>
      </c>
      <c r="C208" s="854">
        <v>1552431776</v>
      </c>
      <c r="D208" s="854">
        <v>1552431775</v>
      </c>
      <c r="E208" s="854">
        <v>1</v>
      </c>
      <c r="F208" s="858">
        <v>0.99999999935584927</v>
      </c>
      <c r="G208" s="109"/>
    </row>
    <row r="209" spans="1:7" s="99" customFormat="1" x14ac:dyDescent="0.2">
      <c r="A209" s="857" t="s">
        <v>132</v>
      </c>
      <c r="B209" s="860"/>
      <c r="C209" s="854"/>
      <c r="D209" s="854"/>
      <c r="E209" s="854"/>
      <c r="F209" s="858"/>
      <c r="G209" s="109"/>
    </row>
    <row r="210" spans="1:7" s="99" customFormat="1" x14ac:dyDescent="0.2">
      <c r="A210" s="859" t="s">
        <v>27</v>
      </c>
      <c r="B210" s="860">
        <v>41969</v>
      </c>
      <c r="C210" s="854">
        <v>849000</v>
      </c>
      <c r="D210" s="854">
        <v>849000</v>
      </c>
      <c r="E210" s="854">
        <v>0</v>
      </c>
      <c r="F210" s="858">
        <v>1</v>
      </c>
      <c r="G210" s="109"/>
    </row>
    <row r="211" spans="1:7" s="99" customFormat="1" x14ac:dyDescent="0.2">
      <c r="A211" s="857" t="s">
        <v>133</v>
      </c>
      <c r="B211" s="860"/>
      <c r="C211" s="854"/>
      <c r="D211" s="854"/>
      <c r="E211" s="854"/>
      <c r="F211" s="858"/>
      <c r="G211" s="109"/>
    </row>
    <row r="212" spans="1:7" s="99" customFormat="1" x14ac:dyDescent="0.2">
      <c r="A212" s="859" t="s">
        <v>134</v>
      </c>
      <c r="B212" s="860">
        <v>41823</v>
      </c>
      <c r="C212" s="854">
        <v>15000000</v>
      </c>
      <c r="D212" s="854">
        <v>5368620</v>
      </c>
      <c r="E212" s="854">
        <v>9631380</v>
      </c>
      <c r="F212" s="858">
        <v>0.357908</v>
      </c>
      <c r="G212" s="109"/>
    </row>
    <row r="213" spans="1:7" s="99" customFormat="1" x14ac:dyDescent="0.2">
      <c r="A213" s="857" t="s">
        <v>135</v>
      </c>
      <c r="B213" s="860"/>
      <c r="C213" s="854"/>
      <c r="D213" s="854"/>
      <c r="E213" s="854"/>
      <c r="F213" s="858"/>
      <c r="G213" s="109"/>
    </row>
    <row r="214" spans="1:7" s="99" customFormat="1" x14ac:dyDescent="0.2">
      <c r="A214" s="859" t="s">
        <v>38</v>
      </c>
      <c r="B214" s="860">
        <v>41820</v>
      </c>
      <c r="C214" s="854">
        <v>35904847</v>
      </c>
      <c r="D214" s="854">
        <v>35904845</v>
      </c>
      <c r="E214" s="854">
        <v>2</v>
      </c>
      <c r="F214" s="858">
        <v>0.99999994429721428</v>
      </c>
      <c r="G214" s="109"/>
    </row>
    <row r="215" spans="1:7" s="99" customFormat="1" x14ac:dyDescent="0.2">
      <c r="A215" s="857" t="s">
        <v>136</v>
      </c>
      <c r="B215" s="860"/>
      <c r="C215" s="854"/>
      <c r="D215" s="854"/>
      <c r="E215" s="854"/>
      <c r="F215" s="858"/>
      <c r="G215" s="109"/>
    </row>
    <row r="216" spans="1:7" s="99" customFormat="1" x14ac:dyDescent="0.2">
      <c r="A216" s="859" t="s">
        <v>137</v>
      </c>
      <c r="B216" s="860">
        <v>41660</v>
      </c>
      <c r="C216" s="854">
        <v>40000000</v>
      </c>
      <c r="D216" s="854">
        <v>16667000</v>
      </c>
      <c r="E216" s="854">
        <v>23333000</v>
      </c>
      <c r="F216" s="858">
        <v>0.41667500000000002</v>
      </c>
      <c r="G216" s="109"/>
    </row>
    <row r="217" spans="1:7" s="99" customFormat="1" x14ac:dyDescent="0.2">
      <c r="A217" s="857" t="s">
        <v>202</v>
      </c>
      <c r="B217" s="860"/>
      <c r="C217" s="854"/>
      <c r="D217" s="854"/>
      <c r="E217" s="854"/>
      <c r="F217" s="858"/>
      <c r="G217" s="109"/>
    </row>
    <row r="218" spans="1:7" s="99" customFormat="1" x14ac:dyDescent="0.2">
      <c r="A218" s="859" t="s">
        <v>203</v>
      </c>
      <c r="B218" s="860">
        <v>41578</v>
      </c>
      <c r="C218" s="854">
        <v>4524000</v>
      </c>
      <c r="D218" s="854">
        <v>4524000</v>
      </c>
      <c r="E218" s="854">
        <v>0</v>
      </c>
      <c r="F218" s="858">
        <v>1</v>
      </c>
      <c r="G218" s="109"/>
    </row>
    <row r="219" spans="1:7" s="99" customFormat="1" x14ac:dyDescent="0.2">
      <c r="A219" s="857" t="s">
        <v>138</v>
      </c>
      <c r="B219" s="860"/>
      <c r="C219" s="854"/>
      <c r="D219" s="854"/>
      <c r="E219" s="854"/>
      <c r="F219" s="858"/>
      <c r="G219" s="109"/>
    </row>
    <row r="220" spans="1:7" s="99" customFormat="1" x14ac:dyDescent="0.2">
      <c r="A220" s="859" t="s">
        <v>1033</v>
      </c>
      <c r="B220" s="860">
        <v>41665</v>
      </c>
      <c r="C220" s="854">
        <v>20800000</v>
      </c>
      <c r="D220" s="854">
        <v>20800000</v>
      </c>
      <c r="E220" s="854">
        <v>0</v>
      </c>
      <c r="F220" s="858">
        <v>1</v>
      </c>
      <c r="G220" s="109"/>
    </row>
    <row r="221" spans="1:7" s="99" customFormat="1" x14ac:dyDescent="0.2">
      <c r="A221" s="857" t="s">
        <v>139</v>
      </c>
      <c r="B221" s="860"/>
      <c r="C221" s="854"/>
      <c r="D221" s="854"/>
      <c r="E221" s="854"/>
      <c r="F221" s="858"/>
      <c r="G221" s="109"/>
    </row>
    <row r="222" spans="1:7" s="99" customFormat="1" x14ac:dyDescent="0.2">
      <c r="A222" s="859" t="s">
        <v>140</v>
      </c>
      <c r="B222" s="860">
        <v>41667</v>
      </c>
      <c r="C222" s="854">
        <v>28000000</v>
      </c>
      <c r="D222" s="854">
        <v>28000000</v>
      </c>
      <c r="E222" s="854">
        <v>0</v>
      </c>
      <c r="F222" s="858">
        <v>1</v>
      </c>
      <c r="G222" s="109"/>
    </row>
    <row r="223" spans="1:7" s="99" customFormat="1" x14ac:dyDescent="0.2">
      <c r="A223" s="857" t="s">
        <v>141</v>
      </c>
      <c r="B223" s="860"/>
      <c r="C223" s="854"/>
      <c r="D223" s="854"/>
      <c r="E223" s="854"/>
      <c r="F223" s="858"/>
      <c r="G223" s="109"/>
    </row>
    <row r="224" spans="1:7" s="99" customFormat="1" x14ac:dyDescent="0.2">
      <c r="A224" s="859" t="s">
        <v>142</v>
      </c>
      <c r="B224" s="860">
        <v>41501</v>
      </c>
      <c r="C224" s="854">
        <v>266580829</v>
      </c>
      <c r="D224" s="854">
        <v>266580829</v>
      </c>
      <c r="E224" s="854">
        <v>0</v>
      </c>
      <c r="F224" s="858">
        <v>1</v>
      </c>
      <c r="G224" s="109"/>
    </row>
    <row r="225" spans="1:7" s="99" customFormat="1" x14ac:dyDescent="0.2">
      <c r="A225" s="857" t="s">
        <v>143</v>
      </c>
      <c r="B225" s="860"/>
      <c r="C225" s="854"/>
      <c r="D225" s="854"/>
      <c r="E225" s="854"/>
      <c r="F225" s="858"/>
      <c r="G225" s="109"/>
    </row>
    <row r="226" spans="1:7" s="99" customFormat="1" x14ac:dyDescent="0.2">
      <c r="A226" s="859" t="s">
        <v>144</v>
      </c>
      <c r="B226" s="860">
        <v>41849</v>
      </c>
      <c r="C226" s="854">
        <v>348897514</v>
      </c>
      <c r="D226" s="854">
        <v>348897514</v>
      </c>
      <c r="E226" s="854">
        <v>0</v>
      </c>
      <c r="F226" s="858">
        <v>1</v>
      </c>
      <c r="G226" s="109"/>
    </row>
    <row r="227" spans="1:7" s="99" customFormat="1" x14ac:dyDescent="0.2">
      <c r="A227" s="857" t="s">
        <v>145</v>
      </c>
      <c r="B227" s="860"/>
      <c r="C227" s="854"/>
      <c r="D227" s="854"/>
      <c r="E227" s="854"/>
      <c r="F227" s="858"/>
      <c r="G227" s="109"/>
    </row>
    <row r="228" spans="1:7" s="99" customFormat="1" x14ac:dyDescent="0.2">
      <c r="A228" s="859" t="s">
        <v>43</v>
      </c>
      <c r="B228" s="860">
        <v>41736</v>
      </c>
      <c r="C228" s="854">
        <v>23246000</v>
      </c>
      <c r="D228" s="854">
        <v>19772977</v>
      </c>
      <c r="E228" s="854">
        <v>3473023</v>
      </c>
      <c r="F228" s="858">
        <v>0.85059696291835152</v>
      </c>
      <c r="G228" s="109"/>
    </row>
    <row r="229" spans="1:7" s="99" customFormat="1" x14ac:dyDescent="0.2">
      <c r="A229" s="857" t="s">
        <v>146</v>
      </c>
      <c r="B229" s="860"/>
      <c r="C229" s="854"/>
      <c r="D229" s="854"/>
      <c r="E229" s="854"/>
      <c r="F229" s="858"/>
      <c r="G229" s="109"/>
    </row>
    <row r="230" spans="1:7" s="99" customFormat="1" x14ac:dyDescent="0.2">
      <c r="A230" s="859" t="s">
        <v>1017</v>
      </c>
      <c r="B230" s="860">
        <v>41810</v>
      </c>
      <c r="C230" s="854">
        <v>321573359</v>
      </c>
      <c r="D230" s="854">
        <v>317232018</v>
      </c>
      <c r="E230" s="854">
        <v>4341341</v>
      </c>
      <c r="F230" s="858">
        <v>0.98649968699677015</v>
      </c>
      <c r="G230" s="109"/>
    </row>
    <row r="231" spans="1:7" x14ac:dyDescent="0.2">
      <c r="A231" s="857" t="s">
        <v>147</v>
      </c>
      <c r="B231" s="860"/>
      <c r="C231" s="854"/>
      <c r="D231" s="854"/>
      <c r="E231" s="854"/>
      <c r="F231" s="858"/>
    </row>
    <row r="232" spans="1:7" x14ac:dyDescent="0.2">
      <c r="A232" s="859" t="s">
        <v>148</v>
      </c>
      <c r="B232" s="860">
        <v>41851</v>
      </c>
      <c r="C232" s="854">
        <v>22292691</v>
      </c>
      <c r="D232" s="854">
        <v>22292692</v>
      </c>
      <c r="E232" s="854">
        <v>-1</v>
      </c>
      <c r="F232" s="858">
        <v>1.0000000448577517</v>
      </c>
    </row>
    <row r="233" spans="1:7" x14ac:dyDescent="0.2">
      <c r="A233" s="857" t="s">
        <v>155</v>
      </c>
      <c r="B233" s="860"/>
      <c r="C233" s="854"/>
      <c r="D233" s="854"/>
      <c r="E233" s="854"/>
      <c r="F233" s="858"/>
    </row>
    <row r="234" spans="1:7" x14ac:dyDescent="0.2">
      <c r="A234" s="859" t="s">
        <v>1034</v>
      </c>
      <c r="B234" s="860">
        <v>41671</v>
      </c>
      <c r="C234" s="854">
        <v>23989000</v>
      </c>
      <c r="D234" s="854">
        <v>23989000</v>
      </c>
      <c r="E234" s="854">
        <v>0</v>
      </c>
      <c r="F234" s="858">
        <v>1</v>
      </c>
    </row>
    <row r="235" spans="1:7" x14ac:dyDescent="0.2">
      <c r="A235" s="857" t="s">
        <v>156</v>
      </c>
      <c r="B235" s="860"/>
      <c r="C235" s="854"/>
      <c r="D235" s="854"/>
      <c r="E235" s="854"/>
      <c r="F235" s="858"/>
    </row>
    <row r="236" spans="1:7" x14ac:dyDescent="0.2">
      <c r="A236" s="859" t="s">
        <v>53</v>
      </c>
      <c r="B236" s="860">
        <v>41712</v>
      </c>
      <c r="C236" s="854">
        <v>19576000</v>
      </c>
      <c r="D236" s="854">
        <v>19571370</v>
      </c>
      <c r="E236" s="854">
        <v>4630</v>
      </c>
      <c r="F236" s="858">
        <v>0.99976348590110342</v>
      </c>
    </row>
    <row r="237" spans="1:7" x14ac:dyDescent="0.2">
      <c r="A237" s="857" t="s">
        <v>157</v>
      </c>
      <c r="B237" s="860"/>
      <c r="C237" s="854"/>
      <c r="D237" s="854"/>
      <c r="E237" s="854"/>
      <c r="F237" s="858"/>
    </row>
    <row r="238" spans="1:7" x14ac:dyDescent="0.2">
      <c r="A238" s="859" t="s">
        <v>158</v>
      </c>
      <c r="B238" s="860">
        <v>41562</v>
      </c>
      <c r="C238" s="854">
        <v>6499930</v>
      </c>
      <c r="D238" s="854">
        <v>6499930</v>
      </c>
      <c r="E238" s="854">
        <v>0</v>
      </c>
      <c r="F238" s="858">
        <v>1</v>
      </c>
    </row>
    <row r="239" spans="1:7" x14ac:dyDescent="0.2">
      <c r="A239" s="857" t="s">
        <v>159</v>
      </c>
      <c r="B239" s="860"/>
      <c r="C239" s="854"/>
      <c r="D239" s="854"/>
      <c r="E239" s="854"/>
      <c r="F239" s="858"/>
    </row>
    <row r="240" spans="1:7" x14ac:dyDescent="0.2">
      <c r="A240" s="859" t="s">
        <v>160</v>
      </c>
      <c r="B240" s="860">
        <v>41533</v>
      </c>
      <c r="C240" s="854">
        <v>2367000</v>
      </c>
      <c r="D240" s="854">
        <v>2367000</v>
      </c>
      <c r="E240" s="854">
        <v>0</v>
      </c>
      <c r="F240" s="858">
        <v>1</v>
      </c>
    </row>
    <row r="241" spans="1:6" x14ac:dyDescent="0.2">
      <c r="A241" s="857" t="s">
        <v>164</v>
      </c>
      <c r="B241" s="860"/>
      <c r="C241" s="854"/>
      <c r="D241" s="854"/>
      <c r="E241" s="854"/>
      <c r="F241" s="858"/>
    </row>
    <row r="242" spans="1:6" x14ac:dyDescent="0.2">
      <c r="A242" s="859" t="s">
        <v>165</v>
      </c>
      <c r="B242" s="860">
        <v>41820</v>
      </c>
      <c r="C242" s="854">
        <v>269441460</v>
      </c>
      <c r="D242" s="854">
        <v>265223666</v>
      </c>
      <c r="E242" s="854">
        <v>4217794</v>
      </c>
      <c r="F242" s="858">
        <v>0.98434615815992088</v>
      </c>
    </row>
    <row r="243" spans="1:6" x14ac:dyDescent="0.2">
      <c r="A243" s="857" t="s">
        <v>190</v>
      </c>
      <c r="B243" s="860"/>
      <c r="C243" s="854"/>
      <c r="D243" s="854"/>
      <c r="E243" s="854"/>
      <c r="F243" s="858"/>
    </row>
    <row r="244" spans="1:6" x14ac:dyDescent="0.2">
      <c r="A244" s="859" t="s">
        <v>29</v>
      </c>
      <c r="B244" s="860">
        <v>41895</v>
      </c>
      <c r="C244" s="854">
        <v>840000</v>
      </c>
      <c r="D244" s="854">
        <v>840000</v>
      </c>
      <c r="E244" s="854">
        <v>0</v>
      </c>
      <c r="F244" s="858">
        <v>1</v>
      </c>
    </row>
    <row r="245" spans="1:6" x14ac:dyDescent="0.2">
      <c r="A245" s="857" t="s">
        <v>166</v>
      </c>
      <c r="B245" s="860"/>
      <c r="C245" s="854"/>
      <c r="D245" s="854"/>
      <c r="E245" s="854"/>
      <c r="F245" s="858"/>
    </row>
    <row r="246" spans="1:6" x14ac:dyDescent="0.2">
      <c r="A246" s="859" t="s">
        <v>1024</v>
      </c>
      <c r="B246" s="860">
        <v>41714</v>
      </c>
      <c r="C246" s="854">
        <v>38271000</v>
      </c>
      <c r="D246" s="854">
        <v>38271000</v>
      </c>
      <c r="E246" s="854">
        <v>0</v>
      </c>
      <c r="F246" s="858">
        <v>1</v>
      </c>
    </row>
    <row r="247" spans="1:6" x14ac:dyDescent="0.2">
      <c r="A247" s="857" t="s">
        <v>175</v>
      </c>
      <c r="B247" s="860"/>
      <c r="C247" s="854"/>
      <c r="D247" s="854"/>
      <c r="E247" s="854"/>
      <c r="F247" s="858"/>
    </row>
    <row r="248" spans="1:6" x14ac:dyDescent="0.2">
      <c r="A248" s="859" t="s">
        <v>176</v>
      </c>
      <c r="B248" s="860">
        <v>42082</v>
      </c>
      <c r="C248" s="854">
        <v>4001000</v>
      </c>
      <c r="D248" s="854">
        <v>4001000</v>
      </c>
      <c r="E248" s="854">
        <v>0</v>
      </c>
      <c r="F248" s="858">
        <v>1</v>
      </c>
    </row>
    <row r="249" spans="1:6" x14ac:dyDescent="0.2">
      <c r="A249" s="857" t="s">
        <v>197</v>
      </c>
      <c r="B249" s="860"/>
      <c r="C249" s="854"/>
      <c r="D249" s="854"/>
      <c r="E249" s="854"/>
      <c r="F249" s="858"/>
    </row>
    <row r="250" spans="1:6" x14ac:dyDescent="0.2">
      <c r="A250" s="859" t="s">
        <v>198</v>
      </c>
      <c r="B250" s="860">
        <v>41790</v>
      </c>
      <c r="C250" s="854">
        <v>10222000</v>
      </c>
      <c r="D250" s="854">
        <v>10208006</v>
      </c>
      <c r="E250" s="854">
        <v>13994</v>
      </c>
      <c r="F250" s="858">
        <v>0.99863099197808647</v>
      </c>
    </row>
    <row r="251" spans="1:6" x14ac:dyDescent="0.2">
      <c r="A251" s="857" t="s">
        <v>167</v>
      </c>
      <c r="B251" s="860"/>
      <c r="C251" s="854"/>
      <c r="D251" s="854"/>
      <c r="E251" s="854"/>
      <c r="F251" s="858"/>
    </row>
    <row r="252" spans="1:6" x14ac:dyDescent="0.2">
      <c r="A252" s="859" t="s">
        <v>1514</v>
      </c>
      <c r="B252" s="860">
        <v>41691</v>
      </c>
      <c r="C252" s="854">
        <v>23989000</v>
      </c>
      <c r="D252" s="854">
        <v>23989000</v>
      </c>
      <c r="E252" s="854">
        <v>0</v>
      </c>
      <c r="F252" s="858">
        <v>1</v>
      </c>
    </row>
    <row r="253" spans="1:6" x14ac:dyDescent="0.2">
      <c r="A253" s="857" t="s">
        <v>178</v>
      </c>
      <c r="B253" s="860"/>
      <c r="C253" s="854"/>
      <c r="D253" s="854"/>
      <c r="E253" s="854"/>
      <c r="F253" s="858"/>
    </row>
    <row r="254" spans="1:6" x14ac:dyDescent="0.2">
      <c r="A254" s="859" t="s">
        <v>33</v>
      </c>
      <c r="B254" s="860">
        <v>41911</v>
      </c>
      <c r="C254" s="854">
        <v>795000</v>
      </c>
      <c r="D254" s="854">
        <v>795000</v>
      </c>
      <c r="E254" s="854">
        <v>0</v>
      </c>
      <c r="F254" s="858">
        <v>1</v>
      </c>
    </row>
    <row r="255" spans="1:6" x14ac:dyDescent="0.2">
      <c r="A255" s="857" t="s">
        <v>189</v>
      </c>
      <c r="B255" s="860"/>
      <c r="C255" s="854"/>
      <c r="D255" s="854"/>
      <c r="E255" s="854"/>
      <c r="F255" s="858"/>
    </row>
    <row r="256" spans="1:6" x14ac:dyDescent="0.2">
      <c r="A256" s="859" t="s">
        <v>13</v>
      </c>
      <c r="B256" s="860">
        <v>41892</v>
      </c>
      <c r="C256" s="854">
        <v>936000</v>
      </c>
      <c r="D256" s="854">
        <v>936000</v>
      </c>
      <c r="E256" s="854">
        <v>0</v>
      </c>
      <c r="F256" s="858">
        <v>1</v>
      </c>
    </row>
    <row r="257" spans="1:6" x14ac:dyDescent="0.2">
      <c r="A257" s="857" t="s">
        <v>168</v>
      </c>
      <c r="B257" s="860"/>
      <c r="C257" s="854"/>
      <c r="D257" s="854"/>
      <c r="E257" s="854"/>
      <c r="F257" s="858"/>
    </row>
    <row r="258" spans="1:6" x14ac:dyDescent="0.2">
      <c r="A258" s="859" t="s">
        <v>169</v>
      </c>
      <c r="B258" s="860">
        <v>41858</v>
      </c>
      <c r="C258" s="854">
        <v>3847300</v>
      </c>
      <c r="D258" s="854">
        <v>3847300</v>
      </c>
      <c r="E258" s="854">
        <v>0</v>
      </c>
      <c r="F258" s="858">
        <v>1</v>
      </c>
    </row>
    <row r="259" spans="1:6" x14ac:dyDescent="0.2">
      <c r="A259" s="857" t="s">
        <v>172</v>
      </c>
      <c r="B259" s="860"/>
      <c r="C259" s="854"/>
      <c r="D259" s="854"/>
      <c r="E259" s="854"/>
      <c r="F259" s="858"/>
    </row>
    <row r="260" spans="1:6" x14ac:dyDescent="0.2">
      <c r="A260" s="859" t="s">
        <v>152</v>
      </c>
      <c r="B260" s="860">
        <v>41864</v>
      </c>
      <c r="C260" s="854">
        <v>60693200</v>
      </c>
      <c r="D260" s="854">
        <v>59391828</v>
      </c>
      <c r="E260" s="854">
        <v>1301372</v>
      </c>
      <c r="F260" s="858">
        <v>0.97855819103293284</v>
      </c>
    </row>
    <row r="261" spans="1:6" x14ac:dyDescent="0.2">
      <c r="A261" s="857" t="s">
        <v>173</v>
      </c>
      <c r="B261" s="860"/>
      <c r="C261" s="854"/>
      <c r="D261" s="854"/>
      <c r="E261" s="854"/>
      <c r="F261" s="858"/>
    </row>
    <row r="262" spans="1:6" x14ac:dyDescent="0.2">
      <c r="A262" s="859" t="s">
        <v>174</v>
      </c>
      <c r="B262" s="860">
        <v>41876</v>
      </c>
      <c r="C262" s="854">
        <v>4393120</v>
      </c>
      <c r="D262" s="854">
        <v>2578000</v>
      </c>
      <c r="E262" s="854">
        <v>1815120</v>
      </c>
      <c r="F262" s="858">
        <v>0.58682667443639147</v>
      </c>
    </row>
    <row r="263" spans="1:6" x14ac:dyDescent="0.2">
      <c r="A263" s="857" t="s">
        <v>187</v>
      </c>
      <c r="B263" s="860"/>
      <c r="C263" s="854"/>
      <c r="D263" s="854"/>
      <c r="E263" s="854"/>
      <c r="F263" s="858"/>
    </row>
    <row r="264" spans="1:6" x14ac:dyDescent="0.2">
      <c r="A264" s="859" t="s">
        <v>188</v>
      </c>
      <c r="B264" s="860">
        <v>42099</v>
      </c>
      <c r="C264" s="854">
        <v>25204000</v>
      </c>
      <c r="D264" s="854">
        <v>25201450</v>
      </c>
      <c r="E264" s="854">
        <v>2550</v>
      </c>
      <c r="F264" s="858">
        <v>0.99989882558324072</v>
      </c>
    </row>
    <row r="265" spans="1:6" x14ac:dyDescent="0.2">
      <c r="A265" s="857" t="s">
        <v>183</v>
      </c>
      <c r="B265" s="860"/>
      <c r="C265" s="854"/>
      <c r="D265" s="854"/>
      <c r="E265" s="854"/>
      <c r="F265" s="858"/>
    </row>
    <row r="266" spans="1:6" x14ac:dyDescent="0.2">
      <c r="A266" s="859" t="s">
        <v>184</v>
      </c>
      <c r="B266" s="860">
        <v>42055</v>
      </c>
      <c r="C266" s="854">
        <v>130384697</v>
      </c>
      <c r="D266" s="854">
        <v>96359635</v>
      </c>
      <c r="E266" s="854">
        <v>34025062</v>
      </c>
      <c r="F266" s="858">
        <v>0.7390409857684449</v>
      </c>
    </row>
    <row r="267" spans="1:6" x14ac:dyDescent="0.2">
      <c r="A267" s="857" t="s">
        <v>185</v>
      </c>
      <c r="B267" s="860"/>
      <c r="C267" s="854"/>
      <c r="D267" s="854"/>
      <c r="E267" s="854"/>
      <c r="F267" s="858"/>
    </row>
    <row r="268" spans="1:6" x14ac:dyDescent="0.2">
      <c r="A268" s="859" t="s">
        <v>186</v>
      </c>
      <c r="B268" s="860">
        <v>41897</v>
      </c>
      <c r="C268" s="854">
        <v>45056000</v>
      </c>
      <c r="D268" s="854">
        <v>25056000</v>
      </c>
      <c r="E268" s="854">
        <v>20000000</v>
      </c>
      <c r="F268" s="858">
        <v>0.55610795454545459</v>
      </c>
    </row>
    <row r="269" spans="1:6" x14ac:dyDescent="0.2">
      <c r="A269" s="857" t="s">
        <v>195</v>
      </c>
      <c r="B269" s="860"/>
      <c r="C269" s="854"/>
      <c r="D269" s="854"/>
      <c r="E269" s="854"/>
      <c r="F269" s="858"/>
    </row>
    <row r="270" spans="1:6" x14ac:dyDescent="0.2">
      <c r="A270" s="859" t="s">
        <v>1036</v>
      </c>
      <c r="B270" s="860">
        <v>41782</v>
      </c>
      <c r="C270" s="854">
        <v>114225288</v>
      </c>
      <c r="D270" s="854">
        <v>114217068</v>
      </c>
      <c r="E270" s="854">
        <v>8220</v>
      </c>
      <c r="F270" s="858">
        <v>0.99992803695097709</v>
      </c>
    </row>
    <row r="271" spans="1:6" x14ac:dyDescent="0.2">
      <c r="A271" s="857" t="s">
        <v>191</v>
      </c>
      <c r="B271" s="860"/>
      <c r="C271" s="854"/>
      <c r="D271" s="854"/>
      <c r="E271" s="854"/>
      <c r="F271" s="858"/>
    </row>
    <row r="272" spans="1:6" x14ac:dyDescent="0.2">
      <c r="A272" s="859" t="s">
        <v>192</v>
      </c>
      <c r="B272" s="860">
        <v>41615</v>
      </c>
      <c r="C272" s="854">
        <v>4715000</v>
      </c>
      <c r="D272" s="854">
        <v>4715000</v>
      </c>
      <c r="E272" s="854">
        <v>0</v>
      </c>
      <c r="F272" s="858">
        <v>1</v>
      </c>
    </row>
    <row r="273" spans="1:6" x14ac:dyDescent="0.2">
      <c r="A273" s="857" t="s">
        <v>199</v>
      </c>
      <c r="B273" s="860"/>
      <c r="C273" s="854"/>
      <c r="D273" s="854"/>
      <c r="E273" s="854"/>
      <c r="F273" s="858"/>
    </row>
    <row r="274" spans="1:6" x14ac:dyDescent="0.2">
      <c r="A274" s="859" t="s">
        <v>1037</v>
      </c>
      <c r="B274" s="860">
        <v>41890</v>
      </c>
      <c r="C274" s="854">
        <v>457000000</v>
      </c>
      <c r="D274" s="854">
        <v>416287285</v>
      </c>
      <c r="E274" s="854">
        <v>40712715</v>
      </c>
      <c r="F274" s="858">
        <v>0.91091309628008754</v>
      </c>
    </row>
    <row r="275" spans="1:6" x14ac:dyDescent="0.2">
      <c r="A275" s="857" t="s">
        <v>177</v>
      </c>
      <c r="B275" s="860"/>
      <c r="C275" s="854"/>
      <c r="D275" s="854"/>
      <c r="E275" s="854"/>
      <c r="F275" s="858"/>
    </row>
    <row r="276" spans="1:6" x14ac:dyDescent="0.2">
      <c r="A276" s="859" t="s">
        <v>1038</v>
      </c>
      <c r="B276" s="860">
        <v>41645</v>
      </c>
      <c r="C276" s="854">
        <v>3356320</v>
      </c>
      <c r="D276" s="854">
        <v>3356320</v>
      </c>
      <c r="E276" s="854">
        <v>0</v>
      </c>
      <c r="F276" s="858">
        <v>1</v>
      </c>
    </row>
    <row r="277" spans="1:6" x14ac:dyDescent="0.2">
      <c r="A277" s="857" t="s">
        <v>193</v>
      </c>
      <c r="B277" s="860"/>
      <c r="C277" s="854"/>
      <c r="D277" s="854"/>
      <c r="E277" s="854"/>
      <c r="F277" s="858"/>
    </row>
    <row r="278" spans="1:6" x14ac:dyDescent="0.2">
      <c r="A278" s="859" t="s">
        <v>194</v>
      </c>
      <c r="B278" s="860">
        <v>41935</v>
      </c>
      <c r="C278" s="854">
        <v>19965572</v>
      </c>
      <c r="D278" s="854">
        <v>19965572</v>
      </c>
      <c r="E278" s="854">
        <v>0</v>
      </c>
      <c r="F278" s="858">
        <v>1</v>
      </c>
    </row>
    <row r="279" spans="1:6" x14ac:dyDescent="0.2">
      <c r="A279" s="857" t="s">
        <v>196</v>
      </c>
      <c r="B279" s="860"/>
      <c r="C279" s="854"/>
      <c r="D279" s="854"/>
      <c r="E279" s="854"/>
      <c r="F279" s="858"/>
    </row>
    <row r="280" spans="1:6" x14ac:dyDescent="0.2">
      <c r="A280" s="859" t="s">
        <v>22</v>
      </c>
      <c r="B280" s="860">
        <v>41926</v>
      </c>
      <c r="C280" s="854">
        <v>38280000</v>
      </c>
      <c r="D280" s="854">
        <v>38280000</v>
      </c>
      <c r="E280" s="854">
        <v>0</v>
      </c>
      <c r="F280" s="858">
        <v>1</v>
      </c>
    </row>
    <row r="281" spans="1:6" x14ac:dyDescent="0.2">
      <c r="A281" s="857" t="s">
        <v>200</v>
      </c>
      <c r="B281" s="860"/>
      <c r="C281" s="854"/>
      <c r="D281" s="854"/>
      <c r="E281" s="854"/>
      <c r="F281" s="858"/>
    </row>
    <row r="282" spans="1:6" x14ac:dyDescent="0.2">
      <c r="A282" s="859" t="s">
        <v>201</v>
      </c>
      <c r="B282" s="860">
        <v>41592</v>
      </c>
      <c r="C282" s="854">
        <v>26073552</v>
      </c>
      <c r="D282" s="854">
        <v>26073552</v>
      </c>
      <c r="E282" s="854">
        <v>0</v>
      </c>
      <c r="F282" s="858">
        <v>1</v>
      </c>
    </row>
    <row r="283" spans="1:6" x14ac:dyDescent="0.2">
      <c r="A283" s="857" t="s">
        <v>204</v>
      </c>
      <c r="B283" s="860"/>
      <c r="C283" s="854"/>
      <c r="D283" s="854"/>
      <c r="E283" s="854"/>
      <c r="F283" s="858"/>
    </row>
    <row r="284" spans="1:6" x14ac:dyDescent="0.2">
      <c r="A284" s="859" t="s">
        <v>205</v>
      </c>
      <c r="B284" s="860">
        <v>41692</v>
      </c>
      <c r="C284" s="854">
        <v>17262940</v>
      </c>
      <c r="D284" s="854">
        <v>17262940</v>
      </c>
      <c r="E284" s="854">
        <v>0</v>
      </c>
      <c r="F284" s="858">
        <v>1</v>
      </c>
    </row>
    <row r="285" spans="1:6" x14ac:dyDescent="0.2">
      <c r="A285" s="857" t="s">
        <v>206</v>
      </c>
      <c r="B285" s="860"/>
      <c r="C285" s="854"/>
      <c r="D285" s="854"/>
      <c r="E285" s="854"/>
      <c r="F285" s="858"/>
    </row>
    <row r="286" spans="1:6" x14ac:dyDescent="0.2">
      <c r="A286" s="859" t="s">
        <v>1019</v>
      </c>
      <c r="B286" s="860">
        <v>41939</v>
      </c>
      <c r="C286" s="854">
        <v>810000</v>
      </c>
      <c r="D286" s="854">
        <v>810000</v>
      </c>
      <c r="E286" s="854">
        <v>0</v>
      </c>
      <c r="F286" s="858">
        <v>1</v>
      </c>
    </row>
    <row r="287" spans="1:6" x14ac:dyDescent="0.2">
      <c r="A287" s="857" t="s">
        <v>211</v>
      </c>
      <c r="B287" s="860"/>
      <c r="C287" s="854"/>
      <c r="D287" s="854"/>
      <c r="E287" s="854"/>
      <c r="F287" s="858"/>
    </row>
    <row r="288" spans="1:6" x14ac:dyDescent="0.2">
      <c r="A288" s="859" t="s">
        <v>212</v>
      </c>
      <c r="B288" s="860">
        <v>41650</v>
      </c>
      <c r="C288" s="854">
        <v>5545000</v>
      </c>
      <c r="D288" s="854">
        <v>5545000</v>
      </c>
      <c r="E288" s="854">
        <v>0</v>
      </c>
      <c r="F288" s="858">
        <v>1</v>
      </c>
    </row>
    <row r="289" spans="1:6" x14ac:dyDescent="0.2">
      <c r="A289" s="857" t="s">
        <v>209</v>
      </c>
      <c r="B289" s="860"/>
      <c r="C289" s="854"/>
      <c r="D289" s="854"/>
      <c r="E289" s="854"/>
      <c r="F289" s="858"/>
    </row>
    <row r="290" spans="1:6" x14ac:dyDescent="0.2">
      <c r="A290" s="859" t="s">
        <v>210</v>
      </c>
      <c r="B290" s="860">
        <v>41650</v>
      </c>
      <c r="C290" s="854">
        <v>19360400</v>
      </c>
      <c r="D290" s="854">
        <v>19360400</v>
      </c>
      <c r="E290" s="854">
        <v>0</v>
      </c>
      <c r="F290" s="858">
        <v>1</v>
      </c>
    </row>
    <row r="291" spans="1:6" x14ac:dyDescent="0.2">
      <c r="A291" s="857" t="s">
        <v>207</v>
      </c>
      <c r="B291" s="860"/>
      <c r="C291" s="854"/>
      <c r="D291" s="854"/>
      <c r="E291" s="854"/>
      <c r="F291" s="858"/>
    </row>
    <row r="292" spans="1:6" x14ac:dyDescent="0.2">
      <c r="A292" s="859" t="s">
        <v>208</v>
      </c>
      <c r="B292" s="860">
        <v>41814</v>
      </c>
      <c r="C292" s="854">
        <v>502280800</v>
      </c>
      <c r="D292" s="854">
        <v>502247588</v>
      </c>
      <c r="E292" s="854">
        <v>33212</v>
      </c>
      <c r="F292" s="858">
        <v>0.99993387762383112</v>
      </c>
    </row>
    <row r="293" spans="1:6" x14ac:dyDescent="0.2">
      <c r="A293" s="857" t="s">
        <v>213</v>
      </c>
      <c r="B293" s="860"/>
      <c r="C293" s="854"/>
      <c r="D293" s="854"/>
      <c r="E293" s="854"/>
      <c r="F293" s="858"/>
    </row>
    <row r="294" spans="1:6" x14ac:dyDescent="0.2">
      <c r="A294" s="859" t="s">
        <v>1039</v>
      </c>
      <c r="B294" s="860">
        <v>41975</v>
      </c>
      <c r="C294" s="854">
        <v>692839272</v>
      </c>
      <c r="D294" s="854">
        <v>678164443</v>
      </c>
      <c r="E294" s="854">
        <v>14674829</v>
      </c>
      <c r="F294" s="858">
        <v>0.97881928811910646</v>
      </c>
    </row>
    <row r="295" spans="1:6" x14ac:dyDescent="0.2">
      <c r="A295" s="857" t="s">
        <v>258</v>
      </c>
      <c r="B295" s="860"/>
      <c r="C295" s="854"/>
      <c r="D295" s="854"/>
      <c r="E295" s="854"/>
      <c r="F295" s="858"/>
    </row>
    <row r="296" spans="1:6" x14ac:dyDescent="0.2">
      <c r="A296" s="859" t="s">
        <v>259</v>
      </c>
      <c r="B296" s="860">
        <v>42425</v>
      </c>
      <c r="C296" s="854">
        <v>0</v>
      </c>
      <c r="D296" s="854">
        <v>0</v>
      </c>
      <c r="E296" s="854">
        <v>0</v>
      </c>
      <c r="F296" s="858" t="e">
        <v>#DIV/0!</v>
      </c>
    </row>
    <row r="297" spans="1:6" x14ac:dyDescent="0.2">
      <c r="A297" s="857" t="s">
        <v>309</v>
      </c>
      <c r="B297" s="860"/>
      <c r="C297" s="854"/>
      <c r="D297" s="854"/>
      <c r="E297" s="854"/>
      <c r="F297" s="858"/>
    </row>
    <row r="298" spans="1:6" x14ac:dyDescent="0.2">
      <c r="A298" s="859" t="s">
        <v>77</v>
      </c>
      <c r="B298" s="860">
        <v>42321</v>
      </c>
      <c r="C298" s="854">
        <v>398614000</v>
      </c>
      <c r="D298" s="854">
        <v>398614000</v>
      </c>
      <c r="E298" s="854">
        <v>0</v>
      </c>
      <c r="F298" s="858">
        <v>1</v>
      </c>
    </row>
    <row r="299" spans="1:6" x14ac:dyDescent="0.2">
      <c r="A299" s="857" t="s">
        <v>234</v>
      </c>
      <c r="B299" s="860"/>
      <c r="C299" s="854"/>
      <c r="D299" s="854"/>
      <c r="E299" s="854"/>
      <c r="F299" s="858"/>
    </row>
    <row r="300" spans="1:6" x14ac:dyDescent="0.2">
      <c r="A300" s="859" t="s">
        <v>235</v>
      </c>
      <c r="B300" s="860">
        <v>41748</v>
      </c>
      <c r="C300" s="854">
        <v>430036764</v>
      </c>
      <c r="D300" s="854">
        <v>430036600</v>
      </c>
      <c r="E300" s="854">
        <v>164</v>
      </c>
      <c r="F300" s="858">
        <v>0.99999961863725684</v>
      </c>
    </row>
    <row r="301" spans="1:6" x14ac:dyDescent="0.2">
      <c r="A301" s="857" t="s">
        <v>214</v>
      </c>
      <c r="B301" s="860"/>
      <c r="C301" s="854"/>
      <c r="D301" s="854"/>
      <c r="E301" s="854"/>
      <c r="F301" s="858"/>
    </row>
    <row r="302" spans="1:6" x14ac:dyDescent="0.2">
      <c r="A302" s="859" t="s">
        <v>31</v>
      </c>
      <c r="B302" s="860">
        <v>41681</v>
      </c>
      <c r="C302" s="854">
        <v>6000000</v>
      </c>
      <c r="D302" s="854">
        <v>6000000</v>
      </c>
      <c r="E302" s="854">
        <v>0</v>
      </c>
      <c r="F302" s="858">
        <v>1</v>
      </c>
    </row>
    <row r="303" spans="1:6" x14ac:dyDescent="0.2">
      <c r="A303" s="857" t="s">
        <v>232</v>
      </c>
      <c r="B303" s="860"/>
      <c r="C303" s="854"/>
      <c r="D303" s="854"/>
      <c r="E303" s="854"/>
      <c r="F303" s="858"/>
    </row>
    <row r="304" spans="1:6" x14ac:dyDescent="0.2">
      <c r="A304" s="859" t="s">
        <v>233</v>
      </c>
      <c r="B304" s="860">
        <v>42005</v>
      </c>
      <c r="C304" s="854">
        <v>7937504</v>
      </c>
      <c r="D304" s="854">
        <v>5992064</v>
      </c>
      <c r="E304" s="854">
        <v>1945440</v>
      </c>
      <c r="F304" s="858">
        <v>0.75490532036267322</v>
      </c>
    </row>
    <row r="305" spans="1:6" x14ac:dyDescent="0.2">
      <c r="A305" s="857" t="s">
        <v>215</v>
      </c>
      <c r="B305" s="860"/>
      <c r="C305" s="854"/>
      <c r="D305" s="854"/>
      <c r="E305" s="854"/>
      <c r="F305" s="858"/>
    </row>
    <row r="306" spans="1:6" x14ac:dyDescent="0.2">
      <c r="A306" s="859" t="s">
        <v>1595</v>
      </c>
      <c r="B306" s="860">
        <v>41658</v>
      </c>
      <c r="C306" s="854">
        <v>15000000</v>
      </c>
      <c r="D306" s="854">
        <v>15000000</v>
      </c>
      <c r="E306" s="854">
        <v>0</v>
      </c>
      <c r="F306" s="858">
        <v>1</v>
      </c>
    </row>
    <row r="307" spans="1:6" x14ac:dyDescent="0.2">
      <c r="A307" s="857" t="s">
        <v>216</v>
      </c>
      <c r="B307" s="860"/>
      <c r="C307" s="854"/>
      <c r="D307" s="854"/>
      <c r="E307" s="854"/>
      <c r="F307" s="858"/>
    </row>
    <row r="308" spans="1:6" x14ac:dyDescent="0.2">
      <c r="A308" s="859" t="s">
        <v>217</v>
      </c>
      <c r="B308" s="860">
        <v>41985</v>
      </c>
      <c r="C308" s="854">
        <v>452974000</v>
      </c>
      <c r="D308" s="854">
        <v>355062557</v>
      </c>
      <c r="E308" s="854">
        <v>97911443</v>
      </c>
      <c r="F308" s="858">
        <v>0.7838475431260955</v>
      </c>
    </row>
    <row r="309" spans="1:6" x14ac:dyDescent="0.2">
      <c r="A309" s="857" t="s">
        <v>218</v>
      </c>
      <c r="B309" s="860"/>
      <c r="C309" s="854"/>
      <c r="D309" s="854"/>
      <c r="E309" s="854"/>
      <c r="F309" s="858"/>
    </row>
    <row r="310" spans="1:6" x14ac:dyDescent="0.2">
      <c r="A310" s="859" t="s">
        <v>219</v>
      </c>
      <c r="B310" s="860">
        <v>41980</v>
      </c>
      <c r="C310" s="854">
        <v>95000000</v>
      </c>
      <c r="D310" s="854">
        <v>88983693</v>
      </c>
      <c r="E310" s="854">
        <v>6016307</v>
      </c>
      <c r="F310" s="858">
        <v>0.936670452631579</v>
      </c>
    </row>
    <row r="311" spans="1:6" x14ac:dyDescent="0.2">
      <c r="A311" s="857" t="s">
        <v>220</v>
      </c>
      <c r="B311" s="860"/>
      <c r="C311" s="854"/>
      <c r="D311" s="854"/>
      <c r="E311" s="854"/>
      <c r="F311" s="858"/>
    </row>
    <row r="312" spans="1:6" x14ac:dyDescent="0.2">
      <c r="A312" s="859" t="s">
        <v>1148</v>
      </c>
      <c r="B312" s="860">
        <v>41641</v>
      </c>
      <c r="C312" s="854">
        <v>63128000</v>
      </c>
      <c r="D312" s="854">
        <v>63128000</v>
      </c>
      <c r="E312" s="854">
        <v>0</v>
      </c>
      <c r="F312" s="858">
        <v>1</v>
      </c>
    </row>
    <row r="313" spans="1:6" x14ac:dyDescent="0.2">
      <c r="A313" s="857" t="s">
        <v>227</v>
      </c>
      <c r="B313" s="860"/>
      <c r="C313" s="854"/>
      <c r="D313" s="854"/>
      <c r="E313" s="854"/>
      <c r="F313" s="858"/>
    </row>
    <row r="314" spans="1:6" x14ac:dyDescent="0.2">
      <c r="A314" s="859" t="s">
        <v>228</v>
      </c>
      <c r="B314" s="860">
        <v>41658</v>
      </c>
      <c r="C314" s="854">
        <v>5000000</v>
      </c>
      <c r="D314" s="854">
        <v>5000000</v>
      </c>
      <c r="E314" s="854">
        <v>0</v>
      </c>
      <c r="F314" s="858">
        <v>1</v>
      </c>
    </row>
    <row r="315" spans="1:6" x14ac:dyDescent="0.2">
      <c r="A315" s="857" t="s">
        <v>223</v>
      </c>
      <c r="B315" s="860"/>
      <c r="C315" s="854"/>
      <c r="D315" s="854"/>
      <c r="E315" s="854"/>
      <c r="F315" s="858"/>
    </row>
    <row r="316" spans="1:6" x14ac:dyDescent="0.2">
      <c r="A316" s="859" t="s">
        <v>224</v>
      </c>
      <c r="B316" s="860">
        <v>41658</v>
      </c>
      <c r="C316" s="854">
        <v>5000000</v>
      </c>
      <c r="D316" s="854">
        <v>5000000</v>
      </c>
      <c r="E316" s="854">
        <v>0</v>
      </c>
      <c r="F316" s="858">
        <v>1</v>
      </c>
    </row>
    <row r="317" spans="1:6" x14ac:dyDescent="0.2">
      <c r="A317" s="857" t="s">
        <v>231</v>
      </c>
      <c r="B317" s="860"/>
      <c r="C317" s="854"/>
      <c r="D317" s="854"/>
      <c r="E317" s="854"/>
      <c r="F317" s="858"/>
    </row>
    <row r="318" spans="1:6" x14ac:dyDescent="0.2">
      <c r="A318" s="859" t="s">
        <v>1041</v>
      </c>
      <c r="B318" s="860">
        <v>41797</v>
      </c>
      <c r="C318" s="854">
        <v>70000000</v>
      </c>
      <c r="D318" s="854">
        <v>69658711</v>
      </c>
      <c r="E318" s="854">
        <v>341289</v>
      </c>
      <c r="F318" s="858">
        <v>0.99512444285714285</v>
      </c>
    </row>
    <row r="319" spans="1:6" x14ac:dyDescent="0.2">
      <c r="A319" s="857" t="s">
        <v>225</v>
      </c>
      <c r="B319" s="860"/>
      <c r="C319" s="854"/>
      <c r="D319" s="854"/>
      <c r="E319" s="854"/>
      <c r="F319" s="858"/>
    </row>
    <row r="320" spans="1:6" x14ac:dyDescent="0.2">
      <c r="A320" s="859" t="s">
        <v>226</v>
      </c>
      <c r="B320" s="860">
        <v>41658</v>
      </c>
      <c r="C320" s="854">
        <v>5000000</v>
      </c>
      <c r="D320" s="854">
        <v>5000000</v>
      </c>
      <c r="E320" s="854">
        <v>0</v>
      </c>
      <c r="F320" s="858">
        <v>1</v>
      </c>
    </row>
    <row r="321" spans="1:6" x14ac:dyDescent="0.2">
      <c r="A321" s="857" t="s">
        <v>221</v>
      </c>
      <c r="B321" s="860"/>
      <c r="C321" s="854"/>
      <c r="D321" s="854"/>
      <c r="E321" s="854"/>
      <c r="F321" s="858"/>
    </row>
    <row r="322" spans="1:6" x14ac:dyDescent="0.2">
      <c r="A322" s="859" t="s">
        <v>222</v>
      </c>
      <c r="B322" s="860">
        <v>41658</v>
      </c>
      <c r="C322" s="854">
        <v>5000000</v>
      </c>
      <c r="D322" s="854">
        <v>5000000</v>
      </c>
      <c r="E322" s="854">
        <v>0</v>
      </c>
      <c r="F322" s="858">
        <v>1</v>
      </c>
    </row>
    <row r="323" spans="1:6" x14ac:dyDescent="0.2">
      <c r="A323" s="857" t="s">
        <v>242</v>
      </c>
      <c r="B323" s="860"/>
      <c r="C323" s="854"/>
      <c r="D323" s="854"/>
      <c r="E323" s="854"/>
      <c r="F323" s="858"/>
    </row>
    <row r="324" spans="1:6" x14ac:dyDescent="0.2">
      <c r="A324" s="859" t="s">
        <v>235</v>
      </c>
      <c r="B324" s="860">
        <v>41751</v>
      </c>
      <c r="C324" s="854">
        <v>3017160</v>
      </c>
      <c r="D324" s="854">
        <v>3017160</v>
      </c>
      <c r="E324" s="854">
        <v>0</v>
      </c>
      <c r="F324" s="858">
        <v>1</v>
      </c>
    </row>
    <row r="325" spans="1:6" x14ac:dyDescent="0.2">
      <c r="A325" s="857" t="s">
        <v>240</v>
      </c>
      <c r="B325" s="860"/>
      <c r="C325" s="854"/>
      <c r="D325" s="854"/>
      <c r="E325" s="854"/>
      <c r="F325" s="858"/>
    </row>
    <row r="326" spans="1:6" x14ac:dyDescent="0.2">
      <c r="A326" s="859" t="s">
        <v>290</v>
      </c>
      <c r="B326" s="860">
        <v>42019</v>
      </c>
      <c r="C326" s="854">
        <v>90000000</v>
      </c>
      <c r="D326" s="854">
        <v>42574877.200000003</v>
      </c>
      <c r="E326" s="854">
        <v>47425122.799999997</v>
      </c>
      <c r="F326" s="858">
        <v>0.47305419111111113</v>
      </c>
    </row>
    <row r="327" spans="1:6" x14ac:dyDescent="0.2">
      <c r="A327" s="857" t="s">
        <v>229</v>
      </c>
      <c r="B327" s="860"/>
      <c r="C327" s="854"/>
      <c r="D327" s="854"/>
      <c r="E327" s="854"/>
      <c r="F327" s="858"/>
    </row>
    <row r="328" spans="1:6" x14ac:dyDescent="0.2">
      <c r="A328" s="859" t="s">
        <v>1042</v>
      </c>
      <c r="B328" s="860">
        <v>41664</v>
      </c>
      <c r="C328" s="854">
        <v>5000000</v>
      </c>
      <c r="D328" s="854">
        <v>5000000</v>
      </c>
      <c r="E328" s="854">
        <v>0</v>
      </c>
      <c r="F328" s="858">
        <v>1</v>
      </c>
    </row>
    <row r="329" spans="1:6" x14ac:dyDescent="0.2">
      <c r="A329" s="857" t="s">
        <v>239</v>
      </c>
      <c r="B329" s="860"/>
      <c r="C329" s="854"/>
      <c r="D329" s="854"/>
      <c r="E329" s="854"/>
      <c r="F329" s="858"/>
    </row>
    <row r="330" spans="1:6" x14ac:dyDescent="0.2">
      <c r="A330" s="859" t="s">
        <v>152</v>
      </c>
      <c r="B330" s="860">
        <v>41754</v>
      </c>
      <c r="C330" s="854">
        <v>3743343</v>
      </c>
      <c r="D330" s="854">
        <v>3743343</v>
      </c>
      <c r="E330" s="854">
        <v>0</v>
      </c>
      <c r="F330" s="858">
        <v>1</v>
      </c>
    </row>
    <row r="331" spans="1:6" x14ac:dyDescent="0.2">
      <c r="A331" s="857" t="s">
        <v>405</v>
      </c>
      <c r="B331" s="860"/>
      <c r="C331" s="854"/>
      <c r="D331" s="854"/>
      <c r="E331" s="854"/>
      <c r="F331" s="858"/>
    </row>
    <row r="332" spans="1:6" x14ac:dyDescent="0.2">
      <c r="A332" s="859" t="s">
        <v>238</v>
      </c>
      <c r="B332" s="860">
        <v>42026</v>
      </c>
      <c r="C332" s="854">
        <v>1620000</v>
      </c>
      <c r="D332" s="854">
        <v>354000</v>
      </c>
      <c r="E332" s="854">
        <v>1266000</v>
      </c>
      <c r="F332" s="858">
        <v>0.21851851851851853</v>
      </c>
    </row>
    <row r="333" spans="1:6" x14ac:dyDescent="0.2">
      <c r="A333" s="857" t="s">
        <v>236</v>
      </c>
      <c r="B333" s="860"/>
      <c r="C333" s="854"/>
      <c r="D333" s="854"/>
      <c r="E333" s="854"/>
      <c r="F333" s="858"/>
    </row>
    <row r="334" spans="1:6" x14ac:dyDescent="0.2">
      <c r="A334" s="859" t="s">
        <v>186</v>
      </c>
      <c r="B334" s="860">
        <v>41713</v>
      </c>
      <c r="C334" s="854">
        <v>32048480</v>
      </c>
      <c r="D334" s="854">
        <v>32048480</v>
      </c>
      <c r="E334" s="854">
        <v>0</v>
      </c>
      <c r="F334" s="858">
        <v>1</v>
      </c>
    </row>
    <row r="335" spans="1:6" x14ac:dyDescent="0.2">
      <c r="A335" s="857" t="s">
        <v>241</v>
      </c>
      <c r="B335" s="860"/>
      <c r="C335" s="854"/>
      <c r="D335" s="854"/>
      <c r="E335" s="854"/>
      <c r="F335" s="858"/>
    </row>
    <row r="336" spans="1:6" x14ac:dyDescent="0.2">
      <c r="A336" s="859" t="s">
        <v>1043</v>
      </c>
      <c r="B336" s="860">
        <v>41720</v>
      </c>
      <c r="C336" s="854">
        <v>3480000</v>
      </c>
      <c r="D336" s="854">
        <v>3480000</v>
      </c>
      <c r="E336" s="854">
        <v>0</v>
      </c>
      <c r="F336" s="858">
        <v>1</v>
      </c>
    </row>
    <row r="337" spans="1:6" x14ac:dyDescent="0.2">
      <c r="A337" s="857" t="s">
        <v>237</v>
      </c>
      <c r="B337" s="860"/>
      <c r="C337" s="854"/>
      <c r="D337" s="854"/>
      <c r="E337" s="854"/>
      <c r="F337" s="858"/>
    </row>
    <row r="338" spans="1:6" x14ac:dyDescent="0.2">
      <c r="A338" s="859" t="s">
        <v>186</v>
      </c>
      <c r="B338" s="860">
        <v>41736</v>
      </c>
      <c r="C338" s="854">
        <v>126308000</v>
      </c>
      <c r="D338" s="854">
        <v>126308000</v>
      </c>
      <c r="E338" s="854">
        <v>0</v>
      </c>
      <c r="F338" s="858">
        <v>1</v>
      </c>
    </row>
    <row r="339" spans="1:6" x14ac:dyDescent="0.2">
      <c r="A339" s="857" t="s">
        <v>230</v>
      </c>
      <c r="B339" s="860"/>
      <c r="C339" s="854"/>
      <c r="D339" s="854"/>
      <c r="E339" s="854"/>
      <c r="F339" s="858"/>
    </row>
    <row r="340" spans="1:6" x14ac:dyDescent="0.2">
      <c r="A340" s="859" t="s">
        <v>1044</v>
      </c>
      <c r="B340" s="860">
        <v>41668</v>
      </c>
      <c r="C340" s="854">
        <v>3500000</v>
      </c>
      <c r="D340" s="854">
        <v>3500000</v>
      </c>
      <c r="E340" s="854">
        <v>0</v>
      </c>
      <c r="F340" s="858">
        <v>1</v>
      </c>
    </row>
    <row r="341" spans="1:6" x14ac:dyDescent="0.2">
      <c r="A341" s="857" t="s">
        <v>243</v>
      </c>
      <c r="B341" s="860"/>
      <c r="C341" s="854"/>
      <c r="D341" s="854"/>
      <c r="E341" s="854"/>
      <c r="F341" s="858"/>
    </row>
    <row r="342" spans="1:6" x14ac:dyDescent="0.2">
      <c r="A342" s="859" t="s">
        <v>244</v>
      </c>
      <c r="B342" s="860">
        <v>41789</v>
      </c>
      <c r="C342" s="854">
        <v>803432165</v>
      </c>
      <c r="D342" s="854">
        <v>741115935</v>
      </c>
      <c r="E342" s="854">
        <v>62316230</v>
      </c>
      <c r="F342" s="858">
        <v>0.92243747174349189</v>
      </c>
    </row>
    <row r="343" spans="1:6" x14ac:dyDescent="0.2">
      <c r="A343" s="857" t="s">
        <v>278</v>
      </c>
      <c r="B343" s="860"/>
      <c r="C343" s="854"/>
      <c r="D343" s="854"/>
      <c r="E343" s="854"/>
      <c r="F343" s="858"/>
    </row>
    <row r="344" spans="1:6" x14ac:dyDescent="0.2">
      <c r="A344" s="859" t="s">
        <v>15</v>
      </c>
      <c r="B344" s="860">
        <v>42139</v>
      </c>
      <c r="C344" s="854">
        <v>7740000</v>
      </c>
      <c r="D344" s="854">
        <v>7740000</v>
      </c>
      <c r="E344" s="854">
        <v>0</v>
      </c>
      <c r="F344" s="858">
        <v>1</v>
      </c>
    </row>
    <row r="345" spans="1:6" x14ac:dyDescent="0.2">
      <c r="A345" s="857" t="s">
        <v>171</v>
      </c>
      <c r="B345" s="860"/>
      <c r="C345" s="854"/>
      <c r="D345" s="854"/>
      <c r="E345" s="854"/>
      <c r="F345" s="858"/>
    </row>
    <row r="346" spans="1:6" x14ac:dyDescent="0.2">
      <c r="A346" s="859" t="s">
        <v>1033</v>
      </c>
      <c r="B346" s="860">
        <v>42008</v>
      </c>
      <c r="C346" s="854">
        <v>29819999</v>
      </c>
      <c r="D346" s="854">
        <v>29819999</v>
      </c>
      <c r="E346" s="854">
        <v>0</v>
      </c>
      <c r="F346" s="858">
        <v>1</v>
      </c>
    </row>
    <row r="347" spans="1:6" x14ac:dyDescent="0.2">
      <c r="A347" s="857" t="s">
        <v>252</v>
      </c>
      <c r="B347" s="860"/>
      <c r="C347" s="854"/>
      <c r="D347" s="854"/>
      <c r="E347" s="854"/>
      <c r="F347" s="858"/>
    </row>
    <row r="348" spans="1:6" x14ac:dyDescent="0.2">
      <c r="A348" s="859" t="s">
        <v>86</v>
      </c>
      <c r="B348" s="860">
        <v>42081</v>
      </c>
      <c r="C348" s="854">
        <v>1197000</v>
      </c>
      <c r="D348" s="854">
        <v>1197000</v>
      </c>
      <c r="E348" s="854">
        <v>0</v>
      </c>
      <c r="F348" s="858">
        <v>1</v>
      </c>
    </row>
    <row r="349" spans="1:6" x14ac:dyDescent="0.2">
      <c r="A349" s="857" t="s">
        <v>270</v>
      </c>
      <c r="B349" s="860"/>
      <c r="C349" s="854"/>
      <c r="D349" s="854"/>
      <c r="E349" s="854"/>
      <c r="F349" s="858"/>
    </row>
    <row r="350" spans="1:6" x14ac:dyDescent="0.2">
      <c r="A350" s="859" t="s">
        <v>1030</v>
      </c>
      <c r="B350" s="860">
        <v>41891</v>
      </c>
      <c r="C350" s="854">
        <v>4000000</v>
      </c>
      <c r="D350" s="854">
        <v>4000000</v>
      </c>
      <c r="E350" s="854">
        <v>0</v>
      </c>
      <c r="F350" s="858">
        <v>1</v>
      </c>
    </row>
    <row r="351" spans="1:6" x14ac:dyDescent="0.2">
      <c r="A351" s="857" t="s">
        <v>254</v>
      </c>
      <c r="B351" s="860"/>
      <c r="C351" s="854"/>
      <c r="D351" s="854"/>
      <c r="E351" s="854"/>
      <c r="F351" s="858"/>
    </row>
    <row r="352" spans="1:6" x14ac:dyDescent="0.2">
      <c r="A352" s="859" t="s">
        <v>1032</v>
      </c>
      <c r="B352" s="860">
        <v>42006</v>
      </c>
      <c r="C352" s="854">
        <v>42800000</v>
      </c>
      <c r="D352" s="854">
        <v>42800000</v>
      </c>
      <c r="E352" s="854">
        <v>0</v>
      </c>
      <c r="F352" s="858">
        <v>1</v>
      </c>
    </row>
    <row r="353" spans="1:6" x14ac:dyDescent="0.2">
      <c r="A353" s="857" t="s">
        <v>267</v>
      </c>
      <c r="B353" s="860"/>
      <c r="C353" s="854"/>
      <c r="D353" s="854"/>
      <c r="E353" s="854"/>
      <c r="F353" s="858"/>
    </row>
    <row r="354" spans="1:6" x14ac:dyDescent="0.2">
      <c r="A354" s="859" t="s">
        <v>1514</v>
      </c>
      <c r="B354" s="860">
        <v>42013</v>
      </c>
      <c r="C354" s="854">
        <v>38830000</v>
      </c>
      <c r="D354" s="854">
        <v>38830000</v>
      </c>
      <c r="E354" s="854">
        <v>0</v>
      </c>
      <c r="F354" s="858">
        <v>1</v>
      </c>
    </row>
    <row r="355" spans="1:6" x14ac:dyDescent="0.2">
      <c r="A355" s="857" t="s">
        <v>257</v>
      </c>
      <c r="B355" s="860"/>
      <c r="C355" s="854"/>
      <c r="D355" s="854"/>
      <c r="E355" s="854"/>
      <c r="F355" s="858"/>
    </row>
    <row r="356" spans="1:6" x14ac:dyDescent="0.2">
      <c r="A356" s="859" t="s">
        <v>1034</v>
      </c>
      <c r="B356" s="860">
        <v>42008</v>
      </c>
      <c r="C356" s="854">
        <v>40997000</v>
      </c>
      <c r="D356" s="854">
        <v>40997000</v>
      </c>
      <c r="E356" s="854">
        <v>0</v>
      </c>
      <c r="F356" s="858">
        <v>1</v>
      </c>
    </row>
    <row r="357" spans="1:6" x14ac:dyDescent="0.2">
      <c r="A357" s="857" t="s">
        <v>245</v>
      </c>
      <c r="B357" s="860"/>
      <c r="C357" s="854"/>
      <c r="D357" s="854"/>
      <c r="E357" s="854"/>
      <c r="F357" s="858"/>
    </row>
    <row r="358" spans="1:6" x14ac:dyDescent="0.2">
      <c r="A358" s="859" t="s">
        <v>226</v>
      </c>
      <c r="B358" s="860">
        <v>42008</v>
      </c>
      <c r="C358" s="854">
        <v>55000000</v>
      </c>
      <c r="D358" s="854">
        <v>54333333</v>
      </c>
      <c r="E358" s="854">
        <v>666667</v>
      </c>
      <c r="F358" s="858">
        <v>0.98787878181818178</v>
      </c>
    </row>
    <row r="359" spans="1:6" x14ac:dyDescent="0.2">
      <c r="A359" s="857" t="s">
        <v>247</v>
      </c>
      <c r="B359" s="860"/>
      <c r="C359" s="854"/>
      <c r="D359" s="854"/>
      <c r="E359" s="854"/>
      <c r="F359" s="858"/>
    </row>
    <row r="360" spans="1:6" x14ac:dyDescent="0.2">
      <c r="A360" s="859" t="s">
        <v>1513</v>
      </c>
      <c r="B360" s="860">
        <v>42008</v>
      </c>
      <c r="C360" s="854">
        <v>55000000</v>
      </c>
      <c r="D360" s="854">
        <v>54666666</v>
      </c>
      <c r="E360" s="854">
        <v>333334</v>
      </c>
      <c r="F360" s="858">
        <v>0.99393938181818187</v>
      </c>
    </row>
    <row r="361" spans="1:6" x14ac:dyDescent="0.2">
      <c r="A361" s="857" t="s">
        <v>249</v>
      </c>
      <c r="B361" s="860"/>
      <c r="C361" s="854"/>
      <c r="D361" s="854"/>
      <c r="E361" s="854"/>
      <c r="F361" s="858"/>
    </row>
    <row r="362" spans="1:6" x14ac:dyDescent="0.2">
      <c r="A362" s="859" t="s">
        <v>1044</v>
      </c>
      <c r="B362" s="860">
        <v>42008</v>
      </c>
      <c r="C362" s="854">
        <v>38500000</v>
      </c>
      <c r="D362" s="854">
        <v>38500000</v>
      </c>
      <c r="E362" s="854">
        <v>0</v>
      </c>
      <c r="F362" s="858">
        <v>1</v>
      </c>
    </row>
    <row r="363" spans="1:6" x14ac:dyDescent="0.2">
      <c r="A363" s="857" t="s">
        <v>246</v>
      </c>
      <c r="B363" s="860"/>
      <c r="C363" s="854"/>
      <c r="D363" s="854"/>
      <c r="E363" s="854"/>
      <c r="F363" s="858"/>
    </row>
    <row r="364" spans="1:6" x14ac:dyDescent="0.2">
      <c r="A364" s="859" t="s">
        <v>228</v>
      </c>
      <c r="B364" s="860">
        <v>42008</v>
      </c>
      <c r="C364" s="854">
        <v>55000000</v>
      </c>
      <c r="D364" s="854">
        <v>55000000</v>
      </c>
      <c r="E364" s="854">
        <v>0</v>
      </c>
      <c r="F364" s="858">
        <v>1</v>
      </c>
    </row>
    <row r="365" spans="1:6" x14ac:dyDescent="0.2">
      <c r="A365" s="857" t="s">
        <v>248</v>
      </c>
      <c r="B365" s="860"/>
      <c r="C365" s="854"/>
      <c r="D365" s="854"/>
      <c r="E365" s="854"/>
      <c r="F365" s="858"/>
    </row>
    <row r="366" spans="1:6" x14ac:dyDescent="0.2">
      <c r="A366" s="859" t="s">
        <v>224</v>
      </c>
      <c r="B366" s="860">
        <v>42008</v>
      </c>
      <c r="C366" s="854">
        <v>55000000</v>
      </c>
      <c r="D366" s="854">
        <v>55000000</v>
      </c>
      <c r="E366" s="854">
        <v>0</v>
      </c>
      <c r="F366" s="858">
        <v>1</v>
      </c>
    </row>
    <row r="367" spans="1:6" x14ac:dyDescent="0.2">
      <c r="A367" s="857" t="s">
        <v>268</v>
      </c>
      <c r="B367" s="860"/>
      <c r="C367" s="854"/>
      <c r="D367" s="854"/>
      <c r="E367" s="854"/>
      <c r="F367" s="858"/>
    </row>
    <row r="368" spans="1:6" x14ac:dyDescent="0.2">
      <c r="A368" s="859" t="s">
        <v>269</v>
      </c>
      <c r="B368" s="860">
        <v>42096</v>
      </c>
      <c r="C368" s="854">
        <v>16555000</v>
      </c>
      <c r="D368" s="854">
        <v>15762669</v>
      </c>
      <c r="E368" s="854">
        <v>792331</v>
      </c>
      <c r="F368" s="858">
        <v>0.95213947447900937</v>
      </c>
    </row>
    <row r="369" spans="1:6" x14ac:dyDescent="0.2">
      <c r="A369" s="857" t="s">
        <v>253</v>
      </c>
      <c r="B369" s="860"/>
      <c r="C369" s="854"/>
      <c r="D369" s="854"/>
      <c r="E369" s="854"/>
      <c r="F369" s="858"/>
    </row>
    <row r="370" spans="1:6" x14ac:dyDescent="0.2">
      <c r="A370" s="859" t="s">
        <v>140</v>
      </c>
      <c r="B370" s="860">
        <v>42008</v>
      </c>
      <c r="C370" s="854">
        <v>39600000</v>
      </c>
      <c r="D370" s="854">
        <v>24720000</v>
      </c>
      <c r="E370" s="854">
        <v>14880000</v>
      </c>
      <c r="F370" s="858">
        <v>0.62424242424242427</v>
      </c>
    </row>
    <row r="371" spans="1:6" x14ac:dyDescent="0.2">
      <c r="A371" s="857" t="s">
        <v>255</v>
      </c>
      <c r="B371" s="860"/>
      <c r="C371" s="854"/>
      <c r="D371" s="854"/>
      <c r="E371" s="854"/>
      <c r="F371" s="858"/>
    </row>
    <row r="372" spans="1:6" x14ac:dyDescent="0.2">
      <c r="A372" s="859" t="s">
        <v>1031</v>
      </c>
      <c r="B372" s="860">
        <v>41887</v>
      </c>
      <c r="C372" s="854">
        <v>51500000</v>
      </c>
      <c r="D372" s="854">
        <v>32788333</v>
      </c>
      <c r="E372" s="854">
        <v>18711667</v>
      </c>
      <c r="F372" s="858">
        <v>0.63666666019417473</v>
      </c>
    </row>
    <row r="373" spans="1:6" x14ac:dyDescent="0.2">
      <c r="A373" s="857" t="s">
        <v>250</v>
      </c>
      <c r="B373" s="860"/>
      <c r="C373" s="854"/>
      <c r="D373" s="854"/>
      <c r="E373" s="854"/>
      <c r="F373" s="858"/>
    </row>
    <row r="374" spans="1:6" x14ac:dyDescent="0.2">
      <c r="A374" s="859" t="s">
        <v>251</v>
      </c>
      <c r="B374" s="860">
        <v>42008</v>
      </c>
      <c r="C374" s="854">
        <v>16500000</v>
      </c>
      <c r="D374" s="854">
        <v>10300000</v>
      </c>
      <c r="E374" s="854">
        <v>6200000</v>
      </c>
      <c r="F374" s="858">
        <v>0.62424242424242427</v>
      </c>
    </row>
    <row r="375" spans="1:6" x14ac:dyDescent="0.2">
      <c r="A375" s="857" t="s">
        <v>256</v>
      </c>
      <c r="B375" s="860"/>
      <c r="C375" s="854"/>
      <c r="D375" s="854"/>
      <c r="E375" s="854"/>
      <c r="F375" s="858"/>
    </row>
    <row r="376" spans="1:6" x14ac:dyDescent="0.2">
      <c r="A376" s="859" t="s">
        <v>1393</v>
      </c>
      <c r="B376" s="860">
        <v>42006</v>
      </c>
      <c r="C376" s="854">
        <v>61800000</v>
      </c>
      <c r="D376" s="854">
        <v>54933333</v>
      </c>
      <c r="E376" s="854">
        <v>6866667</v>
      </c>
      <c r="F376" s="858">
        <v>0.88888888349514561</v>
      </c>
    </row>
    <row r="377" spans="1:6" x14ac:dyDescent="0.2">
      <c r="A377" s="857" t="s">
        <v>264</v>
      </c>
      <c r="B377" s="860"/>
      <c r="C377" s="854"/>
      <c r="D377" s="854"/>
      <c r="E377" s="854"/>
      <c r="F377" s="858"/>
    </row>
    <row r="378" spans="1:6" x14ac:dyDescent="0.2">
      <c r="A378" s="859" t="s">
        <v>186</v>
      </c>
      <c r="B378" s="860">
        <v>41748</v>
      </c>
      <c r="C378" s="854">
        <v>340808000</v>
      </c>
      <c r="D378" s="854">
        <v>340808000</v>
      </c>
      <c r="E378" s="854">
        <v>0</v>
      </c>
      <c r="F378" s="858">
        <v>1</v>
      </c>
    </row>
    <row r="379" spans="1:6" x14ac:dyDescent="0.2">
      <c r="A379" s="857" t="s">
        <v>262</v>
      </c>
      <c r="B379" s="860"/>
      <c r="C379" s="854"/>
      <c r="D379" s="854"/>
      <c r="E379" s="854"/>
      <c r="F379" s="858"/>
    </row>
    <row r="380" spans="1:6" x14ac:dyDescent="0.2">
      <c r="A380" s="859" t="s">
        <v>263</v>
      </c>
      <c r="B380" s="860">
        <v>41748</v>
      </c>
      <c r="C380" s="854">
        <v>28900000</v>
      </c>
      <c r="D380" s="854">
        <v>28900000</v>
      </c>
      <c r="E380" s="854">
        <v>0</v>
      </c>
      <c r="F380" s="858">
        <v>1</v>
      </c>
    </row>
    <row r="381" spans="1:6" x14ac:dyDescent="0.2">
      <c r="A381" s="857" t="s">
        <v>260</v>
      </c>
      <c r="B381" s="860"/>
      <c r="C381" s="854"/>
      <c r="D381" s="854"/>
      <c r="E381" s="854"/>
      <c r="F381" s="858"/>
    </row>
    <row r="382" spans="1:6" x14ac:dyDescent="0.2">
      <c r="A382" s="859" t="s">
        <v>261</v>
      </c>
      <c r="B382" s="860">
        <v>41738</v>
      </c>
      <c r="C382" s="854">
        <v>325128875</v>
      </c>
      <c r="D382" s="854">
        <v>325028452</v>
      </c>
      <c r="E382" s="854">
        <v>100423</v>
      </c>
      <c r="F382" s="858">
        <v>0.99969112863322274</v>
      </c>
    </row>
    <row r="383" spans="1:6" x14ac:dyDescent="0.2">
      <c r="A383" s="857" t="s">
        <v>273</v>
      </c>
      <c r="B383" s="860"/>
      <c r="C383" s="854"/>
      <c r="D383" s="854"/>
      <c r="E383" s="854"/>
      <c r="F383" s="858"/>
    </row>
    <row r="384" spans="1:6" x14ac:dyDescent="0.2">
      <c r="A384" s="859" t="s">
        <v>126</v>
      </c>
      <c r="B384" s="860">
        <v>42012</v>
      </c>
      <c r="C384" s="854">
        <v>11000000</v>
      </c>
      <c r="D384" s="854">
        <v>2672466</v>
      </c>
      <c r="E384" s="854">
        <v>8327534</v>
      </c>
      <c r="F384" s="858">
        <v>0.24295145454545455</v>
      </c>
    </row>
    <row r="385" spans="1:6" x14ac:dyDescent="0.2">
      <c r="A385" s="857" t="s">
        <v>288</v>
      </c>
      <c r="B385" s="860"/>
      <c r="C385" s="854"/>
      <c r="D385" s="854"/>
      <c r="E385" s="854"/>
      <c r="F385" s="858"/>
    </row>
    <row r="386" spans="1:6" x14ac:dyDescent="0.2">
      <c r="A386" s="859" t="s">
        <v>12</v>
      </c>
      <c r="B386" s="860">
        <v>42102</v>
      </c>
      <c r="C386" s="854">
        <v>1607400</v>
      </c>
      <c r="D386" s="854">
        <v>0</v>
      </c>
      <c r="E386" s="854">
        <v>1607400</v>
      </c>
      <c r="F386" s="858">
        <v>0</v>
      </c>
    </row>
    <row r="387" spans="1:6" x14ac:dyDescent="0.2">
      <c r="A387" s="857" t="s">
        <v>266</v>
      </c>
      <c r="B387" s="860"/>
      <c r="C387" s="854"/>
      <c r="D387" s="854"/>
      <c r="E387" s="854"/>
      <c r="F387" s="858"/>
    </row>
    <row r="388" spans="1:6" x14ac:dyDescent="0.2">
      <c r="A388" s="859" t="s">
        <v>1029</v>
      </c>
      <c r="B388" s="860">
        <v>41969</v>
      </c>
      <c r="C388" s="854">
        <v>4982000</v>
      </c>
      <c r="D388" s="854">
        <v>2832000</v>
      </c>
      <c r="E388" s="854">
        <v>2150000</v>
      </c>
      <c r="F388" s="858">
        <v>0.56844640706543559</v>
      </c>
    </row>
    <row r="389" spans="1:6" x14ac:dyDescent="0.2">
      <c r="A389" s="857" t="s">
        <v>271</v>
      </c>
      <c r="B389" s="860"/>
      <c r="C389" s="854"/>
      <c r="D389" s="854"/>
      <c r="E389" s="854"/>
      <c r="F389" s="858"/>
    </row>
    <row r="390" spans="1:6" x14ac:dyDescent="0.2">
      <c r="A390" s="859" t="s">
        <v>272</v>
      </c>
      <c r="B390" s="860">
        <v>41951</v>
      </c>
      <c r="C390" s="854">
        <v>28000000</v>
      </c>
      <c r="D390" s="854">
        <v>10978240</v>
      </c>
      <c r="E390" s="854">
        <v>17021760</v>
      </c>
      <c r="F390" s="858">
        <v>0.39207999999999998</v>
      </c>
    </row>
    <row r="391" spans="1:6" x14ac:dyDescent="0.2">
      <c r="A391" s="857" t="s">
        <v>400</v>
      </c>
      <c r="B391" s="860"/>
      <c r="C391" s="854"/>
      <c r="D391" s="854"/>
      <c r="E391" s="854"/>
      <c r="F391" s="858"/>
    </row>
    <row r="392" spans="1:6" x14ac:dyDescent="0.2">
      <c r="A392" s="859" t="s">
        <v>198</v>
      </c>
      <c r="B392" s="860">
        <v>42096</v>
      </c>
      <c r="C392" s="854">
        <v>10564000</v>
      </c>
      <c r="D392" s="854">
        <v>10055157</v>
      </c>
      <c r="E392" s="854">
        <v>508843</v>
      </c>
      <c r="F392" s="858">
        <v>0.95183235516849674</v>
      </c>
    </row>
    <row r="393" spans="1:6" x14ac:dyDescent="0.2">
      <c r="A393" s="857" t="s">
        <v>274</v>
      </c>
      <c r="B393" s="860"/>
      <c r="C393" s="854"/>
      <c r="D393" s="854"/>
      <c r="E393" s="854"/>
      <c r="F393" s="858"/>
    </row>
    <row r="394" spans="1:6" x14ac:dyDescent="0.2">
      <c r="A394" s="859" t="s">
        <v>275</v>
      </c>
      <c r="B394" s="860">
        <v>42116</v>
      </c>
      <c r="C394" s="854">
        <v>2122000</v>
      </c>
      <c r="D394" s="854">
        <v>2122000</v>
      </c>
      <c r="E394" s="854">
        <v>0</v>
      </c>
      <c r="F394" s="858">
        <v>1</v>
      </c>
    </row>
    <row r="395" spans="1:6" x14ac:dyDescent="0.2">
      <c r="A395" s="857" t="s">
        <v>279</v>
      </c>
      <c r="B395" s="860"/>
      <c r="C395" s="854"/>
      <c r="D395" s="854"/>
      <c r="E395" s="854"/>
      <c r="F395" s="858"/>
    </row>
    <row r="396" spans="1:6" x14ac:dyDescent="0.2">
      <c r="A396" s="859" t="s">
        <v>53</v>
      </c>
      <c r="B396" s="860">
        <v>42091</v>
      </c>
      <c r="C396" s="854">
        <v>31218000</v>
      </c>
      <c r="D396" s="854">
        <v>29571427</v>
      </c>
      <c r="E396" s="854">
        <v>1646573</v>
      </c>
      <c r="F396" s="858">
        <v>0.9472556537894804</v>
      </c>
    </row>
    <row r="397" spans="1:6" x14ac:dyDescent="0.2">
      <c r="A397" s="857" t="s">
        <v>282</v>
      </c>
      <c r="B397" s="860"/>
      <c r="C397" s="854"/>
      <c r="D397" s="854"/>
      <c r="E397" s="854"/>
      <c r="F397" s="858"/>
    </row>
    <row r="398" spans="1:6" x14ac:dyDescent="0.2">
      <c r="A398" s="859" t="s">
        <v>418</v>
      </c>
      <c r="B398" s="860">
        <v>41901</v>
      </c>
      <c r="C398" s="854">
        <v>18217800</v>
      </c>
      <c r="D398" s="854">
        <v>18217800</v>
      </c>
      <c r="E398" s="854">
        <v>0</v>
      </c>
      <c r="F398" s="858">
        <v>1</v>
      </c>
    </row>
    <row r="399" spans="1:6" x14ac:dyDescent="0.2">
      <c r="A399" s="857" t="s">
        <v>280</v>
      </c>
      <c r="B399" s="860"/>
      <c r="C399" s="854"/>
      <c r="D399" s="854"/>
      <c r="E399" s="854"/>
      <c r="F399" s="858"/>
    </row>
    <row r="400" spans="1:6" x14ac:dyDescent="0.2">
      <c r="A400" s="859" t="s">
        <v>281</v>
      </c>
      <c r="B400" s="860">
        <v>41817</v>
      </c>
      <c r="C400" s="854">
        <v>1700007</v>
      </c>
      <c r="D400" s="854">
        <v>1700000</v>
      </c>
      <c r="E400" s="854">
        <v>7</v>
      </c>
      <c r="F400" s="858">
        <v>0.99999588236989612</v>
      </c>
    </row>
    <row r="401" spans="1:6" x14ac:dyDescent="0.2">
      <c r="A401" s="857" t="s">
        <v>276</v>
      </c>
      <c r="B401" s="860"/>
      <c r="C401" s="854"/>
      <c r="D401" s="854"/>
      <c r="E401" s="854"/>
      <c r="F401" s="858"/>
    </row>
    <row r="402" spans="1:6" x14ac:dyDescent="0.2">
      <c r="A402" s="859" t="s">
        <v>277</v>
      </c>
      <c r="B402" s="860">
        <v>42117</v>
      </c>
      <c r="C402" s="854">
        <v>32631000</v>
      </c>
      <c r="D402" s="854">
        <v>32594631</v>
      </c>
      <c r="E402" s="854">
        <v>36369</v>
      </c>
      <c r="F402" s="858">
        <v>0.99888544635469334</v>
      </c>
    </row>
    <row r="403" spans="1:6" x14ac:dyDescent="0.2">
      <c r="A403" s="857" t="s">
        <v>283</v>
      </c>
      <c r="B403" s="860"/>
      <c r="C403" s="854"/>
      <c r="D403" s="854"/>
      <c r="E403" s="854"/>
      <c r="F403" s="858"/>
    </row>
    <row r="404" spans="1:6" x14ac:dyDescent="0.2">
      <c r="A404" s="859" t="s">
        <v>284</v>
      </c>
      <c r="B404" s="860">
        <v>42128</v>
      </c>
      <c r="C404" s="854">
        <v>45100746</v>
      </c>
      <c r="D404" s="854">
        <v>45045000</v>
      </c>
      <c r="E404" s="854">
        <v>55746</v>
      </c>
      <c r="F404" s="858">
        <v>0.99876396723016514</v>
      </c>
    </row>
    <row r="405" spans="1:6" x14ac:dyDescent="0.2">
      <c r="A405" s="857" t="s">
        <v>289</v>
      </c>
      <c r="B405" s="860"/>
      <c r="C405" s="854"/>
      <c r="D405" s="854"/>
      <c r="E405" s="854"/>
      <c r="F405" s="858"/>
    </row>
    <row r="406" spans="1:6" x14ac:dyDescent="0.2">
      <c r="A406" s="859" t="s">
        <v>290</v>
      </c>
      <c r="B406" s="860">
        <v>41855</v>
      </c>
      <c r="C406" s="854">
        <v>9998117</v>
      </c>
      <c r="D406" s="854">
        <v>9998097</v>
      </c>
      <c r="E406" s="854">
        <v>20</v>
      </c>
      <c r="F406" s="858">
        <v>0.99999799962332903</v>
      </c>
    </row>
    <row r="407" spans="1:6" x14ac:dyDescent="0.2">
      <c r="A407" s="857" t="s">
        <v>300</v>
      </c>
      <c r="B407" s="860"/>
      <c r="C407" s="854"/>
      <c r="D407" s="854"/>
      <c r="E407" s="854"/>
      <c r="F407" s="858"/>
    </row>
    <row r="408" spans="1:6" x14ac:dyDescent="0.2">
      <c r="A408" s="859" t="s">
        <v>1567</v>
      </c>
      <c r="B408" s="860">
        <v>42312</v>
      </c>
      <c r="C408" s="854">
        <v>12000000</v>
      </c>
      <c r="D408" s="854">
        <v>10800000</v>
      </c>
      <c r="E408" s="854">
        <v>1200000</v>
      </c>
      <c r="F408" s="858">
        <v>0.9</v>
      </c>
    </row>
    <row r="409" spans="1:6" x14ac:dyDescent="0.2">
      <c r="A409" s="857" t="s">
        <v>401</v>
      </c>
      <c r="B409" s="860"/>
      <c r="C409" s="854"/>
      <c r="D409" s="854"/>
      <c r="E409" s="854"/>
      <c r="F409" s="858"/>
    </row>
    <row r="410" spans="1:6" x14ac:dyDescent="0.2">
      <c r="A410" s="859" t="s">
        <v>547</v>
      </c>
      <c r="B410" s="860">
        <v>42216</v>
      </c>
      <c r="C410" s="854">
        <v>249991314</v>
      </c>
      <c r="D410" s="854">
        <v>248275406</v>
      </c>
      <c r="E410" s="854">
        <v>1715908</v>
      </c>
      <c r="F410" s="858">
        <v>0.99313612952168406</v>
      </c>
    </row>
    <row r="411" spans="1:6" x14ac:dyDescent="0.2">
      <c r="A411" s="857" t="s">
        <v>296</v>
      </c>
      <c r="B411" s="860"/>
      <c r="C411" s="854"/>
      <c r="D411" s="854"/>
      <c r="E411" s="854"/>
      <c r="F411" s="858"/>
    </row>
    <row r="412" spans="1:6" x14ac:dyDescent="0.2">
      <c r="A412" s="859" t="s">
        <v>1038</v>
      </c>
      <c r="B412" s="860">
        <v>41867</v>
      </c>
      <c r="C412" s="854">
        <v>5719790</v>
      </c>
      <c r="D412" s="854">
        <v>5719790</v>
      </c>
      <c r="E412" s="854">
        <v>0</v>
      </c>
      <c r="F412" s="858">
        <v>1</v>
      </c>
    </row>
    <row r="413" spans="1:6" x14ac:dyDescent="0.2">
      <c r="A413" s="857" t="s">
        <v>287</v>
      </c>
      <c r="B413" s="860"/>
      <c r="C413" s="854"/>
      <c r="D413" s="854"/>
      <c r="E413" s="854"/>
      <c r="F413" s="858"/>
    </row>
    <row r="414" spans="1:6" x14ac:dyDescent="0.2">
      <c r="A414" s="859" t="s">
        <v>1017</v>
      </c>
      <c r="B414" s="860">
        <v>42186</v>
      </c>
      <c r="C414" s="854">
        <v>337487000</v>
      </c>
      <c r="D414" s="854">
        <v>306295677</v>
      </c>
      <c r="E414" s="854">
        <v>31191323</v>
      </c>
      <c r="F414" s="858">
        <v>0.907577705215312</v>
      </c>
    </row>
    <row r="415" spans="1:6" x14ac:dyDescent="0.2">
      <c r="A415" s="857" t="s">
        <v>291</v>
      </c>
      <c r="B415" s="860"/>
      <c r="C415" s="854"/>
      <c r="D415" s="854"/>
      <c r="E415" s="854"/>
      <c r="F415" s="858"/>
    </row>
    <row r="416" spans="1:6" x14ac:dyDescent="0.2">
      <c r="A416" s="859" t="s">
        <v>1047</v>
      </c>
      <c r="B416" s="860">
        <v>42116</v>
      </c>
      <c r="C416" s="854">
        <v>3463454100</v>
      </c>
      <c r="D416" s="854">
        <v>3320263630</v>
      </c>
      <c r="E416" s="854">
        <v>143190470</v>
      </c>
      <c r="F416" s="858">
        <v>0.95865674385579414</v>
      </c>
    </row>
    <row r="417" spans="1:6" x14ac:dyDescent="0.2">
      <c r="A417" s="857" t="s">
        <v>305</v>
      </c>
      <c r="B417" s="860"/>
      <c r="C417" s="854"/>
      <c r="D417" s="854"/>
      <c r="E417" s="854"/>
      <c r="F417" s="858"/>
    </row>
    <row r="418" spans="1:6" x14ac:dyDescent="0.2">
      <c r="A418" s="859" t="s">
        <v>306</v>
      </c>
      <c r="B418" s="860">
        <v>41872</v>
      </c>
      <c r="C418" s="854">
        <v>330000</v>
      </c>
      <c r="D418" s="854">
        <v>330000</v>
      </c>
      <c r="E418" s="854">
        <v>0</v>
      </c>
      <c r="F418" s="858">
        <v>1</v>
      </c>
    </row>
    <row r="419" spans="1:6" x14ac:dyDescent="0.2">
      <c r="A419" s="857" t="s">
        <v>285</v>
      </c>
      <c r="B419" s="860"/>
      <c r="C419" s="854"/>
      <c r="D419" s="854"/>
      <c r="E419" s="854"/>
      <c r="F419" s="858"/>
    </row>
    <row r="420" spans="1:6" x14ac:dyDescent="0.2">
      <c r="A420" s="859" t="s">
        <v>3</v>
      </c>
      <c r="B420" s="860">
        <v>41959</v>
      </c>
      <c r="C420" s="854">
        <v>251750000</v>
      </c>
      <c r="D420" s="854">
        <v>180186681</v>
      </c>
      <c r="E420" s="854">
        <v>71563319</v>
      </c>
      <c r="F420" s="858">
        <v>0.71573656802383312</v>
      </c>
    </row>
    <row r="421" spans="1:6" x14ac:dyDescent="0.2">
      <c r="A421" s="857" t="s">
        <v>299</v>
      </c>
      <c r="B421" s="860"/>
      <c r="C421" s="854"/>
      <c r="D421" s="854"/>
      <c r="E421" s="854"/>
      <c r="F421" s="858"/>
    </row>
    <row r="422" spans="1:6" x14ac:dyDescent="0.2">
      <c r="A422" s="859" t="s">
        <v>1048</v>
      </c>
      <c r="B422" s="860">
        <v>41852</v>
      </c>
      <c r="C422" s="854">
        <v>2962640</v>
      </c>
      <c r="D422" s="854">
        <v>2962640</v>
      </c>
      <c r="E422" s="854">
        <v>0</v>
      </c>
      <c r="F422" s="858">
        <v>1</v>
      </c>
    </row>
    <row r="423" spans="1:6" x14ac:dyDescent="0.2">
      <c r="A423" s="857" t="s">
        <v>294</v>
      </c>
      <c r="B423" s="860"/>
      <c r="C423" s="854"/>
      <c r="D423" s="854"/>
      <c r="E423" s="854"/>
      <c r="F423" s="858"/>
    </row>
    <row r="424" spans="1:6" x14ac:dyDescent="0.2">
      <c r="A424" s="859" t="s">
        <v>295</v>
      </c>
      <c r="B424" s="860">
        <v>42186</v>
      </c>
      <c r="C424" s="854">
        <v>36581760</v>
      </c>
      <c r="D424" s="854">
        <v>34363318</v>
      </c>
      <c r="E424" s="854">
        <v>2218442</v>
      </c>
      <c r="F424" s="858">
        <v>0.93935660832064938</v>
      </c>
    </row>
    <row r="425" spans="1:6" x14ac:dyDescent="0.2">
      <c r="A425" s="857" t="s">
        <v>292</v>
      </c>
      <c r="B425" s="860"/>
      <c r="C425" s="854"/>
      <c r="D425" s="854"/>
      <c r="E425" s="854"/>
      <c r="F425" s="858"/>
    </row>
    <row r="426" spans="1:6" x14ac:dyDescent="0.2">
      <c r="A426" s="859" t="s">
        <v>293</v>
      </c>
      <c r="B426" s="860">
        <v>42247</v>
      </c>
      <c r="C426" s="854">
        <v>18714400</v>
      </c>
      <c r="D426" s="854">
        <v>17075400</v>
      </c>
      <c r="E426" s="854">
        <v>1639000</v>
      </c>
      <c r="F426" s="858">
        <v>0.91242038216560506</v>
      </c>
    </row>
    <row r="427" spans="1:6" x14ac:dyDescent="0.2">
      <c r="A427" s="857" t="s">
        <v>298</v>
      </c>
      <c r="B427" s="860"/>
      <c r="C427" s="854"/>
      <c r="D427" s="854"/>
      <c r="E427" s="854"/>
      <c r="F427" s="858"/>
    </row>
    <row r="428" spans="1:6" x14ac:dyDescent="0.2">
      <c r="A428" s="859" t="s">
        <v>90</v>
      </c>
      <c r="B428" s="860">
        <v>42203</v>
      </c>
      <c r="C428" s="854">
        <v>683000</v>
      </c>
      <c r="D428" s="854">
        <v>683000</v>
      </c>
      <c r="E428" s="854">
        <v>0</v>
      </c>
      <c r="F428" s="858">
        <v>1</v>
      </c>
    </row>
    <row r="429" spans="1:6" x14ac:dyDescent="0.2">
      <c r="A429" s="857" t="s">
        <v>302</v>
      </c>
      <c r="B429" s="860"/>
      <c r="C429" s="854"/>
      <c r="D429" s="854"/>
      <c r="E429" s="854"/>
      <c r="F429" s="858"/>
    </row>
    <row r="430" spans="1:6" x14ac:dyDescent="0.2">
      <c r="A430" s="859" t="s">
        <v>303</v>
      </c>
      <c r="B430" s="860">
        <v>42050</v>
      </c>
      <c r="C430" s="854">
        <v>4672000</v>
      </c>
      <c r="D430" s="854">
        <v>1806200</v>
      </c>
      <c r="E430" s="854">
        <v>2865800</v>
      </c>
      <c r="F430" s="858">
        <v>0.38660102739726027</v>
      </c>
    </row>
    <row r="431" spans="1:6" x14ac:dyDescent="0.2">
      <c r="A431" s="857" t="s">
        <v>297</v>
      </c>
      <c r="B431" s="860"/>
      <c r="C431" s="854"/>
      <c r="D431" s="854"/>
      <c r="E431" s="854"/>
      <c r="F431" s="858"/>
    </row>
    <row r="432" spans="1:6" x14ac:dyDescent="0.2">
      <c r="A432" s="859" t="s">
        <v>999</v>
      </c>
      <c r="B432" s="860">
        <v>42139</v>
      </c>
      <c r="C432" s="854">
        <v>97800000</v>
      </c>
      <c r="D432" s="854">
        <v>97794518</v>
      </c>
      <c r="E432" s="854">
        <v>5482</v>
      </c>
      <c r="F432" s="858">
        <v>0.99994394683026588</v>
      </c>
    </row>
    <row r="433" spans="1:6" x14ac:dyDescent="0.2">
      <c r="A433" s="857" t="s">
        <v>304</v>
      </c>
      <c r="B433" s="860"/>
      <c r="C433" s="854"/>
      <c r="D433" s="854"/>
      <c r="E433" s="854"/>
      <c r="F433" s="858"/>
    </row>
    <row r="434" spans="1:6" x14ac:dyDescent="0.2">
      <c r="A434" s="859" t="s">
        <v>1005</v>
      </c>
      <c r="B434" s="860">
        <v>41965</v>
      </c>
      <c r="C434" s="854">
        <v>2228070</v>
      </c>
      <c r="D434" s="854">
        <v>2228070</v>
      </c>
      <c r="E434" s="854">
        <v>0</v>
      </c>
      <c r="F434" s="858">
        <v>1</v>
      </c>
    </row>
    <row r="435" spans="1:6" x14ac:dyDescent="0.2">
      <c r="A435" s="857" t="s">
        <v>308</v>
      </c>
      <c r="B435" s="860"/>
      <c r="C435" s="854"/>
      <c r="D435" s="854"/>
      <c r="E435" s="854"/>
      <c r="F435" s="858"/>
    </row>
    <row r="436" spans="1:6" x14ac:dyDescent="0.2">
      <c r="A436" s="859" t="s">
        <v>1049</v>
      </c>
      <c r="B436" s="860">
        <v>41923</v>
      </c>
      <c r="C436" s="854">
        <v>2260000</v>
      </c>
      <c r="D436" s="854">
        <v>1595000</v>
      </c>
      <c r="E436" s="854">
        <v>665000</v>
      </c>
      <c r="F436" s="858">
        <v>0.70575221238938057</v>
      </c>
    </row>
    <row r="437" spans="1:6" x14ac:dyDescent="0.2">
      <c r="A437" s="857" t="s">
        <v>307</v>
      </c>
      <c r="B437" s="860"/>
      <c r="C437" s="854"/>
      <c r="D437" s="854"/>
      <c r="E437" s="854"/>
      <c r="F437" s="858"/>
    </row>
    <row r="438" spans="1:6" x14ac:dyDescent="0.2">
      <c r="A438" s="859" t="s">
        <v>144</v>
      </c>
      <c r="B438" s="860">
        <v>42108</v>
      </c>
      <c r="C438" s="854">
        <v>290648563</v>
      </c>
      <c r="D438" s="854">
        <v>290648563</v>
      </c>
      <c r="E438" s="854">
        <v>0</v>
      </c>
      <c r="F438" s="858">
        <v>1</v>
      </c>
    </row>
    <row r="439" spans="1:6" x14ac:dyDescent="0.2">
      <c r="A439" s="857" t="s">
        <v>546</v>
      </c>
      <c r="B439" s="860"/>
      <c r="C439" s="854"/>
      <c r="D439" s="854"/>
      <c r="E439" s="854"/>
      <c r="F439" s="858"/>
    </row>
    <row r="440" spans="1:6" x14ac:dyDescent="0.2">
      <c r="A440" s="859" t="s">
        <v>310</v>
      </c>
      <c r="B440" s="860">
        <v>41932</v>
      </c>
      <c r="C440" s="854">
        <v>14975600</v>
      </c>
      <c r="D440" s="854">
        <v>14975600</v>
      </c>
      <c r="E440" s="854">
        <v>0</v>
      </c>
      <c r="F440" s="858">
        <v>1</v>
      </c>
    </row>
    <row r="441" spans="1:6" x14ac:dyDescent="0.2">
      <c r="A441" s="857" t="s">
        <v>548</v>
      </c>
      <c r="B441" s="860"/>
      <c r="C441" s="854"/>
      <c r="D441" s="854"/>
      <c r="E441" s="854"/>
      <c r="F441" s="858"/>
    </row>
    <row r="442" spans="1:6" x14ac:dyDescent="0.2">
      <c r="A442" s="859" t="s">
        <v>13</v>
      </c>
      <c r="B442" s="860">
        <v>42258</v>
      </c>
      <c r="C442" s="854">
        <v>936000</v>
      </c>
      <c r="D442" s="854">
        <v>936000</v>
      </c>
      <c r="E442" s="854">
        <v>0</v>
      </c>
      <c r="F442" s="858">
        <v>1</v>
      </c>
    </row>
    <row r="443" spans="1:6" x14ac:dyDescent="0.2">
      <c r="A443" s="857" t="s">
        <v>551</v>
      </c>
      <c r="B443" s="860"/>
      <c r="C443" s="854"/>
      <c r="D443" s="854"/>
      <c r="E443" s="854"/>
      <c r="F443" s="858"/>
    </row>
    <row r="444" spans="1:6" x14ac:dyDescent="0.2">
      <c r="A444" s="859" t="s">
        <v>29</v>
      </c>
      <c r="B444" s="860">
        <v>42261</v>
      </c>
      <c r="C444" s="854">
        <v>855000</v>
      </c>
      <c r="D444" s="854">
        <v>855000</v>
      </c>
      <c r="E444" s="854">
        <v>0</v>
      </c>
      <c r="F444" s="858">
        <v>1</v>
      </c>
    </row>
    <row r="445" spans="1:6" x14ac:dyDescent="0.2">
      <c r="A445" s="857" t="s">
        <v>553</v>
      </c>
      <c r="B445" s="860"/>
      <c r="C445" s="854"/>
      <c r="D445" s="854"/>
      <c r="E445" s="854"/>
      <c r="F445" s="858"/>
    </row>
    <row r="446" spans="1:6" x14ac:dyDescent="0.2">
      <c r="A446" s="859" t="s">
        <v>554</v>
      </c>
      <c r="B446" s="860">
        <v>42009</v>
      </c>
      <c r="C446" s="854">
        <v>19356282</v>
      </c>
      <c r="D446" s="854">
        <v>19356282</v>
      </c>
      <c r="E446" s="854">
        <v>0</v>
      </c>
      <c r="F446" s="858">
        <v>1</v>
      </c>
    </row>
    <row r="447" spans="1:6" x14ac:dyDescent="0.2">
      <c r="A447" s="857" t="s">
        <v>555</v>
      </c>
      <c r="B447" s="860"/>
      <c r="C447" s="854"/>
      <c r="D447" s="854"/>
      <c r="E447" s="854"/>
      <c r="F447" s="858"/>
    </row>
    <row r="448" spans="1:6" x14ac:dyDescent="0.2">
      <c r="A448" s="859" t="s">
        <v>1066</v>
      </c>
      <c r="B448" s="860">
        <v>42013</v>
      </c>
      <c r="C448" s="854">
        <v>25000000</v>
      </c>
      <c r="D448" s="854">
        <v>25000000</v>
      </c>
      <c r="E448" s="854">
        <v>0</v>
      </c>
      <c r="F448" s="858">
        <v>1</v>
      </c>
    </row>
    <row r="449" spans="1:6" x14ac:dyDescent="0.2">
      <c r="A449" s="857" t="s">
        <v>556</v>
      </c>
      <c r="B449" s="860"/>
      <c r="C449" s="854"/>
      <c r="D449" s="854"/>
      <c r="E449" s="854"/>
      <c r="F449" s="858"/>
    </row>
    <row r="450" spans="1:6" x14ac:dyDescent="0.2">
      <c r="A450" s="859" t="s">
        <v>1004</v>
      </c>
      <c r="B450" s="860">
        <v>42046</v>
      </c>
      <c r="C450" s="854">
        <v>25000000</v>
      </c>
      <c r="D450" s="854">
        <v>25000000</v>
      </c>
      <c r="E450" s="854">
        <v>0</v>
      </c>
      <c r="F450" s="858">
        <v>1</v>
      </c>
    </row>
    <row r="451" spans="1:6" x14ac:dyDescent="0.2">
      <c r="A451" s="857" t="s">
        <v>1068</v>
      </c>
      <c r="B451" s="860"/>
      <c r="C451" s="854"/>
      <c r="D451" s="854"/>
      <c r="E451" s="854"/>
      <c r="F451" s="858"/>
    </row>
    <row r="452" spans="1:6" x14ac:dyDescent="0.2">
      <c r="A452" s="859" t="s">
        <v>1069</v>
      </c>
      <c r="B452" s="860">
        <v>42053</v>
      </c>
      <c r="C452" s="854">
        <v>17500000</v>
      </c>
      <c r="D452" s="854">
        <v>17500000</v>
      </c>
      <c r="E452" s="854">
        <v>0</v>
      </c>
      <c r="F452" s="858">
        <v>1</v>
      </c>
    </row>
    <row r="453" spans="1:6" x14ac:dyDescent="0.2">
      <c r="A453" s="857" t="s">
        <v>1070</v>
      </c>
      <c r="B453" s="860"/>
      <c r="C453" s="854"/>
      <c r="D453" s="854"/>
      <c r="E453" s="854"/>
      <c r="F453" s="858"/>
    </row>
    <row r="454" spans="1:6" x14ac:dyDescent="0.2">
      <c r="A454" s="859" t="s">
        <v>1071</v>
      </c>
      <c r="B454" s="860">
        <v>42033</v>
      </c>
      <c r="C454" s="854">
        <v>10000000</v>
      </c>
      <c r="D454" s="854">
        <v>10000000</v>
      </c>
      <c r="E454" s="854">
        <v>0</v>
      </c>
      <c r="F454" s="858">
        <v>1</v>
      </c>
    </row>
    <row r="455" spans="1:6" x14ac:dyDescent="0.2">
      <c r="A455" s="857" t="s">
        <v>1100</v>
      </c>
      <c r="B455" s="860"/>
      <c r="C455" s="854"/>
      <c r="D455" s="854"/>
      <c r="E455" s="854"/>
      <c r="F455" s="858"/>
    </row>
    <row r="456" spans="1:6" x14ac:dyDescent="0.2">
      <c r="A456" s="859" t="s">
        <v>435</v>
      </c>
      <c r="B456" s="860">
        <v>42207</v>
      </c>
      <c r="C456" s="854">
        <v>6252000</v>
      </c>
      <c r="D456" s="854">
        <v>5665189</v>
      </c>
      <c r="E456" s="854">
        <v>586811</v>
      </c>
      <c r="F456" s="858">
        <v>0.90614027511196416</v>
      </c>
    </row>
    <row r="457" spans="1:6" x14ac:dyDescent="0.2">
      <c r="A457" s="857" t="s">
        <v>1332</v>
      </c>
      <c r="B457" s="860"/>
      <c r="C457" s="854"/>
      <c r="D457" s="854"/>
      <c r="E457" s="854"/>
      <c r="F457" s="858"/>
    </row>
    <row r="458" spans="1:6" x14ac:dyDescent="0.2">
      <c r="A458" s="859" t="s">
        <v>1333</v>
      </c>
      <c r="B458" s="860">
        <v>42027</v>
      </c>
      <c r="C458" s="854">
        <v>4136000</v>
      </c>
      <c r="D458" s="854">
        <v>2251047</v>
      </c>
      <c r="E458" s="854">
        <v>1884953</v>
      </c>
      <c r="F458" s="858">
        <v>0.54425701160541584</v>
      </c>
    </row>
    <row r="459" spans="1:6" x14ac:dyDescent="0.2">
      <c r="A459" s="857" t="s">
        <v>919</v>
      </c>
      <c r="B459" s="860"/>
      <c r="C459" s="854"/>
      <c r="D459" s="854"/>
      <c r="E459" s="854"/>
      <c r="F459" s="858"/>
    </row>
    <row r="460" spans="1:6" x14ac:dyDescent="0.2">
      <c r="A460" s="859" t="s">
        <v>1103</v>
      </c>
      <c r="B460" s="860">
        <v>42202</v>
      </c>
      <c r="C460" s="854">
        <v>3846133</v>
      </c>
      <c r="D460" s="854">
        <v>0</v>
      </c>
      <c r="E460" s="854">
        <v>3846133</v>
      </c>
      <c r="F460" s="858">
        <v>0</v>
      </c>
    </row>
    <row r="461" spans="1:6" x14ac:dyDescent="0.2">
      <c r="A461" s="857" t="s">
        <v>1105</v>
      </c>
      <c r="B461" s="860"/>
      <c r="C461" s="854"/>
      <c r="D461" s="854"/>
      <c r="E461" s="854"/>
      <c r="F461" s="858"/>
    </row>
    <row r="462" spans="1:6" x14ac:dyDescent="0.2">
      <c r="A462" s="859" t="s">
        <v>100</v>
      </c>
      <c r="B462" s="860">
        <v>42129</v>
      </c>
      <c r="C462" s="854">
        <v>30000000</v>
      </c>
      <c r="D462" s="854">
        <v>28330110</v>
      </c>
      <c r="E462" s="854">
        <v>1669890</v>
      </c>
      <c r="F462" s="858">
        <v>0.94433699999999998</v>
      </c>
    </row>
    <row r="463" spans="1:6" x14ac:dyDescent="0.2">
      <c r="A463" s="857" t="s">
        <v>1107</v>
      </c>
      <c r="B463" s="860"/>
      <c r="C463" s="854"/>
      <c r="D463" s="854"/>
      <c r="E463" s="854"/>
      <c r="F463" s="858"/>
    </row>
    <row r="464" spans="1:6" x14ac:dyDescent="0.2">
      <c r="A464" s="859" t="s">
        <v>222</v>
      </c>
      <c r="B464" s="860">
        <v>42008</v>
      </c>
      <c r="C464" s="854">
        <v>55000000</v>
      </c>
      <c r="D464" s="854">
        <v>55000000</v>
      </c>
      <c r="E464" s="854">
        <v>0</v>
      </c>
      <c r="F464" s="858">
        <v>1</v>
      </c>
    </row>
    <row r="465" spans="1:6" x14ac:dyDescent="0.2">
      <c r="A465" s="857" t="s">
        <v>1112</v>
      </c>
      <c r="B465" s="860"/>
      <c r="C465" s="854"/>
      <c r="D465" s="854"/>
      <c r="E465" s="854"/>
      <c r="F465" s="858"/>
    </row>
    <row r="466" spans="1:6" x14ac:dyDescent="0.2">
      <c r="A466" s="859" t="s">
        <v>1113</v>
      </c>
      <c r="B466" s="860">
        <v>42021</v>
      </c>
      <c r="C466" s="854">
        <v>14153603</v>
      </c>
      <c r="D466" s="854">
        <v>14153603</v>
      </c>
      <c r="E466" s="854">
        <v>0</v>
      </c>
      <c r="F466" s="858">
        <v>1</v>
      </c>
    </row>
    <row r="467" spans="1:6" x14ac:dyDescent="0.2">
      <c r="A467" s="857" t="s">
        <v>1118</v>
      </c>
      <c r="B467" s="860"/>
      <c r="C467" s="854"/>
      <c r="D467" s="854"/>
      <c r="E467" s="854"/>
      <c r="F467" s="858"/>
    </row>
    <row r="468" spans="1:6" x14ac:dyDescent="0.2">
      <c r="A468" s="859" t="s">
        <v>1119</v>
      </c>
      <c r="B468" s="860">
        <v>42004</v>
      </c>
      <c r="C468" s="854">
        <v>812500</v>
      </c>
      <c r="D468" s="854">
        <v>812500</v>
      </c>
      <c r="E468" s="854">
        <v>0</v>
      </c>
      <c r="F468" s="858">
        <v>1</v>
      </c>
    </row>
    <row r="469" spans="1:6" x14ac:dyDescent="0.2">
      <c r="A469" s="857" t="s">
        <v>1109</v>
      </c>
      <c r="B469" s="860"/>
      <c r="C469" s="854"/>
      <c r="D469" s="854"/>
      <c r="E469" s="854"/>
      <c r="F469" s="858"/>
    </row>
    <row r="470" spans="1:6" x14ac:dyDescent="0.2">
      <c r="A470" s="859" t="s">
        <v>1110</v>
      </c>
      <c r="B470" s="860">
        <v>42116</v>
      </c>
      <c r="C470" s="854">
        <v>818527824</v>
      </c>
      <c r="D470" s="854">
        <v>800790708</v>
      </c>
      <c r="E470" s="854">
        <v>17737116</v>
      </c>
      <c r="F470" s="858">
        <v>0.97833046662565259</v>
      </c>
    </row>
    <row r="471" spans="1:6" x14ac:dyDescent="0.2">
      <c r="A471" s="857" t="s">
        <v>1115</v>
      </c>
      <c r="B471" s="860"/>
      <c r="C471" s="854"/>
      <c r="D471" s="854"/>
      <c r="E471" s="854"/>
      <c r="F471" s="858"/>
    </row>
    <row r="472" spans="1:6" x14ac:dyDescent="0.2">
      <c r="A472" s="859" t="s">
        <v>1116</v>
      </c>
      <c r="B472" s="860">
        <v>42369</v>
      </c>
      <c r="C472" s="854">
        <v>75520000</v>
      </c>
      <c r="D472" s="854">
        <v>75519999</v>
      </c>
      <c r="E472" s="854">
        <v>1</v>
      </c>
      <c r="F472" s="858">
        <v>0.99999998675847457</v>
      </c>
    </row>
    <row r="473" spans="1:6" x14ac:dyDescent="0.2">
      <c r="A473" s="857" t="s">
        <v>1161</v>
      </c>
      <c r="B473" s="860"/>
      <c r="C473" s="854"/>
      <c r="D473" s="854"/>
      <c r="E473" s="854"/>
      <c r="F473" s="858"/>
    </row>
    <row r="474" spans="1:6" x14ac:dyDescent="0.2">
      <c r="A474" s="859" t="s">
        <v>1162</v>
      </c>
      <c r="B474" s="860">
        <v>42301</v>
      </c>
      <c r="C474" s="854">
        <v>16592327</v>
      </c>
      <c r="D474" s="854">
        <v>14933095</v>
      </c>
      <c r="E474" s="854">
        <v>1659232</v>
      </c>
      <c r="F474" s="858">
        <v>0.90000004218817531</v>
      </c>
    </row>
    <row r="475" spans="1:6" x14ac:dyDescent="0.2">
      <c r="A475" s="857" t="s">
        <v>1154</v>
      </c>
      <c r="B475" s="860"/>
      <c r="C475" s="854"/>
      <c r="D475" s="854"/>
      <c r="E475" s="854"/>
      <c r="F475" s="858"/>
    </row>
    <row r="476" spans="1:6" x14ac:dyDescent="0.2">
      <c r="A476" s="859" t="s">
        <v>33</v>
      </c>
      <c r="B476" s="860">
        <v>42277</v>
      </c>
      <c r="C476" s="854">
        <v>807000</v>
      </c>
      <c r="D476" s="854">
        <v>807000</v>
      </c>
      <c r="E476" s="854">
        <v>0</v>
      </c>
      <c r="F476" s="858">
        <v>1</v>
      </c>
    </row>
    <row r="477" spans="1:6" x14ac:dyDescent="0.2">
      <c r="A477" s="857" t="s">
        <v>1159</v>
      </c>
      <c r="B477" s="860"/>
      <c r="C477" s="854"/>
      <c r="D477" s="854"/>
      <c r="E477" s="854"/>
      <c r="F477" s="858"/>
    </row>
    <row r="478" spans="1:6" x14ac:dyDescent="0.2">
      <c r="A478" s="859" t="s">
        <v>1160</v>
      </c>
      <c r="B478" s="860">
        <v>42138</v>
      </c>
      <c r="C478" s="854">
        <v>41850000</v>
      </c>
      <c r="D478" s="854">
        <v>26363000</v>
      </c>
      <c r="E478" s="854">
        <v>15487000</v>
      </c>
      <c r="F478" s="858">
        <v>0.6299402628434887</v>
      </c>
    </row>
    <row r="479" spans="1:6" x14ac:dyDescent="0.2">
      <c r="A479" s="857" t="s">
        <v>1156</v>
      </c>
      <c r="B479" s="860"/>
      <c r="C479" s="854"/>
      <c r="D479" s="854"/>
      <c r="E479" s="854"/>
      <c r="F479" s="858"/>
    </row>
    <row r="480" spans="1:6" x14ac:dyDescent="0.2">
      <c r="A480" s="859" t="s">
        <v>186</v>
      </c>
      <c r="B480" s="860">
        <v>41996</v>
      </c>
      <c r="C480" s="854">
        <v>311460000</v>
      </c>
      <c r="D480" s="854">
        <v>93438000</v>
      </c>
      <c r="E480" s="854">
        <v>218022000</v>
      </c>
      <c r="F480" s="858">
        <v>0.3</v>
      </c>
    </row>
    <row r="481" spans="1:6" x14ac:dyDescent="0.2">
      <c r="A481" s="857" t="s">
        <v>1157</v>
      </c>
      <c r="B481" s="860"/>
      <c r="C481" s="854"/>
      <c r="D481" s="854"/>
      <c r="E481" s="854"/>
      <c r="F481" s="858"/>
    </row>
    <row r="482" spans="1:6" x14ac:dyDescent="0.2">
      <c r="A482" s="859" t="s">
        <v>22</v>
      </c>
      <c r="B482" s="860">
        <v>42477</v>
      </c>
      <c r="C482" s="854">
        <v>66816000</v>
      </c>
      <c r="D482" s="854">
        <v>66816000</v>
      </c>
      <c r="E482" s="854">
        <v>0</v>
      </c>
      <c r="F482" s="858">
        <v>1</v>
      </c>
    </row>
    <row r="483" spans="1:6" x14ac:dyDescent="0.2">
      <c r="A483" s="857" t="s">
        <v>599</v>
      </c>
      <c r="B483" s="860"/>
      <c r="C483" s="854"/>
      <c r="D483" s="854"/>
      <c r="E483" s="854"/>
      <c r="F483" s="858"/>
    </row>
    <row r="484" spans="1:6" x14ac:dyDescent="0.2">
      <c r="A484" s="859" t="s">
        <v>1025</v>
      </c>
      <c r="B484" s="860">
        <v>41580</v>
      </c>
      <c r="C484" s="854">
        <v>9037264</v>
      </c>
      <c r="D484" s="854">
        <v>7492420</v>
      </c>
      <c r="E484" s="854">
        <v>1544844</v>
      </c>
      <c r="F484" s="858">
        <v>0.82905844069621071</v>
      </c>
    </row>
    <row r="485" spans="1:6" x14ac:dyDescent="0.2">
      <c r="A485" s="857" t="s">
        <v>857</v>
      </c>
      <c r="B485" s="860"/>
      <c r="C485" s="854"/>
      <c r="D485" s="854"/>
      <c r="E485" s="854"/>
      <c r="F485" s="858"/>
    </row>
    <row r="486" spans="1:6" x14ac:dyDescent="0.2">
      <c r="A486" s="859" t="s">
        <v>1337</v>
      </c>
      <c r="B486" s="860">
        <v>41975</v>
      </c>
      <c r="C486" s="854">
        <v>150000000</v>
      </c>
      <c r="D486" s="854">
        <v>0</v>
      </c>
      <c r="E486" s="854">
        <v>150000000</v>
      </c>
      <c r="F486" s="858">
        <v>0</v>
      </c>
    </row>
    <row r="487" spans="1:6" x14ac:dyDescent="0.2">
      <c r="A487" s="857" t="s">
        <v>1328</v>
      </c>
      <c r="B487" s="860"/>
      <c r="C487" s="854"/>
      <c r="D487" s="854"/>
      <c r="E487" s="854"/>
      <c r="F487" s="858"/>
    </row>
    <row r="488" spans="1:6" x14ac:dyDescent="0.2">
      <c r="A488" s="859" t="s">
        <v>1019</v>
      </c>
      <c r="B488" s="860">
        <v>42305</v>
      </c>
      <c r="C488" s="854">
        <v>810000</v>
      </c>
      <c r="D488" s="854">
        <v>810000</v>
      </c>
      <c r="E488" s="854">
        <v>0</v>
      </c>
      <c r="F488" s="858">
        <v>1</v>
      </c>
    </row>
    <row r="489" spans="1:6" x14ac:dyDescent="0.2">
      <c r="A489" s="857" t="s">
        <v>1335</v>
      </c>
      <c r="B489" s="860"/>
      <c r="C489" s="854"/>
      <c r="D489" s="854"/>
      <c r="E489" s="854"/>
      <c r="F489" s="858"/>
    </row>
    <row r="490" spans="1:6" x14ac:dyDescent="0.2">
      <c r="A490" s="859" t="s">
        <v>203</v>
      </c>
      <c r="B490" s="860">
        <v>42085</v>
      </c>
      <c r="C490" s="854">
        <v>4621440</v>
      </c>
      <c r="D490" s="854">
        <v>4621440</v>
      </c>
      <c r="E490" s="854">
        <v>0</v>
      </c>
      <c r="F490" s="858">
        <v>1</v>
      </c>
    </row>
    <row r="491" spans="1:6" x14ac:dyDescent="0.2">
      <c r="A491" s="857" t="s">
        <v>1330</v>
      </c>
      <c r="B491" s="860"/>
      <c r="C491" s="854"/>
      <c r="D491" s="854"/>
      <c r="E491" s="854"/>
      <c r="F491" s="858"/>
    </row>
    <row r="492" spans="1:6" x14ac:dyDescent="0.2">
      <c r="A492" s="859" t="s">
        <v>212</v>
      </c>
      <c r="B492" s="860">
        <v>41970</v>
      </c>
      <c r="C492" s="854">
        <v>324800</v>
      </c>
      <c r="D492" s="854">
        <v>324800</v>
      </c>
      <c r="E492" s="854">
        <v>0</v>
      </c>
      <c r="F492" s="858">
        <v>1</v>
      </c>
    </row>
    <row r="493" spans="1:6" x14ac:dyDescent="0.2">
      <c r="A493" s="857" t="s">
        <v>1343</v>
      </c>
      <c r="B493" s="860"/>
      <c r="C493" s="854"/>
      <c r="D493" s="854"/>
      <c r="E493" s="854"/>
      <c r="F493" s="858"/>
    </row>
    <row r="494" spans="1:6" x14ac:dyDescent="0.2">
      <c r="A494" s="859" t="s">
        <v>1344</v>
      </c>
      <c r="B494" s="860">
        <v>42241</v>
      </c>
      <c r="C494" s="854">
        <v>2459960</v>
      </c>
      <c r="D494" s="854">
        <v>2457884</v>
      </c>
      <c r="E494" s="854">
        <v>2076</v>
      </c>
      <c r="F494" s="858">
        <v>0.99915608383876164</v>
      </c>
    </row>
    <row r="495" spans="1:6" x14ac:dyDescent="0.2">
      <c r="A495" s="857" t="s">
        <v>1346</v>
      </c>
      <c r="B495" s="860"/>
      <c r="C495" s="854"/>
      <c r="D495" s="854"/>
      <c r="E495" s="854"/>
      <c r="F495" s="858"/>
    </row>
    <row r="496" spans="1:6" x14ac:dyDescent="0.2">
      <c r="A496" s="859" t="s">
        <v>1347</v>
      </c>
      <c r="B496" s="860">
        <v>42077</v>
      </c>
      <c r="C496" s="854">
        <v>20188000</v>
      </c>
      <c r="D496" s="854">
        <v>20188000</v>
      </c>
      <c r="E496" s="854">
        <v>0</v>
      </c>
      <c r="F496" s="858">
        <v>1</v>
      </c>
    </row>
    <row r="497" spans="1:6" x14ac:dyDescent="0.2">
      <c r="A497" s="857" t="s">
        <v>2252</v>
      </c>
      <c r="B497" s="860"/>
      <c r="C497" s="854"/>
      <c r="D497" s="854"/>
      <c r="E497" s="854"/>
      <c r="F497" s="858"/>
    </row>
    <row r="498" spans="1:6" x14ac:dyDescent="0.2">
      <c r="A498" s="859" t="s">
        <v>3</v>
      </c>
      <c r="B498" s="860">
        <v>41452</v>
      </c>
      <c r="C498" s="854">
        <v>315000000</v>
      </c>
      <c r="D498" s="854">
        <v>314473887</v>
      </c>
      <c r="E498" s="854">
        <v>526113</v>
      </c>
      <c r="F498" s="858">
        <v>0.99832980000000004</v>
      </c>
    </row>
    <row r="499" spans="1:6" x14ac:dyDescent="0.2">
      <c r="A499" s="857" t="s">
        <v>1350</v>
      </c>
      <c r="B499" s="860"/>
      <c r="C499" s="854"/>
      <c r="D499" s="854"/>
      <c r="E499" s="854"/>
      <c r="F499" s="858"/>
    </row>
    <row r="500" spans="1:6" x14ac:dyDescent="0.2">
      <c r="A500" s="859" t="s">
        <v>1351</v>
      </c>
      <c r="B500" s="860">
        <v>42184</v>
      </c>
      <c r="C500" s="854">
        <v>59383678</v>
      </c>
      <c r="D500" s="854">
        <v>27770152</v>
      </c>
      <c r="E500" s="854">
        <v>31613526</v>
      </c>
      <c r="F500" s="858">
        <v>0.46763947494124564</v>
      </c>
    </row>
    <row r="501" spans="1:6" x14ac:dyDescent="0.2">
      <c r="A501" s="857" t="s">
        <v>1353</v>
      </c>
      <c r="B501" s="860"/>
      <c r="C501" s="854"/>
      <c r="D501" s="854"/>
      <c r="E501" s="854"/>
      <c r="F501" s="858"/>
    </row>
    <row r="502" spans="1:6" x14ac:dyDescent="0.2">
      <c r="A502" s="859" t="s">
        <v>27</v>
      </c>
      <c r="B502" s="860">
        <v>42335</v>
      </c>
      <c r="C502" s="854">
        <v>764100</v>
      </c>
      <c r="D502" s="854">
        <v>764100</v>
      </c>
      <c r="E502" s="854">
        <v>0</v>
      </c>
      <c r="F502" s="858">
        <v>1</v>
      </c>
    </row>
    <row r="503" spans="1:6" x14ac:dyDescent="0.2">
      <c r="A503" s="857" t="s">
        <v>1355</v>
      </c>
      <c r="B503" s="860"/>
      <c r="C503" s="854"/>
      <c r="D503" s="854"/>
      <c r="E503" s="854"/>
      <c r="F503" s="858"/>
    </row>
    <row r="504" spans="1:6" x14ac:dyDescent="0.2">
      <c r="A504" s="859" t="s">
        <v>1356</v>
      </c>
      <c r="B504" s="860">
        <v>42208</v>
      </c>
      <c r="C504" s="854">
        <v>162856033</v>
      </c>
      <c r="D504" s="854">
        <v>20799042</v>
      </c>
      <c r="E504" s="854">
        <v>142056991</v>
      </c>
      <c r="F504" s="858">
        <v>0.12771428615113078</v>
      </c>
    </row>
    <row r="505" spans="1:6" x14ac:dyDescent="0.2">
      <c r="A505" s="857" t="s">
        <v>1358</v>
      </c>
      <c r="B505" s="860"/>
      <c r="C505" s="854"/>
      <c r="D505" s="854"/>
      <c r="E505" s="854"/>
      <c r="F505" s="858"/>
    </row>
    <row r="506" spans="1:6" x14ac:dyDescent="0.2">
      <c r="A506" s="859" t="s">
        <v>1359</v>
      </c>
      <c r="B506" s="860">
        <v>42334</v>
      </c>
      <c r="C506" s="854">
        <v>27235640</v>
      </c>
      <c r="D506" s="854">
        <v>17369840</v>
      </c>
      <c r="E506" s="854">
        <v>9865800</v>
      </c>
      <c r="F506" s="858">
        <v>0.63776140380765789</v>
      </c>
    </row>
    <row r="507" spans="1:6" x14ac:dyDescent="0.2">
      <c r="A507" s="857" t="s">
        <v>1365</v>
      </c>
      <c r="B507" s="860"/>
      <c r="C507" s="854"/>
      <c r="D507" s="854"/>
      <c r="E507" s="854"/>
      <c r="F507" s="858"/>
    </row>
    <row r="508" spans="1:6" x14ac:dyDescent="0.2">
      <c r="A508" s="859" t="s">
        <v>1366</v>
      </c>
      <c r="B508" s="860">
        <v>42504</v>
      </c>
      <c r="C508" s="854">
        <v>39999999</v>
      </c>
      <c r="D508" s="854">
        <v>39999998</v>
      </c>
      <c r="E508" s="854">
        <v>1</v>
      </c>
      <c r="F508" s="858">
        <v>0.99999997499999937</v>
      </c>
    </row>
    <row r="509" spans="1:6" x14ac:dyDescent="0.2">
      <c r="A509" s="857" t="s">
        <v>1363</v>
      </c>
      <c r="B509" s="860"/>
      <c r="C509" s="854"/>
      <c r="D509" s="854"/>
      <c r="E509" s="854"/>
      <c r="F509" s="858"/>
    </row>
    <row r="510" spans="1:6" x14ac:dyDescent="0.2">
      <c r="A510" s="859" t="s">
        <v>1534</v>
      </c>
      <c r="B510" s="860">
        <v>42063</v>
      </c>
      <c r="C510" s="854">
        <v>17664500</v>
      </c>
      <c r="D510" s="854">
        <v>17664500</v>
      </c>
      <c r="E510" s="854">
        <v>0</v>
      </c>
      <c r="F510" s="858">
        <v>1</v>
      </c>
    </row>
    <row r="511" spans="1:6" x14ac:dyDescent="0.2">
      <c r="A511" s="857" t="s">
        <v>1418</v>
      </c>
      <c r="B511" s="860"/>
      <c r="C511" s="854"/>
      <c r="D511" s="854"/>
      <c r="E511" s="854"/>
      <c r="F511" s="858"/>
    </row>
    <row r="512" spans="1:6" x14ac:dyDescent="0.2">
      <c r="A512" s="859" t="s">
        <v>1419</v>
      </c>
      <c r="B512" s="860">
        <v>42060</v>
      </c>
      <c r="C512" s="854">
        <v>4750000</v>
      </c>
      <c r="D512" s="854">
        <v>3978684</v>
      </c>
      <c r="E512" s="854">
        <v>771316</v>
      </c>
      <c r="F512" s="858">
        <v>0.83761768421052629</v>
      </c>
    </row>
    <row r="513" spans="1:6" x14ac:dyDescent="0.2">
      <c r="A513" s="857" t="s">
        <v>1423</v>
      </c>
      <c r="B513" s="860"/>
      <c r="C513" s="854"/>
      <c r="D513" s="854"/>
      <c r="E513" s="854"/>
      <c r="F513" s="858"/>
    </row>
    <row r="514" spans="1:6" x14ac:dyDescent="0.2">
      <c r="A514" s="859" t="s">
        <v>428</v>
      </c>
      <c r="B514" s="860">
        <v>42205</v>
      </c>
      <c r="C514" s="854">
        <v>668707669</v>
      </c>
      <c r="D514" s="854">
        <v>665337830</v>
      </c>
      <c r="E514" s="854">
        <v>3369839</v>
      </c>
      <c r="F514" s="858">
        <v>0.99496066942818329</v>
      </c>
    </row>
    <row r="515" spans="1:6" x14ac:dyDescent="0.2">
      <c r="A515" s="857" t="s">
        <v>1473</v>
      </c>
      <c r="B515" s="860"/>
      <c r="C515" s="854"/>
      <c r="D515" s="854"/>
      <c r="E515" s="854"/>
      <c r="F515" s="858"/>
    </row>
    <row r="516" spans="1:6" x14ac:dyDescent="0.2">
      <c r="A516" s="859" t="s">
        <v>64</v>
      </c>
      <c r="B516" s="860">
        <v>42335</v>
      </c>
      <c r="C516" s="854">
        <v>401058400</v>
      </c>
      <c r="D516" s="854">
        <v>401058400</v>
      </c>
      <c r="E516" s="854">
        <v>0</v>
      </c>
      <c r="F516" s="858">
        <v>1</v>
      </c>
    </row>
    <row r="517" spans="1:6" x14ac:dyDescent="0.2">
      <c r="A517" s="857" t="s">
        <v>1476</v>
      </c>
      <c r="B517" s="860"/>
      <c r="C517" s="854"/>
      <c r="D517" s="854"/>
      <c r="E517" s="854"/>
      <c r="F517" s="858"/>
    </row>
    <row r="518" spans="1:6" x14ac:dyDescent="0.2">
      <c r="A518" s="859" t="s">
        <v>3</v>
      </c>
      <c r="B518" s="860">
        <v>42063</v>
      </c>
      <c r="C518" s="854">
        <v>171253333</v>
      </c>
      <c r="D518" s="854">
        <v>123537109</v>
      </c>
      <c r="E518" s="854">
        <v>47716224</v>
      </c>
      <c r="F518" s="858">
        <v>0.72137053823063402</v>
      </c>
    </row>
    <row r="519" spans="1:6" x14ac:dyDescent="0.2">
      <c r="A519" s="857" t="s">
        <v>1484</v>
      </c>
      <c r="B519" s="860"/>
      <c r="C519" s="854"/>
      <c r="D519" s="854"/>
      <c r="E519" s="854"/>
      <c r="F519" s="858"/>
    </row>
    <row r="520" spans="1:6" x14ac:dyDescent="0.2">
      <c r="A520" s="859" t="s">
        <v>1595</v>
      </c>
      <c r="B520" s="860">
        <v>42044</v>
      </c>
      <c r="C520" s="854">
        <v>12700000</v>
      </c>
      <c r="D520" s="854">
        <v>12458400</v>
      </c>
      <c r="E520" s="854">
        <v>241600</v>
      </c>
      <c r="F520" s="858">
        <v>0.98097637795275594</v>
      </c>
    </row>
    <row r="521" spans="1:6" x14ac:dyDescent="0.2">
      <c r="A521" s="857" t="s">
        <v>1480</v>
      </c>
      <c r="B521" s="860"/>
      <c r="C521" s="854"/>
      <c r="D521" s="854"/>
      <c r="E521" s="854"/>
      <c r="F521" s="858"/>
    </row>
    <row r="522" spans="1:6" x14ac:dyDescent="0.2">
      <c r="A522" s="859" t="s">
        <v>1481</v>
      </c>
      <c r="B522" s="860">
        <v>42013</v>
      </c>
      <c r="C522" s="854">
        <v>39424000</v>
      </c>
      <c r="D522" s="854">
        <v>39424000</v>
      </c>
      <c r="E522" s="854">
        <v>0</v>
      </c>
      <c r="F522" s="858">
        <v>1</v>
      </c>
    </row>
    <row r="523" spans="1:6" x14ac:dyDescent="0.2">
      <c r="A523" s="857" t="s">
        <v>1496</v>
      </c>
      <c r="B523" s="860"/>
      <c r="C523" s="854"/>
      <c r="D523" s="854"/>
      <c r="E523" s="854"/>
      <c r="F523" s="858"/>
    </row>
    <row r="524" spans="1:6" x14ac:dyDescent="0.2">
      <c r="A524" s="859" t="s">
        <v>418</v>
      </c>
      <c r="B524" s="860">
        <v>42102</v>
      </c>
      <c r="C524" s="854">
        <v>187940000</v>
      </c>
      <c r="D524" s="854">
        <v>187940000</v>
      </c>
      <c r="E524" s="854">
        <v>0</v>
      </c>
      <c r="F524" s="858">
        <v>1</v>
      </c>
    </row>
    <row r="525" spans="1:6" x14ac:dyDescent="0.2">
      <c r="A525" s="857" t="s">
        <v>1490</v>
      </c>
      <c r="B525" s="860"/>
      <c r="C525" s="854"/>
      <c r="D525" s="854"/>
      <c r="E525" s="854"/>
      <c r="F525" s="858"/>
    </row>
    <row r="526" spans="1:6" x14ac:dyDescent="0.2">
      <c r="A526" s="859" t="s">
        <v>1491</v>
      </c>
      <c r="B526" s="860">
        <v>42140</v>
      </c>
      <c r="C526" s="854">
        <v>300000000</v>
      </c>
      <c r="D526" s="854">
        <v>238626484</v>
      </c>
      <c r="E526" s="854">
        <v>61373516</v>
      </c>
      <c r="F526" s="858">
        <v>0.79542161333333339</v>
      </c>
    </row>
    <row r="527" spans="1:6" x14ac:dyDescent="0.2">
      <c r="A527" s="857" t="s">
        <v>1493</v>
      </c>
      <c r="B527" s="860"/>
      <c r="C527" s="854"/>
      <c r="D527" s="854"/>
      <c r="E527" s="854"/>
      <c r="F527" s="858"/>
    </row>
    <row r="528" spans="1:6" x14ac:dyDescent="0.2">
      <c r="A528" s="859" t="s">
        <v>1419</v>
      </c>
      <c r="B528" s="860">
        <v>42109</v>
      </c>
      <c r="C528" s="854">
        <v>29997466</v>
      </c>
      <c r="D528" s="854">
        <v>29997466</v>
      </c>
      <c r="E528" s="854">
        <v>0</v>
      </c>
      <c r="F528" s="858">
        <v>1</v>
      </c>
    </row>
    <row r="529" spans="1:6" x14ac:dyDescent="0.2">
      <c r="A529" s="857" t="s">
        <v>1500</v>
      </c>
      <c r="B529" s="860"/>
      <c r="C529" s="854"/>
      <c r="D529" s="854"/>
      <c r="E529" s="854"/>
      <c r="F529" s="858"/>
    </row>
    <row r="530" spans="1:6" x14ac:dyDescent="0.2">
      <c r="A530" s="859" t="s">
        <v>1501</v>
      </c>
      <c r="B530" s="860">
        <v>42279</v>
      </c>
      <c r="C530" s="854">
        <v>1624000</v>
      </c>
      <c r="D530" s="854">
        <v>0</v>
      </c>
      <c r="E530" s="854">
        <v>1624000</v>
      </c>
      <c r="F530" s="858">
        <v>0</v>
      </c>
    </row>
    <row r="531" spans="1:6" x14ac:dyDescent="0.2">
      <c r="A531" s="857" t="s">
        <v>1515</v>
      </c>
      <c r="B531" s="860"/>
      <c r="C531" s="854"/>
      <c r="D531" s="854"/>
      <c r="E531" s="854"/>
      <c r="F531" s="858"/>
    </row>
    <row r="532" spans="1:6" x14ac:dyDescent="0.2">
      <c r="A532" s="859" t="s">
        <v>1516</v>
      </c>
      <c r="B532" s="860">
        <v>42348</v>
      </c>
      <c r="C532" s="854">
        <v>64621280</v>
      </c>
      <c r="D532" s="854">
        <v>64621280</v>
      </c>
      <c r="E532" s="854">
        <v>0</v>
      </c>
      <c r="F532" s="858">
        <v>1</v>
      </c>
    </row>
    <row r="533" spans="1:6" x14ac:dyDescent="0.2">
      <c r="A533" s="857" t="s">
        <v>1524</v>
      </c>
      <c r="B533" s="860"/>
      <c r="C533" s="854"/>
      <c r="D533" s="854"/>
      <c r="E533" s="854"/>
      <c r="F533" s="858"/>
    </row>
    <row r="534" spans="1:6" x14ac:dyDescent="0.2">
      <c r="A534" s="859" t="s">
        <v>1359</v>
      </c>
      <c r="B534" s="860">
        <v>42383</v>
      </c>
      <c r="C534" s="854">
        <v>137450000</v>
      </c>
      <c r="D534" s="854">
        <v>137449999</v>
      </c>
      <c r="E534" s="854">
        <v>1</v>
      </c>
      <c r="F534" s="858">
        <v>0.99999999272462714</v>
      </c>
    </row>
    <row r="535" spans="1:6" x14ac:dyDescent="0.2">
      <c r="A535" s="857" t="s">
        <v>1528</v>
      </c>
      <c r="B535" s="860"/>
      <c r="C535" s="854"/>
      <c r="D535" s="854"/>
      <c r="E535" s="854"/>
      <c r="F535" s="858"/>
    </row>
    <row r="536" spans="1:6" x14ac:dyDescent="0.2">
      <c r="A536" s="859" t="s">
        <v>1529</v>
      </c>
      <c r="B536" s="860">
        <v>42338</v>
      </c>
      <c r="C536" s="854">
        <v>309210000</v>
      </c>
      <c r="D536" s="854">
        <v>309210000</v>
      </c>
      <c r="E536" s="854">
        <v>0</v>
      </c>
      <c r="F536" s="858">
        <v>1</v>
      </c>
    </row>
    <row r="537" spans="1:6" x14ac:dyDescent="0.2">
      <c r="A537" s="857" t="s">
        <v>1535</v>
      </c>
      <c r="B537" s="860"/>
      <c r="C537" s="854"/>
      <c r="D537" s="854"/>
      <c r="E537" s="854"/>
      <c r="F537" s="858"/>
    </row>
    <row r="538" spans="1:6" x14ac:dyDescent="0.2">
      <c r="A538" s="859" t="s">
        <v>2021</v>
      </c>
      <c r="B538" s="860">
        <v>42396</v>
      </c>
      <c r="C538" s="854">
        <v>84000000</v>
      </c>
      <c r="D538" s="854">
        <v>84000000</v>
      </c>
      <c r="E538" s="854">
        <v>0</v>
      </c>
      <c r="F538" s="858">
        <v>1</v>
      </c>
    </row>
    <row r="539" spans="1:6" x14ac:dyDescent="0.2">
      <c r="A539" s="857" t="s">
        <v>1536</v>
      </c>
      <c r="B539" s="860"/>
      <c r="C539" s="854"/>
      <c r="D539" s="854"/>
      <c r="E539" s="854"/>
      <c r="F539" s="858"/>
    </row>
    <row r="540" spans="1:6" x14ac:dyDescent="0.2">
      <c r="A540" s="859" t="s">
        <v>1537</v>
      </c>
      <c r="B540" s="860">
        <v>42423</v>
      </c>
      <c r="C540" s="854">
        <v>4961088</v>
      </c>
      <c r="D540" s="854">
        <v>0</v>
      </c>
      <c r="E540" s="854">
        <v>4961088</v>
      </c>
      <c r="F540" s="858">
        <v>0</v>
      </c>
    </row>
    <row r="541" spans="1:6" x14ac:dyDescent="0.2">
      <c r="A541" s="857" t="s">
        <v>1539</v>
      </c>
      <c r="B541" s="860"/>
      <c r="C541" s="854"/>
      <c r="D541" s="854"/>
      <c r="E541" s="854"/>
      <c r="F541" s="858"/>
    </row>
    <row r="542" spans="1:6" x14ac:dyDescent="0.2">
      <c r="A542" s="859" t="s">
        <v>1540</v>
      </c>
      <c r="B542" s="860">
        <v>42079</v>
      </c>
      <c r="C542" s="854">
        <v>10075000</v>
      </c>
      <c r="D542" s="854">
        <v>10075000</v>
      </c>
      <c r="E542" s="854">
        <v>0</v>
      </c>
      <c r="F542" s="858">
        <v>1</v>
      </c>
    </row>
    <row r="543" spans="1:6" x14ac:dyDescent="0.2">
      <c r="A543" s="857" t="s">
        <v>1542</v>
      </c>
      <c r="B543" s="860"/>
      <c r="C543" s="854"/>
      <c r="D543" s="854"/>
      <c r="E543" s="854"/>
      <c r="F543" s="858"/>
    </row>
    <row r="544" spans="1:6" x14ac:dyDescent="0.2">
      <c r="A544" s="859" t="s">
        <v>1034</v>
      </c>
      <c r="B544" s="860">
        <v>42402</v>
      </c>
      <c r="C544" s="854">
        <v>46068000</v>
      </c>
      <c r="D544" s="854">
        <v>46068000</v>
      </c>
      <c r="E544" s="854">
        <v>0</v>
      </c>
      <c r="F544" s="858">
        <v>1</v>
      </c>
    </row>
    <row r="545" spans="1:6" x14ac:dyDescent="0.2">
      <c r="A545" s="857" t="s">
        <v>1545</v>
      </c>
      <c r="B545" s="860"/>
      <c r="C545" s="854"/>
      <c r="D545" s="854"/>
      <c r="E545" s="854"/>
      <c r="F545" s="858"/>
    </row>
    <row r="546" spans="1:6" x14ac:dyDescent="0.2">
      <c r="A546" s="859" t="s">
        <v>77</v>
      </c>
      <c r="B546" s="860">
        <v>42046</v>
      </c>
      <c r="C546" s="854">
        <v>0</v>
      </c>
      <c r="D546" s="854">
        <v>0</v>
      </c>
      <c r="E546" s="854">
        <v>0</v>
      </c>
      <c r="F546" s="858" t="e">
        <v>#DIV/0!</v>
      </c>
    </row>
    <row r="547" spans="1:6" x14ac:dyDescent="0.2">
      <c r="A547" s="857" t="s">
        <v>1549</v>
      </c>
      <c r="B547" s="860"/>
      <c r="C547" s="854"/>
      <c r="D547" s="854"/>
      <c r="E547" s="854"/>
      <c r="F547" s="858"/>
    </row>
    <row r="548" spans="1:6" x14ac:dyDescent="0.2">
      <c r="A548" s="859" t="s">
        <v>1032</v>
      </c>
      <c r="B548" s="860">
        <v>42410</v>
      </c>
      <c r="C548" s="854">
        <v>60000000</v>
      </c>
      <c r="D548" s="854">
        <v>60000000</v>
      </c>
      <c r="E548" s="854">
        <v>0</v>
      </c>
      <c r="F548" s="858">
        <v>1</v>
      </c>
    </row>
    <row r="549" spans="1:6" x14ac:dyDescent="0.2">
      <c r="A549" s="857" t="s">
        <v>1551</v>
      </c>
      <c r="B549" s="860"/>
      <c r="C549" s="854"/>
      <c r="D549" s="854"/>
      <c r="E549" s="854"/>
      <c r="F549" s="858"/>
    </row>
    <row r="550" spans="1:6" x14ac:dyDescent="0.2">
      <c r="A550" s="859" t="s">
        <v>2014</v>
      </c>
      <c r="B550" s="860">
        <v>42410</v>
      </c>
      <c r="C550" s="854">
        <v>63654000</v>
      </c>
      <c r="D550" s="854">
        <v>30235636</v>
      </c>
      <c r="E550" s="854">
        <v>33418364</v>
      </c>
      <c r="F550" s="858">
        <v>0.47499978006095456</v>
      </c>
    </row>
    <row r="551" spans="1:6" x14ac:dyDescent="0.2">
      <c r="A551" s="857" t="s">
        <v>1553</v>
      </c>
      <c r="B551" s="860"/>
      <c r="C551" s="854"/>
      <c r="D551" s="854"/>
      <c r="E551" s="854"/>
      <c r="F551" s="858"/>
    </row>
    <row r="552" spans="1:6" x14ac:dyDescent="0.2">
      <c r="A552" s="859" t="s">
        <v>1514</v>
      </c>
      <c r="B552" s="860">
        <v>42418</v>
      </c>
      <c r="C552" s="854">
        <v>48000000</v>
      </c>
      <c r="D552" s="854">
        <v>48000000</v>
      </c>
      <c r="E552" s="854">
        <v>0</v>
      </c>
      <c r="F552" s="858">
        <v>1</v>
      </c>
    </row>
    <row r="553" spans="1:6" x14ac:dyDescent="0.2">
      <c r="A553" s="857" t="s">
        <v>1566</v>
      </c>
      <c r="B553" s="860"/>
      <c r="C553" s="854"/>
      <c r="D553" s="854"/>
      <c r="E553" s="854"/>
      <c r="F553" s="858"/>
    </row>
    <row r="554" spans="1:6" x14ac:dyDescent="0.2">
      <c r="A554" s="859" t="s">
        <v>1565</v>
      </c>
      <c r="B554" s="860">
        <v>42419</v>
      </c>
      <c r="C554" s="854">
        <v>63654000</v>
      </c>
      <c r="D554" s="854">
        <v>63654000</v>
      </c>
      <c r="E554" s="854">
        <v>0</v>
      </c>
      <c r="F554" s="858">
        <v>1</v>
      </c>
    </row>
    <row r="555" spans="1:6" x14ac:dyDescent="0.2">
      <c r="A555" s="857" t="s">
        <v>1607</v>
      </c>
      <c r="B555" s="860"/>
      <c r="C555" s="854"/>
      <c r="D555" s="854"/>
      <c r="E555" s="854"/>
      <c r="F555" s="858"/>
    </row>
    <row r="556" spans="1:6" x14ac:dyDescent="0.2">
      <c r="A556" s="859" t="s">
        <v>2386</v>
      </c>
      <c r="B556" s="860">
        <v>42419</v>
      </c>
      <c r="C556" s="854">
        <v>60000000</v>
      </c>
      <c r="D556" s="854">
        <v>60000000</v>
      </c>
      <c r="E556" s="854">
        <v>0</v>
      </c>
      <c r="F556" s="858">
        <v>1</v>
      </c>
    </row>
    <row r="557" spans="1:6" x14ac:dyDescent="0.2">
      <c r="A557" s="857" t="s">
        <v>1556</v>
      </c>
      <c r="B557" s="860"/>
      <c r="C557" s="854"/>
      <c r="D557" s="854"/>
      <c r="E557" s="854"/>
      <c r="F557" s="858"/>
    </row>
    <row r="558" spans="1:6" x14ac:dyDescent="0.2">
      <c r="A558" s="859" t="s">
        <v>1069</v>
      </c>
      <c r="B558" s="860">
        <v>42425</v>
      </c>
      <c r="C558" s="854">
        <v>43260000</v>
      </c>
      <c r="D558" s="854">
        <v>43260000</v>
      </c>
      <c r="E558" s="854">
        <v>0</v>
      </c>
      <c r="F558" s="858">
        <v>1</v>
      </c>
    </row>
    <row r="559" spans="1:6" x14ac:dyDescent="0.2">
      <c r="A559" s="857" t="s">
        <v>1557</v>
      </c>
      <c r="B559" s="860"/>
      <c r="C559" s="854"/>
      <c r="D559" s="854"/>
      <c r="E559" s="854"/>
      <c r="F559" s="858"/>
    </row>
    <row r="560" spans="1:6" x14ac:dyDescent="0.2">
      <c r="A560" s="859" t="s">
        <v>2435</v>
      </c>
      <c r="B560" s="860">
        <v>42530</v>
      </c>
      <c r="C560" s="854">
        <v>63654000</v>
      </c>
      <c r="D560" s="854">
        <v>62769917</v>
      </c>
      <c r="E560" s="854">
        <v>884083</v>
      </c>
      <c r="F560" s="858">
        <v>0.98611111634775506</v>
      </c>
    </row>
    <row r="561" spans="1:6" x14ac:dyDescent="0.2">
      <c r="A561" s="857" t="s">
        <v>1575</v>
      </c>
      <c r="B561" s="860"/>
      <c r="C561" s="854"/>
      <c r="D561" s="854"/>
      <c r="E561" s="854"/>
      <c r="F561" s="858"/>
    </row>
    <row r="562" spans="1:6" x14ac:dyDescent="0.2">
      <c r="A562" s="859" t="s">
        <v>1576</v>
      </c>
      <c r="B562" s="860">
        <v>42431</v>
      </c>
      <c r="C562" s="854">
        <v>30900000</v>
      </c>
      <c r="D562" s="854">
        <v>30814167</v>
      </c>
      <c r="E562" s="854">
        <v>85833</v>
      </c>
      <c r="F562" s="858">
        <v>0.99722223300970869</v>
      </c>
    </row>
    <row r="563" spans="1:6" x14ac:dyDescent="0.2">
      <c r="A563" s="857" t="s">
        <v>1578</v>
      </c>
      <c r="B563" s="860"/>
      <c r="C563" s="854"/>
      <c r="D563" s="854"/>
      <c r="E563" s="854"/>
      <c r="F563" s="858"/>
    </row>
    <row r="564" spans="1:6" x14ac:dyDescent="0.2">
      <c r="A564" s="859" t="s">
        <v>3</v>
      </c>
      <c r="B564" s="860">
        <v>42339</v>
      </c>
      <c r="C564" s="854">
        <v>444600000</v>
      </c>
      <c r="D564" s="854">
        <v>365337152</v>
      </c>
      <c r="E564" s="854">
        <v>79262848</v>
      </c>
      <c r="F564" s="858">
        <v>0.82172098965362128</v>
      </c>
    </row>
    <row r="565" spans="1:6" x14ac:dyDescent="0.2">
      <c r="A565" s="857" t="s">
        <v>1579</v>
      </c>
      <c r="B565" s="860"/>
      <c r="C565" s="854"/>
      <c r="D565" s="854"/>
      <c r="E565" s="854"/>
      <c r="F565" s="858"/>
    </row>
    <row r="566" spans="1:6" x14ac:dyDescent="0.2">
      <c r="A566" s="859" t="s">
        <v>1033</v>
      </c>
      <c r="B566" s="860">
        <v>42439</v>
      </c>
      <c r="C566" s="854">
        <v>38400000</v>
      </c>
      <c r="D566" s="854">
        <v>38400000</v>
      </c>
      <c r="E566" s="854">
        <v>0</v>
      </c>
      <c r="F566" s="858">
        <v>1</v>
      </c>
    </row>
    <row r="567" spans="1:6" x14ac:dyDescent="0.2">
      <c r="A567" s="857" t="s">
        <v>1580</v>
      </c>
      <c r="B567" s="860"/>
      <c r="C567" s="854"/>
      <c r="D567" s="854"/>
      <c r="E567" s="854"/>
      <c r="F567" s="858"/>
    </row>
    <row r="568" spans="1:6" x14ac:dyDescent="0.2">
      <c r="A568" s="859" t="s">
        <v>1581</v>
      </c>
      <c r="B568" s="860">
        <v>42432</v>
      </c>
      <c r="C568" s="854">
        <v>78000000</v>
      </c>
      <c r="D568" s="854">
        <v>78000000</v>
      </c>
      <c r="E568" s="854">
        <v>0</v>
      </c>
      <c r="F568" s="858">
        <v>1</v>
      </c>
    </row>
    <row r="569" spans="1:6" x14ac:dyDescent="0.2">
      <c r="A569" s="857" t="s">
        <v>1583</v>
      </c>
      <c r="B569" s="860"/>
      <c r="C569" s="854"/>
      <c r="D569" s="854"/>
      <c r="E569" s="854"/>
      <c r="F569" s="858"/>
    </row>
    <row r="570" spans="1:6" x14ac:dyDescent="0.2">
      <c r="A570" s="859" t="s">
        <v>1584</v>
      </c>
      <c r="B570" s="860">
        <v>42439</v>
      </c>
      <c r="C570" s="854">
        <v>30900000</v>
      </c>
      <c r="D570" s="854">
        <v>30900000</v>
      </c>
      <c r="E570" s="854">
        <v>0</v>
      </c>
      <c r="F570" s="858">
        <v>1</v>
      </c>
    </row>
    <row r="571" spans="1:6" x14ac:dyDescent="0.2">
      <c r="A571" s="857" t="s">
        <v>1602</v>
      </c>
      <c r="B571" s="860"/>
      <c r="C571" s="854"/>
      <c r="D571" s="854"/>
      <c r="E571" s="854"/>
      <c r="F571" s="858"/>
    </row>
    <row r="572" spans="1:6" x14ac:dyDescent="0.2">
      <c r="A572" s="859" t="s">
        <v>1337</v>
      </c>
      <c r="B572" s="860">
        <v>42456</v>
      </c>
      <c r="C572" s="854">
        <v>150000000</v>
      </c>
      <c r="D572" s="854">
        <v>150000000</v>
      </c>
      <c r="E572" s="854">
        <v>0</v>
      </c>
      <c r="F572" s="858">
        <v>1</v>
      </c>
    </row>
    <row r="573" spans="1:6" x14ac:dyDescent="0.2">
      <c r="A573" s="857" t="s">
        <v>1591</v>
      </c>
      <c r="B573" s="860"/>
      <c r="C573" s="854"/>
      <c r="D573" s="854"/>
      <c r="E573" s="854"/>
      <c r="F573" s="858"/>
    </row>
    <row r="574" spans="1:6" x14ac:dyDescent="0.2">
      <c r="A574" s="859" t="s">
        <v>1030</v>
      </c>
      <c r="B574" s="860">
        <v>42241</v>
      </c>
      <c r="C574" s="854">
        <v>4100000</v>
      </c>
      <c r="D574" s="854">
        <v>4100000</v>
      </c>
      <c r="E574" s="854">
        <v>0</v>
      </c>
      <c r="F574" s="858">
        <v>1</v>
      </c>
    </row>
    <row r="575" spans="1:6" x14ac:dyDescent="0.2">
      <c r="A575" s="857" t="s">
        <v>1593</v>
      </c>
      <c r="B575" s="860"/>
      <c r="C575" s="854"/>
      <c r="D575" s="854"/>
      <c r="E575" s="854"/>
      <c r="F575" s="858"/>
    </row>
    <row r="576" spans="1:6" x14ac:dyDescent="0.2">
      <c r="A576" s="859" t="s">
        <v>86</v>
      </c>
      <c r="B576" s="860">
        <v>42447</v>
      </c>
      <c r="C576" s="854">
        <v>1226994</v>
      </c>
      <c r="D576" s="854">
        <v>1226994</v>
      </c>
      <c r="E576" s="854">
        <v>0</v>
      </c>
      <c r="F576" s="858">
        <v>1</v>
      </c>
    </row>
    <row r="577" spans="1:6" x14ac:dyDescent="0.2">
      <c r="A577" s="857" t="s">
        <v>1597</v>
      </c>
      <c r="B577" s="860"/>
      <c r="C577" s="854"/>
      <c r="D577" s="854"/>
      <c r="E577" s="854"/>
      <c r="F577" s="858"/>
    </row>
    <row r="578" spans="1:6" x14ac:dyDescent="0.2">
      <c r="A578" s="859" t="s">
        <v>1598</v>
      </c>
      <c r="B578" s="860">
        <v>42348</v>
      </c>
      <c r="C578" s="854">
        <v>334080000</v>
      </c>
      <c r="D578" s="854">
        <v>334080000</v>
      </c>
      <c r="E578" s="854">
        <v>0</v>
      </c>
      <c r="F578" s="858">
        <v>1</v>
      </c>
    </row>
    <row r="579" spans="1:6" x14ac:dyDescent="0.2">
      <c r="A579" s="857" t="s">
        <v>1609</v>
      </c>
      <c r="B579" s="860"/>
      <c r="C579" s="854"/>
      <c r="D579" s="854"/>
      <c r="E579" s="854"/>
      <c r="F579" s="858"/>
    </row>
    <row r="580" spans="1:6" x14ac:dyDescent="0.2">
      <c r="A580" s="859" t="s">
        <v>1610</v>
      </c>
      <c r="B580" s="860">
        <v>42477</v>
      </c>
      <c r="C580" s="854">
        <v>7442000</v>
      </c>
      <c r="D580" s="854">
        <v>2788000</v>
      </c>
      <c r="E580" s="854">
        <v>4654000</v>
      </c>
      <c r="F580" s="858">
        <v>0.37463047567858104</v>
      </c>
    </row>
    <row r="581" spans="1:6" x14ac:dyDescent="0.2">
      <c r="A581" s="857" t="s">
        <v>1614</v>
      </c>
      <c r="B581" s="860"/>
      <c r="C581" s="854"/>
      <c r="D581" s="854"/>
      <c r="E581" s="854"/>
      <c r="F581" s="858"/>
    </row>
    <row r="582" spans="1:6" x14ac:dyDescent="0.2">
      <c r="A582" s="859" t="s">
        <v>144</v>
      </c>
      <c r="B582" s="860">
        <v>42582</v>
      </c>
      <c r="C582" s="854">
        <v>559200000</v>
      </c>
      <c r="D582" s="854">
        <v>559200000</v>
      </c>
      <c r="E582" s="854">
        <v>0</v>
      </c>
      <c r="F582" s="858">
        <v>1</v>
      </c>
    </row>
    <row r="583" spans="1:6" x14ac:dyDescent="0.2">
      <c r="A583" s="857" t="s">
        <v>1619</v>
      </c>
      <c r="B583" s="860"/>
      <c r="C583" s="854"/>
      <c r="D583" s="854"/>
      <c r="E583" s="854"/>
      <c r="F583" s="858"/>
    </row>
    <row r="584" spans="1:6" x14ac:dyDescent="0.2">
      <c r="A584" s="859" t="s">
        <v>1620</v>
      </c>
      <c r="B584" s="860">
        <v>42487</v>
      </c>
      <c r="C584" s="854">
        <v>3035520</v>
      </c>
      <c r="D584" s="854">
        <v>2009011</v>
      </c>
      <c r="E584" s="854">
        <v>1026509</v>
      </c>
      <c r="F584" s="858">
        <v>0.66183421621336702</v>
      </c>
    </row>
    <row r="585" spans="1:6" x14ac:dyDescent="0.2">
      <c r="A585" s="857" t="s">
        <v>1624</v>
      </c>
      <c r="B585" s="860"/>
      <c r="C585" s="854"/>
      <c r="D585" s="854"/>
      <c r="E585" s="854"/>
      <c r="F585" s="858"/>
    </row>
    <row r="586" spans="1:6" x14ac:dyDescent="0.2">
      <c r="A586" s="859" t="s">
        <v>1625</v>
      </c>
      <c r="B586" s="860">
        <v>42451</v>
      </c>
      <c r="C586" s="854">
        <v>4721200</v>
      </c>
      <c r="D586" s="854">
        <v>4721200</v>
      </c>
      <c r="E586" s="854">
        <v>0</v>
      </c>
      <c r="F586" s="858">
        <v>1</v>
      </c>
    </row>
    <row r="587" spans="1:6" x14ac:dyDescent="0.2">
      <c r="A587" s="857" t="s">
        <v>1629</v>
      </c>
      <c r="B587" s="860"/>
      <c r="C587" s="854"/>
      <c r="D587" s="854"/>
      <c r="E587" s="854"/>
      <c r="F587" s="858"/>
    </row>
    <row r="588" spans="1:6" x14ac:dyDescent="0.2">
      <c r="A588" s="859" t="s">
        <v>1024</v>
      </c>
      <c r="B588" s="860">
        <v>42482</v>
      </c>
      <c r="C588" s="854">
        <v>28000000</v>
      </c>
      <c r="D588" s="854">
        <v>27999337</v>
      </c>
      <c r="E588" s="854">
        <v>663</v>
      </c>
      <c r="F588" s="858">
        <v>0.9999763214285714</v>
      </c>
    </row>
    <row r="589" spans="1:6" x14ac:dyDescent="0.2">
      <c r="A589" s="857" t="s">
        <v>1635</v>
      </c>
      <c r="B589" s="860"/>
      <c r="C589" s="854"/>
      <c r="D589" s="854"/>
      <c r="E589" s="854"/>
      <c r="F589" s="858"/>
    </row>
    <row r="590" spans="1:6" x14ac:dyDescent="0.2">
      <c r="A590" s="859" t="s">
        <v>1636</v>
      </c>
      <c r="B590" s="860">
        <v>42468</v>
      </c>
      <c r="C590" s="854">
        <v>4174276985</v>
      </c>
      <c r="D590" s="854">
        <v>3756849288</v>
      </c>
      <c r="E590" s="854">
        <v>417427697</v>
      </c>
      <c r="F590" s="858">
        <v>0.90000000035934369</v>
      </c>
    </row>
    <row r="591" spans="1:6" x14ac:dyDescent="0.2">
      <c r="A591" s="857" t="s">
        <v>1638</v>
      </c>
      <c r="B591" s="860"/>
      <c r="C591" s="854"/>
      <c r="D591" s="854"/>
      <c r="E591" s="854"/>
      <c r="F591" s="858"/>
    </row>
    <row r="592" spans="1:6" x14ac:dyDescent="0.2">
      <c r="A592" s="859" t="s">
        <v>53</v>
      </c>
      <c r="B592" s="860">
        <v>42531</v>
      </c>
      <c r="C592" s="854">
        <v>41620000</v>
      </c>
      <c r="D592" s="854">
        <v>35165145</v>
      </c>
      <c r="E592" s="854">
        <v>6454855</v>
      </c>
      <c r="F592" s="858">
        <v>0.84490977895242669</v>
      </c>
    </row>
    <row r="593" spans="1:6" x14ac:dyDescent="0.2">
      <c r="A593" s="857" t="s">
        <v>1742</v>
      </c>
      <c r="B593" s="860"/>
      <c r="C593" s="854"/>
      <c r="D593" s="854"/>
      <c r="E593" s="854"/>
      <c r="F593" s="858"/>
    </row>
    <row r="594" spans="1:6" x14ac:dyDescent="0.2">
      <c r="A594" s="859" t="s">
        <v>284</v>
      </c>
      <c r="B594" s="860">
        <v>42510</v>
      </c>
      <c r="C594" s="854">
        <v>33500000</v>
      </c>
      <c r="D594" s="854">
        <v>28680629</v>
      </c>
      <c r="E594" s="854">
        <v>4819371</v>
      </c>
      <c r="F594" s="858">
        <v>0.85613817910447765</v>
      </c>
    </row>
    <row r="595" spans="1:6" x14ac:dyDescent="0.2">
      <c r="A595" s="857" t="s">
        <v>1747</v>
      </c>
      <c r="B595" s="860"/>
      <c r="C595" s="854"/>
      <c r="D595" s="854"/>
      <c r="E595" s="854"/>
      <c r="F595" s="858"/>
    </row>
    <row r="596" spans="1:6" x14ac:dyDescent="0.2">
      <c r="A596" s="859" t="s">
        <v>1748</v>
      </c>
      <c r="B596" s="860">
        <v>42258</v>
      </c>
      <c r="C596" s="854">
        <v>12975945</v>
      </c>
      <c r="D596" s="854">
        <v>12975945</v>
      </c>
      <c r="E596" s="854">
        <v>0</v>
      </c>
      <c r="F596" s="858">
        <v>1</v>
      </c>
    </row>
    <row r="597" spans="1:6" x14ac:dyDescent="0.2">
      <c r="A597" s="857" t="s">
        <v>1754</v>
      </c>
      <c r="B597" s="860"/>
      <c r="C597" s="854"/>
      <c r="D597" s="854"/>
      <c r="E597" s="854"/>
      <c r="F597" s="858"/>
    </row>
    <row r="598" spans="1:6" x14ac:dyDescent="0.2">
      <c r="A598" s="859" t="s">
        <v>1755</v>
      </c>
      <c r="B598" s="860">
        <v>42532</v>
      </c>
      <c r="C598" s="854">
        <v>11000000</v>
      </c>
      <c r="D598" s="854">
        <v>4179537</v>
      </c>
      <c r="E598" s="854">
        <v>6820463</v>
      </c>
      <c r="F598" s="858">
        <v>0.3799579090909091</v>
      </c>
    </row>
    <row r="599" spans="1:6" x14ac:dyDescent="0.2">
      <c r="A599" s="857" t="s">
        <v>1760</v>
      </c>
      <c r="B599" s="860"/>
      <c r="C599" s="854"/>
      <c r="D599" s="854"/>
      <c r="E599" s="854"/>
      <c r="F599" s="858"/>
    </row>
    <row r="600" spans="1:6" x14ac:dyDescent="0.2">
      <c r="A600" s="859" t="s">
        <v>290</v>
      </c>
      <c r="B600" s="860">
        <v>42147</v>
      </c>
      <c r="C600" s="854">
        <v>10514762</v>
      </c>
      <c r="D600" s="854">
        <v>10514762</v>
      </c>
      <c r="E600" s="854">
        <v>0</v>
      </c>
      <c r="F600" s="858">
        <v>1</v>
      </c>
    </row>
    <row r="601" spans="1:6" x14ac:dyDescent="0.2">
      <c r="A601" s="857" t="s">
        <v>1975</v>
      </c>
      <c r="B601" s="860"/>
      <c r="C601" s="854"/>
      <c r="D601" s="854"/>
      <c r="E601" s="854"/>
      <c r="F601" s="858"/>
    </row>
    <row r="602" spans="1:6" x14ac:dyDescent="0.2">
      <c r="A602" s="859" t="s">
        <v>272</v>
      </c>
      <c r="B602" s="860">
        <v>42515</v>
      </c>
      <c r="C602" s="854">
        <v>5874000</v>
      </c>
      <c r="D602" s="854">
        <v>4940614</v>
      </c>
      <c r="E602" s="854">
        <v>933386</v>
      </c>
      <c r="F602" s="858">
        <v>0.84109874021109976</v>
      </c>
    </row>
    <row r="603" spans="1:6" x14ac:dyDescent="0.2">
      <c r="A603" s="857" t="s">
        <v>1855</v>
      </c>
      <c r="B603" s="860"/>
      <c r="C603" s="854"/>
      <c r="D603" s="854"/>
      <c r="E603" s="854"/>
      <c r="F603" s="858"/>
    </row>
    <row r="604" spans="1:6" x14ac:dyDescent="0.2">
      <c r="A604" s="859" t="s">
        <v>1856</v>
      </c>
      <c r="B604" s="860">
        <v>42454</v>
      </c>
      <c r="C604" s="854">
        <v>18836508</v>
      </c>
      <c r="D604" s="854">
        <v>18291633</v>
      </c>
      <c r="E604" s="854">
        <v>544875</v>
      </c>
      <c r="F604" s="858">
        <v>0.97107346011267059</v>
      </c>
    </row>
    <row r="605" spans="1:6" x14ac:dyDescent="0.2">
      <c r="A605" s="857" t="s">
        <v>1858</v>
      </c>
      <c r="B605" s="860"/>
      <c r="C605" s="854"/>
      <c r="D605" s="854"/>
      <c r="E605" s="854"/>
      <c r="F605" s="858"/>
    </row>
    <row r="606" spans="1:6" x14ac:dyDescent="0.2">
      <c r="A606" s="859" t="s">
        <v>203</v>
      </c>
      <c r="B606" s="860">
        <v>42236</v>
      </c>
      <c r="C606" s="854">
        <v>7714000</v>
      </c>
      <c r="D606" s="854">
        <v>7714000</v>
      </c>
      <c r="E606" s="854">
        <v>0</v>
      </c>
      <c r="F606" s="858">
        <v>1</v>
      </c>
    </row>
    <row r="607" spans="1:6" x14ac:dyDescent="0.2">
      <c r="A607" s="857" t="s">
        <v>1868</v>
      </c>
      <c r="B607" s="860"/>
      <c r="C607" s="854"/>
      <c r="D607" s="854"/>
      <c r="E607" s="854"/>
      <c r="F607" s="858"/>
    </row>
    <row r="608" spans="1:6" x14ac:dyDescent="0.2">
      <c r="A608" s="859" t="s">
        <v>1869</v>
      </c>
      <c r="B608" s="860">
        <v>42455</v>
      </c>
      <c r="C608" s="854">
        <v>2000000</v>
      </c>
      <c r="D608" s="854">
        <v>824760</v>
      </c>
      <c r="E608" s="854">
        <v>1175240</v>
      </c>
      <c r="F608" s="858">
        <v>0.41238000000000002</v>
      </c>
    </row>
    <row r="609" spans="1:6" x14ac:dyDescent="0.2">
      <c r="A609" s="857" t="s">
        <v>1874</v>
      </c>
      <c r="B609" s="860"/>
      <c r="C609" s="854"/>
      <c r="D609" s="854"/>
      <c r="E609" s="854"/>
      <c r="F609" s="858"/>
    </row>
    <row r="610" spans="1:6" x14ac:dyDescent="0.2">
      <c r="A610" s="859" t="s">
        <v>1875</v>
      </c>
      <c r="B610" s="860">
        <v>42582</v>
      </c>
      <c r="C610" s="854">
        <v>566000000</v>
      </c>
      <c r="D610" s="854">
        <v>429459129</v>
      </c>
      <c r="E610" s="854">
        <v>136540871</v>
      </c>
      <c r="F610" s="858">
        <v>0.75876171201413423</v>
      </c>
    </row>
    <row r="611" spans="1:6" x14ac:dyDescent="0.2">
      <c r="A611" s="857" t="s">
        <v>1879</v>
      </c>
      <c r="B611" s="860"/>
      <c r="C611" s="854"/>
      <c r="D611" s="854"/>
      <c r="E611" s="854"/>
      <c r="F611" s="858"/>
    </row>
    <row r="612" spans="1:6" x14ac:dyDescent="0.2">
      <c r="A612" s="859" t="s">
        <v>1880</v>
      </c>
      <c r="B612" s="860">
        <v>42413</v>
      </c>
      <c r="C612" s="854">
        <v>18000000</v>
      </c>
      <c r="D612" s="854">
        <v>18000000</v>
      </c>
      <c r="E612" s="854">
        <v>0</v>
      </c>
      <c r="F612" s="858">
        <v>1</v>
      </c>
    </row>
    <row r="613" spans="1:6" x14ac:dyDescent="0.2">
      <c r="A613" s="857" t="s">
        <v>1887</v>
      </c>
      <c r="B613" s="860"/>
      <c r="C613" s="854"/>
      <c r="D613" s="854"/>
      <c r="E613" s="854"/>
      <c r="F613" s="858"/>
    </row>
    <row r="614" spans="1:6" x14ac:dyDescent="0.2">
      <c r="A614" s="859" t="s">
        <v>1110</v>
      </c>
      <c r="B614" s="860">
        <v>42450</v>
      </c>
      <c r="C614" s="854">
        <v>1433352777</v>
      </c>
      <c r="D614" s="854">
        <v>1433352777</v>
      </c>
      <c r="E614" s="854">
        <v>0</v>
      </c>
      <c r="F614" s="858">
        <v>1</v>
      </c>
    </row>
    <row r="615" spans="1:6" x14ac:dyDescent="0.2">
      <c r="A615" s="857" t="s">
        <v>1891</v>
      </c>
      <c r="B615" s="860"/>
      <c r="C615" s="854"/>
      <c r="D615" s="854"/>
      <c r="E615" s="854"/>
      <c r="F615" s="858"/>
    </row>
    <row r="616" spans="1:6" x14ac:dyDescent="0.2">
      <c r="A616" s="859" t="s">
        <v>1892</v>
      </c>
      <c r="B616" s="860">
        <v>42511</v>
      </c>
      <c r="C616" s="854">
        <v>7800000</v>
      </c>
      <c r="D616" s="854">
        <v>7800000</v>
      </c>
      <c r="E616" s="854">
        <v>0</v>
      </c>
      <c r="F616" s="858">
        <v>1</v>
      </c>
    </row>
    <row r="617" spans="1:6" x14ac:dyDescent="0.2">
      <c r="A617" s="857" t="s">
        <v>1904</v>
      </c>
      <c r="B617" s="860"/>
      <c r="C617" s="854"/>
      <c r="D617" s="854"/>
      <c r="E617" s="854"/>
      <c r="F617" s="858"/>
    </row>
    <row r="618" spans="1:6" x14ac:dyDescent="0.2">
      <c r="A618" s="859" t="s">
        <v>1905</v>
      </c>
      <c r="B618" s="860">
        <v>42546</v>
      </c>
      <c r="C618" s="854">
        <v>28000000</v>
      </c>
      <c r="D618" s="854">
        <v>26596777</v>
      </c>
      <c r="E618" s="854">
        <v>1403223</v>
      </c>
      <c r="F618" s="858">
        <v>0.94988489285714284</v>
      </c>
    </row>
    <row r="619" spans="1:6" x14ac:dyDescent="0.2">
      <c r="A619" s="857" t="s">
        <v>1948</v>
      </c>
      <c r="B619" s="860"/>
      <c r="C619" s="854"/>
      <c r="D619" s="854"/>
      <c r="E619" s="854"/>
      <c r="F619" s="858"/>
    </row>
    <row r="620" spans="1:6" x14ac:dyDescent="0.2">
      <c r="A620" s="859" t="s">
        <v>1949</v>
      </c>
      <c r="B620" s="860">
        <v>42226</v>
      </c>
      <c r="C620" s="854">
        <v>8086410</v>
      </c>
      <c r="D620" s="854">
        <v>8086406</v>
      </c>
      <c r="E620" s="854">
        <v>4</v>
      </c>
      <c r="F620" s="858">
        <v>0.99999950534291482</v>
      </c>
    </row>
    <row r="621" spans="1:6" x14ac:dyDescent="0.2">
      <c r="A621" s="857" t="s">
        <v>1953</v>
      </c>
      <c r="B621" s="860"/>
      <c r="C621" s="854"/>
      <c r="D621" s="854"/>
      <c r="E621" s="854"/>
      <c r="F621" s="858"/>
    </row>
    <row r="622" spans="1:6" x14ac:dyDescent="0.2">
      <c r="A622" s="859" t="s">
        <v>1954</v>
      </c>
      <c r="B622" s="860">
        <v>42252</v>
      </c>
      <c r="C622" s="854">
        <v>5000000</v>
      </c>
      <c r="D622" s="854">
        <v>3489976</v>
      </c>
      <c r="E622" s="854">
        <v>1510024</v>
      </c>
      <c r="F622" s="858">
        <v>0.69799520000000004</v>
      </c>
    </row>
    <row r="623" spans="1:6" x14ac:dyDescent="0.2">
      <c r="A623" s="857" t="s">
        <v>1960</v>
      </c>
      <c r="B623" s="860"/>
      <c r="C623" s="854"/>
      <c r="D623" s="854"/>
      <c r="E623" s="854"/>
      <c r="F623" s="858"/>
    </row>
    <row r="624" spans="1:6" x14ac:dyDescent="0.2">
      <c r="A624" s="859" t="s">
        <v>38</v>
      </c>
      <c r="B624" s="860">
        <v>42582</v>
      </c>
      <c r="C624" s="854">
        <v>41552000</v>
      </c>
      <c r="D624" s="854">
        <v>34550825</v>
      </c>
      <c r="E624" s="854">
        <v>7001175</v>
      </c>
      <c r="F624" s="858">
        <v>0.83150811031959959</v>
      </c>
    </row>
    <row r="625" spans="1:6" x14ac:dyDescent="0.2">
      <c r="A625" s="857" t="s">
        <v>1963</v>
      </c>
      <c r="B625" s="860"/>
      <c r="C625" s="854"/>
      <c r="D625" s="854"/>
      <c r="E625" s="854"/>
      <c r="F625" s="858"/>
    </row>
    <row r="626" spans="1:6" x14ac:dyDescent="0.2">
      <c r="A626" s="859" t="s">
        <v>1964</v>
      </c>
      <c r="B626" s="860">
        <v>42443</v>
      </c>
      <c r="C626" s="854">
        <v>61200000</v>
      </c>
      <c r="D626" s="854">
        <v>61200000</v>
      </c>
      <c r="E626" s="854">
        <v>0</v>
      </c>
      <c r="F626" s="858">
        <v>1</v>
      </c>
    </row>
    <row r="627" spans="1:6" x14ac:dyDescent="0.2">
      <c r="A627" s="857" t="s">
        <v>1969</v>
      </c>
      <c r="B627" s="860"/>
      <c r="C627" s="854"/>
      <c r="D627" s="854"/>
      <c r="E627" s="854"/>
      <c r="F627" s="858"/>
    </row>
    <row r="628" spans="1:6" x14ac:dyDescent="0.2">
      <c r="A628" s="859" t="s">
        <v>1970</v>
      </c>
      <c r="B628" s="860">
        <v>42296</v>
      </c>
      <c r="C628" s="854">
        <v>2365972</v>
      </c>
      <c r="D628" s="854">
        <v>2365972</v>
      </c>
      <c r="E628" s="854">
        <v>0</v>
      </c>
      <c r="F628" s="858">
        <v>1</v>
      </c>
    </row>
    <row r="629" spans="1:6" x14ac:dyDescent="0.2">
      <c r="A629" s="857" t="s">
        <v>1983</v>
      </c>
      <c r="B629" s="860"/>
      <c r="C629" s="854"/>
      <c r="D629" s="854"/>
      <c r="E629" s="854"/>
      <c r="F629" s="858"/>
    </row>
    <row r="630" spans="1:6" x14ac:dyDescent="0.2">
      <c r="A630" s="859" t="s">
        <v>1984</v>
      </c>
      <c r="B630" s="860">
        <v>42447</v>
      </c>
      <c r="C630" s="854">
        <v>18000000</v>
      </c>
      <c r="D630" s="854">
        <v>18000000</v>
      </c>
      <c r="E630" s="854">
        <v>0</v>
      </c>
      <c r="F630" s="858">
        <v>1</v>
      </c>
    </row>
    <row r="631" spans="1:6" x14ac:dyDescent="0.2">
      <c r="A631" s="857" t="s">
        <v>1986</v>
      </c>
      <c r="B631" s="860"/>
      <c r="C631" s="854"/>
      <c r="D631" s="854"/>
      <c r="E631" s="854"/>
      <c r="F631" s="858"/>
    </row>
    <row r="632" spans="1:6" x14ac:dyDescent="0.2">
      <c r="A632" s="859" t="s">
        <v>1987</v>
      </c>
      <c r="B632" s="860">
        <v>42250</v>
      </c>
      <c r="C632" s="854">
        <v>11167296</v>
      </c>
      <c r="D632" s="854">
        <v>0</v>
      </c>
      <c r="E632" s="854">
        <v>11167296</v>
      </c>
      <c r="F632" s="858">
        <v>0</v>
      </c>
    </row>
    <row r="633" spans="1:6" x14ac:dyDescent="0.2">
      <c r="A633" s="857" t="s">
        <v>1992</v>
      </c>
      <c r="B633" s="860"/>
      <c r="C633" s="854"/>
      <c r="D633" s="854"/>
      <c r="E633" s="854"/>
      <c r="F633" s="858"/>
    </row>
    <row r="634" spans="1:6" x14ac:dyDescent="0.2">
      <c r="A634" s="859" t="s">
        <v>1993</v>
      </c>
      <c r="B634" s="860">
        <v>42545</v>
      </c>
      <c r="C634" s="854">
        <v>43417333</v>
      </c>
      <c r="D634" s="854">
        <v>39667287</v>
      </c>
      <c r="E634" s="854">
        <v>3750046</v>
      </c>
      <c r="F634" s="858">
        <v>0.91362790524236026</v>
      </c>
    </row>
    <row r="635" spans="1:6" x14ac:dyDescent="0.2">
      <c r="A635" s="857" t="s">
        <v>1995</v>
      </c>
      <c r="B635" s="860"/>
      <c r="C635" s="854"/>
      <c r="D635" s="854"/>
      <c r="E635" s="854"/>
      <c r="F635" s="858"/>
    </row>
    <row r="636" spans="1:6" x14ac:dyDescent="0.2">
      <c r="A636" s="859" t="s">
        <v>1996</v>
      </c>
      <c r="B636" s="860">
        <v>42357</v>
      </c>
      <c r="C636" s="854">
        <v>12000000</v>
      </c>
      <c r="D636" s="854">
        <v>12000000</v>
      </c>
      <c r="E636" s="854">
        <v>0</v>
      </c>
      <c r="F636" s="858">
        <v>1</v>
      </c>
    </row>
    <row r="637" spans="1:6" x14ac:dyDescent="0.2">
      <c r="A637" s="857" t="s">
        <v>2002</v>
      </c>
      <c r="B637" s="860"/>
      <c r="C637" s="854"/>
      <c r="D637" s="854"/>
      <c r="E637" s="854"/>
      <c r="F637" s="858"/>
    </row>
    <row r="638" spans="1:6" x14ac:dyDescent="0.2">
      <c r="A638" s="859" t="s">
        <v>2003</v>
      </c>
      <c r="B638" s="860">
        <v>42567</v>
      </c>
      <c r="C638" s="854">
        <v>1607400</v>
      </c>
      <c r="D638" s="854">
        <v>1586586</v>
      </c>
      <c r="E638" s="854">
        <v>20814</v>
      </c>
      <c r="F638" s="858">
        <v>0.98705113848450909</v>
      </c>
    </row>
    <row r="639" spans="1:6" x14ac:dyDescent="0.2">
      <c r="A639" s="857" t="s">
        <v>2006</v>
      </c>
      <c r="B639" s="860"/>
      <c r="C639" s="854"/>
      <c r="D639" s="854"/>
      <c r="E639" s="854"/>
      <c r="F639" s="858"/>
    </row>
    <row r="640" spans="1:6" x14ac:dyDescent="0.2">
      <c r="A640" s="859" t="s">
        <v>2007</v>
      </c>
      <c r="B640" s="860">
        <v>42522</v>
      </c>
      <c r="C640" s="854">
        <v>124930204</v>
      </c>
      <c r="D640" s="854">
        <v>124874187</v>
      </c>
      <c r="E640" s="854">
        <v>56017</v>
      </c>
      <c r="F640" s="858">
        <v>0.99955161363540235</v>
      </c>
    </row>
    <row r="641" spans="1:6" x14ac:dyDescent="0.2">
      <c r="A641" s="857" t="s">
        <v>2022</v>
      </c>
      <c r="B641" s="860"/>
      <c r="C641" s="854"/>
      <c r="D641" s="854"/>
      <c r="E641" s="854"/>
      <c r="F641" s="858"/>
    </row>
    <row r="642" spans="1:6" x14ac:dyDescent="0.2">
      <c r="A642" s="859" t="s">
        <v>2023</v>
      </c>
      <c r="B642" s="860">
        <v>42537</v>
      </c>
      <c r="C642" s="854">
        <v>213397762</v>
      </c>
      <c r="D642" s="854">
        <v>213397758</v>
      </c>
      <c r="E642" s="854">
        <v>4</v>
      </c>
      <c r="F642" s="858">
        <v>0.99999998125566092</v>
      </c>
    </row>
    <row r="643" spans="1:6" x14ac:dyDescent="0.2">
      <c r="A643" s="857" t="s">
        <v>2026</v>
      </c>
      <c r="B643" s="860"/>
      <c r="C643" s="854"/>
      <c r="D643" s="854"/>
      <c r="E643" s="854"/>
      <c r="F643" s="858"/>
    </row>
    <row r="644" spans="1:6" x14ac:dyDescent="0.2">
      <c r="A644" s="859" t="s">
        <v>2027</v>
      </c>
      <c r="B644" s="860">
        <v>42370</v>
      </c>
      <c r="C644" s="854">
        <v>10800000</v>
      </c>
      <c r="D644" s="854">
        <v>7200000</v>
      </c>
      <c r="E644" s="854">
        <v>3600000</v>
      </c>
      <c r="F644" s="858">
        <v>0.66666666666666663</v>
      </c>
    </row>
    <row r="645" spans="1:6" x14ac:dyDescent="0.2">
      <c r="A645" s="857" t="s">
        <v>2029</v>
      </c>
      <c r="B645" s="860"/>
      <c r="C645" s="854"/>
      <c r="D645" s="854"/>
      <c r="E645" s="854"/>
      <c r="F645" s="858"/>
    </row>
    <row r="646" spans="1:6" x14ac:dyDescent="0.2">
      <c r="A646" s="859" t="s">
        <v>2030</v>
      </c>
      <c r="B646" s="860">
        <v>42461</v>
      </c>
      <c r="C646" s="854">
        <v>32400000</v>
      </c>
      <c r="D646" s="854">
        <v>28800000</v>
      </c>
      <c r="E646" s="854">
        <v>3600000</v>
      </c>
      <c r="F646" s="858">
        <v>0.88888888888888884</v>
      </c>
    </row>
    <row r="647" spans="1:6" x14ac:dyDescent="0.2">
      <c r="A647" s="857" t="s">
        <v>2032</v>
      </c>
      <c r="B647" s="860"/>
      <c r="C647" s="854"/>
      <c r="D647" s="854"/>
      <c r="E647" s="854"/>
      <c r="F647" s="858"/>
    </row>
    <row r="648" spans="1:6" x14ac:dyDescent="0.2">
      <c r="A648" s="859" t="s">
        <v>2033</v>
      </c>
      <c r="B648" s="860">
        <v>42370</v>
      </c>
      <c r="C648" s="854">
        <v>10800000</v>
      </c>
      <c r="D648" s="854">
        <v>9000000</v>
      </c>
      <c r="E648" s="854">
        <v>1800000</v>
      </c>
      <c r="F648" s="858">
        <v>0.83333333333333337</v>
      </c>
    </row>
    <row r="649" spans="1:6" x14ac:dyDescent="0.2">
      <c r="A649" s="857" t="s">
        <v>2034</v>
      </c>
      <c r="B649" s="860"/>
      <c r="C649" s="854"/>
      <c r="D649" s="854"/>
      <c r="E649" s="854"/>
      <c r="F649" s="858"/>
    </row>
    <row r="650" spans="1:6" x14ac:dyDescent="0.2">
      <c r="A650" s="859" t="s">
        <v>2035</v>
      </c>
      <c r="B650" s="860">
        <v>42370</v>
      </c>
      <c r="C650" s="854">
        <v>10800000</v>
      </c>
      <c r="D650" s="854">
        <v>10800000</v>
      </c>
      <c r="E650" s="854">
        <v>0</v>
      </c>
      <c r="F650" s="858">
        <v>1</v>
      </c>
    </row>
    <row r="651" spans="1:6" x14ac:dyDescent="0.2">
      <c r="A651" s="857" t="s">
        <v>2037</v>
      </c>
      <c r="B651" s="860"/>
      <c r="C651" s="854"/>
      <c r="D651" s="854"/>
      <c r="E651" s="854"/>
      <c r="F651" s="858"/>
    </row>
    <row r="652" spans="1:6" x14ac:dyDescent="0.2">
      <c r="A652" s="859" t="s">
        <v>2038</v>
      </c>
      <c r="B652" s="860">
        <v>42370</v>
      </c>
      <c r="C652" s="854">
        <v>10800000</v>
      </c>
      <c r="D652" s="854">
        <v>10800000</v>
      </c>
      <c r="E652" s="854">
        <v>0</v>
      </c>
      <c r="F652" s="858">
        <v>1</v>
      </c>
    </row>
    <row r="653" spans="1:6" x14ac:dyDescent="0.2">
      <c r="A653" s="857" t="s">
        <v>2039</v>
      </c>
      <c r="B653" s="860"/>
      <c r="C653" s="854"/>
      <c r="D653" s="854"/>
      <c r="E653" s="854"/>
      <c r="F653" s="858"/>
    </row>
    <row r="654" spans="1:6" x14ac:dyDescent="0.2">
      <c r="A654" s="859" t="s">
        <v>2040</v>
      </c>
      <c r="B654" s="860">
        <v>42370</v>
      </c>
      <c r="C654" s="854">
        <v>10800000</v>
      </c>
      <c r="D654" s="854">
        <v>10800000</v>
      </c>
      <c r="E654" s="854">
        <v>0</v>
      </c>
      <c r="F654" s="858">
        <v>1</v>
      </c>
    </row>
    <row r="655" spans="1:6" x14ac:dyDescent="0.2">
      <c r="A655" s="857" t="s">
        <v>2042</v>
      </c>
      <c r="B655" s="860"/>
      <c r="C655" s="854"/>
      <c r="D655" s="854"/>
      <c r="E655" s="854"/>
      <c r="F655" s="858"/>
    </row>
    <row r="656" spans="1:6" x14ac:dyDescent="0.2">
      <c r="A656" s="859" t="s">
        <v>2043</v>
      </c>
      <c r="B656" s="860">
        <v>42461</v>
      </c>
      <c r="C656" s="854">
        <v>47700000</v>
      </c>
      <c r="D656" s="854">
        <v>47700000</v>
      </c>
      <c r="E656" s="854">
        <v>0</v>
      </c>
      <c r="F656" s="858">
        <v>1</v>
      </c>
    </row>
    <row r="657" spans="1:6" x14ac:dyDescent="0.2">
      <c r="A657" s="857" t="s">
        <v>2045</v>
      </c>
      <c r="B657" s="860"/>
      <c r="C657" s="854"/>
      <c r="D657" s="854"/>
      <c r="E657" s="854"/>
      <c r="F657" s="858"/>
    </row>
    <row r="658" spans="1:6" x14ac:dyDescent="0.2">
      <c r="A658" s="859" t="s">
        <v>2046</v>
      </c>
      <c r="B658" s="860">
        <v>42370</v>
      </c>
      <c r="C658" s="854">
        <v>10800000</v>
      </c>
      <c r="D658" s="854">
        <v>10800000</v>
      </c>
      <c r="E658" s="854">
        <v>0</v>
      </c>
      <c r="F658" s="858">
        <v>1</v>
      </c>
    </row>
    <row r="659" spans="1:6" x14ac:dyDescent="0.2">
      <c r="A659" s="857" t="s">
        <v>2047</v>
      </c>
      <c r="B659" s="860"/>
      <c r="C659" s="854"/>
      <c r="D659" s="854"/>
      <c r="E659" s="854"/>
      <c r="F659" s="858"/>
    </row>
    <row r="660" spans="1:6" x14ac:dyDescent="0.2">
      <c r="A660" s="859" t="s">
        <v>2048</v>
      </c>
      <c r="B660" s="860">
        <v>42370</v>
      </c>
      <c r="C660" s="854">
        <v>31800000</v>
      </c>
      <c r="D660" s="854">
        <v>31800000</v>
      </c>
      <c r="E660" s="854">
        <v>0</v>
      </c>
      <c r="F660" s="858">
        <v>1</v>
      </c>
    </row>
    <row r="661" spans="1:6" x14ac:dyDescent="0.2">
      <c r="A661" s="857" t="s">
        <v>2053</v>
      </c>
      <c r="B661" s="860"/>
      <c r="C661" s="854"/>
      <c r="D661" s="854"/>
      <c r="E661" s="854"/>
      <c r="F661" s="858"/>
    </row>
    <row r="662" spans="1:6" x14ac:dyDescent="0.2">
      <c r="A662" s="859" t="s">
        <v>2054</v>
      </c>
      <c r="B662" s="860">
        <v>42475</v>
      </c>
      <c r="C662" s="854">
        <v>52390000</v>
      </c>
      <c r="D662" s="854">
        <v>49166000</v>
      </c>
      <c r="E662" s="854">
        <v>3224000</v>
      </c>
      <c r="F662" s="858">
        <v>0.93846153846153846</v>
      </c>
    </row>
    <row r="663" spans="1:6" x14ac:dyDescent="0.2">
      <c r="A663" s="857" t="s">
        <v>2065</v>
      </c>
      <c r="B663" s="860"/>
      <c r="C663" s="854"/>
      <c r="D663" s="854"/>
      <c r="E663" s="854"/>
      <c r="F663" s="858"/>
    </row>
    <row r="664" spans="1:6" x14ac:dyDescent="0.2">
      <c r="A664" s="859" t="s">
        <v>2064</v>
      </c>
      <c r="B664" s="860">
        <v>42382</v>
      </c>
      <c r="C664" s="854">
        <v>10800000</v>
      </c>
      <c r="D664" s="854">
        <v>2880000</v>
      </c>
      <c r="E664" s="854">
        <v>7920000</v>
      </c>
      <c r="F664" s="858">
        <v>0.26666666666666666</v>
      </c>
    </row>
    <row r="665" spans="1:6" x14ac:dyDescent="0.2">
      <c r="A665" s="857" t="s">
        <v>2066</v>
      </c>
      <c r="B665" s="860"/>
      <c r="C665" s="854"/>
      <c r="D665" s="854"/>
      <c r="E665" s="854"/>
      <c r="F665" s="858"/>
    </row>
    <row r="666" spans="1:6" x14ac:dyDescent="0.2">
      <c r="A666" s="859" t="s">
        <v>2067</v>
      </c>
      <c r="B666" s="860">
        <v>42311</v>
      </c>
      <c r="C666" s="854">
        <v>450880</v>
      </c>
      <c r="D666" s="854">
        <v>450880</v>
      </c>
      <c r="E666" s="854">
        <v>0</v>
      </c>
      <c r="F666" s="858">
        <v>1</v>
      </c>
    </row>
    <row r="667" spans="1:6" x14ac:dyDescent="0.2">
      <c r="A667" s="857" t="s">
        <v>2076</v>
      </c>
      <c r="B667" s="860"/>
      <c r="C667" s="854"/>
      <c r="D667" s="854"/>
      <c r="E667" s="854"/>
      <c r="F667" s="858"/>
    </row>
    <row r="668" spans="1:6" x14ac:dyDescent="0.2">
      <c r="A668" s="859" t="s">
        <v>186</v>
      </c>
      <c r="B668" s="860">
        <v>42575</v>
      </c>
      <c r="C668" s="854">
        <v>85933385</v>
      </c>
      <c r="D668" s="854">
        <v>36504992</v>
      </c>
      <c r="E668" s="854">
        <v>49428393</v>
      </c>
      <c r="F668" s="858">
        <v>0.42480570269633855</v>
      </c>
    </row>
    <row r="669" spans="1:6" x14ac:dyDescent="0.2">
      <c r="A669" s="857" t="s">
        <v>2080</v>
      </c>
      <c r="B669" s="860"/>
      <c r="C669" s="854"/>
      <c r="D669" s="854"/>
      <c r="E669" s="854"/>
      <c r="F669" s="858"/>
    </row>
    <row r="670" spans="1:6" x14ac:dyDescent="0.2">
      <c r="A670" s="859" t="s">
        <v>2081</v>
      </c>
      <c r="B670" s="860">
        <v>42387</v>
      </c>
      <c r="C670" s="854">
        <v>3608000</v>
      </c>
      <c r="D670" s="854">
        <v>0</v>
      </c>
      <c r="E670" s="854">
        <v>3608000</v>
      </c>
      <c r="F670" s="858">
        <v>0</v>
      </c>
    </row>
    <row r="671" spans="1:6" x14ac:dyDescent="0.2">
      <c r="A671" s="857" t="s">
        <v>2089</v>
      </c>
      <c r="B671" s="860"/>
      <c r="C671" s="854"/>
      <c r="D671" s="854"/>
      <c r="E671" s="854"/>
      <c r="F671" s="858"/>
    </row>
    <row r="672" spans="1:6" x14ac:dyDescent="0.2">
      <c r="A672" s="859" t="s">
        <v>2090</v>
      </c>
      <c r="B672" s="860">
        <v>42587</v>
      </c>
      <c r="C672" s="854">
        <v>715000</v>
      </c>
      <c r="D672" s="854">
        <v>715000</v>
      </c>
      <c r="E672" s="854">
        <v>0</v>
      </c>
      <c r="F672" s="858">
        <v>1</v>
      </c>
    </row>
    <row r="673" spans="1:6" x14ac:dyDescent="0.2">
      <c r="A673" s="857" t="s">
        <v>2093</v>
      </c>
      <c r="B673" s="860"/>
      <c r="C673" s="854"/>
      <c r="D673" s="854"/>
      <c r="E673" s="854"/>
      <c r="F673" s="858"/>
    </row>
    <row r="674" spans="1:6" x14ac:dyDescent="0.2">
      <c r="A674" s="859" t="s">
        <v>2094</v>
      </c>
      <c r="B674" s="860">
        <v>42565</v>
      </c>
      <c r="C674" s="854">
        <v>80041097</v>
      </c>
      <c r="D674" s="854">
        <v>72440780</v>
      </c>
      <c r="E674" s="854">
        <v>7600317</v>
      </c>
      <c r="F674" s="858">
        <v>0.90504481716436247</v>
      </c>
    </row>
    <row r="675" spans="1:6" x14ac:dyDescent="0.2">
      <c r="A675" s="857" t="s">
        <v>2098</v>
      </c>
      <c r="B675" s="860"/>
      <c r="C675" s="854"/>
      <c r="D675" s="854"/>
      <c r="E675" s="854"/>
      <c r="F675" s="858"/>
    </row>
    <row r="676" spans="1:6" x14ac:dyDescent="0.2">
      <c r="A676" s="859" t="s">
        <v>2100</v>
      </c>
      <c r="B676" s="860">
        <v>42587</v>
      </c>
      <c r="C676" s="854">
        <v>20136071</v>
      </c>
      <c r="D676" s="854">
        <v>10106062</v>
      </c>
      <c r="E676" s="854">
        <v>10030009</v>
      </c>
      <c r="F676" s="858">
        <v>0.50188847665465619</v>
      </c>
    </row>
    <row r="677" spans="1:6" x14ac:dyDescent="0.2">
      <c r="A677" s="857" t="s">
        <v>2102</v>
      </c>
      <c r="B677" s="860"/>
      <c r="C677" s="854"/>
      <c r="D677" s="854"/>
      <c r="E677" s="854"/>
      <c r="F677" s="858"/>
    </row>
    <row r="678" spans="1:6" x14ac:dyDescent="0.2">
      <c r="A678" s="859" t="s">
        <v>2434</v>
      </c>
      <c r="B678" s="860">
        <v>42524</v>
      </c>
      <c r="C678" s="854">
        <v>255421490</v>
      </c>
      <c r="D678" s="854">
        <v>166442592</v>
      </c>
      <c r="E678" s="854">
        <v>88978898</v>
      </c>
      <c r="F678" s="858">
        <v>0.65163895175773978</v>
      </c>
    </row>
    <row r="679" spans="1:6" x14ac:dyDescent="0.2">
      <c r="A679" s="857" t="s">
        <v>2109</v>
      </c>
      <c r="B679" s="860"/>
      <c r="C679" s="854"/>
      <c r="D679" s="854"/>
      <c r="E679" s="854"/>
      <c r="F679" s="858"/>
    </row>
    <row r="680" spans="1:6" x14ac:dyDescent="0.2">
      <c r="A680" s="859" t="s">
        <v>2110</v>
      </c>
      <c r="B680" s="860">
        <v>42265</v>
      </c>
      <c r="C680" s="854">
        <v>812000</v>
      </c>
      <c r="D680" s="854">
        <v>812000</v>
      </c>
      <c r="E680" s="854">
        <v>0</v>
      </c>
      <c r="F680" s="858">
        <v>1</v>
      </c>
    </row>
    <row r="681" spans="1:6" x14ac:dyDescent="0.2">
      <c r="A681" s="857" t="s">
        <v>2119</v>
      </c>
      <c r="B681" s="860"/>
      <c r="C681" s="854"/>
      <c r="D681" s="854"/>
      <c r="E681" s="854"/>
      <c r="F681" s="858"/>
    </row>
    <row r="682" spans="1:6" x14ac:dyDescent="0.2">
      <c r="A682" s="859" t="s">
        <v>2120</v>
      </c>
      <c r="B682" s="860">
        <v>42282</v>
      </c>
      <c r="C682" s="854">
        <v>31577404</v>
      </c>
      <c r="D682" s="854">
        <v>0</v>
      </c>
      <c r="E682" s="854">
        <v>31577404</v>
      </c>
      <c r="F682" s="858">
        <v>0</v>
      </c>
    </row>
    <row r="683" spans="1:6" x14ac:dyDescent="0.2">
      <c r="A683" s="857" t="s">
        <v>2186</v>
      </c>
      <c r="B683" s="860"/>
      <c r="C683" s="854"/>
      <c r="D683" s="854"/>
      <c r="E683" s="854"/>
      <c r="F683" s="858"/>
    </row>
    <row r="684" spans="1:6" x14ac:dyDescent="0.2">
      <c r="A684" s="859" t="s">
        <v>1534</v>
      </c>
      <c r="B684" s="860">
        <v>42431</v>
      </c>
      <c r="C684" s="854">
        <v>33000000</v>
      </c>
      <c r="D684" s="854">
        <v>38316666</v>
      </c>
      <c r="E684" s="854">
        <v>-5316666</v>
      </c>
      <c r="F684" s="858">
        <v>1.1611110909090909</v>
      </c>
    </row>
    <row r="685" spans="1:6" x14ac:dyDescent="0.2">
      <c r="A685" s="857" t="s">
        <v>2191</v>
      </c>
      <c r="B685" s="860"/>
      <c r="C685" s="854"/>
      <c r="D685" s="854"/>
      <c r="E685" s="854"/>
      <c r="F685" s="858"/>
    </row>
    <row r="686" spans="1:6" x14ac:dyDescent="0.2">
      <c r="A686" s="859" t="s">
        <v>2192</v>
      </c>
      <c r="B686" s="860">
        <v>42384</v>
      </c>
      <c r="C686" s="854">
        <v>19141000</v>
      </c>
      <c r="D686" s="854">
        <v>0</v>
      </c>
      <c r="E686" s="854">
        <v>19141000</v>
      </c>
      <c r="F686" s="858">
        <v>0</v>
      </c>
    </row>
    <row r="687" spans="1:6" x14ac:dyDescent="0.2">
      <c r="A687" s="857" t="s">
        <v>2196</v>
      </c>
      <c r="B687" s="860"/>
      <c r="C687" s="854"/>
      <c r="D687" s="854"/>
      <c r="E687" s="854"/>
      <c r="F687" s="858"/>
    </row>
    <row r="688" spans="1:6" x14ac:dyDescent="0.2">
      <c r="A688" s="859" t="s">
        <v>142</v>
      </c>
      <c r="B688" s="860">
        <v>42305</v>
      </c>
      <c r="C688" s="854">
        <v>72727824</v>
      </c>
      <c r="D688" s="854">
        <v>0</v>
      </c>
      <c r="E688" s="854">
        <v>72727824</v>
      </c>
      <c r="F688" s="858">
        <v>0</v>
      </c>
    </row>
    <row r="689" spans="1:6" x14ac:dyDescent="0.2">
      <c r="A689" s="857" t="s">
        <v>2214</v>
      </c>
      <c r="B689" s="860"/>
      <c r="C689" s="854"/>
      <c r="D689" s="854"/>
      <c r="E689" s="854"/>
      <c r="F689" s="858"/>
    </row>
    <row r="690" spans="1:6" x14ac:dyDescent="0.2">
      <c r="A690" s="859" t="s">
        <v>2215</v>
      </c>
      <c r="B690" s="860">
        <v>42352</v>
      </c>
      <c r="C690" s="854">
        <v>6000000</v>
      </c>
      <c r="D690" s="854">
        <v>5999890</v>
      </c>
      <c r="E690" s="854">
        <v>110</v>
      </c>
      <c r="F690" s="858">
        <v>0.99998166666666666</v>
      </c>
    </row>
    <row r="691" spans="1:6" x14ac:dyDescent="0.2">
      <c r="A691" s="857" t="s">
        <v>2223</v>
      </c>
      <c r="B691" s="860"/>
      <c r="C691" s="854"/>
      <c r="D691" s="854"/>
      <c r="E691" s="854"/>
      <c r="F691" s="858"/>
    </row>
    <row r="692" spans="1:6" x14ac:dyDescent="0.2">
      <c r="A692" s="859" t="s">
        <v>2224</v>
      </c>
      <c r="B692" s="860">
        <v>42364</v>
      </c>
      <c r="C692" s="854">
        <v>6660000</v>
      </c>
      <c r="D692" s="854">
        <v>6600000</v>
      </c>
      <c r="E692" s="854">
        <v>60000</v>
      </c>
      <c r="F692" s="858">
        <v>0.99099099099099097</v>
      </c>
    </row>
    <row r="693" spans="1:6" x14ac:dyDescent="0.2">
      <c r="A693" s="857" t="s">
        <v>2235</v>
      </c>
      <c r="B693" s="860"/>
      <c r="C693" s="854"/>
      <c r="D693" s="854"/>
      <c r="E693" s="854"/>
      <c r="F693" s="858"/>
    </row>
    <row r="694" spans="1:6" x14ac:dyDescent="0.2">
      <c r="A694" s="859" t="s">
        <v>1344</v>
      </c>
      <c r="B694" s="860">
        <v>42534</v>
      </c>
      <c r="C694" s="854">
        <v>2742000</v>
      </c>
      <c r="D694" s="854">
        <v>1625160</v>
      </c>
      <c r="E694" s="854">
        <v>1116840</v>
      </c>
      <c r="F694" s="858">
        <v>0.59269146608315093</v>
      </c>
    </row>
    <row r="695" spans="1:6" x14ac:dyDescent="0.2">
      <c r="A695" s="857" t="s">
        <v>2242</v>
      </c>
      <c r="B695" s="860"/>
      <c r="C695" s="854"/>
      <c r="D695" s="854"/>
      <c r="E695" s="854"/>
      <c r="F695" s="858"/>
    </row>
    <row r="696" spans="1:6" x14ac:dyDescent="0.2">
      <c r="A696" s="859" t="s">
        <v>2243</v>
      </c>
      <c r="B696" s="860">
        <v>42515</v>
      </c>
      <c r="C696" s="854">
        <v>1512217703</v>
      </c>
      <c r="D696" s="854">
        <v>1512217703</v>
      </c>
      <c r="E696" s="854">
        <v>0</v>
      </c>
      <c r="F696" s="858">
        <v>1</v>
      </c>
    </row>
    <row r="697" spans="1:6" x14ac:dyDescent="0.2">
      <c r="A697" s="857" t="s">
        <v>2248</v>
      </c>
      <c r="B697" s="860"/>
      <c r="C697" s="854"/>
      <c r="D697" s="854"/>
      <c r="E697" s="854"/>
      <c r="F697" s="858"/>
    </row>
    <row r="698" spans="1:6" x14ac:dyDescent="0.2">
      <c r="A698" s="859" t="s">
        <v>2249</v>
      </c>
      <c r="B698" s="860">
        <v>42544</v>
      </c>
      <c r="C698" s="854">
        <v>37372300</v>
      </c>
      <c r="D698" s="854">
        <v>29382355</v>
      </c>
      <c r="E698" s="854">
        <v>7989945</v>
      </c>
      <c r="F698" s="858">
        <v>0.78620676276279489</v>
      </c>
    </row>
    <row r="699" spans="1:6" x14ac:dyDescent="0.2">
      <c r="A699" s="857" t="s">
        <v>2266</v>
      </c>
      <c r="B699" s="860"/>
      <c r="C699" s="854"/>
      <c r="D699" s="854"/>
      <c r="E699" s="854"/>
      <c r="F699" s="858"/>
    </row>
    <row r="700" spans="1:6" x14ac:dyDescent="0.2">
      <c r="A700" s="859" t="s">
        <v>2265</v>
      </c>
      <c r="B700" s="860">
        <v>42399</v>
      </c>
      <c r="C700" s="854">
        <v>17340258</v>
      </c>
      <c r="D700" s="854">
        <v>17340258</v>
      </c>
      <c r="E700" s="854">
        <v>0</v>
      </c>
      <c r="F700" s="858">
        <v>1</v>
      </c>
    </row>
    <row r="701" spans="1:6" x14ac:dyDescent="0.2">
      <c r="A701" s="857" t="s">
        <v>2344</v>
      </c>
      <c r="B701" s="860"/>
      <c r="C701" s="854"/>
      <c r="D701" s="854"/>
      <c r="E701" s="854"/>
      <c r="F701" s="858"/>
    </row>
    <row r="702" spans="1:6" x14ac:dyDescent="0.2">
      <c r="A702" s="859" t="s">
        <v>2346</v>
      </c>
      <c r="B702" s="860">
        <v>42501</v>
      </c>
      <c r="C702" s="854">
        <v>27500000</v>
      </c>
      <c r="D702" s="854">
        <v>25850000</v>
      </c>
      <c r="E702" s="854">
        <v>1650000</v>
      </c>
      <c r="F702" s="858">
        <v>0.94</v>
      </c>
    </row>
    <row r="703" spans="1:6" x14ac:dyDescent="0.2">
      <c r="A703" s="857" t="s">
        <v>2359</v>
      </c>
      <c r="B703" s="860"/>
      <c r="C703" s="854"/>
      <c r="D703" s="854"/>
      <c r="E703" s="854"/>
      <c r="F703" s="858"/>
    </row>
    <row r="704" spans="1:6" x14ac:dyDescent="0.2">
      <c r="A704" s="859" t="s">
        <v>2360</v>
      </c>
      <c r="B704" s="860">
        <v>42524</v>
      </c>
      <c r="C704" s="854">
        <v>910786703.20000005</v>
      </c>
      <c r="D704" s="854">
        <v>910786703</v>
      </c>
      <c r="E704" s="854">
        <v>0.20000004768371582</v>
      </c>
      <c r="F704" s="858">
        <v>0.99999999978040954</v>
      </c>
    </row>
    <row r="705" spans="1:6" x14ac:dyDescent="0.2">
      <c r="A705" s="857" t="s">
        <v>2353</v>
      </c>
      <c r="B705" s="860"/>
      <c r="C705" s="854"/>
      <c r="D705" s="854"/>
      <c r="E705" s="854"/>
      <c r="F705" s="858"/>
    </row>
    <row r="706" spans="1:6" x14ac:dyDescent="0.2">
      <c r="A706" s="859" t="s">
        <v>2355</v>
      </c>
      <c r="B706" s="860">
        <v>42443</v>
      </c>
      <c r="C706" s="854">
        <v>8404000</v>
      </c>
      <c r="D706" s="854">
        <v>8404200</v>
      </c>
      <c r="E706" s="854">
        <v>-200</v>
      </c>
      <c r="F706" s="858">
        <v>1.0000237981913374</v>
      </c>
    </row>
    <row r="707" spans="1:6" x14ac:dyDescent="0.2">
      <c r="A707" s="857" t="s">
        <v>2373</v>
      </c>
      <c r="B707" s="860"/>
      <c r="C707" s="854"/>
      <c r="D707" s="854"/>
      <c r="E707" s="854"/>
      <c r="F707" s="858"/>
    </row>
    <row r="708" spans="1:6" x14ac:dyDescent="0.2">
      <c r="A708" s="859" t="s">
        <v>2360</v>
      </c>
      <c r="B708" s="860">
        <v>42532</v>
      </c>
      <c r="C708" s="854">
        <v>295840339</v>
      </c>
      <c r="D708" s="854">
        <v>0</v>
      </c>
      <c r="E708" s="854">
        <v>295840339</v>
      </c>
      <c r="F708" s="858">
        <v>0</v>
      </c>
    </row>
    <row r="709" spans="1:6" x14ac:dyDescent="0.2">
      <c r="A709" s="857" t="s">
        <v>2371</v>
      </c>
      <c r="B709" s="860"/>
      <c r="C709" s="854"/>
      <c r="D709" s="854"/>
      <c r="E709" s="854"/>
      <c r="F709" s="858"/>
    </row>
    <row r="710" spans="1:6" x14ac:dyDescent="0.2">
      <c r="A710" s="859" t="s">
        <v>2360</v>
      </c>
      <c r="B710" s="860">
        <v>42532</v>
      </c>
      <c r="C710" s="854">
        <v>188315358.83000001</v>
      </c>
      <c r="D710" s="854">
        <v>188315359</v>
      </c>
      <c r="E710" s="854">
        <v>-0.16999998688697815</v>
      </c>
      <c r="F710" s="858">
        <v>1.000000000902741</v>
      </c>
    </row>
    <row r="711" spans="1:6" x14ac:dyDescent="0.2">
      <c r="A711" s="857" t="s">
        <v>2375</v>
      </c>
      <c r="B711" s="860"/>
      <c r="C711" s="854"/>
      <c r="D711" s="854"/>
      <c r="E711" s="854"/>
      <c r="F711" s="858"/>
    </row>
    <row r="712" spans="1:6" x14ac:dyDescent="0.2">
      <c r="A712" s="859" t="s">
        <v>2376</v>
      </c>
      <c r="B712" s="860">
        <v>42536</v>
      </c>
      <c r="C712" s="854">
        <v>64250000</v>
      </c>
      <c r="D712" s="854">
        <v>0</v>
      </c>
      <c r="E712" s="854">
        <v>64250000</v>
      </c>
      <c r="F712" s="858">
        <v>0</v>
      </c>
    </row>
    <row r="713" spans="1:6" x14ac:dyDescent="0.2">
      <c r="A713" s="857" t="s">
        <v>2502</v>
      </c>
      <c r="B713" s="860"/>
      <c r="C713" s="854"/>
      <c r="D713" s="854"/>
      <c r="E713" s="854"/>
      <c r="F713" s="858"/>
    </row>
    <row r="714" spans="1:6" x14ac:dyDescent="0.2">
      <c r="A714" s="859" t="s">
        <v>2124</v>
      </c>
      <c r="B714" s="860">
        <v>42592</v>
      </c>
      <c r="C714" s="854">
        <v>20880000</v>
      </c>
      <c r="D714" s="854">
        <v>20880000</v>
      </c>
      <c r="E714" s="854">
        <v>0</v>
      </c>
      <c r="F714" s="858">
        <v>1</v>
      </c>
    </row>
    <row r="715" spans="1:6" x14ac:dyDescent="0.2">
      <c r="A715" s="857" t="s">
        <v>2416</v>
      </c>
      <c r="B715" s="860"/>
      <c r="C715" s="854"/>
      <c r="D715" s="854"/>
      <c r="E715" s="854"/>
      <c r="F715" s="858"/>
    </row>
    <row r="716" spans="1:6" x14ac:dyDescent="0.2">
      <c r="A716" s="859" t="s">
        <v>2417</v>
      </c>
      <c r="B716" s="860">
        <v>42539</v>
      </c>
      <c r="C716" s="854">
        <v>601948308</v>
      </c>
      <c r="D716" s="854">
        <v>601948308</v>
      </c>
      <c r="E716" s="854">
        <v>0</v>
      </c>
      <c r="F716" s="858">
        <v>1</v>
      </c>
    </row>
    <row r="717" spans="1:6" x14ac:dyDescent="0.2">
      <c r="A717" s="857" t="s">
        <v>2465</v>
      </c>
      <c r="B717" s="860"/>
      <c r="C717" s="854"/>
      <c r="D717" s="854"/>
      <c r="E717" s="854"/>
      <c r="F717" s="858"/>
    </row>
    <row r="718" spans="1:6" x14ac:dyDescent="0.2">
      <c r="A718" s="859" t="s">
        <v>290</v>
      </c>
      <c r="B718" s="860">
        <v>42569</v>
      </c>
      <c r="C718" s="854">
        <v>6239000</v>
      </c>
      <c r="D718" s="854">
        <v>0</v>
      </c>
      <c r="E718" s="854">
        <v>6239000</v>
      </c>
      <c r="F718" s="858">
        <v>0</v>
      </c>
    </row>
    <row r="719" spans="1:6" x14ac:dyDescent="0.2">
      <c r="A719" s="857" t="s">
        <v>2510</v>
      </c>
      <c r="B719" s="860"/>
      <c r="C719" s="854"/>
      <c r="D719" s="854"/>
      <c r="E719" s="854"/>
      <c r="F719" s="858"/>
    </row>
    <row r="720" spans="1:6" x14ac:dyDescent="0.2">
      <c r="A720" s="859" t="s">
        <v>2511</v>
      </c>
      <c r="B720" s="860">
        <v>42579</v>
      </c>
      <c r="C720" s="854">
        <v>23000000</v>
      </c>
      <c r="D720" s="854">
        <v>0</v>
      </c>
      <c r="E720" s="854">
        <v>23000000</v>
      </c>
      <c r="F720" s="858">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495"/>
  <sheetViews>
    <sheetView topLeftCell="A469" workbookViewId="0">
      <selection activeCell="D495" sqref="D495"/>
    </sheetView>
  </sheetViews>
  <sheetFormatPr baseColWidth="10" defaultColWidth="0" defaultRowHeight="14.4" x14ac:dyDescent="0.3"/>
  <cols>
    <col min="1" max="1" width="65.109375" style="56" customWidth="1"/>
    <col min="2" max="2" width="15" style="56" customWidth="1"/>
    <col min="3" max="5" width="11.44140625" style="56" customWidth="1"/>
    <col min="6" max="16384" width="11.44140625" style="56" hidden="1"/>
  </cols>
  <sheetData>
    <row r="1" spans="1:5" s="54" customFormat="1" x14ac:dyDescent="0.3">
      <c r="A1" s="56"/>
      <c r="B1" s="56"/>
      <c r="C1" s="56"/>
      <c r="D1" s="56"/>
      <c r="E1" s="56"/>
    </row>
    <row r="2" spans="1:5" s="54" customFormat="1" x14ac:dyDescent="0.3">
      <c r="A2" s="56"/>
      <c r="B2" s="56"/>
      <c r="C2" s="56"/>
      <c r="D2" s="56"/>
      <c r="E2" s="56"/>
    </row>
    <row r="3" spans="1:5" s="54" customFormat="1" x14ac:dyDescent="0.3">
      <c r="A3" s="56"/>
      <c r="B3" s="56"/>
      <c r="C3" s="56"/>
      <c r="D3" s="56"/>
      <c r="E3" s="56"/>
    </row>
    <row r="4" spans="1:5" s="54" customFormat="1" x14ac:dyDescent="0.3">
      <c r="A4" s="56"/>
      <c r="B4" s="56"/>
      <c r="C4" s="56"/>
      <c r="D4" s="56"/>
      <c r="E4" s="56"/>
    </row>
    <row r="5" spans="1:5" s="54" customFormat="1" x14ac:dyDescent="0.3">
      <c r="A5" s="56"/>
      <c r="B5" s="56"/>
      <c r="C5" s="56"/>
      <c r="D5" s="56"/>
      <c r="E5" s="56"/>
    </row>
    <row r="6" spans="1:5" s="54" customFormat="1" x14ac:dyDescent="0.3">
      <c r="A6" s="56"/>
      <c r="B6" s="56"/>
      <c r="C6" s="56"/>
      <c r="D6" s="56"/>
      <c r="E6" s="56"/>
    </row>
    <row r="7" spans="1:5" s="54" customFormat="1" x14ac:dyDescent="0.3">
      <c r="A7" s="56"/>
      <c r="B7" s="56"/>
      <c r="C7" s="56"/>
      <c r="D7" s="56"/>
      <c r="E7" s="56"/>
    </row>
    <row r="8" spans="1:5" s="54" customFormat="1" x14ac:dyDescent="0.3">
      <c r="A8" s="16" t="s">
        <v>1056</v>
      </c>
      <c r="B8" s="54" t="s">
        <v>392</v>
      </c>
      <c r="C8" s="56"/>
      <c r="D8" s="56"/>
      <c r="E8" s="56"/>
    </row>
    <row r="9" spans="1:5" customFormat="1" x14ac:dyDescent="0.3">
      <c r="A9" s="16" t="s">
        <v>389</v>
      </c>
      <c r="B9" s="54" t="s">
        <v>392</v>
      </c>
      <c r="C9" s="56"/>
      <c r="D9" s="56"/>
      <c r="E9" s="56"/>
    </row>
    <row r="10" spans="1:5" customFormat="1" x14ac:dyDescent="0.3">
      <c r="A10" s="56"/>
      <c r="B10" s="56"/>
      <c r="C10" s="56"/>
      <c r="D10" s="56"/>
      <c r="E10" s="56"/>
    </row>
    <row r="11" spans="1:5" customFormat="1" ht="43.2" x14ac:dyDescent="0.3">
      <c r="A11" s="20" t="s">
        <v>393</v>
      </c>
      <c r="B11" s="21" t="s">
        <v>1059</v>
      </c>
      <c r="C11" s="21" t="s">
        <v>959</v>
      </c>
      <c r="D11" s="21" t="s">
        <v>1064</v>
      </c>
      <c r="E11" s="56"/>
    </row>
    <row r="12" spans="1:5" customFormat="1" x14ac:dyDescent="0.3">
      <c r="A12" s="17" t="s">
        <v>92</v>
      </c>
      <c r="B12" s="60"/>
      <c r="C12" s="22"/>
      <c r="D12" s="22"/>
      <c r="E12" s="56"/>
    </row>
    <row r="13" spans="1:5" customFormat="1" x14ac:dyDescent="0.3">
      <c r="A13" s="18" t="s">
        <v>425</v>
      </c>
      <c r="B13" s="60">
        <v>41673</v>
      </c>
      <c r="C13" s="22">
        <v>0.84841864329684125</v>
      </c>
      <c r="D13" s="22">
        <v>1</v>
      </c>
      <c r="E13" s="56"/>
    </row>
    <row r="14" spans="1:5" customFormat="1" x14ac:dyDescent="0.3">
      <c r="A14" s="17" t="s">
        <v>151</v>
      </c>
      <c r="B14" s="60"/>
      <c r="C14" s="22"/>
      <c r="D14" s="22"/>
      <c r="E14" s="56"/>
    </row>
    <row r="15" spans="1:5" customFormat="1" x14ac:dyDescent="0.3">
      <c r="A15" s="18" t="s">
        <v>152</v>
      </c>
      <c r="B15" s="60">
        <v>41486</v>
      </c>
      <c r="C15" s="22">
        <v>0.98908542426434254</v>
      </c>
      <c r="D15" s="22">
        <v>1</v>
      </c>
      <c r="E15" s="56"/>
    </row>
    <row r="16" spans="1:5" customFormat="1" x14ac:dyDescent="0.3">
      <c r="A16" s="17" t="s">
        <v>149</v>
      </c>
      <c r="B16" s="60"/>
      <c r="C16" s="22"/>
      <c r="D16" s="22"/>
      <c r="E16" s="56"/>
    </row>
    <row r="17" spans="1:5" customFormat="1" x14ac:dyDescent="0.3">
      <c r="A17" s="18" t="s">
        <v>150</v>
      </c>
      <c r="B17" s="60">
        <v>41476</v>
      </c>
      <c r="C17" s="22">
        <v>4.6051299379407939E-3</v>
      </c>
      <c r="D17" s="22">
        <v>1</v>
      </c>
      <c r="E17" s="56"/>
    </row>
    <row r="18" spans="1:5" customFormat="1" x14ac:dyDescent="0.3">
      <c r="A18" s="17" t="s">
        <v>21</v>
      </c>
      <c r="B18" s="60"/>
      <c r="C18" s="22"/>
      <c r="D18" s="22"/>
      <c r="E18" s="56"/>
    </row>
    <row r="19" spans="1:5" customFormat="1" x14ac:dyDescent="0.3">
      <c r="A19" s="18" t="s">
        <v>22</v>
      </c>
      <c r="B19" s="60">
        <v>41513</v>
      </c>
      <c r="C19" s="22">
        <v>1</v>
      </c>
      <c r="D19" s="22">
        <v>1</v>
      </c>
      <c r="E19" s="56"/>
    </row>
    <row r="20" spans="1:5" customFormat="1" x14ac:dyDescent="0.3">
      <c r="A20" s="17" t="s">
        <v>103</v>
      </c>
      <c r="B20" s="60"/>
      <c r="C20" s="22"/>
      <c r="D20" s="22"/>
      <c r="E20" s="56"/>
    </row>
    <row r="21" spans="1:5" customFormat="1" x14ac:dyDescent="0.3">
      <c r="A21" s="18" t="s">
        <v>1632</v>
      </c>
      <c r="B21" s="60">
        <v>41274</v>
      </c>
      <c r="C21" s="22">
        <v>0</v>
      </c>
      <c r="D21" s="22">
        <v>1</v>
      </c>
      <c r="E21" s="56"/>
    </row>
    <row r="22" spans="1:5" customFormat="1" x14ac:dyDescent="0.3">
      <c r="A22" s="17" t="s">
        <v>179</v>
      </c>
      <c r="B22" s="60"/>
      <c r="C22" s="22"/>
      <c r="D22" s="22"/>
      <c r="E22" s="56"/>
    </row>
    <row r="23" spans="1:5" customFormat="1" x14ac:dyDescent="0.3">
      <c r="A23" s="18" t="s">
        <v>433</v>
      </c>
      <c r="B23" s="60">
        <v>41609</v>
      </c>
      <c r="C23" s="22">
        <v>0.79574612658130883</v>
      </c>
      <c r="D23" s="22">
        <v>1</v>
      </c>
      <c r="E23" s="56"/>
    </row>
    <row r="24" spans="1:5" customFormat="1" x14ac:dyDescent="0.3">
      <c r="A24" s="17" t="s">
        <v>180</v>
      </c>
      <c r="B24" s="60"/>
      <c r="C24" s="22"/>
      <c r="D24" s="22"/>
      <c r="E24" s="56"/>
    </row>
    <row r="25" spans="1:5" customFormat="1" x14ac:dyDescent="0.3">
      <c r="A25" s="18" t="s">
        <v>181</v>
      </c>
      <c r="B25" s="60">
        <v>41323</v>
      </c>
      <c r="C25" s="22">
        <v>1</v>
      </c>
      <c r="D25" s="22">
        <v>1</v>
      </c>
      <c r="E25" s="56"/>
    </row>
    <row r="26" spans="1:5" customFormat="1" x14ac:dyDescent="0.3">
      <c r="A26" s="17" t="s">
        <v>56</v>
      </c>
      <c r="B26" s="60"/>
      <c r="C26" s="22"/>
      <c r="D26" s="22"/>
      <c r="E26" s="56"/>
    </row>
    <row r="27" spans="1:5" customFormat="1" x14ac:dyDescent="0.3">
      <c r="A27" s="18" t="s">
        <v>57</v>
      </c>
      <c r="B27" s="60">
        <v>41623</v>
      </c>
      <c r="C27" s="22">
        <v>1</v>
      </c>
      <c r="D27" s="22">
        <v>1</v>
      </c>
      <c r="E27" s="56"/>
    </row>
    <row r="28" spans="1:5" customFormat="1" x14ac:dyDescent="0.3">
      <c r="A28" s="17" t="s">
        <v>19</v>
      </c>
      <c r="B28" s="60"/>
      <c r="C28" s="22"/>
      <c r="D28" s="22"/>
      <c r="E28" s="56"/>
    </row>
    <row r="29" spans="1:5" customFormat="1" x14ac:dyDescent="0.3">
      <c r="A29" s="18" t="s">
        <v>20</v>
      </c>
      <c r="B29" s="60">
        <v>41347</v>
      </c>
      <c r="C29" s="22">
        <v>0.8903394174757282</v>
      </c>
      <c r="D29" s="22">
        <v>1</v>
      </c>
      <c r="E29" s="56"/>
    </row>
    <row r="30" spans="1:5" customFormat="1" x14ac:dyDescent="0.3">
      <c r="A30" s="17" t="s">
        <v>23</v>
      </c>
      <c r="B30" s="60"/>
      <c r="C30" s="22"/>
      <c r="D30" s="22"/>
      <c r="E30" s="56"/>
    </row>
    <row r="31" spans="1:5" customFormat="1" x14ac:dyDescent="0.3">
      <c r="A31" s="18" t="s">
        <v>27</v>
      </c>
      <c r="B31" s="60">
        <v>41409</v>
      </c>
      <c r="C31" s="22">
        <v>1</v>
      </c>
      <c r="D31" s="22">
        <v>1</v>
      </c>
      <c r="E31" s="56"/>
    </row>
    <row r="32" spans="1:5" customFormat="1" x14ac:dyDescent="0.3">
      <c r="A32" s="17" t="s">
        <v>113</v>
      </c>
      <c r="B32" s="60"/>
      <c r="C32" s="22"/>
      <c r="D32" s="22"/>
      <c r="E32" s="56"/>
    </row>
    <row r="33" spans="1:5" customFormat="1" x14ac:dyDescent="0.3">
      <c r="A33" s="18" t="s">
        <v>434</v>
      </c>
      <c r="B33" s="60">
        <v>41333</v>
      </c>
      <c r="C33" s="22">
        <v>1</v>
      </c>
      <c r="D33" s="22">
        <v>1</v>
      </c>
      <c r="E33" s="56"/>
    </row>
    <row r="34" spans="1:5" customFormat="1" x14ac:dyDescent="0.3">
      <c r="A34" s="17" t="s">
        <v>101</v>
      </c>
      <c r="B34" s="60"/>
      <c r="C34" s="22"/>
      <c r="D34" s="22"/>
      <c r="E34" s="56"/>
    </row>
    <row r="35" spans="1:5" customFormat="1" x14ac:dyDescent="0.3">
      <c r="A35" s="18" t="s">
        <v>427</v>
      </c>
      <c r="B35" s="60">
        <v>41370</v>
      </c>
      <c r="C35" s="22">
        <v>0</v>
      </c>
      <c r="D35" s="22">
        <v>1</v>
      </c>
      <c r="E35" s="56"/>
    </row>
    <row r="36" spans="1:5" customFormat="1" x14ac:dyDescent="0.3">
      <c r="A36" s="17" t="s">
        <v>16</v>
      </c>
      <c r="B36" s="60"/>
      <c r="C36" s="22"/>
      <c r="D36" s="22"/>
      <c r="E36" s="56"/>
    </row>
    <row r="37" spans="1:5" customFormat="1" x14ac:dyDescent="0.3">
      <c r="A37" s="18" t="s">
        <v>435</v>
      </c>
      <c r="B37" s="60">
        <v>41328</v>
      </c>
      <c r="C37" s="22">
        <v>1</v>
      </c>
      <c r="D37" s="22">
        <v>1</v>
      </c>
      <c r="E37" s="56"/>
    </row>
    <row r="38" spans="1:5" customFormat="1" x14ac:dyDescent="0.3">
      <c r="A38" s="17" t="s">
        <v>107</v>
      </c>
      <c r="B38" s="60"/>
      <c r="C38" s="22"/>
      <c r="D38" s="22"/>
      <c r="E38" s="56"/>
    </row>
    <row r="39" spans="1:5" customFormat="1" x14ac:dyDescent="0.3">
      <c r="A39" s="18" t="s">
        <v>108</v>
      </c>
      <c r="B39" s="60">
        <v>41349</v>
      </c>
      <c r="C39" s="22">
        <v>0</v>
      </c>
      <c r="D39" s="22">
        <v>1</v>
      </c>
      <c r="E39" s="56"/>
    </row>
    <row r="40" spans="1:5" customFormat="1" x14ac:dyDescent="0.3">
      <c r="A40" s="17" t="s">
        <v>61</v>
      </c>
      <c r="B40" s="60"/>
      <c r="C40" s="22"/>
      <c r="D40" s="22"/>
      <c r="E40" s="56"/>
    </row>
    <row r="41" spans="1:5" customFormat="1" x14ac:dyDescent="0.3">
      <c r="A41" s="18" t="s">
        <v>436</v>
      </c>
      <c r="B41" s="60">
        <v>41531</v>
      </c>
      <c r="C41" s="22">
        <v>0.95016016280880577</v>
      </c>
      <c r="D41" s="22">
        <v>1</v>
      </c>
      <c r="E41" s="56"/>
    </row>
    <row r="42" spans="1:5" customFormat="1" x14ac:dyDescent="0.3">
      <c r="A42" s="17" t="s">
        <v>58</v>
      </c>
      <c r="B42" s="60"/>
      <c r="C42" s="22"/>
      <c r="D42" s="22"/>
      <c r="E42" s="56"/>
    </row>
    <row r="43" spans="1:5" customFormat="1" x14ac:dyDescent="0.3">
      <c r="A43" s="18" t="s">
        <v>437</v>
      </c>
      <c r="B43" s="60">
        <v>41623</v>
      </c>
      <c r="C43" s="22">
        <v>0.94671447735483449</v>
      </c>
      <c r="D43" s="22">
        <v>1</v>
      </c>
      <c r="E43" s="56"/>
    </row>
    <row r="44" spans="1:5" customFormat="1" x14ac:dyDescent="0.3">
      <c r="A44" s="17" t="s">
        <v>423</v>
      </c>
      <c r="B44" s="60"/>
      <c r="C44" s="22"/>
      <c r="D44" s="22"/>
      <c r="E44" s="56"/>
    </row>
    <row r="45" spans="1:5" customFormat="1" x14ac:dyDescent="0.3">
      <c r="A45" s="18" t="s">
        <v>13</v>
      </c>
      <c r="B45" s="60">
        <v>41527</v>
      </c>
      <c r="C45" s="22">
        <v>1</v>
      </c>
      <c r="D45" s="22">
        <v>1</v>
      </c>
      <c r="E45" s="56"/>
    </row>
    <row r="46" spans="1:5" customFormat="1" x14ac:dyDescent="0.3">
      <c r="A46" s="17" t="s">
        <v>28</v>
      </c>
      <c r="B46" s="60"/>
      <c r="C46" s="22"/>
      <c r="D46" s="22"/>
      <c r="E46" s="56"/>
    </row>
    <row r="47" spans="1:5" customFormat="1" x14ac:dyDescent="0.3">
      <c r="A47" s="18" t="s">
        <v>29</v>
      </c>
      <c r="B47" s="60">
        <v>41530</v>
      </c>
      <c r="C47" s="22">
        <v>1</v>
      </c>
      <c r="D47" s="22">
        <v>1</v>
      </c>
      <c r="E47" s="56"/>
    </row>
    <row r="48" spans="1:5" customFormat="1" x14ac:dyDescent="0.3">
      <c r="A48" s="17" t="s">
        <v>32</v>
      </c>
      <c r="B48" s="60"/>
      <c r="C48" s="22"/>
      <c r="D48" s="22"/>
      <c r="E48" s="56"/>
    </row>
    <row r="49" spans="1:5" customFormat="1" x14ac:dyDescent="0.3">
      <c r="A49" s="18" t="s">
        <v>33</v>
      </c>
      <c r="B49" s="60">
        <v>41545</v>
      </c>
      <c r="C49" s="22">
        <v>1</v>
      </c>
      <c r="D49" s="22">
        <v>1</v>
      </c>
      <c r="E49" s="56"/>
    </row>
    <row r="50" spans="1:5" customFormat="1" x14ac:dyDescent="0.3">
      <c r="A50" s="17" t="s">
        <v>109</v>
      </c>
      <c r="B50" s="60"/>
      <c r="C50" s="22"/>
      <c r="D50" s="22"/>
      <c r="E50" s="56"/>
    </row>
    <row r="51" spans="1:5" customFormat="1" x14ac:dyDescent="0.3">
      <c r="A51" s="18" t="s">
        <v>420</v>
      </c>
      <c r="B51" s="60">
        <v>41346</v>
      </c>
      <c r="C51" s="22">
        <v>0</v>
      </c>
      <c r="D51" s="22">
        <v>1</v>
      </c>
      <c r="E51" s="56"/>
    </row>
    <row r="52" spans="1:5" customFormat="1" x14ac:dyDescent="0.3">
      <c r="A52" s="17" t="s">
        <v>34</v>
      </c>
      <c r="B52" s="60"/>
      <c r="C52" s="22"/>
      <c r="D52" s="22"/>
      <c r="E52" s="56"/>
    </row>
    <row r="53" spans="1:5" customFormat="1" x14ac:dyDescent="0.3">
      <c r="A53" s="18" t="s">
        <v>1008</v>
      </c>
      <c r="B53" s="60">
        <v>41333</v>
      </c>
      <c r="C53" s="22">
        <v>1</v>
      </c>
      <c r="D53" s="22">
        <v>1</v>
      </c>
      <c r="E53" s="56"/>
    </row>
    <row r="54" spans="1:5" customFormat="1" x14ac:dyDescent="0.3">
      <c r="A54" s="17" t="s">
        <v>10</v>
      </c>
      <c r="B54" s="60"/>
      <c r="C54" s="22"/>
      <c r="D54" s="22"/>
      <c r="E54" s="56"/>
    </row>
    <row r="55" spans="1:5" customFormat="1" x14ac:dyDescent="0.3">
      <c r="A55" s="18" t="s">
        <v>1009</v>
      </c>
      <c r="B55" s="60">
        <v>41367</v>
      </c>
      <c r="C55" s="22">
        <v>0.99047620000000003</v>
      </c>
      <c r="D55" s="22">
        <v>1</v>
      </c>
      <c r="E55" s="56"/>
    </row>
    <row r="56" spans="1:5" customFormat="1" x14ac:dyDescent="0.3">
      <c r="A56" s="17" t="s">
        <v>114</v>
      </c>
      <c r="B56" s="60"/>
      <c r="C56" s="22"/>
      <c r="D56" s="22"/>
      <c r="E56" s="56"/>
    </row>
    <row r="57" spans="1:5" customFormat="1" x14ac:dyDescent="0.3">
      <c r="A57" s="18" t="s">
        <v>115</v>
      </c>
      <c r="B57" s="60">
        <v>41626</v>
      </c>
      <c r="C57" s="22">
        <v>1</v>
      </c>
      <c r="D57" s="22">
        <v>1</v>
      </c>
      <c r="E57" s="56"/>
    </row>
    <row r="58" spans="1:5" customFormat="1" x14ac:dyDescent="0.3">
      <c r="A58" s="17" t="s">
        <v>106</v>
      </c>
      <c r="B58" s="60"/>
      <c r="C58" s="22"/>
      <c r="D58" s="22"/>
      <c r="E58" s="56"/>
    </row>
    <row r="59" spans="1:5" customFormat="1" x14ac:dyDescent="0.3">
      <c r="A59" s="18" t="s">
        <v>1010</v>
      </c>
      <c r="B59" s="60">
        <v>41343</v>
      </c>
      <c r="C59" s="22">
        <v>1</v>
      </c>
      <c r="D59" s="22">
        <v>1</v>
      </c>
      <c r="E59" s="56"/>
    </row>
    <row r="60" spans="1:5" customFormat="1" x14ac:dyDescent="0.3">
      <c r="A60" s="17" t="s">
        <v>105</v>
      </c>
      <c r="B60" s="60"/>
      <c r="C60" s="22"/>
      <c r="D60" s="22"/>
      <c r="E60" s="56"/>
    </row>
    <row r="61" spans="1:5" customFormat="1" x14ac:dyDescent="0.3">
      <c r="A61" s="18" t="s">
        <v>1011</v>
      </c>
      <c r="B61" s="60">
        <v>41263</v>
      </c>
      <c r="C61" s="22">
        <v>0.95022288261515597</v>
      </c>
      <c r="D61" s="22">
        <v>1</v>
      </c>
      <c r="E61" s="56"/>
    </row>
    <row r="62" spans="1:5" customFormat="1" x14ac:dyDescent="0.3">
      <c r="A62" s="17" t="s">
        <v>17</v>
      </c>
      <c r="B62" s="60"/>
      <c r="C62" s="22"/>
      <c r="D62" s="22"/>
      <c r="E62" s="56"/>
    </row>
    <row r="63" spans="1:5" customFormat="1" x14ac:dyDescent="0.3">
      <c r="A63" s="18" t="s">
        <v>18</v>
      </c>
      <c r="B63" s="60">
        <v>41387</v>
      </c>
      <c r="C63" s="22">
        <v>0.9999998332977702</v>
      </c>
      <c r="D63" s="22">
        <v>1</v>
      </c>
      <c r="E63" s="56"/>
    </row>
    <row r="64" spans="1:5" customFormat="1" x14ac:dyDescent="0.3">
      <c r="A64" s="17" t="s">
        <v>24</v>
      </c>
      <c r="B64" s="60"/>
      <c r="C64" s="22"/>
      <c r="D64" s="22"/>
      <c r="E64" s="56"/>
    </row>
    <row r="65" spans="1:5" customFormat="1" x14ac:dyDescent="0.3">
      <c r="A65" s="18" t="s">
        <v>1012</v>
      </c>
      <c r="B65" s="60">
        <v>41369</v>
      </c>
      <c r="C65" s="22">
        <v>1</v>
      </c>
      <c r="D65" s="22">
        <v>1</v>
      </c>
      <c r="E65" s="56"/>
    </row>
    <row r="66" spans="1:5" customFormat="1" x14ac:dyDescent="0.3">
      <c r="A66" s="17" t="s">
        <v>118</v>
      </c>
      <c r="B66" s="60"/>
      <c r="C66" s="22"/>
      <c r="D66" s="22"/>
      <c r="E66" s="56"/>
    </row>
    <row r="67" spans="1:5" customFormat="1" x14ac:dyDescent="0.3">
      <c r="A67" s="18" t="s">
        <v>1013</v>
      </c>
      <c r="B67" s="60">
        <v>41308</v>
      </c>
      <c r="C67" s="22">
        <v>1</v>
      </c>
      <c r="D67" s="22">
        <v>1</v>
      </c>
      <c r="E67" s="56"/>
    </row>
    <row r="68" spans="1:5" customFormat="1" x14ac:dyDescent="0.3">
      <c r="A68" s="17" t="s">
        <v>62</v>
      </c>
      <c r="B68" s="60"/>
      <c r="C68" s="22"/>
      <c r="D68" s="22"/>
      <c r="E68" s="56"/>
    </row>
    <row r="69" spans="1:5" customFormat="1" x14ac:dyDescent="0.3">
      <c r="A69" s="18" t="s">
        <v>1014</v>
      </c>
      <c r="B69" s="60">
        <v>41452</v>
      </c>
      <c r="C69" s="22">
        <v>1</v>
      </c>
      <c r="D69" s="22">
        <v>1</v>
      </c>
      <c r="E69" s="56"/>
    </row>
    <row r="70" spans="1:5" customFormat="1" x14ac:dyDescent="0.3">
      <c r="A70" s="17" t="s">
        <v>30</v>
      </c>
      <c r="B70" s="60"/>
      <c r="C70" s="22"/>
      <c r="D70" s="22"/>
      <c r="E70" s="56"/>
    </row>
    <row r="71" spans="1:5" customFormat="1" x14ac:dyDescent="0.3">
      <c r="A71" s="18" t="s">
        <v>31</v>
      </c>
      <c r="B71" s="60">
        <v>41350</v>
      </c>
      <c r="C71" s="22">
        <v>1</v>
      </c>
      <c r="D71" s="22">
        <v>1</v>
      </c>
      <c r="E71" s="56"/>
    </row>
    <row r="72" spans="1:5" customFormat="1" x14ac:dyDescent="0.3">
      <c r="A72" s="17" t="s">
        <v>14</v>
      </c>
      <c r="B72" s="60"/>
      <c r="C72" s="22"/>
      <c r="D72" s="22"/>
      <c r="E72" s="56"/>
    </row>
    <row r="73" spans="1:5" customFormat="1" x14ac:dyDescent="0.3">
      <c r="A73" s="18" t="s">
        <v>15</v>
      </c>
      <c r="B73" s="60">
        <v>41472</v>
      </c>
      <c r="C73" s="22">
        <v>1</v>
      </c>
      <c r="D73" s="22">
        <v>1</v>
      </c>
      <c r="E73" s="56"/>
    </row>
    <row r="74" spans="1:5" customFormat="1" x14ac:dyDescent="0.3">
      <c r="A74" s="17" t="s">
        <v>40</v>
      </c>
      <c r="B74" s="60"/>
      <c r="C74" s="22"/>
      <c r="D74" s="22"/>
      <c r="E74" s="56"/>
    </row>
    <row r="75" spans="1:5" customFormat="1" x14ac:dyDescent="0.3">
      <c r="A75" s="18" t="s">
        <v>41</v>
      </c>
      <c r="B75" s="60">
        <v>41398</v>
      </c>
      <c r="C75" s="22">
        <v>0.87755319148936173</v>
      </c>
      <c r="D75" s="22">
        <v>1</v>
      </c>
      <c r="E75" s="56"/>
    </row>
    <row r="76" spans="1:5" customFormat="1" x14ac:dyDescent="0.3">
      <c r="A76" s="17" t="s">
        <v>72</v>
      </c>
      <c r="B76" s="60"/>
      <c r="C76" s="22"/>
      <c r="D76" s="22"/>
      <c r="E76" s="56"/>
    </row>
    <row r="77" spans="1:5" customFormat="1" x14ac:dyDescent="0.3">
      <c r="A77" s="18" t="s">
        <v>73</v>
      </c>
      <c r="B77" s="60">
        <v>41400</v>
      </c>
      <c r="C77" s="22">
        <v>1</v>
      </c>
      <c r="D77" s="22">
        <v>1</v>
      </c>
      <c r="E77" s="56"/>
    </row>
    <row r="78" spans="1:5" customFormat="1" x14ac:dyDescent="0.3">
      <c r="A78" s="17" t="s">
        <v>396</v>
      </c>
      <c r="B78" s="60"/>
      <c r="C78" s="22"/>
      <c r="D78" s="22"/>
      <c r="E78" s="56"/>
    </row>
    <row r="79" spans="1:5" customFormat="1" x14ac:dyDescent="0.3">
      <c r="A79" s="18" t="s">
        <v>203</v>
      </c>
      <c r="B79" s="60">
        <v>41312</v>
      </c>
      <c r="C79" s="22">
        <v>1</v>
      </c>
      <c r="D79" s="22">
        <v>1</v>
      </c>
      <c r="E79" s="56"/>
    </row>
    <row r="80" spans="1:5" customFormat="1" x14ac:dyDescent="0.3">
      <c r="A80" s="17" t="s">
        <v>153</v>
      </c>
      <c r="B80" s="60"/>
      <c r="C80" s="22"/>
      <c r="D80" s="22"/>
      <c r="E80" s="56"/>
    </row>
    <row r="81" spans="1:5" customFormat="1" x14ac:dyDescent="0.3">
      <c r="A81" s="18" t="s">
        <v>154</v>
      </c>
      <c r="B81" s="60">
        <v>41213</v>
      </c>
      <c r="C81" s="22">
        <v>1</v>
      </c>
      <c r="D81" s="22">
        <v>1</v>
      </c>
      <c r="E81" s="56"/>
    </row>
    <row r="82" spans="1:5" customFormat="1" x14ac:dyDescent="0.3">
      <c r="A82" s="17" t="s">
        <v>170</v>
      </c>
      <c r="B82" s="60"/>
      <c r="C82" s="22"/>
      <c r="D82" s="22"/>
      <c r="E82" s="56"/>
    </row>
    <row r="83" spans="1:5" customFormat="1" x14ac:dyDescent="0.3">
      <c r="A83" s="18" t="s">
        <v>428</v>
      </c>
      <c r="B83" s="60">
        <v>41112</v>
      </c>
      <c r="C83" s="22">
        <v>0.99785305231388333</v>
      </c>
      <c r="D83" s="22">
        <v>1</v>
      </c>
      <c r="E83" s="56"/>
    </row>
    <row r="84" spans="1:5" customFormat="1" x14ac:dyDescent="0.3">
      <c r="A84" s="17" t="s">
        <v>594</v>
      </c>
      <c r="B84" s="60"/>
      <c r="C84" s="22"/>
      <c r="D84" s="22"/>
      <c r="E84" s="56"/>
    </row>
    <row r="85" spans="1:5" customFormat="1" x14ac:dyDescent="0.3">
      <c r="A85" s="18" t="s">
        <v>1005</v>
      </c>
      <c r="B85" s="60">
        <v>41356</v>
      </c>
      <c r="C85" s="22">
        <v>1</v>
      </c>
      <c r="D85" s="22">
        <v>1</v>
      </c>
      <c r="E85" s="56"/>
    </row>
    <row r="86" spans="1:5" customFormat="1" x14ac:dyDescent="0.3">
      <c r="A86" s="17" t="s">
        <v>127</v>
      </c>
      <c r="B86" s="60"/>
      <c r="C86" s="22"/>
      <c r="D86" s="22"/>
      <c r="E86" s="56"/>
    </row>
    <row r="87" spans="1:5" customFormat="1" x14ac:dyDescent="0.3">
      <c r="A87" s="18" t="s">
        <v>128</v>
      </c>
      <c r="B87" s="60">
        <v>41364</v>
      </c>
      <c r="C87" s="22">
        <v>0.80386964675098127</v>
      </c>
      <c r="D87" s="22">
        <v>1</v>
      </c>
      <c r="E87" s="56"/>
    </row>
    <row r="88" spans="1:5" customFormat="1" x14ac:dyDescent="0.3">
      <c r="A88" s="17" t="s">
        <v>59</v>
      </c>
      <c r="B88" s="60"/>
      <c r="C88" s="22"/>
      <c r="D88" s="22"/>
      <c r="E88" s="56"/>
    </row>
    <row r="89" spans="1:5" customFormat="1" x14ac:dyDescent="0.3">
      <c r="A89" s="18" t="s">
        <v>60</v>
      </c>
      <c r="B89" s="60">
        <v>41471</v>
      </c>
      <c r="C89" s="22">
        <v>0.82673170731707313</v>
      </c>
      <c r="D89" s="22">
        <v>1</v>
      </c>
      <c r="E89" s="56"/>
    </row>
    <row r="90" spans="1:5" customFormat="1" x14ac:dyDescent="0.3">
      <c r="A90" s="17" t="s">
        <v>120</v>
      </c>
      <c r="B90" s="60"/>
      <c r="C90" s="22"/>
      <c r="D90" s="22"/>
      <c r="E90" s="56"/>
    </row>
    <row r="91" spans="1:5" customFormat="1" x14ac:dyDescent="0.3">
      <c r="A91" s="18" t="s">
        <v>429</v>
      </c>
      <c r="B91" s="60">
        <v>41362</v>
      </c>
      <c r="C91" s="22">
        <v>1</v>
      </c>
      <c r="D91" s="22">
        <v>1</v>
      </c>
      <c r="E91" s="56"/>
    </row>
    <row r="92" spans="1:5" customFormat="1" x14ac:dyDescent="0.3">
      <c r="A92" s="17" t="s">
        <v>112</v>
      </c>
      <c r="B92" s="60"/>
      <c r="C92" s="22"/>
      <c r="D92" s="22"/>
      <c r="E92" s="56"/>
    </row>
    <row r="93" spans="1:5" customFormat="1" x14ac:dyDescent="0.3">
      <c r="A93" s="18" t="s">
        <v>430</v>
      </c>
      <c r="B93" s="60">
        <v>41323</v>
      </c>
      <c r="C93" s="22">
        <v>0.99997955256194371</v>
      </c>
      <c r="D93" s="22">
        <v>1</v>
      </c>
      <c r="E93" s="56"/>
    </row>
    <row r="94" spans="1:5" customFormat="1" x14ac:dyDescent="0.3">
      <c r="A94" s="17" t="s">
        <v>44</v>
      </c>
      <c r="B94" s="60"/>
      <c r="C94" s="22"/>
      <c r="D94" s="22"/>
      <c r="E94" s="56"/>
    </row>
    <row r="95" spans="1:5" customFormat="1" x14ac:dyDescent="0.3">
      <c r="A95" s="18" t="s">
        <v>1016</v>
      </c>
      <c r="B95" s="60">
        <v>41547</v>
      </c>
      <c r="C95" s="22">
        <v>0.99714146602836184</v>
      </c>
      <c r="D95" s="22">
        <v>1</v>
      </c>
      <c r="E95" s="56"/>
    </row>
    <row r="96" spans="1:5" customFormat="1" x14ac:dyDescent="0.3">
      <c r="A96" s="17" t="s">
        <v>7</v>
      </c>
      <c r="B96" s="60"/>
      <c r="C96" s="22"/>
      <c r="D96" s="22"/>
      <c r="E96" s="56"/>
    </row>
    <row r="97" spans="1:5" customFormat="1" x14ac:dyDescent="0.3">
      <c r="A97" s="18" t="s">
        <v>8</v>
      </c>
      <c r="B97" s="60">
        <v>41458</v>
      </c>
      <c r="C97" s="22">
        <v>0.50743124634289061</v>
      </c>
      <c r="D97" s="22">
        <v>1</v>
      </c>
      <c r="E97" s="56"/>
    </row>
    <row r="98" spans="1:5" customFormat="1" x14ac:dyDescent="0.3">
      <c r="A98" s="17" t="s">
        <v>161</v>
      </c>
      <c r="B98" s="60"/>
      <c r="C98" s="22"/>
      <c r="D98" s="22"/>
      <c r="E98" s="56"/>
    </row>
    <row r="99" spans="1:5" customFormat="1" x14ac:dyDescent="0.3">
      <c r="A99" s="18" t="s">
        <v>162</v>
      </c>
      <c r="B99" s="60">
        <v>40922</v>
      </c>
      <c r="C99" s="22">
        <v>1</v>
      </c>
      <c r="D99" s="22">
        <v>1</v>
      </c>
      <c r="E99" s="56"/>
    </row>
    <row r="100" spans="1:5" customFormat="1" x14ac:dyDescent="0.3">
      <c r="A100" s="17" t="s">
        <v>5</v>
      </c>
      <c r="B100" s="60"/>
      <c r="C100" s="22"/>
      <c r="D100" s="22"/>
      <c r="E100" s="56"/>
    </row>
    <row r="101" spans="1:5" customFormat="1" x14ac:dyDescent="0.3">
      <c r="A101" s="18" t="s">
        <v>431</v>
      </c>
      <c r="B101" s="60">
        <v>41243</v>
      </c>
      <c r="C101" s="22">
        <v>0.81768245094746728</v>
      </c>
      <c r="D101" s="22">
        <v>1</v>
      </c>
      <c r="E101" s="56"/>
    </row>
    <row r="102" spans="1:5" customFormat="1" x14ac:dyDescent="0.3">
      <c r="A102" s="17" t="s">
        <v>6</v>
      </c>
      <c r="B102" s="60"/>
      <c r="C102" s="22"/>
      <c r="D102" s="22"/>
      <c r="E102" s="56"/>
    </row>
    <row r="103" spans="1:5" customFormat="1" x14ac:dyDescent="0.3">
      <c r="A103" s="18" t="s">
        <v>1017</v>
      </c>
      <c r="B103" s="60">
        <v>41445</v>
      </c>
      <c r="C103" s="22">
        <v>0.89976841008562702</v>
      </c>
      <c r="D103" s="22">
        <v>1</v>
      </c>
      <c r="E103" s="56"/>
    </row>
    <row r="104" spans="1:5" customFormat="1" x14ac:dyDescent="0.3">
      <c r="A104" s="17" t="s">
        <v>35</v>
      </c>
      <c r="B104" s="60"/>
      <c r="C104" s="22"/>
      <c r="D104" s="22"/>
      <c r="E104" s="56"/>
    </row>
    <row r="105" spans="1:5" customFormat="1" x14ac:dyDescent="0.3">
      <c r="A105" s="18" t="s">
        <v>36</v>
      </c>
      <c r="B105" s="60">
        <v>41414</v>
      </c>
      <c r="C105" s="22">
        <v>0.73647896728243933</v>
      </c>
      <c r="D105" s="22">
        <v>1</v>
      </c>
      <c r="E105" s="56"/>
    </row>
    <row r="106" spans="1:5" customFormat="1" x14ac:dyDescent="0.3">
      <c r="A106" s="17" t="s">
        <v>37</v>
      </c>
      <c r="B106" s="60"/>
      <c r="C106" s="22"/>
      <c r="D106" s="22"/>
      <c r="E106" s="56"/>
    </row>
    <row r="107" spans="1:5" customFormat="1" x14ac:dyDescent="0.3">
      <c r="A107" s="18" t="s">
        <v>38</v>
      </c>
      <c r="B107" s="60">
        <v>41425</v>
      </c>
      <c r="C107" s="22">
        <v>0.99999830138315948</v>
      </c>
      <c r="D107" s="22">
        <v>1</v>
      </c>
      <c r="E107" s="56"/>
    </row>
    <row r="108" spans="1:5" customFormat="1" x14ac:dyDescent="0.3">
      <c r="A108" s="17" t="s">
        <v>9</v>
      </c>
      <c r="B108" s="60"/>
      <c r="C108" s="22"/>
      <c r="D108" s="22"/>
      <c r="E108" s="56"/>
    </row>
    <row r="109" spans="1:5" customFormat="1" x14ac:dyDescent="0.3">
      <c r="A109" s="18" t="s">
        <v>1018</v>
      </c>
      <c r="B109" s="60">
        <v>41409</v>
      </c>
      <c r="C109" s="22">
        <v>0.95166337492517417</v>
      </c>
      <c r="D109" s="22">
        <v>1</v>
      </c>
      <c r="E109" s="56"/>
    </row>
    <row r="110" spans="1:5" customFormat="1" x14ac:dyDescent="0.3">
      <c r="A110" s="17" t="s">
        <v>63</v>
      </c>
      <c r="B110" s="60"/>
      <c r="C110" s="22"/>
      <c r="D110" s="22"/>
      <c r="E110" s="56"/>
    </row>
    <row r="111" spans="1:5" customFormat="1" x14ac:dyDescent="0.3">
      <c r="A111" s="18" t="s">
        <v>64</v>
      </c>
      <c r="B111" s="60">
        <v>41441</v>
      </c>
      <c r="C111" s="22">
        <v>1</v>
      </c>
      <c r="D111" s="22">
        <v>1</v>
      </c>
      <c r="E111" s="56"/>
    </row>
    <row r="112" spans="1:5" customFormat="1" x14ac:dyDescent="0.3">
      <c r="A112" s="17" t="s">
        <v>110</v>
      </c>
      <c r="B112" s="60"/>
      <c r="C112" s="22"/>
      <c r="D112" s="22"/>
      <c r="E112" s="56"/>
    </row>
    <row r="113" spans="1:5" customFormat="1" x14ac:dyDescent="0.3">
      <c r="A113" s="18" t="s">
        <v>111</v>
      </c>
      <c r="B113" s="60">
        <v>41441</v>
      </c>
      <c r="C113" s="22">
        <v>1</v>
      </c>
      <c r="D113" s="22">
        <v>1</v>
      </c>
      <c r="E113" s="56"/>
    </row>
    <row r="114" spans="1:5" customFormat="1" x14ac:dyDescent="0.3">
      <c r="A114" s="17" t="s">
        <v>65</v>
      </c>
      <c r="B114" s="60"/>
      <c r="C114" s="22"/>
      <c r="D114" s="22"/>
      <c r="E114" s="56"/>
    </row>
    <row r="115" spans="1:5" customFormat="1" x14ac:dyDescent="0.3">
      <c r="A115" s="18" t="s">
        <v>66</v>
      </c>
      <c r="B115" s="60">
        <v>41445</v>
      </c>
      <c r="C115" s="22">
        <v>1</v>
      </c>
      <c r="D115" s="22">
        <v>1</v>
      </c>
      <c r="E115" s="56"/>
    </row>
    <row r="116" spans="1:5" customFormat="1" x14ac:dyDescent="0.3">
      <c r="A116" s="17" t="s">
        <v>69</v>
      </c>
      <c r="B116" s="60"/>
      <c r="C116" s="22"/>
      <c r="D116" s="22"/>
      <c r="E116" s="56"/>
    </row>
    <row r="117" spans="1:5" customFormat="1" x14ac:dyDescent="0.3">
      <c r="A117" s="18" t="s">
        <v>77</v>
      </c>
      <c r="B117" s="60">
        <v>41412</v>
      </c>
      <c r="C117" s="22">
        <v>1</v>
      </c>
      <c r="D117" s="22">
        <v>1</v>
      </c>
      <c r="E117" s="56"/>
    </row>
    <row r="118" spans="1:5" customFormat="1" x14ac:dyDescent="0.3">
      <c r="A118" s="17" t="s">
        <v>47</v>
      </c>
      <c r="B118" s="60"/>
      <c r="C118" s="22"/>
      <c r="D118" s="22"/>
      <c r="E118" s="56"/>
    </row>
    <row r="119" spans="1:5" customFormat="1" x14ac:dyDescent="0.3">
      <c r="A119" s="18" t="s">
        <v>48</v>
      </c>
      <c r="B119" s="60">
        <v>41481</v>
      </c>
      <c r="C119" s="22">
        <v>1</v>
      </c>
      <c r="D119" s="22">
        <v>1</v>
      </c>
      <c r="E119" s="56"/>
    </row>
    <row r="120" spans="1:5" customFormat="1" x14ac:dyDescent="0.3">
      <c r="A120" s="17" t="s">
        <v>39</v>
      </c>
      <c r="B120" s="60"/>
      <c r="C120" s="22"/>
      <c r="D120" s="22"/>
      <c r="E120" s="56"/>
    </row>
    <row r="121" spans="1:5" customFormat="1" x14ac:dyDescent="0.3">
      <c r="A121" s="18" t="s">
        <v>1019</v>
      </c>
      <c r="B121" s="60">
        <v>41558</v>
      </c>
      <c r="C121" s="22">
        <v>1</v>
      </c>
      <c r="D121" s="22">
        <v>1</v>
      </c>
      <c r="E121" s="56"/>
    </row>
    <row r="122" spans="1:5" customFormat="1" x14ac:dyDescent="0.3">
      <c r="A122" s="17" t="s">
        <v>49</v>
      </c>
      <c r="B122" s="60"/>
      <c r="C122" s="22"/>
      <c r="D122" s="22"/>
      <c r="E122" s="56"/>
    </row>
    <row r="123" spans="1:5" customFormat="1" x14ac:dyDescent="0.3">
      <c r="A123" s="18" t="s">
        <v>1020</v>
      </c>
      <c r="B123" s="60">
        <v>41451</v>
      </c>
      <c r="C123" s="22">
        <v>0.53742565080526572</v>
      </c>
      <c r="D123" s="22">
        <v>1</v>
      </c>
      <c r="E123" s="56"/>
    </row>
    <row r="124" spans="1:5" customFormat="1" x14ac:dyDescent="0.3">
      <c r="A124" s="17" t="s">
        <v>50</v>
      </c>
      <c r="B124" s="60"/>
      <c r="C124" s="22"/>
      <c r="D124" s="22"/>
      <c r="E124" s="56"/>
    </row>
    <row r="125" spans="1:5" customFormat="1" x14ac:dyDescent="0.3">
      <c r="A125" s="18" t="s">
        <v>1021</v>
      </c>
      <c r="B125" s="60">
        <v>41534</v>
      </c>
      <c r="C125" s="22">
        <v>0</v>
      </c>
      <c r="D125" s="22">
        <v>1</v>
      </c>
      <c r="E125" s="56"/>
    </row>
    <row r="126" spans="1:5" customFormat="1" x14ac:dyDescent="0.3">
      <c r="A126" s="17" t="s">
        <v>119</v>
      </c>
      <c r="B126" s="60"/>
      <c r="C126" s="22"/>
      <c r="D126" s="22"/>
      <c r="E126" s="56"/>
    </row>
    <row r="127" spans="1:5" customFormat="1" x14ac:dyDescent="0.3">
      <c r="A127" s="18" t="s">
        <v>398</v>
      </c>
      <c r="B127" s="60">
        <v>41390</v>
      </c>
      <c r="C127" s="22">
        <v>1</v>
      </c>
      <c r="D127" s="22">
        <v>1</v>
      </c>
      <c r="E127" s="56"/>
    </row>
    <row r="128" spans="1:5" customFormat="1" x14ac:dyDescent="0.3">
      <c r="A128" s="17" t="s">
        <v>589</v>
      </c>
      <c r="B128" s="60"/>
      <c r="C128" s="22"/>
      <c r="D128" s="22"/>
      <c r="E128" s="56"/>
    </row>
    <row r="129" spans="1:5" customFormat="1" x14ac:dyDescent="0.3">
      <c r="A129" s="18" t="s">
        <v>426</v>
      </c>
      <c r="B129" s="60">
        <v>41332</v>
      </c>
      <c r="C129" s="22">
        <v>8.5094116180503609E-2</v>
      </c>
      <c r="D129" s="22">
        <v>1</v>
      </c>
      <c r="E129" s="56"/>
    </row>
    <row r="130" spans="1:5" customFormat="1" x14ac:dyDescent="0.3">
      <c r="A130" s="17" t="s">
        <v>163</v>
      </c>
      <c r="B130" s="60"/>
      <c r="C130" s="22"/>
      <c r="D130" s="22"/>
      <c r="E130" s="56"/>
    </row>
    <row r="131" spans="1:5" customFormat="1" x14ac:dyDescent="0.3">
      <c r="A131" s="18" t="s">
        <v>432</v>
      </c>
      <c r="B131" s="60">
        <v>41312</v>
      </c>
      <c r="C131" s="22">
        <v>1</v>
      </c>
      <c r="D131" s="22">
        <v>1</v>
      </c>
      <c r="E131" s="56"/>
    </row>
    <row r="132" spans="1:5" customFormat="1" x14ac:dyDescent="0.3">
      <c r="A132" s="17" t="s">
        <v>51</v>
      </c>
      <c r="B132" s="60"/>
      <c r="C132" s="22"/>
      <c r="D132" s="22"/>
      <c r="E132" s="56"/>
    </row>
    <row r="133" spans="1:5" customFormat="1" x14ac:dyDescent="0.3">
      <c r="A133" s="18" t="s">
        <v>1022</v>
      </c>
      <c r="B133" s="60">
        <v>41579</v>
      </c>
      <c r="C133" s="22">
        <v>1</v>
      </c>
      <c r="D133" s="22">
        <v>1</v>
      </c>
      <c r="E133" s="56"/>
    </row>
    <row r="134" spans="1:5" customFormat="1" x14ac:dyDescent="0.3">
      <c r="A134" s="17" t="s">
        <v>597</v>
      </c>
      <c r="B134" s="60"/>
      <c r="C134" s="22"/>
      <c r="D134" s="22"/>
      <c r="E134" s="56"/>
    </row>
    <row r="135" spans="1:5" customFormat="1" x14ac:dyDescent="0.3">
      <c r="A135" s="18" t="s">
        <v>1023</v>
      </c>
      <c r="B135" s="60">
        <v>41562</v>
      </c>
      <c r="C135" s="22">
        <v>1</v>
      </c>
      <c r="D135" s="22">
        <v>1</v>
      </c>
      <c r="E135" s="56"/>
    </row>
    <row r="136" spans="1:5" customFormat="1" x14ac:dyDescent="0.3">
      <c r="A136" s="17" t="s">
        <v>52</v>
      </c>
      <c r="B136" s="60"/>
      <c r="C136" s="22"/>
      <c r="D136" s="22"/>
      <c r="E136" s="56"/>
    </row>
    <row r="137" spans="1:5" customFormat="1" x14ac:dyDescent="0.3">
      <c r="A137" s="18" t="s">
        <v>53</v>
      </c>
      <c r="B137" s="60">
        <v>41459</v>
      </c>
      <c r="C137" s="22">
        <v>0.90099290163696943</v>
      </c>
      <c r="D137" s="22">
        <v>1</v>
      </c>
      <c r="E137" s="56"/>
    </row>
    <row r="138" spans="1:5" customFormat="1" x14ac:dyDescent="0.3">
      <c r="A138" s="17" t="s">
        <v>598</v>
      </c>
      <c r="B138" s="60"/>
      <c r="C138" s="22"/>
      <c r="D138" s="22"/>
      <c r="E138" s="56"/>
    </row>
    <row r="139" spans="1:5" customFormat="1" x14ac:dyDescent="0.3">
      <c r="A139" s="18" t="s">
        <v>1024</v>
      </c>
      <c r="B139" s="60">
        <v>41446</v>
      </c>
      <c r="C139" s="22">
        <v>1</v>
      </c>
      <c r="D139" s="22">
        <v>1</v>
      </c>
      <c r="E139" s="56"/>
    </row>
    <row r="140" spans="1:5" customFormat="1" x14ac:dyDescent="0.3">
      <c r="A140" s="17" t="s">
        <v>399</v>
      </c>
      <c r="B140" s="60"/>
      <c r="C140" s="22"/>
      <c r="D140" s="22"/>
      <c r="E140" s="56"/>
    </row>
    <row r="141" spans="1:5" customFormat="1" x14ac:dyDescent="0.3">
      <c r="A141" s="18" t="s">
        <v>424</v>
      </c>
      <c r="B141" s="60">
        <v>41278</v>
      </c>
      <c r="C141" s="22">
        <v>1</v>
      </c>
      <c r="D141" s="22">
        <v>1</v>
      </c>
      <c r="E141" s="56"/>
    </row>
    <row r="142" spans="1:5" customFormat="1" x14ac:dyDescent="0.3">
      <c r="A142" s="17" t="s">
        <v>42</v>
      </c>
      <c r="B142" s="60"/>
      <c r="C142" s="22"/>
      <c r="D142" s="22"/>
      <c r="E142" s="56"/>
    </row>
    <row r="143" spans="1:5" customFormat="1" x14ac:dyDescent="0.3">
      <c r="A143" s="18" t="s">
        <v>43</v>
      </c>
      <c r="B143" s="60">
        <v>41452</v>
      </c>
      <c r="C143" s="22">
        <v>0.99857142857142855</v>
      </c>
      <c r="D143" s="22">
        <v>1</v>
      </c>
      <c r="E143" s="56"/>
    </row>
    <row r="144" spans="1:5" customFormat="1" x14ac:dyDescent="0.3">
      <c r="A144" s="17" t="s">
        <v>67</v>
      </c>
      <c r="B144" s="60"/>
      <c r="C144" s="22"/>
      <c r="D144" s="22"/>
      <c r="E144" s="56"/>
    </row>
    <row r="145" spans="1:5" customFormat="1" x14ac:dyDescent="0.3">
      <c r="A145" s="18" t="s">
        <v>68</v>
      </c>
      <c r="B145" s="60">
        <v>41322</v>
      </c>
      <c r="C145" s="22">
        <v>1</v>
      </c>
      <c r="D145" s="22">
        <v>1</v>
      </c>
      <c r="E145" s="56"/>
    </row>
    <row r="146" spans="1:5" customFormat="1" x14ac:dyDescent="0.3">
      <c r="A146" s="17" t="s">
        <v>74</v>
      </c>
      <c r="B146" s="60"/>
      <c r="C146" s="22"/>
      <c r="D146" s="22"/>
      <c r="E146" s="56"/>
    </row>
    <row r="147" spans="1:5" customFormat="1" x14ac:dyDescent="0.3">
      <c r="A147" s="18" t="s">
        <v>75</v>
      </c>
      <c r="B147" s="60">
        <v>41593</v>
      </c>
      <c r="C147" s="22">
        <v>1</v>
      </c>
      <c r="D147" s="22">
        <v>1</v>
      </c>
      <c r="E147" s="56"/>
    </row>
    <row r="148" spans="1:5" customFormat="1" x14ac:dyDescent="0.3">
      <c r="A148" s="17" t="s">
        <v>54</v>
      </c>
      <c r="B148" s="60"/>
      <c r="C148" s="22"/>
      <c r="D148" s="22"/>
      <c r="E148" s="56"/>
    </row>
    <row r="149" spans="1:5" customFormat="1" x14ac:dyDescent="0.3">
      <c r="A149" s="18" t="s">
        <v>55</v>
      </c>
      <c r="B149" s="60">
        <v>41575</v>
      </c>
      <c r="C149" s="22">
        <v>0.93101375598086122</v>
      </c>
      <c r="D149" s="22">
        <v>1</v>
      </c>
      <c r="E149" s="56"/>
    </row>
    <row r="150" spans="1:5" customFormat="1" x14ac:dyDescent="0.3">
      <c r="A150" s="17" t="s">
        <v>11</v>
      </c>
      <c r="B150" s="60"/>
      <c r="C150" s="22"/>
      <c r="D150" s="22"/>
      <c r="E150" s="56"/>
    </row>
    <row r="151" spans="1:5" customFormat="1" x14ac:dyDescent="0.3">
      <c r="A151" s="18" t="s">
        <v>12</v>
      </c>
      <c r="B151" s="60">
        <v>41711</v>
      </c>
      <c r="C151" s="22">
        <v>0.91500886247523716</v>
      </c>
      <c r="D151" s="22">
        <v>1</v>
      </c>
      <c r="E151" s="56"/>
    </row>
    <row r="152" spans="1:5" customFormat="1" x14ac:dyDescent="0.3">
      <c r="A152" s="17" t="s">
        <v>4</v>
      </c>
      <c r="B152" s="60"/>
      <c r="C152" s="22"/>
      <c r="D152" s="22"/>
      <c r="E152" s="56"/>
    </row>
    <row r="153" spans="1:5" customFormat="1" x14ac:dyDescent="0.3">
      <c r="A153" s="18" t="s">
        <v>1027</v>
      </c>
      <c r="B153" s="60">
        <v>41608</v>
      </c>
      <c r="C153" s="22">
        <v>0.82220984856913393</v>
      </c>
      <c r="D153" s="22">
        <v>1</v>
      </c>
      <c r="E153" s="56"/>
    </row>
    <row r="154" spans="1:5" customFormat="1" x14ac:dyDescent="0.3">
      <c r="A154" s="17" t="s">
        <v>71</v>
      </c>
      <c r="B154" s="60"/>
      <c r="C154" s="22"/>
      <c r="D154" s="22"/>
      <c r="E154" s="56"/>
    </row>
    <row r="155" spans="1:5" customFormat="1" x14ac:dyDescent="0.3">
      <c r="A155" s="18" t="s">
        <v>1028</v>
      </c>
      <c r="B155" s="60">
        <v>41505</v>
      </c>
      <c r="C155" s="22">
        <v>0.99981782520075513</v>
      </c>
      <c r="D155" s="22">
        <v>1</v>
      </c>
      <c r="E155" s="56"/>
    </row>
    <row r="156" spans="1:5" customFormat="1" x14ac:dyDescent="0.3">
      <c r="A156" s="17" t="s">
        <v>76</v>
      </c>
      <c r="B156" s="60"/>
      <c r="C156" s="22"/>
      <c r="D156" s="22"/>
      <c r="E156" s="56"/>
    </row>
    <row r="157" spans="1:5" customFormat="1" x14ac:dyDescent="0.3">
      <c r="A157" s="18" t="s">
        <v>77</v>
      </c>
      <c r="B157" s="60">
        <v>43281</v>
      </c>
      <c r="C157" s="22">
        <v>0.17434304338314827</v>
      </c>
      <c r="D157" s="22">
        <v>1</v>
      </c>
      <c r="E157" s="56"/>
    </row>
    <row r="158" spans="1:5" customFormat="1" x14ac:dyDescent="0.3">
      <c r="A158" s="17" t="s">
        <v>45</v>
      </c>
      <c r="B158" s="60"/>
      <c r="C158" s="22"/>
      <c r="D158" s="22"/>
      <c r="E158" s="56"/>
    </row>
    <row r="159" spans="1:5" customFormat="1" x14ac:dyDescent="0.3">
      <c r="A159" s="18" t="s">
        <v>46</v>
      </c>
      <c r="B159" s="60">
        <v>41322</v>
      </c>
      <c r="C159" s="22">
        <v>1</v>
      </c>
      <c r="D159" s="22">
        <v>1</v>
      </c>
      <c r="E159" s="56"/>
    </row>
    <row r="160" spans="1:5" customFormat="1" x14ac:dyDescent="0.3">
      <c r="A160" s="17" t="s">
        <v>25</v>
      </c>
      <c r="B160" s="60"/>
      <c r="C160" s="22"/>
      <c r="D160" s="22"/>
      <c r="E160" s="56"/>
    </row>
    <row r="161" spans="1:5" customFormat="1" x14ac:dyDescent="0.3">
      <c r="A161" s="18" t="s">
        <v>26</v>
      </c>
      <c r="B161" s="60">
        <v>41736</v>
      </c>
      <c r="C161" s="22">
        <v>0.99999515837307507</v>
      </c>
      <c r="D161" s="22">
        <v>1</v>
      </c>
      <c r="E161" s="56"/>
    </row>
    <row r="162" spans="1:5" customFormat="1" x14ac:dyDescent="0.3">
      <c r="A162" s="17" t="s">
        <v>116</v>
      </c>
      <c r="B162" s="60"/>
      <c r="C162" s="22"/>
      <c r="D162" s="22"/>
      <c r="E162" s="56"/>
    </row>
    <row r="163" spans="1:5" customFormat="1" x14ac:dyDescent="0.3">
      <c r="A163" s="18" t="s">
        <v>418</v>
      </c>
      <c r="B163" s="60">
        <v>41442</v>
      </c>
      <c r="C163" s="22">
        <v>1</v>
      </c>
      <c r="D163" s="22">
        <v>1</v>
      </c>
      <c r="E163" s="56"/>
    </row>
    <row r="164" spans="1:5" customFormat="1" x14ac:dyDescent="0.3">
      <c r="A164" s="17" t="s">
        <v>122</v>
      </c>
      <c r="B164" s="60"/>
      <c r="C164" s="22"/>
      <c r="D164" s="22"/>
      <c r="E164" s="56"/>
    </row>
    <row r="165" spans="1:5" customFormat="1" x14ac:dyDescent="0.3">
      <c r="A165" s="18" t="s">
        <v>244</v>
      </c>
      <c r="B165" s="60">
        <v>41680</v>
      </c>
      <c r="C165" s="22">
        <v>1</v>
      </c>
      <c r="D165" s="22">
        <v>1</v>
      </c>
      <c r="E165" s="56"/>
    </row>
    <row r="166" spans="1:5" customFormat="1" x14ac:dyDescent="0.3">
      <c r="A166" s="17" t="s">
        <v>182</v>
      </c>
      <c r="B166" s="60"/>
      <c r="C166" s="22"/>
      <c r="D166" s="22"/>
      <c r="E166" s="56"/>
    </row>
    <row r="167" spans="1:5" customFormat="1" x14ac:dyDescent="0.3">
      <c r="A167" s="18" t="s">
        <v>152</v>
      </c>
      <c r="B167" s="60">
        <v>41336</v>
      </c>
      <c r="C167" s="22">
        <v>0.92913298619329387</v>
      </c>
      <c r="D167" s="22">
        <v>1</v>
      </c>
      <c r="E167" s="56"/>
    </row>
    <row r="168" spans="1:5" customFormat="1" x14ac:dyDescent="0.3">
      <c r="A168" s="17" t="s">
        <v>78</v>
      </c>
      <c r="B168" s="60"/>
      <c r="C168" s="22"/>
      <c r="D168" s="22"/>
      <c r="E168" s="56"/>
    </row>
    <row r="169" spans="1:5" customFormat="1" x14ac:dyDescent="0.3">
      <c r="A169" s="18" t="s">
        <v>79</v>
      </c>
      <c r="B169" s="60">
        <v>41683</v>
      </c>
      <c r="C169" s="22">
        <v>1</v>
      </c>
      <c r="D169" s="22">
        <v>1</v>
      </c>
      <c r="E169" s="56"/>
    </row>
    <row r="170" spans="1:5" customFormat="1" x14ac:dyDescent="0.3">
      <c r="A170" s="17" t="s">
        <v>80</v>
      </c>
      <c r="B170" s="60"/>
      <c r="C170" s="22"/>
      <c r="D170" s="22"/>
      <c r="E170" s="56"/>
    </row>
    <row r="171" spans="1:5" customFormat="1" x14ac:dyDescent="0.3">
      <c r="A171" s="18" t="s">
        <v>81</v>
      </c>
      <c r="B171" s="60">
        <v>41711</v>
      </c>
      <c r="C171" s="22">
        <v>1</v>
      </c>
      <c r="D171" s="22">
        <v>1</v>
      </c>
      <c r="E171" s="56"/>
    </row>
    <row r="172" spans="1:5" customFormat="1" x14ac:dyDescent="0.3">
      <c r="A172" s="17" t="s">
        <v>82</v>
      </c>
      <c r="B172" s="60"/>
      <c r="C172" s="22"/>
      <c r="D172" s="22"/>
      <c r="E172" s="56"/>
    </row>
    <row r="173" spans="1:5" customFormat="1" x14ac:dyDescent="0.3">
      <c r="A173" s="18" t="s">
        <v>1029</v>
      </c>
      <c r="B173" s="60">
        <v>41652</v>
      </c>
      <c r="C173" s="22">
        <v>0.89656896040120193</v>
      </c>
      <c r="D173" s="22">
        <v>1</v>
      </c>
      <c r="E173" s="56"/>
    </row>
    <row r="174" spans="1:5" customFormat="1" x14ac:dyDescent="0.3">
      <c r="A174" s="17" t="s">
        <v>83</v>
      </c>
      <c r="B174" s="60"/>
      <c r="C174" s="22"/>
      <c r="D174" s="22"/>
      <c r="E174" s="56"/>
    </row>
    <row r="175" spans="1:5" customFormat="1" x14ac:dyDescent="0.3">
      <c r="A175" s="18" t="s">
        <v>84</v>
      </c>
      <c r="B175" s="60">
        <v>41731</v>
      </c>
      <c r="C175" s="22">
        <v>0.971116850472869</v>
      </c>
      <c r="D175" s="22">
        <v>1</v>
      </c>
      <c r="E175" s="56"/>
    </row>
    <row r="176" spans="1:5" customFormat="1" x14ac:dyDescent="0.3">
      <c r="A176" s="17" t="s">
        <v>85</v>
      </c>
      <c r="B176" s="60"/>
      <c r="C176" s="22"/>
      <c r="D176" s="22"/>
      <c r="E176" s="56"/>
    </row>
    <row r="177" spans="1:5" customFormat="1" x14ac:dyDescent="0.3">
      <c r="A177" s="18" t="s">
        <v>86</v>
      </c>
      <c r="B177" s="60">
        <v>41716</v>
      </c>
      <c r="C177" s="22">
        <v>1</v>
      </c>
      <c r="D177" s="22">
        <v>1</v>
      </c>
      <c r="E177" s="56"/>
    </row>
    <row r="178" spans="1:5" customFormat="1" x14ac:dyDescent="0.3">
      <c r="A178" s="17" t="s">
        <v>87</v>
      </c>
      <c r="B178" s="60"/>
      <c r="C178" s="22"/>
      <c r="D178" s="22"/>
      <c r="E178" s="56"/>
    </row>
    <row r="179" spans="1:5" customFormat="1" x14ac:dyDescent="0.3">
      <c r="A179" s="18" t="s">
        <v>435</v>
      </c>
      <c r="B179" s="60">
        <v>41764</v>
      </c>
      <c r="C179" s="22">
        <v>0.83947368421052626</v>
      </c>
      <c r="D179" s="22">
        <v>1</v>
      </c>
      <c r="E179" s="56"/>
    </row>
    <row r="180" spans="1:5" customFormat="1" x14ac:dyDescent="0.3">
      <c r="A180" s="17" t="s">
        <v>88</v>
      </c>
      <c r="B180" s="60"/>
      <c r="C180" s="22"/>
      <c r="D180" s="22"/>
      <c r="E180" s="56"/>
    </row>
    <row r="181" spans="1:5" customFormat="1" x14ac:dyDescent="0.3">
      <c r="A181" s="18" t="s">
        <v>1030</v>
      </c>
      <c r="B181" s="60">
        <v>41545</v>
      </c>
      <c r="C181" s="22">
        <v>1</v>
      </c>
      <c r="D181" s="22">
        <v>1</v>
      </c>
      <c r="E181" s="56"/>
    </row>
    <row r="182" spans="1:5" customFormat="1" x14ac:dyDescent="0.3">
      <c r="A182" s="17" t="s">
        <v>91</v>
      </c>
      <c r="B182" s="60"/>
      <c r="C182" s="22"/>
      <c r="D182" s="22"/>
      <c r="E182" s="56"/>
    </row>
    <row r="183" spans="1:5" customFormat="1" x14ac:dyDescent="0.3">
      <c r="A183" s="18" t="s">
        <v>1031</v>
      </c>
      <c r="B183" s="60">
        <v>41692</v>
      </c>
      <c r="C183" s="22">
        <v>1</v>
      </c>
      <c r="D183" s="22">
        <v>1</v>
      </c>
      <c r="E183" s="56"/>
    </row>
    <row r="184" spans="1:5" customFormat="1" x14ac:dyDescent="0.3">
      <c r="A184" s="17" t="s">
        <v>93</v>
      </c>
      <c r="B184" s="60"/>
      <c r="C184" s="22"/>
      <c r="D184" s="22"/>
      <c r="E184" s="56"/>
    </row>
    <row r="185" spans="1:5" customFormat="1" x14ac:dyDescent="0.3">
      <c r="A185" s="18" t="s">
        <v>1032</v>
      </c>
      <c r="B185" s="60">
        <v>41699</v>
      </c>
      <c r="C185" s="22">
        <v>1</v>
      </c>
      <c r="D185" s="22">
        <v>1</v>
      </c>
      <c r="E185" s="56"/>
    </row>
    <row r="186" spans="1:5" customFormat="1" x14ac:dyDescent="0.3">
      <c r="A186" s="17" t="s">
        <v>94</v>
      </c>
      <c r="B186" s="60"/>
      <c r="C186" s="22"/>
      <c r="D186" s="22"/>
      <c r="E186" s="56"/>
    </row>
    <row r="187" spans="1:5" customFormat="1" x14ac:dyDescent="0.3">
      <c r="A187" s="18" t="s">
        <v>433</v>
      </c>
      <c r="B187" s="60">
        <v>41508</v>
      </c>
      <c r="C187" s="22">
        <v>0.99999985000000002</v>
      </c>
      <c r="D187" s="22">
        <v>1</v>
      </c>
      <c r="E187" s="56"/>
    </row>
    <row r="188" spans="1:5" customFormat="1" x14ac:dyDescent="0.3">
      <c r="A188" s="17" t="s">
        <v>95</v>
      </c>
      <c r="B188" s="60"/>
      <c r="C188" s="22"/>
      <c r="D188" s="22"/>
      <c r="E188" s="56"/>
    </row>
    <row r="189" spans="1:5" customFormat="1" x14ac:dyDescent="0.3">
      <c r="A189" s="18" t="s">
        <v>41</v>
      </c>
      <c r="B189" s="60">
        <v>41890</v>
      </c>
      <c r="C189" s="22">
        <v>0.9990517870167761</v>
      </c>
      <c r="D189" s="22">
        <v>1</v>
      </c>
      <c r="E189" s="56"/>
    </row>
    <row r="190" spans="1:5" customFormat="1" x14ac:dyDescent="0.3">
      <c r="A190" s="17" t="s">
        <v>96</v>
      </c>
      <c r="B190" s="60"/>
      <c r="C190" s="22"/>
      <c r="D190" s="22"/>
      <c r="E190" s="56"/>
    </row>
    <row r="191" spans="1:5" customFormat="1" x14ac:dyDescent="0.3">
      <c r="A191" s="18" t="s">
        <v>3</v>
      </c>
      <c r="B191" s="60">
        <v>41820</v>
      </c>
      <c r="C191" s="22">
        <v>0.99999883753877283</v>
      </c>
      <c r="D191" s="22">
        <v>1</v>
      </c>
      <c r="E191" s="56"/>
    </row>
    <row r="192" spans="1:5" customFormat="1" x14ac:dyDescent="0.3">
      <c r="A192" s="17" t="s">
        <v>97</v>
      </c>
      <c r="B192" s="60"/>
      <c r="C192" s="22"/>
      <c r="D192" s="22"/>
      <c r="E192" s="56"/>
    </row>
    <row r="193" spans="1:5" customFormat="1" x14ac:dyDescent="0.3">
      <c r="A193" s="18" t="s">
        <v>98</v>
      </c>
      <c r="B193" s="60">
        <v>41692</v>
      </c>
      <c r="C193" s="22">
        <v>0.99541854221486104</v>
      </c>
      <c r="D193" s="22">
        <v>1</v>
      </c>
      <c r="E193" s="56"/>
    </row>
    <row r="194" spans="1:5" customFormat="1" x14ac:dyDescent="0.3">
      <c r="A194" s="17" t="s">
        <v>99</v>
      </c>
      <c r="B194" s="60"/>
      <c r="C194" s="22"/>
      <c r="D194" s="22"/>
      <c r="E194" s="56"/>
    </row>
    <row r="195" spans="1:5" customFormat="1" x14ac:dyDescent="0.3">
      <c r="A195" s="18" t="s">
        <v>100</v>
      </c>
      <c r="B195" s="60">
        <v>41660</v>
      </c>
      <c r="C195" s="22">
        <v>0.9756046734955186</v>
      </c>
      <c r="D195" s="22">
        <v>1</v>
      </c>
      <c r="E195" s="56"/>
    </row>
    <row r="196" spans="1:5" customFormat="1" x14ac:dyDescent="0.3">
      <c r="A196" s="17" t="s">
        <v>121</v>
      </c>
      <c r="B196" s="60"/>
      <c r="C196" s="22"/>
      <c r="D196" s="22"/>
      <c r="E196" s="56"/>
    </row>
    <row r="197" spans="1:5" customFormat="1" x14ac:dyDescent="0.3">
      <c r="A197" s="18" t="s">
        <v>15</v>
      </c>
      <c r="B197" s="60">
        <v>41774</v>
      </c>
      <c r="C197" s="22">
        <v>1</v>
      </c>
      <c r="D197" s="22">
        <v>1</v>
      </c>
      <c r="E197" s="56"/>
    </row>
    <row r="198" spans="1:5" customFormat="1" x14ac:dyDescent="0.3">
      <c r="A198" s="17" t="s">
        <v>123</v>
      </c>
      <c r="B198" s="60"/>
      <c r="C198" s="22"/>
      <c r="D198" s="22"/>
      <c r="E198" s="56"/>
    </row>
    <row r="199" spans="1:5" customFormat="1" x14ac:dyDescent="0.3">
      <c r="A199" s="18" t="s">
        <v>124</v>
      </c>
      <c r="B199" s="60">
        <v>41713</v>
      </c>
      <c r="C199" s="22">
        <v>0.55000000000000004</v>
      </c>
      <c r="D199" s="22">
        <v>1</v>
      </c>
      <c r="E199" s="56"/>
    </row>
    <row r="200" spans="1:5" customFormat="1" x14ac:dyDescent="0.3">
      <c r="A200" s="17" t="s">
        <v>125</v>
      </c>
      <c r="B200" s="60"/>
      <c r="C200" s="22"/>
      <c r="D200" s="22"/>
      <c r="E200" s="56"/>
    </row>
    <row r="201" spans="1:5" customFormat="1" x14ac:dyDescent="0.3">
      <c r="A201" s="18" t="s">
        <v>126</v>
      </c>
      <c r="B201" s="60">
        <v>41698</v>
      </c>
      <c r="C201" s="22">
        <v>0.83105722827247486</v>
      </c>
      <c r="D201" s="22">
        <v>1</v>
      </c>
      <c r="E201" s="56"/>
    </row>
    <row r="202" spans="1:5" customFormat="1" x14ac:dyDescent="0.3">
      <c r="A202" s="17" t="s">
        <v>129</v>
      </c>
      <c r="B202" s="60"/>
      <c r="C202" s="22"/>
      <c r="D202" s="22"/>
      <c r="E202" s="56"/>
    </row>
    <row r="203" spans="1:5" customFormat="1" x14ac:dyDescent="0.3">
      <c r="A203" s="18" t="s">
        <v>1018</v>
      </c>
      <c r="B203" s="60">
        <v>41806</v>
      </c>
      <c r="C203" s="22">
        <v>0.99133303140096618</v>
      </c>
      <c r="D203" s="22">
        <v>1</v>
      </c>
      <c r="E203" s="56"/>
    </row>
    <row r="204" spans="1:5" customFormat="1" x14ac:dyDescent="0.3">
      <c r="A204" s="17" t="s">
        <v>89</v>
      </c>
      <c r="B204" s="60"/>
      <c r="C204" s="22"/>
      <c r="D204" s="22"/>
      <c r="E204" s="56"/>
    </row>
    <row r="205" spans="1:5" customFormat="1" x14ac:dyDescent="0.3">
      <c r="A205" s="18" t="s">
        <v>90</v>
      </c>
      <c r="B205" s="60">
        <v>41802</v>
      </c>
      <c r="C205" s="22">
        <v>1</v>
      </c>
      <c r="D205" s="22">
        <v>1</v>
      </c>
      <c r="E205" s="56"/>
    </row>
    <row r="206" spans="1:5" customFormat="1" x14ac:dyDescent="0.3">
      <c r="A206" s="17" t="s">
        <v>130</v>
      </c>
      <c r="B206" s="60"/>
      <c r="C206" s="22"/>
      <c r="D206" s="22"/>
      <c r="E206" s="56"/>
    </row>
    <row r="207" spans="1:5" customFormat="1" x14ac:dyDescent="0.3">
      <c r="A207" s="18" t="s">
        <v>1110</v>
      </c>
      <c r="B207" s="60">
        <v>41897</v>
      </c>
      <c r="C207" s="22">
        <v>0.99999999935584927</v>
      </c>
      <c r="D207" s="22">
        <v>1</v>
      </c>
      <c r="E207" s="56"/>
    </row>
    <row r="208" spans="1:5" customFormat="1" x14ac:dyDescent="0.3">
      <c r="A208" s="17" t="s">
        <v>132</v>
      </c>
      <c r="B208" s="60"/>
      <c r="C208" s="22"/>
      <c r="D208" s="22"/>
      <c r="E208" s="56"/>
    </row>
    <row r="209" spans="1:5" customFormat="1" x14ac:dyDescent="0.3">
      <c r="A209" s="18" t="s">
        <v>27</v>
      </c>
      <c r="B209" s="60">
        <v>41969</v>
      </c>
      <c r="C209" s="22">
        <v>1</v>
      </c>
      <c r="D209" s="22">
        <v>1</v>
      </c>
      <c r="E209" s="56"/>
    </row>
    <row r="210" spans="1:5" customFormat="1" x14ac:dyDescent="0.3">
      <c r="A210" s="17" t="s">
        <v>133</v>
      </c>
      <c r="B210" s="60"/>
      <c r="C210" s="22"/>
      <c r="D210" s="22"/>
      <c r="E210" s="56"/>
    </row>
    <row r="211" spans="1:5" customFormat="1" x14ac:dyDescent="0.3">
      <c r="A211" s="18" t="s">
        <v>134</v>
      </c>
      <c r="B211" s="60">
        <v>41823</v>
      </c>
      <c r="C211" s="22">
        <v>0.357908</v>
      </c>
      <c r="D211" s="22">
        <v>1</v>
      </c>
      <c r="E211" s="56"/>
    </row>
    <row r="212" spans="1:5" customFormat="1" x14ac:dyDescent="0.3">
      <c r="A212" s="17" t="s">
        <v>135</v>
      </c>
      <c r="B212" s="60"/>
      <c r="C212" s="22"/>
      <c r="D212" s="22"/>
      <c r="E212" s="56"/>
    </row>
    <row r="213" spans="1:5" customFormat="1" x14ac:dyDescent="0.3">
      <c r="A213" s="18" t="s">
        <v>38</v>
      </c>
      <c r="B213" s="60">
        <v>41820</v>
      </c>
      <c r="C213" s="22">
        <v>0.99999994429721428</v>
      </c>
      <c r="D213" s="22">
        <v>1</v>
      </c>
      <c r="E213" s="56"/>
    </row>
    <row r="214" spans="1:5" customFormat="1" x14ac:dyDescent="0.3">
      <c r="A214" s="17" t="s">
        <v>136</v>
      </c>
      <c r="B214" s="60"/>
      <c r="C214" s="22"/>
      <c r="D214" s="22"/>
      <c r="E214" s="56"/>
    </row>
    <row r="215" spans="1:5" customFormat="1" x14ac:dyDescent="0.3">
      <c r="A215" s="18" t="s">
        <v>137</v>
      </c>
      <c r="B215" s="60">
        <v>41660</v>
      </c>
      <c r="C215" s="22">
        <v>0.41667500000000002</v>
      </c>
      <c r="D215" s="22">
        <v>1</v>
      </c>
      <c r="E215" s="56"/>
    </row>
    <row r="216" spans="1:5" customFormat="1" x14ac:dyDescent="0.3">
      <c r="A216" s="17" t="s">
        <v>202</v>
      </c>
      <c r="B216" s="60"/>
      <c r="C216" s="22"/>
      <c r="D216" s="22"/>
      <c r="E216" s="56"/>
    </row>
    <row r="217" spans="1:5" customFormat="1" x14ac:dyDescent="0.3">
      <c r="A217" s="18" t="s">
        <v>203</v>
      </c>
      <c r="B217" s="60">
        <v>41578</v>
      </c>
      <c r="C217" s="22">
        <v>1</v>
      </c>
      <c r="D217" s="22">
        <v>1</v>
      </c>
      <c r="E217" s="56"/>
    </row>
    <row r="218" spans="1:5" customFormat="1" x14ac:dyDescent="0.3">
      <c r="A218" s="17" t="s">
        <v>138</v>
      </c>
      <c r="B218" s="60"/>
      <c r="C218" s="22"/>
      <c r="D218" s="22"/>
      <c r="E218" s="56"/>
    </row>
    <row r="219" spans="1:5" customFormat="1" x14ac:dyDescent="0.3">
      <c r="A219" s="18" t="s">
        <v>1033</v>
      </c>
      <c r="B219" s="60">
        <v>41665</v>
      </c>
      <c r="C219" s="22">
        <v>1</v>
      </c>
      <c r="D219" s="22">
        <v>1</v>
      </c>
      <c r="E219" s="56"/>
    </row>
    <row r="220" spans="1:5" customFormat="1" x14ac:dyDescent="0.3">
      <c r="A220" s="17" t="s">
        <v>139</v>
      </c>
      <c r="B220" s="60"/>
      <c r="C220" s="22"/>
      <c r="D220" s="22"/>
      <c r="E220" s="56"/>
    </row>
    <row r="221" spans="1:5" customFormat="1" x14ac:dyDescent="0.3">
      <c r="A221" s="18" t="s">
        <v>140</v>
      </c>
      <c r="B221" s="60">
        <v>41667</v>
      </c>
      <c r="C221" s="22">
        <v>1</v>
      </c>
      <c r="D221" s="22">
        <v>1</v>
      </c>
      <c r="E221" s="56"/>
    </row>
    <row r="222" spans="1:5" customFormat="1" x14ac:dyDescent="0.3">
      <c r="A222" s="17" t="s">
        <v>141</v>
      </c>
      <c r="B222" s="60"/>
      <c r="C222" s="22"/>
      <c r="D222" s="22"/>
      <c r="E222" s="56"/>
    </row>
    <row r="223" spans="1:5" customFormat="1" x14ac:dyDescent="0.3">
      <c r="A223" s="18" t="s">
        <v>142</v>
      </c>
      <c r="B223" s="60">
        <v>41501</v>
      </c>
      <c r="C223" s="22">
        <v>1</v>
      </c>
      <c r="D223" s="22">
        <v>1</v>
      </c>
      <c r="E223" s="56"/>
    </row>
    <row r="224" spans="1:5" customFormat="1" x14ac:dyDescent="0.3">
      <c r="A224" s="17" t="s">
        <v>143</v>
      </c>
      <c r="B224" s="60"/>
      <c r="C224" s="22"/>
      <c r="D224" s="22"/>
      <c r="E224" s="56"/>
    </row>
    <row r="225" spans="1:5" customFormat="1" x14ac:dyDescent="0.3">
      <c r="A225" s="18" t="s">
        <v>144</v>
      </c>
      <c r="B225" s="60">
        <v>41849</v>
      </c>
      <c r="C225" s="22">
        <v>1</v>
      </c>
      <c r="D225" s="22">
        <v>1</v>
      </c>
      <c r="E225" s="56"/>
    </row>
    <row r="226" spans="1:5" customFormat="1" x14ac:dyDescent="0.3">
      <c r="A226" s="17" t="s">
        <v>145</v>
      </c>
      <c r="B226" s="60"/>
      <c r="C226" s="22"/>
      <c r="D226" s="22"/>
      <c r="E226" s="56"/>
    </row>
    <row r="227" spans="1:5" customFormat="1" x14ac:dyDescent="0.3">
      <c r="A227" s="18" t="s">
        <v>43</v>
      </c>
      <c r="B227" s="60">
        <v>41736</v>
      </c>
      <c r="C227" s="22">
        <v>0.85059696291835152</v>
      </c>
      <c r="D227" s="22">
        <v>1</v>
      </c>
      <c r="E227" s="56"/>
    </row>
    <row r="228" spans="1:5" customFormat="1" x14ac:dyDescent="0.3">
      <c r="A228" s="17" t="s">
        <v>146</v>
      </c>
      <c r="B228" s="60"/>
      <c r="C228" s="22"/>
      <c r="D228" s="22"/>
      <c r="E228" s="56"/>
    </row>
    <row r="229" spans="1:5" customFormat="1" x14ac:dyDescent="0.3">
      <c r="A229" s="18" t="s">
        <v>1017</v>
      </c>
      <c r="B229" s="60">
        <v>41810</v>
      </c>
      <c r="C229" s="22">
        <v>0.98649968699677015</v>
      </c>
      <c r="D229" s="22">
        <v>1</v>
      </c>
      <c r="E229" s="56"/>
    </row>
    <row r="230" spans="1:5" customFormat="1" x14ac:dyDescent="0.3">
      <c r="A230" s="17" t="s">
        <v>147</v>
      </c>
      <c r="B230" s="60"/>
      <c r="C230" s="22"/>
      <c r="D230" s="22"/>
      <c r="E230" s="56"/>
    </row>
    <row r="231" spans="1:5" customFormat="1" x14ac:dyDescent="0.3">
      <c r="A231" s="18" t="s">
        <v>148</v>
      </c>
      <c r="B231" s="60">
        <v>41851</v>
      </c>
      <c r="C231" s="22">
        <v>1</v>
      </c>
      <c r="D231" s="22">
        <v>1</v>
      </c>
      <c r="E231" s="56"/>
    </row>
    <row r="232" spans="1:5" customFormat="1" x14ac:dyDescent="0.3">
      <c r="A232" s="17" t="s">
        <v>155</v>
      </c>
      <c r="B232" s="60"/>
      <c r="C232" s="22"/>
      <c r="D232" s="22"/>
      <c r="E232" s="56"/>
    </row>
    <row r="233" spans="1:5" customFormat="1" x14ac:dyDescent="0.3">
      <c r="A233" s="18" t="s">
        <v>1034</v>
      </c>
      <c r="B233" s="60">
        <v>41671</v>
      </c>
      <c r="C233" s="22">
        <v>1</v>
      </c>
      <c r="D233" s="22">
        <v>1</v>
      </c>
      <c r="E233" s="56"/>
    </row>
    <row r="234" spans="1:5" customFormat="1" x14ac:dyDescent="0.3">
      <c r="A234" s="17" t="s">
        <v>156</v>
      </c>
      <c r="B234" s="60"/>
      <c r="C234" s="22"/>
      <c r="D234" s="22"/>
      <c r="E234" s="56"/>
    </row>
    <row r="235" spans="1:5" customFormat="1" x14ac:dyDescent="0.3">
      <c r="A235" s="18" t="s">
        <v>53</v>
      </c>
      <c r="B235" s="60">
        <v>41712</v>
      </c>
      <c r="C235" s="22">
        <v>0.99976348590110342</v>
      </c>
      <c r="D235" s="22">
        <v>1</v>
      </c>
      <c r="E235" s="56"/>
    </row>
    <row r="236" spans="1:5" customFormat="1" x14ac:dyDescent="0.3">
      <c r="A236" s="17" t="s">
        <v>157</v>
      </c>
      <c r="B236" s="60"/>
      <c r="C236" s="22"/>
      <c r="D236" s="22"/>
      <c r="E236" s="56"/>
    </row>
    <row r="237" spans="1:5" customFormat="1" x14ac:dyDescent="0.3">
      <c r="A237" s="18" t="s">
        <v>158</v>
      </c>
      <c r="B237" s="60">
        <v>41562</v>
      </c>
      <c r="C237" s="22">
        <v>1</v>
      </c>
      <c r="D237" s="22">
        <v>1</v>
      </c>
      <c r="E237" s="56"/>
    </row>
    <row r="238" spans="1:5" customFormat="1" x14ac:dyDescent="0.3">
      <c r="A238" s="17" t="s">
        <v>159</v>
      </c>
      <c r="B238" s="60"/>
      <c r="C238" s="22"/>
      <c r="D238" s="22"/>
      <c r="E238" s="56"/>
    </row>
    <row r="239" spans="1:5" customFormat="1" x14ac:dyDescent="0.3">
      <c r="A239" s="18" t="s">
        <v>160</v>
      </c>
      <c r="B239" s="60">
        <v>41533</v>
      </c>
      <c r="C239" s="22">
        <v>1</v>
      </c>
      <c r="D239" s="22">
        <v>1</v>
      </c>
      <c r="E239" s="56"/>
    </row>
    <row r="240" spans="1:5" customFormat="1" x14ac:dyDescent="0.3">
      <c r="A240" s="17" t="s">
        <v>164</v>
      </c>
      <c r="B240" s="60"/>
      <c r="C240" s="22"/>
      <c r="D240" s="22"/>
      <c r="E240" s="56"/>
    </row>
    <row r="241" spans="1:5" customFormat="1" x14ac:dyDescent="0.3">
      <c r="A241" s="18" t="s">
        <v>165</v>
      </c>
      <c r="B241" s="60">
        <v>41820</v>
      </c>
      <c r="C241" s="22">
        <v>0.98434615815992088</v>
      </c>
      <c r="D241" s="22">
        <v>1</v>
      </c>
      <c r="E241" s="56"/>
    </row>
    <row r="242" spans="1:5" customFormat="1" x14ac:dyDescent="0.3">
      <c r="A242" s="17" t="s">
        <v>190</v>
      </c>
      <c r="B242" s="60"/>
      <c r="C242" s="22"/>
      <c r="D242" s="22"/>
      <c r="E242" s="56"/>
    </row>
    <row r="243" spans="1:5" customFormat="1" x14ac:dyDescent="0.3">
      <c r="A243" s="18" t="s">
        <v>29</v>
      </c>
      <c r="B243" s="60">
        <v>41895</v>
      </c>
      <c r="C243" s="22">
        <v>1</v>
      </c>
      <c r="D243" s="22">
        <v>1</v>
      </c>
      <c r="E243" s="56"/>
    </row>
    <row r="244" spans="1:5" customFormat="1" x14ac:dyDescent="0.3">
      <c r="A244" s="17" t="s">
        <v>166</v>
      </c>
      <c r="B244" s="60"/>
      <c r="C244" s="22"/>
      <c r="D244" s="22"/>
      <c r="E244" s="56"/>
    </row>
    <row r="245" spans="1:5" customFormat="1" x14ac:dyDescent="0.3">
      <c r="A245" s="18" t="s">
        <v>1024</v>
      </c>
      <c r="B245" s="60">
        <v>41714</v>
      </c>
      <c r="C245" s="22">
        <v>1</v>
      </c>
      <c r="D245" s="22">
        <v>1</v>
      </c>
      <c r="E245" s="56"/>
    </row>
    <row r="246" spans="1:5" customFormat="1" x14ac:dyDescent="0.3">
      <c r="A246" s="17" t="s">
        <v>175</v>
      </c>
      <c r="B246" s="60"/>
      <c r="C246" s="22"/>
      <c r="D246" s="22"/>
      <c r="E246" s="56"/>
    </row>
    <row r="247" spans="1:5" customFormat="1" x14ac:dyDescent="0.3">
      <c r="A247" s="18" t="s">
        <v>176</v>
      </c>
      <c r="B247" s="60">
        <v>42082</v>
      </c>
      <c r="C247" s="22">
        <v>1</v>
      </c>
      <c r="D247" s="22">
        <v>1</v>
      </c>
      <c r="E247" s="56"/>
    </row>
    <row r="248" spans="1:5" customFormat="1" x14ac:dyDescent="0.3">
      <c r="A248" s="17" t="s">
        <v>197</v>
      </c>
      <c r="B248" s="60"/>
      <c r="C248" s="22"/>
      <c r="D248" s="22"/>
      <c r="E248" s="56"/>
    </row>
    <row r="249" spans="1:5" customFormat="1" x14ac:dyDescent="0.3">
      <c r="A249" s="18" t="s">
        <v>198</v>
      </c>
      <c r="B249" s="60">
        <v>41790</v>
      </c>
      <c r="C249" s="22">
        <v>0.99863099197808647</v>
      </c>
      <c r="D249" s="22">
        <v>1</v>
      </c>
      <c r="E249" s="56"/>
    </row>
    <row r="250" spans="1:5" customFormat="1" x14ac:dyDescent="0.3">
      <c r="A250" s="17" t="s">
        <v>167</v>
      </c>
      <c r="B250" s="60"/>
      <c r="C250" s="22"/>
      <c r="D250" s="22"/>
      <c r="E250" s="56"/>
    </row>
    <row r="251" spans="1:5" customFormat="1" x14ac:dyDescent="0.3">
      <c r="A251" s="18" t="s">
        <v>1514</v>
      </c>
      <c r="B251" s="60">
        <v>41691</v>
      </c>
      <c r="C251" s="22">
        <v>1</v>
      </c>
      <c r="D251" s="22">
        <v>1</v>
      </c>
      <c r="E251" s="56"/>
    </row>
    <row r="252" spans="1:5" customFormat="1" x14ac:dyDescent="0.3">
      <c r="A252" s="17" t="s">
        <v>178</v>
      </c>
      <c r="B252" s="60"/>
      <c r="C252" s="22"/>
      <c r="D252" s="22"/>
      <c r="E252" s="56"/>
    </row>
    <row r="253" spans="1:5" customFormat="1" x14ac:dyDescent="0.3">
      <c r="A253" s="18" t="s">
        <v>33</v>
      </c>
      <c r="B253" s="60">
        <v>41911</v>
      </c>
      <c r="C253" s="22">
        <v>1</v>
      </c>
      <c r="D253" s="22">
        <v>1</v>
      </c>
      <c r="E253" s="56"/>
    </row>
    <row r="254" spans="1:5" customFormat="1" x14ac:dyDescent="0.3">
      <c r="A254" s="17" t="s">
        <v>189</v>
      </c>
      <c r="B254" s="60"/>
      <c r="C254" s="22"/>
      <c r="D254" s="22"/>
      <c r="E254" s="56"/>
    </row>
    <row r="255" spans="1:5" customFormat="1" x14ac:dyDescent="0.3">
      <c r="A255" s="18" t="s">
        <v>13</v>
      </c>
      <c r="B255" s="60">
        <v>41892</v>
      </c>
      <c r="C255" s="22">
        <v>1</v>
      </c>
      <c r="D255" s="22">
        <v>1</v>
      </c>
      <c r="E255" s="56"/>
    </row>
    <row r="256" spans="1:5" customFormat="1" x14ac:dyDescent="0.3">
      <c r="A256" s="17" t="s">
        <v>168</v>
      </c>
      <c r="B256" s="60"/>
      <c r="C256" s="22"/>
      <c r="D256" s="22"/>
      <c r="E256" s="56"/>
    </row>
    <row r="257" spans="1:5" customFormat="1" x14ac:dyDescent="0.3">
      <c r="A257" s="18" t="s">
        <v>169</v>
      </c>
      <c r="B257" s="60">
        <v>41858</v>
      </c>
      <c r="C257" s="22">
        <v>1</v>
      </c>
      <c r="D257" s="22">
        <v>1</v>
      </c>
      <c r="E257" s="56"/>
    </row>
    <row r="258" spans="1:5" customFormat="1" x14ac:dyDescent="0.3">
      <c r="A258" s="17" t="s">
        <v>172</v>
      </c>
      <c r="B258" s="60"/>
      <c r="C258" s="22"/>
      <c r="D258" s="22"/>
      <c r="E258" s="56"/>
    </row>
    <row r="259" spans="1:5" customFormat="1" x14ac:dyDescent="0.3">
      <c r="A259" s="18" t="s">
        <v>152</v>
      </c>
      <c r="B259" s="60">
        <v>41864</v>
      </c>
      <c r="C259" s="22">
        <v>0.97855819103293284</v>
      </c>
      <c r="D259" s="22">
        <v>1</v>
      </c>
      <c r="E259" s="56"/>
    </row>
    <row r="260" spans="1:5" customFormat="1" x14ac:dyDescent="0.3">
      <c r="A260" s="17" t="s">
        <v>173</v>
      </c>
      <c r="B260" s="60"/>
      <c r="C260" s="22"/>
      <c r="D260" s="22"/>
      <c r="E260" s="56"/>
    </row>
    <row r="261" spans="1:5" customFormat="1" x14ac:dyDescent="0.3">
      <c r="A261" s="18" t="s">
        <v>174</v>
      </c>
      <c r="B261" s="60">
        <v>41876</v>
      </c>
      <c r="C261" s="22">
        <v>0.58682667443639147</v>
      </c>
      <c r="D261" s="22">
        <v>1</v>
      </c>
      <c r="E261" s="56"/>
    </row>
    <row r="262" spans="1:5" customFormat="1" x14ac:dyDescent="0.3">
      <c r="A262" s="17" t="s">
        <v>187</v>
      </c>
      <c r="B262" s="60"/>
      <c r="C262" s="22"/>
      <c r="D262" s="22"/>
      <c r="E262" s="56"/>
    </row>
    <row r="263" spans="1:5" customFormat="1" x14ac:dyDescent="0.3">
      <c r="A263" s="18" t="s">
        <v>188</v>
      </c>
      <c r="B263" s="60">
        <v>42099</v>
      </c>
      <c r="C263" s="22">
        <v>0.99989882558324072</v>
      </c>
      <c r="D263" s="22">
        <v>1</v>
      </c>
      <c r="E263" s="56"/>
    </row>
    <row r="264" spans="1:5" customFormat="1" x14ac:dyDescent="0.3">
      <c r="A264" s="17" t="s">
        <v>183</v>
      </c>
      <c r="B264" s="60"/>
      <c r="C264" s="22"/>
      <c r="D264" s="22"/>
      <c r="E264" s="56"/>
    </row>
    <row r="265" spans="1:5" customFormat="1" x14ac:dyDescent="0.3">
      <c r="A265" s="18" t="s">
        <v>184</v>
      </c>
      <c r="B265" s="60">
        <v>42055</v>
      </c>
      <c r="C265" s="22">
        <v>0.7390409857684449</v>
      </c>
      <c r="D265" s="22">
        <v>1</v>
      </c>
      <c r="E265" s="56"/>
    </row>
    <row r="266" spans="1:5" customFormat="1" x14ac:dyDescent="0.3">
      <c r="A266" s="17" t="s">
        <v>185</v>
      </c>
      <c r="B266" s="60"/>
      <c r="C266" s="22"/>
      <c r="D266" s="22"/>
      <c r="E266" s="56"/>
    </row>
    <row r="267" spans="1:5" customFormat="1" x14ac:dyDescent="0.3">
      <c r="A267" s="18" t="s">
        <v>186</v>
      </c>
      <c r="B267" s="60">
        <v>41897</v>
      </c>
      <c r="C267" s="22">
        <v>0.55610795454545459</v>
      </c>
      <c r="D267" s="22">
        <v>1</v>
      </c>
      <c r="E267" s="56"/>
    </row>
    <row r="268" spans="1:5" customFormat="1" x14ac:dyDescent="0.3">
      <c r="A268" s="17" t="s">
        <v>195</v>
      </c>
      <c r="B268" s="60"/>
      <c r="C268" s="22"/>
      <c r="D268" s="22"/>
      <c r="E268" s="56"/>
    </row>
    <row r="269" spans="1:5" customFormat="1" x14ac:dyDescent="0.3">
      <c r="A269" s="18" t="s">
        <v>1036</v>
      </c>
      <c r="B269" s="60">
        <v>41782</v>
      </c>
      <c r="C269" s="22">
        <v>0.99992803695097709</v>
      </c>
      <c r="D269" s="22">
        <v>1</v>
      </c>
      <c r="E269" s="56"/>
    </row>
    <row r="270" spans="1:5" customFormat="1" x14ac:dyDescent="0.3">
      <c r="A270" s="17" t="s">
        <v>191</v>
      </c>
      <c r="B270" s="60"/>
      <c r="C270" s="22"/>
      <c r="D270" s="22"/>
      <c r="E270" s="56"/>
    </row>
    <row r="271" spans="1:5" customFormat="1" x14ac:dyDescent="0.3">
      <c r="A271" s="18" t="s">
        <v>192</v>
      </c>
      <c r="B271" s="60">
        <v>41615</v>
      </c>
      <c r="C271" s="22">
        <v>1</v>
      </c>
      <c r="D271" s="22">
        <v>1</v>
      </c>
      <c r="E271" s="56"/>
    </row>
    <row r="272" spans="1:5" customFormat="1" x14ac:dyDescent="0.3">
      <c r="A272" s="17" t="s">
        <v>199</v>
      </c>
      <c r="B272" s="60"/>
      <c r="C272" s="22"/>
      <c r="D272" s="22"/>
      <c r="E272" s="56"/>
    </row>
    <row r="273" spans="1:5" customFormat="1" x14ac:dyDescent="0.3">
      <c r="A273" s="18" t="s">
        <v>1037</v>
      </c>
      <c r="B273" s="60">
        <v>41890</v>
      </c>
      <c r="C273" s="22">
        <v>0.91091309628008754</v>
      </c>
      <c r="D273" s="22">
        <v>1</v>
      </c>
      <c r="E273" s="56"/>
    </row>
    <row r="274" spans="1:5" customFormat="1" x14ac:dyDescent="0.3">
      <c r="A274" s="17" t="s">
        <v>177</v>
      </c>
      <c r="B274" s="60"/>
      <c r="C274" s="22"/>
      <c r="D274" s="22"/>
      <c r="E274" s="56"/>
    </row>
    <row r="275" spans="1:5" customFormat="1" x14ac:dyDescent="0.3">
      <c r="A275" s="18" t="s">
        <v>1038</v>
      </c>
      <c r="B275" s="60">
        <v>41645</v>
      </c>
      <c r="C275" s="22">
        <v>1</v>
      </c>
      <c r="D275" s="22">
        <v>1</v>
      </c>
      <c r="E275" s="56"/>
    </row>
    <row r="276" spans="1:5" customFormat="1" x14ac:dyDescent="0.3">
      <c r="A276" s="17" t="s">
        <v>193</v>
      </c>
      <c r="B276" s="60"/>
      <c r="C276" s="22"/>
      <c r="D276" s="22"/>
      <c r="E276" s="56"/>
    </row>
    <row r="277" spans="1:5" customFormat="1" x14ac:dyDescent="0.3">
      <c r="A277" s="18" t="s">
        <v>194</v>
      </c>
      <c r="B277" s="60">
        <v>41935</v>
      </c>
      <c r="C277" s="22">
        <v>1</v>
      </c>
      <c r="D277" s="22">
        <v>1</v>
      </c>
      <c r="E277" s="56"/>
    </row>
    <row r="278" spans="1:5" customFormat="1" x14ac:dyDescent="0.3">
      <c r="A278" s="17" t="s">
        <v>196</v>
      </c>
      <c r="B278" s="60"/>
      <c r="C278" s="22"/>
      <c r="D278" s="22"/>
      <c r="E278" s="56"/>
    </row>
    <row r="279" spans="1:5" customFormat="1" x14ac:dyDescent="0.3">
      <c r="A279" s="18" t="s">
        <v>22</v>
      </c>
      <c r="B279" s="60">
        <v>41926</v>
      </c>
      <c r="C279" s="22">
        <v>1</v>
      </c>
      <c r="D279" s="22">
        <v>1</v>
      </c>
      <c r="E279" s="56"/>
    </row>
    <row r="280" spans="1:5" customFormat="1" x14ac:dyDescent="0.3">
      <c r="A280" s="17" t="s">
        <v>200</v>
      </c>
      <c r="B280" s="60"/>
      <c r="C280" s="22"/>
      <c r="D280" s="22"/>
      <c r="E280" s="56"/>
    </row>
    <row r="281" spans="1:5" customFormat="1" x14ac:dyDescent="0.3">
      <c r="A281" s="18" t="s">
        <v>201</v>
      </c>
      <c r="B281" s="60">
        <v>41592</v>
      </c>
      <c r="C281" s="22">
        <v>1</v>
      </c>
      <c r="D281" s="22">
        <v>1</v>
      </c>
      <c r="E281" s="56"/>
    </row>
    <row r="282" spans="1:5" customFormat="1" x14ac:dyDescent="0.3">
      <c r="A282" s="17" t="s">
        <v>204</v>
      </c>
      <c r="B282" s="60"/>
      <c r="C282" s="22"/>
      <c r="D282" s="22"/>
      <c r="E282" s="56"/>
    </row>
    <row r="283" spans="1:5" customFormat="1" x14ac:dyDescent="0.3">
      <c r="A283" s="18" t="s">
        <v>205</v>
      </c>
      <c r="B283" s="60">
        <v>41692</v>
      </c>
      <c r="C283" s="22">
        <v>1</v>
      </c>
      <c r="D283" s="22">
        <v>1</v>
      </c>
      <c r="E283" s="56"/>
    </row>
    <row r="284" spans="1:5" customFormat="1" x14ac:dyDescent="0.3">
      <c r="A284" s="17" t="s">
        <v>206</v>
      </c>
      <c r="B284" s="60"/>
      <c r="C284" s="22"/>
      <c r="D284" s="22"/>
      <c r="E284" s="56"/>
    </row>
    <row r="285" spans="1:5" customFormat="1" x14ac:dyDescent="0.3">
      <c r="A285" s="18" t="s">
        <v>1019</v>
      </c>
      <c r="B285" s="60">
        <v>41939</v>
      </c>
      <c r="C285" s="22">
        <v>1</v>
      </c>
      <c r="D285" s="22">
        <v>1</v>
      </c>
      <c r="E285" s="56"/>
    </row>
    <row r="286" spans="1:5" customFormat="1" x14ac:dyDescent="0.3">
      <c r="A286" s="17" t="s">
        <v>211</v>
      </c>
      <c r="B286" s="60"/>
      <c r="C286" s="22"/>
      <c r="D286" s="22"/>
      <c r="E286" s="56"/>
    </row>
    <row r="287" spans="1:5" customFormat="1" x14ac:dyDescent="0.3">
      <c r="A287" s="18" t="s">
        <v>212</v>
      </c>
      <c r="B287" s="60">
        <v>41650</v>
      </c>
      <c r="C287" s="22">
        <v>1</v>
      </c>
      <c r="D287" s="22">
        <v>1</v>
      </c>
      <c r="E287" s="56"/>
    </row>
    <row r="288" spans="1:5" customFormat="1" x14ac:dyDescent="0.3">
      <c r="A288" s="17" t="s">
        <v>209</v>
      </c>
      <c r="B288" s="60"/>
      <c r="C288" s="22"/>
      <c r="D288" s="22"/>
      <c r="E288" s="56"/>
    </row>
    <row r="289" spans="1:5" customFormat="1" x14ac:dyDescent="0.3">
      <c r="A289" s="18" t="s">
        <v>210</v>
      </c>
      <c r="B289" s="60">
        <v>41650</v>
      </c>
      <c r="C289" s="22">
        <v>1</v>
      </c>
      <c r="D289" s="22">
        <v>1</v>
      </c>
      <c r="E289" s="56"/>
    </row>
    <row r="290" spans="1:5" customFormat="1" x14ac:dyDescent="0.3">
      <c r="A290" s="17" t="s">
        <v>207</v>
      </c>
      <c r="B290" s="60"/>
      <c r="C290" s="22"/>
      <c r="D290" s="22"/>
      <c r="E290" s="56"/>
    </row>
    <row r="291" spans="1:5" customFormat="1" x14ac:dyDescent="0.3">
      <c r="A291" s="18" t="s">
        <v>208</v>
      </c>
      <c r="B291" s="60">
        <v>41814</v>
      </c>
      <c r="C291" s="22">
        <v>0.99993387762383112</v>
      </c>
      <c r="D291" s="22">
        <v>1</v>
      </c>
      <c r="E291" s="56"/>
    </row>
    <row r="292" spans="1:5" customFormat="1" x14ac:dyDescent="0.3">
      <c r="A292" s="17" t="s">
        <v>213</v>
      </c>
      <c r="B292" s="60"/>
      <c r="C292" s="22"/>
      <c r="D292" s="22"/>
      <c r="E292" s="56"/>
    </row>
    <row r="293" spans="1:5" customFormat="1" x14ac:dyDescent="0.3">
      <c r="A293" s="18" t="s">
        <v>1039</v>
      </c>
      <c r="B293" s="60">
        <v>41975</v>
      </c>
      <c r="C293" s="22">
        <v>0.97881928811910646</v>
      </c>
      <c r="D293" s="22">
        <v>1</v>
      </c>
      <c r="E293" s="56"/>
    </row>
    <row r="294" spans="1:5" customFormat="1" x14ac:dyDescent="0.3">
      <c r="A294" s="17" t="s">
        <v>258</v>
      </c>
      <c r="B294" s="60"/>
      <c r="C294" s="22"/>
      <c r="D294" s="22"/>
      <c r="E294" s="56"/>
    </row>
    <row r="295" spans="1:5" customFormat="1" x14ac:dyDescent="0.3">
      <c r="A295" s="18" t="s">
        <v>259</v>
      </c>
      <c r="B295" s="60">
        <v>42425</v>
      </c>
      <c r="C295" s="22" t="e">
        <v>#DIV/0!</v>
      </c>
      <c r="D295" s="22">
        <v>1</v>
      </c>
      <c r="E295" s="56"/>
    </row>
    <row r="296" spans="1:5" customFormat="1" x14ac:dyDescent="0.3">
      <c r="A296" s="17" t="s">
        <v>309</v>
      </c>
      <c r="B296" s="60"/>
      <c r="C296" s="22"/>
      <c r="D296" s="22"/>
      <c r="E296" s="56"/>
    </row>
    <row r="297" spans="1:5" customFormat="1" x14ac:dyDescent="0.3">
      <c r="A297" s="18" t="s">
        <v>77</v>
      </c>
      <c r="B297" s="60">
        <v>42321</v>
      </c>
      <c r="C297" s="22">
        <v>1</v>
      </c>
      <c r="D297" s="22">
        <v>1</v>
      </c>
      <c r="E297" s="56"/>
    </row>
    <row r="298" spans="1:5" customFormat="1" x14ac:dyDescent="0.3">
      <c r="A298" s="17" t="s">
        <v>234</v>
      </c>
      <c r="B298" s="60"/>
      <c r="C298" s="22"/>
      <c r="D298" s="22"/>
      <c r="E298" s="56"/>
    </row>
    <row r="299" spans="1:5" customFormat="1" x14ac:dyDescent="0.3">
      <c r="A299" s="18" t="s">
        <v>235</v>
      </c>
      <c r="B299" s="60">
        <v>41748</v>
      </c>
      <c r="C299" s="22">
        <v>0.99999961863725684</v>
      </c>
      <c r="D299" s="22">
        <v>1</v>
      </c>
      <c r="E299" s="56"/>
    </row>
    <row r="300" spans="1:5" customFormat="1" x14ac:dyDescent="0.3">
      <c r="A300" s="17" t="s">
        <v>214</v>
      </c>
      <c r="B300" s="60"/>
      <c r="C300" s="22"/>
      <c r="D300" s="22"/>
      <c r="E300" s="56"/>
    </row>
    <row r="301" spans="1:5" customFormat="1" x14ac:dyDescent="0.3">
      <c r="A301" s="18" t="s">
        <v>31</v>
      </c>
      <c r="B301" s="60">
        <v>41681</v>
      </c>
      <c r="C301" s="22">
        <v>1</v>
      </c>
      <c r="D301" s="22">
        <v>1</v>
      </c>
      <c r="E301" s="56"/>
    </row>
    <row r="302" spans="1:5" customFormat="1" x14ac:dyDescent="0.3">
      <c r="A302" s="17" t="s">
        <v>232</v>
      </c>
      <c r="B302" s="60"/>
      <c r="C302" s="22"/>
      <c r="D302" s="22"/>
      <c r="E302" s="56"/>
    </row>
    <row r="303" spans="1:5" customFormat="1" x14ac:dyDescent="0.3">
      <c r="A303" s="18" t="s">
        <v>233</v>
      </c>
      <c r="B303" s="60">
        <v>42005</v>
      </c>
      <c r="C303" s="22">
        <v>0.75490532036267322</v>
      </c>
      <c r="D303" s="22">
        <v>1</v>
      </c>
      <c r="E303" s="56"/>
    </row>
    <row r="304" spans="1:5" customFormat="1" x14ac:dyDescent="0.3">
      <c r="A304" s="17" t="s">
        <v>215</v>
      </c>
      <c r="B304" s="60"/>
      <c r="C304" s="22"/>
      <c r="D304" s="22"/>
      <c r="E304" s="56"/>
    </row>
    <row r="305" spans="1:5" customFormat="1" x14ac:dyDescent="0.3">
      <c r="A305" s="18" t="s">
        <v>1595</v>
      </c>
      <c r="B305" s="60">
        <v>41658</v>
      </c>
      <c r="C305" s="22">
        <v>1</v>
      </c>
      <c r="D305" s="22">
        <v>1</v>
      </c>
      <c r="E305" s="56"/>
    </row>
    <row r="306" spans="1:5" customFormat="1" x14ac:dyDescent="0.3">
      <c r="A306" s="17" t="s">
        <v>216</v>
      </c>
      <c r="B306" s="60"/>
      <c r="C306" s="22"/>
      <c r="D306" s="22"/>
      <c r="E306" s="56"/>
    </row>
    <row r="307" spans="1:5" customFormat="1" x14ac:dyDescent="0.3">
      <c r="A307" s="18" t="s">
        <v>217</v>
      </c>
      <c r="B307" s="60">
        <v>41985</v>
      </c>
      <c r="C307" s="22">
        <v>0.99999999558473551</v>
      </c>
      <c r="D307" s="22">
        <v>1</v>
      </c>
      <c r="E307" s="56"/>
    </row>
    <row r="308" spans="1:5" customFormat="1" x14ac:dyDescent="0.3">
      <c r="A308" s="17" t="s">
        <v>218</v>
      </c>
      <c r="B308" s="60"/>
      <c r="C308" s="22"/>
      <c r="D308" s="22"/>
      <c r="E308" s="56"/>
    </row>
    <row r="309" spans="1:5" customFormat="1" x14ac:dyDescent="0.3">
      <c r="A309" s="18" t="s">
        <v>219</v>
      </c>
      <c r="B309" s="60">
        <v>41980</v>
      </c>
      <c r="C309" s="22">
        <v>0.936670452631579</v>
      </c>
      <c r="D309" s="22">
        <v>1</v>
      </c>
      <c r="E309" s="56"/>
    </row>
    <row r="310" spans="1:5" customFormat="1" x14ac:dyDescent="0.3">
      <c r="A310" s="17" t="s">
        <v>220</v>
      </c>
      <c r="B310" s="60"/>
      <c r="C310" s="22"/>
      <c r="D310" s="22"/>
      <c r="E310" s="56"/>
    </row>
    <row r="311" spans="1:5" customFormat="1" x14ac:dyDescent="0.3">
      <c r="A311" s="18" t="s">
        <v>1148</v>
      </c>
      <c r="B311" s="60">
        <v>41641</v>
      </c>
      <c r="C311" s="22">
        <v>1</v>
      </c>
      <c r="D311" s="22">
        <v>1</v>
      </c>
      <c r="E311" s="56"/>
    </row>
    <row r="312" spans="1:5" customFormat="1" x14ac:dyDescent="0.3">
      <c r="A312" s="17" t="s">
        <v>227</v>
      </c>
      <c r="B312" s="60"/>
      <c r="C312" s="22"/>
      <c r="D312" s="22"/>
      <c r="E312" s="56"/>
    </row>
    <row r="313" spans="1:5" customFormat="1" x14ac:dyDescent="0.3">
      <c r="A313" s="18" t="s">
        <v>228</v>
      </c>
      <c r="B313" s="60">
        <v>41658</v>
      </c>
      <c r="C313" s="22">
        <v>1</v>
      </c>
      <c r="D313" s="22">
        <v>1</v>
      </c>
      <c r="E313" s="56"/>
    </row>
    <row r="314" spans="1:5" customFormat="1" x14ac:dyDescent="0.3">
      <c r="A314" s="17" t="s">
        <v>223</v>
      </c>
      <c r="B314" s="60"/>
      <c r="C314" s="22"/>
      <c r="D314" s="22"/>
      <c r="E314" s="56"/>
    </row>
    <row r="315" spans="1:5" customFormat="1" x14ac:dyDescent="0.3">
      <c r="A315" s="18" t="s">
        <v>224</v>
      </c>
      <c r="B315" s="60">
        <v>41658</v>
      </c>
      <c r="C315" s="22">
        <v>1</v>
      </c>
      <c r="D315" s="22">
        <v>1</v>
      </c>
      <c r="E315" s="56"/>
    </row>
    <row r="316" spans="1:5" customFormat="1" x14ac:dyDescent="0.3">
      <c r="A316" s="17" t="s">
        <v>231</v>
      </c>
      <c r="B316" s="60"/>
      <c r="C316" s="22"/>
      <c r="D316" s="22"/>
      <c r="E316" s="56"/>
    </row>
    <row r="317" spans="1:5" customFormat="1" x14ac:dyDescent="0.3">
      <c r="A317" s="18" t="s">
        <v>1041</v>
      </c>
      <c r="B317" s="60">
        <v>41797</v>
      </c>
      <c r="C317" s="22">
        <v>0.99512444285714285</v>
      </c>
      <c r="D317" s="22">
        <v>1</v>
      </c>
      <c r="E317" s="56"/>
    </row>
    <row r="318" spans="1:5" customFormat="1" x14ac:dyDescent="0.3">
      <c r="A318" s="17" t="s">
        <v>225</v>
      </c>
      <c r="B318" s="60"/>
      <c r="C318" s="22"/>
      <c r="D318" s="22"/>
      <c r="E318" s="56"/>
    </row>
    <row r="319" spans="1:5" customFormat="1" x14ac:dyDescent="0.3">
      <c r="A319" s="18" t="s">
        <v>226</v>
      </c>
      <c r="B319" s="60">
        <v>41658</v>
      </c>
      <c r="C319" s="22">
        <v>1</v>
      </c>
      <c r="D319" s="22">
        <v>1</v>
      </c>
      <c r="E319" s="56"/>
    </row>
    <row r="320" spans="1:5" customFormat="1" x14ac:dyDescent="0.3">
      <c r="A320" s="17" t="s">
        <v>221</v>
      </c>
      <c r="B320" s="60"/>
      <c r="C320" s="22"/>
      <c r="D320" s="22"/>
      <c r="E320" s="56"/>
    </row>
    <row r="321" spans="1:5" customFormat="1" x14ac:dyDescent="0.3">
      <c r="A321" s="18" t="s">
        <v>222</v>
      </c>
      <c r="B321" s="60">
        <v>41658</v>
      </c>
      <c r="C321" s="22">
        <v>1</v>
      </c>
      <c r="D321" s="22">
        <v>1</v>
      </c>
      <c r="E321" s="56"/>
    </row>
    <row r="322" spans="1:5" customFormat="1" x14ac:dyDescent="0.3">
      <c r="A322" s="17" t="s">
        <v>242</v>
      </c>
      <c r="B322" s="60"/>
      <c r="C322" s="22"/>
      <c r="D322" s="22"/>
      <c r="E322" s="56"/>
    </row>
    <row r="323" spans="1:5" customFormat="1" x14ac:dyDescent="0.3">
      <c r="A323" s="18" t="s">
        <v>235</v>
      </c>
      <c r="B323" s="60">
        <v>41751</v>
      </c>
      <c r="C323" s="22">
        <v>1</v>
      </c>
      <c r="D323" s="22">
        <v>1</v>
      </c>
      <c r="E323" s="56"/>
    </row>
    <row r="324" spans="1:5" customFormat="1" x14ac:dyDescent="0.3">
      <c r="A324" s="17" t="s">
        <v>240</v>
      </c>
      <c r="B324" s="60"/>
      <c r="C324" s="22"/>
      <c r="D324" s="22"/>
      <c r="E324" s="56"/>
    </row>
    <row r="325" spans="1:5" customFormat="1" x14ac:dyDescent="0.3">
      <c r="A325" s="18" t="s">
        <v>290</v>
      </c>
      <c r="B325" s="60">
        <v>42019</v>
      </c>
      <c r="C325" s="22">
        <v>0.47305419111111113</v>
      </c>
      <c r="D325" s="22">
        <v>1</v>
      </c>
      <c r="E325" s="56"/>
    </row>
    <row r="326" spans="1:5" customFormat="1" x14ac:dyDescent="0.3">
      <c r="A326" s="17" t="s">
        <v>229</v>
      </c>
      <c r="B326" s="60"/>
      <c r="C326" s="22"/>
      <c r="D326" s="22"/>
      <c r="E326" s="56"/>
    </row>
    <row r="327" spans="1:5" customFormat="1" x14ac:dyDescent="0.3">
      <c r="A327" s="18" t="s">
        <v>1042</v>
      </c>
      <c r="B327" s="60">
        <v>41664</v>
      </c>
      <c r="C327" s="22">
        <v>1</v>
      </c>
      <c r="D327" s="22">
        <v>1</v>
      </c>
      <c r="E327" s="56"/>
    </row>
    <row r="328" spans="1:5" customFormat="1" x14ac:dyDescent="0.3">
      <c r="A328" s="17" t="s">
        <v>239</v>
      </c>
      <c r="B328" s="60"/>
      <c r="C328" s="22"/>
      <c r="D328" s="22"/>
      <c r="E328" s="56"/>
    </row>
    <row r="329" spans="1:5" customFormat="1" x14ac:dyDescent="0.3">
      <c r="A329" s="18" t="s">
        <v>152</v>
      </c>
      <c r="B329" s="60">
        <v>41754</v>
      </c>
      <c r="C329" s="22">
        <v>1</v>
      </c>
      <c r="D329" s="22">
        <v>1</v>
      </c>
      <c r="E329" s="56"/>
    </row>
    <row r="330" spans="1:5" customFormat="1" x14ac:dyDescent="0.3">
      <c r="A330" s="17" t="s">
        <v>405</v>
      </c>
      <c r="B330" s="60"/>
      <c r="C330" s="22"/>
      <c r="D330" s="22"/>
      <c r="E330" s="56"/>
    </row>
    <row r="331" spans="1:5" customFormat="1" x14ac:dyDescent="0.3">
      <c r="A331" s="18" t="s">
        <v>238</v>
      </c>
      <c r="B331" s="60">
        <v>42026</v>
      </c>
      <c r="C331" s="22">
        <v>0.21851851851851853</v>
      </c>
      <c r="D331" s="22">
        <v>1</v>
      </c>
      <c r="E331" s="56"/>
    </row>
    <row r="332" spans="1:5" customFormat="1" x14ac:dyDescent="0.3">
      <c r="A332" s="17" t="s">
        <v>236</v>
      </c>
      <c r="B332" s="60"/>
      <c r="C332" s="22"/>
      <c r="D332" s="22"/>
      <c r="E332" s="56"/>
    </row>
    <row r="333" spans="1:5" customFormat="1" x14ac:dyDescent="0.3">
      <c r="A333" s="18" t="s">
        <v>186</v>
      </c>
      <c r="B333" s="60">
        <v>41713</v>
      </c>
      <c r="C333" s="22">
        <v>1</v>
      </c>
      <c r="D333" s="22">
        <v>1</v>
      </c>
      <c r="E333" s="56"/>
    </row>
    <row r="334" spans="1:5" customFormat="1" x14ac:dyDescent="0.3">
      <c r="A334" s="17" t="s">
        <v>241</v>
      </c>
      <c r="B334" s="60"/>
      <c r="C334" s="22"/>
      <c r="D334" s="22"/>
      <c r="E334" s="56"/>
    </row>
    <row r="335" spans="1:5" customFormat="1" x14ac:dyDescent="0.3">
      <c r="A335" s="18" t="s">
        <v>1043</v>
      </c>
      <c r="B335" s="60">
        <v>41720</v>
      </c>
      <c r="C335" s="22">
        <v>1</v>
      </c>
      <c r="D335" s="22">
        <v>1</v>
      </c>
      <c r="E335" s="56"/>
    </row>
    <row r="336" spans="1:5" customFormat="1" x14ac:dyDescent="0.3">
      <c r="A336" s="17" t="s">
        <v>237</v>
      </c>
      <c r="B336" s="60"/>
      <c r="C336" s="22"/>
      <c r="D336" s="22"/>
      <c r="E336" s="56"/>
    </row>
    <row r="337" spans="1:5" customFormat="1" x14ac:dyDescent="0.3">
      <c r="A337" s="18" t="s">
        <v>186</v>
      </c>
      <c r="B337" s="60">
        <v>41736</v>
      </c>
      <c r="C337" s="22">
        <v>1</v>
      </c>
      <c r="D337" s="22">
        <v>1</v>
      </c>
      <c r="E337" s="56"/>
    </row>
    <row r="338" spans="1:5" customFormat="1" x14ac:dyDescent="0.3">
      <c r="A338" s="17" t="s">
        <v>230</v>
      </c>
      <c r="B338" s="60"/>
      <c r="C338" s="22"/>
      <c r="D338" s="22"/>
      <c r="E338" s="56"/>
    </row>
    <row r="339" spans="1:5" customFormat="1" x14ac:dyDescent="0.3">
      <c r="A339" s="18" t="s">
        <v>1044</v>
      </c>
      <c r="B339" s="60">
        <v>41668</v>
      </c>
      <c r="C339" s="22">
        <v>1</v>
      </c>
      <c r="D339" s="22">
        <v>1</v>
      </c>
      <c r="E339" s="56"/>
    </row>
    <row r="340" spans="1:5" customFormat="1" x14ac:dyDescent="0.3">
      <c r="A340" s="17" t="s">
        <v>243</v>
      </c>
      <c r="B340" s="60"/>
      <c r="C340" s="22"/>
      <c r="D340" s="22"/>
      <c r="E340" s="56"/>
    </row>
    <row r="341" spans="1:5" customFormat="1" x14ac:dyDescent="0.3">
      <c r="A341" s="18" t="s">
        <v>244</v>
      </c>
      <c r="B341" s="60">
        <v>41789</v>
      </c>
      <c r="C341" s="22">
        <v>0.92243747174349189</v>
      </c>
      <c r="D341" s="22">
        <v>1</v>
      </c>
      <c r="E341" s="56"/>
    </row>
    <row r="342" spans="1:5" customFormat="1" x14ac:dyDescent="0.3">
      <c r="A342" s="17" t="s">
        <v>278</v>
      </c>
      <c r="B342" s="60"/>
      <c r="C342" s="22"/>
      <c r="D342" s="22"/>
      <c r="E342" s="56"/>
    </row>
    <row r="343" spans="1:5" customFormat="1" x14ac:dyDescent="0.3">
      <c r="A343" s="18" t="s">
        <v>15</v>
      </c>
      <c r="B343" s="60">
        <v>42139</v>
      </c>
      <c r="C343" s="22">
        <v>1</v>
      </c>
      <c r="D343" s="22">
        <v>1</v>
      </c>
      <c r="E343" s="56"/>
    </row>
    <row r="344" spans="1:5" customFormat="1" x14ac:dyDescent="0.3">
      <c r="A344" s="17" t="s">
        <v>171</v>
      </c>
      <c r="B344" s="60"/>
      <c r="C344" s="22"/>
      <c r="D344" s="22"/>
      <c r="E344" s="56"/>
    </row>
    <row r="345" spans="1:5" customFormat="1" x14ac:dyDescent="0.3">
      <c r="A345" s="18" t="s">
        <v>1033</v>
      </c>
      <c r="B345" s="60">
        <v>42008</v>
      </c>
      <c r="C345" s="22">
        <v>1</v>
      </c>
      <c r="D345" s="22">
        <v>1</v>
      </c>
      <c r="E345" s="56"/>
    </row>
    <row r="346" spans="1:5" customFormat="1" x14ac:dyDescent="0.3">
      <c r="A346" s="17" t="s">
        <v>252</v>
      </c>
      <c r="B346" s="60"/>
      <c r="C346" s="22"/>
      <c r="D346" s="22"/>
      <c r="E346" s="56"/>
    </row>
    <row r="347" spans="1:5" customFormat="1" x14ac:dyDescent="0.3">
      <c r="A347" s="18" t="s">
        <v>86</v>
      </c>
      <c r="B347" s="60">
        <v>42081</v>
      </c>
      <c r="C347" s="22">
        <v>1</v>
      </c>
      <c r="D347" s="22">
        <v>1</v>
      </c>
      <c r="E347" s="56"/>
    </row>
    <row r="348" spans="1:5" customFormat="1" x14ac:dyDescent="0.3">
      <c r="A348" s="17" t="s">
        <v>270</v>
      </c>
      <c r="B348" s="60"/>
      <c r="C348" s="22"/>
      <c r="D348" s="22"/>
      <c r="E348" s="56"/>
    </row>
    <row r="349" spans="1:5" customFormat="1" x14ac:dyDescent="0.3">
      <c r="A349" s="18" t="s">
        <v>1030</v>
      </c>
      <c r="B349" s="60">
        <v>41891</v>
      </c>
      <c r="C349" s="22">
        <v>1</v>
      </c>
      <c r="D349" s="22">
        <v>1</v>
      </c>
      <c r="E349" s="56"/>
    </row>
    <row r="350" spans="1:5" customFormat="1" x14ac:dyDescent="0.3">
      <c r="A350" s="17" t="s">
        <v>254</v>
      </c>
      <c r="B350" s="60"/>
      <c r="C350" s="22"/>
      <c r="D350" s="22"/>
      <c r="E350" s="56"/>
    </row>
    <row r="351" spans="1:5" customFormat="1" x14ac:dyDescent="0.3">
      <c r="A351" s="18" t="s">
        <v>1032</v>
      </c>
      <c r="B351" s="60">
        <v>42006</v>
      </c>
      <c r="C351" s="22">
        <v>1</v>
      </c>
      <c r="D351" s="22">
        <v>1</v>
      </c>
      <c r="E351" s="56"/>
    </row>
    <row r="352" spans="1:5" customFormat="1" x14ac:dyDescent="0.3">
      <c r="A352" s="17" t="s">
        <v>267</v>
      </c>
      <c r="B352" s="60"/>
      <c r="C352" s="22"/>
      <c r="D352" s="22"/>
      <c r="E352" s="56"/>
    </row>
    <row r="353" spans="1:5" customFormat="1" x14ac:dyDescent="0.3">
      <c r="A353" s="18" t="s">
        <v>1514</v>
      </c>
      <c r="B353" s="60">
        <v>42013</v>
      </c>
      <c r="C353" s="22">
        <v>1</v>
      </c>
      <c r="D353" s="22">
        <v>1</v>
      </c>
      <c r="E353" s="56"/>
    </row>
    <row r="354" spans="1:5" customFormat="1" x14ac:dyDescent="0.3">
      <c r="A354" s="17" t="s">
        <v>257</v>
      </c>
      <c r="B354" s="60"/>
      <c r="C354" s="22"/>
      <c r="D354" s="22"/>
      <c r="E354" s="56"/>
    </row>
    <row r="355" spans="1:5" customFormat="1" x14ac:dyDescent="0.3">
      <c r="A355" s="18" t="s">
        <v>1034</v>
      </c>
      <c r="B355" s="60">
        <v>42008</v>
      </c>
      <c r="C355" s="22">
        <v>1</v>
      </c>
      <c r="D355" s="22">
        <v>1</v>
      </c>
      <c r="E355" s="56"/>
    </row>
    <row r="356" spans="1:5" customFormat="1" x14ac:dyDescent="0.3">
      <c r="A356" s="17" t="s">
        <v>245</v>
      </c>
      <c r="B356" s="60"/>
      <c r="C356" s="22"/>
      <c r="D356" s="22"/>
      <c r="E356" s="56"/>
    </row>
    <row r="357" spans="1:5" customFormat="1" x14ac:dyDescent="0.3">
      <c r="A357" s="18" t="s">
        <v>226</v>
      </c>
      <c r="B357" s="60">
        <v>42008</v>
      </c>
      <c r="C357" s="22">
        <v>0.98787878181818178</v>
      </c>
      <c r="D357" s="22">
        <v>1</v>
      </c>
      <c r="E357" s="56"/>
    </row>
    <row r="358" spans="1:5" customFormat="1" x14ac:dyDescent="0.3">
      <c r="A358" s="17" t="s">
        <v>247</v>
      </c>
      <c r="B358" s="60"/>
      <c r="C358" s="22"/>
      <c r="D358" s="22"/>
      <c r="E358" s="56"/>
    </row>
    <row r="359" spans="1:5" customFormat="1" x14ac:dyDescent="0.3">
      <c r="A359" s="18" t="s">
        <v>1513</v>
      </c>
      <c r="B359" s="60">
        <v>42008</v>
      </c>
      <c r="C359" s="22">
        <v>0.99393938181818187</v>
      </c>
      <c r="D359" s="22">
        <v>1</v>
      </c>
      <c r="E359" s="56"/>
    </row>
    <row r="360" spans="1:5" customFormat="1" x14ac:dyDescent="0.3">
      <c r="A360" s="17" t="s">
        <v>249</v>
      </c>
      <c r="B360" s="60"/>
      <c r="C360" s="22"/>
      <c r="D360" s="22"/>
      <c r="E360" s="56"/>
    </row>
    <row r="361" spans="1:5" customFormat="1" x14ac:dyDescent="0.3">
      <c r="A361" s="18" t="s">
        <v>1044</v>
      </c>
      <c r="B361" s="60">
        <v>42008</v>
      </c>
      <c r="C361" s="22">
        <v>1</v>
      </c>
      <c r="D361" s="22">
        <v>1</v>
      </c>
      <c r="E361" s="56"/>
    </row>
    <row r="362" spans="1:5" customFormat="1" x14ac:dyDescent="0.3">
      <c r="A362" s="17" t="s">
        <v>246</v>
      </c>
      <c r="B362" s="60"/>
      <c r="C362" s="22"/>
      <c r="D362" s="22"/>
      <c r="E362" s="56"/>
    </row>
    <row r="363" spans="1:5" customFormat="1" x14ac:dyDescent="0.3">
      <c r="A363" s="18" t="s">
        <v>228</v>
      </c>
      <c r="B363" s="60">
        <v>42008</v>
      </c>
      <c r="C363" s="22">
        <v>1</v>
      </c>
      <c r="D363" s="22">
        <v>1</v>
      </c>
      <c r="E363" s="56"/>
    </row>
    <row r="364" spans="1:5" customFormat="1" x14ac:dyDescent="0.3">
      <c r="A364" s="17" t="s">
        <v>248</v>
      </c>
      <c r="B364" s="60"/>
      <c r="C364" s="22"/>
      <c r="D364" s="22"/>
      <c r="E364" s="56"/>
    </row>
    <row r="365" spans="1:5" customFormat="1" x14ac:dyDescent="0.3">
      <c r="A365" s="18" t="s">
        <v>224</v>
      </c>
      <c r="B365" s="60">
        <v>42008</v>
      </c>
      <c r="C365" s="22">
        <v>1</v>
      </c>
      <c r="D365" s="22">
        <v>1</v>
      </c>
      <c r="E365" s="56"/>
    </row>
    <row r="366" spans="1:5" customFormat="1" x14ac:dyDescent="0.3">
      <c r="A366" s="17" t="s">
        <v>268</v>
      </c>
      <c r="B366" s="60"/>
      <c r="C366" s="22"/>
      <c r="D366" s="22"/>
      <c r="E366" s="56"/>
    </row>
    <row r="367" spans="1:5" customFormat="1" x14ac:dyDescent="0.3">
      <c r="A367" s="18" t="s">
        <v>269</v>
      </c>
      <c r="B367" s="60">
        <v>42096</v>
      </c>
      <c r="C367" s="22">
        <v>0.95213947447900937</v>
      </c>
      <c r="D367" s="22">
        <v>1</v>
      </c>
      <c r="E367" s="56"/>
    </row>
    <row r="368" spans="1:5" customFormat="1" x14ac:dyDescent="0.3">
      <c r="A368" s="17" t="s">
        <v>253</v>
      </c>
      <c r="B368" s="60"/>
      <c r="C368" s="22"/>
      <c r="D368" s="22"/>
      <c r="E368" s="56"/>
    </row>
    <row r="369" spans="1:5" customFormat="1" x14ac:dyDescent="0.3">
      <c r="A369" s="18" t="s">
        <v>140</v>
      </c>
      <c r="B369" s="60">
        <v>42008</v>
      </c>
      <c r="C369" s="22">
        <v>0.62424242424242427</v>
      </c>
      <c r="D369" s="22">
        <v>1</v>
      </c>
      <c r="E369" s="56"/>
    </row>
    <row r="370" spans="1:5" customFormat="1" x14ac:dyDescent="0.3">
      <c r="A370" s="17" t="s">
        <v>255</v>
      </c>
      <c r="B370" s="60"/>
      <c r="C370" s="22"/>
      <c r="D370" s="22"/>
      <c r="E370" s="56"/>
    </row>
    <row r="371" spans="1:5" customFormat="1" x14ac:dyDescent="0.3">
      <c r="A371" s="18" t="s">
        <v>1031</v>
      </c>
      <c r="B371" s="60">
        <v>41996</v>
      </c>
      <c r="C371" s="22">
        <v>0.63666666019417473</v>
      </c>
      <c r="D371" s="22">
        <v>1</v>
      </c>
      <c r="E371" s="56"/>
    </row>
    <row r="372" spans="1:5" customFormat="1" x14ac:dyDescent="0.3">
      <c r="A372" s="17" t="s">
        <v>250</v>
      </c>
      <c r="B372" s="60"/>
      <c r="C372" s="22"/>
      <c r="D372" s="22"/>
      <c r="E372" s="56"/>
    </row>
    <row r="373" spans="1:5" customFormat="1" x14ac:dyDescent="0.3">
      <c r="A373" s="18" t="s">
        <v>251</v>
      </c>
      <c r="B373" s="60">
        <v>42008</v>
      </c>
      <c r="C373" s="22">
        <v>0.62424242424242427</v>
      </c>
      <c r="D373" s="22">
        <v>1</v>
      </c>
      <c r="E373" s="56"/>
    </row>
    <row r="374" spans="1:5" customFormat="1" x14ac:dyDescent="0.3">
      <c r="A374" s="17" t="s">
        <v>256</v>
      </c>
      <c r="B374" s="60"/>
      <c r="C374" s="22"/>
      <c r="D374" s="22"/>
      <c r="E374" s="56"/>
    </row>
    <row r="375" spans="1:5" customFormat="1" x14ac:dyDescent="0.3">
      <c r="A375" s="18" t="s">
        <v>1393</v>
      </c>
      <c r="B375" s="60">
        <v>42041</v>
      </c>
      <c r="C375" s="22">
        <v>0.88888888349514561</v>
      </c>
      <c r="D375" s="22">
        <v>1</v>
      </c>
      <c r="E375" s="56"/>
    </row>
    <row r="376" spans="1:5" customFormat="1" x14ac:dyDescent="0.3">
      <c r="A376" s="17" t="s">
        <v>264</v>
      </c>
      <c r="B376" s="60"/>
      <c r="C376" s="22"/>
      <c r="D376" s="22"/>
      <c r="E376" s="56"/>
    </row>
    <row r="377" spans="1:5" customFormat="1" x14ac:dyDescent="0.3">
      <c r="A377" s="18" t="s">
        <v>186</v>
      </c>
      <c r="B377" s="60">
        <v>41748</v>
      </c>
      <c r="C377" s="22">
        <v>1</v>
      </c>
      <c r="D377" s="22">
        <v>1</v>
      </c>
      <c r="E377" s="56"/>
    </row>
    <row r="378" spans="1:5" customFormat="1" x14ac:dyDescent="0.3">
      <c r="A378" s="17" t="s">
        <v>262</v>
      </c>
      <c r="B378" s="60"/>
      <c r="C378" s="22"/>
      <c r="D378" s="22"/>
      <c r="E378" s="56"/>
    </row>
    <row r="379" spans="1:5" customFormat="1" x14ac:dyDescent="0.3">
      <c r="A379" s="18" t="s">
        <v>263</v>
      </c>
      <c r="B379" s="60">
        <v>41748</v>
      </c>
      <c r="C379" s="22">
        <v>1</v>
      </c>
      <c r="D379" s="22">
        <v>1</v>
      </c>
      <c r="E379" s="56"/>
    </row>
    <row r="380" spans="1:5" customFormat="1" x14ac:dyDescent="0.3">
      <c r="A380" s="17" t="s">
        <v>260</v>
      </c>
      <c r="B380" s="60"/>
      <c r="C380" s="22"/>
      <c r="D380" s="22"/>
      <c r="E380" s="56"/>
    </row>
    <row r="381" spans="1:5" customFormat="1" x14ac:dyDescent="0.3">
      <c r="A381" s="18" t="s">
        <v>261</v>
      </c>
      <c r="B381" s="60">
        <v>41738</v>
      </c>
      <c r="C381" s="22">
        <v>0.99969112863322274</v>
      </c>
      <c r="D381" s="22">
        <v>1</v>
      </c>
      <c r="E381" s="56"/>
    </row>
    <row r="382" spans="1:5" customFormat="1" x14ac:dyDescent="0.3">
      <c r="A382" s="17" t="s">
        <v>273</v>
      </c>
      <c r="B382" s="60"/>
      <c r="C382" s="22"/>
      <c r="D382" s="22"/>
      <c r="E382" s="56"/>
    </row>
    <row r="383" spans="1:5" customFormat="1" x14ac:dyDescent="0.3">
      <c r="A383" s="18" t="s">
        <v>126</v>
      </c>
      <c r="B383" s="60">
        <v>42012</v>
      </c>
      <c r="C383" s="22">
        <v>0.24295145454545455</v>
      </c>
      <c r="D383" s="22">
        <v>1</v>
      </c>
      <c r="E383" s="56"/>
    </row>
    <row r="384" spans="1:5" customFormat="1" x14ac:dyDescent="0.3">
      <c r="A384" s="17" t="s">
        <v>288</v>
      </c>
      <c r="B384" s="60"/>
      <c r="C384" s="22"/>
      <c r="D384" s="22"/>
      <c r="E384" s="56"/>
    </row>
    <row r="385" spans="1:5" customFormat="1" x14ac:dyDescent="0.3">
      <c r="A385" s="18" t="s">
        <v>12</v>
      </c>
      <c r="B385" s="60">
        <v>42102</v>
      </c>
      <c r="C385" s="22">
        <v>0</v>
      </c>
      <c r="D385" s="22">
        <v>1</v>
      </c>
      <c r="E385" s="56"/>
    </row>
    <row r="386" spans="1:5" customFormat="1" x14ac:dyDescent="0.3">
      <c r="A386" s="17" t="s">
        <v>266</v>
      </c>
      <c r="B386" s="60"/>
      <c r="C386" s="22"/>
      <c r="D386" s="22"/>
      <c r="E386" s="56"/>
    </row>
    <row r="387" spans="1:5" customFormat="1" x14ac:dyDescent="0.3">
      <c r="A387" s="18" t="s">
        <v>1029</v>
      </c>
      <c r="B387" s="60">
        <v>41969</v>
      </c>
      <c r="C387" s="22">
        <v>0.56844640706543559</v>
      </c>
      <c r="D387" s="22">
        <v>1</v>
      </c>
      <c r="E387" s="56"/>
    </row>
    <row r="388" spans="1:5" customFormat="1" x14ac:dyDescent="0.3">
      <c r="A388" s="17" t="s">
        <v>271</v>
      </c>
      <c r="B388" s="60"/>
      <c r="C388" s="22"/>
      <c r="D388" s="22"/>
      <c r="E388" s="56"/>
    </row>
    <row r="389" spans="1:5" customFormat="1" x14ac:dyDescent="0.3">
      <c r="A389" s="18" t="s">
        <v>272</v>
      </c>
      <c r="B389" s="60">
        <v>41951</v>
      </c>
      <c r="C389" s="22">
        <v>0.39207999999999998</v>
      </c>
      <c r="D389" s="22">
        <v>1</v>
      </c>
      <c r="E389" s="56"/>
    </row>
    <row r="390" spans="1:5" customFormat="1" x14ac:dyDescent="0.3">
      <c r="A390" s="17" t="s">
        <v>400</v>
      </c>
      <c r="B390" s="60"/>
      <c r="C390" s="22"/>
      <c r="D390" s="22"/>
      <c r="E390" s="56"/>
    </row>
    <row r="391" spans="1:5" customFormat="1" x14ac:dyDescent="0.3">
      <c r="A391" s="18" t="s">
        <v>198</v>
      </c>
      <c r="B391" s="60">
        <v>42096</v>
      </c>
      <c r="C391" s="22">
        <v>0.95183235516849674</v>
      </c>
      <c r="D391" s="22">
        <v>1</v>
      </c>
      <c r="E391" s="56"/>
    </row>
    <row r="392" spans="1:5" customFormat="1" x14ac:dyDescent="0.3">
      <c r="A392" s="17" t="s">
        <v>274</v>
      </c>
      <c r="B392" s="60"/>
      <c r="C392" s="22"/>
      <c r="D392" s="22"/>
      <c r="E392" s="56"/>
    </row>
    <row r="393" spans="1:5" customFormat="1" x14ac:dyDescent="0.3">
      <c r="A393" s="18" t="s">
        <v>275</v>
      </c>
      <c r="B393" s="60">
        <v>42116</v>
      </c>
      <c r="C393" s="22">
        <v>1</v>
      </c>
      <c r="D393" s="22">
        <v>1</v>
      </c>
      <c r="E393" s="56"/>
    </row>
    <row r="394" spans="1:5" customFormat="1" x14ac:dyDescent="0.3">
      <c r="A394" s="17" t="s">
        <v>279</v>
      </c>
      <c r="B394" s="60"/>
      <c r="C394" s="22"/>
      <c r="D394" s="22"/>
      <c r="E394" s="56"/>
    </row>
    <row r="395" spans="1:5" customFormat="1" x14ac:dyDescent="0.3">
      <c r="A395" s="18" t="s">
        <v>53</v>
      </c>
      <c r="B395" s="60">
        <v>42091</v>
      </c>
      <c r="C395" s="22">
        <v>0.9472556537894804</v>
      </c>
      <c r="D395" s="22">
        <v>1</v>
      </c>
      <c r="E395" s="56"/>
    </row>
    <row r="396" spans="1:5" customFormat="1" x14ac:dyDescent="0.3">
      <c r="A396" s="17" t="s">
        <v>282</v>
      </c>
      <c r="B396" s="60"/>
      <c r="C396" s="22"/>
      <c r="D396" s="22"/>
      <c r="E396" s="56"/>
    </row>
    <row r="397" spans="1:5" customFormat="1" x14ac:dyDescent="0.3">
      <c r="A397" s="18" t="s">
        <v>418</v>
      </c>
      <c r="B397" s="60">
        <v>41901</v>
      </c>
      <c r="C397" s="22">
        <v>1</v>
      </c>
      <c r="D397" s="22">
        <v>1</v>
      </c>
      <c r="E397" s="56"/>
    </row>
    <row r="398" spans="1:5" customFormat="1" x14ac:dyDescent="0.3">
      <c r="A398" s="17" t="s">
        <v>280</v>
      </c>
      <c r="B398" s="60"/>
      <c r="C398" s="22"/>
      <c r="D398" s="22"/>
      <c r="E398" s="56"/>
    </row>
    <row r="399" spans="1:5" customFormat="1" x14ac:dyDescent="0.3">
      <c r="A399" s="18" t="s">
        <v>281</v>
      </c>
      <c r="B399" s="60">
        <v>41817</v>
      </c>
      <c r="C399" s="22">
        <v>0.99999588236989612</v>
      </c>
      <c r="D399" s="22">
        <v>1</v>
      </c>
      <c r="E399" s="56"/>
    </row>
    <row r="400" spans="1:5" customFormat="1" x14ac:dyDescent="0.3">
      <c r="A400" s="17" t="s">
        <v>276</v>
      </c>
      <c r="B400" s="60"/>
      <c r="C400" s="22"/>
      <c r="D400" s="22"/>
      <c r="E400" s="56"/>
    </row>
    <row r="401" spans="1:5" customFormat="1" x14ac:dyDescent="0.3">
      <c r="A401" s="18" t="s">
        <v>277</v>
      </c>
      <c r="B401" s="60">
        <v>42117</v>
      </c>
      <c r="C401" s="22">
        <v>0.99888544635469334</v>
      </c>
      <c r="D401" s="22">
        <v>1</v>
      </c>
      <c r="E401" s="56"/>
    </row>
    <row r="402" spans="1:5" customFormat="1" x14ac:dyDescent="0.3">
      <c r="A402" s="17" t="s">
        <v>283</v>
      </c>
      <c r="B402" s="60"/>
      <c r="C402" s="22"/>
      <c r="D402" s="22"/>
      <c r="E402" s="56"/>
    </row>
    <row r="403" spans="1:5" customFormat="1" x14ac:dyDescent="0.3">
      <c r="A403" s="18" t="s">
        <v>284</v>
      </c>
      <c r="B403" s="60">
        <v>42128</v>
      </c>
      <c r="C403" s="22">
        <v>0.99876396723016514</v>
      </c>
      <c r="D403" s="22">
        <v>1</v>
      </c>
      <c r="E403" s="56"/>
    </row>
    <row r="404" spans="1:5" customFormat="1" x14ac:dyDescent="0.3">
      <c r="A404" s="17" t="s">
        <v>289</v>
      </c>
      <c r="B404" s="60"/>
      <c r="C404" s="22"/>
      <c r="D404" s="22"/>
      <c r="E404" s="56"/>
    </row>
    <row r="405" spans="1:5" customFormat="1" x14ac:dyDescent="0.3">
      <c r="A405" s="18" t="s">
        <v>290</v>
      </c>
      <c r="B405" s="60">
        <v>41855</v>
      </c>
      <c r="C405" s="22">
        <v>0.99999799962332903</v>
      </c>
      <c r="D405" s="22">
        <v>1</v>
      </c>
      <c r="E405" s="56"/>
    </row>
    <row r="406" spans="1:5" customFormat="1" x14ac:dyDescent="0.3">
      <c r="A406" s="17" t="s">
        <v>300</v>
      </c>
      <c r="B406" s="60"/>
      <c r="C406" s="22"/>
      <c r="D406" s="22"/>
      <c r="E406" s="56"/>
    </row>
    <row r="407" spans="1:5" customFormat="1" x14ac:dyDescent="0.3">
      <c r="A407" s="18" t="s">
        <v>1567</v>
      </c>
      <c r="B407" s="60">
        <v>42312</v>
      </c>
      <c r="C407" s="22">
        <v>0.9</v>
      </c>
      <c r="D407" s="22">
        <v>1</v>
      </c>
      <c r="E407" s="56"/>
    </row>
    <row r="408" spans="1:5" customFormat="1" x14ac:dyDescent="0.3">
      <c r="A408" s="17" t="s">
        <v>401</v>
      </c>
      <c r="B408" s="60"/>
      <c r="C408" s="22"/>
      <c r="D408" s="22"/>
      <c r="E408" s="56"/>
    </row>
    <row r="409" spans="1:5" customFormat="1" x14ac:dyDescent="0.3">
      <c r="A409" s="18" t="s">
        <v>547</v>
      </c>
      <c r="B409" s="60">
        <v>42216</v>
      </c>
      <c r="C409" s="22">
        <v>0.99313612952168406</v>
      </c>
      <c r="D409" s="22">
        <v>1</v>
      </c>
      <c r="E409" s="56"/>
    </row>
    <row r="410" spans="1:5" customFormat="1" x14ac:dyDescent="0.3">
      <c r="A410" s="17" t="s">
        <v>296</v>
      </c>
      <c r="B410" s="60"/>
      <c r="C410" s="22"/>
      <c r="D410" s="22"/>
      <c r="E410" s="56"/>
    </row>
    <row r="411" spans="1:5" customFormat="1" x14ac:dyDescent="0.3">
      <c r="A411" s="18" t="s">
        <v>1038</v>
      </c>
      <c r="B411" s="60">
        <v>41867</v>
      </c>
      <c r="C411" s="22">
        <v>1</v>
      </c>
      <c r="D411" s="22">
        <v>1</v>
      </c>
      <c r="E411" s="56"/>
    </row>
    <row r="412" spans="1:5" customFormat="1" x14ac:dyDescent="0.3">
      <c r="A412" s="17" t="s">
        <v>287</v>
      </c>
      <c r="B412" s="60"/>
      <c r="C412" s="22"/>
      <c r="D412" s="22"/>
      <c r="E412" s="56"/>
    </row>
    <row r="413" spans="1:5" customFormat="1" x14ac:dyDescent="0.3">
      <c r="A413" s="18" t="s">
        <v>1017</v>
      </c>
      <c r="B413" s="60">
        <v>42186</v>
      </c>
      <c r="C413" s="22">
        <v>0.99999999407384577</v>
      </c>
      <c r="D413" s="22">
        <v>1</v>
      </c>
      <c r="E413" s="56"/>
    </row>
    <row r="414" spans="1:5" customFormat="1" x14ac:dyDescent="0.3">
      <c r="A414" s="17" t="s">
        <v>291</v>
      </c>
      <c r="B414" s="60"/>
      <c r="C414" s="22"/>
      <c r="D414" s="22"/>
      <c r="E414" s="56"/>
    </row>
    <row r="415" spans="1:5" customFormat="1" x14ac:dyDescent="0.3">
      <c r="A415" s="18" t="s">
        <v>1047</v>
      </c>
      <c r="B415" s="60">
        <v>42116</v>
      </c>
      <c r="C415" s="22">
        <v>0.95865674385579414</v>
      </c>
      <c r="D415" s="22">
        <v>1</v>
      </c>
      <c r="E415" s="56"/>
    </row>
    <row r="416" spans="1:5" customFormat="1" x14ac:dyDescent="0.3">
      <c r="A416" s="17" t="s">
        <v>305</v>
      </c>
      <c r="B416" s="60"/>
      <c r="C416" s="22"/>
      <c r="D416" s="22"/>
      <c r="E416" s="56"/>
    </row>
    <row r="417" spans="1:5" customFormat="1" x14ac:dyDescent="0.3">
      <c r="A417" s="18" t="s">
        <v>306</v>
      </c>
      <c r="B417" s="60">
        <v>41872</v>
      </c>
      <c r="C417" s="22">
        <v>1</v>
      </c>
      <c r="D417" s="22">
        <v>1</v>
      </c>
      <c r="E417" s="56"/>
    </row>
    <row r="418" spans="1:5" customFormat="1" x14ac:dyDescent="0.3">
      <c r="A418" s="17" t="s">
        <v>285</v>
      </c>
      <c r="B418" s="60"/>
      <c r="C418" s="22"/>
      <c r="D418" s="22"/>
      <c r="E418" s="56"/>
    </row>
    <row r="419" spans="1:5" customFormat="1" x14ac:dyDescent="0.3">
      <c r="A419" s="18" t="s">
        <v>3</v>
      </c>
      <c r="B419" s="60">
        <v>41959</v>
      </c>
      <c r="C419" s="22">
        <v>0.71573656802383312</v>
      </c>
      <c r="D419" s="22">
        <v>1</v>
      </c>
      <c r="E419" s="56"/>
    </row>
    <row r="420" spans="1:5" customFormat="1" x14ac:dyDescent="0.3">
      <c r="A420" s="17" t="s">
        <v>299</v>
      </c>
      <c r="B420" s="60"/>
      <c r="C420" s="22"/>
      <c r="D420" s="22"/>
      <c r="E420" s="56"/>
    </row>
    <row r="421" spans="1:5" customFormat="1" x14ac:dyDescent="0.3">
      <c r="A421" s="18" t="s">
        <v>1048</v>
      </c>
      <c r="B421" s="60">
        <v>41852</v>
      </c>
      <c r="C421" s="22">
        <v>1</v>
      </c>
      <c r="D421" s="22">
        <v>1</v>
      </c>
      <c r="E421" s="56"/>
    </row>
    <row r="422" spans="1:5" customFormat="1" x14ac:dyDescent="0.3">
      <c r="A422" s="17" t="s">
        <v>294</v>
      </c>
      <c r="B422" s="60"/>
      <c r="C422" s="22"/>
      <c r="D422" s="22"/>
      <c r="E422" s="56"/>
    </row>
    <row r="423" spans="1:5" customFormat="1" x14ac:dyDescent="0.3">
      <c r="A423" s="18" t="s">
        <v>295</v>
      </c>
      <c r="B423" s="60">
        <v>42186</v>
      </c>
      <c r="C423" s="22">
        <v>0.93935660832064938</v>
      </c>
      <c r="D423" s="22">
        <v>1</v>
      </c>
      <c r="E423" s="56"/>
    </row>
    <row r="424" spans="1:5" customFormat="1" x14ac:dyDescent="0.3">
      <c r="A424" s="17" t="s">
        <v>292</v>
      </c>
      <c r="B424" s="60"/>
      <c r="C424" s="22"/>
      <c r="D424" s="22"/>
      <c r="E424" s="56"/>
    </row>
    <row r="425" spans="1:5" customFormat="1" x14ac:dyDescent="0.3">
      <c r="A425" s="18" t="s">
        <v>293</v>
      </c>
      <c r="B425" s="60">
        <v>42247</v>
      </c>
      <c r="C425" s="22">
        <v>1</v>
      </c>
      <c r="D425" s="22">
        <v>1</v>
      </c>
      <c r="E425" s="56"/>
    </row>
    <row r="426" spans="1:5" customFormat="1" x14ac:dyDescent="0.3">
      <c r="A426" s="17" t="s">
        <v>298</v>
      </c>
      <c r="B426" s="60"/>
      <c r="C426" s="22"/>
      <c r="D426" s="22"/>
      <c r="E426" s="56"/>
    </row>
    <row r="427" spans="1:5" customFormat="1" x14ac:dyDescent="0.3">
      <c r="A427" s="18" t="s">
        <v>90</v>
      </c>
      <c r="B427" s="60">
        <v>42203</v>
      </c>
      <c r="C427" s="22">
        <v>1</v>
      </c>
      <c r="D427" s="22">
        <v>1</v>
      </c>
      <c r="E427" s="56"/>
    </row>
    <row r="428" spans="1:5" customFormat="1" x14ac:dyDescent="0.3">
      <c r="A428" s="17" t="s">
        <v>302</v>
      </c>
      <c r="B428" s="60"/>
      <c r="C428" s="22"/>
      <c r="D428" s="22"/>
      <c r="E428" s="56"/>
    </row>
    <row r="429" spans="1:5" customFormat="1" x14ac:dyDescent="0.3">
      <c r="A429" s="18" t="s">
        <v>303</v>
      </c>
      <c r="B429" s="60">
        <v>42050</v>
      </c>
      <c r="C429" s="22">
        <v>0.38660102739726027</v>
      </c>
      <c r="D429" s="22">
        <v>1</v>
      </c>
      <c r="E429" s="56"/>
    </row>
    <row r="430" spans="1:5" customFormat="1" x14ac:dyDescent="0.3">
      <c r="A430" s="17" t="s">
        <v>297</v>
      </c>
      <c r="B430" s="60"/>
      <c r="C430" s="22"/>
      <c r="D430" s="22"/>
      <c r="E430" s="56"/>
    </row>
    <row r="431" spans="1:5" customFormat="1" x14ac:dyDescent="0.3">
      <c r="A431" s="18" t="s">
        <v>999</v>
      </c>
      <c r="B431" s="60">
        <v>42139</v>
      </c>
      <c r="C431" s="22">
        <v>0.99994394683026588</v>
      </c>
      <c r="D431" s="22">
        <v>1</v>
      </c>
      <c r="E431" s="56"/>
    </row>
    <row r="432" spans="1:5" customFormat="1" x14ac:dyDescent="0.3">
      <c r="A432" s="17" t="s">
        <v>304</v>
      </c>
      <c r="B432" s="60"/>
      <c r="C432" s="22"/>
      <c r="D432" s="22"/>
      <c r="E432" s="56"/>
    </row>
    <row r="433" spans="1:5" customFormat="1" x14ac:dyDescent="0.3">
      <c r="A433" s="18" t="s">
        <v>1005</v>
      </c>
      <c r="B433" s="60">
        <v>41965</v>
      </c>
      <c r="C433" s="22">
        <v>1</v>
      </c>
      <c r="D433" s="22">
        <v>1</v>
      </c>
      <c r="E433" s="56"/>
    </row>
    <row r="434" spans="1:5" customFormat="1" x14ac:dyDescent="0.3">
      <c r="A434" s="17" t="s">
        <v>308</v>
      </c>
      <c r="B434" s="60"/>
      <c r="C434" s="22"/>
      <c r="D434" s="22"/>
      <c r="E434" s="56"/>
    </row>
    <row r="435" spans="1:5" customFormat="1" x14ac:dyDescent="0.3">
      <c r="A435" s="18" t="s">
        <v>1049</v>
      </c>
      <c r="B435" s="60">
        <v>41923</v>
      </c>
      <c r="C435" s="22">
        <v>0.70575221238938057</v>
      </c>
      <c r="D435" s="22">
        <v>1</v>
      </c>
      <c r="E435" s="56"/>
    </row>
    <row r="436" spans="1:5" customFormat="1" x14ac:dyDescent="0.3">
      <c r="A436" s="17" t="s">
        <v>307</v>
      </c>
      <c r="B436" s="60"/>
      <c r="C436" s="22"/>
      <c r="D436" s="22"/>
      <c r="E436" s="56"/>
    </row>
    <row r="437" spans="1:5" customFormat="1" x14ac:dyDescent="0.3">
      <c r="A437" s="18" t="s">
        <v>144</v>
      </c>
      <c r="B437" s="60">
        <v>42108</v>
      </c>
      <c r="C437" s="22">
        <v>1</v>
      </c>
      <c r="D437" s="22">
        <v>1</v>
      </c>
      <c r="E437" s="56"/>
    </row>
    <row r="438" spans="1:5" customFormat="1" x14ac:dyDescent="0.3">
      <c r="A438" s="17" t="s">
        <v>546</v>
      </c>
      <c r="B438" s="60"/>
      <c r="C438" s="22"/>
      <c r="D438" s="22"/>
      <c r="E438" s="56"/>
    </row>
    <row r="439" spans="1:5" customFormat="1" x14ac:dyDescent="0.3">
      <c r="A439" s="18" t="s">
        <v>310</v>
      </c>
      <c r="B439" s="60">
        <v>41932</v>
      </c>
      <c r="C439" s="22">
        <v>1</v>
      </c>
      <c r="D439" s="22">
        <v>1</v>
      </c>
      <c r="E439" s="56"/>
    </row>
    <row r="440" spans="1:5" customFormat="1" x14ac:dyDescent="0.3">
      <c r="A440" s="17" t="s">
        <v>548</v>
      </c>
      <c r="B440" s="60"/>
      <c r="C440" s="22"/>
      <c r="D440" s="22"/>
      <c r="E440" s="56"/>
    </row>
    <row r="441" spans="1:5" customFormat="1" x14ac:dyDescent="0.3">
      <c r="A441" s="18" t="s">
        <v>13</v>
      </c>
      <c r="B441" s="60">
        <v>42258</v>
      </c>
      <c r="C441" s="22">
        <v>1</v>
      </c>
      <c r="D441" s="22">
        <v>1</v>
      </c>
      <c r="E441" s="56"/>
    </row>
    <row r="442" spans="1:5" customFormat="1" x14ac:dyDescent="0.3">
      <c r="A442" s="17" t="s">
        <v>551</v>
      </c>
      <c r="B442" s="60"/>
      <c r="C442" s="22"/>
      <c r="D442" s="22"/>
      <c r="E442" s="56"/>
    </row>
    <row r="443" spans="1:5" customFormat="1" x14ac:dyDescent="0.3">
      <c r="A443" s="18" t="s">
        <v>29</v>
      </c>
      <c r="B443" s="60">
        <v>42261</v>
      </c>
      <c r="C443" s="22">
        <v>1</v>
      </c>
      <c r="D443" s="22">
        <v>1</v>
      </c>
      <c r="E443" s="56"/>
    </row>
    <row r="444" spans="1:5" customFormat="1" x14ac:dyDescent="0.3">
      <c r="A444" s="17" t="s">
        <v>553</v>
      </c>
      <c r="B444" s="60"/>
      <c r="C444" s="22"/>
      <c r="D444" s="22"/>
      <c r="E444" s="56"/>
    </row>
    <row r="445" spans="1:5" customFormat="1" x14ac:dyDescent="0.3">
      <c r="A445" s="18" t="s">
        <v>554</v>
      </c>
      <c r="B445" s="60">
        <v>42009</v>
      </c>
      <c r="C445" s="22">
        <v>1</v>
      </c>
      <c r="D445" s="22">
        <v>1</v>
      </c>
      <c r="E445" s="56"/>
    </row>
    <row r="446" spans="1:5" customFormat="1" x14ac:dyDescent="0.3">
      <c r="A446" s="17" t="s">
        <v>555</v>
      </c>
      <c r="B446" s="60"/>
      <c r="C446" s="22"/>
      <c r="D446" s="22"/>
      <c r="E446" s="56"/>
    </row>
    <row r="447" spans="1:5" customFormat="1" x14ac:dyDescent="0.3">
      <c r="A447" s="18" t="s">
        <v>1066</v>
      </c>
      <c r="B447" s="60">
        <v>42013</v>
      </c>
      <c r="C447" s="22">
        <v>1</v>
      </c>
      <c r="D447" s="22">
        <v>1</v>
      </c>
      <c r="E447" s="56"/>
    </row>
    <row r="448" spans="1:5" customFormat="1" x14ac:dyDescent="0.3">
      <c r="A448" s="17" t="s">
        <v>556</v>
      </c>
      <c r="B448" s="60"/>
      <c r="C448" s="22"/>
      <c r="D448" s="22"/>
      <c r="E448" s="56"/>
    </row>
    <row r="449" spans="1:5" customFormat="1" x14ac:dyDescent="0.3">
      <c r="A449" s="18" t="s">
        <v>1004</v>
      </c>
      <c r="B449" s="60">
        <v>42046</v>
      </c>
      <c r="C449" s="22">
        <v>1</v>
      </c>
      <c r="D449" s="22">
        <v>1</v>
      </c>
      <c r="E449" s="56"/>
    </row>
    <row r="450" spans="1:5" customFormat="1" x14ac:dyDescent="0.3">
      <c r="A450" s="17" t="s">
        <v>1068</v>
      </c>
      <c r="B450" s="60"/>
      <c r="C450" s="22"/>
      <c r="D450" s="22"/>
      <c r="E450" s="56"/>
    </row>
    <row r="451" spans="1:5" customFormat="1" x14ac:dyDescent="0.3">
      <c r="A451" s="18" t="s">
        <v>1069</v>
      </c>
      <c r="B451" s="60">
        <v>42053</v>
      </c>
      <c r="C451" s="22">
        <v>1</v>
      </c>
      <c r="D451" s="22">
        <v>1</v>
      </c>
      <c r="E451" s="56"/>
    </row>
    <row r="452" spans="1:5" customFormat="1" x14ac:dyDescent="0.3">
      <c r="A452" s="17" t="s">
        <v>1070</v>
      </c>
      <c r="B452" s="60"/>
      <c r="C452" s="22"/>
      <c r="D452" s="22"/>
      <c r="E452" s="56"/>
    </row>
    <row r="453" spans="1:5" customFormat="1" x14ac:dyDescent="0.3">
      <c r="A453" s="18" t="s">
        <v>1071</v>
      </c>
      <c r="B453" s="60">
        <v>42033</v>
      </c>
      <c r="C453" s="22">
        <v>1</v>
      </c>
      <c r="D453" s="22">
        <v>1</v>
      </c>
      <c r="E453" s="56"/>
    </row>
    <row r="454" spans="1:5" customFormat="1" x14ac:dyDescent="0.3">
      <c r="A454" s="17" t="s">
        <v>1096</v>
      </c>
      <c r="B454" s="60"/>
      <c r="C454" s="22"/>
      <c r="D454" s="22"/>
      <c r="E454" s="56"/>
    </row>
    <row r="455" spans="1:5" customFormat="1" x14ac:dyDescent="0.3">
      <c r="A455" s="18" t="s">
        <v>1097</v>
      </c>
      <c r="B455" s="60">
        <v>43921</v>
      </c>
      <c r="C455" s="22" t="e">
        <v>#DIV/0!</v>
      </c>
      <c r="D455" s="22">
        <v>1</v>
      </c>
      <c r="E455" s="56"/>
    </row>
    <row r="456" spans="1:5" customFormat="1" x14ac:dyDescent="0.3">
      <c r="A456" s="17" t="s">
        <v>1100</v>
      </c>
      <c r="B456" s="60"/>
      <c r="C456" s="22"/>
      <c r="D456" s="22"/>
      <c r="E456" s="56"/>
    </row>
    <row r="457" spans="1:5" customFormat="1" x14ac:dyDescent="0.3">
      <c r="A457" s="18" t="s">
        <v>435</v>
      </c>
      <c r="B457" s="60">
        <v>42207</v>
      </c>
      <c r="C457" s="22">
        <v>0.90614027511196416</v>
      </c>
      <c r="D457" s="22">
        <v>1</v>
      </c>
      <c r="E457" s="56"/>
    </row>
    <row r="458" spans="1:5" customFormat="1" x14ac:dyDescent="0.3">
      <c r="A458" s="17" t="s">
        <v>1332</v>
      </c>
      <c r="B458" s="60"/>
      <c r="C458" s="22"/>
      <c r="D458" s="22"/>
      <c r="E458" s="56"/>
    </row>
    <row r="459" spans="1:5" customFormat="1" x14ac:dyDescent="0.3">
      <c r="A459" s="18" t="s">
        <v>1333</v>
      </c>
      <c r="B459" s="60">
        <v>42027</v>
      </c>
      <c r="C459" s="22">
        <v>0.54425701160541584</v>
      </c>
      <c r="D459" s="22">
        <v>1</v>
      </c>
      <c r="E459" s="56"/>
    </row>
    <row r="460" spans="1:5" customFormat="1" x14ac:dyDescent="0.3">
      <c r="A460" s="17" t="s">
        <v>919</v>
      </c>
      <c r="B460" s="60"/>
      <c r="C460" s="22"/>
      <c r="D460" s="22"/>
      <c r="E460" s="56"/>
    </row>
    <row r="461" spans="1:5" x14ac:dyDescent="0.3">
      <c r="A461" s="18" t="s">
        <v>1103</v>
      </c>
      <c r="B461" s="60">
        <v>42202</v>
      </c>
      <c r="C461" s="22">
        <v>0</v>
      </c>
      <c r="D461" s="22">
        <v>1</v>
      </c>
    </row>
    <row r="462" spans="1:5" x14ac:dyDescent="0.3">
      <c r="A462" s="17" t="s">
        <v>1105</v>
      </c>
      <c r="B462" s="60"/>
      <c r="C462" s="22"/>
      <c r="D462" s="22"/>
    </row>
    <row r="463" spans="1:5" x14ac:dyDescent="0.3">
      <c r="A463" s="18" t="s">
        <v>100</v>
      </c>
      <c r="B463" s="60">
        <v>42129</v>
      </c>
      <c r="C463" s="22">
        <v>0.94433699999999998</v>
      </c>
      <c r="D463" s="22">
        <v>1</v>
      </c>
    </row>
    <row r="464" spans="1:5" x14ac:dyDescent="0.3">
      <c r="A464" s="17" t="s">
        <v>1107</v>
      </c>
      <c r="B464" s="60"/>
      <c r="C464" s="22"/>
      <c r="D464" s="22"/>
    </row>
    <row r="465" spans="1:4" x14ac:dyDescent="0.3">
      <c r="A465" s="18" t="s">
        <v>222</v>
      </c>
      <c r="B465" s="60">
        <v>42008</v>
      </c>
      <c r="C465" s="22">
        <v>1</v>
      </c>
      <c r="D465" s="22">
        <v>1</v>
      </c>
    </row>
    <row r="466" spans="1:4" x14ac:dyDescent="0.3">
      <c r="A466" s="17" t="s">
        <v>1112</v>
      </c>
      <c r="B466" s="60"/>
      <c r="C466" s="22"/>
      <c r="D466" s="22"/>
    </row>
    <row r="467" spans="1:4" x14ac:dyDescent="0.3">
      <c r="A467" s="18" t="s">
        <v>1113</v>
      </c>
      <c r="B467" s="60">
        <v>42021</v>
      </c>
      <c r="C467" s="22">
        <v>1</v>
      </c>
      <c r="D467" s="22">
        <v>1</v>
      </c>
    </row>
    <row r="468" spans="1:4" x14ac:dyDescent="0.3">
      <c r="A468" s="17" t="s">
        <v>1118</v>
      </c>
      <c r="B468" s="60"/>
      <c r="C468" s="22"/>
      <c r="D468" s="22"/>
    </row>
    <row r="469" spans="1:4" x14ac:dyDescent="0.3">
      <c r="A469" s="18" t="s">
        <v>1119</v>
      </c>
      <c r="B469" s="60">
        <v>42004</v>
      </c>
      <c r="C469" s="22">
        <v>1</v>
      </c>
      <c r="D469" s="22">
        <v>1</v>
      </c>
    </row>
    <row r="470" spans="1:4" x14ac:dyDescent="0.3">
      <c r="A470" s="17" t="s">
        <v>1109</v>
      </c>
      <c r="B470" s="60"/>
      <c r="C470" s="22"/>
      <c r="D470" s="22"/>
    </row>
    <row r="471" spans="1:4" x14ac:dyDescent="0.3">
      <c r="A471" s="18" t="s">
        <v>1110</v>
      </c>
      <c r="B471" s="60">
        <v>42116</v>
      </c>
      <c r="C471" s="22">
        <v>0.97833046662565259</v>
      </c>
      <c r="D471" s="22">
        <v>1</v>
      </c>
    </row>
    <row r="472" spans="1:4" x14ac:dyDescent="0.3">
      <c r="A472" s="17" t="s">
        <v>1115</v>
      </c>
      <c r="B472" s="60"/>
      <c r="C472" s="22"/>
      <c r="D472" s="22"/>
    </row>
    <row r="473" spans="1:4" x14ac:dyDescent="0.3">
      <c r="A473" s="18" t="s">
        <v>1116</v>
      </c>
      <c r="B473" s="60">
        <v>42294</v>
      </c>
      <c r="C473" s="22">
        <v>0.99999998675847457</v>
      </c>
      <c r="D473" s="22">
        <v>1</v>
      </c>
    </row>
    <row r="474" spans="1:4" x14ac:dyDescent="0.3">
      <c r="A474" s="17" t="s">
        <v>1161</v>
      </c>
      <c r="B474" s="60"/>
      <c r="C474" s="22"/>
      <c r="D474" s="22"/>
    </row>
    <row r="475" spans="1:4" x14ac:dyDescent="0.3">
      <c r="A475" s="18" t="s">
        <v>1162</v>
      </c>
      <c r="B475" s="60">
        <v>42301</v>
      </c>
      <c r="C475" s="22">
        <v>0.90000004218817531</v>
      </c>
      <c r="D475" s="22">
        <v>1</v>
      </c>
    </row>
    <row r="476" spans="1:4" x14ac:dyDescent="0.3">
      <c r="A476" s="17" t="s">
        <v>1154</v>
      </c>
      <c r="B476" s="60"/>
      <c r="C476" s="22"/>
      <c r="D476" s="22"/>
    </row>
    <row r="477" spans="1:4" x14ac:dyDescent="0.3">
      <c r="A477" s="18" t="s">
        <v>33</v>
      </c>
      <c r="B477" s="60">
        <v>42277</v>
      </c>
      <c r="C477" s="22">
        <v>1</v>
      </c>
      <c r="D477" s="22">
        <v>1</v>
      </c>
    </row>
    <row r="478" spans="1:4" x14ac:dyDescent="0.3">
      <c r="A478" s="17" t="s">
        <v>1159</v>
      </c>
      <c r="B478" s="60"/>
      <c r="C478" s="22"/>
      <c r="D478" s="22"/>
    </row>
    <row r="479" spans="1:4" x14ac:dyDescent="0.3">
      <c r="A479" s="18" t="s">
        <v>1160</v>
      </c>
      <c r="B479" s="60">
        <v>42138</v>
      </c>
      <c r="C479" s="22">
        <v>0.6299402628434887</v>
      </c>
      <c r="D479" s="22">
        <v>1</v>
      </c>
    </row>
    <row r="480" spans="1:4" x14ac:dyDescent="0.3">
      <c r="A480" s="17" t="s">
        <v>1156</v>
      </c>
      <c r="B480" s="60"/>
      <c r="C480" s="22"/>
      <c r="D480" s="22"/>
    </row>
    <row r="481" spans="1:4" x14ac:dyDescent="0.3">
      <c r="A481" s="18" t="s">
        <v>186</v>
      </c>
      <c r="B481" s="60">
        <v>41996</v>
      </c>
      <c r="C481" s="22">
        <v>1</v>
      </c>
      <c r="D481" s="22">
        <v>1</v>
      </c>
    </row>
    <row r="482" spans="1:4" x14ac:dyDescent="0.3">
      <c r="A482" s="17" t="s">
        <v>1157</v>
      </c>
      <c r="B482" s="60"/>
      <c r="C482" s="22"/>
      <c r="D482" s="22"/>
    </row>
    <row r="483" spans="1:4" x14ac:dyDescent="0.3">
      <c r="A483" s="18" t="s">
        <v>22</v>
      </c>
      <c r="B483" s="60">
        <v>42477</v>
      </c>
      <c r="C483" s="22">
        <v>1</v>
      </c>
      <c r="D483" s="22">
        <v>1</v>
      </c>
    </row>
    <row r="484" spans="1:4" x14ac:dyDescent="0.3">
      <c r="A484" s="17" t="s">
        <v>599</v>
      </c>
      <c r="B484" s="60"/>
      <c r="C484" s="22"/>
      <c r="D484" s="22"/>
    </row>
    <row r="485" spans="1:4" x14ac:dyDescent="0.3">
      <c r="A485" s="18" t="s">
        <v>1025</v>
      </c>
      <c r="B485" s="60">
        <v>41580</v>
      </c>
      <c r="C485" s="22">
        <v>0.82905844069621071</v>
      </c>
      <c r="D485" s="22">
        <v>1</v>
      </c>
    </row>
    <row r="486" spans="1:4" x14ac:dyDescent="0.3">
      <c r="A486" s="17" t="s">
        <v>857</v>
      </c>
      <c r="B486" s="60"/>
      <c r="C486" s="22"/>
      <c r="D486" s="22"/>
    </row>
    <row r="487" spans="1:4" x14ac:dyDescent="0.3">
      <c r="A487" s="18" t="s">
        <v>1337</v>
      </c>
      <c r="B487" s="60">
        <v>41975</v>
      </c>
      <c r="C487" s="22">
        <v>0</v>
      </c>
      <c r="D487" s="22">
        <v>1</v>
      </c>
    </row>
    <row r="488" spans="1:4" x14ac:dyDescent="0.3">
      <c r="A488" s="17" t="s">
        <v>1328</v>
      </c>
      <c r="B488" s="60"/>
      <c r="C488" s="22"/>
      <c r="D488" s="22"/>
    </row>
    <row r="489" spans="1:4" x14ac:dyDescent="0.3">
      <c r="A489" s="18" t="s">
        <v>1019</v>
      </c>
      <c r="B489" s="60">
        <v>42305</v>
      </c>
      <c r="C489" s="22">
        <v>1</v>
      </c>
      <c r="D489" s="22">
        <v>1</v>
      </c>
    </row>
    <row r="490" spans="1:4" x14ac:dyDescent="0.3">
      <c r="A490" s="17" t="s">
        <v>1335</v>
      </c>
      <c r="B490" s="60"/>
      <c r="C490" s="22"/>
      <c r="D490" s="22"/>
    </row>
    <row r="491" spans="1:4" x14ac:dyDescent="0.3">
      <c r="A491" s="18" t="s">
        <v>203</v>
      </c>
      <c r="B491" s="60">
        <v>42085</v>
      </c>
      <c r="C491" s="22">
        <v>1</v>
      </c>
      <c r="D491" s="22">
        <v>1</v>
      </c>
    </row>
    <row r="492" spans="1:4" x14ac:dyDescent="0.3">
      <c r="A492" s="17" t="s">
        <v>1330</v>
      </c>
      <c r="B492" s="60"/>
      <c r="C492" s="22"/>
      <c r="D492" s="22"/>
    </row>
    <row r="493" spans="1:4" x14ac:dyDescent="0.3">
      <c r="A493" s="18" t="s">
        <v>212</v>
      </c>
      <c r="B493" s="60">
        <v>41970</v>
      </c>
      <c r="C493" s="22">
        <v>1</v>
      </c>
      <c r="D493" s="22">
        <v>1</v>
      </c>
    </row>
    <row r="494" spans="1:4" x14ac:dyDescent="0.3">
      <c r="A494" s="17" t="s">
        <v>2252</v>
      </c>
      <c r="B494" s="60"/>
      <c r="C494" s="22"/>
      <c r="D494" s="22"/>
    </row>
    <row r="495" spans="1:4" x14ac:dyDescent="0.3">
      <c r="A495" s="18" t="s">
        <v>3</v>
      </c>
      <c r="B495" s="60">
        <v>41452</v>
      </c>
      <c r="C495" s="22">
        <v>0.99832980000000004</v>
      </c>
      <c r="D495" s="22">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BD1048323"/>
  <sheetViews>
    <sheetView tabSelected="1" zoomScale="118" zoomScaleNormal="118" workbookViewId="0">
      <pane xSplit="7" ySplit="6" topLeftCell="H7" activePane="bottomRight" state="frozen"/>
      <selection activeCell="B476" sqref="B476"/>
      <selection pane="topRight" activeCell="B476" sqref="B476"/>
      <selection pane="bottomLeft" activeCell="B476" sqref="B476"/>
      <selection pane="bottomRight" activeCell="F7" sqref="F7"/>
    </sheetView>
  </sheetViews>
  <sheetFormatPr baseColWidth="10" defaultColWidth="11.44140625" defaultRowHeight="14.4" x14ac:dyDescent="0.3"/>
  <cols>
    <col min="1" max="1" width="1.88671875" style="13" bestFit="1" customWidth="1"/>
    <col min="2" max="2" width="4.44140625" style="692" bestFit="1" customWidth="1"/>
    <col min="3" max="3" width="4.5546875" style="408" customWidth="1"/>
    <col min="4" max="4" width="9.5546875" style="408" hidden="1" customWidth="1"/>
    <col min="5" max="5" width="18.44140625" style="216" bestFit="1" customWidth="1"/>
    <col min="6" max="6" width="26.5546875" style="217" customWidth="1"/>
    <col min="7" max="7" width="12.44140625" style="1058" customWidth="1"/>
    <col min="8" max="8" width="48.44140625" style="970" customWidth="1"/>
    <col min="9" max="9" width="15.88671875" style="218" customWidth="1"/>
    <col min="10" max="10" width="15.109375" style="700" customWidth="1"/>
    <col min="11" max="11" width="16" style="219" customWidth="1"/>
    <col min="12" max="12" width="13.6640625" style="216" bestFit="1" customWidth="1"/>
    <col min="13" max="13" width="15.88671875" style="220" bestFit="1" customWidth="1"/>
    <col min="14" max="15" width="13.44140625" style="220" customWidth="1"/>
    <col min="16" max="16" width="13" style="216" customWidth="1"/>
    <col min="17" max="17" width="14.6640625" style="216" customWidth="1"/>
    <col min="18" max="18" width="13" style="219" customWidth="1"/>
    <col min="19" max="19" width="13.6640625" style="216" customWidth="1"/>
    <col min="20" max="23" width="15.88671875" style="216" customWidth="1"/>
    <col min="24" max="24" width="15.44140625" style="216" bestFit="1" customWidth="1"/>
    <col min="25" max="25" width="15.33203125" style="216" customWidth="1"/>
    <col min="26" max="26" width="13.6640625" style="216" bestFit="1" customWidth="1"/>
    <col min="27" max="27" width="26.109375" style="394" customWidth="1"/>
    <col min="28" max="29" width="14" style="216" customWidth="1"/>
    <col min="30" max="30" width="12.5546875" style="216" customWidth="1"/>
    <col min="31" max="31" width="15.5546875" style="216" customWidth="1"/>
    <col min="32" max="32" width="12.33203125" style="216" customWidth="1"/>
    <col min="33" max="33" width="15.6640625" style="216" customWidth="1"/>
    <col min="34" max="34" width="15.88671875" style="276" customWidth="1"/>
    <col min="35" max="35" width="24.44140625" style="276" customWidth="1"/>
    <col min="36" max="36" width="23.33203125" style="216" customWidth="1"/>
    <col min="37" max="37" width="23.6640625" style="255" customWidth="1"/>
    <col min="38" max="38" width="21.33203125" style="216" customWidth="1"/>
    <col min="39" max="39" width="25.6640625" style="216" customWidth="1"/>
    <col min="40" max="40" width="18.44140625" style="217" customWidth="1"/>
    <col min="41" max="41" width="23.88671875" style="217" customWidth="1"/>
    <col min="42" max="42" width="19.44140625" style="96" customWidth="1"/>
    <col min="43" max="43" width="12.109375" style="96" customWidth="1"/>
    <col min="44" max="44" width="16.33203125" style="884" customWidth="1"/>
    <col min="45" max="45" width="14" style="96" customWidth="1"/>
    <col min="46" max="46" width="14.44140625" style="96" customWidth="1"/>
    <col min="47" max="47" width="22.5546875" style="219" customWidth="1"/>
    <col min="48" max="48" width="15.109375" style="21" bestFit="1" customWidth="1"/>
    <col min="49" max="49" width="24.44140625" style="930" bestFit="1" customWidth="1"/>
    <col min="50" max="50" width="23.88671875" style="1" bestFit="1" customWidth="1"/>
    <col min="51" max="51" width="25.44140625" style="1" customWidth="1"/>
    <col min="52" max="53" width="11.44140625" style="1"/>
    <col min="54" max="54" width="18.33203125" style="1" customWidth="1"/>
    <col min="55" max="55" width="0" style="1" hidden="1" customWidth="1"/>
    <col min="56" max="16384" width="11.44140625" style="1"/>
  </cols>
  <sheetData>
    <row r="1" spans="1:55" ht="15" thickBot="1" x14ac:dyDescent="0.35">
      <c r="B1" s="13"/>
      <c r="E1" s="29"/>
      <c r="F1" s="249" t="s">
        <v>2542</v>
      </c>
      <c r="G1" s="1043"/>
      <c r="H1" s="953"/>
      <c r="I1" s="23"/>
      <c r="J1" s="696"/>
      <c r="K1" s="74"/>
      <c r="L1" s="23"/>
      <c r="M1" s="23"/>
      <c r="N1" s="23"/>
      <c r="O1" s="23"/>
      <c r="P1" s="23"/>
      <c r="Q1" s="23"/>
      <c r="R1" s="74"/>
      <c r="S1" s="13"/>
      <c r="T1" s="13"/>
      <c r="U1" s="13"/>
      <c r="V1" s="13"/>
      <c r="W1" s="13"/>
      <c r="X1" s="13"/>
      <c r="Y1" s="13"/>
      <c r="Z1" s="13"/>
      <c r="AA1" s="390"/>
      <c r="AB1" s="13"/>
      <c r="AC1" s="23"/>
      <c r="AD1" s="23"/>
      <c r="AE1" s="23"/>
      <c r="AF1" s="13"/>
      <c r="AG1" s="13"/>
      <c r="AH1" s="271"/>
      <c r="AI1" s="271"/>
      <c r="AJ1" s="13"/>
      <c r="AK1" s="13"/>
      <c r="AL1" s="13"/>
      <c r="AM1" s="13"/>
      <c r="AN1" s="247"/>
      <c r="AO1" s="13"/>
      <c r="AP1" s="80"/>
      <c r="AQ1" s="80"/>
      <c r="AR1" s="80"/>
      <c r="AS1" s="80"/>
      <c r="AT1" s="80"/>
      <c r="AU1" s="80"/>
      <c r="AV1" s="277"/>
      <c r="AW1" s="1"/>
    </row>
    <row r="2" spans="1:55" ht="24.6" thickTop="1" thickBot="1" x14ac:dyDescent="0.35">
      <c r="B2" s="13"/>
      <c r="E2" s="66"/>
      <c r="F2" s="248"/>
      <c r="G2" s="1044"/>
      <c r="H2" s="1157" t="s">
        <v>387</v>
      </c>
      <c r="I2" s="1157"/>
      <c r="J2" s="1157"/>
      <c r="K2" s="1157"/>
      <c r="L2" s="1157"/>
      <c r="M2" s="1157"/>
      <c r="N2" s="1157"/>
      <c r="O2" s="1157"/>
      <c r="P2" s="1157"/>
      <c r="Q2" s="1157"/>
      <c r="R2" s="1157"/>
      <c r="S2" s="1157"/>
      <c r="T2" s="1157"/>
      <c r="U2" s="1157"/>
      <c r="V2" s="1157"/>
      <c r="W2" s="1157"/>
      <c r="X2" s="1157"/>
      <c r="Y2" s="1157"/>
      <c r="Z2" s="1157"/>
      <c r="AA2" s="1158"/>
      <c r="AB2" s="1157"/>
      <c r="AC2" s="30"/>
      <c r="AD2" s="30"/>
      <c r="AE2" s="30"/>
      <c r="AF2" s="30"/>
      <c r="AG2" s="30"/>
      <c r="AH2" s="272"/>
      <c r="AI2" s="272"/>
      <c r="AJ2" s="30"/>
      <c r="AK2" s="30"/>
      <c r="AL2" s="30"/>
      <c r="AM2" s="30"/>
      <c r="AN2" s="248"/>
      <c r="AO2" s="77"/>
      <c r="AP2" s="1163" t="s">
        <v>1053</v>
      </c>
      <c r="AQ2" s="1164"/>
      <c r="AR2" s="1164"/>
      <c r="AS2" s="1164"/>
      <c r="AT2" s="1164"/>
      <c r="AU2" s="1165"/>
      <c r="AV2" s="277"/>
      <c r="AW2" s="1"/>
    </row>
    <row r="3" spans="1:55" ht="24" thickBot="1" x14ac:dyDescent="0.35">
      <c r="B3" s="23"/>
      <c r="C3" s="409"/>
      <c r="D3" s="409"/>
      <c r="E3" s="90" t="s">
        <v>1057</v>
      </c>
      <c r="F3" s="251">
        <f ca="1">TODAY()</f>
        <v>44228</v>
      </c>
      <c r="G3" s="1043"/>
      <c r="H3" s="1159" t="s">
        <v>5780</v>
      </c>
      <c r="I3" s="1159"/>
      <c r="J3" s="1159"/>
      <c r="K3" s="1159"/>
      <c r="L3" s="1159"/>
      <c r="M3" s="1159"/>
      <c r="N3" s="1159"/>
      <c r="O3" s="1159"/>
      <c r="P3" s="1159"/>
      <c r="Q3" s="1159"/>
      <c r="R3" s="1159"/>
      <c r="S3" s="1159"/>
      <c r="T3" s="1159"/>
      <c r="U3" s="1159"/>
      <c r="V3" s="1159"/>
      <c r="W3" s="1159"/>
      <c r="X3" s="1159"/>
      <c r="Y3" s="1159"/>
      <c r="Z3" s="1159"/>
      <c r="AA3" s="1160"/>
      <c r="AB3" s="1159"/>
      <c r="AC3" s="23"/>
      <c r="AD3" s="23"/>
      <c r="AE3" s="23"/>
      <c r="AF3" s="23"/>
      <c r="AG3" s="23"/>
      <c r="AH3" s="273"/>
      <c r="AI3" s="273"/>
      <c r="AJ3" s="23"/>
      <c r="AK3" s="23"/>
      <c r="AL3" s="23"/>
      <c r="AM3" s="23"/>
      <c r="AN3" s="249"/>
      <c r="AO3" s="78"/>
      <c r="AP3" s="1166"/>
      <c r="AQ3" s="1167"/>
      <c r="AR3" s="1167"/>
      <c r="AS3" s="1167"/>
      <c r="AT3" s="1167"/>
      <c r="AU3" s="1168"/>
      <c r="AV3" s="277"/>
      <c r="AW3" s="1"/>
    </row>
    <row r="4" spans="1:55" ht="15" thickBot="1" x14ac:dyDescent="0.35">
      <c r="B4" s="13"/>
      <c r="E4" s="89" t="s">
        <v>388</v>
      </c>
      <c r="F4" s="252">
        <f>Inicio!S6</f>
        <v>44221</v>
      </c>
      <c r="G4" s="1045"/>
      <c r="H4" s="954"/>
      <c r="I4" s="29"/>
      <c r="J4" s="697"/>
      <c r="K4" s="76"/>
      <c r="L4" s="29"/>
      <c r="M4" s="29"/>
      <c r="N4" s="29"/>
      <c r="O4" s="29"/>
      <c r="P4" s="29"/>
      <c r="Q4" s="29"/>
      <c r="R4" s="76"/>
      <c r="S4" s="29"/>
      <c r="T4" s="29"/>
      <c r="U4" s="29"/>
      <c r="V4" s="29"/>
      <c r="W4" s="29"/>
      <c r="X4" s="29"/>
      <c r="Y4" s="29"/>
      <c r="Z4" s="29"/>
      <c r="AA4" s="391"/>
      <c r="AB4" s="23"/>
      <c r="AC4" s="23"/>
      <c r="AD4" s="23"/>
      <c r="AE4" s="23"/>
      <c r="AF4" s="23"/>
      <c r="AG4" s="23"/>
      <c r="AH4" s="274"/>
      <c r="AI4" s="274"/>
      <c r="AJ4" s="29"/>
      <c r="AK4" s="29"/>
      <c r="AL4" s="29"/>
      <c r="AM4" s="29"/>
      <c r="AN4" s="250"/>
      <c r="AO4" s="79"/>
      <c r="AP4" s="1169"/>
      <c r="AQ4" s="1170"/>
      <c r="AR4" s="1170"/>
      <c r="AS4" s="1170"/>
      <c r="AT4" s="1170"/>
      <c r="AU4" s="1171"/>
      <c r="AV4" s="277"/>
      <c r="AW4" s="1"/>
    </row>
    <row r="5" spans="1:55" ht="15" thickTop="1" x14ac:dyDescent="0.3">
      <c r="B5" s="13"/>
      <c r="E5" s="882" t="s">
        <v>3500</v>
      </c>
      <c r="F5" s="885" t="s">
        <v>3499</v>
      </c>
      <c r="G5" s="1059" t="s">
        <v>927</v>
      </c>
      <c r="H5" s="955" t="s">
        <v>3501</v>
      </c>
      <c r="I5" s="883" t="s">
        <v>3506</v>
      </c>
      <c r="J5" s="113"/>
      <c r="K5" s="80"/>
      <c r="L5" s="13"/>
      <c r="M5" s="13"/>
      <c r="N5" s="13"/>
      <c r="O5" s="13"/>
      <c r="P5" s="1161" t="s">
        <v>965</v>
      </c>
      <c r="Q5" s="1161"/>
      <c r="R5" s="1161"/>
      <c r="S5" s="1161"/>
      <c r="T5" s="1162"/>
      <c r="U5" s="1175" t="s">
        <v>5496</v>
      </c>
      <c r="V5" s="1176"/>
      <c r="W5" s="1078"/>
      <c r="X5" s="13"/>
      <c r="Y5" s="1172" t="s">
        <v>1054</v>
      </c>
      <c r="Z5" s="1172"/>
      <c r="AA5" s="1173"/>
      <c r="AB5" s="1172"/>
      <c r="AC5" s="1172"/>
      <c r="AD5" s="1172"/>
      <c r="AE5" s="1172"/>
      <c r="AF5" s="1174"/>
      <c r="AG5" s="731"/>
      <c r="AH5" s="271"/>
      <c r="AI5" s="271"/>
      <c r="AJ5" s="13"/>
      <c r="AK5" s="13"/>
      <c r="AL5" s="13"/>
      <c r="AM5" s="13"/>
      <c r="AN5" s="247"/>
      <c r="AO5" s="13"/>
      <c r="AP5" s="80"/>
      <c r="AQ5" s="80"/>
      <c r="AR5" s="80"/>
      <c r="AS5" s="80"/>
      <c r="AT5" s="80"/>
      <c r="AU5" s="80"/>
      <c r="AV5" s="277"/>
      <c r="AW5" s="1"/>
    </row>
    <row r="6" spans="1:55" s="277" customFormat="1" ht="40.799999999999997" x14ac:dyDescent="0.3">
      <c r="A6" s="80"/>
      <c r="B6" s="80"/>
      <c r="C6" s="31" t="s">
        <v>1720</v>
      </c>
      <c r="D6" s="31" t="s">
        <v>2352</v>
      </c>
      <c r="E6" s="31" t="s">
        <v>0</v>
      </c>
      <c r="F6" s="31" t="s">
        <v>1</v>
      </c>
      <c r="G6" s="31" t="s">
        <v>394</v>
      </c>
      <c r="H6" s="956" t="s">
        <v>311</v>
      </c>
      <c r="I6" s="32" t="s">
        <v>386</v>
      </c>
      <c r="J6" s="32" t="s">
        <v>1946</v>
      </c>
      <c r="K6" s="32" t="s">
        <v>1532</v>
      </c>
      <c r="L6" s="32" t="s">
        <v>1846</v>
      </c>
      <c r="M6" s="33" t="s">
        <v>374</v>
      </c>
      <c r="N6" s="33" t="s">
        <v>375</v>
      </c>
      <c r="O6" s="1086" t="s">
        <v>5503</v>
      </c>
      <c r="P6" s="43" t="s">
        <v>972</v>
      </c>
      <c r="Q6" s="43" t="s">
        <v>971</v>
      </c>
      <c r="R6" s="43" t="s">
        <v>973</v>
      </c>
      <c r="S6" s="43" t="s">
        <v>5524</v>
      </c>
      <c r="T6" s="43" t="s">
        <v>1065</v>
      </c>
      <c r="U6" s="1079" t="s">
        <v>5497</v>
      </c>
      <c r="V6" s="1079" t="s">
        <v>5498</v>
      </c>
      <c r="W6" s="1081" t="s">
        <v>5499</v>
      </c>
      <c r="X6" s="33" t="s">
        <v>385</v>
      </c>
      <c r="Y6" s="32" t="s">
        <v>384</v>
      </c>
      <c r="Z6" s="32" t="s">
        <v>383</v>
      </c>
      <c r="AA6" s="1006" t="s">
        <v>1207</v>
      </c>
      <c r="AB6" s="32" t="s">
        <v>376</v>
      </c>
      <c r="AC6" s="33" t="s">
        <v>1000</v>
      </c>
      <c r="AD6" s="33" t="s">
        <v>389</v>
      </c>
      <c r="AE6" s="33" t="s">
        <v>1093</v>
      </c>
      <c r="AF6" s="33" t="s">
        <v>1056</v>
      </c>
      <c r="AG6" s="33" t="s">
        <v>2185</v>
      </c>
      <c r="AH6" s="33" t="s">
        <v>1479</v>
      </c>
      <c r="AI6" s="33" t="s">
        <v>1120</v>
      </c>
      <c r="AJ6" s="33" t="s">
        <v>1121</v>
      </c>
      <c r="AK6" s="33" t="s">
        <v>1122</v>
      </c>
      <c r="AL6" s="33" t="s">
        <v>566</v>
      </c>
      <c r="AM6" s="33" t="s">
        <v>595</v>
      </c>
      <c r="AN6" s="33" t="s">
        <v>567</v>
      </c>
      <c r="AO6" s="33" t="s">
        <v>569</v>
      </c>
      <c r="AP6" s="33" t="s">
        <v>991</v>
      </c>
      <c r="AQ6" s="33" t="s">
        <v>927</v>
      </c>
      <c r="AR6" s="33" t="s">
        <v>3507</v>
      </c>
      <c r="AS6" s="33" t="s">
        <v>1947</v>
      </c>
      <c r="AT6" s="33" t="s">
        <v>984</v>
      </c>
      <c r="AU6" s="33" t="s">
        <v>3775</v>
      </c>
      <c r="AV6" s="33" t="s">
        <v>3776</v>
      </c>
      <c r="AW6" s="33" t="s">
        <v>3718</v>
      </c>
      <c r="AX6" s="33" t="s">
        <v>4605</v>
      </c>
      <c r="AY6" s="33" t="s">
        <v>4604</v>
      </c>
      <c r="BC6" s="1"/>
    </row>
    <row r="7" spans="1:55" ht="74.25" customHeight="1" x14ac:dyDescent="0.3">
      <c r="A7" s="14">
        <v>1</v>
      </c>
      <c r="B7" s="14">
        <v>1</v>
      </c>
      <c r="C7" s="410"/>
      <c r="D7" s="410" t="str">
        <f t="shared" ref="D7:D70" si="0">K7&amp;C7</f>
        <v>2008</v>
      </c>
      <c r="E7" s="120" t="s">
        <v>92</v>
      </c>
      <c r="F7" s="120" t="s">
        <v>425</v>
      </c>
      <c r="G7" s="1046"/>
      <c r="H7" s="957" t="s">
        <v>438</v>
      </c>
      <c r="I7" s="121">
        <v>7329236109</v>
      </c>
      <c r="J7" s="121" t="s">
        <v>1087</v>
      </c>
      <c r="K7" s="122">
        <v>2008</v>
      </c>
      <c r="L7" s="519" t="s">
        <v>1087</v>
      </c>
      <c r="M7" s="123">
        <v>39724</v>
      </c>
      <c r="N7" s="123">
        <v>41673</v>
      </c>
      <c r="O7" s="1099" t="str">
        <f>IF(+Modificaciones!I7=0,"",VLOOKUP(E7,Modificaciones!$B$7:$I$2400,8,0))</f>
        <v/>
      </c>
      <c r="P7" s="115">
        <f>COUNTA(Modificaciones!J7,Modificaciones!L7,Modificaciones!N7,Modificaciones!P7)</f>
        <v>0</v>
      </c>
      <c r="Q7" s="116">
        <f>VLOOKUP(E7,Modificaciones!$B$7:$R$300,17,0)</f>
        <v>0</v>
      </c>
      <c r="R7" s="117">
        <f>COUNTA(Modificaciones!T7,Modificaciones!V7,Modificaciones!X7,Modificaciones!Z7)</f>
        <v>0</v>
      </c>
      <c r="S7" s="118" t="str">
        <f>IF(Modificaciones!AA7=0,"",VLOOKUP(E7,Modificaciones!$B$7:$AA$400,26,0))</f>
        <v/>
      </c>
      <c r="T7" s="119" t="str">
        <f>IF(Modificaciones!AB7=0,"",VLOOKUP(E7,Modificaciones!$B$7:$AB$400,27,0))</f>
        <v/>
      </c>
      <c r="U7" s="1080" t="str">
        <f>+Modificaciones!AC7</f>
        <v/>
      </c>
      <c r="V7" s="825" t="str">
        <f>+Modificaciones!AK7</f>
        <v/>
      </c>
      <c r="W7" s="825">
        <f>MAX(N7,O7,T7,V7)</f>
        <v>41673</v>
      </c>
      <c r="X7" s="59">
        <f t="shared" ref="X7:X70" si="1">I7+Q7</f>
        <v>7329236109</v>
      </c>
      <c r="Y7" s="151">
        <f>VLOOKUP(E7,Modificaciones!$B$7:$BE$300,56,0)</f>
        <v>6218260556</v>
      </c>
      <c r="Z7" s="84">
        <f t="shared" ref="Z7:Z70" si="2">X7-Y7</f>
        <v>1110975553</v>
      </c>
      <c r="AA7" s="283"/>
      <c r="AB7" s="40">
        <f t="shared" ref="AB7:AB70" si="3">(Y7*100%)/X7</f>
        <v>0.84841864329684125</v>
      </c>
      <c r="AC7" s="40">
        <f ca="1">IF((($F$3-M7)*100%/(W7-M7))&gt;100%,100%,(($F$3-M7)*100%/(W7-M7)))</f>
        <v>1</v>
      </c>
      <c r="AD7" s="41">
        <f t="shared" ref="AD7" ca="1" si="4">AC7-AB7</f>
        <v>0.15158135670315875</v>
      </c>
      <c r="AE7" s="181" t="str">
        <f ca="1">IF(AC7&lt;100%,W7-$F$3,"")</f>
        <v/>
      </c>
      <c r="AF7" s="42" t="str">
        <f t="shared" ref="AF7:AF70" si="5">IF(AB7&lt;=99.9%,"NO","SI")</f>
        <v>NO</v>
      </c>
      <c r="AG7" s="42"/>
      <c r="AH7" s="152"/>
      <c r="AI7" s="152" t="s">
        <v>1317</v>
      </c>
      <c r="AJ7" s="152"/>
      <c r="AK7" s="152" t="s">
        <v>560</v>
      </c>
      <c r="AL7" s="153"/>
      <c r="AM7" s="154"/>
      <c r="AN7" s="161" t="str">
        <f ca="1">IF(W7&gt;=$F$3,"EN EJECUCIÓN","TERMINO")</f>
        <v>TERMINO</v>
      </c>
      <c r="AO7" s="154"/>
      <c r="AP7" s="155"/>
      <c r="AQ7" s="819" t="str">
        <f>IFERROR(VLOOKUP(E7,'liquidaciones '!$B$2:$C$1048576,2,0),"NO")</f>
        <v>NO</v>
      </c>
      <c r="AR7" s="909" t="str">
        <f>IFERROR(VLOOKUP(E7,'liquidaciones '!$B$2:$I$1048576,8,0)=0,"")</f>
        <v/>
      </c>
      <c r="AS7" s="308"/>
      <c r="AT7" s="156" t="str">
        <f ca="1">IF((TODAY()-W7&lt;900),"SI","NO")</f>
        <v>NO</v>
      </c>
      <c r="AU7" s="156" t="s">
        <v>2075</v>
      </c>
      <c r="AV7" s="406"/>
      <c r="AW7" s="928"/>
      <c r="AX7" s="928"/>
      <c r="AY7" s="928"/>
      <c r="BA7" s="15"/>
      <c r="BB7" s="15"/>
      <c r="BC7" s="1" t="s">
        <v>390</v>
      </c>
    </row>
    <row r="8" spans="1:55" ht="47.25" customHeight="1" x14ac:dyDescent="0.3">
      <c r="A8" s="39">
        <v>2</v>
      </c>
      <c r="B8" s="14">
        <v>2</v>
      </c>
      <c r="C8" s="410"/>
      <c r="D8" s="410" t="str">
        <f t="shared" si="0"/>
        <v>2008</v>
      </c>
      <c r="E8" s="120" t="s">
        <v>151</v>
      </c>
      <c r="F8" s="120" t="s">
        <v>152</v>
      </c>
      <c r="G8" s="1047">
        <v>800015583</v>
      </c>
      <c r="H8" s="957" t="s">
        <v>439</v>
      </c>
      <c r="I8" s="121">
        <v>2026575001</v>
      </c>
      <c r="J8" s="121" t="s">
        <v>1087</v>
      </c>
      <c r="K8" s="122">
        <v>2008</v>
      </c>
      <c r="L8" s="519">
        <v>39808</v>
      </c>
      <c r="M8" s="124">
        <v>39904</v>
      </c>
      <c r="N8" s="124">
        <v>41486</v>
      </c>
      <c r="O8" s="1099" t="str">
        <f>IF(+Modificaciones!I8=0,"",VLOOKUP(E8,Modificaciones!$B$7:$I$2400,8,0))</f>
        <v/>
      </c>
      <c r="P8" s="115">
        <f>COUNTA(Modificaciones!J8,Modificaciones!L8,Modificaciones!N8,Modificaciones!P8)</f>
        <v>1</v>
      </c>
      <c r="Q8" s="116">
        <f>VLOOKUP(E8,Modificaciones!$B$7:$R$300,17,0)</f>
        <v>1073825676</v>
      </c>
      <c r="R8" s="117">
        <f>COUNTA(Modificaciones!T8,Modificaciones!V8,Modificaciones!X8,Modificaciones!Z8)</f>
        <v>0</v>
      </c>
      <c r="S8" s="118" t="str">
        <f>IF(Modificaciones!AA8=0,"",VLOOKUP(E8,Modificaciones!$B$7:$AA$400,26,0))</f>
        <v/>
      </c>
      <c r="T8" s="119" t="str">
        <f>IF(Modificaciones!AB8=0,"",VLOOKUP(E8,Modificaciones!$B$7:$AB$400,27,0))</f>
        <v/>
      </c>
      <c r="U8" s="1080" t="str">
        <f>+Modificaciones!AC8</f>
        <v/>
      </c>
      <c r="V8" s="825" t="str">
        <f>+Modificaciones!AK8</f>
        <v/>
      </c>
      <c r="W8" s="825">
        <f t="shared" ref="W8:W71" si="6">MAX(N8,O8,T8,V8)</f>
        <v>41486</v>
      </c>
      <c r="X8" s="58">
        <f t="shared" si="1"/>
        <v>3100400677</v>
      </c>
      <c r="Y8" s="151">
        <f>VLOOKUP(E8,Modificaciones!$B$7:$BE$300,56,0)</f>
        <v>3066561119</v>
      </c>
      <c r="Z8" s="88">
        <f t="shared" si="2"/>
        <v>33839558</v>
      </c>
      <c r="AA8" s="392"/>
      <c r="AB8" s="85">
        <f t="shared" si="3"/>
        <v>0.98908542426434254</v>
      </c>
      <c r="AC8" s="40">
        <f t="shared" ref="AC8:AC71" ca="1" si="7">IF((($F$3-M8)*100%/(W8-M8))&gt;100%,100%,(($F$3-M8)*100%/(W8-M8)))</f>
        <v>1</v>
      </c>
      <c r="AD8" s="41">
        <f t="shared" ref="AD8:AD71" ca="1" si="8">AC8-AB8</f>
        <v>1.0914575735657461E-2</v>
      </c>
      <c r="AE8" s="181" t="str">
        <f t="shared" ref="AE8:AE71" ca="1" si="9">IF(AC8&lt;100%,W8-$F$3,"")</f>
        <v/>
      </c>
      <c r="AF8" s="86" t="str">
        <f t="shared" si="5"/>
        <v>NO</v>
      </c>
      <c r="AG8" s="86"/>
      <c r="AH8" s="152" t="s">
        <v>1256</v>
      </c>
      <c r="AI8" s="157" t="s">
        <v>1462</v>
      </c>
      <c r="AJ8" s="152" t="s">
        <v>1438</v>
      </c>
      <c r="AK8" s="255" t="s">
        <v>560</v>
      </c>
      <c r="AL8" s="158"/>
      <c r="AM8" s="671" t="s">
        <v>1945</v>
      </c>
      <c r="AN8" s="161" t="str">
        <f t="shared" ref="AN8:AN71" ca="1" si="10">IF(W8&gt;=$F$3,"EN EJECUCIÓN","TERMINO")</f>
        <v>TERMINO</v>
      </c>
      <c r="AO8" s="154"/>
      <c r="AP8" s="159" t="s">
        <v>390</v>
      </c>
      <c r="AQ8" s="819" t="str">
        <f>IFERROR(VLOOKUP(E8,'liquidaciones '!$B$2:$C$1048576,2,0),"NO")</f>
        <v>LIQUIDADO</v>
      </c>
      <c r="AR8" s="909">
        <f>IFERROR(VLOOKUP(E8,'liquidaciones '!$B$2:$I$1048576,8,0),"")</f>
        <v>0</v>
      </c>
      <c r="AS8" s="309">
        <v>42149</v>
      </c>
      <c r="AT8" s="156" t="str">
        <f t="shared" ref="AT8:AT71" ca="1" si="11">IF((TODAY()-W8&lt;900),"SI","NO")</f>
        <v>NO</v>
      </c>
      <c r="AU8" s="156" t="s">
        <v>1570</v>
      </c>
      <c r="AV8" s="406"/>
      <c r="AW8" s="928"/>
      <c r="AX8" s="928"/>
      <c r="AY8" s="928"/>
      <c r="BA8" s="15"/>
      <c r="BB8" s="15"/>
      <c r="BC8" s="1" t="s">
        <v>391</v>
      </c>
    </row>
    <row r="9" spans="1:55" ht="47.25" customHeight="1" x14ac:dyDescent="0.3">
      <c r="A9" s="14">
        <v>2</v>
      </c>
      <c r="B9" s="14">
        <v>3</v>
      </c>
      <c r="C9" s="410"/>
      <c r="D9" s="410" t="str">
        <f t="shared" si="0"/>
        <v>2008</v>
      </c>
      <c r="E9" s="120" t="s">
        <v>149</v>
      </c>
      <c r="F9" s="120" t="s">
        <v>150</v>
      </c>
      <c r="G9" s="1046"/>
      <c r="H9" s="957" t="s">
        <v>1275</v>
      </c>
      <c r="I9" s="121">
        <v>2909992591</v>
      </c>
      <c r="J9" s="121" t="s">
        <v>1087</v>
      </c>
      <c r="K9" s="122">
        <v>2008</v>
      </c>
      <c r="L9" s="519" t="s">
        <v>1087</v>
      </c>
      <c r="M9" s="124">
        <v>39864</v>
      </c>
      <c r="N9" s="124">
        <v>41476</v>
      </c>
      <c r="O9" s="1099" t="str">
        <f>IF(+Modificaciones!I9=0,"",VLOOKUP(E9,Modificaciones!$B$7:$I$2400,8,0))</f>
        <v/>
      </c>
      <c r="P9" s="115">
        <f>COUNTA(Modificaciones!J9,Modificaciones!L9,Modificaciones!N9,Modificaciones!P9)</f>
        <v>0</v>
      </c>
      <c r="Q9" s="116">
        <f>VLOOKUP(E9,Modificaciones!$B$7:$R$300,17,0)</f>
        <v>0</v>
      </c>
      <c r="R9" s="117">
        <f>COUNTA(Modificaciones!T9,Modificaciones!V9,Modificaciones!X9,Modificaciones!Z9)</f>
        <v>0</v>
      </c>
      <c r="S9" s="118" t="str">
        <f>IF(Modificaciones!AA9=0,"",VLOOKUP(E9,Modificaciones!$B$7:$AA$400,26,0))</f>
        <v/>
      </c>
      <c r="T9" s="119" t="str">
        <f>IF(Modificaciones!AB9=0,"",VLOOKUP(E9,Modificaciones!$B$7:$AB$400,27,0))</f>
        <v/>
      </c>
      <c r="U9" s="1080" t="str">
        <f>+Modificaciones!AC9</f>
        <v/>
      </c>
      <c r="V9" s="825" t="str">
        <f>+Modificaciones!AK9</f>
        <v/>
      </c>
      <c r="W9" s="825">
        <f t="shared" si="6"/>
        <v>41476</v>
      </c>
      <c r="X9" s="59">
        <f t="shared" si="1"/>
        <v>2909992591</v>
      </c>
      <c r="Y9" s="151">
        <f>VLOOKUP(E9,Modificaciones!$B$7:$BE$300,56,0)</f>
        <v>13400894</v>
      </c>
      <c r="Z9" s="84">
        <f t="shared" si="2"/>
        <v>2896591697</v>
      </c>
      <c r="AA9" s="283"/>
      <c r="AB9" s="40">
        <f t="shared" si="3"/>
        <v>4.6051299379407939E-3</v>
      </c>
      <c r="AC9" s="40">
        <f t="shared" ca="1" si="7"/>
        <v>1</v>
      </c>
      <c r="AD9" s="41">
        <f t="shared" ca="1" si="8"/>
        <v>0.99539487006205918</v>
      </c>
      <c r="AE9" s="181" t="str">
        <f t="shared" ca="1" si="9"/>
        <v/>
      </c>
      <c r="AF9" s="42" t="str">
        <f t="shared" si="5"/>
        <v>NO</v>
      </c>
      <c r="AG9" s="42"/>
      <c r="AH9" s="152" t="s">
        <v>1256</v>
      </c>
      <c r="AI9" s="152" t="s">
        <v>1277</v>
      </c>
      <c r="AJ9" s="152" t="s">
        <v>1438</v>
      </c>
      <c r="AK9" s="255" t="s">
        <v>560</v>
      </c>
      <c r="AL9" s="153"/>
      <c r="AM9" s="154"/>
      <c r="AN9" s="161" t="str">
        <f t="shared" ca="1" si="10"/>
        <v>TERMINO</v>
      </c>
      <c r="AO9" s="154"/>
      <c r="AP9" s="155"/>
      <c r="AQ9" s="819" t="str">
        <f>IFERROR(VLOOKUP(E9,'liquidaciones '!$B$2:$C$1048576,2,0),"NO")</f>
        <v>NO</v>
      </c>
      <c r="AR9" s="909" t="str">
        <f>IFERROR(VLOOKUP(E9,'liquidaciones '!$B$2:$I$1048576,8,0),"")</f>
        <v/>
      </c>
      <c r="AS9" s="308"/>
      <c r="AT9" s="156" t="str">
        <f t="shared" ca="1" si="11"/>
        <v>NO</v>
      </c>
      <c r="AU9" s="156" t="s">
        <v>1570</v>
      </c>
      <c r="AV9" s="406"/>
      <c r="AW9" s="928"/>
      <c r="AX9" s="928"/>
      <c r="AY9" s="928"/>
      <c r="BA9" s="15"/>
      <c r="BB9" s="15"/>
      <c r="BC9" s="1" t="s">
        <v>590</v>
      </c>
    </row>
    <row r="10" spans="1:55" ht="47.25" customHeight="1" x14ac:dyDescent="0.3">
      <c r="A10" s="14">
        <v>2</v>
      </c>
      <c r="B10" s="14">
        <v>4</v>
      </c>
      <c r="C10" s="410"/>
      <c r="D10" s="410" t="str">
        <f t="shared" si="0"/>
        <v>2009</v>
      </c>
      <c r="E10" s="120" t="s">
        <v>180</v>
      </c>
      <c r="F10" s="120" t="s">
        <v>181</v>
      </c>
      <c r="G10" s="1046"/>
      <c r="H10" s="957" t="s">
        <v>440</v>
      </c>
      <c r="I10" s="126">
        <v>234495075</v>
      </c>
      <c r="J10" s="121" t="s">
        <v>1087</v>
      </c>
      <c r="K10" s="139">
        <v>2009</v>
      </c>
      <c r="L10" s="519" t="s">
        <v>1087</v>
      </c>
      <c r="M10" s="124">
        <v>40197</v>
      </c>
      <c r="N10" s="124">
        <v>41323</v>
      </c>
      <c r="O10" s="1099" t="str">
        <f>IF(+Modificaciones!I10=0,"",VLOOKUP(E10,Modificaciones!$B$7:$I$2400,8,0))</f>
        <v/>
      </c>
      <c r="P10" s="115">
        <f>COUNTA(Modificaciones!J10,Modificaciones!L10,Modificaciones!N10,Modificaciones!P10)</f>
        <v>0</v>
      </c>
      <c r="Q10" s="116">
        <f>VLOOKUP(E10,Modificaciones!$B$7:$R$300,17,0)</f>
        <v>0</v>
      </c>
      <c r="R10" s="117">
        <f>COUNTA(Modificaciones!T10,Modificaciones!V10,Modificaciones!X10,Modificaciones!Z10)</f>
        <v>0</v>
      </c>
      <c r="S10" s="118" t="str">
        <f>IF(Modificaciones!AA10=0,"",VLOOKUP(E10,Modificaciones!$B$7:$AA$400,26,0))</f>
        <v/>
      </c>
      <c r="T10" s="119" t="str">
        <f>IF(Modificaciones!AB10=0,"",VLOOKUP(E10,Modificaciones!$B$7:$AB$400,27,0))</f>
        <v/>
      </c>
      <c r="U10" s="1080" t="str">
        <f>+Modificaciones!AC10</f>
        <v/>
      </c>
      <c r="V10" s="825" t="str">
        <f>+Modificaciones!AK10</f>
        <v/>
      </c>
      <c r="W10" s="825">
        <f t="shared" si="6"/>
        <v>41323</v>
      </c>
      <c r="X10" s="59">
        <f t="shared" si="1"/>
        <v>234495075</v>
      </c>
      <c r="Y10" s="151">
        <f>VLOOKUP(E10,Modificaciones!$B$7:$BE$300,56,0)</f>
        <v>234495075</v>
      </c>
      <c r="Z10" s="84">
        <f t="shared" si="2"/>
        <v>0</v>
      </c>
      <c r="AA10" s="283"/>
      <c r="AB10" s="40">
        <f t="shared" si="3"/>
        <v>1</v>
      </c>
      <c r="AC10" s="40">
        <f t="shared" ca="1" si="7"/>
        <v>1</v>
      </c>
      <c r="AD10" s="41">
        <f t="shared" ca="1" si="8"/>
        <v>0</v>
      </c>
      <c r="AE10" s="181" t="str">
        <f t="shared" ca="1" si="9"/>
        <v/>
      </c>
      <c r="AF10" s="42" t="str">
        <f t="shared" si="5"/>
        <v>SI</v>
      </c>
      <c r="AG10" s="42"/>
      <c r="AH10" s="152" t="s">
        <v>1256</v>
      </c>
      <c r="AI10" s="152" t="s">
        <v>1276</v>
      </c>
      <c r="AJ10" s="152" t="s">
        <v>1438</v>
      </c>
      <c r="AK10" s="255" t="s">
        <v>560</v>
      </c>
      <c r="AL10" s="153"/>
      <c r="AM10" s="154"/>
      <c r="AN10" s="161" t="str">
        <f t="shared" ca="1" si="10"/>
        <v>TERMINO</v>
      </c>
      <c r="AO10" s="154"/>
      <c r="AP10" s="155"/>
      <c r="AQ10" s="819" t="str">
        <f>IFERROR(VLOOKUP(E10,'liquidaciones '!$B$2:$C$1048576,2,0),"NO")</f>
        <v>NO</v>
      </c>
      <c r="AR10" s="909" t="str">
        <f>IFERROR(VLOOKUP(E10,'liquidaciones '!$B$2:$I$1048576,8,0),"")</f>
        <v/>
      </c>
      <c r="AS10" s="308"/>
      <c r="AT10" s="156" t="str">
        <f t="shared" ca="1" si="11"/>
        <v>NO</v>
      </c>
      <c r="AU10" s="156" t="s">
        <v>1570</v>
      </c>
      <c r="AV10" s="406"/>
      <c r="AW10" s="928"/>
      <c r="AX10" s="928"/>
      <c r="AY10" s="928"/>
      <c r="BA10" s="15"/>
      <c r="BB10" s="15"/>
    </row>
    <row r="11" spans="1:55" ht="47.25" customHeight="1" x14ac:dyDescent="0.3">
      <c r="A11" s="14">
        <v>2</v>
      </c>
      <c r="B11" s="14">
        <v>5</v>
      </c>
      <c r="C11" s="410"/>
      <c r="D11" s="410" t="str">
        <f t="shared" si="0"/>
        <v>2009</v>
      </c>
      <c r="E11" s="120" t="s">
        <v>182</v>
      </c>
      <c r="F11" s="120" t="s">
        <v>152</v>
      </c>
      <c r="G11" s="1046">
        <v>800015583</v>
      </c>
      <c r="H11" s="957" t="s">
        <v>441</v>
      </c>
      <c r="I11" s="126">
        <v>507000000</v>
      </c>
      <c r="J11" s="121" t="s">
        <v>1087</v>
      </c>
      <c r="K11" s="122">
        <v>2009</v>
      </c>
      <c r="L11" s="519" t="s">
        <v>1087</v>
      </c>
      <c r="M11" s="124">
        <v>40150</v>
      </c>
      <c r="N11" s="124">
        <v>41336</v>
      </c>
      <c r="O11" s="1099" t="str">
        <f>IF(+Modificaciones!I11=0,"",VLOOKUP(E11,Modificaciones!$B$7:$I$2400,8,0))</f>
        <v/>
      </c>
      <c r="P11" s="115">
        <f>COUNTA(Modificaciones!J11,Modificaciones!L11,Modificaciones!N11,Modificaciones!P11)</f>
        <v>0</v>
      </c>
      <c r="Q11" s="116">
        <f>VLOOKUP(E11,Modificaciones!$B$7:$R$300,17,0)</f>
        <v>0</v>
      </c>
      <c r="R11" s="117">
        <f>COUNTA(Modificaciones!T11,Modificaciones!V11,Modificaciones!X11,Modificaciones!Z11)</f>
        <v>0</v>
      </c>
      <c r="S11" s="118" t="str">
        <f>IF(Modificaciones!AA11=0,"",VLOOKUP(E11,Modificaciones!$B$7:$AA$400,26,0))</f>
        <v/>
      </c>
      <c r="T11" s="119" t="str">
        <f>IF(Modificaciones!AB11=0,"",VLOOKUP(E11,Modificaciones!$B$7:$AB$400,27,0))</f>
        <v/>
      </c>
      <c r="U11" s="1080" t="str">
        <f>+Modificaciones!AC11</f>
        <v/>
      </c>
      <c r="V11" s="825" t="str">
        <f>+Modificaciones!AK11</f>
        <v/>
      </c>
      <c r="W11" s="825">
        <f t="shared" si="6"/>
        <v>41336</v>
      </c>
      <c r="X11" s="59">
        <f t="shared" si="1"/>
        <v>507000000</v>
      </c>
      <c r="Y11" s="151">
        <f>VLOOKUP(E11,Modificaciones!$B$7:$BE$300,56,0)</f>
        <v>471070424</v>
      </c>
      <c r="Z11" s="84">
        <f t="shared" si="2"/>
        <v>35929576</v>
      </c>
      <c r="AA11" s="283"/>
      <c r="AB11" s="40">
        <f t="shared" si="3"/>
        <v>0.92913298619329387</v>
      </c>
      <c r="AC11" s="40">
        <f t="shared" ca="1" si="7"/>
        <v>1</v>
      </c>
      <c r="AD11" s="41">
        <f t="shared" ca="1" si="8"/>
        <v>7.0867013806706125E-2</v>
      </c>
      <c r="AE11" s="181" t="str">
        <f t="shared" ca="1" si="9"/>
        <v/>
      </c>
      <c r="AF11" s="42" t="str">
        <f t="shared" si="5"/>
        <v>NO</v>
      </c>
      <c r="AG11" s="42"/>
      <c r="AH11" s="152" t="s">
        <v>1256</v>
      </c>
      <c r="AI11" s="152" t="s">
        <v>1276</v>
      </c>
      <c r="AJ11" s="152" t="s">
        <v>1438</v>
      </c>
      <c r="AK11" s="255" t="s">
        <v>560</v>
      </c>
      <c r="AL11" s="153"/>
      <c r="AM11" s="154"/>
      <c r="AN11" s="161" t="str">
        <f t="shared" ca="1" si="10"/>
        <v>TERMINO</v>
      </c>
      <c r="AO11" s="154"/>
      <c r="AP11" s="155"/>
      <c r="AQ11" s="819" t="str">
        <f>IFERROR(VLOOKUP(E11,'liquidaciones '!$B$2:$C$1048576,2,0),"NO")</f>
        <v>NO</v>
      </c>
      <c r="AR11" s="909" t="str">
        <f>IFERROR(VLOOKUP(E11,'liquidaciones '!$B$2:$I$1048576,8,0),"")</f>
        <v/>
      </c>
      <c r="AS11" s="308"/>
      <c r="AT11" s="156" t="str">
        <f t="shared" ca="1" si="11"/>
        <v>NO</v>
      </c>
      <c r="AU11" s="156" t="s">
        <v>1570</v>
      </c>
      <c r="AV11" s="406"/>
      <c r="AW11" s="928"/>
      <c r="AX11" s="928"/>
      <c r="AY11" s="928"/>
      <c r="BA11" s="15"/>
      <c r="BB11" s="15"/>
    </row>
    <row r="12" spans="1:55" ht="47.25" customHeight="1" x14ac:dyDescent="0.3">
      <c r="A12" s="14">
        <v>2</v>
      </c>
      <c r="B12" s="14">
        <v>6</v>
      </c>
      <c r="C12" s="410"/>
      <c r="D12" s="410" t="str">
        <f t="shared" si="0"/>
        <v>2011</v>
      </c>
      <c r="E12" s="120" t="s">
        <v>589</v>
      </c>
      <c r="F12" s="120" t="s">
        <v>426</v>
      </c>
      <c r="G12" s="1048">
        <v>900231022</v>
      </c>
      <c r="H12" s="957" t="s">
        <v>442</v>
      </c>
      <c r="I12" s="121">
        <v>12835200</v>
      </c>
      <c r="J12" s="821" t="s">
        <v>4066</v>
      </c>
      <c r="K12" s="122">
        <v>2011</v>
      </c>
      <c r="L12" s="519" t="s">
        <v>1087</v>
      </c>
      <c r="M12" s="124">
        <v>40966</v>
      </c>
      <c r="N12" s="124">
        <v>41332</v>
      </c>
      <c r="O12" s="1099" t="str">
        <f>IF(+Modificaciones!I12=0,"",VLOOKUP(E12,Modificaciones!$B$7:$I$2400,8,0))</f>
        <v/>
      </c>
      <c r="P12" s="115">
        <f>COUNTA(Modificaciones!J12,Modificaciones!L12,Modificaciones!N12,Modificaciones!P12)</f>
        <v>0</v>
      </c>
      <c r="Q12" s="116">
        <f>VLOOKUP(E12,Modificaciones!$B$7:$R$300,17,0)</f>
        <v>0</v>
      </c>
      <c r="R12" s="117">
        <f>COUNTA(Modificaciones!T12,Modificaciones!V12,Modificaciones!X12,Modificaciones!Z12)</f>
        <v>0</v>
      </c>
      <c r="S12" s="118" t="str">
        <f>IF(Modificaciones!AA12=0,"",VLOOKUP(E12,Modificaciones!$B$7:$AA$400,26,0))</f>
        <v/>
      </c>
      <c r="T12" s="119" t="str">
        <f>IF(Modificaciones!AB12=0,"",VLOOKUP(E12,Modificaciones!$B$7:$AB$400,27,0))</f>
        <v/>
      </c>
      <c r="U12" s="1080" t="str">
        <f>+Modificaciones!AC12</f>
        <v/>
      </c>
      <c r="V12" s="825" t="str">
        <f>+Modificaciones!AK12</f>
        <v/>
      </c>
      <c r="W12" s="825">
        <f t="shared" si="6"/>
        <v>41332</v>
      </c>
      <c r="X12" s="59">
        <f t="shared" si="1"/>
        <v>12835200</v>
      </c>
      <c r="Y12" s="151">
        <f>VLOOKUP(E12,Modificaciones!$B$7:$BE$300,56,0)</f>
        <v>1092200</v>
      </c>
      <c r="Z12" s="84">
        <f t="shared" si="2"/>
        <v>11743000</v>
      </c>
      <c r="AA12" s="283"/>
      <c r="AB12" s="40">
        <f t="shared" si="3"/>
        <v>8.5094116180503609E-2</v>
      </c>
      <c r="AC12" s="40">
        <f t="shared" ca="1" si="7"/>
        <v>1</v>
      </c>
      <c r="AD12" s="41">
        <f t="shared" ca="1" si="8"/>
        <v>0.91490588381949634</v>
      </c>
      <c r="AE12" s="181" t="str">
        <f t="shared" ca="1" si="9"/>
        <v/>
      </c>
      <c r="AF12" s="42" t="str">
        <f t="shared" si="5"/>
        <v>NO</v>
      </c>
      <c r="AG12" s="42"/>
      <c r="AH12" s="152"/>
      <c r="AI12" s="152" t="s">
        <v>1278</v>
      </c>
      <c r="AJ12" s="152"/>
      <c r="AK12" s="255" t="s">
        <v>560</v>
      </c>
      <c r="AL12" s="153"/>
      <c r="AM12" s="160"/>
      <c r="AN12" s="161" t="str">
        <f t="shared" ca="1" si="10"/>
        <v>TERMINO</v>
      </c>
      <c r="AO12" s="160" t="s">
        <v>576</v>
      </c>
      <c r="AP12" s="155" t="s">
        <v>390</v>
      </c>
      <c r="AQ12" s="819" t="str">
        <f>IFERROR(VLOOKUP(E12,'liquidaciones '!$B$2:$C$1048576,2,0),"NO")</f>
        <v>LIQUIDADO</v>
      </c>
      <c r="AR12" s="909">
        <f>IFERROR(VLOOKUP(E12,'liquidaciones '!$B$2:$I$1048576,8,0),"")</f>
        <v>0</v>
      </c>
      <c r="AS12" s="310"/>
      <c r="AT12" s="156" t="str">
        <f t="shared" ca="1" si="11"/>
        <v>NO</v>
      </c>
      <c r="AU12" s="156" t="s">
        <v>1570</v>
      </c>
      <c r="AV12" s="406"/>
      <c r="AW12" s="928"/>
      <c r="AX12" s="928"/>
      <c r="AY12" s="928"/>
      <c r="BA12" s="15"/>
      <c r="BB12" s="15"/>
    </row>
    <row r="13" spans="1:55" ht="47.25" customHeight="1" x14ac:dyDescent="0.3">
      <c r="A13" s="14">
        <v>1</v>
      </c>
      <c r="B13" s="14">
        <v>7</v>
      </c>
      <c r="C13" s="410"/>
      <c r="D13" s="410" t="str">
        <f t="shared" si="0"/>
        <v>2011</v>
      </c>
      <c r="E13" s="120" t="s">
        <v>101</v>
      </c>
      <c r="F13" s="129" t="s">
        <v>427</v>
      </c>
      <c r="G13" s="1046">
        <v>800109177</v>
      </c>
      <c r="H13" s="958" t="s">
        <v>443</v>
      </c>
      <c r="I13" s="130">
        <v>1750000</v>
      </c>
      <c r="J13" s="121" t="s">
        <v>1087</v>
      </c>
      <c r="K13" s="122">
        <v>2011</v>
      </c>
      <c r="L13" s="519" t="s">
        <v>1087</v>
      </c>
      <c r="M13" s="131">
        <v>40822</v>
      </c>
      <c r="N13" s="132">
        <v>41188</v>
      </c>
      <c r="O13" s="1099" t="str">
        <f>IF(+Modificaciones!I13=0,"",VLOOKUP(E13,Modificaciones!$B$7:$I$2400,8,0))</f>
        <v/>
      </c>
      <c r="P13" s="115">
        <f>COUNTA(Modificaciones!J13,Modificaciones!L13,Modificaciones!N13,Modificaciones!P13)</f>
        <v>1</v>
      </c>
      <c r="Q13" s="116">
        <f>VLOOKUP(E13,Modificaciones!$B$7:$R$300,17,0)</f>
        <v>875000</v>
      </c>
      <c r="R13" s="117">
        <f>COUNTA(Modificaciones!T13,Modificaciones!V13,Modificaciones!X13,Modificaciones!Z13)</f>
        <v>1</v>
      </c>
      <c r="S13" s="118" t="str">
        <f>IF(Modificaciones!AA13=0,"",VLOOKUP(E13,Modificaciones!$B$7:$AA$400,26,0))</f>
        <v>6 meses</v>
      </c>
      <c r="T13" s="119">
        <f>IF(Modificaciones!AB13=0,"",VLOOKUP(E13,Modificaciones!$B$7:$AB$400,27,0))</f>
        <v>41370</v>
      </c>
      <c r="U13" s="1080" t="str">
        <f>+Modificaciones!AC13</f>
        <v/>
      </c>
      <c r="V13" s="825" t="str">
        <f>+Modificaciones!AK13</f>
        <v/>
      </c>
      <c r="W13" s="825">
        <f t="shared" si="6"/>
        <v>41370</v>
      </c>
      <c r="X13" s="59">
        <f t="shared" si="1"/>
        <v>2625000</v>
      </c>
      <c r="Y13" s="151">
        <f>VLOOKUP(E13,Modificaciones!$B$7:$BE$300,56,0)</f>
        <v>0</v>
      </c>
      <c r="Z13" s="84">
        <f t="shared" si="2"/>
        <v>2625000</v>
      </c>
      <c r="AA13" s="283"/>
      <c r="AB13" s="40">
        <f t="shared" si="3"/>
        <v>0</v>
      </c>
      <c r="AC13" s="40">
        <f t="shared" ca="1" si="7"/>
        <v>1</v>
      </c>
      <c r="AD13" s="41">
        <f t="shared" ca="1" si="8"/>
        <v>1</v>
      </c>
      <c r="AE13" s="181" t="str">
        <f t="shared" ca="1" si="9"/>
        <v/>
      </c>
      <c r="AF13" s="42" t="str">
        <f t="shared" si="5"/>
        <v>NO</v>
      </c>
      <c r="AG13" s="42"/>
      <c r="AH13" s="152" t="s">
        <v>1255</v>
      </c>
      <c r="AI13" s="275" t="s">
        <v>1141</v>
      </c>
      <c r="AJ13" s="152" t="s">
        <v>1429</v>
      </c>
      <c r="AK13" s="255" t="s">
        <v>564</v>
      </c>
      <c r="AL13" s="153"/>
      <c r="AM13" s="154"/>
      <c r="AN13" s="161" t="str">
        <f t="shared" ca="1" si="10"/>
        <v>TERMINO</v>
      </c>
      <c r="AO13" s="160" t="s">
        <v>576</v>
      </c>
      <c r="AP13" s="155" t="s">
        <v>390</v>
      </c>
      <c r="AQ13" s="819" t="str">
        <f>IFERROR(VLOOKUP(E13,'liquidaciones '!$B$2:$C$1048576,2,0),"NO")</f>
        <v>NO</v>
      </c>
      <c r="AR13" s="909" t="str">
        <f>IFERROR(VLOOKUP(E13,'liquidaciones '!$B$2:$I$1048576,8,0),"")</f>
        <v/>
      </c>
      <c r="AS13" s="308"/>
      <c r="AT13" s="156" t="str">
        <f t="shared" ca="1" si="11"/>
        <v>NO</v>
      </c>
      <c r="AU13" s="156" t="s">
        <v>1570</v>
      </c>
      <c r="AV13" s="406"/>
      <c r="AW13" s="928"/>
      <c r="AX13" s="928"/>
      <c r="AY13" s="928"/>
      <c r="BA13" s="15"/>
      <c r="BB13" s="15"/>
    </row>
    <row r="14" spans="1:55" ht="73.5" customHeight="1" x14ac:dyDescent="0.3">
      <c r="B14" s="14">
        <v>8</v>
      </c>
      <c r="C14" s="410"/>
      <c r="D14" s="410" t="str">
        <f t="shared" si="0"/>
        <v>2011</v>
      </c>
      <c r="E14" s="120" t="s">
        <v>170</v>
      </c>
      <c r="F14" s="120" t="s">
        <v>428</v>
      </c>
      <c r="G14" s="1048">
        <v>830050919</v>
      </c>
      <c r="H14" s="957" t="s">
        <v>444</v>
      </c>
      <c r="I14" s="126">
        <v>497000000</v>
      </c>
      <c r="J14" s="121" t="s">
        <v>1087</v>
      </c>
      <c r="K14" s="122">
        <v>2011</v>
      </c>
      <c r="L14" s="519" t="s">
        <v>1087</v>
      </c>
      <c r="M14" s="124">
        <v>40746</v>
      </c>
      <c r="N14" s="124">
        <v>41112</v>
      </c>
      <c r="O14" s="1099" t="str">
        <f>IF(+Modificaciones!I14=0,"",VLOOKUP(E14,Modificaciones!$B$7:$I$2400,8,0))</f>
        <v/>
      </c>
      <c r="P14" s="115">
        <f>COUNTA(Modificaciones!J14,Modificaciones!L14,Modificaciones!N14,Modificaciones!P14)</f>
        <v>0</v>
      </c>
      <c r="Q14" s="116">
        <f>VLOOKUP(E14,Modificaciones!$B$7:$R$300,17,0)</f>
        <v>0</v>
      </c>
      <c r="R14" s="117">
        <f>COUNTA(Modificaciones!T14,Modificaciones!V14,Modificaciones!X14,Modificaciones!Z14)</f>
        <v>0</v>
      </c>
      <c r="S14" s="118" t="str">
        <f>IF(Modificaciones!AA14=0,"",VLOOKUP(E14,Modificaciones!$B$7:$AA$400,26,0))</f>
        <v/>
      </c>
      <c r="T14" s="119" t="str">
        <f>IF(Modificaciones!AB14=0,"",VLOOKUP(E14,Modificaciones!$B$7:$AB$400,27,0))</f>
        <v/>
      </c>
      <c r="U14" s="1080" t="str">
        <f>+Modificaciones!AC14</f>
        <v/>
      </c>
      <c r="V14" s="825" t="str">
        <f>+Modificaciones!AK14</f>
        <v/>
      </c>
      <c r="W14" s="825">
        <f t="shared" si="6"/>
        <v>41112</v>
      </c>
      <c r="X14" s="59">
        <f t="shared" si="1"/>
        <v>497000000</v>
      </c>
      <c r="Y14" s="151">
        <f>VLOOKUP(E14,Modificaciones!$B$7:$BE$300,56,0)</f>
        <v>495932967</v>
      </c>
      <c r="Z14" s="84">
        <f t="shared" si="2"/>
        <v>1067033</v>
      </c>
      <c r="AA14" s="283"/>
      <c r="AB14" s="40">
        <f t="shared" si="3"/>
        <v>0.99785305231388333</v>
      </c>
      <c r="AC14" s="40">
        <f t="shared" ca="1" si="7"/>
        <v>1</v>
      </c>
      <c r="AD14" s="41">
        <f t="shared" ca="1" si="8"/>
        <v>2.1469476861166736E-3</v>
      </c>
      <c r="AE14" s="181" t="str">
        <f t="shared" ca="1" si="9"/>
        <v/>
      </c>
      <c r="AF14" s="42" t="str">
        <f t="shared" si="5"/>
        <v>NO</v>
      </c>
      <c r="AG14" s="42"/>
      <c r="AH14" s="152" t="s">
        <v>1255</v>
      </c>
      <c r="AI14" s="255" t="s">
        <v>1425</v>
      </c>
      <c r="AJ14" s="152" t="s">
        <v>1434</v>
      </c>
      <c r="AK14" s="255" t="s">
        <v>560</v>
      </c>
      <c r="AL14" s="153"/>
      <c r="AM14" s="160" t="str">
        <f>VLOOKUP(E14,[1]Hoja1!$F$4:$G$48,2,0)</f>
        <v>Elbert Wisner Espitia Olaya</v>
      </c>
      <c r="AN14" s="161" t="str">
        <f t="shared" ca="1" si="10"/>
        <v>TERMINO</v>
      </c>
      <c r="AO14" s="160" t="s">
        <v>574</v>
      </c>
      <c r="AP14" s="155" t="s">
        <v>390</v>
      </c>
      <c r="AQ14" s="819" t="str">
        <f>IFERROR(VLOOKUP(E14,'liquidaciones '!$B$2:$C$1048576,2,0),"NO")</f>
        <v>NO</v>
      </c>
      <c r="AR14" s="909" t="str">
        <f>IFERROR(VLOOKUP(E14,'liquidaciones '!$B$2:$I$1048576,8,0),"")</f>
        <v/>
      </c>
      <c r="AS14" s="310"/>
      <c r="AT14" s="156" t="str">
        <f t="shared" ca="1" si="11"/>
        <v>NO</v>
      </c>
      <c r="AU14" s="156" t="s">
        <v>982</v>
      </c>
      <c r="AV14" s="406"/>
      <c r="AW14" s="928"/>
      <c r="AX14" s="928"/>
      <c r="AY14" s="928"/>
      <c r="BA14" s="15"/>
      <c r="BB14" s="15"/>
    </row>
    <row r="15" spans="1:55" ht="63.75" customHeight="1" x14ac:dyDescent="0.3">
      <c r="A15" s="14"/>
      <c r="B15" s="14">
        <v>9</v>
      </c>
      <c r="C15" s="410"/>
      <c r="D15" s="410" t="str">
        <f t="shared" si="0"/>
        <v>2011</v>
      </c>
      <c r="E15" s="120" t="s">
        <v>594</v>
      </c>
      <c r="F15" s="120" t="s">
        <v>1005</v>
      </c>
      <c r="G15" s="1048">
        <v>830040274</v>
      </c>
      <c r="H15" s="957" t="s">
        <v>363</v>
      </c>
      <c r="I15" s="126">
        <v>9425000</v>
      </c>
      <c r="J15" s="121" t="s">
        <v>1087</v>
      </c>
      <c r="K15" s="122">
        <v>2011</v>
      </c>
      <c r="L15" s="519" t="s">
        <v>1087</v>
      </c>
      <c r="M15" s="124">
        <v>40870</v>
      </c>
      <c r="N15" s="124">
        <v>41236</v>
      </c>
      <c r="O15" s="1099" t="str">
        <f>IF(+Modificaciones!I15=0,"",VLOOKUP(E15,Modificaciones!$B$7:$I$2400,8,0))</f>
        <v/>
      </c>
      <c r="P15" s="115">
        <f>COUNTA(Modificaciones!J15,Modificaciones!L15,Modificaciones!N15,Modificaciones!P15)</f>
        <v>0</v>
      </c>
      <c r="Q15" s="116">
        <f>VLOOKUP(E15,Modificaciones!$B$7:$R$300,17,0)</f>
        <v>0</v>
      </c>
      <c r="R15" s="117">
        <f>COUNTA(Modificaciones!T15,Modificaciones!V15,Modificaciones!X15,Modificaciones!Z15)</f>
        <v>1</v>
      </c>
      <c r="S15" s="118" t="str">
        <f>IF(Modificaciones!AA15=0,"",VLOOKUP(E15,Modificaciones!$B$7:$AA$400,26,0))</f>
        <v>4 meses</v>
      </c>
      <c r="T15" s="119">
        <f>IF(Modificaciones!AB15=0,"",VLOOKUP(E15,Modificaciones!$B$7:$AB$400,27,0))</f>
        <v>41356</v>
      </c>
      <c r="U15" s="1080" t="str">
        <f>+Modificaciones!AC15</f>
        <v/>
      </c>
      <c r="V15" s="825" t="str">
        <f>+Modificaciones!AK15</f>
        <v/>
      </c>
      <c r="W15" s="825">
        <f t="shared" si="6"/>
        <v>41356</v>
      </c>
      <c r="X15" s="59">
        <f t="shared" si="1"/>
        <v>9425000</v>
      </c>
      <c r="Y15" s="151">
        <f>VLOOKUP(E15,Modificaciones!$B$7:$BE$300,56,0)</f>
        <v>9425000</v>
      </c>
      <c r="Z15" s="84">
        <f t="shared" si="2"/>
        <v>0</v>
      </c>
      <c r="AA15" s="283"/>
      <c r="AB15" s="40">
        <f t="shared" si="3"/>
        <v>1</v>
      </c>
      <c r="AC15" s="40">
        <f t="shared" ca="1" si="7"/>
        <v>1</v>
      </c>
      <c r="AD15" s="41">
        <f t="shared" ca="1" si="8"/>
        <v>0</v>
      </c>
      <c r="AE15" s="181" t="str">
        <f t="shared" ca="1" si="9"/>
        <v/>
      </c>
      <c r="AF15" s="42" t="str">
        <f t="shared" si="5"/>
        <v>SI</v>
      </c>
      <c r="AG15" s="42"/>
      <c r="AH15" s="152" t="s">
        <v>1255</v>
      </c>
      <c r="AI15" s="152" t="s">
        <v>1144</v>
      </c>
      <c r="AJ15" s="152"/>
      <c r="AL15" s="153"/>
      <c r="AM15" s="160" t="s">
        <v>593</v>
      </c>
      <c r="AN15" s="161" t="str">
        <f t="shared" ca="1" si="10"/>
        <v>TERMINO</v>
      </c>
      <c r="AO15" s="160" t="s">
        <v>574</v>
      </c>
      <c r="AP15" s="155" t="s">
        <v>390</v>
      </c>
      <c r="AQ15" s="819" t="str">
        <f>IFERROR(VLOOKUP(E15,'liquidaciones '!$B$2:$C$1048576,2,0),"NO")</f>
        <v>NO</v>
      </c>
      <c r="AR15" s="909" t="str">
        <f>IFERROR(VLOOKUP(E15,'liquidaciones '!$B$2:$I$1048576,8,0),"")</f>
        <v/>
      </c>
      <c r="AS15" s="310">
        <v>42201</v>
      </c>
      <c r="AT15" s="156" t="str">
        <f t="shared" ca="1" si="11"/>
        <v>NO</v>
      </c>
      <c r="AU15" s="156" t="s">
        <v>983</v>
      </c>
      <c r="AV15" s="406"/>
      <c r="AW15" s="928"/>
      <c r="AX15" s="928"/>
      <c r="AY15" s="928"/>
      <c r="BA15" s="15"/>
      <c r="BB15" s="15"/>
    </row>
    <row r="16" spans="1:55" ht="47.25" customHeight="1" x14ac:dyDescent="0.3">
      <c r="A16" s="14">
        <v>1</v>
      </c>
      <c r="B16" s="14">
        <v>10</v>
      </c>
      <c r="C16" s="410"/>
      <c r="D16" s="410" t="str">
        <f t="shared" si="0"/>
        <v>2011</v>
      </c>
      <c r="E16" s="120" t="s">
        <v>127</v>
      </c>
      <c r="F16" s="129" t="s">
        <v>128</v>
      </c>
      <c r="G16" s="1048">
        <v>900340597</v>
      </c>
      <c r="H16" s="958" t="s">
        <v>355</v>
      </c>
      <c r="I16" s="130">
        <v>15000000</v>
      </c>
      <c r="J16" s="821" t="s">
        <v>5278</v>
      </c>
      <c r="K16" s="122">
        <v>2011</v>
      </c>
      <c r="L16" s="519" t="s">
        <v>1087</v>
      </c>
      <c r="M16" s="133">
        <v>40863</v>
      </c>
      <c r="N16" s="134">
        <v>41364</v>
      </c>
      <c r="O16" s="1099" t="str">
        <f>IF(+Modificaciones!I16=0,"",VLOOKUP(E16,Modificaciones!$B$7:$I$2400,8,0))</f>
        <v/>
      </c>
      <c r="P16" s="115">
        <f>COUNTA(Modificaciones!J16,Modificaciones!L16,Modificaciones!N16,Modificaciones!P16)</f>
        <v>1</v>
      </c>
      <c r="Q16" s="116">
        <f>VLOOKUP(E16,Modificaciones!$B$7:$R$300,17,0)</f>
        <v>7930000</v>
      </c>
      <c r="R16" s="117">
        <f>COUNTA(Modificaciones!T16,Modificaciones!V16,Modificaciones!X16,Modificaciones!Z16)</f>
        <v>0</v>
      </c>
      <c r="S16" s="118" t="str">
        <f>IF(Modificaciones!AA16=0,"",VLOOKUP(E16,Modificaciones!$B$7:$AA$400,26,0))</f>
        <v/>
      </c>
      <c r="T16" s="119" t="str">
        <f>IF(Modificaciones!AB16=0,"",VLOOKUP(E16,Modificaciones!$B$7:$AB$400,27,0))</f>
        <v/>
      </c>
      <c r="U16" s="1080" t="str">
        <f>+Modificaciones!AC16</f>
        <v/>
      </c>
      <c r="V16" s="825" t="str">
        <f>+Modificaciones!AK16</f>
        <v/>
      </c>
      <c r="W16" s="825">
        <f t="shared" si="6"/>
        <v>41364</v>
      </c>
      <c r="X16" s="59">
        <f t="shared" si="1"/>
        <v>22930000</v>
      </c>
      <c r="Y16" s="151">
        <f>VLOOKUP(E16,Modificaciones!$B$7:$BE$300,56,0)</f>
        <v>18432731</v>
      </c>
      <c r="Z16" s="84">
        <f t="shared" si="2"/>
        <v>4497269</v>
      </c>
      <c r="AA16" s="283"/>
      <c r="AB16" s="40">
        <f t="shared" si="3"/>
        <v>0.80386964675098127</v>
      </c>
      <c r="AC16" s="40">
        <f t="shared" ca="1" si="7"/>
        <v>1</v>
      </c>
      <c r="AD16" s="41">
        <f t="shared" ca="1" si="8"/>
        <v>0.19613035324901873</v>
      </c>
      <c r="AE16" s="181" t="str">
        <f t="shared" ca="1" si="9"/>
        <v/>
      </c>
      <c r="AF16" s="42" t="str">
        <f t="shared" si="5"/>
        <v>NO</v>
      </c>
      <c r="AG16" s="42"/>
      <c r="AH16" s="152"/>
      <c r="AI16" s="152" t="s">
        <v>1125</v>
      </c>
      <c r="AJ16" s="152" t="s">
        <v>1441</v>
      </c>
      <c r="AK16" s="255" t="s">
        <v>560</v>
      </c>
      <c r="AL16" s="153"/>
      <c r="AM16" s="160" t="s">
        <v>596</v>
      </c>
      <c r="AN16" s="161" t="str">
        <f t="shared" ca="1" si="10"/>
        <v>TERMINO</v>
      </c>
      <c r="AO16" s="160" t="s">
        <v>576</v>
      </c>
      <c r="AP16" s="155" t="s">
        <v>390</v>
      </c>
      <c r="AQ16" s="819" t="str">
        <f>IFERROR(VLOOKUP(E16,'liquidaciones '!$B$2:$C$1048576,2,0),"NO")</f>
        <v>LIQUIDADO</v>
      </c>
      <c r="AR16" s="909">
        <f>IFERROR(VLOOKUP(E16,'liquidaciones '!$B$2:$I$1048576,8,0),"")</f>
        <v>0</v>
      </c>
      <c r="AS16" s="310">
        <v>42094</v>
      </c>
      <c r="AT16" s="156" t="str">
        <f t="shared" ca="1" si="11"/>
        <v>NO</v>
      </c>
      <c r="AU16" s="156" t="s">
        <v>983</v>
      </c>
      <c r="AV16" s="406"/>
      <c r="AW16" s="928"/>
      <c r="AX16" s="928"/>
      <c r="AY16" s="928"/>
      <c r="BA16" s="15"/>
      <c r="BB16" s="15"/>
    </row>
    <row r="17" spans="1:54" ht="47.25" customHeight="1" x14ac:dyDescent="0.3">
      <c r="A17" s="14">
        <v>2</v>
      </c>
      <c r="B17" s="14">
        <v>11</v>
      </c>
      <c r="C17" s="410"/>
      <c r="D17" s="410" t="str">
        <f t="shared" si="0"/>
        <v>2011</v>
      </c>
      <c r="E17" s="120" t="s">
        <v>120</v>
      </c>
      <c r="F17" s="120" t="s">
        <v>429</v>
      </c>
      <c r="G17" s="1046">
        <v>860403052</v>
      </c>
      <c r="H17" s="957" t="s">
        <v>445</v>
      </c>
      <c r="I17" s="121">
        <v>15063760</v>
      </c>
      <c r="J17" s="821" t="s">
        <v>5267</v>
      </c>
      <c r="K17" s="122">
        <v>2011</v>
      </c>
      <c r="L17" s="519" t="s">
        <v>1087</v>
      </c>
      <c r="M17" s="123">
        <v>40862</v>
      </c>
      <c r="N17" s="123">
        <v>41242</v>
      </c>
      <c r="O17" s="1099" t="str">
        <f>IF(+Modificaciones!I17=0,"",VLOOKUP(E17,Modificaciones!$B$7:$I$2400,8,0))</f>
        <v/>
      </c>
      <c r="P17" s="115">
        <f>COUNTA(Modificaciones!J17,Modificaciones!L17,Modificaciones!N17,Modificaciones!P17)</f>
        <v>1</v>
      </c>
      <c r="Q17" s="116">
        <f>VLOOKUP(E17,Modificaciones!$B$7:$R$300,17,0)</f>
        <v>4981040</v>
      </c>
      <c r="R17" s="117">
        <f>COUNTA(Modificaciones!T17,Modificaciones!V17,Modificaciones!X17,Modificaciones!Z17)</f>
        <v>1</v>
      </c>
      <c r="S17" s="118" t="str">
        <f>IF(Modificaciones!AA17=0,"",VLOOKUP(E17,Modificaciones!$B$7:$AA$400,26,0))</f>
        <v/>
      </c>
      <c r="T17" s="119">
        <f>IF(Modificaciones!AB17=0,"",VLOOKUP(E17,Modificaciones!$B$7:$AB$400,27,0))</f>
        <v>41362</v>
      </c>
      <c r="U17" s="1080" t="str">
        <f>+Modificaciones!AC17</f>
        <v/>
      </c>
      <c r="V17" s="825" t="str">
        <f>+Modificaciones!AK17</f>
        <v/>
      </c>
      <c r="W17" s="825">
        <f t="shared" si="6"/>
        <v>41362</v>
      </c>
      <c r="X17" s="59">
        <f t="shared" si="1"/>
        <v>20044800</v>
      </c>
      <c r="Y17" s="151">
        <f>VLOOKUP(E17,Modificaciones!$B$7:$BE$300,56,0)</f>
        <v>20044800</v>
      </c>
      <c r="Z17" s="84">
        <f t="shared" si="2"/>
        <v>0</v>
      </c>
      <c r="AA17" s="283"/>
      <c r="AB17" s="40">
        <f t="shared" si="3"/>
        <v>1</v>
      </c>
      <c r="AC17" s="40">
        <f t="shared" ca="1" si="7"/>
        <v>1</v>
      </c>
      <c r="AD17" s="41">
        <f t="shared" ca="1" si="8"/>
        <v>0</v>
      </c>
      <c r="AE17" s="181" t="str">
        <f t="shared" ca="1" si="9"/>
        <v/>
      </c>
      <c r="AF17" s="42" t="str">
        <f t="shared" si="5"/>
        <v>SI</v>
      </c>
      <c r="AG17" s="42"/>
      <c r="AH17" s="152" t="s">
        <v>1256</v>
      </c>
      <c r="AI17" s="152" t="s">
        <v>1466</v>
      </c>
      <c r="AJ17" s="152" t="s">
        <v>1438</v>
      </c>
      <c r="AK17" s="255" t="s">
        <v>560</v>
      </c>
      <c r="AL17" s="153"/>
      <c r="AM17" s="160"/>
      <c r="AN17" s="161" t="str">
        <f t="shared" ca="1" si="10"/>
        <v>TERMINO</v>
      </c>
      <c r="AO17" s="160" t="s">
        <v>576</v>
      </c>
      <c r="AP17" s="155" t="s">
        <v>390</v>
      </c>
      <c r="AQ17" s="819" t="str">
        <f>IFERROR(VLOOKUP(E17,'liquidaciones '!$B$2:$C$1048576,2,0),"NO")</f>
        <v>LIQUIDADO</v>
      </c>
      <c r="AR17" s="909" t="str">
        <f>IFERROR(VLOOKUP(E17,'liquidaciones '!$B$2:$I$1048576,8,0),"")</f>
        <v>GIOVANNI SUAREZ</v>
      </c>
      <c r="AS17" s="310"/>
      <c r="AT17" s="156" t="str">
        <f t="shared" ca="1" si="11"/>
        <v>NO</v>
      </c>
      <c r="AU17" s="156" t="s">
        <v>983</v>
      </c>
      <c r="AV17" s="406"/>
      <c r="AW17" s="928"/>
      <c r="AX17" s="928"/>
      <c r="AY17" s="928"/>
      <c r="BA17" s="15"/>
      <c r="BB17" s="15"/>
    </row>
    <row r="18" spans="1:54" ht="47.25" customHeight="1" x14ac:dyDescent="0.3">
      <c r="A18" s="14">
        <v>1</v>
      </c>
      <c r="B18" s="14">
        <v>12</v>
      </c>
      <c r="C18" s="410"/>
      <c r="D18" s="410" t="str">
        <f t="shared" si="0"/>
        <v>2011</v>
      </c>
      <c r="E18" s="120" t="s">
        <v>112</v>
      </c>
      <c r="F18" s="129" t="s">
        <v>430</v>
      </c>
      <c r="G18" s="998">
        <v>800045609</v>
      </c>
      <c r="H18" s="958" t="s">
        <v>446</v>
      </c>
      <c r="I18" s="130">
        <v>8506800</v>
      </c>
      <c r="J18" s="821" t="s">
        <v>4067</v>
      </c>
      <c r="K18" s="122">
        <v>2011</v>
      </c>
      <c r="L18" s="519" t="s">
        <v>1087</v>
      </c>
      <c r="M18" s="131">
        <v>40865</v>
      </c>
      <c r="N18" s="132">
        <v>41231</v>
      </c>
      <c r="O18" s="1099" t="str">
        <f>IF(+Modificaciones!I18=0,"",VLOOKUP(E18,Modificaciones!$B$7:$I$2400,8,0))</f>
        <v/>
      </c>
      <c r="P18" s="115">
        <f>COUNTA(Modificaciones!J18,Modificaciones!L18,Modificaciones!N18,Modificaciones!P18)</f>
        <v>1</v>
      </c>
      <c r="Q18" s="116">
        <f>VLOOKUP(E18,Modificaciones!$B$7:$R$300,17,0)</f>
        <v>1470000</v>
      </c>
      <c r="R18" s="117">
        <f>COUNTA(Modificaciones!T18,Modificaciones!V18,Modificaciones!X18,Modificaciones!Z18)</f>
        <v>1</v>
      </c>
      <c r="S18" s="118" t="str">
        <f>IF(Modificaciones!AA18=0,"",VLOOKUP(E18,Modificaciones!$B$7:$AA$400,26,0))</f>
        <v/>
      </c>
      <c r="T18" s="119">
        <f>IF(Modificaciones!AB18=0,"",VLOOKUP(E18,Modificaciones!$B$7:$AB$400,27,0))</f>
        <v>41323</v>
      </c>
      <c r="U18" s="1080" t="str">
        <f>+Modificaciones!AC18</f>
        <v/>
      </c>
      <c r="V18" s="825" t="str">
        <f>+Modificaciones!AK18</f>
        <v/>
      </c>
      <c r="W18" s="825">
        <f t="shared" si="6"/>
        <v>41323</v>
      </c>
      <c r="X18" s="59">
        <f t="shared" si="1"/>
        <v>9976800</v>
      </c>
      <c r="Y18" s="151">
        <f>VLOOKUP(E18,Modificaciones!$B$7:$BE$300,56,0)</f>
        <v>9976596</v>
      </c>
      <c r="Z18" s="84">
        <f t="shared" si="2"/>
        <v>204</v>
      </c>
      <c r="AA18" s="283"/>
      <c r="AB18" s="40">
        <f t="shared" si="3"/>
        <v>0.99997955256194371</v>
      </c>
      <c r="AC18" s="40">
        <f t="shared" ca="1" si="7"/>
        <v>1</v>
      </c>
      <c r="AD18" s="41">
        <f t="shared" ca="1" si="8"/>
        <v>2.0447438056292455E-5</v>
      </c>
      <c r="AE18" s="181" t="str">
        <f t="shared" ca="1" si="9"/>
        <v/>
      </c>
      <c r="AF18" s="42" t="str">
        <f t="shared" si="5"/>
        <v>SI</v>
      </c>
      <c r="AG18" s="42"/>
      <c r="AH18" s="152" t="s">
        <v>1255</v>
      </c>
      <c r="AI18" s="152" t="s">
        <v>1464</v>
      </c>
      <c r="AJ18" s="152"/>
      <c r="AL18" s="153"/>
      <c r="AM18" s="160" t="s">
        <v>593</v>
      </c>
      <c r="AN18" s="161" t="str">
        <f t="shared" ca="1" si="10"/>
        <v>TERMINO</v>
      </c>
      <c r="AO18" s="160" t="s">
        <v>576</v>
      </c>
      <c r="AP18" s="155" t="s">
        <v>390</v>
      </c>
      <c r="AQ18" s="819" t="str">
        <f>IFERROR(VLOOKUP(E18,'liquidaciones '!$B$2:$C$1048576,2,0),"NO")</f>
        <v>LIQUIDADO</v>
      </c>
      <c r="AR18" s="909">
        <f>IFERROR(VLOOKUP(E18,'liquidaciones '!$B$2:$I$1048576,8,0),"")</f>
        <v>0</v>
      </c>
      <c r="AS18" s="310"/>
      <c r="AT18" s="156" t="str">
        <f t="shared" ca="1" si="11"/>
        <v>NO</v>
      </c>
      <c r="AU18" s="156" t="s">
        <v>1570</v>
      </c>
      <c r="AV18" s="406"/>
      <c r="AW18" s="928"/>
      <c r="AX18" s="928"/>
      <c r="AY18" s="928"/>
      <c r="BA18" s="15"/>
      <c r="BB18" s="15"/>
    </row>
    <row r="19" spans="1:54" ht="47.25" customHeight="1" x14ac:dyDescent="0.3">
      <c r="A19" s="14">
        <v>2</v>
      </c>
      <c r="B19" s="14">
        <v>13</v>
      </c>
      <c r="C19" s="410"/>
      <c r="D19" s="410" t="str">
        <f t="shared" si="0"/>
        <v>2011</v>
      </c>
      <c r="E19" s="120" t="s">
        <v>161</v>
      </c>
      <c r="F19" s="120" t="s">
        <v>162</v>
      </c>
      <c r="G19" s="1048">
        <v>830073623</v>
      </c>
      <c r="H19" s="957" t="s">
        <v>360</v>
      </c>
      <c r="I19" s="121">
        <v>1306508</v>
      </c>
      <c r="J19" s="821" t="s">
        <v>5683</v>
      </c>
      <c r="K19" s="122">
        <v>2011</v>
      </c>
      <c r="L19" s="519" t="s">
        <v>1087</v>
      </c>
      <c r="M19" s="124">
        <v>40891</v>
      </c>
      <c r="N19" s="124">
        <v>40922</v>
      </c>
      <c r="O19" s="1099" t="str">
        <f>IF(+Modificaciones!I19=0,"",VLOOKUP(E19,Modificaciones!$B$7:$I$2400,8,0))</f>
        <v/>
      </c>
      <c r="P19" s="115">
        <f>COUNTA(Modificaciones!J19,Modificaciones!L19,Modificaciones!N19,Modificaciones!P19)</f>
        <v>0</v>
      </c>
      <c r="Q19" s="116">
        <f>VLOOKUP(E19,Modificaciones!$B$7:$R$300,17,0)</f>
        <v>0</v>
      </c>
      <c r="R19" s="117">
        <f>COUNTA(Modificaciones!T19,Modificaciones!V19,Modificaciones!X19,Modificaciones!Z19)</f>
        <v>0</v>
      </c>
      <c r="S19" s="118" t="str">
        <f>IF(Modificaciones!AA19=0,"",VLOOKUP(E19,Modificaciones!$B$7:$AA$400,26,0))</f>
        <v/>
      </c>
      <c r="T19" s="119" t="str">
        <f>IF(Modificaciones!AB19=0,"",VLOOKUP(E19,Modificaciones!$B$7:$AB$400,27,0))</f>
        <v/>
      </c>
      <c r="U19" s="1080" t="str">
        <f>+Modificaciones!AC19</f>
        <v/>
      </c>
      <c r="V19" s="825" t="str">
        <f>+Modificaciones!AK19</f>
        <v/>
      </c>
      <c r="W19" s="825">
        <f t="shared" si="6"/>
        <v>40922</v>
      </c>
      <c r="X19" s="59">
        <f t="shared" si="1"/>
        <v>1306508</v>
      </c>
      <c r="Y19" s="151">
        <f>VLOOKUP(E19,Modificaciones!$B$7:$BE$300,56,0)</f>
        <v>1306508</v>
      </c>
      <c r="Z19" s="84">
        <f t="shared" si="2"/>
        <v>0</v>
      </c>
      <c r="AA19" s="283"/>
      <c r="AB19" s="40">
        <f t="shared" si="3"/>
        <v>1</v>
      </c>
      <c r="AC19" s="40">
        <f t="shared" ca="1" si="7"/>
        <v>1</v>
      </c>
      <c r="AD19" s="41">
        <f t="shared" ca="1" si="8"/>
        <v>0</v>
      </c>
      <c r="AE19" s="181" t="str">
        <f t="shared" ca="1" si="9"/>
        <v/>
      </c>
      <c r="AF19" s="42" t="str">
        <f t="shared" si="5"/>
        <v>SI</v>
      </c>
      <c r="AG19" s="42"/>
      <c r="AH19" s="152" t="s">
        <v>1256</v>
      </c>
      <c r="AI19" s="152" t="s">
        <v>1295</v>
      </c>
      <c r="AJ19" s="152" t="s">
        <v>1438</v>
      </c>
      <c r="AL19" s="153"/>
      <c r="AM19" s="160"/>
      <c r="AN19" s="161" t="str">
        <f t="shared" ca="1" si="10"/>
        <v>TERMINO</v>
      </c>
      <c r="AO19" s="160" t="s">
        <v>576</v>
      </c>
      <c r="AP19" s="155" t="s">
        <v>391</v>
      </c>
      <c r="AQ19" s="819" t="str">
        <f>IFERROR(VLOOKUP(E19,'liquidaciones '!$B$2:$C$1048576,2,0),"NO")</f>
        <v>NO</v>
      </c>
      <c r="AR19" s="909" t="str">
        <f>IFERROR(VLOOKUP(E19,'liquidaciones '!$B$2:$I$1048576,8,0),"")</f>
        <v/>
      </c>
      <c r="AS19" s="308"/>
      <c r="AT19" s="156" t="str">
        <f t="shared" ca="1" si="11"/>
        <v>NO</v>
      </c>
      <c r="AU19" s="156" t="s">
        <v>1570</v>
      </c>
      <c r="AV19" s="406"/>
      <c r="AW19" s="928"/>
      <c r="AX19" s="928"/>
      <c r="AY19" s="928"/>
      <c r="BA19" s="15"/>
      <c r="BB19" s="15"/>
    </row>
    <row r="20" spans="1:54" ht="47.25" customHeight="1" x14ac:dyDescent="0.3">
      <c r="A20" s="14">
        <v>1</v>
      </c>
      <c r="B20" s="14">
        <v>14</v>
      </c>
      <c r="C20" s="410"/>
      <c r="D20" s="410" t="str">
        <f t="shared" si="0"/>
        <v>2011</v>
      </c>
      <c r="E20" s="120" t="s">
        <v>5</v>
      </c>
      <c r="F20" s="129" t="s">
        <v>431</v>
      </c>
      <c r="G20" s="1046">
        <v>860053274</v>
      </c>
      <c r="H20" s="958" t="s">
        <v>312</v>
      </c>
      <c r="I20" s="130">
        <v>102786079</v>
      </c>
      <c r="J20" s="821" t="s">
        <v>5270</v>
      </c>
      <c r="K20" s="122">
        <v>2011</v>
      </c>
      <c r="L20" s="519" t="s">
        <v>1087</v>
      </c>
      <c r="M20" s="131">
        <v>40897</v>
      </c>
      <c r="N20" s="132">
        <v>41110</v>
      </c>
      <c r="O20" s="1099" t="str">
        <f>IF(+Modificaciones!I20=0,"",VLOOKUP(E20,Modificaciones!$B$7:$I$2400,8,0))</f>
        <v/>
      </c>
      <c r="P20" s="115">
        <f>COUNTA(Modificaciones!J20,Modificaciones!L20,Modificaciones!N20,Modificaciones!P20)</f>
        <v>0</v>
      </c>
      <c r="Q20" s="116">
        <f>VLOOKUP(E20,Modificaciones!$B$7:$R$300,17,0)</f>
        <v>0</v>
      </c>
      <c r="R20" s="117">
        <f>COUNTA(Modificaciones!T20,Modificaciones!V20,Modificaciones!X20,Modificaciones!Z20)</f>
        <v>1</v>
      </c>
      <c r="S20" s="118" t="str">
        <f>IF(Modificaciones!AA20=0,"",VLOOKUP(E20,Modificaciones!$B$7:$AA$400,26,0))</f>
        <v>4 meses y 10 días</v>
      </c>
      <c r="T20" s="119">
        <f>IF(Modificaciones!AB20=0,"",VLOOKUP(E20,Modificaciones!$B$7:$AB$400,27,0))</f>
        <v>41243</v>
      </c>
      <c r="U20" s="1080" t="str">
        <f>+Modificaciones!AC20</f>
        <v/>
      </c>
      <c r="V20" s="825" t="str">
        <f>+Modificaciones!AK20</f>
        <v/>
      </c>
      <c r="W20" s="825">
        <f t="shared" si="6"/>
        <v>41243</v>
      </c>
      <c r="X20" s="59">
        <f t="shared" si="1"/>
        <v>102786079</v>
      </c>
      <c r="Y20" s="151">
        <f>VLOOKUP(E20,Modificaciones!$B$7:$BE$300,56,0)</f>
        <v>84046373</v>
      </c>
      <c r="Z20" s="84">
        <f t="shared" si="2"/>
        <v>18739706</v>
      </c>
      <c r="AA20" s="283"/>
      <c r="AB20" s="40">
        <f t="shared" si="3"/>
        <v>0.81768245094746728</v>
      </c>
      <c r="AC20" s="40">
        <f t="shared" ca="1" si="7"/>
        <v>1</v>
      </c>
      <c r="AD20" s="41">
        <f t="shared" ca="1" si="8"/>
        <v>0.18231754905253272</v>
      </c>
      <c r="AE20" s="181" t="str">
        <f t="shared" ca="1" si="9"/>
        <v/>
      </c>
      <c r="AF20" s="42" t="str">
        <f t="shared" si="5"/>
        <v>NO</v>
      </c>
      <c r="AG20" s="42"/>
      <c r="AH20" s="152" t="s">
        <v>1255</v>
      </c>
      <c r="AI20" s="152" t="s">
        <v>1129</v>
      </c>
      <c r="AJ20" s="152" t="s">
        <v>1441</v>
      </c>
      <c r="AK20" s="255" t="s">
        <v>560</v>
      </c>
      <c r="AL20" s="158" t="s">
        <v>1378</v>
      </c>
      <c r="AM20" s="160" t="s">
        <v>593</v>
      </c>
      <c r="AN20" s="161" t="str">
        <f t="shared" ca="1" si="10"/>
        <v>TERMINO</v>
      </c>
      <c r="AO20" s="160" t="s">
        <v>574</v>
      </c>
      <c r="AP20" s="155" t="s">
        <v>390</v>
      </c>
      <c r="AQ20" s="819" t="str">
        <f>IFERROR(VLOOKUP(E20,'liquidaciones '!$B$2:$C$1048576,2,0),"NO")</f>
        <v>LIQUIDADO</v>
      </c>
      <c r="AR20" s="909">
        <f>IFERROR(VLOOKUP(E20,'liquidaciones '!$B$2:$I$1048576,8,0),"")</f>
        <v>0</v>
      </c>
      <c r="AS20" s="310"/>
      <c r="AT20" s="156" t="str">
        <f t="shared" ca="1" si="11"/>
        <v>NO</v>
      </c>
      <c r="AU20" s="156" t="s">
        <v>1570</v>
      </c>
      <c r="AV20" s="406"/>
      <c r="AW20" s="928"/>
      <c r="AX20" s="928"/>
      <c r="AY20" s="928"/>
      <c r="BA20" s="15"/>
      <c r="BB20" s="15"/>
    </row>
    <row r="21" spans="1:54" ht="47.25" customHeight="1" x14ac:dyDescent="0.3">
      <c r="A21" s="14">
        <v>2</v>
      </c>
      <c r="B21" s="14">
        <v>15</v>
      </c>
      <c r="C21" s="410"/>
      <c r="D21" s="410" t="str">
        <f t="shared" si="0"/>
        <v>2011</v>
      </c>
      <c r="E21" s="120" t="s">
        <v>163</v>
      </c>
      <c r="F21" s="120" t="s">
        <v>432</v>
      </c>
      <c r="G21" s="1048">
        <v>860518574</v>
      </c>
      <c r="H21" s="957" t="s">
        <v>447</v>
      </c>
      <c r="I21" s="121">
        <v>49376272</v>
      </c>
      <c r="J21" s="821" t="s">
        <v>4428</v>
      </c>
      <c r="K21" s="122">
        <v>2011</v>
      </c>
      <c r="L21" s="519" t="s">
        <v>1087</v>
      </c>
      <c r="M21" s="124">
        <v>40946</v>
      </c>
      <c r="N21" s="124">
        <v>41312</v>
      </c>
      <c r="O21" s="1099" t="str">
        <f>IF(+Modificaciones!I21=0,"",VLOOKUP(E21,Modificaciones!$B$7:$I$2400,8,0))</f>
        <v/>
      </c>
      <c r="P21" s="115">
        <f>COUNTA(Modificaciones!J21,Modificaciones!L21,Modificaciones!N21,Modificaciones!P21)</f>
        <v>0</v>
      </c>
      <c r="Q21" s="116">
        <f>VLOOKUP(E21,Modificaciones!$B$7:$R$300,17,0)</f>
        <v>0</v>
      </c>
      <c r="R21" s="117">
        <f>COUNTA(Modificaciones!T21,Modificaciones!V21,Modificaciones!X21,Modificaciones!Z21)</f>
        <v>0</v>
      </c>
      <c r="S21" s="118" t="str">
        <f>IF(Modificaciones!AA21=0,"",VLOOKUP(E21,Modificaciones!$B$7:$AA$400,26,0))</f>
        <v/>
      </c>
      <c r="T21" s="119" t="str">
        <f>IF(Modificaciones!AB21=0,"",VLOOKUP(E21,Modificaciones!$B$7:$AB$400,27,0))</f>
        <v/>
      </c>
      <c r="U21" s="1080" t="str">
        <f>+Modificaciones!AC21</f>
        <v/>
      </c>
      <c r="V21" s="825" t="str">
        <f>+Modificaciones!AK21</f>
        <v/>
      </c>
      <c r="W21" s="825">
        <f t="shared" si="6"/>
        <v>41312</v>
      </c>
      <c r="X21" s="59">
        <f t="shared" si="1"/>
        <v>49376272</v>
      </c>
      <c r="Y21" s="151">
        <f>VLOOKUP(E21,Modificaciones!$B$7:$BE$300,56,0)</f>
        <v>49376272</v>
      </c>
      <c r="Z21" s="84">
        <f t="shared" si="2"/>
        <v>0</v>
      </c>
      <c r="AA21" s="283"/>
      <c r="AB21" s="40">
        <f t="shared" si="3"/>
        <v>1</v>
      </c>
      <c r="AC21" s="40">
        <f t="shared" ca="1" si="7"/>
        <v>1</v>
      </c>
      <c r="AD21" s="41">
        <f t="shared" ca="1" si="8"/>
        <v>0</v>
      </c>
      <c r="AE21" s="181" t="str">
        <f t="shared" ca="1" si="9"/>
        <v/>
      </c>
      <c r="AF21" s="42" t="str">
        <f t="shared" si="5"/>
        <v>SI</v>
      </c>
      <c r="AG21" s="42"/>
      <c r="AH21" s="152" t="s">
        <v>1255</v>
      </c>
      <c r="AI21" s="152" t="s">
        <v>1280</v>
      </c>
      <c r="AJ21" s="152"/>
      <c r="AL21" s="153"/>
      <c r="AM21" s="160" t="s">
        <v>593</v>
      </c>
      <c r="AN21" s="161" t="str">
        <f t="shared" ca="1" si="10"/>
        <v>TERMINO</v>
      </c>
      <c r="AO21" s="160" t="s">
        <v>576</v>
      </c>
      <c r="AP21" s="155" t="s">
        <v>390</v>
      </c>
      <c r="AQ21" s="819" t="str">
        <f>IFERROR(VLOOKUP(E21,'liquidaciones '!$B$2:$C$1048576,2,0),"NO")</f>
        <v>LIQUIDADO</v>
      </c>
      <c r="AR21" s="909" t="str">
        <f>IFERROR(VLOOKUP(E21,'liquidaciones '!$B$2:$I$1048576,8,0),"")</f>
        <v>GIOVANNI SUAREZ</v>
      </c>
      <c r="AS21" s="310"/>
      <c r="AT21" s="156" t="str">
        <f t="shared" ca="1" si="11"/>
        <v>NO</v>
      </c>
      <c r="AU21" s="156" t="s">
        <v>1570</v>
      </c>
      <c r="AV21" s="406"/>
      <c r="AW21" s="928"/>
      <c r="AX21" s="928"/>
      <c r="AY21" s="928"/>
      <c r="BA21" s="15"/>
      <c r="BB21" s="15"/>
    </row>
    <row r="22" spans="1:54" ht="47.25" customHeight="1" x14ac:dyDescent="0.3">
      <c r="A22" s="14">
        <v>2</v>
      </c>
      <c r="B22" s="14">
        <v>16</v>
      </c>
      <c r="C22" s="410"/>
      <c r="D22" s="410" t="str">
        <f t="shared" si="0"/>
        <v>2012</v>
      </c>
      <c r="E22" s="120" t="s">
        <v>21</v>
      </c>
      <c r="F22" s="120" t="s">
        <v>22</v>
      </c>
      <c r="G22" s="1046">
        <v>830112518</v>
      </c>
      <c r="H22" s="957" t="s">
        <v>321</v>
      </c>
      <c r="I22" s="121">
        <v>79634000</v>
      </c>
      <c r="J22" s="821" t="s">
        <v>3991</v>
      </c>
      <c r="K22" s="135">
        <v>2012</v>
      </c>
      <c r="L22" s="519" t="s">
        <v>1087</v>
      </c>
      <c r="M22" s="124">
        <v>41087</v>
      </c>
      <c r="N22" s="124">
        <v>41452</v>
      </c>
      <c r="O22" s="1099" t="str">
        <f>IF(+Modificaciones!I22=0,"",VLOOKUP(E22,Modificaciones!$B$7:$I$2400,8,0))</f>
        <v/>
      </c>
      <c r="P22" s="115">
        <f>COUNTA(Modificaciones!J22,Modificaciones!L22,Modificaciones!N22,Modificaciones!P22)</f>
        <v>0</v>
      </c>
      <c r="Q22" s="116">
        <f>VLOOKUP(E22,Modificaciones!$B$7:$R$300,17,0)</f>
        <v>0</v>
      </c>
      <c r="R22" s="117">
        <f>COUNTA(Modificaciones!T22,Modificaciones!V22,Modificaciones!X22,Modificaciones!Z22)</f>
        <v>1</v>
      </c>
      <c r="S22" s="118" t="str">
        <f>IF(Modificaciones!AA22=0,"",VLOOKUP(E22,Modificaciones!$B$7:$AA$400,26,0))</f>
        <v>2 meses</v>
      </c>
      <c r="T22" s="119">
        <f>IF(Modificaciones!AB22=0,"",VLOOKUP(E22,Modificaciones!$B$7:$AB$400,27,0))</f>
        <v>41513</v>
      </c>
      <c r="U22" s="1080" t="str">
        <f>+Modificaciones!AC22</f>
        <v/>
      </c>
      <c r="V22" s="825" t="str">
        <f>+Modificaciones!AK22</f>
        <v/>
      </c>
      <c r="W22" s="825">
        <f t="shared" si="6"/>
        <v>41513</v>
      </c>
      <c r="X22" s="59">
        <f t="shared" si="1"/>
        <v>79634000</v>
      </c>
      <c r="Y22" s="151">
        <f>VLOOKUP(E22,Modificaciones!$B$7:$BE$300,56,0)</f>
        <v>79634000</v>
      </c>
      <c r="Z22" s="84">
        <f t="shared" si="2"/>
        <v>0</v>
      </c>
      <c r="AA22" s="283"/>
      <c r="AB22" s="40">
        <f t="shared" si="3"/>
        <v>1</v>
      </c>
      <c r="AC22" s="40">
        <f t="shared" ca="1" si="7"/>
        <v>1</v>
      </c>
      <c r="AD22" s="41">
        <f t="shared" ca="1" si="8"/>
        <v>0</v>
      </c>
      <c r="AE22" s="181" t="str">
        <f t="shared" ca="1" si="9"/>
        <v/>
      </c>
      <c r="AF22" s="42" t="str">
        <f t="shared" si="5"/>
        <v>SI</v>
      </c>
      <c r="AG22" s="42"/>
      <c r="AH22" s="152" t="s">
        <v>1256</v>
      </c>
      <c r="AI22" s="152" t="s">
        <v>1173</v>
      </c>
      <c r="AJ22" s="152" t="s">
        <v>1438</v>
      </c>
      <c r="AK22" s="255" t="s">
        <v>560</v>
      </c>
      <c r="AL22" s="153"/>
      <c r="AM22" s="160" t="s">
        <v>600</v>
      </c>
      <c r="AN22" s="161" t="str">
        <f t="shared" ca="1" si="10"/>
        <v>TERMINO</v>
      </c>
      <c r="AO22" s="160" t="s">
        <v>582</v>
      </c>
      <c r="AP22" s="155" t="s">
        <v>390</v>
      </c>
      <c r="AQ22" s="819" t="str">
        <f>IFERROR(VLOOKUP(E22,'liquidaciones '!$B$2:$C$1048576,2,0),"NO")</f>
        <v>LIQUIDADO</v>
      </c>
      <c r="AR22" s="909">
        <f>IFERROR(VLOOKUP(E22,'liquidaciones '!$B$2:$I$1048576,8,0),"")</f>
        <v>0</v>
      </c>
      <c r="AS22" s="310">
        <v>41977</v>
      </c>
      <c r="AT22" s="156" t="str">
        <f t="shared" ca="1" si="11"/>
        <v>NO</v>
      </c>
      <c r="AU22" s="156" t="s">
        <v>983</v>
      </c>
      <c r="AV22" s="406"/>
      <c r="AW22" s="928"/>
      <c r="AX22" s="928"/>
      <c r="AY22" s="928"/>
      <c r="BA22" s="15"/>
      <c r="BB22" s="15"/>
    </row>
    <row r="23" spans="1:54" ht="47.25" customHeight="1" x14ac:dyDescent="0.3">
      <c r="A23" s="14">
        <v>3</v>
      </c>
      <c r="B23" s="14">
        <v>17</v>
      </c>
      <c r="C23" s="410"/>
      <c r="D23" s="410" t="str">
        <f t="shared" si="0"/>
        <v>2012</v>
      </c>
      <c r="E23" s="120" t="s">
        <v>103</v>
      </c>
      <c r="F23" s="120" t="s">
        <v>1632</v>
      </c>
      <c r="G23" s="1046">
        <v>20546554</v>
      </c>
      <c r="H23" s="957" t="s">
        <v>448</v>
      </c>
      <c r="I23" s="121">
        <v>4206160</v>
      </c>
      <c r="J23" s="821" t="s">
        <v>4021</v>
      </c>
      <c r="K23" s="135">
        <v>2012</v>
      </c>
      <c r="L23" s="519" t="s">
        <v>1087</v>
      </c>
      <c r="M23" s="123">
        <v>41213</v>
      </c>
      <c r="N23" s="123">
        <v>41274</v>
      </c>
      <c r="O23" s="1099" t="str">
        <f>IF(+Modificaciones!I23=0,"",VLOOKUP(E23,Modificaciones!$B$7:$I$2400,8,0))</f>
        <v/>
      </c>
      <c r="P23" s="115">
        <f>COUNTA(Modificaciones!J23,Modificaciones!L23,Modificaciones!N23,Modificaciones!P23)</f>
        <v>0</v>
      </c>
      <c r="Q23" s="116">
        <f>VLOOKUP(E23,Modificaciones!$B$7:$R$300,17,0)</f>
        <v>0</v>
      </c>
      <c r="R23" s="117">
        <f>COUNTA(Modificaciones!T23,Modificaciones!V23,Modificaciones!X23,Modificaciones!Z23)</f>
        <v>0</v>
      </c>
      <c r="S23" s="118" t="str">
        <f>IF(Modificaciones!AA23=0,"",VLOOKUP(E23,Modificaciones!$B$7:$AA$400,26,0))</f>
        <v/>
      </c>
      <c r="T23" s="119" t="str">
        <f>IF(Modificaciones!AB23=0,"",VLOOKUP(E23,Modificaciones!$B$7:$AB$400,27,0))</f>
        <v/>
      </c>
      <c r="U23" s="1080" t="str">
        <f>+Modificaciones!AC23</f>
        <v/>
      </c>
      <c r="V23" s="825" t="str">
        <f>+Modificaciones!AK23</f>
        <v/>
      </c>
      <c r="W23" s="825">
        <f t="shared" si="6"/>
        <v>41274</v>
      </c>
      <c r="X23" s="59">
        <f t="shared" si="1"/>
        <v>4206160</v>
      </c>
      <c r="Y23" s="151">
        <f>VLOOKUP(E23,Modificaciones!$B$7:$BE$300,56,0)</f>
        <v>0</v>
      </c>
      <c r="Z23" s="84">
        <f t="shared" si="2"/>
        <v>4206160</v>
      </c>
      <c r="AA23" s="283"/>
      <c r="AB23" s="40">
        <f t="shared" si="3"/>
        <v>0</v>
      </c>
      <c r="AC23" s="40">
        <f t="shared" ca="1" si="7"/>
        <v>1</v>
      </c>
      <c r="AD23" s="41">
        <f t="shared" ca="1" si="8"/>
        <v>1</v>
      </c>
      <c r="AE23" s="181" t="str">
        <f t="shared" ca="1" si="9"/>
        <v/>
      </c>
      <c r="AF23" s="42" t="str">
        <f t="shared" si="5"/>
        <v>NO</v>
      </c>
      <c r="AG23" s="42"/>
      <c r="AH23" s="152" t="s">
        <v>1256</v>
      </c>
      <c r="AI23" s="152" t="s">
        <v>1295</v>
      </c>
      <c r="AJ23" s="152" t="s">
        <v>1438</v>
      </c>
      <c r="AK23" s="255" t="s">
        <v>560</v>
      </c>
      <c r="AL23" s="153"/>
      <c r="AM23" s="160" t="s">
        <v>600</v>
      </c>
      <c r="AN23" s="161" t="str">
        <f t="shared" ca="1" si="10"/>
        <v>TERMINO</v>
      </c>
      <c r="AO23" s="154" t="s">
        <v>576</v>
      </c>
      <c r="AP23" s="161" t="s">
        <v>391</v>
      </c>
      <c r="AQ23" s="819" t="str">
        <f>IFERROR(VLOOKUP(E23,'liquidaciones '!$B$2:$C$1048576,2,0),"NO")</f>
        <v>EN TRÁMITE</v>
      </c>
      <c r="AR23" s="909" t="str">
        <f>IFERROR(VLOOKUP(E23,'liquidaciones '!$B$2:$I$1048576,8,0),"")</f>
        <v>JUAN DIEGO ESPITIA</v>
      </c>
      <c r="AS23" s="395">
        <v>41270</v>
      </c>
      <c r="AT23" s="156" t="str">
        <f t="shared" ca="1" si="11"/>
        <v>NO</v>
      </c>
      <c r="AU23" s="156" t="s">
        <v>2597</v>
      </c>
      <c r="AV23" s="406"/>
      <c r="AW23" s="928"/>
      <c r="AX23" s="928"/>
      <c r="AY23" s="928"/>
      <c r="BA23" s="15"/>
      <c r="BB23" s="15"/>
    </row>
    <row r="24" spans="1:54" ht="47.25" customHeight="1" x14ac:dyDescent="0.3">
      <c r="A24" s="14">
        <v>2</v>
      </c>
      <c r="B24" s="14">
        <v>18</v>
      </c>
      <c r="C24" s="410"/>
      <c r="D24" s="410" t="str">
        <f t="shared" si="0"/>
        <v>2012</v>
      </c>
      <c r="E24" s="120" t="s">
        <v>179</v>
      </c>
      <c r="F24" s="120" t="s">
        <v>433</v>
      </c>
      <c r="G24" s="1046">
        <v>899999115</v>
      </c>
      <c r="H24" s="957" t="s">
        <v>449</v>
      </c>
      <c r="I24" s="126">
        <v>726335435</v>
      </c>
      <c r="J24" s="121" t="s">
        <v>1087</v>
      </c>
      <c r="K24" s="135">
        <v>2012</v>
      </c>
      <c r="L24" s="519" t="s">
        <v>1087</v>
      </c>
      <c r="M24" s="124">
        <v>41206</v>
      </c>
      <c r="N24" s="124">
        <v>41609</v>
      </c>
      <c r="O24" s="1099" t="str">
        <f>IF(+Modificaciones!I24=0,"",VLOOKUP(E24,Modificaciones!$B$7:$I$2400,8,0))</f>
        <v/>
      </c>
      <c r="P24" s="115">
        <f>COUNTA(Modificaciones!J24,Modificaciones!L24,Modificaciones!N24,Modificaciones!P24)</f>
        <v>0</v>
      </c>
      <c r="Q24" s="116">
        <f>VLOOKUP(E24,Modificaciones!$B$7:$R$300,17,0)</f>
        <v>0</v>
      </c>
      <c r="R24" s="117">
        <f>COUNTA(Modificaciones!T24,Modificaciones!V24,Modificaciones!X24,Modificaciones!Z24)</f>
        <v>0</v>
      </c>
      <c r="S24" s="118" t="str">
        <f>IF(Modificaciones!AA24=0,"",VLOOKUP(E24,Modificaciones!$B$7:$AA$400,26,0))</f>
        <v/>
      </c>
      <c r="T24" s="119" t="str">
        <f>IF(Modificaciones!AB24=0,"",VLOOKUP(E24,Modificaciones!$B$7:$AB$400,27,0))</f>
        <v/>
      </c>
      <c r="U24" s="1080" t="str">
        <f>+Modificaciones!AC24</f>
        <v/>
      </c>
      <c r="V24" s="825" t="str">
        <f>+Modificaciones!AK24</f>
        <v/>
      </c>
      <c r="W24" s="825">
        <f t="shared" si="6"/>
        <v>41609</v>
      </c>
      <c r="X24" s="59">
        <f t="shared" si="1"/>
        <v>726335435</v>
      </c>
      <c r="Y24" s="151">
        <f>VLOOKUP(E24,Modificaciones!$B$7:$BE$300,56,0)</f>
        <v>577978609</v>
      </c>
      <c r="Z24" s="84">
        <f t="shared" si="2"/>
        <v>148356826</v>
      </c>
      <c r="AA24" s="283"/>
      <c r="AB24" s="40">
        <f t="shared" si="3"/>
        <v>0.79574612658130883</v>
      </c>
      <c r="AC24" s="40">
        <f t="shared" ca="1" si="7"/>
        <v>1</v>
      </c>
      <c r="AD24" s="41">
        <f t="shared" ca="1" si="8"/>
        <v>0.20425387341869117</v>
      </c>
      <c r="AE24" s="181" t="str">
        <f t="shared" ca="1" si="9"/>
        <v/>
      </c>
      <c r="AF24" s="42" t="str">
        <f t="shared" si="5"/>
        <v>NO</v>
      </c>
      <c r="AG24" s="42"/>
      <c r="AH24" s="152" t="s">
        <v>1256</v>
      </c>
      <c r="AI24" s="152" t="s">
        <v>1128</v>
      </c>
      <c r="AJ24" s="152"/>
      <c r="AL24" s="153"/>
      <c r="AM24" s="160" t="s">
        <v>1006</v>
      </c>
      <c r="AN24" s="161" t="str">
        <f t="shared" ca="1" si="10"/>
        <v>TERMINO</v>
      </c>
      <c r="AO24" s="160" t="s">
        <v>582</v>
      </c>
      <c r="AP24" s="155" t="s">
        <v>390</v>
      </c>
      <c r="AQ24" s="819" t="str">
        <f>IFERROR(VLOOKUP(E24,'liquidaciones '!$B$2:$C$1048576,2,0),"NO")</f>
        <v>NO</v>
      </c>
      <c r="AR24" s="909" t="str">
        <f>IFERROR(VLOOKUP(E24,'liquidaciones '!$B$2:$I$1048576,8,0),"")</f>
        <v/>
      </c>
      <c r="AS24" s="310"/>
      <c r="AT24" s="156" t="str">
        <f t="shared" ca="1" si="11"/>
        <v>NO</v>
      </c>
      <c r="AU24" s="156" t="s">
        <v>1570</v>
      </c>
      <c r="AV24" s="406"/>
      <c r="AW24" s="928"/>
      <c r="AX24" s="928"/>
      <c r="AY24" s="928"/>
      <c r="BA24" s="15"/>
      <c r="BB24" s="15"/>
    </row>
    <row r="25" spans="1:54" ht="47.25" customHeight="1" x14ac:dyDescent="0.3">
      <c r="A25" s="14">
        <v>1</v>
      </c>
      <c r="B25" s="14">
        <v>19</v>
      </c>
      <c r="C25" s="410"/>
      <c r="D25" s="410" t="str">
        <f t="shared" si="0"/>
        <v>2012</v>
      </c>
      <c r="E25" s="120" t="s">
        <v>56</v>
      </c>
      <c r="F25" s="120" t="s">
        <v>57</v>
      </c>
      <c r="G25" s="1046">
        <v>860026518</v>
      </c>
      <c r="H25" s="957" t="s">
        <v>335</v>
      </c>
      <c r="I25" s="121">
        <v>48720000</v>
      </c>
      <c r="J25" s="821" t="s">
        <v>5682</v>
      </c>
      <c r="K25" s="135">
        <v>2012</v>
      </c>
      <c r="L25" s="519" t="s">
        <v>1087</v>
      </c>
      <c r="M25" s="123">
        <v>41025</v>
      </c>
      <c r="N25" s="123">
        <v>41455</v>
      </c>
      <c r="O25" s="1099" t="str">
        <f>IF(+Modificaciones!I25=0,"",VLOOKUP(E25,Modificaciones!$B$7:$I$2400,8,0))</f>
        <v/>
      </c>
      <c r="P25" s="115">
        <f>COUNTA(Modificaciones!J25,Modificaciones!L25,Modificaciones!N25,Modificaciones!P25)</f>
        <v>3</v>
      </c>
      <c r="Q25" s="116">
        <f>VLOOKUP(E25,Modificaciones!$B$7:$R$300,17,0)</f>
        <v>22376157</v>
      </c>
      <c r="R25" s="117">
        <f>COUNTA(Modificaciones!T25,Modificaciones!V25,Modificaciones!X25,Modificaciones!Z25)</f>
        <v>2</v>
      </c>
      <c r="S25" s="118" t="str">
        <f>IF(Modificaciones!AA25=0,"",VLOOKUP(E25,Modificaciones!$B$7:$AA$400,26,0))</f>
        <v>5 meses y 15 días</v>
      </c>
      <c r="T25" s="119">
        <f>IF(Modificaciones!AB25=0,"",VLOOKUP(E25,Modificaciones!$B$7:$AB$400,27,0))</f>
        <v>41623</v>
      </c>
      <c r="U25" s="1080" t="str">
        <f>+Modificaciones!AC25</f>
        <v/>
      </c>
      <c r="V25" s="825" t="str">
        <f>+Modificaciones!AK25</f>
        <v/>
      </c>
      <c r="W25" s="825">
        <f t="shared" si="6"/>
        <v>41623</v>
      </c>
      <c r="X25" s="59">
        <f t="shared" si="1"/>
        <v>71096157</v>
      </c>
      <c r="Y25" s="151">
        <f>VLOOKUP(E25,Modificaciones!$B$7:$BE$300,56,0)</f>
        <v>71096157</v>
      </c>
      <c r="Z25" s="84">
        <f t="shared" si="2"/>
        <v>0</v>
      </c>
      <c r="AA25" s="283"/>
      <c r="AB25" s="40">
        <f t="shared" si="3"/>
        <v>1</v>
      </c>
      <c r="AC25" s="40">
        <f t="shared" ca="1" si="7"/>
        <v>1</v>
      </c>
      <c r="AD25" s="41">
        <f t="shared" ca="1" si="8"/>
        <v>0</v>
      </c>
      <c r="AE25" s="181" t="str">
        <f t="shared" ca="1" si="9"/>
        <v/>
      </c>
      <c r="AF25" s="42" t="str">
        <f t="shared" si="5"/>
        <v>SI</v>
      </c>
      <c r="AG25" s="42"/>
      <c r="AH25" s="152" t="s">
        <v>1255</v>
      </c>
      <c r="AI25" s="152" t="s">
        <v>1512</v>
      </c>
      <c r="AJ25" s="152"/>
      <c r="AL25" s="153"/>
      <c r="AM25" s="160" t="s">
        <v>600</v>
      </c>
      <c r="AN25" s="161" t="str">
        <f t="shared" ca="1" si="10"/>
        <v>TERMINO</v>
      </c>
      <c r="AO25" s="160" t="s">
        <v>576</v>
      </c>
      <c r="AP25" s="155" t="s">
        <v>390</v>
      </c>
      <c r="AQ25" s="819" t="str">
        <f>IFERROR(VLOOKUP(E25,'liquidaciones '!$B$2:$C$1048576,2,0),"NO")</f>
        <v>NO</v>
      </c>
      <c r="AR25" s="909" t="str">
        <f>IFERROR(VLOOKUP(E25,'liquidaciones '!$B$2:$I$1048576,8,0),"")</f>
        <v/>
      </c>
      <c r="AS25" s="310"/>
      <c r="AT25" s="156" t="str">
        <f t="shared" ca="1" si="11"/>
        <v>NO</v>
      </c>
      <c r="AU25" s="156" t="s">
        <v>1570</v>
      </c>
      <c r="AV25" s="406"/>
      <c r="AW25" s="928"/>
      <c r="AX25" s="928"/>
      <c r="AY25" s="928"/>
      <c r="BA25" s="15"/>
      <c r="BB25" s="15"/>
    </row>
    <row r="26" spans="1:54" ht="47.25" customHeight="1" x14ac:dyDescent="0.3">
      <c r="A26" s="14">
        <v>1</v>
      </c>
      <c r="B26" s="14">
        <v>20</v>
      </c>
      <c r="C26" s="410"/>
      <c r="D26" s="410" t="str">
        <f t="shared" si="0"/>
        <v>2012</v>
      </c>
      <c r="E26" s="120" t="s">
        <v>19</v>
      </c>
      <c r="F26" s="129" t="s">
        <v>20</v>
      </c>
      <c r="G26" s="1046">
        <v>860025639</v>
      </c>
      <c r="H26" s="958" t="s">
        <v>320</v>
      </c>
      <c r="I26" s="130">
        <v>11587500</v>
      </c>
      <c r="J26" s="821" t="s">
        <v>5681</v>
      </c>
      <c r="K26" s="135">
        <v>2012</v>
      </c>
      <c r="L26" s="519" t="s">
        <v>1087</v>
      </c>
      <c r="M26" s="133">
        <v>41074</v>
      </c>
      <c r="N26" s="134">
        <v>41347</v>
      </c>
      <c r="O26" s="1099" t="str">
        <f>IF(+Modificaciones!I26=0,"",VLOOKUP(E26,Modificaciones!$B$7:$I$2400,8,0))</f>
        <v/>
      </c>
      <c r="P26" s="115">
        <f>COUNTA(Modificaciones!J26,Modificaciones!L26,Modificaciones!N26,Modificaciones!P26)</f>
        <v>0</v>
      </c>
      <c r="Q26" s="116">
        <f>VLOOKUP(E26,Modificaciones!$B$7:$R$300,17,0)</f>
        <v>0</v>
      </c>
      <c r="R26" s="117">
        <f>COUNTA(Modificaciones!T26,Modificaciones!V26,Modificaciones!X26,Modificaciones!Z26)</f>
        <v>0</v>
      </c>
      <c r="S26" s="118" t="str">
        <f>IF(Modificaciones!AA26=0,"",VLOOKUP(E26,Modificaciones!$B$7:$AA$400,26,0))</f>
        <v/>
      </c>
      <c r="T26" s="119" t="str">
        <f>IF(Modificaciones!AB26=0,"",VLOOKUP(E26,Modificaciones!$B$7:$AB$400,27,0))</f>
        <v/>
      </c>
      <c r="U26" s="1080" t="str">
        <f>+Modificaciones!AC26</f>
        <v/>
      </c>
      <c r="V26" s="825" t="str">
        <f>+Modificaciones!AK26</f>
        <v/>
      </c>
      <c r="W26" s="825">
        <f t="shared" si="6"/>
        <v>41347</v>
      </c>
      <c r="X26" s="59">
        <f t="shared" si="1"/>
        <v>11587500</v>
      </c>
      <c r="Y26" s="151">
        <f>VLOOKUP(E26,Modificaciones!$B$7:$BE$300,56,0)</f>
        <v>10316808</v>
      </c>
      <c r="Z26" s="84">
        <f t="shared" si="2"/>
        <v>1270692</v>
      </c>
      <c r="AA26" s="283"/>
      <c r="AB26" s="40">
        <f t="shared" si="3"/>
        <v>0.8903394174757282</v>
      </c>
      <c r="AC26" s="40">
        <f t="shared" ca="1" si="7"/>
        <v>1</v>
      </c>
      <c r="AD26" s="41">
        <f t="shared" ca="1" si="8"/>
        <v>0.1096605825242718</v>
      </c>
      <c r="AE26" s="181" t="str">
        <f t="shared" ca="1" si="9"/>
        <v/>
      </c>
      <c r="AF26" s="42" t="str">
        <f t="shared" si="5"/>
        <v>NO</v>
      </c>
      <c r="AG26" s="42"/>
      <c r="AH26" s="152" t="s">
        <v>1255</v>
      </c>
      <c r="AI26" s="152" t="s">
        <v>1169</v>
      </c>
      <c r="AJ26" s="152" t="s">
        <v>1441</v>
      </c>
      <c r="AK26" s="255" t="s">
        <v>560</v>
      </c>
      <c r="AL26" s="153"/>
      <c r="AM26" s="160" t="s">
        <v>600</v>
      </c>
      <c r="AN26" s="161" t="str">
        <f t="shared" ca="1" si="10"/>
        <v>TERMINO</v>
      </c>
      <c r="AO26" s="160" t="s">
        <v>582</v>
      </c>
      <c r="AP26" s="155" t="s">
        <v>390</v>
      </c>
      <c r="AQ26" s="819" t="str">
        <f>IFERROR(VLOOKUP(E26,'liquidaciones '!$B$2:$C$1048576,2,0),"NO")</f>
        <v>NO</v>
      </c>
      <c r="AR26" s="909" t="str">
        <f>IFERROR(VLOOKUP(E26,'liquidaciones '!$B$2:$I$1048576,8,0),"")</f>
        <v/>
      </c>
      <c r="AS26" s="310"/>
      <c r="AT26" s="156" t="str">
        <f t="shared" ca="1" si="11"/>
        <v>NO</v>
      </c>
      <c r="AU26" s="156" t="s">
        <v>1570</v>
      </c>
      <c r="AV26" s="406"/>
      <c r="AW26" s="928"/>
      <c r="AX26" s="928"/>
      <c r="AY26" s="928"/>
      <c r="BA26" s="15"/>
      <c r="BB26" s="15"/>
    </row>
    <row r="27" spans="1:54" ht="47.25" customHeight="1" x14ac:dyDescent="0.3">
      <c r="A27" s="14">
        <v>1</v>
      </c>
      <c r="B27" s="14">
        <v>21</v>
      </c>
      <c r="C27" s="410"/>
      <c r="D27" s="410" t="str">
        <f t="shared" si="0"/>
        <v>2012</v>
      </c>
      <c r="E27" s="120" t="s">
        <v>399</v>
      </c>
      <c r="F27" s="120" t="s">
        <v>424</v>
      </c>
      <c r="G27" s="1046">
        <v>900281089</v>
      </c>
      <c r="H27" s="957" t="s">
        <v>322</v>
      </c>
      <c r="I27" s="121">
        <v>4452000</v>
      </c>
      <c r="J27" s="821" t="s">
        <v>4296</v>
      </c>
      <c r="K27" s="135">
        <v>2012</v>
      </c>
      <c r="L27" s="519" t="s">
        <v>1087</v>
      </c>
      <c r="M27" s="124">
        <v>41235</v>
      </c>
      <c r="N27" s="124">
        <v>41278</v>
      </c>
      <c r="O27" s="1099" t="str">
        <f>IF(+Modificaciones!I27=0,"",VLOOKUP(E27,Modificaciones!$B$7:$I$2400,8,0))</f>
        <v/>
      </c>
      <c r="P27" s="115">
        <f>COUNTA(Modificaciones!J27,Modificaciones!L27,Modificaciones!N27,Modificaciones!P27)</f>
        <v>0</v>
      </c>
      <c r="Q27" s="116">
        <f>VLOOKUP(E27,Modificaciones!$B$7:$R$300,17,0)</f>
        <v>0</v>
      </c>
      <c r="R27" s="117">
        <f>COUNTA(Modificaciones!T27,Modificaciones!V27,Modificaciones!X27,Modificaciones!Z27)</f>
        <v>0</v>
      </c>
      <c r="S27" s="118" t="str">
        <f>IF(Modificaciones!AA27=0,"",VLOOKUP(E27,Modificaciones!$B$7:$AA$400,26,0))</f>
        <v/>
      </c>
      <c r="T27" s="119" t="str">
        <f>IF(Modificaciones!AB27=0,"",VLOOKUP(E27,Modificaciones!$B$7:$AB$400,27,0))</f>
        <v/>
      </c>
      <c r="U27" s="1080" t="str">
        <f>+Modificaciones!AC27</f>
        <v/>
      </c>
      <c r="V27" s="825" t="str">
        <f>+Modificaciones!AK27</f>
        <v/>
      </c>
      <c r="W27" s="825">
        <f t="shared" si="6"/>
        <v>41278</v>
      </c>
      <c r="X27" s="59">
        <f t="shared" si="1"/>
        <v>4452000</v>
      </c>
      <c r="Y27" s="151">
        <f>VLOOKUP(E27,Modificaciones!$B$7:$BE$300,56,0)</f>
        <v>4452000</v>
      </c>
      <c r="Z27" s="84">
        <f t="shared" si="2"/>
        <v>0</v>
      </c>
      <c r="AA27" s="283"/>
      <c r="AB27" s="40">
        <f t="shared" si="3"/>
        <v>1</v>
      </c>
      <c r="AC27" s="40">
        <f t="shared" ca="1" si="7"/>
        <v>1</v>
      </c>
      <c r="AD27" s="41">
        <f t="shared" ca="1" si="8"/>
        <v>0</v>
      </c>
      <c r="AE27" s="181" t="str">
        <f t="shared" ca="1" si="9"/>
        <v/>
      </c>
      <c r="AF27" s="42" t="str">
        <f t="shared" si="5"/>
        <v>SI</v>
      </c>
      <c r="AG27" s="42"/>
      <c r="AH27" s="152" t="s">
        <v>1255</v>
      </c>
      <c r="AI27" s="152" t="s">
        <v>1281</v>
      </c>
      <c r="AJ27" s="152"/>
      <c r="AL27" s="153"/>
      <c r="AM27" s="160" t="s">
        <v>600</v>
      </c>
      <c r="AN27" s="161" t="str">
        <f t="shared" ca="1" si="10"/>
        <v>TERMINO</v>
      </c>
      <c r="AO27" s="160" t="s">
        <v>576</v>
      </c>
      <c r="AP27" s="155" t="s">
        <v>390</v>
      </c>
      <c r="AQ27" s="819" t="str">
        <f>IFERROR(VLOOKUP(E27,'liquidaciones '!$B$2:$C$1048576,2,0),"NO")</f>
        <v>LIQUIDADO</v>
      </c>
      <c r="AR27" s="909" t="str">
        <f>IFERROR(VLOOKUP(E27,'liquidaciones '!$B$2:$I$1048576,8,0),"")</f>
        <v>LEIDY RIVERA</v>
      </c>
      <c r="AS27" s="310"/>
      <c r="AT27" s="156" t="str">
        <f t="shared" ca="1" si="11"/>
        <v>NO</v>
      </c>
      <c r="AU27" s="156" t="s">
        <v>1570</v>
      </c>
      <c r="AV27" s="406"/>
      <c r="AW27" s="928"/>
      <c r="AX27" s="928"/>
      <c r="AY27" s="928"/>
      <c r="BA27" s="15"/>
      <c r="BB27" s="15"/>
    </row>
    <row r="28" spans="1:54" ht="47.25" customHeight="1" x14ac:dyDescent="0.3">
      <c r="A28" s="14">
        <v>1</v>
      </c>
      <c r="B28" s="14">
        <v>22</v>
      </c>
      <c r="C28" s="410"/>
      <c r="D28" s="410" t="str">
        <f t="shared" si="0"/>
        <v>2012</v>
      </c>
      <c r="E28" s="120" t="s">
        <v>23</v>
      </c>
      <c r="F28" s="120" t="s">
        <v>27</v>
      </c>
      <c r="G28" s="1046">
        <v>860009759</v>
      </c>
      <c r="H28" s="957" t="s">
        <v>450</v>
      </c>
      <c r="I28" s="121">
        <v>849000</v>
      </c>
      <c r="J28" s="821" t="s">
        <v>5680</v>
      </c>
      <c r="K28" s="135">
        <v>2012</v>
      </c>
      <c r="L28" s="519" t="s">
        <v>1087</v>
      </c>
      <c r="M28" s="123">
        <v>41044</v>
      </c>
      <c r="N28" s="123">
        <v>41409</v>
      </c>
      <c r="O28" s="1099" t="str">
        <f>IF(+Modificaciones!I28=0,"",VLOOKUP(E28,Modificaciones!$B$7:$I$2400,8,0))</f>
        <v/>
      </c>
      <c r="P28" s="115">
        <f>COUNTA(Modificaciones!J28,Modificaciones!L28,Modificaciones!N28,Modificaciones!P28)</f>
        <v>0</v>
      </c>
      <c r="Q28" s="116">
        <f>VLOOKUP(E28,Modificaciones!$B$7:$R$300,17,0)</f>
        <v>0</v>
      </c>
      <c r="R28" s="117">
        <f>COUNTA(Modificaciones!T28,Modificaciones!V28,Modificaciones!X28,Modificaciones!Z28)</f>
        <v>0</v>
      </c>
      <c r="S28" s="118" t="str">
        <f>IF(Modificaciones!AA28=0,"",VLOOKUP(E28,Modificaciones!$B$7:$AA$400,26,0))</f>
        <v/>
      </c>
      <c r="T28" s="119" t="str">
        <f>IF(Modificaciones!AB28=0,"",VLOOKUP(E28,Modificaciones!$B$7:$AB$400,27,0))</f>
        <v/>
      </c>
      <c r="U28" s="1080" t="str">
        <f>+Modificaciones!AC28</f>
        <v/>
      </c>
      <c r="V28" s="825" t="str">
        <f>+Modificaciones!AK28</f>
        <v/>
      </c>
      <c r="W28" s="825">
        <f t="shared" si="6"/>
        <v>41409</v>
      </c>
      <c r="X28" s="59">
        <f t="shared" si="1"/>
        <v>849000</v>
      </c>
      <c r="Y28" s="151">
        <f>VLOOKUP(E28,Modificaciones!$B$7:$BE$300,56,0)</f>
        <v>849000</v>
      </c>
      <c r="Z28" s="84">
        <f t="shared" si="2"/>
        <v>0</v>
      </c>
      <c r="AA28" s="283"/>
      <c r="AB28" s="40">
        <f t="shared" si="3"/>
        <v>1</v>
      </c>
      <c r="AC28" s="40">
        <f t="shared" ca="1" si="7"/>
        <v>1</v>
      </c>
      <c r="AD28" s="41">
        <f t="shared" ca="1" si="8"/>
        <v>0</v>
      </c>
      <c r="AE28" s="181" t="str">
        <f t="shared" ca="1" si="9"/>
        <v/>
      </c>
      <c r="AF28" s="42" t="str">
        <f t="shared" si="5"/>
        <v>SI</v>
      </c>
      <c r="AG28" s="42"/>
      <c r="AH28" s="152" t="s">
        <v>1255</v>
      </c>
      <c r="AI28" s="152" t="s">
        <v>1124</v>
      </c>
      <c r="AJ28" s="152"/>
      <c r="AL28" s="153"/>
      <c r="AM28" s="160" t="s">
        <v>901</v>
      </c>
      <c r="AN28" s="161" t="str">
        <f t="shared" ca="1" si="10"/>
        <v>TERMINO</v>
      </c>
      <c r="AO28" s="160" t="s">
        <v>582</v>
      </c>
      <c r="AP28" s="155" t="s">
        <v>390</v>
      </c>
      <c r="AQ28" s="819" t="str">
        <f>IFERROR(VLOOKUP(E28,'liquidaciones '!$B$2:$C$1048576,2,0),"NO")</f>
        <v>LIQUIDADO</v>
      </c>
      <c r="AR28" s="909">
        <f>IFERROR(VLOOKUP(E28,'liquidaciones '!$B$2:$I$1048576,8,0),"")</f>
        <v>0</v>
      </c>
      <c r="AS28" s="308">
        <v>41652</v>
      </c>
      <c r="AT28" s="156" t="str">
        <f t="shared" ca="1" si="11"/>
        <v>NO</v>
      </c>
      <c r="AU28" s="156" t="s">
        <v>1509</v>
      </c>
      <c r="AV28" s="406"/>
      <c r="AW28" s="928"/>
      <c r="AX28" s="928"/>
      <c r="AY28" s="928"/>
      <c r="BA28" s="15"/>
      <c r="BB28" s="15"/>
    </row>
    <row r="29" spans="1:54" ht="47.25" customHeight="1" x14ac:dyDescent="0.3">
      <c r="A29" s="14">
        <v>1</v>
      </c>
      <c r="B29" s="14">
        <v>23</v>
      </c>
      <c r="C29" s="410"/>
      <c r="D29" s="410" t="str">
        <f t="shared" si="0"/>
        <v>2012</v>
      </c>
      <c r="E29" s="120" t="s">
        <v>113</v>
      </c>
      <c r="F29" s="120" t="s">
        <v>434</v>
      </c>
      <c r="G29" s="1046">
        <v>830107673</v>
      </c>
      <c r="H29" s="959" t="s">
        <v>1370</v>
      </c>
      <c r="I29" s="121">
        <v>7192000</v>
      </c>
      <c r="J29" s="121" t="s">
        <v>1087</v>
      </c>
      <c r="K29" s="135">
        <v>2012</v>
      </c>
      <c r="L29" s="519" t="s">
        <v>1087</v>
      </c>
      <c r="M29" s="123">
        <v>41089</v>
      </c>
      <c r="N29" s="123">
        <v>41333</v>
      </c>
      <c r="O29" s="1099" t="str">
        <f>IF(+Modificaciones!I29=0,"",VLOOKUP(E29,Modificaciones!$B$7:$I$2400,8,0))</f>
        <v/>
      </c>
      <c r="P29" s="115">
        <f>COUNTA(Modificaciones!J29,Modificaciones!L29,Modificaciones!N29,Modificaciones!P29)</f>
        <v>0</v>
      </c>
      <c r="Q29" s="116">
        <f>VLOOKUP(E29,Modificaciones!$B$7:$R$300,17,0)</f>
        <v>0</v>
      </c>
      <c r="R29" s="117">
        <f>COUNTA(Modificaciones!T29,Modificaciones!V29,Modificaciones!X29,Modificaciones!Z29)</f>
        <v>0</v>
      </c>
      <c r="S29" s="118" t="str">
        <f>IF(Modificaciones!AA29=0,"",VLOOKUP(E29,Modificaciones!$B$7:$AA$400,26,0))</f>
        <v/>
      </c>
      <c r="T29" s="119" t="str">
        <f>IF(Modificaciones!AB29=0,"",VLOOKUP(E29,Modificaciones!$B$7:$AB$400,27,0))</f>
        <v/>
      </c>
      <c r="U29" s="1080" t="str">
        <f>+Modificaciones!AC29</f>
        <v/>
      </c>
      <c r="V29" s="825" t="str">
        <f>+Modificaciones!AK29</f>
        <v/>
      </c>
      <c r="W29" s="825">
        <f t="shared" si="6"/>
        <v>41333</v>
      </c>
      <c r="X29" s="59">
        <f t="shared" si="1"/>
        <v>7192000</v>
      </c>
      <c r="Y29" s="151">
        <f>VLOOKUP(E29,Modificaciones!$B$7:$BE$300,56,0)</f>
        <v>7192000</v>
      </c>
      <c r="Z29" s="84">
        <f t="shared" si="2"/>
        <v>0</v>
      </c>
      <c r="AA29" s="283"/>
      <c r="AB29" s="40">
        <f t="shared" si="3"/>
        <v>1</v>
      </c>
      <c r="AC29" s="40">
        <f t="shared" ca="1" si="7"/>
        <v>1</v>
      </c>
      <c r="AD29" s="41">
        <f t="shared" ca="1" si="8"/>
        <v>0</v>
      </c>
      <c r="AE29" s="181" t="str">
        <f t="shared" ca="1" si="9"/>
        <v/>
      </c>
      <c r="AF29" s="42" t="str">
        <f t="shared" si="5"/>
        <v>SI</v>
      </c>
      <c r="AG29" s="42"/>
      <c r="AH29" s="152" t="s">
        <v>1255</v>
      </c>
      <c r="AI29" s="152" t="s">
        <v>1467</v>
      </c>
      <c r="AJ29" s="152"/>
      <c r="AL29" s="153"/>
      <c r="AM29" s="160" t="s">
        <v>600</v>
      </c>
      <c r="AN29" s="161" t="str">
        <f t="shared" ca="1" si="10"/>
        <v>TERMINO</v>
      </c>
      <c r="AO29" s="160" t="s">
        <v>576</v>
      </c>
      <c r="AP29" s="155" t="s">
        <v>390</v>
      </c>
      <c r="AQ29" s="819" t="str">
        <f>IFERROR(VLOOKUP(E29,'liquidaciones '!$B$2:$C$1048576,2,0),"NO")</f>
        <v>NO</v>
      </c>
      <c r="AR29" s="909" t="str">
        <f>IFERROR(VLOOKUP(E29,'liquidaciones '!$B$2:$I$1048576,8,0),"")</f>
        <v/>
      </c>
      <c r="AS29" s="310">
        <v>42074</v>
      </c>
      <c r="AT29" s="156" t="str">
        <f t="shared" ca="1" si="11"/>
        <v>NO</v>
      </c>
      <c r="AU29" s="156" t="s">
        <v>983</v>
      </c>
      <c r="AV29" s="406"/>
      <c r="AW29" s="928"/>
      <c r="AX29" s="928"/>
      <c r="AY29" s="928"/>
      <c r="BA29" s="15"/>
      <c r="BB29" s="15"/>
    </row>
    <row r="30" spans="1:54" ht="47.25" customHeight="1" x14ac:dyDescent="0.3">
      <c r="A30" s="14">
        <v>1</v>
      </c>
      <c r="B30" s="14">
        <v>24</v>
      </c>
      <c r="C30" s="410"/>
      <c r="D30" s="410" t="str">
        <f t="shared" si="0"/>
        <v>2012</v>
      </c>
      <c r="E30" s="120" t="s">
        <v>16</v>
      </c>
      <c r="F30" s="120" t="s">
        <v>435</v>
      </c>
      <c r="G30" s="1046">
        <v>900152368</v>
      </c>
      <c r="H30" s="957" t="s">
        <v>318</v>
      </c>
      <c r="I30" s="121">
        <v>4839200</v>
      </c>
      <c r="J30" s="821" t="s">
        <v>5679</v>
      </c>
      <c r="K30" s="135">
        <v>2012</v>
      </c>
      <c r="L30" s="519" t="s">
        <v>1087</v>
      </c>
      <c r="M30" s="123">
        <v>41144</v>
      </c>
      <c r="N30" s="123">
        <v>41328</v>
      </c>
      <c r="O30" s="1099" t="str">
        <f>IF(+Modificaciones!I30=0,"",VLOOKUP(E30,Modificaciones!$B$7:$I$2400,8,0))</f>
        <v/>
      </c>
      <c r="P30" s="115">
        <f>COUNTA(Modificaciones!J30,Modificaciones!L30,Modificaciones!N30,Modificaciones!P30)</f>
        <v>0</v>
      </c>
      <c r="Q30" s="116">
        <f>VLOOKUP(E30,Modificaciones!$B$7:$R$300,17,0)</f>
        <v>0</v>
      </c>
      <c r="R30" s="117">
        <f>COUNTA(Modificaciones!T30,Modificaciones!V30,Modificaciones!X30,Modificaciones!Z30)</f>
        <v>0</v>
      </c>
      <c r="S30" s="118" t="str">
        <f>IF(Modificaciones!AA30=0,"",VLOOKUP(E30,Modificaciones!$B$7:$AA$400,26,0))</f>
        <v/>
      </c>
      <c r="T30" s="119" t="str">
        <f>IF(Modificaciones!AB30=0,"",VLOOKUP(E30,Modificaciones!$B$7:$AB$400,27,0))</f>
        <v/>
      </c>
      <c r="U30" s="1080" t="str">
        <f>+Modificaciones!AC30</f>
        <v/>
      </c>
      <c r="V30" s="825" t="str">
        <f>+Modificaciones!AK30</f>
        <v/>
      </c>
      <c r="W30" s="825">
        <f t="shared" si="6"/>
        <v>41328</v>
      </c>
      <c r="X30" s="59">
        <f t="shared" si="1"/>
        <v>4839200</v>
      </c>
      <c r="Y30" s="151">
        <f>VLOOKUP(E30,Modificaciones!$B$7:$BE$300,56,0)</f>
        <v>4839200</v>
      </c>
      <c r="Z30" s="84">
        <f t="shared" si="2"/>
        <v>0</v>
      </c>
      <c r="AA30" s="283"/>
      <c r="AB30" s="40">
        <f t="shared" si="3"/>
        <v>1</v>
      </c>
      <c r="AC30" s="40">
        <f t="shared" ca="1" si="7"/>
        <v>1</v>
      </c>
      <c r="AD30" s="41">
        <f t="shared" ca="1" si="8"/>
        <v>0</v>
      </c>
      <c r="AE30" s="181" t="str">
        <f t="shared" ca="1" si="9"/>
        <v/>
      </c>
      <c r="AF30" s="42" t="str">
        <f t="shared" si="5"/>
        <v>SI</v>
      </c>
      <c r="AG30" s="42"/>
      <c r="AH30" s="152" t="s">
        <v>1255</v>
      </c>
      <c r="AI30" s="152" t="s">
        <v>1171</v>
      </c>
      <c r="AJ30" s="152"/>
      <c r="AL30" s="153"/>
      <c r="AM30" s="160" t="s">
        <v>600</v>
      </c>
      <c r="AN30" s="161" t="str">
        <f t="shared" ca="1" si="10"/>
        <v>TERMINO</v>
      </c>
      <c r="AO30" s="160" t="s">
        <v>576</v>
      </c>
      <c r="AP30" s="155" t="s">
        <v>390</v>
      </c>
      <c r="AQ30" s="819" t="str">
        <f>IFERROR(VLOOKUP(E30,'liquidaciones '!$B$2:$C$1048576,2,0),"NO")</f>
        <v>NO</v>
      </c>
      <c r="AR30" s="909" t="str">
        <f>IFERROR(VLOOKUP(E30,'liquidaciones '!$B$2:$I$1048576,8,0),"")</f>
        <v/>
      </c>
      <c r="AS30" s="310"/>
      <c r="AT30" s="156" t="str">
        <f t="shared" ca="1" si="11"/>
        <v>NO</v>
      </c>
      <c r="AU30" s="156" t="s">
        <v>983</v>
      </c>
      <c r="AV30" s="406"/>
      <c r="AW30" s="928"/>
      <c r="AX30" s="928"/>
      <c r="AY30" s="928"/>
      <c r="BA30" s="15"/>
      <c r="BB30" s="15"/>
    </row>
    <row r="31" spans="1:54" ht="47.25" customHeight="1" x14ac:dyDescent="0.3">
      <c r="A31" s="14">
        <v>1</v>
      </c>
      <c r="B31" s="14">
        <v>25</v>
      </c>
      <c r="C31" s="410"/>
      <c r="D31" s="410" t="str">
        <f t="shared" si="0"/>
        <v>2012</v>
      </c>
      <c r="E31" s="120" t="s">
        <v>107</v>
      </c>
      <c r="F31" s="129" t="s">
        <v>108</v>
      </c>
      <c r="G31" s="1048">
        <v>830038886</v>
      </c>
      <c r="H31" s="958" t="s">
        <v>348</v>
      </c>
      <c r="I31" s="130">
        <v>13527752</v>
      </c>
      <c r="J31" s="821" t="s">
        <v>5678</v>
      </c>
      <c r="K31" s="135">
        <v>2012</v>
      </c>
      <c r="L31" s="519" t="s">
        <v>1087</v>
      </c>
      <c r="M31" s="131">
        <v>41137</v>
      </c>
      <c r="N31" s="132">
        <v>41349</v>
      </c>
      <c r="O31" s="1099" t="str">
        <f>IF(+Modificaciones!I31=0,"",VLOOKUP(E31,Modificaciones!$B$7:$I$2400,8,0))</f>
        <v/>
      </c>
      <c r="P31" s="115">
        <f>COUNTA(Modificaciones!J31,Modificaciones!L31,Modificaciones!N31,Modificaciones!P31)</f>
        <v>0</v>
      </c>
      <c r="Q31" s="116">
        <f>VLOOKUP(E31,Modificaciones!$B$7:$R$300,17,0)</f>
        <v>0</v>
      </c>
      <c r="R31" s="117">
        <f>COUNTA(Modificaciones!T31,Modificaciones!V31,Modificaciones!X31,Modificaciones!Z31)</f>
        <v>0</v>
      </c>
      <c r="S31" s="118" t="str">
        <f>IF(Modificaciones!AA31=0,"",VLOOKUP(E31,Modificaciones!$B$7:$AA$400,26,0))</f>
        <v/>
      </c>
      <c r="T31" s="119" t="str">
        <f>IF(Modificaciones!AB31=0,"",VLOOKUP(E31,Modificaciones!$B$7:$AB$400,27,0))</f>
        <v/>
      </c>
      <c r="U31" s="1080" t="str">
        <f>+Modificaciones!AC31</f>
        <v/>
      </c>
      <c r="V31" s="825" t="str">
        <f>+Modificaciones!AK31</f>
        <v/>
      </c>
      <c r="W31" s="825">
        <f t="shared" si="6"/>
        <v>41349</v>
      </c>
      <c r="X31" s="59">
        <f t="shared" si="1"/>
        <v>13527752</v>
      </c>
      <c r="Y31" s="151">
        <f>VLOOKUP(E31,Modificaciones!$B$7:$BE$300,56,0)</f>
        <v>0</v>
      </c>
      <c r="Z31" s="84">
        <f t="shared" si="2"/>
        <v>13527752</v>
      </c>
      <c r="AA31" s="283"/>
      <c r="AB31" s="40">
        <f t="shared" si="3"/>
        <v>0</v>
      </c>
      <c r="AC31" s="40">
        <f t="shared" ca="1" si="7"/>
        <v>1</v>
      </c>
      <c r="AD31" s="41">
        <f t="shared" ca="1" si="8"/>
        <v>1</v>
      </c>
      <c r="AE31" s="181" t="str">
        <f t="shared" ca="1" si="9"/>
        <v/>
      </c>
      <c r="AF31" s="42" t="str">
        <f t="shared" si="5"/>
        <v>NO</v>
      </c>
      <c r="AG31" s="42"/>
      <c r="AH31" s="152" t="s">
        <v>1255</v>
      </c>
      <c r="AI31" s="152" t="s">
        <v>1125</v>
      </c>
      <c r="AJ31" s="152" t="s">
        <v>1441</v>
      </c>
      <c r="AK31" s="255" t="s">
        <v>560</v>
      </c>
      <c r="AL31" s="153"/>
      <c r="AM31" s="160" t="s">
        <v>992</v>
      </c>
      <c r="AN31" s="161" t="str">
        <f t="shared" ca="1" si="10"/>
        <v>TERMINO</v>
      </c>
      <c r="AO31" s="160" t="s">
        <v>576</v>
      </c>
      <c r="AP31" s="155" t="s">
        <v>390</v>
      </c>
      <c r="AQ31" s="819" t="str">
        <f>IFERROR(VLOOKUP(E31,'liquidaciones '!$B$2:$C$1048576,2,0),"NO")</f>
        <v>LIQUIDADO</v>
      </c>
      <c r="AR31" s="909">
        <f>IFERROR(VLOOKUP(E31,'liquidaciones '!$B$2:$I$1048576,8,0),"")</f>
        <v>0</v>
      </c>
      <c r="AS31" s="310">
        <v>41444</v>
      </c>
      <c r="AT31" s="156" t="str">
        <f t="shared" ca="1" si="11"/>
        <v>NO</v>
      </c>
      <c r="AU31" s="156" t="s">
        <v>1055</v>
      </c>
      <c r="AV31" s="406"/>
      <c r="AW31" s="928"/>
      <c r="AX31" s="928"/>
      <c r="AY31" s="928"/>
      <c r="BA31" s="15"/>
      <c r="BB31" s="15"/>
    </row>
    <row r="32" spans="1:54" ht="47.25" customHeight="1" x14ac:dyDescent="0.3">
      <c r="A32" s="39">
        <v>1</v>
      </c>
      <c r="B32" s="14">
        <v>26</v>
      </c>
      <c r="C32" s="410"/>
      <c r="D32" s="410" t="str">
        <f t="shared" si="0"/>
        <v>2012</v>
      </c>
      <c r="E32" s="120" t="s">
        <v>61</v>
      </c>
      <c r="F32" s="120" t="s">
        <v>436</v>
      </c>
      <c r="G32" s="1047">
        <v>860011153</v>
      </c>
      <c r="H32" s="957" t="s">
        <v>1371</v>
      </c>
      <c r="I32" s="121">
        <v>85219000</v>
      </c>
      <c r="J32" s="821" t="s">
        <v>4062</v>
      </c>
      <c r="K32" s="122">
        <v>2012</v>
      </c>
      <c r="L32" s="519" t="s">
        <v>1087</v>
      </c>
      <c r="M32" s="123">
        <v>41122</v>
      </c>
      <c r="N32" s="123">
        <v>41531</v>
      </c>
      <c r="O32" s="1099" t="str">
        <f>IF(+Modificaciones!I32=0,"",VLOOKUP(E32,Modificaciones!$B$7:$I$2400,8,0))</f>
        <v/>
      </c>
      <c r="P32" s="115">
        <f>COUNTA(Modificaciones!J32,Modificaciones!L32,Modificaciones!N32,Modificaciones!P32)</f>
        <v>1</v>
      </c>
      <c r="Q32" s="116">
        <f>VLOOKUP(E32,Modificaciones!$B$7:$R$300,17,0)</f>
        <v>15102355</v>
      </c>
      <c r="R32" s="117">
        <f>COUNTA(Modificaciones!T32,Modificaciones!V32,Modificaciones!X32,Modificaciones!Z32)</f>
        <v>0</v>
      </c>
      <c r="S32" s="118" t="str">
        <f>IF(Modificaciones!AA32=0,"",VLOOKUP(E32,Modificaciones!$B$7:$AA$400,26,0))</f>
        <v/>
      </c>
      <c r="T32" s="119" t="str">
        <f>IF(Modificaciones!AB32=0,"",VLOOKUP(E32,Modificaciones!$B$7:$AB$400,27,0))</f>
        <v/>
      </c>
      <c r="U32" s="1080" t="str">
        <f>+Modificaciones!AC32</f>
        <v/>
      </c>
      <c r="V32" s="825" t="str">
        <f>+Modificaciones!AK32</f>
        <v/>
      </c>
      <c r="W32" s="825">
        <f t="shared" si="6"/>
        <v>41531</v>
      </c>
      <c r="X32" s="59">
        <f t="shared" si="1"/>
        <v>100321355</v>
      </c>
      <c r="Y32" s="151">
        <f>VLOOKUP(E32,Modificaciones!$B$7:$BE$300,56,0)</f>
        <v>95321355</v>
      </c>
      <c r="Z32" s="84">
        <f t="shared" si="2"/>
        <v>5000000</v>
      </c>
      <c r="AA32" s="283"/>
      <c r="AB32" s="40">
        <f t="shared" si="3"/>
        <v>0.95016016280880577</v>
      </c>
      <c r="AC32" s="40">
        <f t="shared" ca="1" si="7"/>
        <v>1</v>
      </c>
      <c r="AD32" s="41">
        <f t="shared" ca="1" si="8"/>
        <v>4.9839837191194225E-2</v>
      </c>
      <c r="AE32" s="181" t="str">
        <f t="shared" ca="1" si="9"/>
        <v/>
      </c>
      <c r="AF32" s="42" t="str">
        <f t="shared" si="5"/>
        <v>NO</v>
      </c>
      <c r="AG32" s="42"/>
      <c r="AH32" s="152" t="s">
        <v>1255</v>
      </c>
      <c r="AI32" s="152" t="s">
        <v>1512</v>
      </c>
      <c r="AJ32" s="152"/>
      <c r="AL32" s="153"/>
      <c r="AM32" s="160" t="s">
        <v>993</v>
      </c>
      <c r="AN32" s="161" t="str">
        <f t="shared" ca="1" si="10"/>
        <v>TERMINO</v>
      </c>
      <c r="AO32" s="160" t="s">
        <v>573</v>
      </c>
      <c r="AP32" s="155" t="s">
        <v>390</v>
      </c>
      <c r="AQ32" s="819" t="str">
        <f>IFERROR(VLOOKUP(E32,'liquidaciones '!$B$2:$C$1048576,2,0),"NO")</f>
        <v>LIQUIDADO</v>
      </c>
      <c r="AR32" s="909">
        <f>IFERROR(VLOOKUP(E32,'liquidaciones '!$B$2:$I$1048576,8,0),"")</f>
        <v>0</v>
      </c>
      <c r="AS32" s="310">
        <v>42004</v>
      </c>
      <c r="AT32" s="156" t="str">
        <f t="shared" ca="1" si="11"/>
        <v>NO</v>
      </c>
      <c r="AU32" s="156"/>
      <c r="AV32" s="406"/>
      <c r="AW32" s="928"/>
      <c r="AX32" s="928"/>
      <c r="AY32" s="928"/>
      <c r="BA32" s="15"/>
      <c r="BB32" s="15"/>
    </row>
    <row r="33" spans="1:54" ht="47.25" customHeight="1" x14ac:dyDescent="0.3">
      <c r="A33" s="39">
        <v>1</v>
      </c>
      <c r="B33" s="14">
        <v>27</v>
      </c>
      <c r="C33" s="410"/>
      <c r="D33" s="410" t="str">
        <f t="shared" si="0"/>
        <v>2012</v>
      </c>
      <c r="E33" s="120" t="s">
        <v>58</v>
      </c>
      <c r="F33" s="120" t="s">
        <v>437</v>
      </c>
      <c r="G33" s="1047"/>
      <c r="H33" s="957" t="s">
        <v>1007</v>
      </c>
      <c r="I33" s="121">
        <v>81888094</v>
      </c>
      <c r="J33" s="121" t="s">
        <v>1087</v>
      </c>
      <c r="K33" s="122">
        <v>2012</v>
      </c>
      <c r="L33" s="519" t="s">
        <v>1087</v>
      </c>
      <c r="M33" s="123">
        <v>41122</v>
      </c>
      <c r="N33" s="123">
        <v>41516</v>
      </c>
      <c r="O33" s="1099" t="str">
        <f>IF(+Modificaciones!I33=0,"",VLOOKUP(E33,Modificaciones!$B$7:$I$2400,8,0))</f>
        <v/>
      </c>
      <c r="P33" s="115">
        <f>COUNTA(Modificaciones!J33,Modificaciones!L33,Modificaciones!N33,Modificaciones!P33)</f>
        <v>1</v>
      </c>
      <c r="Q33" s="116">
        <f>VLOOKUP(E33,Modificaciones!$B$7:$R$300,17,0)</f>
        <v>17234233</v>
      </c>
      <c r="R33" s="117">
        <f>COUNTA(Modificaciones!T33,Modificaciones!V33,Modificaciones!X33,Modificaciones!Z33)</f>
        <v>2</v>
      </c>
      <c r="S33" s="118" t="str">
        <f>IF(Modificaciones!AA33=0,"",VLOOKUP(E33,Modificaciones!$B$7:$AA$400,26,0))</f>
        <v>107 días calendario</v>
      </c>
      <c r="T33" s="119">
        <f>IF(Modificaciones!AB33=0,"",VLOOKUP(E33,Modificaciones!$B$7:$AB$400,27,0))</f>
        <v>41623</v>
      </c>
      <c r="U33" s="1080" t="str">
        <f>+Modificaciones!AC33</f>
        <v/>
      </c>
      <c r="V33" s="825" t="str">
        <f>+Modificaciones!AK33</f>
        <v/>
      </c>
      <c r="W33" s="825">
        <f t="shared" si="6"/>
        <v>41623</v>
      </c>
      <c r="X33" s="59">
        <f t="shared" si="1"/>
        <v>99122327</v>
      </c>
      <c r="Y33" s="151">
        <f>VLOOKUP(E33,Modificaciones!$B$7:$BE$300,56,0)</f>
        <v>93840542</v>
      </c>
      <c r="Z33" s="84">
        <f t="shared" si="2"/>
        <v>5281785</v>
      </c>
      <c r="AA33" s="283"/>
      <c r="AB33" s="40">
        <f t="shared" si="3"/>
        <v>0.94671447735483449</v>
      </c>
      <c r="AC33" s="40">
        <f t="shared" ca="1" si="7"/>
        <v>1</v>
      </c>
      <c r="AD33" s="41">
        <f t="shared" ca="1" si="8"/>
        <v>5.3285522645165506E-2</v>
      </c>
      <c r="AE33" s="181" t="str">
        <f t="shared" ca="1" si="9"/>
        <v/>
      </c>
      <c r="AF33" s="42" t="str">
        <f t="shared" si="5"/>
        <v>NO</v>
      </c>
      <c r="AG33" s="42"/>
      <c r="AH33" s="152" t="s">
        <v>1255</v>
      </c>
      <c r="AI33" s="152" t="s">
        <v>1512</v>
      </c>
      <c r="AJ33" s="152"/>
      <c r="AL33" s="153"/>
      <c r="AM33" s="160" t="s">
        <v>994</v>
      </c>
      <c r="AN33" s="161" t="str">
        <f t="shared" ca="1" si="10"/>
        <v>TERMINO</v>
      </c>
      <c r="AO33" s="160" t="s">
        <v>573</v>
      </c>
      <c r="AP33" s="155" t="s">
        <v>390</v>
      </c>
      <c r="AQ33" s="819" t="str">
        <f>IFERROR(VLOOKUP(E33,'liquidaciones '!$B$2:$C$1048576,2,0),"NO")</f>
        <v>NO</v>
      </c>
      <c r="AR33" s="909" t="str">
        <f>IFERROR(VLOOKUP(E33,'liquidaciones '!$B$2:$I$1048576,8,0),"")</f>
        <v/>
      </c>
      <c r="AS33" s="310"/>
      <c r="AT33" s="156" t="str">
        <f t="shared" ca="1" si="11"/>
        <v>NO</v>
      </c>
      <c r="AU33" s="156"/>
      <c r="AV33" s="406"/>
      <c r="AW33" s="928"/>
      <c r="AX33" s="928"/>
      <c r="AY33" s="928"/>
      <c r="BA33" s="15"/>
      <c r="BB33" s="15"/>
    </row>
    <row r="34" spans="1:54" ht="47.25" customHeight="1" x14ac:dyDescent="0.3">
      <c r="A34" s="14">
        <v>2</v>
      </c>
      <c r="B34" s="14">
        <v>28</v>
      </c>
      <c r="C34" s="410"/>
      <c r="D34" s="410" t="str">
        <f t="shared" si="0"/>
        <v>2012</v>
      </c>
      <c r="E34" s="120" t="s">
        <v>423</v>
      </c>
      <c r="F34" s="120" t="s">
        <v>13</v>
      </c>
      <c r="G34" s="1049">
        <v>860007590</v>
      </c>
      <c r="H34" s="957" t="s">
        <v>451</v>
      </c>
      <c r="I34" s="121">
        <v>900000</v>
      </c>
      <c r="J34" s="821" t="s">
        <v>5676</v>
      </c>
      <c r="K34" s="135">
        <v>2012</v>
      </c>
      <c r="L34" s="519" t="s">
        <v>1087</v>
      </c>
      <c r="M34" s="124">
        <v>41162</v>
      </c>
      <c r="N34" s="124">
        <v>41527</v>
      </c>
      <c r="O34" s="1099" t="str">
        <f>IF(+Modificaciones!I34=0,"",VLOOKUP(E34,Modificaciones!$B$7:$I$2400,8,0))</f>
        <v/>
      </c>
      <c r="P34" s="115">
        <f>COUNTA(Modificaciones!J34,Modificaciones!L34,Modificaciones!N34,Modificaciones!P34)</f>
        <v>0</v>
      </c>
      <c r="Q34" s="116">
        <f>VLOOKUP(E34,Modificaciones!$B$7:$R$300,17,0)</f>
        <v>0</v>
      </c>
      <c r="R34" s="117">
        <f>COUNTA(Modificaciones!T34,Modificaciones!V34,Modificaciones!X34,Modificaciones!Z34)</f>
        <v>0</v>
      </c>
      <c r="S34" s="118" t="str">
        <f>IF(Modificaciones!AA34=0,"",VLOOKUP(E34,Modificaciones!$B$7:$AA$400,26,0))</f>
        <v/>
      </c>
      <c r="T34" s="119" t="str">
        <f>IF(Modificaciones!AB34=0,"",VLOOKUP(E34,Modificaciones!$B$7:$AB$400,27,0))</f>
        <v/>
      </c>
      <c r="U34" s="1080" t="str">
        <f>+Modificaciones!AC34</f>
        <v/>
      </c>
      <c r="V34" s="825" t="str">
        <f>+Modificaciones!AK34</f>
        <v/>
      </c>
      <c r="W34" s="825">
        <f t="shared" si="6"/>
        <v>41527</v>
      </c>
      <c r="X34" s="59">
        <f t="shared" si="1"/>
        <v>900000</v>
      </c>
      <c r="Y34" s="151">
        <f>VLOOKUP(E34,Modificaciones!$B$7:$BE$300,56,0)</f>
        <v>900000</v>
      </c>
      <c r="Z34" s="84">
        <f t="shared" si="2"/>
        <v>0</v>
      </c>
      <c r="AA34" s="283"/>
      <c r="AB34" s="40">
        <f t="shared" si="3"/>
        <v>1</v>
      </c>
      <c r="AC34" s="40">
        <f t="shared" ca="1" si="7"/>
        <v>1</v>
      </c>
      <c r="AD34" s="41">
        <f t="shared" ca="1" si="8"/>
        <v>0</v>
      </c>
      <c r="AE34" s="181" t="str">
        <f t="shared" ca="1" si="9"/>
        <v/>
      </c>
      <c r="AF34" s="42" t="str">
        <f t="shared" si="5"/>
        <v>SI</v>
      </c>
      <c r="AG34" s="42"/>
      <c r="AH34" s="152" t="s">
        <v>1255</v>
      </c>
      <c r="AI34" s="152" t="s">
        <v>1124</v>
      </c>
      <c r="AJ34" s="152"/>
      <c r="AL34" s="153"/>
      <c r="AM34" s="160" t="s">
        <v>600</v>
      </c>
      <c r="AN34" s="161" t="str">
        <f t="shared" ca="1" si="10"/>
        <v>TERMINO</v>
      </c>
      <c r="AO34" s="160" t="s">
        <v>582</v>
      </c>
      <c r="AP34" s="155" t="s">
        <v>390</v>
      </c>
      <c r="AQ34" s="819" t="str">
        <f>IFERROR(VLOOKUP(E34,'liquidaciones '!$B$2:$C$1048576,2,0),"NO")</f>
        <v>NO</v>
      </c>
      <c r="AR34" s="909" t="str">
        <f>IFERROR(VLOOKUP(E34,'liquidaciones '!$B$2:$I$1048576,8,0),"")</f>
        <v/>
      </c>
      <c r="AS34" s="310"/>
      <c r="AT34" s="156" t="str">
        <f t="shared" ca="1" si="11"/>
        <v>NO</v>
      </c>
      <c r="AU34" s="156" t="s">
        <v>1570</v>
      </c>
      <c r="AV34" s="406"/>
      <c r="AW34" s="928"/>
      <c r="AX34" s="928"/>
      <c r="AY34" s="928"/>
    </row>
    <row r="35" spans="1:54" ht="47.25" customHeight="1" x14ac:dyDescent="0.3">
      <c r="A35" s="14">
        <v>1</v>
      </c>
      <c r="B35" s="14">
        <v>29</v>
      </c>
      <c r="C35" s="410"/>
      <c r="D35" s="410" t="str">
        <f t="shared" si="0"/>
        <v>2012</v>
      </c>
      <c r="E35" s="120" t="s">
        <v>28</v>
      </c>
      <c r="F35" s="120" t="s">
        <v>29</v>
      </c>
      <c r="G35" s="1046">
        <v>860536029</v>
      </c>
      <c r="H35" s="957" t="s">
        <v>324</v>
      </c>
      <c r="I35" s="121">
        <v>840000</v>
      </c>
      <c r="J35" s="821" t="s">
        <v>5675</v>
      </c>
      <c r="K35" s="135">
        <v>2012</v>
      </c>
      <c r="L35" s="519" t="s">
        <v>1087</v>
      </c>
      <c r="M35" s="123">
        <v>41165</v>
      </c>
      <c r="N35" s="123">
        <v>41530</v>
      </c>
      <c r="O35" s="1099" t="str">
        <f>IF(+Modificaciones!I35=0,"",VLOOKUP(E35,Modificaciones!$B$7:$I$2400,8,0))</f>
        <v/>
      </c>
      <c r="P35" s="115">
        <f>COUNTA(Modificaciones!J35,Modificaciones!L35,Modificaciones!N35,Modificaciones!P35)</f>
        <v>0</v>
      </c>
      <c r="Q35" s="116">
        <f>VLOOKUP(E35,Modificaciones!$B$7:$R$300,17,0)</f>
        <v>0</v>
      </c>
      <c r="R35" s="117">
        <f>COUNTA(Modificaciones!T35,Modificaciones!V35,Modificaciones!X35,Modificaciones!Z35)</f>
        <v>0</v>
      </c>
      <c r="S35" s="118" t="str">
        <f>IF(Modificaciones!AA35=0,"",VLOOKUP(E35,Modificaciones!$B$7:$AA$400,26,0))</f>
        <v/>
      </c>
      <c r="T35" s="119" t="str">
        <f>IF(Modificaciones!AB35=0,"",VLOOKUP(E35,Modificaciones!$B$7:$AB$400,27,0))</f>
        <v/>
      </c>
      <c r="U35" s="1080" t="str">
        <f>+Modificaciones!AC35</f>
        <v/>
      </c>
      <c r="V35" s="825" t="str">
        <f>+Modificaciones!AK35</f>
        <v/>
      </c>
      <c r="W35" s="825">
        <f t="shared" si="6"/>
        <v>41530</v>
      </c>
      <c r="X35" s="59">
        <f t="shared" si="1"/>
        <v>840000</v>
      </c>
      <c r="Y35" s="151">
        <f>VLOOKUP(E35,Modificaciones!$B$7:$BE$300,56,0)</f>
        <v>840000</v>
      </c>
      <c r="Z35" s="84">
        <f t="shared" si="2"/>
        <v>0</v>
      </c>
      <c r="AA35" s="283"/>
      <c r="AB35" s="40">
        <f t="shared" si="3"/>
        <v>1</v>
      </c>
      <c r="AC35" s="40">
        <f t="shared" ca="1" si="7"/>
        <v>1</v>
      </c>
      <c r="AD35" s="41">
        <f t="shared" ca="1" si="8"/>
        <v>0</v>
      </c>
      <c r="AE35" s="181" t="str">
        <f t="shared" ca="1" si="9"/>
        <v/>
      </c>
      <c r="AF35" s="42" t="str">
        <f t="shared" si="5"/>
        <v>SI</v>
      </c>
      <c r="AG35" s="42"/>
      <c r="AH35" s="152" t="s">
        <v>1255</v>
      </c>
      <c r="AI35" s="152" t="s">
        <v>1124</v>
      </c>
      <c r="AJ35" s="152"/>
      <c r="AL35" s="153"/>
      <c r="AM35" s="160" t="s">
        <v>600</v>
      </c>
      <c r="AN35" s="161" t="str">
        <f t="shared" ca="1" si="10"/>
        <v>TERMINO</v>
      </c>
      <c r="AO35" s="160" t="s">
        <v>582</v>
      </c>
      <c r="AP35" s="155" t="s">
        <v>390</v>
      </c>
      <c r="AQ35" s="819" t="str">
        <f>IFERROR(VLOOKUP(E35,'liquidaciones '!$B$2:$C$1048576,2,0),"NO")</f>
        <v>NO</v>
      </c>
      <c r="AR35" s="909" t="str">
        <f>IFERROR(VLOOKUP(E35,'liquidaciones '!$B$2:$I$1048576,8,0),"")</f>
        <v/>
      </c>
      <c r="AS35" s="315">
        <v>41659</v>
      </c>
      <c r="AT35" s="156" t="str">
        <f t="shared" ca="1" si="11"/>
        <v>NO</v>
      </c>
      <c r="AU35" s="156" t="s">
        <v>1164</v>
      </c>
      <c r="AV35" s="406"/>
      <c r="AW35" s="928"/>
      <c r="AX35" s="928"/>
      <c r="AY35" s="928"/>
    </row>
    <row r="36" spans="1:54" ht="47.25" customHeight="1" x14ac:dyDescent="0.3">
      <c r="A36" s="14">
        <v>1</v>
      </c>
      <c r="B36" s="39">
        <v>30</v>
      </c>
      <c r="C36" s="411"/>
      <c r="D36" s="410" t="str">
        <f t="shared" si="0"/>
        <v>2012</v>
      </c>
      <c r="E36" s="120" t="s">
        <v>32</v>
      </c>
      <c r="F36" s="120" t="s">
        <v>33</v>
      </c>
      <c r="G36" s="1046">
        <v>860509265</v>
      </c>
      <c r="H36" s="957" t="s">
        <v>452</v>
      </c>
      <c r="I36" s="121">
        <v>795000</v>
      </c>
      <c r="J36" s="821" t="s">
        <v>4290</v>
      </c>
      <c r="K36" s="135">
        <v>2012</v>
      </c>
      <c r="L36" s="519" t="s">
        <v>1087</v>
      </c>
      <c r="M36" s="123">
        <v>41180</v>
      </c>
      <c r="N36" s="123">
        <v>41545</v>
      </c>
      <c r="O36" s="1099" t="str">
        <f>IF(+Modificaciones!I36=0,"",VLOOKUP(E36,Modificaciones!$B$7:$I$2400,8,0))</f>
        <v/>
      </c>
      <c r="P36" s="115">
        <f>COUNTA(Modificaciones!J36,Modificaciones!L36,Modificaciones!N36,Modificaciones!P36)</f>
        <v>0</v>
      </c>
      <c r="Q36" s="116">
        <f>VLOOKUP(E36,Modificaciones!$B$7:$R$300,17,0)</f>
        <v>0</v>
      </c>
      <c r="R36" s="117">
        <f>COUNTA(Modificaciones!T36,Modificaciones!V36,Modificaciones!X36,Modificaciones!Z36)</f>
        <v>0</v>
      </c>
      <c r="S36" s="118" t="str">
        <f>IF(Modificaciones!AA36=0,"",VLOOKUP(E36,Modificaciones!$B$7:$AA$400,26,0))</f>
        <v/>
      </c>
      <c r="T36" s="119" t="str">
        <f>IF(Modificaciones!AB36=0,"",VLOOKUP(E36,Modificaciones!$B$7:$AB$400,27,0))</f>
        <v/>
      </c>
      <c r="U36" s="1080" t="str">
        <f>+Modificaciones!AC36</f>
        <v/>
      </c>
      <c r="V36" s="825" t="str">
        <f>+Modificaciones!AK36</f>
        <v/>
      </c>
      <c r="W36" s="825">
        <f t="shared" si="6"/>
        <v>41545</v>
      </c>
      <c r="X36" s="59">
        <f t="shared" si="1"/>
        <v>795000</v>
      </c>
      <c r="Y36" s="151">
        <f>VLOOKUP(E36,Modificaciones!$B$7:$BE$300,56,0)</f>
        <v>795000</v>
      </c>
      <c r="Z36" s="84">
        <f t="shared" si="2"/>
        <v>0</v>
      </c>
      <c r="AA36" s="283"/>
      <c r="AB36" s="40">
        <f t="shared" si="3"/>
        <v>1</v>
      </c>
      <c r="AC36" s="40">
        <f t="shared" ca="1" si="7"/>
        <v>1</v>
      </c>
      <c r="AD36" s="41">
        <f t="shared" ca="1" si="8"/>
        <v>0</v>
      </c>
      <c r="AE36" s="181" t="str">
        <f t="shared" ca="1" si="9"/>
        <v/>
      </c>
      <c r="AF36" s="42" t="str">
        <f t="shared" si="5"/>
        <v>SI</v>
      </c>
      <c r="AG36" s="42"/>
      <c r="AH36" s="152" t="s">
        <v>1255</v>
      </c>
      <c r="AI36" s="152" t="s">
        <v>1468</v>
      </c>
      <c r="AJ36" s="152"/>
      <c r="AL36" s="153"/>
      <c r="AM36" s="160" t="s">
        <v>600</v>
      </c>
      <c r="AN36" s="161" t="str">
        <f t="shared" ca="1" si="10"/>
        <v>TERMINO</v>
      </c>
      <c r="AO36" s="160" t="s">
        <v>582</v>
      </c>
      <c r="AP36" s="155" t="s">
        <v>390</v>
      </c>
      <c r="AQ36" s="819" t="str">
        <f>IFERROR(VLOOKUP(E36,'liquidaciones '!$B$2:$C$1048576,2,0),"NO")</f>
        <v>LIQUIDADO</v>
      </c>
      <c r="AR36" s="909">
        <f>IFERROR(VLOOKUP(E36,'liquidaciones '!$B$2:$I$1048576,8,0),"")</f>
        <v>0</v>
      </c>
      <c r="AS36" s="310">
        <v>42208</v>
      </c>
      <c r="AT36" s="156" t="str">
        <f t="shared" ca="1" si="11"/>
        <v>NO</v>
      </c>
      <c r="AU36" s="156" t="s">
        <v>1570</v>
      </c>
      <c r="AV36" s="406"/>
      <c r="AW36" s="928"/>
      <c r="AX36" s="928"/>
      <c r="AY36" s="928"/>
    </row>
    <row r="37" spans="1:54" ht="47.25" customHeight="1" x14ac:dyDescent="0.3">
      <c r="A37" s="14">
        <v>1</v>
      </c>
      <c r="B37" s="14">
        <v>31</v>
      </c>
      <c r="C37" s="410"/>
      <c r="D37" s="410" t="str">
        <f t="shared" si="0"/>
        <v>2012</v>
      </c>
      <c r="E37" s="120" t="s">
        <v>109</v>
      </c>
      <c r="F37" s="129" t="s">
        <v>420</v>
      </c>
      <c r="G37" s="1046">
        <v>800008838</v>
      </c>
      <c r="H37" s="958" t="s">
        <v>349</v>
      </c>
      <c r="I37" s="130">
        <v>1818000</v>
      </c>
      <c r="J37" s="821" t="s">
        <v>5673</v>
      </c>
      <c r="K37" s="135">
        <v>2012</v>
      </c>
      <c r="L37" s="519" t="s">
        <v>1087</v>
      </c>
      <c r="M37" s="131">
        <v>41165</v>
      </c>
      <c r="N37" s="132">
        <v>41346</v>
      </c>
      <c r="O37" s="1099" t="str">
        <f>IF(+Modificaciones!I37=0,"",VLOOKUP(E37,Modificaciones!$B$7:$I$2400,8,0))</f>
        <v/>
      </c>
      <c r="P37" s="115">
        <f>COUNTA(Modificaciones!J37,Modificaciones!L37,Modificaciones!N37,Modificaciones!P37)</f>
        <v>0</v>
      </c>
      <c r="Q37" s="116">
        <f>VLOOKUP(E37,Modificaciones!$B$7:$R$300,17,0)</f>
        <v>0</v>
      </c>
      <c r="R37" s="117">
        <f>COUNTA(Modificaciones!T37,Modificaciones!V37,Modificaciones!X37,Modificaciones!Z37)</f>
        <v>0</v>
      </c>
      <c r="S37" s="118" t="str">
        <f>IF(Modificaciones!AA37=0,"",VLOOKUP(E37,Modificaciones!$B$7:$AA$400,26,0))</f>
        <v/>
      </c>
      <c r="T37" s="119" t="str">
        <f>IF(Modificaciones!AB37=0,"",VLOOKUP(E37,Modificaciones!$B$7:$AB$400,27,0))</f>
        <v/>
      </c>
      <c r="U37" s="1080" t="str">
        <f>+Modificaciones!AC37</f>
        <v/>
      </c>
      <c r="V37" s="825" t="str">
        <f>+Modificaciones!AK37</f>
        <v/>
      </c>
      <c r="W37" s="825">
        <f t="shared" si="6"/>
        <v>41346</v>
      </c>
      <c r="X37" s="59">
        <f t="shared" si="1"/>
        <v>1818000</v>
      </c>
      <c r="Y37" s="151">
        <f>VLOOKUP(E37,Modificaciones!$B$7:$BE$300,56,0)</f>
        <v>0</v>
      </c>
      <c r="Z37" s="84">
        <f t="shared" si="2"/>
        <v>1818000</v>
      </c>
      <c r="AA37" s="283"/>
      <c r="AB37" s="40">
        <f t="shared" si="3"/>
        <v>0</v>
      </c>
      <c r="AC37" s="40">
        <f t="shared" ca="1" si="7"/>
        <v>1</v>
      </c>
      <c r="AD37" s="41">
        <f t="shared" ca="1" si="8"/>
        <v>1</v>
      </c>
      <c r="AE37" s="181" t="str">
        <f t="shared" ca="1" si="9"/>
        <v/>
      </c>
      <c r="AF37" s="42" t="str">
        <f t="shared" si="5"/>
        <v>NO</v>
      </c>
      <c r="AG37" s="42"/>
      <c r="AH37" s="152" t="s">
        <v>1255</v>
      </c>
      <c r="AI37" s="152" t="s">
        <v>1382</v>
      </c>
      <c r="AJ37" s="152" t="s">
        <v>1441</v>
      </c>
      <c r="AK37" s="255" t="s">
        <v>560</v>
      </c>
      <c r="AL37" s="153"/>
      <c r="AM37" s="160" t="s">
        <v>600</v>
      </c>
      <c r="AN37" s="161" t="str">
        <f t="shared" ca="1" si="10"/>
        <v>TERMINO</v>
      </c>
      <c r="AO37" s="160" t="s">
        <v>576</v>
      </c>
      <c r="AP37" s="155" t="s">
        <v>390</v>
      </c>
      <c r="AQ37" s="819" t="str">
        <f>IFERROR(VLOOKUP(E37,'liquidaciones '!$B$2:$C$1048576,2,0),"NO")</f>
        <v>NO</v>
      </c>
      <c r="AR37" s="909" t="str">
        <f>IFERROR(VLOOKUP(E37,'liquidaciones '!$B$2:$I$1048576,8,0),"")</f>
        <v/>
      </c>
      <c r="AS37" s="310"/>
      <c r="AT37" s="156" t="str">
        <f t="shared" ca="1" si="11"/>
        <v>NO</v>
      </c>
      <c r="AU37" s="156" t="s">
        <v>1570</v>
      </c>
      <c r="AV37" s="406"/>
      <c r="AW37" s="928"/>
      <c r="AX37" s="928"/>
      <c r="AY37" s="928"/>
    </row>
    <row r="38" spans="1:54" ht="47.25" customHeight="1" x14ac:dyDescent="0.3">
      <c r="A38" s="14">
        <v>3</v>
      </c>
      <c r="B38" s="14">
        <v>32</v>
      </c>
      <c r="C38" s="410"/>
      <c r="D38" s="410" t="str">
        <f t="shared" si="0"/>
        <v>2012</v>
      </c>
      <c r="E38" s="120" t="s">
        <v>34</v>
      </c>
      <c r="F38" s="120" t="s">
        <v>1008</v>
      </c>
      <c r="G38" s="1046">
        <v>51979294</v>
      </c>
      <c r="H38" s="957" t="s">
        <v>453</v>
      </c>
      <c r="I38" s="121">
        <v>30000000</v>
      </c>
      <c r="J38" s="821" t="s">
        <v>5667</v>
      </c>
      <c r="K38" s="135">
        <v>2012</v>
      </c>
      <c r="L38" s="519" t="s">
        <v>1087</v>
      </c>
      <c r="M38" s="136">
        <v>41151</v>
      </c>
      <c r="N38" s="136">
        <v>41333</v>
      </c>
      <c r="O38" s="1099" t="str">
        <f>IF(+Modificaciones!I38=0,"",VLOOKUP(E38,Modificaciones!$B$7:$I$2400,8,0))</f>
        <v/>
      </c>
      <c r="P38" s="115">
        <f>COUNTA(Modificaciones!J38,Modificaciones!L38,Modificaciones!N38,Modificaciones!P38)</f>
        <v>0</v>
      </c>
      <c r="Q38" s="116">
        <f>VLOOKUP(E38,Modificaciones!$B$7:$R$300,17,0)</f>
        <v>0</v>
      </c>
      <c r="R38" s="117">
        <f>COUNTA(Modificaciones!T38,Modificaciones!V38,Modificaciones!X38,Modificaciones!Z38)</f>
        <v>0</v>
      </c>
      <c r="S38" s="118" t="str">
        <f>IF(Modificaciones!AA38=0,"",VLOOKUP(E38,Modificaciones!$B$7:$AA$400,26,0))</f>
        <v/>
      </c>
      <c r="T38" s="119" t="str">
        <f>IF(Modificaciones!AB38=0,"",VLOOKUP(E38,Modificaciones!$B$7:$AB$400,27,0))</f>
        <v/>
      </c>
      <c r="U38" s="1080" t="str">
        <f>+Modificaciones!AC38</f>
        <v/>
      </c>
      <c r="V38" s="825" t="str">
        <f>+Modificaciones!AK38</f>
        <v/>
      </c>
      <c r="W38" s="825">
        <f t="shared" si="6"/>
        <v>41333</v>
      </c>
      <c r="X38" s="59">
        <f t="shared" si="1"/>
        <v>30000000</v>
      </c>
      <c r="Y38" s="151">
        <f>VLOOKUP(E38,Modificaciones!$B$7:$BE$300,56,0)</f>
        <v>30000000</v>
      </c>
      <c r="Z38" s="84">
        <f t="shared" si="2"/>
        <v>0</v>
      </c>
      <c r="AA38" s="283"/>
      <c r="AB38" s="40">
        <f t="shared" si="3"/>
        <v>1</v>
      </c>
      <c r="AC38" s="40">
        <f t="shared" ca="1" si="7"/>
        <v>1</v>
      </c>
      <c r="AD38" s="41">
        <f t="shared" ca="1" si="8"/>
        <v>0</v>
      </c>
      <c r="AE38" s="181" t="str">
        <f t="shared" ca="1" si="9"/>
        <v/>
      </c>
      <c r="AF38" s="42" t="str">
        <f t="shared" si="5"/>
        <v>SI</v>
      </c>
      <c r="AG38" s="42"/>
      <c r="AH38" s="152" t="s">
        <v>1255</v>
      </c>
      <c r="AI38" s="152" t="s">
        <v>1130</v>
      </c>
      <c r="AJ38" s="152"/>
      <c r="AL38" s="153"/>
      <c r="AM38" s="160" t="s">
        <v>600</v>
      </c>
      <c r="AN38" s="161" t="str">
        <f t="shared" ca="1" si="10"/>
        <v>TERMINO</v>
      </c>
      <c r="AO38" s="160" t="s">
        <v>582</v>
      </c>
      <c r="AP38" s="155" t="s">
        <v>391</v>
      </c>
      <c r="AQ38" s="819" t="str">
        <f>IFERROR(VLOOKUP(E38,'liquidaciones '!$B$2:$C$1048576,2,0),"NO")</f>
        <v>LIQUIDADO</v>
      </c>
      <c r="AR38" s="909" t="str">
        <f>IFERROR(VLOOKUP(E38,'liquidaciones '!$B$2:$I$1048576,8,0),"")</f>
        <v>JUAN DIEGO ESPITIA</v>
      </c>
      <c r="AS38" s="308">
        <v>41845</v>
      </c>
      <c r="AT38" s="156" t="str">
        <f t="shared" ca="1" si="11"/>
        <v>NO</v>
      </c>
      <c r="AU38" s="156" t="s">
        <v>983</v>
      </c>
      <c r="AV38" s="406"/>
      <c r="AW38" s="928"/>
      <c r="AX38" s="928"/>
      <c r="AY38" s="928"/>
    </row>
    <row r="39" spans="1:54" ht="47.25" customHeight="1" x14ac:dyDescent="0.3">
      <c r="A39" s="14">
        <v>3</v>
      </c>
      <c r="B39" s="14">
        <v>33</v>
      </c>
      <c r="C39" s="410"/>
      <c r="D39" s="410" t="str">
        <f t="shared" si="0"/>
        <v>2012</v>
      </c>
      <c r="E39" s="120" t="s">
        <v>10</v>
      </c>
      <c r="F39" s="129" t="s">
        <v>1009</v>
      </c>
      <c r="G39" s="1046">
        <v>39753021</v>
      </c>
      <c r="H39" s="958" t="s">
        <v>454</v>
      </c>
      <c r="I39" s="130">
        <v>35000000</v>
      </c>
      <c r="J39" s="821" t="s">
        <v>5268</v>
      </c>
      <c r="K39" s="135">
        <v>2012</v>
      </c>
      <c r="L39" s="519" t="s">
        <v>1087</v>
      </c>
      <c r="M39" s="133">
        <v>41155</v>
      </c>
      <c r="N39" s="134">
        <v>41367</v>
      </c>
      <c r="O39" s="1099" t="str">
        <f>IF(+Modificaciones!I39=0,"",VLOOKUP(E39,Modificaciones!$B$7:$I$2400,8,0))</f>
        <v/>
      </c>
      <c r="P39" s="115">
        <f>COUNTA(Modificaciones!J39,Modificaciones!L39,Modificaciones!N39,Modificaciones!P39)</f>
        <v>0</v>
      </c>
      <c r="Q39" s="116">
        <f>VLOOKUP(E39,Modificaciones!$B$7:$R$300,17,0)</f>
        <v>0</v>
      </c>
      <c r="R39" s="117">
        <f>COUNTA(Modificaciones!T39,Modificaciones!V39,Modificaciones!X39,Modificaciones!Z39)</f>
        <v>0</v>
      </c>
      <c r="S39" s="118" t="str">
        <f>IF(Modificaciones!AA39=0,"",VLOOKUP(E39,Modificaciones!$B$7:$AA$400,26,0))</f>
        <v/>
      </c>
      <c r="T39" s="119" t="str">
        <f>IF(Modificaciones!AB39=0,"",VLOOKUP(E39,Modificaciones!$B$7:$AB$400,27,0))</f>
        <v/>
      </c>
      <c r="U39" s="1080" t="str">
        <f>+Modificaciones!AC39</f>
        <v/>
      </c>
      <c r="V39" s="825" t="str">
        <f>+Modificaciones!AK39</f>
        <v/>
      </c>
      <c r="W39" s="825">
        <f t="shared" si="6"/>
        <v>41367</v>
      </c>
      <c r="X39" s="59">
        <f t="shared" si="1"/>
        <v>35000000</v>
      </c>
      <c r="Y39" s="151">
        <f>VLOOKUP(E39,Modificaciones!$B$7:$BE$300,56,0)</f>
        <v>34666667</v>
      </c>
      <c r="Z39" s="84">
        <f t="shared" si="2"/>
        <v>333333</v>
      </c>
      <c r="AA39" s="283"/>
      <c r="AB39" s="40">
        <f t="shared" si="3"/>
        <v>0.99047620000000003</v>
      </c>
      <c r="AC39" s="40">
        <f t="shared" ca="1" si="7"/>
        <v>1</v>
      </c>
      <c r="AD39" s="41">
        <f t="shared" ca="1" si="8"/>
        <v>9.5237999999999712E-3</v>
      </c>
      <c r="AE39" s="181" t="str">
        <f t="shared" ca="1" si="9"/>
        <v/>
      </c>
      <c r="AF39" s="42" t="str">
        <f t="shared" si="5"/>
        <v>NO</v>
      </c>
      <c r="AG39" s="42"/>
      <c r="AH39" s="152" t="s">
        <v>1255</v>
      </c>
      <c r="AI39" s="152" t="s">
        <v>1130</v>
      </c>
      <c r="AJ39" s="152"/>
      <c r="AL39" s="153"/>
      <c r="AM39" s="160" t="s">
        <v>600</v>
      </c>
      <c r="AN39" s="161" t="str">
        <f t="shared" ca="1" si="10"/>
        <v>TERMINO</v>
      </c>
      <c r="AO39" s="160" t="s">
        <v>582</v>
      </c>
      <c r="AP39" s="155" t="s">
        <v>391</v>
      </c>
      <c r="AQ39" s="819" t="str">
        <f>IFERROR(VLOOKUP(E39,'liquidaciones '!$B$2:$C$1048576,2,0),"NO")</f>
        <v>LIQUIDADO</v>
      </c>
      <c r="AR39" s="909">
        <f>IFERROR(VLOOKUP(E39,'liquidaciones '!$B$2:$I$1048576,8,0),"")</f>
        <v>0</v>
      </c>
      <c r="AS39" s="308">
        <v>42150</v>
      </c>
      <c r="AT39" s="156" t="str">
        <f t="shared" ca="1" si="11"/>
        <v>NO</v>
      </c>
      <c r="AU39" s="156" t="s">
        <v>1055</v>
      </c>
      <c r="AV39" s="406"/>
      <c r="AW39" s="928"/>
      <c r="AX39" s="928"/>
      <c r="AY39" s="928"/>
    </row>
    <row r="40" spans="1:54" ht="47.25" customHeight="1" x14ac:dyDescent="0.3">
      <c r="A40" s="14">
        <v>1</v>
      </c>
      <c r="B40" s="14">
        <v>34</v>
      </c>
      <c r="C40" s="410"/>
      <c r="D40" s="410" t="str">
        <f t="shared" si="0"/>
        <v>2012</v>
      </c>
      <c r="E40" s="120" t="s">
        <v>114</v>
      </c>
      <c r="F40" s="120" t="s">
        <v>115</v>
      </c>
      <c r="G40" s="1046">
        <v>830031631</v>
      </c>
      <c r="H40" s="957" t="s">
        <v>455</v>
      </c>
      <c r="I40" s="121">
        <v>8334226</v>
      </c>
      <c r="J40" s="821" t="s">
        <v>5674</v>
      </c>
      <c r="K40" s="135">
        <v>2012</v>
      </c>
      <c r="L40" s="519" t="s">
        <v>1087</v>
      </c>
      <c r="M40" s="123">
        <v>41170</v>
      </c>
      <c r="N40" s="123">
        <v>41626</v>
      </c>
      <c r="O40" s="1099" t="str">
        <f>IF(+Modificaciones!I40=0,"",VLOOKUP(E40,Modificaciones!$B$7:$I$2400,8,0))</f>
        <v/>
      </c>
      <c r="P40" s="115">
        <f>COUNTA(Modificaciones!J40,Modificaciones!L40,Modificaciones!N40,Modificaciones!P40)</f>
        <v>0</v>
      </c>
      <c r="Q40" s="116">
        <f>VLOOKUP(E40,Modificaciones!$B$7:$R$300,17,0)</f>
        <v>0</v>
      </c>
      <c r="R40" s="117">
        <f>COUNTA(Modificaciones!T40,Modificaciones!V40,Modificaciones!X40,Modificaciones!Z40)</f>
        <v>0</v>
      </c>
      <c r="S40" s="118" t="str">
        <f>IF(Modificaciones!AA40=0,"",VLOOKUP(E40,Modificaciones!$B$7:$AA$400,26,0))</f>
        <v/>
      </c>
      <c r="T40" s="119" t="str">
        <f>IF(Modificaciones!AB40=0,"",VLOOKUP(E40,Modificaciones!$B$7:$AB$400,27,0))</f>
        <v/>
      </c>
      <c r="U40" s="1080" t="str">
        <f>+Modificaciones!AC40</f>
        <v/>
      </c>
      <c r="V40" s="825" t="str">
        <f>+Modificaciones!AK40</f>
        <v/>
      </c>
      <c r="W40" s="825">
        <f t="shared" si="6"/>
        <v>41626</v>
      </c>
      <c r="X40" s="59">
        <f t="shared" si="1"/>
        <v>8334226</v>
      </c>
      <c r="Y40" s="151">
        <f>VLOOKUP(E40,Modificaciones!$B$7:$BE$300,56,0)</f>
        <v>8334226</v>
      </c>
      <c r="Z40" s="84">
        <f t="shared" si="2"/>
        <v>0</v>
      </c>
      <c r="AA40" s="283"/>
      <c r="AB40" s="40">
        <f t="shared" si="3"/>
        <v>1</v>
      </c>
      <c r="AC40" s="40">
        <f t="shared" ca="1" si="7"/>
        <v>1</v>
      </c>
      <c r="AD40" s="41">
        <f t="shared" ca="1" si="8"/>
        <v>0</v>
      </c>
      <c r="AE40" s="181" t="str">
        <f t="shared" ca="1" si="9"/>
        <v/>
      </c>
      <c r="AF40" s="42" t="str">
        <f t="shared" si="5"/>
        <v>SI</v>
      </c>
      <c r="AG40" s="42"/>
      <c r="AH40" s="152" t="s">
        <v>1255</v>
      </c>
      <c r="AI40" s="152" t="s">
        <v>1303</v>
      </c>
      <c r="AJ40" s="152" t="s">
        <v>1434</v>
      </c>
      <c r="AK40" s="255" t="s">
        <v>560</v>
      </c>
      <c r="AL40" s="153"/>
      <c r="AM40" s="160" t="s">
        <v>600</v>
      </c>
      <c r="AN40" s="161" t="str">
        <f t="shared" ca="1" si="10"/>
        <v>TERMINO</v>
      </c>
      <c r="AO40" s="160" t="s">
        <v>576</v>
      </c>
      <c r="AP40" s="155" t="s">
        <v>390</v>
      </c>
      <c r="AQ40" s="819" t="str">
        <f>IFERROR(VLOOKUP(E40,'liquidaciones '!$B$2:$C$1048576,2,0),"NO")</f>
        <v>NO</v>
      </c>
      <c r="AR40" s="909" t="str">
        <f>IFERROR(VLOOKUP(E40,'liquidaciones '!$B$2:$I$1048576,8,0),"")</f>
        <v/>
      </c>
      <c r="AS40" s="310"/>
      <c r="AT40" s="156" t="str">
        <f t="shared" ca="1" si="11"/>
        <v>NO</v>
      </c>
      <c r="AU40" s="156" t="s">
        <v>983</v>
      </c>
      <c r="AV40" s="406"/>
      <c r="AW40" s="928"/>
      <c r="AX40" s="928"/>
      <c r="AY40" s="928"/>
    </row>
    <row r="41" spans="1:54" ht="47.25" customHeight="1" x14ac:dyDescent="0.3">
      <c r="A41" s="14">
        <v>1</v>
      </c>
      <c r="B41" s="14">
        <v>35</v>
      </c>
      <c r="C41" s="410"/>
      <c r="D41" s="410" t="str">
        <f t="shared" si="0"/>
        <v>2012</v>
      </c>
      <c r="E41" s="120" t="s">
        <v>2252</v>
      </c>
      <c r="F41" s="129" t="s">
        <v>3</v>
      </c>
      <c r="G41" s="1046">
        <v>830095213</v>
      </c>
      <c r="H41" s="958" t="s">
        <v>456</v>
      </c>
      <c r="I41" s="130">
        <v>315000000</v>
      </c>
      <c r="J41" s="821" t="s">
        <v>4301</v>
      </c>
      <c r="K41" s="135">
        <v>2012</v>
      </c>
      <c r="L41" s="519" t="s">
        <v>1087</v>
      </c>
      <c r="M41" s="131">
        <v>41163</v>
      </c>
      <c r="N41" s="132">
        <v>41375</v>
      </c>
      <c r="O41" s="1099" t="str">
        <f>IF(+Modificaciones!I41=0,"",VLOOKUP(E41,Modificaciones!$B$7:$I$2400,8,0))</f>
        <v/>
      </c>
      <c r="P41" s="115">
        <f>COUNTA(Modificaciones!J41,Modificaciones!L41,Modificaciones!N41,Modificaciones!P41)</f>
        <v>0</v>
      </c>
      <c r="Q41" s="116">
        <f>VLOOKUP(E41,Modificaciones!$B$7:$R$300,17,0)</f>
        <v>0</v>
      </c>
      <c r="R41" s="117">
        <f>COUNTA(Modificaciones!T41,Modificaciones!V41,Modificaciones!X41,Modificaciones!Z41)</f>
        <v>1</v>
      </c>
      <c r="S41" s="118" t="str">
        <f>IF(Modificaciones!AA41=0,"",VLOOKUP(E41,Modificaciones!$B$7:$AA$400,26,0))</f>
        <v>77 días</v>
      </c>
      <c r="T41" s="119">
        <f>IF(Modificaciones!AB41=0,"",VLOOKUP(E41,Modificaciones!$B$7:$AB$400,27,0))</f>
        <v>41452</v>
      </c>
      <c r="U41" s="1080" t="str">
        <f>+Modificaciones!AC41</f>
        <v/>
      </c>
      <c r="V41" s="825" t="str">
        <f>+Modificaciones!AK41</f>
        <v/>
      </c>
      <c r="W41" s="825">
        <f t="shared" si="6"/>
        <v>41452</v>
      </c>
      <c r="X41" s="59">
        <f t="shared" si="1"/>
        <v>315000000</v>
      </c>
      <c r="Y41" s="151">
        <f>VLOOKUP(E41,Modificaciones!$B$7:$BE$300,56,0)</f>
        <v>314473887</v>
      </c>
      <c r="Z41" s="84">
        <f t="shared" si="2"/>
        <v>526113</v>
      </c>
      <c r="AA41" s="283"/>
      <c r="AB41" s="40">
        <f t="shared" si="3"/>
        <v>0.99832980000000004</v>
      </c>
      <c r="AC41" s="40">
        <f t="shared" ca="1" si="7"/>
        <v>1</v>
      </c>
      <c r="AD41" s="41">
        <f t="shared" ca="1" si="8"/>
        <v>1.6701999999999551E-3</v>
      </c>
      <c r="AE41" s="181" t="str">
        <f t="shared" ca="1" si="9"/>
        <v/>
      </c>
      <c r="AF41" s="42" t="str">
        <f t="shared" si="5"/>
        <v>NO</v>
      </c>
      <c r="AG41" s="42"/>
      <c r="AH41" s="152" t="s">
        <v>1255</v>
      </c>
      <c r="AI41" s="152" t="s">
        <v>1138</v>
      </c>
      <c r="AJ41" s="152" t="s">
        <v>1441</v>
      </c>
      <c r="AK41" s="255" t="s">
        <v>560</v>
      </c>
      <c r="AL41" s="153" t="s">
        <v>1318</v>
      </c>
      <c r="AM41" s="160" t="s">
        <v>600</v>
      </c>
      <c r="AN41" s="161" t="str">
        <f t="shared" ca="1" si="10"/>
        <v>TERMINO</v>
      </c>
      <c r="AO41" s="160" t="s">
        <v>574</v>
      </c>
      <c r="AP41" s="155" t="s">
        <v>390</v>
      </c>
      <c r="AQ41" s="819" t="str">
        <f>IFERROR(VLOOKUP(E41,'liquidaciones '!$B$2:$C$1048576,2,0),"NO")</f>
        <v>LIQUIDADO</v>
      </c>
      <c r="AR41" s="909">
        <f>IFERROR(VLOOKUP(E41,'liquidaciones '!$B$2:$I$1048576,8,0),"")</f>
        <v>0</v>
      </c>
      <c r="AS41" s="310">
        <v>42362</v>
      </c>
      <c r="AT41" s="156" t="str">
        <f t="shared" ca="1" si="11"/>
        <v>NO</v>
      </c>
      <c r="AU41" s="156" t="s">
        <v>1570</v>
      </c>
      <c r="AV41" s="406"/>
      <c r="AW41" s="928"/>
      <c r="AX41" s="928"/>
      <c r="AY41" s="928"/>
    </row>
    <row r="42" spans="1:54" ht="47.25" customHeight="1" x14ac:dyDescent="0.3">
      <c r="A42" s="14">
        <v>3</v>
      </c>
      <c r="B42" s="14">
        <v>36</v>
      </c>
      <c r="C42" s="410"/>
      <c r="D42" s="410" t="str">
        <f t="shared" si="0"/>
        <v>2012</v>
      </c>
      <c r="E42" s="120" t="s">
        <v>106</v>
      </c>
      <c r="F42" s="120" t="s">
        <v>1010</v>
      </c>
      <c r="G42" s="1046">
        <v>80089626</v>
      </c>
      <c r="H42" s="957" t="s">
        <v>457</v>
      </c>
      <c r="I42" s="121">
        <v>20565000</v>
      </c>
      <c r="J42" s="121" t="s">
        <v>1087</v>
      </c>
      <c r="K42" s="135">
        <v>2012</v>
      </c>
      <c r="L42" s="519" t="s">
        <v>1087</v>
      </c>
      <c r="M42" s="123">
        <v>41162</v>
      </c>
      <c r="N42" s="123">
        <v>41343</v>
      </c>
      <c r="O42" s="1099" t="str">
        <f>IF(+Modificaciones!I42=0,"",VLOOKUP(E42,Modificaciones!$B$7:$I$2400,8,0))</f>
        <v/>
      </c>
      <c r="P42" s="115">
        <f>COUNTA(Modificaciones!J42,Modificaciones!L42,Modificaciones!N42,Modificaciones!P42)</f>
        <v>0</v>
      </c>
      <c r="Q42" s="116">
        <f>VLOOKUP(E42,Modificaciones!$B$7:$R$300,17,0)</f>
        <v>0</v>
      </c>
      <c r="R42" s="117">
        <f>COUNTA(Modificaciones!T42,Modificaciones!V42,Modificaciones!X42,Modificaciones!Z42)</f>
        <v>0</v>
      </c>
      <c r="S42" s="118" t="str">
        <f>IF(Modificaciones!AA42=0,"",VLOOKUP(E42,Modificaciones!$B$7:$AA$400,26,0))</f>
        <v/>
      </c>
      <c r="T42" s="119" t="str">
        <f>IF(Modificaciones!AB42=0,"",VLOOKUP(E42,Modificaciones!$B$7:$AB$400,27,0))</f>
        <v/>
      </c>
      <c r="U42" s="1080" t="str">
        <f>+Modificaciones!AC42</f>
        <v/>
      </c>
      <c r="V42" s="825" t="str">
        <f>+Modificaciones!AK42</f>
        <v/>
      </c>
      <c r="W42" s="825">
        <f t="shared" si="6"/>
        <v>41343</v>
      </c>
      <c r="X42" s="59">
        <f t="shared" si="1"/>
        <v>20565000</v>
      </c>
      <c r="Y42" s="151">
        <f>VLOOKUP(E42,Modificaciones!$B$7:$BE$300,56,0)</f>
        <v>20565000</v>
      </c>
      <c r="Z42" s="84">
        <f t="shared" si="2"/>
        <v>0</v>
      </c>
      <c r="AA42" s="283"/>
      <c r="AB42" s="40">
        <f t="shared" si="3"/>
        <v>1</v>
      </c>
      <c r="AC42" s="40">
        <f t="shared" ca="1" si="7"/>
        <v>1</v>
      </c>
      <c r="AD42" s="41">
        <f t="shared" ca="1" si="8"/>
        <v>0</v>
      </c>
      <c r="AE42" s="181" t="str">
        <f t="shared" ca="1" si="9"/>
        <v/>
      </c>
      <c r="AF42" s="42" t="str">
        <f t="shared" si="5"/>
        <v>SI</v>
      </c>
      <c r="AG42" s="42"/>
      <c r="AH42" s="152" t="s">
        <v>1256</v>
      </c>
      <c r="AI42" s="152" t="s">
        <v>1130</v>
      </c>
      <c r="AJ42" s="152"/>
      <c r="AL42" s="153"/>
      <c r="AM42" s="160" t="s">
        <v>600</v>
      </c>
      <c r="AN42" s="161" t="str">
        <f t="shared" ca="1" si="10"/>
        <v>TERMINO</v>
      </c>
      <c r="AO42" s="160" t="s">
        <v>582</v>
      </c>
      <c r="AP42" s="155" t="s">
        <v>391</v>
      </c>
      <c r="AQ42" s="819" t="str">
        <f>IFERROR(VLOOKUP(E42,'liquidaciones '!$B$2:$C$1048576,2,0),"NO")</f>
        <v>NO</v>
      </c>
      <c r="AR42" s="909" t="str">
        <f>IFERROR(VLOOKUP(E42,'liquidaciones '!$B$2:$I$1048576,8,0),"")</f>
        <v/>
      </c>
      <c r="AS42" s="308">
        <v>41904</v>
      </c>
      <c r="AT42" s="156" t="str">
        <f t="shared" ca="1" si="11"/>
        <v>NO</v>
      </c>
      <c r="AU42" s="156" t="s">
        <v>983</v>
      </c>
      <c r="AV42" s="406"/>
      <c r="AW42" s="928"/>
      <c r="AX42" s="928"/>
      <c r="AY42" s="928"/>
    </row>
    <row r="43" spans="1:54" ht="47.25" customHeight="1" x14ac:dyDescent="0.3">
      <c r="A43" s="14">
        <v>3</v>
      </c>
      <c r="B43" s="14">
        <v>37</v>
      </c>
      <c r="C43" s="410"/>
      <c r="D43" s="410" t="str">
        <f t="shared" si="0"/>
        <v>2012</v>
      </c>
      <c r="E43" s="120" t="s">
        <v>105</v>
      </c>
      <c r="F43" s="120" t="s">
        <v>1011</v>
      </c>
      <c r="G43" s="1046">
        <v>52798119</v>
      </c>
      <c r="H43" s="957" t="s">
        <v>347</v>
      </c>
      <c r="I43" s="121">
        <v>6730000</v>
      </c>
      <c r="J43" s="121" t="s">
        <v>1087</v>
      </c>
      <c r="K43" s="135">
        <v>2012</v>
      </c>
      <c r="L43" s="519" t="s">
        <v>1087</v>
      </c>
      <c r="M43" s="123">
        <v>41193</v>
      </c>
      <c r="N43" s="123">
        <v>41254</v>
      </c>
      <c r="O43" s="1099" t="str">
        <f>IF(+Modificaciones!I43=0,"",VLOOKUP(E43,Modificaciones!$B$7:$I$2400,8,0))</f>
        <v/>
      </c>
      <c r="P43" s="115">
        <f>COUNTA(Modificaciones!J43,Modificaciones!L43,Modificaciones!N43,Modificaciones!P43)</f>
        <v>0</v>
      </c>
      <c r="Q43" s="116">
        <f>VLOOKUP(E43,Modificaciones!$B$7:$R$300,17,0)</f>
        <v>0</v>
      </c>
      <c r="R43" s="117">
        <f>COUNTA(Modificaciones!T43,Modificaciones!V43,Modificaciones!X43,Modificaciones!Z43)</f>
        <v>1</v>
      </c>
      <c r="S43" s="118" t="str">
        <f>IF(Modificaciones!AA43=0,"",VLOOKUP(E43,Modificaciones!$B$7:$AA$400,26,0))</f>
        <v>9 días</v>
      </c>
      <c r="T43" s="119">
        <f>IF(Modificaciones!AB43=0,"",VLOOKUP(E43,Modificaciones!$B$7:$AB$400,27,0))</f>
        <v>41263</v>
      </c>
      <c r="U43" s="1080" t="str">
        <f>+Modificaciones!AC43</f>
        <v/>
      </c>
      <c r="V43" s="825" t="str">
        <f>+Modificaciones!AK43</f>
        <v/>
      </c>
      <c r="W43" s="825">
        <f t="shared" si="6"/>
        <v>41263</v>
      </c>
      <c r="X43" s="59">
        <f t="shared" si="1"/>
        <v>6730000</v>
      </c>
      <c r="Y43" s="151">
        <f>VLOOKUP(E43,Modificaciones!$B$7:$BE$300,56,0)</f>
        <v>6395000</v>
      </c>
      <c r="Z43" s="84">
        <f t="shared" si="2"/>
        <v>335000</v>
      </c>
      <c r="AA43" s="283"/>
      <c r="AB43" s="40">
        <f t="shared" si="3"/>
        <v>0.95022288261515597</v>
      </c>
      <c r="AC43" s="40">
        <f t="shared" ca="1" si="7"/>
        <v>1</v>
      </c>
      <c r="AD43" s="41">
        <f t="shared" ca="1" si="8"/>
        <v>4.9777117384844027E-2</v>
      </c>
      <c r="AE43" s="181" t="str">
        <f t="shared" ca="1" si="9"/>
        <v/>
      </c>
      <c r="AF43" s="42" t="str">
        <f t="shared" si="5"/>
        <v>NO</v>
      </c>
      <c r="AG43" s="42"/>
      <c r="AH43" s="152" t="s">
        <v>1255</v>
      </c>
      <c r="AI43" s="152" t="s">
        <v>1465</v>
      </c>
      <c r="AJ43" s="152"/>
      <c r="AL43" s="153"/>
      <c r="AM43" s="160" t="s">
        <v>600</v>
      </c>
      <c r="AN43" s="161" t="str">
        <f t="shared" ca="1" si="10"/>
        <v>TERMINO</v>
      </c>
      <c r="AO43" s="160" t="s">
        <v>576</v>
      </c>
      <c r="AP43" s="155" t="s">
        <v>390</v>
      </c>
      <c r="AQ43" s="819" t="str">
        <f>IFERROR(VLOOKUP(E43,'liquidaciones '!$B$2:$C$1048576,2,0),"NO")</f>
        <v>NO</v>
      </c>
      <c r="AR43" s="909" t="str">
        <f>IFERROR(VLOOKUP(E43,'liquidaciones '!$B$2:$I$1048576,8,0),"")</f>
        <v/>
      </c>
      <c r="AS43" s="310"/>
      <c r="AT43" s="156" t="str">
        <f t="shared" ca="1" si="11"/>
        <v>NO</v>
      </c>
      <c r="AU43" s="156" t="s">
        <v>983</v>
      </c>
      <c r="AV43" s="406"/>
      <c r="AW43" s="928"/>
      <c r="AX43" s="928"/>
      <c r="AY43" s="928"/>
    </row>
    <row r="44" spans="1:54" ht="47.25" customHeight="1" x14ac:dyDescent="0.3">
      <c r="A44" s="14">
        <v>3</v>
      </c>
      <c r="B44" s="14">
        <v>38</v>
      </c>
      <c r="C44" s="410"/>
      <c r="D44" s="410" t="str">
        <f t="shared" si="0"/>
        <v>2012</v>
      </c>
      <c r="E44" s="120" t="s">
        <v>17</v>
      </c>
      <c r="F44" s="129" t="s">
        <v>18</v>
      </c>
      <c r="G44" s="1046">
        <v>79425541</v>
      </c>
      <c r="H44" s="958" t="s">
        <v>319</v>
      </c>
      <c r="I44" s="130">
        <v>23994880</v>
      </c>
      <c r="J44" s="821" t="s">
        <v>4295</v>
      </c>
      <c r="K44" s="135">
        <v>2012</v>
      </c>
      <c r="L44" s="519" t="s">
        <v>1087</v>
      </c>
      <c r="M44" s="133">
        <v>41205</v>
      </c>
      <c r="N44" s="134">
        <v>41387</v>
      </c>
      <c r="O44" s="1099" t="str">
        <f>IF(+Modificaciones!I44=0,"",VLOOKUP(E44,Modificaciones!$B$7:$I$2400,8,0))</f>
        <v/>
      </c>
      <c r="P44" s="115">
        <f>COUNTA(Modificaciones!J44,Modificaciones!L44,Modificaciones!N44,Modificaciones!P44)</f>
        <v>0</v>
      </c>
      <c r="Q44" s="116">
        <f>VLOOKUP(E44,Modificaciones!$B$7:$R$300,17,0)</f>
        <v>0</v>
      </c>
      <c r="R44" s="117">
        <f>COUNTA(Modificaciones!T44,Modificaciones!V44,Modificaciones!X44,Modificaciones!Z44)</f>
        <v>0</v>
      </c>
      <c r="S44" s="118" t="str">
        <f>IF(Modificaciones!AA44=0,"",VLOOKUP(E44,Modificaciones!$B$7:$AA$400,26,0))</f>
        <v/>
      </c>
      <c r="T44" s="119" t="str">
        <f>IF(Modificaciones!AB44=0,"",VLOOKUP(E44,Modificaciones!$B$7:$AB$400,27,0))</f>
        <v/>
      </c>
      <c r="U44" s="1080" t="str">
        <f>+Modificaciones!AC44</f>
        <v/>
      </c>
      <c r="V44" s="825" t="str">
        <f>+Modificaciones!AK44</f>
        <v/>
      </c>
      <c r="W44" s="825">
        <f t="shared" si="6"/>
        <v>41387</v>
      </c>
      <c r="X44" s="59">
        <f t="shared" si="1"/>
        <v>23994880</v>
      </c>
      <c r="Y44" s="151">
        <f>VLOOKUP(E44,Modificaciones!$B$7:$BE$300,56,0)</f>
        <v>23994876</v>
      </c>
      <c r="Z44" s="84">
        <f t="shared" si="2"/>
        <v>4</v>
      </c>
      <c r="AA44" s="283"/>
      <c r="AB44" s="40">
        <f t="shared" si="3"/>
        <v>0.9999998332977702</v>
      </c>
      <c r="AC44" s="40">
        <f t="shared" ca="1" si="7"/>
        <v>1</v>
      </c>
      <c r="AD44" s="41">
        <f t="shared" ca="1" si="8"/>
        <v>1.66702229797977E-7</v>
      </c>
      <c r="AE44" s="181" t="str">
        <f t="shared" ca="1" si="9"/>
        <v/>
      </c>
      <c r="AF44" s="42" t="str">
        <f t="shared" si="5"/>
        <v>SI</v>
      </c>
      <c r="AG44" s="42"/>
      <c r="AH44" s="152" t="s">
        <v>1255</v>
      </c>
      <c r="AI44" s="152" t="s">
        <v>1130</v>
      </c>
      <c r="AJ44" s="152"/>
      <c r="AL44" s="153"/>
      <c r="AM44" s="160" t="s">
        <v>600</v>
      </c>
      <c r="AN44" s="161" t="str">
        <f t="shared" ca="1" si="10"/>
        <v>TERMINO</v>
      </c>
      <c r="AO44" s="160" t="s">
        <v>582</v>
      </c>
      <c r="AP44" s="155" t="s">
        <v>391</v>
      </c>
      <c r="AQ44" s="819" t="str">
        <f>IFERROR(VLOOKUP(E44,'liquidaciones '!$B$2:$C$1048576,2,0),"NO")</f>
        <v>LIQUIDADO</v>
      </c>
      <c r="AR44" s="909">
        <f>IFERROR(VLOOKUP(E44,'liquidaciones '!$B$2:$I$1048576,8,0),"")</f>
        <v>0</v>
      </c>
      <c r="AS44" s="308">
        <v>41654</v>
      </c>
      <c r="AT44" s="156" t="str">
        <f t="shared" ca="1" si="11"/>
        <v>NO</v>
      </c>
      <c r="AU44" s="156" t="s">
        <v>983</v>
      </c>
      <c r="AV44" s="406"/>
      <c r="AW44" s="928"/>
      <c r="AX44" s="928"/>
      <c r="AY44" s="928"/>
    </row>
    <row r="45" spans="1:54" ht="47.25" customHeight="1" x14ac:dyDescent="0.3">
      <c r="A45" s="14">
        <v>3</v>
      </c>
      <c r="B45" s="14">
        <v>39</v>
      </c>
      <c r="C45" s="410"/>
      <c r="D45" s="410" t="str">
        <f t="shared" si="0"/>
        <v>2012</v>
      </c>
      <c r="E45" s="120" t="s">
        <v>24</v>
      </c>
      <c r="F45" s="120" t="s">
        <v>1012</v>
      </c>
      <c r="G45" s="1046">
        <v>5946865</v>
      </c>
      <c r="H45" s="957" t="s">
        <v>323</v>
      </c>
      <c r="I45" s="121">
        <v>38400000</v>
      </c>
      <c r="J45" s="121" t="s">
        <v>1087</v>
      </c>
      <c r="K45" s="135">
        <v>2012</v>
      </c>
      <c r="L45" s="519" t="s">
        <v>1087</v>
      </c>
      <c r="M45" s="123">
        <v>41187</v>
      </c>
      <c r="N45" s="123">
        <v>41369</v>
      </c>
      <c r="O45" s="1099" t="str">
        <f>IF(+Modificaciones!I45=0,"",VLOOKUP(E45,Modificaciones!$B$7:$I$2400,8,0))</f>
        <v/>
      </c>
      <c r="P45" s="115">
        <f>COUNTA(Modificaciones!J45,Modificaciones!L45,Modificaciones!N45,Modificaciones!P45)</f>
        <v>0</v>
      </c>
      <c r="Q45" s="116">
        <f>VLOOKUP(E45,Modificaciones!$B$7:$R$300,17,0)</f>
        <v>0</v>
      </c>
      <c r="R45" s="117">
        <f>COUNTA(Modificaciones!T45,Modificaciones!V45,Modificaciones!X45,Modificaciones!Z45)</f>
        <v>0</v>
      </c>
      <c r="S45" s="118" t="str">
        <f>IF(Modificaciones!AA45=0,"",VLOOKUP(E45,Modificaciones!$B$7:$AA$400,26,0))</f>
        <v/>
      </c>
      <c r="T45" s="119" t="str">
        <f>IF(Modificaciones!AB45=0,"",VLOOKUP(E45,Modificaciones!$B$7:$AB$400,27,0))</f>
        <v/>
      </c>
      <c r="U45" s="1080" t="str">
        <f>+Modificaciones!AC45</f>
        <v/>
      </c>
      <c r="V45" s="825" t="str">
        <f>+Modificaciones!AK45</f>
        <v/>
      </c>
      <c r="W45" s="825">
        <f t="shared" si="6"/>
        <v>41369</v>
      </c>
      <c r="X45" s="59">
        <f t="shared" si="1"/>
        <v>38400000</v>
      </c>
      <c r="Y45" s="151">
        <f>VLOOKUP(E45,Modificaciones!$B$7:$BE$300,56,0)</f>
        <v>38400000</v>
      </c>
      <c r="Z45" s="84">
        <f t="shared" si="2"/>
        <v>0</v>
      </c>
      <c r="AA45" s="283"/>
      <c r="AB45" s="40">
        <f t="shared" si="3"/>
        <v>1</v>
      </c>
      <c r="AC45" s="40">
        <f t="shared" ca="1" si="7"/>
        <v>1</v>
      </c>
      <c r="AD45" s="41">
        <f t="shared" ca="1" si="8"/>
        <v>0</v>
      </c>
      <c r="AE45" s="181" t="str">
        <f t="shared" ca="1" si="9"/>
        <v/>
      </c>
      <c r="AF45" s="42" t="str">
        <f t="shared" si="5"/>
        <v>SI</v>
      </c>
      <c r="AG45" s="42"/>
      <c r="AH45" s="152" t="s">
        <v>1255</v>
      </c>
      <c r="AI45" s="152" t="s">
        <v>1130</v>
      </c>
      <c r="AJ45" s="152"/>
      <c r="AL45" s="153"/>
      <c r="AM45" s="160" t="s">
        <v>600</v>
      </c>
      <c r="AN45" s="161" t="str">
        <f t="shared" ca="1" si="10"/>
        <v>TERMINO</v>
      </c>
      <c r="AO45" s="160" t="s">
        <v>582</v>
      </c>
      <c r="AP45" s="155" t="s">
        <v>391</v>
      </c>
      <c r="AQ45" s="819" t="str">
        <f>IFERROR(VLOOKUP(E45,'liquidaciones '!$B$2:$C$1048576,2,0),"NO")</f>
        <v>NO</v>
      </c>
      <c r="AR45" s="909" t="str">
        <f>IFERROR(VLOOKUP(E45,'liquidaciones '!$B$2:$I$1048576,8,0),"")</f>
        <v/>
      </c>
      <c r="AS45" s="308"/>
      <c r="AT45" s="156" t="str">
        <f t="shared" ca="1" si="11"/>
        <v>NO</v>
      </c>
      <c r="AU45" s="156" t="s">
        <v>982</v>
      </c>
      <c r="AV45" s="406"/>
      <c r="AW45" s="928"/>
      <c r="AX45" s="928"/>
      <c r="AY45" s="928"/>
    </row>
    <row r="46" spans="1:54" ht="47.25" customHeight="1" x14ac:dyDescent="0.3">
      <c r="A46" s="14">
        <v>1</v>
      </c>
      <c r="B46" s="14">
        <v>40</v>
      </c>
      <c r="C46" s="410"/>
      <c r="D46" s="410" t="str">
        <f t="shared" si="0"/>
        <v>2012</v>
      </c>
      <c r="E46" s="120" t="s">
        <v>118</v>
      </c>
      <c r="F46" s="129" t="s">
        <v>1013</v>
      </c>
      <c r="G46" s="1046">
        <v>900220190</v>
      </c>
      <c r="H46" s="958" t="s">
        <v>351</v>
      </c>
      <c r="I46" s="130">
        <v>3961330</v>
      </c>
      <c r="J46" s="121" t="s">
        <v>1087</v>
      </c>
      <c r="K46" s="135">
        <v>2012</v>
      </c>
      <c r="L46" s="519" t="s">
        <v>1087</v>
      </c>
      <c r="M46" s="131">
        <v>41246</v>
      </c>
      <c r="N46" s="132">
        <v>41308</v>
      </c>
      <c r="O46" s="1099" t="str">
        <f>IF(+Modificaciones!I46=0,"",VLOOKUP(E46,Modificaciones!$B$7:$I$2400,8,0))</f>
        <v/>
      </c>
      <c r="P46" s="115">
        <f>COUNTA(Modificaciones!J46,Modificaciones!L46,Modificaciones!N46,Modificaciones!P46)</f>
        <v>0</v>
      </c>
      <c r="Q46" s="116">
        <f>VLOOKUP(E46,Modificaciones!$B$7:$R$300,17,0)</f>
        <v>0</v>
      </c>
      <c r="R46" s="117">
        <f>COUNTA(Modificaciones!T46,Modificaciones!V46,Modificaciones!X46,Modificaciones!Z46)</f>
        <v>0</v>
      </c>
      <c r="S46" s="118" t="str">
        <f>IF(Modificaciones!AA46=0,"",VLOOKUP(E46,Modificaciones!$B$7:$AA$400,26,0))</f>
        <v/>
      </c>
      <c r="T46" s="119" t="str">
        <f>IF(Modificaciones!AB46=0,"",VLOOKUP(E46,Modificaciones!$B$7:$AB$400,27,0))</f>
        <v/>
      </c>
      <c r="U46" s="1080" t="str">
        <f>+Modificaciones!AC46</f>
        <v/>
      </c>
      <c r="V46" s="825" t="str">
        <f>+Modificaciones!AK46</f>
        <v/>
      </c>
      <c r="W46" s="825">
        <f t="shared" si="6"/>
        <v>41308</v>
      </c>
      <c r="X46" s="59">
        <f t="shared" si="1"/>
        <v>3961330</v>
      </c>
      <c r="Y46" s="151">
        <f>VLOOKUP(E46,Modificaciones!$B$7:$BE$300,56,0)</f>
        <v>3961330</v>
      </c>
      <c r="Z46" s="84">
        <f t="shared" si="2"/>
        <v>0</v>
      </c>
      <c r="AA46" s="283"/>
      <c r="AB46" s="40">
        <f t="shared" si="3"/>
        <v>1</v>
      </c>
      <c r="AC46" s="40">
        <f t="shared" ca="1" si="7"/>
        <v>1</v>
      </c>
      <c r="AD46" s="41">
        <f t="shared" ca="1" si="8"/>
        <v>0</v>
      </c>
      <c r="AE46" s="181" t="str">
        <f t="shared" ca="1" si="9"/>
        <v/>
      </c>
      <c r="AF46" s="42" t="str">
        <f t="shared" si="5"/>
        <v>SI</v>
      </c>
      <c r="AG46" s="42"/>
      <c r="AH46" s="152" t="s">
        <v>1255</v>
      </c>
      <c r="AI46" s="152" t="s">
        <v>1301</v>
      </c>
      <c r="AJ46" s="152"/>
      <c r="AL46" s="153"/>
      <c r="AM46" s="160" t="s">
        <v>600</v>
      </c>
      <c r="AN46" s="161" t="str">
        <f t="shared" ca="1" si="10"/>
        <v>TERMINO</v>
      </c>
      <c r="AO46" s="160" t="s">
        <v>576</v>
      </c>
      <c r="AP46" s="155" t="s">
        <v>390</v>
      </c>
      <c r="AQ46" s="819" t="str">
        <f>IFERROR(VLOOKUP(E46,'liquidaciones '!$B$2:$C$1048576,2,0),"NO")</f>
        <v>NO</v>
      </c>
      <c r="AR46" s="909" t="str">
        <f>IFERROR(VLOOKUP(E46,'liquidaciones '!$B$2:$I$1048576,8,0),"")</f>
        <v/>
      </c>
      <c r="AS46" s="310"/>
      <c r="AT46" s="156" t="str">
        <f t="shared" ca="1" si="11"/>
        <v>NO</v>
      </c>
      <c r="AU46" s="156" t="s">
        <v>982</v>
      </c>
      <c r="AV46" s="406"/>
      <c r="AW46" s="928"/>
      <c r="AX46" s="928"/>
      <c r="AY46" s="928"/>
    </row>
    <row r="47" spans="1:54" ht="47.25" customHeight="1" x14ac:dyDescent="0.3">
      <c r="A47" s="14">
        <v>1</v>
      </c>
      <c r="B47" s="14">
        <v>41</v>
      </c>
      <c r="C47" s="410"/>
      <c r="D47" s="410" t="str">
        <f t="shared" si="0"/>
        <v>2012</v>
      </c>
      <c r="E47" s="120" t="s">
        <v>62</v>
      </c>
      <c r="F47" s="253" t="s">
        <v>1014</v>
      </c>
      <c r="G47" s="1046">
        <v>900350416</v>
      </c>
      <c r="H47" s="957" t="s">
        <v>416</v>
      </c>
      <c r="I47" s="121">
        <v>24000000</v>
      </c>
      <c r="J47" s="821" t="s">
        <v>4306</v>
      </c>
      <c r="K47" s="135">
        <v>2012</v>
      </c>
      <c r="L47" s="519" t="s">
        <v>1087</v>
      </c>
      <c r="M47" s="123">
        <v>41270</v>
      </c>
      <c r="N47" s="123">
        <v>41452</v>
      </c>
      <c r="O47" s="1099" t="str">
        <f>IF(+Modificaciones!I47=0,"",VLOOKUP(E47,Modificaciones!$B$7:$I$2400,8,0))</f>
        <v/>
      </c>
      <c r="P47" s="115">
        <f>COUNTA(Modificaciones!J47,Modificaciones!L47,Modificaciones!N47,Modificaciones!P47)</f>
        <v>0</v>
      </c>
      <c r="Q47" s="116">
        <f>VLOOKUP(E47,Modificaciones!$B$7:$R$300,17,0)</f>
        <v>0</v>
      </c>
      <c r="R47" s="117">
        <f>COUNTA(Modificaciones!T47,Modificaciones!V47,Modificaciones!X47,Modificaciones!Z47)</f>
        <v>0</v>
      </c>
      <c r="S47" s="118" t="str">
        <f>IF(Modificaciones!AA47=0,"",VLOOKUP(E47,Modificaciones!$B$7:$AA$400,26,0))</f>
        <v/>
      </c>
      <c r="T47" s="119" t="str">
        <f>IF(Modificaciones!AB47=0,"",VLOOKUP(E47,Modificaciones!$B$7:$AB$400,27,0))</f>
        <v/>
      </c>
      <c r="U47" s="1080" t="str">
        <f>+Modificaciones!AC47</f>
        <v/>
      </c>
      <c r="V47" s="825" t="str">
        <f>+Modificaciones!AK47</f>
        <v/>
      </c>
      <c r="W47" s="825">
        <f t="shared" si="6"/>
        <v>41452</v>
      </c>
      <c r="X47" s="59">
        <f t="shared" si="1"/>
        <v>24000000</v>
      </c>
      <c r="Y47" s="151">
        <f>VLOOKUP(E47,Modificaciones!$B$7:$BE$300,56,0)</f>
        <v>24000000</v>
      </c>
      <c r="Z47" s="84">
        <f t="shared" si="2"/>
        <v>0</v>
      </c>
      <c r="AA47" s="283"/>
      <c r="AB47" s="40">
        <f t="shared" si="3"/>
        <v>1</v>
      </c>
      <c r="AC47" s="40">
        <f t="shared" ca="1" si="7"/>
        <v>1</v>
      </c>
      <c r="AD47" s="41">
        <f t="shared" ca="1" si="8"/>
        <v>0</v>
      </c>
      <c r="AE47" s="181" t="str">
        <f t="shared" ca="1" si="9"/>
        <v/>
      </c>
      <c r="AF47" s="42" t="str">
        <f t="shared" si="5"/>
        <v>SI</v>
      </c>
      <c r="AG47" s="42"/>
      <c r="AH47" s="152" t="s">
        <v>1255</v>
      </c>
      <c r="AI47" s="152" t="s">
        <v>1282</v>
      </c>
      <c r="AJ47" s="152"/>
      <c r="AL47" s="153"/>
      <c r="AM47" s="160" t="s">
        <v>600</v>
      </c>
      <c r="AN47" s="161" t="str">
        <f t="shared" ca="1" si="10"/>
        <v>TERMINO</v>
      </c>
      <c r="AO47" s="160" t="s">
        <v>576</v>
      </c>
      <c r="AP47" s="155" t="s">
        <v>390</v>
      </c>
      <c r="AQ47" s="819" t="str">
        <f>IFERROR(VLOOKUP(E47,'liquidaciones '!$B$2:$C$1048576,2,0),"NO")</f>
        <v>LIQUIDADO</v>
      </c>
      <c r="AR47" s="909">
        <f>IFERROR(VLOOKUP(E47,'liquidaciones '!$B$2:$I$1048576,8,0),"")</f>
        <v>0</v>
      </c>
      <c r="AS47" s="310">
        <v>42338</v>
      </c>
      <c r="AT47" s="156" t="str">
        <f t="shared" ca="1" si="11"/>
        <v>NO</v>
      </c>
      <c r="AU47" s="156" t="s">
        <v>982</v>
      </c>
      <c r="AV47" s="406"/>
      <c r="AW47" s="928"/>
      <c r="AX47" s="928"/>
      <c r="AY47" s="928"/>
    </row>
    <row r="48" spans="1:54" ht="47.25" customHeight="1" x14ac:dyDescent="0.3">
      <c r="A48" s="14">
        <v>3</v>
      </c>
      <c r="B48" s="14">
        <v>42</v>
      </c>
      <c r="C48" s="410"/>
      <c r="D48" s="410" t="str">
        <f t="shared" si="0"/>
        <v>2012</v>
      </c>
      <c r="E48" s="120" t="s">
        <v>30</v>
      </c>
      <c r="F48" s="120" t="s">
        <v>31</v>
      </c>
      <c r="G48" s="1046">
        <v>80725449</v>
      </c>
      <c r="H48" s="957" t="s">
        <v>325</v>
      </c>
      <c r="I48" s="121">
        <v>6000000</v>
      </c>
      <c r="J48" s="121" t="s">
        <v>1087</v>
      </c>
      <c r="K48" s="122">
        <v>2012</v>
      </c>
      <c r="L48" s="519" t="s">
        <v>1087</v>
      </c>
      <c r="M48" s="123">
        <v>41292</v>
      </c>
      <c r="N48" s="123">
        <v>41350</v>
      </c>
      <c r="O48" s="1099" t="str">
        <f>IF(+Modificaciones!I48=0,"",VLOOKUP(E48,Modificaciones!$B$7:$I$2400,8,0))</f>
        <v/>
      </c>
      <c r="P48" s="115">
        <f>COUNTA(Modificaciones!J48,Modificaciones!L48,Modificaciones!N48,Modificaciones!P48)</f>
        <v>0</v>
      </c>
      <c r="Q48" s="116">
        <f>VLOOKUP(E48,Modificaciones!$B$7:$R$300,17,0)</f>
        <v>0</v>
      </c>
      <c r="R48" s="117">
        <f>COUNTA(Modificaciones!T48,Modificaciones!V48,Modificaciones!X48,Modificaciones!Z48)</f>
        <v>0</v>
      </c>
      <c r="S48" s="118" t="str">
        <f>IF(Modificaciones!AA48=0,"",VLOOKUP(E48,Modificaciones!$B$7:$AA$400,26,0))</f>
        <v/>
      </c>
      <c r="T48" s="119" t="str">
        <f>IF(Modificaciones!AB48=0,"",VLOOKUP(E48,Modificaciones!$B$7:$AB$400,27,0))</f>
        <v/>
      </c>
      <c r="U48" s="1080" t="str">
        <f>+Modificaciones!AC48</f>
        <v/>
      </c>
      <c r="V48" s="825" t="str">
        <f>+Modificaciones!AK48</f>
        <v/>
      </c>
      <c r="W48" s="825">
        <f t="shared" si="6"/>
        <v>41350</v>
      </c>
      <c r="X48" s="59">
        <f t="shared" si="1"/>
        <v>6000000</v>
      </c>
      <c r="Y48" s="151">
        <f>VLOOKUP(E48,Modificaciones!$B$7:$BE$300,56,0)</f>
        <v>6000000</v>
      </c>
      <c r="Z48" s="84">
        <f t="shared" si="2"/>
        <v>0</v>
      </c>
      <c r="AA48" s="283"/>
      <c r="AB48" s="40">
        <f t="shared" si="3"/>
        <v>1</v>
      </c>
      <c r="AC48" s="40">
        <f t="shared" ca="1" si="7"/>
        <v>1</v>
      </c>
      <c r="AD48" s="41">
        <f t="shared" ca="1" si="8"/>
        <v>0</v>
      </c>
      <c r="AE48" s="181" t="str">
        <f t="shared" ca="1" si="9"/>
        <v/>
      </c>
      <c r="AF48" s="42" t="str">
        <f t="shared" si="5"/>
        <v>SI</v>
      </c>
      <c r="AG48" s="42"/>
      <c r="AH48" s="152" t="s">
        <v>1255</v>
      </c>
      <c r="AI48" s="152" t="s">
        <v>1306</v>
      </c>
      <c r="AJ48" s="152"/>
      <c r="AL48" s="153"/>
      <c r="AM48" s="160" t="s">
        <v>600</v>
      </c>
      <c r="AN48" s="161" t="str">
        <f t="shared" ca="1" si="10"/>
        <v>TERMINO</v>
      </c>
      <c r="AO48" s="160" t="s">
        <v>582</v>
      </c>
      <c r="AP48" s="155" t="s">
        <v>391</v>
      </c>
      <c r="AQ48" s="819" t="str">
        <f>IFERROR(VLOOKUP(E48,'liquidaciones '!$B$2:$C$1048576,2,0),"NO")</f>
        <v>NO</v>
      </c>
      <c r="AR48" s="909" t="str">
        <f>IFERROR(VLOOKUP(E48,'liquidaciones '!$B$2:$I$1048576,8,0),"")</f>
        <v/>
      </c>
      <c r="AS48" s="308"/>
      <c r="AT48" s="156" t="str">
        <f t="shared" ca="1" si="11"/>
        <v>NO</v>
      </c>
      <c r="AU48" s="156" t="s">
        <v>1570</v>
      </c>
      <c r="AV48" s="406"/>
      <c r="AW48" s="928"/>
      <c r="AX48" s="928"/>
      <c r="AY48" s="928"/>
    </row>
    <row r="49" spans="1:51" ht="47.25" customHeight="1" x14ac:dyDescent="0.3">
      <c r="A49" s="14">
        <v>1</v>
      </c>
      <c r="B49" s="14">
        <v>43</v>
      </c>
      <c r="C49" s="410"/>
      <c r="D49" s="410" t="str">
        <f t="shared" si="0"/>
        <v>2012</v>
      </c>
      <c r="E49" s="120" t="s">
        <v>14</v>
      </c>
      <c r="F49" s="120" t="s">
        <v>15</v>
      </c>
      <c r="G49" s="1048">
        <v>830067096</v>
      </c>
      <c r="H49" s="957" t="s">
        <v>317</v>
      </c>
      <c r="I49" s="121">
        <v>7740000</v>
      </c>
      <c r="J49" s="821" t="s">
        <v>4286</v>
      </c>
      <c r="K49" s="135">
        <v>2012</v>
      </c>
      <c r="L49" s="519" t="s">
        <v>1087</v>
      </c>
      <c r="M49" s="123">
        <v>41107</v>
      </c>
      <c r="N49" s="123">
        <v>41472</v>
      </c>
      <c r="O49" s="1099" t="str">
        <f>IF(+Modificaciones!I49=0,"",VLOOKUP(E49,Modificaciones!$B$7:$I$2400,8,0))</f>
        <v/>
      </c>
      <c r="P49" s="115">
        <f>COUNTA(Modificaciones!J49,Modificaciones!L49,Modificaciones!N49,Modificaciones!P49)</f>
        <v>0</v>
      </c>
      <c r="Q49" s="116">
        <f>VLOOKUP(E49,Modificaciones!$B$7:$R$300,17,0)</f>
        <v>0</v>
      </c>
      <c r="R49" s="117">
        <f>COUNTA(Modificaciones!T49,Modificaciones!V49,Modificaciones!X49,Modificaciones!Z49)</f>
        <v>0</v>
      </c>
      <c r="S49" s="118" t="str">
        <f>IF(Modificaciones!AA49=0,"",VLOOKUP(E49,Modificaciones!$B$7:$AA$400,26,0))</f>
        <v/>
      </c>
      <c r="T49" s="119" t="str">
        <f>IF(Modificaciones!AB49=0,"",VLOOKUP(E49,Modificaciones!$B$7:$AB$400,27,0))</f>
        <v/>
      </c>
      <c r="U49" s="1080" t="str">
        <f>+Modificaciones!AC49</f>
        <v/>
      </c>
      <c r="V49" s="825" t="str">
        <f>+Modificaciones!AK49</f>
        <v/>
      </c>
      <c r="W49" s="825">
        <f t="shared" si="6"/>
        <v>41472</v>
      </c>
      <c r="X49" s="59">
        <f t="shared" si="1"/>
        <v>7740000</v>
      </c>
      <c r="Y49" s="151">
        <f>VLOOKUP(E49,Modificaciones!$B$7:$BE$300,56,0)</f>
        <v>7740000</v>
      </c>
      <c r="Z49" s="84">
        <f t="shared" si="2"/>
        <v>0</v>
      </c>
      <c r="AA49" s="283"/>
      <c r="AB49" s="40">
        <f t="shared" si="3"/>
        <v>1</v>
      </c>
      <c r="AC49" s="40">
        <f t="shared" ca="1" si="7"/>
        <v>1</v>
      </c>
      <c r="AD49" s="41">
        <f t="shared" ca="1" si="8"/>
        <v>0</v>
      </c>
      <c r="AE49" s="181" t="str">
        <f t="shared" ca="1" si="9"/>
        <v/>
      </c>
      <c r="AF49" s="42" t="str">
        <f t="shared" si="5"/>
        <v>SI</v>
      </c>
      <c r="AG49" s="42"/>
      <c r="AH49" s="152" t="s">
        <v>1255</v>
      </c>
      <c r="AI49" s="152" t="s">
        <v>1124</v>
      </c>
      <c r="AJ49" s="152"/>
      <c r="AL49" s="153"/>
      <c r="AM49" s="160" t="s">
        <v>600</v>
      </c>
      <c r="AN49" s="161" t="str">
        <f t="shared" ca="1" si="10"/>
        <v>TERMINO</v>
      </c>
      <c r="AO49" s="160" t="s">
        <v>582</v>
      </c>
      <c r="AP49" s="155" t="s">
        <v>390</v>
      </c>
      <c r="AQ49" s="819" t="str">
        <f>IFERROR(VLOOKUP(E49,'liquidaciones '!$B$2:$C$1048576,2,0),"NO")</f>
        <v>LIQUIDADO</v>
      </c>
      <c r="AR49" s="909">
        <f>IFERROR(VLOOKUP(E49,'liquidaciones '!$B$2:$I$1048576,8,0),"")</f>
        <v>0</v>
      </c>
      <c r="AS49" s="308">
        <v>41653</v>
      </c>
      <c r="AT49" s="156" t="str">
        <f t="shared" ca="1" si="11"/>
        <v>NO</v>
      </c>
      <c r="AU49" s="156" t="s">
        <v>1509</v>
      </c>
      <c r="AV49" s="406"/>
      <c r="AW49" s="928"/>
      <c r="AX49" s="928"/>
      <c r="AY49" s="928"/>
    </row>
    <row r="50" spans="1:51" ht="47.25" customHeight="1" x14ac:dyDescent="0.3">
      <c r="A50" s="14">
        <v>1</v>
      </c>
      <c r="B50" s="14">
        <v>44</v>
      </c>
      <c r="C50" s="410"/>
      <c r="D50" s="410" t="str">
        <f t="shared" si="0"/>
        <v>2012</v>
      </c>
      <c r="E50" s="120" t="s">
        <v>40</v>
      </c>
      <c r="F50" s="129" t="s">
        <v>41</v>
      </c>
      <c r="G50" s="1048">
        <v>830034865</v>
      </c>
      <c r="H50" s="958" t="s">
        <v>458</v>
      </c>
      <c r="I50" s="130">
        <v>47000000</v>
      </c>
      <c r="J50" s="821" t="s">
        <v>4935</v>
      </c>
      <c r="K50" s="135">
        <v>2012</v>
      </c>
      <c r="L50" s="519" t="s">
        <v>1087</v>
      </c>
      <c r="M50" s="133">
        <v>41064</v>
      </c>
      <c r="N50" s="134">
        <v>41309</v>
      </c>
      <c r="O50" s="1099" t="str">
        <f>IF(+Modificaciones!I50=0,"",VLOOKUP(E50,Modificaciones!$B$7:$I$2400,8,0))</f>
        <v/>
      </c>
      <c r="P50" s="115">
        <f>COUNTA(Modificaciones!J50,Modificaciones!L50,Modificaciones!N50,Modificaciones!P50)</f>
        <v>0</v>
      </c>
      <c r="Q50" s="116">
        <f>VLOOKUP(E50,Modificaciones!$B$7:$R$300,17,0)</f>
        <v>0</v>
      </c>
      <c r="R50" s="117">
        <f>COUNTA(Modificaciones!T50,Modificaciones!V50,Modificaciones!X50,Modificaciones!Z50)</f>
        <v>1</v>
      </c>
      <c r="S50" s="118" t="str">
        <f>IF(Modificaciones!AA50=0,"",VLOOKUP(E50,Modificaciones!$B$7:$AA$400,26,0))</f>
        <v>3 meses</v>
      </c>
      <c r="T50" s="119">
        <f>IF(Modificaciones!AB50=0,"",VLOOKUP(E50,Modificaciones!$B$7:$AB$400,27,0))</f>
        <v>41398</v>
      </c>
      <c r="U50" s="1080" t="str">
        <f>+Modificaciones!AC50</f>
        <v/>
      </c>
      <c r="V50" s="825" t="str">
        <f>+Modificaciones!AK50</f>
        <v/>
      </c>
      <c r="W50" s="825">
        <f t="shared" si="6"/>
        <v>41398</v>
      </c>
      <c r="X50" s="59">
        <f t="shared" si="1"/>
        <v>47000000</v>
      </c>
      <c r="Y50" s="151">
        <f>VLOOKUP(E50,Modificaciones!$B$7:$BE$300,56,0)</f>
        <v>41245000</v>
      </c>
      <c r="Z50" s="84">
        <f t="shared" si="2"/>
        <v>5755000</v>
      </c>
      <c r="AA50" s="283"/>
      <c r="AB50" s="40">
        <f t="shared" si="3"/>
        <v>0.87755319148936173</v>
      </c>
      <c r="AC50" s="40">
        <f t="shared" ca="1" si="7"/>
        <v>1</v>
      </c>
      <c r="AD50" s="41">
        <f t="shared" ca="1" si="8"/>
        <v>0.12244680851063827</v>
      </c>
      <c r="AE50" s="181" t="str">
        <f t="shared" ca="1" si="9"/>
        <v/>
      </c>
      <c r="AF50" s="42" t="str">
        <f t="shared" si="5"/>
        <v>NO</v>
      </c>
      <c r="AG50" s="42"/>
      <c r="AH50" s="152" t="s">
        <v>1255</v>
      </c>
      <c r="AI50" s="152" t="s">
        <v>1283</v>
      </c>
      <c r="AJ50" s="152"/>
      <c r="AL50" s="153"/>
      <c r="AM50" s="160" t="s">
        <v>1015</v>
      </c>
      <c r="AN50" s="161" t="str">
        <f t="shared" ca="1" si="10"/>
        <v>TERMINO</v>
      </c>
      <c r="AO50" s="160" t="s">
        <v>574</v>
      </c>
      <c r="AP50" s="155" t="s">
        <v>390</v>
      </c>
      <c r="AQ50" s="819" t="str">
        <f>IFERROR(VLOOKUP(E50,'liquidaciones '!$B$2:$C$1048576,2,0),"NO")</f>
        <v>LIQUIDADO</v>
      </c>
      <c r="AR50" s="909">
        <f>IFERROR(VLOOKUP(E50,'liquidaciones '!$B$2:$I$1048576,8,0),"")</f>
        <v>0</v>
      </c>
      <c r="AS50" s="310">
        <v>41953</v>
      </c>
      <c r="AT50" s="156" t="str">
        <f t="shared" ca="1" si="11"/>
        <v>NO</v>
      </c>
      <c r="AU50" s="156" t="s">
        <v>1164</v>
      </c>
      <c r="AV50" s="406"/>
      <c r="AW50" s="928"/>
      <c r="AX50" s="928"/>
      <c r="AY50" s="928"/>
    </row>
    <row r="51" spans="1:51" ht="47.25" customHeight="1" x14ac:dyDescent="0.3">
      <c r="A51" s="14">
        <v>1</v>
      </c>
      <c r="B51" s="14">
        <v>45</v>
      </c>
      <c r="C51" s="410"/>
      <c r="D51" s="410" t="str">
        <f t="shared" si="0"/>
        <v>2012</v>
      </c>
      <c r="E51" s="120" t="s">
        <v>72</v>
      </c>
      <c r="F51" s="120" t="s">
        <v>73</v>
      </c>
      <c r="G51" s="1048">
        <v>830012587</v>
      </c>
      <c r="H51" s="957" t="s">
        <v>395</v>
      </c>
      <c r="I51" s="121">
        <v>950000000</v>
      </c>
      <c r="J51" s="821" t="s">
        <v>4294</v>
      </c>
      <c r="K51" s="135">
        <v>2012</v>
      </c>
      <c r="L51" s="519" t="s">
        <v>1087</v>
      </c>
      <c r="M51" s="124">
        <v>41053</v>
      </c>
      <c r="N51" s="124">
        <v>41388</v>
      </c>
      <c r="O51" s="1099" t="str">
        <f>IF(+Modificaciones!I51=0,"",VLOOKUP(E51,Modificaciones!$B$7:$I$2400,8,0))</f>
        <v/>
      </c>
      <c r="P51" s="115">
        <f>COUNTA(Modificaciones!J51,Modificaciones!L51,Modificaciones!N51,Modificaciones!P51)</f>
        <v>0</v>
      </c>
      <c r="Q51" s="116">
        <f>VLOOKUP(E51,Modificaciones!$B$7:$R$300,17,0)</f>
        <v>0</v>
      </c>
      <c r="R51" s="117">
        <f>COUNTA(Modificaciones!T51,Modificaciones!V51,Modificaciones!X51,Modificaciones!Z51)</f>
        <v>1</v>
      </c>
      <c r="S51" s="118" t="str">
        <f>IF(Modificaciones!AA51=0,"",VLOOKUP(E51,Modificaciones!$B$7:$AA$400,26,0))</f>
        <v>12 días</v>
      </c>
      <c r="T51" s="119">
        <f>IF(Modificaciones!AB51=0,"",VLOOKUP(E51,Modificaciones!$B$7:$AB$400,27,0))</f>
        <v>41400</v>
      </c>
      <c r="U51" s="1080" t="str">
        <f>+Modificaciones!AC51</f>
        <v/>
      </c>
      <c r="V51" s="825" t="str">
        <f>+Modificaciones!AK51</f>
        <v/>
      </c>
      <c r="W51" s="825">
        <f t="shared" si="6"/>
        <v>41400</v>
      </c>
      <c r="X51" s="59">
        <f t="shared" si="1"/>
        <v>950000000</v>
      </c>
      <c r="Y51" s="151">
        <f>VLOOKUP(E51,Modificaciones!$B$7:$BE$300,56,0)</f>
        <v>950000000</v>
      </c>
      <c r="Z51" s="84">
        <f t="shared" si="2"/>
        <v>0</v>
      </c>
      <c r="AA51" s="283"/>
      <c r="AB51" s="40">
        <f t="shared" si="3"/>
        <v>1</v>
      </c>
      <c r="AC51" s="40">
        <f t="shared" ca="1" si="7"/>
        <v>1</v>
      </c>
      <c r="AD51" s="41">
        <f t="shared" ca="1" si="8"/>
        <v>0</v>
      </c>
      <c r="AE51" s="181" t="str">
        <f t="shared" ca="1" si="9"/>
        <v/>
      </c>
      <c r="AF51" s="42" t="str">
        <f t="shared" si="5"/>
        <v>SI</v>
      </c>
      <c r="AG51" s="42"/>
      <c r="AH51" s="152" t="s">
        <v>1255</v>
      </c>
      <c r="AI51" s="152" t="s">
        <v>1291</v>
      </c>
      <c r="AJ51" s="152"/>
      <c r="AL51" s="153"/>
      <c r="AM51" s="160" t="s">
        <v>600</v>
      </c>
      <c r="AN51" s="161" t="str">
        <f t="shared" ca="1" si="10"/>
        <v>TERMINO</v>
      </c>
      <c r="AO51" s="160" t="s">
        <v>582</v>
      </c>
      <c r="AP51" s="155" t="s">
        <v>390</v>
      </c>
      <c r="AQ51" s="819" t="str">
        <f>IFERROR(VLOOKUP(E51,'liquidaciones '!$B$2:$C$1048576,2,0),"NO")</f>
        <v>LIQUIDADO</v>
      </c>
      <c r="AR51" s="909">
        <f>IFERROR(VLOOKUP(E51,'liquidaciones '!$B$2:$I$1048576,8,0),"")</f>
        <v>0</v>
      </c>
      <c r="AS51" s="308">
        <v>41565</v>
      </c>
      <c r="AT51" s="156" t="str">
        <f t="shared" ca="1" si="11"/>
        <v>NO</v>
      </c>
      <c r="AU51" s="156" t="s">
        <v>982</v>
      </c>
      <c r="AV51" s="406"/>
      <c r="AW51" s="928"/>
      <c r="AX51" s="928"/>
      <c r="AY51" s="928"/>
    </row>
    <row r="52" spans="1:51" ht="47.25" customHeight="1" x14ac:dyDescent="0.3">
      <c r="A52" s="14">
        <v>2</v>
      </c>
      <c r="B52" s="14">
        <v>46</v>
      </c>
      <c r="C52" s="410"/>
      <c r="D52" s="410" t="str">
        <f t="shared" si="0"/>
        <v>2012</v>
      </c>
      <c r="E52" s="120" t="s">
        <v>153</v>
      </c>
      <c r="F52" s="120" t="s">
        <v>154</v>
      </c>
      <c r="G52" s="1048">
        <v>900118932</v>
      </c>
      <c r="H52" s="957" t="s">
        <v>419</v>
      </c>
      <c r="I52" s="121">
        <v>27918648</v>
      </c>
      <c r="J52" s="121" t="s">
        <v>1087</v>
      </c>
      <c r="K52" s="135">
        <v>2012</v>
      </c>
      <c r="L52" s="519" t="s">
        <v>1087</v>
      </c>
      <c r="M52" s="124">
        <v>41081</v>
      </c>
      <c r="N52" s="124">
        <v>41132</v>
      </c>
      <c r="O52" s="1099" t="str">
        <f>IF(+Modificaciones!I52=0,"",VLOOKUP(E52,Modificaciones!$B$7:$I$2400,8,0))</f>
        <v/>
      </c>
      <c r="P52" s="115">
        <f>COUNTA(Modificaciones!J52,Modificaciones!L52,Modificaciones!N52,Modificaciones!P52)</f>
        <v>2</v>
      </c>
      <c r="Q52" s="116">
        <f>VLOOKUP(E52,Modificaciones!$B$7:$R$300,17,0)</f>
        <v>13786987</v>
      </c>
      <c r="R52" s="117">
        <f>COUNTA(Modificaciones!T52,Modificaciones!V52,Modificaciones!X52,Modificaciones!Z52)</f>
        <v>2</v>
      </c>
      <c r="S52" s="118" t="str">
        <f>IF(Modificaciones!AA52=0,"",VLOOKUP(E52,Modificaciones!$B$7:$AA$400,26,0))</f>
        <v>1 mes y 20 días</v>
      </c>
      <c r="T52" s="119">
        <f>IF(Modificaciones!AB52=0,"",VLOOKUP(E52,Modificaciones!$B$7:$AB$400,27,0))</f>
        <v>41213</v>
      </c>
      <c r="U52" s="1080" t="str">
        <f>+Modificaciones!AC52</f>
        <v/>
      </c>
      <c r="V52" s="825" t="str">
        <f>+Modificaciones!AK52</f>
        <v/>
      </c>
      <c r="W52" s="825">
        <f t="shared" si="6"/>
        <v>41213</v>
      </c>
      <c r="X52" s="59">
        <f t="shared" si="1"/>
        <v>41705635</v>
      </c>
      <c r="Y52" s="151">
        <f>VLOOKUP(E52,Modificaciones!$B$7:$BE$300,56,0)</f>
        <v>41705635</v>
      </c>
      <c r="Z52" s="84">
        <f t="shared" si="2"/>
        <v>0</v>
      </c>
      <c r="AA52" s="283"/>
      <c r="AB52" s="40">
        <f t="shared" si="3"/>
        <v>1</v>
      </c>
      <c r="AC52" s="40">
        <f t="shared" ca="1" si="7"/>
        <v>1</v>
      </c>
      <c r="AD52" s="41">
        <f t="shared" ca="1" si="8"/>
        <v>0</v>
      </c>
      <c r="AE52" s="181" t="str">
        <f t="shared" ca="1" si="9"/>
        <v/>
      </c>
      <c r="AF52" s="42" t="str">
        <f t="shared" si="5"/>
        <v>SI</v>
      </c>
      <c r="AG52" s="42"/>
      <c r="AH52" s="152" t="s">
        <v>1255</v>
      </c>
      <c r="AI52" s="152" t="s">
        <v>1469</v>
      </c>
      <c r="AJ52" s="152"/>
      <c r="AL52" s="153"/>
      <c r="AM52" s="160" t="s">
        <v>600</v>
      </c>
      <c r="AN52" s="161" t="str">
        <f t="shared" ca="1" si="10"/>
        <v>TERMINO</v>
      </c>
      <c r="AO52" s="160" t="s">
        <v>576</v>
      </c>
      <c r="AP52" s="155" t="s">
        <v>390</v>
      </c>
      <c r="AQ52" s="819" t="str">
        <f>IFERROR(VLOOKUP(E52,'liquidaciones '!$B$2:$C$1048576,2,0),"NO")</f>
        <v>NO</v>
      </c>
      <c r="AR52" s="909" t="str">
        <f>IFERROR(VLOOKUP(E52,'liquidaciones '!$B$2:$I$1048576,8,0),"")</f>
        <v/>
      </c>
      <c r="AS52" s="311"/>
      <c r="AT52" s="156" t="str">
        <f t="shared" ca="1" si="11"/>
        <v>NO</v>
      </c>
      <c r="AU52" s="156" t="s">
        <v>1570</v>
      </c>
      <c r="AV52" s="406"/>
      <c r="AW52" s="928"/>
      <c r="AX52" s="928"/>
      <c r="AY52" s="928"/>
    </row>
    <row r="53" spans="1:51" ht="47.25" customHeight="1" x14ac:dyDescent="0.3">
      <c r="A53" s="14">
        <v>1</v>
      </c>
      <c r="B53" s="14">
        <v>47</v>
      </c>
      <c r="C53" s="410"/>
      <c r="D53" s="410" t="str">
        <f t="shared" si="0"/>
        <v>2012</v>
      </c>
      <c r="E53" s="120" t="s">
        <v>59</v>
      </c>
      <c r="F53" s="129" t="s">
        <v>60</v>
      </c>
      <c r="G53" s="1048">
        <v>860009578</v>
      </c>
      <c r="H53" s="958" t="s">
        <v>336</v>
      </c>
      <c r="I53" s="130">
        <v>4100000</v>
      </c>
      <c r="J53" s="821" t="s">
        <v>4412</v>
      </c>
      <c r="K53" s="135">
        <v>2012</v>
      </c>
      <c r="L53" s="519" t="s">
        <v>1087</v>
      </c>
      <c r="M53" s="131">
        <v>41103</v>
      </c>
      <c r="N53" s="132">
        <v>41471</v>
      </c>
      <c r="O53" s="1099" t="str">
        <f>IF(+Modificaciones!I53=0,"",VLOOKUP(E53,Modificaciones!$B$7:$I$2400,8,0))</f>
        <v/>
      </c>
      <c r="P53" s="115">
        <f>COUNTA(Modificaciones!J53,Modificaciones!L53,Modificaciones!N53,Modificaciones!P53)</f>
        <v>0</v>
      </c>
      <c r="Q53" s="116">
        <f>VLOOKUP(E53,Modificaciones!$B$7:$R$300,17,0)</f>
        <v>0</v>
      </c>
      <c r="R53" s="117">
        <f>COUNTA(Modificaciones!T53,Modificaciones!V53,Modificaciones!X53,Modificaciones!Z53)</f>
        <v>0</v>
      </c>
      <c r="S53" s="118" t="str">
        <f>IF(Modificaciones!AA53=0,"",VLOOKUP(E53,Modificaciones!$B$7:$AA$400,26,0))</f>
        <v/>
      </c>
      <c r="T53" s="119" t="str">
        <f>IF(Modificaciones!AB53=0,"",VLOOKUP(E53,Modificaciones!$B$7:$AB$400,27,0))</f>
        <v/>
      </c>
      <c r="U53" s="1080" t="str">
        <f>+Modificaciones!AC53</f>
        <v/>
      </c>
      <c r="V53" s="825" t="str">
        <f>+Modificaciones!AK53</f>
        <v/>
      </c>
      <c r="W53" s="825">
        <f t="shared" si="6"/>
        <v>41471</v>
      </c>
      <c r="X53" s="59">
        <f t="shared" si="1"/>
        <v>4100000</v>
      </c>
      <c r="Y53" s="151">
        <f>VLOOKUP(E53,Modificaciones!$B$7:$BE$300,56,0)</f>
        <v>3389600</v>
      </c>
      <c r="Z53" s="84">
        <f t="shared" si="2"/>
        <v>710400</v>
      </c>
      <c r="AA53" s="283"/>
      <c r="AB53" s="40">
        <f t="shared" si="3"/>
        <v>0.82673170731707313</v>
      </c>
      <c r="AC53" s="40">
        <f t="shared" ca="1" si="7"/>
        <v>1</v>
      </c>
      <c r="AD53" s="41">
        <f t="shared" ca="1" si="8"/>
        <v>0.17326829268292687</v>
      </c>
      <c r="AE53" s="181" t="str">
        <f t="shared" ca="1" si="9"/>
        <v/>
      </c>
      <c r="AF53" s="42" t="str">
        <f t="shared" si="5"/>
        <v>NO</v>
      </c>
      <c r="AG53" s="42"/>
      <c r="AH53" s="152" t="s">
        <v>1255</v>
      </c>
      <c r="AI53" s="152" t="s">
        <v>1511</v>
      </c>
      <c r="AJ53" s="152"/>
      <c r="AL53" s="153"/>
      <c r="AM53" s="160" t="s">
        <v>600</v>
      </c>
      <c r="AN53" s="161" t="str">
        <f t="shared" ca="1" si="10"/>
        <v>TERMINO</v>
      </c>
      <c r="AO53" s="160" t="s">
        <v>576</v>
      </c>
      <c r="AP53" s="155" t="s">
        <v>390</v>
      </c>
      <c r="AQ53" s="819" t="str">
        <f>IFERROR(VLOOKUP(E53,'liquidaciones '!$B$2:$C$1048576,2,0),"NO")</f>
        <v>EN TRÁMITE</v>
      </c>
      <c r="AR53" s="909">
        <f>IFERROR(VLOOKUP(E53,'liquidaciones '!$B$2:$I$1048576,8,0),"")</f>
        <v>0</v>
      </c>
      <c r="AS53" s="310"/>
      <c r="AT53" s="156" t="str">
        <f t="shared" ca="1" si="11"/>
        <v>NO</v>
      </c>
      <c r="AU53" s="156"/>
      <c r="AV53" s="406"/>
      <c r="AW53" s="928"/>
      <c r="AX53" s="928"/>
      <c r="AY53" s="928"/>
    </row>
    <row r="54" spans="1:51" ht="47.25" customHeight="1" x14ac:dyDescent="0.3">
      <c r="A54" s="14">
        <v>1</v>
      </c>
      <c r="B54" s="14">
        <v>48</v>
      </c>
      <c r="C54" s="410"/>
      <c r="D54" s="410" t="str">
        <f t="shared" si="0"/>
        <v>2012</v>
      </c>
      <c r="E54" s="120" t="s">
        <v>44</v>
      </c>
      <c r="F54" s="120" t="s">
        <v>1016</v>
      </c>
      <c r="G54" s="1048">
        <v>900268429</v>
      </c>
      <c r="H54" s="957" t="s">
        <v>329</v>
      </c>
      <c r="I54" s="121">
        <v>8932201</v>
      </c>
      <c r="J54" s="121" t="s">
        <v>1087</v>
      </c>
      <c r="K54" s="135">
        <v>2012</v>
      </c>
      <c r="L54" s="519" t="s">
        <v>1087</v>
      </c>
      <c r="M54" s="123">
        <v>41151</v>
      </c>
      <c r="N54" s="123">
        <v>41424</v>
      </c>
      <c r="O54" s="1099" t="str">
        <f>IF(+Modificaciones!I54=0,"",VLOOKUP(E54,Modificaciones!$B$7:$I$2400,8,0))</f>
        <v/>
      </c>
      <c r="P54" s="115">
        <f>COUNTA(Modificaciones!J54,Modificaciones!L54,Modificaciones!N54,Modificaciones!P54)</f>
        <v>0</v>
      </c>
      <c r="Q54" s="116">
        <f>VLOOKUP(E54,Modificaciones!$B$7:$R$300,17,0)</f>
        <v>0</v>
      </c>
      <c r="R54" s="117">
        <f>COUNTA(Modificaciones!T54,Modificaciones!V54,Modificaciones!X54,Modificaciones!Z54)</f>
        <v>1</v>
      </c>
      <c r="S54" s="118" t="str">
        <f>IF(Modificaciones!AA54=0,"",VLOOKUP(E54,Modificaciones!$B$7:$AA$400,26,0))</f>
        <v>4 meses</v>
      </c>
      <c r="T54" s="119">
        <f>IF(Modificaciones!AB54=0,"",VLOOKUP(E54,Modificaciones!$B$7:$AB$400,27,0))</f>
        <v>41547</v>
      </c>
      <c r="U54" s="1080" t="str">
        <f>+Modificaciones!AC54</f>
        <v/>
      </c>
      <c r="V54" s="825" t="str">
        <f>+Modificaciones!AK54</f>
        <v/>
      </c>
      <c r="W54" s="825">
        <f t="shared" si="6"/>
        <v>41547</v>
      </c>
      <c r="X54" s="59">
        <f t="shared" si="1"/>
        <v>8932201</v>
      </c>
      <c r="Y54" s="151">
        <f>VLOOKUP(E54,Modificaciones!$B$7:$BE$300,56,0)</f>
        <v>8906668</v>
      </c>
      <c r="Z54" s="84">
        <f t="shared" si="2"/>
        <v>25533</v>
      </c>
      <c r="AA54" s="283"/>
      <c r="AB54" s="40">
        <f t="shared" si="3"/>
        <v>0.99714146602836184</v>
      </c>
      <c r="AC54" s="40">
        <f t="shared" ca="1" si="7"/>
        <v>1</v>
      </c>
      <c r="AD54" s="41">
        <f t="shared" ca="1" si="8"/>
        <v>2.8585339716381553E-3</v>
      </c>
      <c r="AE54" s="181" t="str">
        <f t="shared" ca="1" si="9"/>
        <v/>
      </c>
      <c r="AF54" s="42" t="str">
        <f t="shared" si="5"/>
        <v>NO</v>
      </c>
      <c r="AG54" s="42"/>
      <c r="AH54" s="152" t="s">
        <v>1255</v>
      </c>
      <c r="AI54" s="152" t="s">
        <v>1284</v>
      </c>
      <c r="AJ54" s="152"/>
      <c r="AL54" s="153"/>
      <c r="AM54" s="160" t="s">
        <v>600</v>
      </c>
      <c r="AN54" s="161" t="str">
        <f t="shared" ca="1" si="10"/>
        <v>TERMINO</v>
      </c>
      <c r="AO54" s="160" t="s">
        <v>576</v>
      </c>
      <c r="AP54" s="155" t="s">
        <v>390</v>
      </c>
      <c r="AQ54" s="819" t="str">
        <f>IFERROR(VLOOKUP(E54,'liquidaciones '!$B$2:$C$1048576,2,0),"NO")</f>
        <v>NO</v>
      </c>
      <c r="AR54" s="909" t="str">
        <f>IFERROR(VLOOKUP(E54,'liquidaciones '!$B$2:$I$1048576,8,0),"")</f>
        <v/>
      </c>
      <c r="AS54" s="310">
        <v>42160</v>
      </c>
      <c r="AT54" s="156" t="str">
        <f t="shared" ca="1" si="11"/>
        <v>NO</v>
      </c>
      <c r="AU54" s="156" t="s">
        <v>1164</v>
      </c>
      <c r="AV54" s="406"/>
      <c r="AW54" s="928"/>
      <c r="AX54" s="928"/>
      <c r="AY54" s="928"/>
    </row>
    <row r="55" spans="1:51" ht="47.25" customHeight="1" x14ac:dyDescent="0.3">
      <c r="A55" s="14">
        <v>1</v>
      </c>
      <c r="B55" s="14">
        <v>49</v>
      </c>
      <c r="C55" s="410"/>
      <c r="D55" s="410" t="str">
        <f t="shared" si="0"/>
        <v>2012</v>
      </c>
      <c r="E55" s="120" t="s">
        <v>7</v>
      </c>
      <c r="F55" s="129" t="s">
        <v>8</v>
      </c>
      <c r="G55" s="1048">
        <v>830006177</v>
      </c>
      <c r="H55" s="958" t="s">
        <v>314</v>
      </c>
      <c r="I55" s="130">
        <v>8545000</v>
      </c>
      <c r="J55" s="821" t="s">
        <v>5677</v>
      </c>
      <c r="K55" s="135">
        <v>2012</v>
      </c>
      <c r="L55" s="519" t="s">
        <v>1087</v>
      </c>
      <c r="M55" s="131">
        <v>41155</v>
      </c>
      <c r="N55" s="132">
        <v>41367</v>
      </c>
      <c r="O55" s="1099" t="str">
        <f>IF(+Modificaciones!I55=0,"",VLOOKUP(E55,Modificaciones!$B$7:$I$2400,8,0))</f>
        <v/>
      </c>
      <c r="P55" s="115">
        <f>COUNTA(Modificaciones!J55,Modificaciones!L55,Modificaciones!N55,Modificaciones!P55)</f>
        <v>0</v>
      </c>
      <c r="Q55" s="116">
        <f>VLOOKUP(E55,Modificaciones!$B$7:$R$300,17,0)</f>
        <v>0</v>
      </c>
      <c r="R55" s="117">
        <f>COUNTA(Modificaciones!T55,Modificaciones!V55,Modificaciones!X55,Modificaciones!Z55)</f>
        <v>1</v>
      </c>
      <c r="S55" s="118" t="str">
        <f>IF(Modificaciones!AA55=0,"",VLOOKUP(E55,Modificaciones!$B$7:$AA$400,26,0))</f>
        <v>3 meses</v>
      </c>
      <c r="T55" s="119">
        <f>IF(Modificaciones!AB55=0,"",VLOOKUP(E55,Modificaciones!$B$7:$AB$400,27,0))</f>
        <v>41458</v>
      </c>
      <c r="U55" s="1080" t="str">
        <f>+Modificaciones!AC55</f>
        <v/>
      </c>
      <c r="V55" s="825" t="str">
        <f>+Modificaciones!AK55</f>
        <v/>
      </c>
      <c r="W55" s="825">
        <f t="shared" si="6"/>
        <v>41458</v>
      </c>
      <c r="X55" s="59">
        <f t="shared" si="1"/>
        <v>8545000</v>
      </c>
      <c r="Y55" s="151">
        <f>VLOOKUP(E55,Modificaciones!$B$7:$BE$300,56,0)</f>
        <v>4336000</v>
      </c>
      <c r="Z55" s="84">
        <f t="shared" si="2"/>
        <v>4209000</v>
      </c>
      <c r="AA55" s="283"/>
      <c r="AB55" s="40">
        <f t="shared" si="3"/>
        <v>0.50743124634289061</v>
      </c>
      <c r="AC55" s="40">
        <f t="shared" ca="1" si="7"/>
        <v>1</v>
      </c>
      <c r="AD55" s="41">
        <f t="shared" ca="1" si="8"/>
        <v>0.49256875365710939</v>
      </c>
      <c r="AE55" s="181" t="str">
        <f t="shared" ca="1" si="9"/>
        <v/>
      </c>
      <c r="AF55" s="42" t="str">
        <f t="shared" si="5"/>
        <v>NO</v>
      </c>
      <c r="AG55" s="42"/>
      <c r="AH55" s="152" t="s">
        <v>1255</v>
      </c>
      <c r="AI55" s="152" t="s">
        <v>1135</v>
      </c>
      <c r="AJ55" s="152"/>
      <c r="AL55" s="153"/>
      <c r="AM55" s="160" t="s">
        <v>600</v>
      </c>
      <c r="AN55" s="161" t="str">
        <f t="shared" ca="1" si="10"/>
        <v>TERMINO</v>
      </c>
      <c r="AO55" s="160" t="s">
        <v>576</v>
      </c>
      <c r="AP55" s="155" t="s">
        <v>390</v>
      </c>
      <c r="AQ55" s="819" t="str">
        <f>IFERROR(VLOOKUP(E55,'liquidaciones '!$B$2:$C$1048576,2,0),"NO")</f>
        <v>LIQUIDADO</v>
      </c>
      <c r="AR55" s="909">
        <f>IFERROR(VLOOKUP(E55,'liquidaciones '!$B$2:$I$1048576,8,0),"")</f>
        <v>0</v>
      </c>
      <c r="AS55" s="310">
        <v>41971</v>
      </c>
      <c r="AT55" s="156" t="str">
        <f t="shared" ca="1" si="11"/>
        <v>NO</v>
      </c>
      <c r="AU55" s="156" t="s">
        <v>982</v>
      </c>
      <c r="AV55" s="406"/>
      <c r="AW55" s="928"/>
      <c r="AX55" s="928"/>
      <c r="AY55" s="928"/>
    </row>
    <row r="56" spans="1:51" ht="47.25" customHeight="1" x14ac:dyDescent="0.3">
      <c r="A56" s="14">
        <v>1</v>
      </c>
      <c r="B56" s="14">
        <v>50</v>
      </c>
      <c r="C56" s="410"/>
      <c r="D56" s="410" t="str">
        <f t="shared" si="0"/>
        <v>2012</v>
      </c>
      <c r="E56" s="120" t="s">
        <v>6</v>
      </c>
      <c r="F56" s="129" t="s">
        <v>1017</v>
      </c>
      <c r="G56" s="1048">
        <v>900548648</v>
      </c>
      <c r="H56" s="958" t="s">
        <v>541</v>
      </c>
      <c r="I56" s="121">
        <v>220839000</v>
      </c>
      <c r="J56" s="821" t="s">
        <v>5258</v>
      </c>
      <c r="K56" s="122">
        <v>2012</v>
      </c>
      <c r="L56" s="519" t="s">
        <v>1087</v>
      </c>
      <c r="M56" s="123">
        <v>41172</v>
      </c>
      <c r="N56" s="123">
        <v>41384</v>
      </c>
      <c r="O56" s="1099" t="str">
        <f>IF(+Modificaciones!I56=0,"",VLOOKUP(E56,Modificaciones!$B$7:$I$2400,8,0))</f>
        <v/>
      </c>
      <c r="P56" s="115">
        <f>COUNTA(Modificaciones!J56,Modificaciones!L56,Modificaciones!N56,Modificaciones!P56)</f>
        <v>1</v>
      </c>
      <c r="Q56" s="116">
        <f>VLOOKUP(E56,Modificaciones!$B$7:$R$300,17,0)</f>
        <v>21739353</v>
      </c>
      <c r="R56" s="117">
        <f>COUNTA(Modificaciones!T56,Modificaciones!V56,Modificaciones!X56,Modificaciones!Z56)</f>
        <v>1</v>
      </c>
      <c r="S56" s="118" t="str">
        <f>IF(Modificaciones!AA56=0,"",VLOOKUP(E56,Modificaciones!$B$7:$AA$400,26,0))</f>
        <v>2 meses</v>
      </c>
      <c r="T56" s="119">
        <f>IF(Modificaciones!AB56=0,"",VLOOKUP(E56,Modificaciones!$B$7:$AB$400,27,0))</f>
        <v>41445</v>
      </c>
      <c r="U56" s="1080" t="str">
        <f>+Modificaciones!AC56</f>
        <v/>
      </c>
      <c r="V56" s="825" t="str">
        <f>+Modificaciones!AK56</f>
        <v/>
      </c>
      <c r="W56" s="825">
        <f t="shared" si="6"/>
        <v>41445</v>
      </c>
      <c r="X56" s="59">
        <f t="shared" si="1"/>
        <v>242578353</v>
      </c>
      <c r="Y56" s="151">
        <f>VLOOKUP(E56,Modificaciones!$B$7:$BE$300,56,0)</f>
        <v>218264339</v>
      </c>
      <c r="Z56" s="84">
        <f t="shared" si="2"/>
        <v>24314014</v>
      </c>
      <c r="AA56" s="283"/>
      <c r="AB56" s="40">
        <f t="shared" si="3"/>
        <v>0.89976841008562702</v>
      </c>
      <c r="AC56" s="40">
        <f t="shared" ca="1" si="7"/>
        <v>1</v>
      </c>
      <c r="AD56" s="41">
        <f t="shared" ca="1" si="8"/>
        <v>0.10023158991437298</v>
      </c>
      <c r="AE56" s="181" t="str">
        <f t="shared" ca="1" si="9"/>
        <v/>
      </c>
      <c r="AF56" s="42" t="str">
        <f t="shared" si="5"/>
        <v>NO</v>
      </c>
      <c r="AG56" s="42"/>
      <c r="AH56" s="152" t="s">
        <v>1255</v>
      </c>
      <c r="AI56" s="152" t="s">
        <v>1137</v>
      </c>
      <c r="AJ56" s="152" t="s">
        <v>1441</v>
      </c>
      <c r="AK56" s="255" t="s">
        <v>560</v>
      </c>
      <c r="AL56" s="153" t="s">
        <v>1378</v>
      </c>
      <c r="AM56" s="160" t="s">
        <v>600</v>
      </c>
      <c r="AN56" s="161" t="str">
        <f t="shared" ca="1" si="10"/>
        <v>TERMINO</v>
      </c>
      <c r="AO56" s="160" t="s">
        <v>921</v>
      </c>
      <c r="AP56" s="155" t="s">
        <v>390</v>
      </c>
      <c r="AQ56" s="819" t="str">
        <f>IFERROR(VLOOKUP(E56,'liquidaciones '!$B$2:$C$1048576,2,0),"NO")</f>
        <v>LIQUIDADO</v>
      </c>
      <c r="AR56" s="909">
        <f>IFERROR(VLOOKUP(E56,'liquidaciones '!$B$2:$I$1048576,8,0),"")</f>
        <v>0</v>
      </c>
      <c r="AS56" s="310"/>
      <c r="AT56" s="156" t="str">
        <f t="shared" ca="1" si="11"/>
        <v>NO</v>
      </c>
      <c r="AU56" s="156" t="s">
        <v>1570</v>
      </c>
      <c r="AV56" s="406"/>
      <c r="AW56" s="928"/>
      <c r="AX56" s="928"/>
      <c r="AY56" s="928"/>
    </row>
    <row r="57" spans="1:51" ht="47.25" customHeight="1" x14ac:dyDescent="0.3">
      <c r="A57" s="14">
        <v>3</v>
      </c>
      <c r="B57" s="371">
        <v>51</v>
      </c>
      <c r="C57" s="412"/>
      <c r="D57" s="410" t="str">
        <f t="shared" si="0"/>
        <v>2012</v>
      </c>
      <c r="E57" s="120" t="s">
        <v>35</v>
      </c>
      <c r="F57" s="129" t="s">
        <v>36</v>
      </c>
      <c r="G57" s="1048">
        <v>79661783</v>
      </c>
      <c r="H57" s="958" t="s">
        <v>326</v>
      </c>
      <c r="I57" s="130">
        <v>4493000</v>
      </c>
      <c r="J57" s="121" t="s">
        <v>1087</v>
      </c>
      <c r="K57" s="135">
        <v>2012</v>
      </c>
      <c r="L57" s="519" t="s">
        <v>1087</v>
      </c>
      <c r="M57" s="131">
        <v>41172</v>
      </c>
      <c r="N57" s="132">
        <v>41353</v>
      </c>
      <c r="O57" s="1099" t="str">
        <f>IF(+Modificaciones!I57=0,"",VLOOKUP(E57,Modificaciones!$B$7:$I$2400,8,0))</f>
        <v/>
      </c>
      <c r="P57" s="115">
        <f>COUNTA(Modificaciones!J57,Modificaciones!L57,Modificaciones!N57,Modificaciones!P57)</f>
        <v>0</v>
      </c>
      <c r="Q57" s="116">
        <f>VLOOKUP(E57,Modificaciones!$B$7:$R$300,17,0)</f>
        <v>0</v>
      </c>
      <c r="R57" s="117">
        <f>COUNTA(Modificaciones!T57,Modificaciones!V57,Modificaciones!X57,Modificaciones!Z57)</f>
        <v>1</v>
      </c>
      <c r="S57" s="118" t="str">
        <f>IF(Modificaciones!AA57=0,"",VLOOKUP(E57,Modificaciones!$B$7:$AA$400,26,0))</f>
        <v>2 meses</v>
      </c>
      <c r="T57" s="119">
        <f>IF(Modificaciones!AB57=0,"",VLOOKUP(E57,Modificaciones!$B$7:$AB$400,27,0))</f>
        <v>41414</v>
      </c>
      <c r="U57" s="1080" t="str">
        <f>+Modificaciones!AC57</f>
        <v/>
      </c>
      <c r="V57" s="825" t="str">
        <f>+Modificaciones!AK57</f>
        <v/>
      </c>
      <c r="W57" s="825">
        <f t="shared" si="6"/>
        <v>41414</v>
      </c>
      <c r="X57" s="59">
        <f t="shared" si="1"/>
        <v>4493000</v>
      </c>
      <c r="Y57" s="151">
        <f>VLOOKUP(E57,Modificaciones!$B$7:$BE$300,56,0)</f>
        <v>3309000</v>
      </c>
      <c r="Z57" s="84">
        <f t="shared" si="2"/>
        <v>1184000</v>
      </c>
      <c r="AA57" s="283"/>
      <c r="AB57" s="40">
        <f t="shared" si="3"/>
        <v>0.73647896728243933</v>
      </c>
      <c r="AC57" s="40">
        <f t="shared" ca="1" si="7"/>
        <v>1</v>
      </c>
      <c r="AD57" s="41">
        <f t="shared" ca="1" si="8"/>
        <v>0.26352103271756067</v>
      </c>
      <c r="AE57" s="181" t="str">
        <f t="shared" ca="1" si="9"/>
        <v/>
      </c>
      <c r="AF57" s="42" t="str">
        <f t="shared" si="5"/>
        <v>NO</v>
      </c>
      <c r="AG57" s="42"/>
      <c r="AH57" s="152" t="s">
        <v>1255</v>
      </c>
      <c r="AI57" s="152" t="s">
        <v>1298</v>
      </c>
      <c r="AJ57" s="152" t="s">
        <v>1439</v>
      </c>
      <c r="AK57" s="255" t="s">
        <v>562</v>
      </c>
      <c r="AL57" s="279" t="s">
        <v>1472</v>
      </c>
      <c r="AM57" s="160" t="s">
        <v>600</v>
      </c>
      <c r="AN57" s="161" t="str">
        <f t="shared" ca="1" si="10"/>
        <v>TERMINO</v>
      </c>
      <c r="AO57" s="160" t="s">
        <v>576</v>
      </c>
      <c r="AP57" s="155" t="s">
        <v>390</v>
      </c>
      <c r="AQ57" s="819" t="str">
        <f>IFERROR(VLOOKUP(E57,'liquidaciones '!$B$2:$C$1048576,2,0),"NO")</f>
        <v>LIQUIDADO</v>
      </c>
      <c r="AR57" s="909">
        <f>IFERROR(VLOOKUP(E57,'liquidaciones '!$B$2:$I$1048576,8,0),"")</f>
        <v>0</v>
      </c>
      <c r="AS57" s="310">
        <v>42023</v>
      </c>
      <c r="AT57" s="156" t="str">
        <f t="shared" ca="1" si="11"/>
        <v>NO</v>
      </c>
      <c r="AU57" s="156" t="s">
        <v>983</v>
      </c>
      <c r="AV57" s="406"/>
      <c r="AW57" s="928"/>
      <c r="AX57" s="928"/>
      <c r="AY57" s="928"/>
    </row>
    <row r="58" spans="1:51" ht="47.25" customHeight="1" x14ac:dyDescent="0.3">
      <c r="A58" s="14">
        <v>1</v>
      </c>
      <c r="B58" s="14">
        <v>52</v>
      </c>
      <c r="C58" s="410"/>
      <c r="D58" s="410" t="str">
        <f t="shared" si="0"/>
        <v>2012</v>
      </c>
      <c r="E58" s="120" t="s">
        <v>37</v>
      </c>
      <c r="F58" s="129" t="s">
        <v>38</v>
      </c>
      <c r="G58" s="1048">
        <v>830053669</v>
      </c>
      <c r="H58" s="958" t="s">
        <v>327</v>
      </c>
      <c r="I58" s="130">
        <v>22726000</v>
      </c>
      <c r="J58" s="121" t="s">
        <v>1087</v>
      </c>
      <c r="K58" s="135">
        <v>2012</v>
      </c>
      <c r="L58" s="519" t="s">
        <v>1087</v>
      </c>
      <c r="M58" s="131">
        <v>41163</v>
      </c>
      <c r="N58" s="132">
        <v>41375</v>
      </c>
      <c r="O58" s="1099" t="str">
        <f>IF(+Modificaciones!I58=0,"",VLOOKUP(E58,Modificaciones!$B$7:$I$2400,8,0))</f>
        <v/>
      </c>
      <c r="P58" s="115">
        <f>COUNTA(Modificaciones!J58,Modificaciones!L58,Modificaciones!N58,Modificaciones!P58)</f>
        <v>1</v>
      </c>
      <c r="Q58" s="116">
        <f>VLOOKUP(E58,Modificaciones!$B$7:$R$300,17,0)</f>
        <v>2000000</v>
      </c>
      <c r="R58" s="117">
        <f>COUNTA(Modificaciones!T58,Modificaciones!V58,Modificaciones!X58,Modificaciones!Z58)</f>
        <v>1</v>
      </c>
      <c r="S58" s="118" t="str">
        <f>IF(Modificaciones!AA58=0,"",VLOOKUP(E58,Modificaciones!$B$7:$AA$400,26,0))</f>
        <v>1 mes y 20 días</v>
      </c>
      <c r="T58" s="119">
        <f>IF(Modificaciones!AB58=0,"",VLOOKUP(E58,Modificaciones!$B$7:$AB$400,27,0))</f>
        <v>41425</v>
      </c>
      <c r="U58" s="1080" t="str">
        <f>+Modificaciones!AC58</f>
        <v/>
      </c>
      <c r="V58" s="825" t="str">
        <f>+Modificaciones!AK58</f>
        <v/>
      </c>
      <c r="W58" s="825">
        <f t="shared" si="6"/>
        <v>41425</v>
      </c>
      <c r="X58" s="59">
        <f t="shared" si="1"/>
        <v>24726000</v>
      </c>
      <c r="Y58" s="151">
        <f>VLOOKUP(E58,Modificaciones!$B$7:$BE$300,56,0)</f>
        <v>24725958</v>
      </c>
      <c r="Z58" s="84">
        <f t="shared" si="2"/>
        <v>42</v>
      </c>
      <c r="AA58" s="283"/>
      <c r="AB58" s="40">
        <f t="shared" si="3"/>
        <v>0.99999830138315948</v>
      </c>
      <c r="AC58" s="40">
        <f t="shared" ca="1" si="7"/>
        <v>1</v>
      </c>
      <c r="AD58" s="41">
        <f t="shared" ca="1" si="8"/>
        <v>1.6986168405175306E-6</v>
      </c>
      <c r="AE58" s="181" t="str">
        <f t="shared" ca="1" si="9"/>
        <v/>
      </c>
      <c r="AF58" s="42" t="str">
        <f t="shared" si="5"/>
        <v>SI</v>
      </c>
      <c r="AG58" s="42"/>
      <c r="AH58" s="152" t="s">
        <v>1255</v>
      </c>
      <c r="AI58" s="152" t="s">
        <v>1139</v>
      </c>
      <c r="AJ58" s="152" t="s">
        <v>1441</v>
      </c>
      <c r="AK58" s="255" t="s">
        <v>560</v>
      </c>
      <c r="AL58" s="153"/>
      <c r="AM58" s="160" t="s">
        <v>600</v>
      </c>
      <c r="AN58" s="161" t="str">
        <f t="shared" ca="1" si="10"/>
        <v>TERMINO</v>
      </c>
      <c r="AO58" s="154" t="s">
        <v>575</v>
      </c>
      <c r="AP58" s="155" t="s">
        <v>390</v>
      </c>
      <c r="AQ58" s="819" t="str">
        <f>IFERROR(VLOOKUP(E58,'liquidaciones '!$B$2:$C$1048576,2,0),"NO")</f>
        <v>LIQUIDADO</v>
      </c>
      <c r="AR58" s="909">
        <f>IFERROR(VLOOKUP(E58,'liquidaciones '!$B$2:$I$1048576,8,0),"")</f>
        <v>0</v>
      </c>
      <c r="AS58" s="310">
        <v>41977</v>
      </c>
      <c r="AT58" s="156" t="str">
        <f t="shared" ca="1" si="11"/>
        <v>NO</v>
      </c>
      <c r="AU58" s="156" t="s">
        <v>1164</v>
      </c>
      <c r="AV58" s="406"/>
      <c r="AW58" s="928"/>
      <c r="AX58" s="928"/>
      <c r="AY58" s="928"/>
    </row>
    <row r="59" spans="1:51" ht="47.25" customHeight="1" x14ac:dyDescent="0.3">
      <c r="A59" s="14">
        <v>1</v>
      </c>
      <c r="B59" s="14">
        <v>53</v>
      </c>
      <c r="C59" s="410"/>
      <c r="D59" s="410" t="str">
        <f t="shared" si="0"/>
        <v>2012</v>
      </c>
      <c r="E59" s="120" t="s">
        <v>9</v>
      </c>
      <c r="F59" s="129" t="s">
        <v>1018</v>
      </c>
      <c r="G59" s="1048">
        <v>900552779</v>
      </c>
      <c r="H59" s="958" t="s">
        <v>315</v>
      </c>
      <c r="I59" s="130">
        <v>19116000</v>
      </c>
      <c r="J59" s="821" t="s">
        <v>4931</v>
      </c>
      <c r="K59" s="135">
        <v>2012</v>
      </c>
      <c r="L59" s="519" t="s">
        <v>1087</v>
      </c>
      <c r="M59" s="133">
        <v>41176</v>
      </c>
      <c r="N59" s="134">
        <v>41388</v>
      </c>
      <c r="O59" s="1099" t="str">
        <f>IF(+Modificaciones!I59=0,"",VLOOKUP(E59,Modificaciones!$B$7:$I$2400,8,0))</f>
        <v/>
      </c>
      <c r="P59" s="115">
        <f>COUNTA(Modificaciones!J59,Modificaciones!L59,Modificaciones!N59,Modificaciones!P59)</f>
        <v>1</v>
      </c>
      <c r="Q59" s="116">
        <f>VLOOKUP(E59,Modificaciones!$B$7:$R$300,17,0)</f>
        <v>1807575</v>
      </c>
      <c r="R59" s="117">
        <f>COUNTA(Modificaciones!T59,Modificaciones!V59,Modificaciones!X59,Modificaciones!Z59)</f>
        <v>1</v>
      </c>
      <c r="S59" s="118" t="str">
        <f>IF(Modificaciones!AA59=0,"",VLOOKUP(E59,Modificaciones!$B$7:$AA$400,26,0))</f>
        <v>21 días calendario</v>
      </c>
      <c r="T59" s="119">
        <f>IF(Modificaciones!AB59=0,"",VLOOKUP(E59,Modificaciones!$B$7:$AB$400,27,0))</f>
        <v>41409</v>
      </c>
      <c r="U59" s="1080" t="str">
        <f>+Modificaciones!AC59</f>
        <v/>
      </c>
      <c r="V59" s="825" t="str">
        <f>+Modificaciones!AK59</f>
        <v/>
      </c>
      <c r="W59" s="825">
        <f t="shared" si="6"/>
        <v>41409</v>
      </c>
      <c r="X59" s="59">
        <f t="shared" si="1"/>
        <v>20923575</v>
      </c>
      <c r="Y59" s="151">
        <f>VLOOKUP(E59,Modificaciones!$B$7:$BE$300,56,0)</f>
        <v>19912200</v>
      </c>
      <c r="Z59" s="84">
        <f t="shared" si="2"/>
        <v>1011375</v>
      </c>
      <c r="AA59" s="283"/>
      <c r="AB59" s="40">
        <f t="shared" si="3"/>
        <v>0.95166337492517417</v>
      </c>
      <c r="AC59" s="40">
        <f t="shared" ca="1" si="7"/>
        <v>1</v>
      </c>
      <c r="AD59" s="41">
        <f t="shared" ca="1" si="8"/>
        <v>4.8336625074825834E-2</v>
      </c>
      <c r="AE59" s="181" t="str">
        <f t="shared" ca="1" si="9"/>
        <v/>
      </c>
      <c r="AF59" s="42" t="str">
        <f t="shared" si="5"/>
        <v>NO</v>
      </c>
      <c r="AG59" s="42"/>
      <c r="AH59" s="152" t="s">
        <v>1255</v>
      </c>
      <c r="AI59" s="152" t="s">
        <v>1136</v>
      </c>
      <c r="AJ59" s="152" t="s">
        <v>1435</v>
      </c>
      <c r="AK59" s="255" t="s">
        <v>562</v>
      </c>
      <c r="AL59" s="153"/>
      <c r="AM59" s="160" t="s">
        <v>600</v>
      </c>
      <c r="AN59" s="161" t="str">
        <f t="shared" ca="1" si="10"/>
        <v>TERMINO</v>
      </c>
      <c r="AO59" s="160" t="s">
        <v>574</v>
      </c>
      <c r="AP59" s="155" t="s">
        <v>390</v>
      </c>
      <c r="AQ59" s="819" t="str">
        <f>IFERROR(VLOOKUP(E59,'liquidaciones '!$B$2:$C$1048576,2,0),"NO")</f>
        <v>LIQUIDADO</v>
      </c>
      <c r="AR59" s="909">
        <f>IFERROR(VLOOKUP(E59,'liquidaciones '!$B$2:$I$1048576,8,0),"")</f>
        <v>0</v>
      </c>
      <c r="AS59" s="310">
        <v>42306</v>
      </c>
      <c r="AT59" s="156" t="str">
        <f t="shared" ca="1" si="11"/>
        <v>NO</v>
      </c>
      <c r="AU59" s="156" t="s">
        <v>1164</v>
      </c>
      <c r="AV59" s="406"/>
      <c r="AW59" s="928"/>
      <c r="AX59" s="928"/>
      <c r="AY59" s="928"/>
    </row>
    <row r="60" spans="1:51" ht="47.25" customHeight="1" x14ac:dyDescent="0.3">
      <c r="A60" s="14">
        <v>1</v>
      </c>
      <c r="B60" s="14">
        <v>54</v>
      </c>
      <c r="C60" s="410"/>
      <c r="D60" s="410" t="str">
        <f t="shared" si="0"/>
        <v>2012</v>
      </c>
      <c r="E60" s="120" t="s">
        <v>63</v>
      </c>
      <c r="F60" s="120" t="s">
        <v>64</v>
      </c>
      <c r="G60" s="1048">
        <v>830143378</v>
      </c>
      <c r="H60" s="957" t="s">
        <v>337</v>
      </c>
      <c r="I60" s="121">
        <v>282073266</v>
      </c>
      <c r="J60" s="121" t="s">
        <v>1087</v>
      </c>
      <c r="K60" s="135">
        <v>2012</v>
      </c>
      <c r="L60" s="519" t="s">
        <v>1087</v>
      </c>
      <c r="M60" s="123">
        <v>41198</v>
      </c>
      <c r="N60" s="123">
        <v>41441</v>
      </c>
      <c r="O60" s="1099" t="str">
        <f>IF(+Modificaciones!I60=0,"",VLOOKUP(E60,Modificaciones!$B$7:$I$2400,8,0))</f>
        <v/>
      </c>
      <c r="P60" s="115">
        <f>COUNTA(Modificaciones!J60,Modificaciones!L60,Modificaciones!N60,Modificaciones!P60)</f>
        <v>0</v>
      </c>
      <c r="Q60" s="116">
        <f>VLOOKUP(E60,Modificaciones!$B$7:$R$300,17,0)</f>
        <v>0</v>
      </c>
      <c r="R60" s="117">
        <f>COUNTA(Modificaciones!T60,Modificaciones!V60,Modificaciones!X60,Modificaciones!Z60)</f>
        <v>0</v>
      </c>
      <c r="S60" s="118" t="str">
        <f>IF(Modificaciones!AA60=0,"",VLOOKUP(E60,Modificaciones!$B$7:$AA$400,26,0))</f>
        <v/>
      </c>
      <c r="T60" s="119" t="str">
        <f>IF(Modificaciones!AB60=0,"",VLOOKUP(E60,Modificaciones!$B$7:$AB$400,27,0))</f>
        <v/>
      </c>
      <c r="U60" s="1080" t="str">
        <f>+Modificaciones!AC60</f>
        <v/>
      </c>
      <c r="V60" s="825" t="str">
        <f>+Modificaciones!AK60</f>
        <v/>
      </c>
      <c r="W60" s="825">
        <f t="shared" si="6"/>
        <v>41441</v>
      </c>
      <c r="X60" s="59">
        <f t="shared" si="1"/>
        <v>282073266</v>
      </c>
      <c r="Y60" s="151">
        <f>VLOOKUP(E60,Modificaciones!$B$7:$BE$300,56,0)</f>
        <v>282073266</v>
      </c>
      <c r="Z60" s="84">
        <f t="shared" si="2"/>
        <v>0</v>
      </c>
      <c r="AA60" s="283"/>
      <c r="AB60" s="40">
        <f t="shared" si="3"/>
        <v>1</v>
      </c>
      <c r="AC60" s="40">
        <f t="shared" ca="1" si="7"/>
        <v>1</v>
      </c>
      <c r="AD60" s="41">
        <f t="shared" ca="1" si="8"/>
        <v>0</v>
      </c>
      <c r="AE60" s="181" t="str">
        <f t="shared" ca="1" si="9"/>
        <v/>
      </c>
      <c r="AF60" s="42" t="str">
        <f t="shared" si="5"/>
        <v>SI</v>
      </c>
      <c r="AG60" s="42"/>
      <c r="AH60" s="152" t="s">
        <v>1255</v>
      </c>
      <c r="AI60" s="152" t="s">
        <v>1282</v>
      </c>
      <c r="AJ60" s="152"/>
      <c r="AL60" s="153"/>
      <c r="AM60" s="160" t="s">
        <v>600</v>
      </c>
      <c r="AN60" s="161" t="str">
        <f t="shared" ca="1" si="10"/>
        <v>TERMINO</v>
      </c>
      <c r="AO60" s="160" t="s">
        <v>573</v>
      </c>
      <c r="AP60" s="155" t="s">
        <v>390</v>
      </c>
      <c r="AQ60" s="819" t="str">
        <f>IFERROR(VLOOKUP(E60,'liquidaciones '!$B$2:$C$1048576,2,0),"NO")</f>
        <v>LIQUIDADO</v>
      </c>
      <c r="AR60" s="909">
        <f>IFERROR(VLOOKUP(E60,'liquidaciones '!$B$2:$I$1048576,8,0),"")</f>
        <v>0</v>
      </c>
      <c r="AS60" s="310">
        <v>41968</v>
      </c>
      <c r="AT60" s="156" t="str">
        <f t="shared" ca="1" si="11"/>
        <v>NO</v>
      </c>
      <c r="AU60" s="156" t="s">
        <v>982</v>
      </c>
      <c r="AV60" s="406"/>
      <c r="AW60" s="928"/>
      <c r="AX60" s="928"/>
      <c r="AY60" s="928"/>
    </row>
    <row r="61" spans="1:51" ht="47.25" customHeight="1" x14ac:dyDescent="0.3">
      <c r="A61" s="14">
        <v>1</v>
      </c>
      <c r="B61" s="14">
        <v>55</v>
      </c>
      <c r="C61" s="410"/>
      <c r="D61" s="410" t="str">
        <f t="shared" si="0"/>
        <v>2012</v>
      </c>
      <c r="E61" s="120" t="s">
        <v>110</v>
      </c>
      <c r="F61" s="120" t="s">
        <v>111</v>
      </c>
      <c r="G61" s="1046">
        <v>830126085</v>
      </c>
      <c r="H61" s="957" t="s">
        <v>1373</v>
      </c>
      <c r="I61" s="121">
        <v>50618751</v>
      </c>
      <c r="J61" s="121" t="s">
        <v>1087</v>
      </c>
      <c r="K61" s="135">
        <v>2012</v>
      </c>
      <c r="L61" s="519" t="s">
        <v>1087</v>
      </c>
      <c r="M61" s="123">
        <v>41198</v>
      </c>
      <c r="N61" s="123">
        <v>41441</v>
      </c>
      <c r="O61" s="1099" t="str">
        <f>IF(+Modificaciones!I61=0,"",VLOOKUP(E61,Modificaciones!$B$7:$I$2400,8,0))</f>
        <v/>
      </c>
      <c r="P61" s="115">
        <f>COUNTA(Modificaciones!J61,Modificaciones!L61,Modificaciones!N61,Modificaciones!P61)</f>
        <v>0</v>
      </c>
      <c r="Q61" s="116">
        <f>VLOOKUP(E61,Modificaciones!$B$7:$R$300,17,0)</f>
        <v>0</v>
      </c>
      <c r="R61" s="117">
        <f>COUNTA(Modificaciones!T61,Modificaciones!V61,Modificaciones!X61,Modificaciones!Z61)</f>
        <v>0</v>
      </c>
      <c r="S61" s="118" t="str">
        <f>IF(Modificaciones!AA61=0,"",VLOOKUP(E61,Modificaciones!$B$7:$AA$400,26,0))</f>
        <v/>
      </c>
      <c r="T61" s="119" t="str">
        <f>IF(Modificaciones!AB61=0,"",VLOOKUP(E61,Modificaciones!$B$7:$AB$400,27,0))</f>
        <v/>
      </c>
      <c r="U61" s="1080" t="str">
        <f>+Modificaciones!AC61</f>
        <v/>
      </c>
      <c r="V61" s="825" t="str">
        <f>+Modificaciones!AK61</f>
        <v/>
      </c>
      <c r="W61" s="825">
        <f t="shared" si="6"/>
        <v>41441</v>
      </c>
      <c r="X61" s="59">
        <f t="shared" si="1"/>
        <v>50618751</v>
      </c>
      <c r="Y61" s="151">
        <f>VLOOKUP(E61,Modificaciones!$B$7:$BE$300,56,0)</f>
        <v>50618751</v>
      </c>
      <c r="Z61" s="84">
        <f t="shared" si="2"/>
        <v>0</v>
      </c>
      <c r="AA61" s="283"/>
      <c r="AB61" s="40">
        <f t="shared" si="3"/>
        <v>1</v>
      </c>
      <c r="AC61" s="40">
        <f t="shared" ca="1" si="7"/>
        <v>1</v>
      </c>
      <c r="AD61" s="41">
        <f t="shared" ca="1" si="8"/>
        <v>0</v>
      </c>
      <c r="AE61" s="181" t="str">
        <f t="shared" ca="1" si="9"/>
        <v/>
      </c>
      <c r="AF61" s="42" t="str">
        <f t="shared" si="5"/>
        <v>SI</v>
      </c>
      <c r="AG61" s="42"/>
      <c r="AH61" s="152" t="s">
        <v>1255</v>
      </c>
      <c r="AI61" s="152" t="s">
        <v>1282</v>
      </c>
      <c r="AJ61" s="152"/>
      <c r="AL61" s="153"/>
      <c r="AM61" s="160" t="s">
        <v>600</v>
      </c>
      <c r="AN61" s="161" t="str">
        <f t="shared" ca="1" si="10"/>
        <v>TERMINO</v>
      </c>
      <c r="AO61" s="160" t="s">
        <v>573</v>
      </c>
      <c r="AP61" s="155" t="s">
        <v>390</v>
      </c>
      <c r="AQ61" s="819" t="str">
        <f>IFERROR(VLOOKUP(E61,'liquidaciones '!$B$2:$C$1048576,2,0),"NO")</f>
        <v>NO</v>
      </c>
      <c r="AR61" s="909" t="str">
        <f>IFERROR(VLOOKUP(E61,'liquidaciones '!$B$2:$I$1048576,8,0),"")</f>
        <v/>
      </c>
      <c r="AS61" s="310">
        <v>41984</v>
      </c>
      <c r="AT61" s="156" t="str">
        <f t="shared" ca="1" si="11"/>
        <v>NO</v>
      </c>
      <c r="AU61" s="156" t="s">
        <v>982</v>
      </c>
      <c r="AV61" s="406"/>
      <c r="AW61" s="928"/>
      <c r="AX61" s="928"/>
      <c r="AY61" s="928"/>
    </row>
    <row r="62" spans="1:51" ht="47.25" customHeight="1" x14ac:dyDescent="0.3">
      <c r="A62" s="14">
        <v>1</v>
      </c>
      <c r="B62" s="14">
        <v>56</v>
      </c>
      <c r="C62" s="410"/>
      <c r="D62" s="410" t="str">
        <f t="shared" si="0"/>
        <v>2012</v>
      </c>
      <c r="E62" s="120" t="s">
        <v>65</v>
      </c>
      <c r="F62" s="120" t="s">
        <v>66</v>
      </c>
      <c r="G62" s="1048">
        <v>860015685</v>
      </c>
      <c r="H62" s="957" t="s">
        <v>459</v>
      </c>
      <c r="I62" s="121">
        <v>69900000</v>
      </c>
      <c r="J62" s="121" t="s">
        <v>1087</v>
      </c>
      <c r="K62" s="135">
        <v>2012</v>
      </c>
      <c r="L62" s="519" t="s">
        <v>1087</v>
      </c>
      <c r="M62" s="124">
        <v>41202</v>
      </c>
      <c r="N62" s="124">
        <v>41445</v>
      </c>
      <c r="O62" s="1099" t="str">
        <f>IF(+Modificaciones!I62=0,"",VLOOKUP(E62,Modificaciones!$B$7:$I$2400,8,0))</f>
        <v/>
      </c>
      <c r="P62" s="115">
        <f>COUNTA(Modificaciones!J62,Modificaciones!L62,Modificaciones!N62,Modificaciones!P62)</f>
        <v>0</v>
      </c>
      <c r="Q62" s="116">
        <f>VLOOKUP(E62,Modificaciones!$B$7:$R$300,17,0)</f>
        <v>0</v>
      </c>
      <c r="R62" s="117">
        <f>COUNTA(Modificaciones!T62,Modificaciones!V62,Modificaciones!X62,Modificaciones!Z62)</f>
        <v>0</v>
      </c>
      <c r="S62" s="118" t="str">
        <f>IF(Modificaciones!AA62=0,"",VLOOKUP(E62,Modificaciones!$B$7:$AA$400,26,0))</f>
        <v>41 días</v>
      </c>
      <c r="T62" s="119" t="str">
        <f>IF(Modificaciones!AB62=0,"",VLOOKUP(E62,Modificaciones!$B$7:$AB$400,27,0))</f>
        <v/>
      </c>
      <c r="U62" s="1080" t="str">
        <f>+Modificaciones!AC62</f>
        <v/>
      </c>
      <c r="V62" s="825" t="str">
        <f>+Modificaciones!AK62</f>
        <v/>
      </c>
      <c r="W62" s="825">
        <f t="shared" si="6"/>
        <v>41445</v>
      </c>
      <c r="X62" s="59">
        <f t="shared" si="1"/>
        <v>69900000</v>
      </c>
      <c r="Y62" s="151">
        <f>VLOOKUP(E62,Modificaciones!$B$7:$BE$300,56,0)</f>
        <v>69900000</v>
      </c>
      <c r="Z62" s="84">
        <f t="shared" si="2"/>
        <v>0</v>
      </c>
      <c r="AA62" s="283"/>
      <c r="AB62" s="40">
        <f t="shared" si="3"/>
        <v>1</v>
      </c>
      <c r="AC62" s="40">
        <f t="shared" ca="1" si="7"/>
        <v>1</v>
      </c>
      <c r="AD62" s="41">
        <f t="shared" ca="1" si="8"/>
        <v>0</v>
      </c>
      <c r="AE62" s="181" t="str">
        <f t="shared" ca="1" si="9"/>
        <v/>
      </c>
      <c r="AF62" s="42" t="str">
        <f t="shared" si="5"/>
        <v>SI</v>
      </c>
      <c r="AG62" s="42"/>
      <c r="AH62" s="152" t="s">
        <v>1255</v>
      </c>
      <c r="AI62" s="152" t="s">
        <v>1282</v>
      </c>
      <c r="AJ62" s="152"/>
      <c r="AL62" s="153"/>
      <c r="AM62" s="160" t="s">
        <v>600</v>
      </c>
      <c r="AN62" s="161" t="str">
        <f t="shared" ca="1" si="10"/>
        <v>TERMINO</v>
      </c>
      <c r="AO62" s="160" t="s">
        <v>573</v>
      </c>
      <c r="AP62" s="155" t="s">
        <v>390</v>
      </c>
      <c r="AQ62" s="819" t="str">
        <f>IFERROR(VLOOKUP(E62,'liquidaciones '!$B$2:$C$1048576,2,0),"NO")</f>
        <v>LIQUIDADO</v>
      </c>
      <c r="AR62" s="909">
        <f>IFERROR(VLOOKUP(E62,'liquidaciones '!$B$2:$I$1048576,8,0),"")</f>
        <v>0</v>
      </c>
      <c r="AS62" s="310">
        <v>42017</v>
      </c>
      <c r="AT62" s="156" t="str">
        <f t="shared" ca="1" si="11"/>
        <v>NO</v>
      </c>
      <c r="AU62" s="156" t="s">
        <v>1164</v>
      </c>
      <c r="AV62" s="406"/>
      <c r="AW62" s="928"/>
      <c r="AX62" s="928"/>
      <c r="AY62" s="928"/>
    </row>
    <row r="63" spans="1:51" ht="90.75" customHeight="1" x14ac:dyDescent="0.3">
      <c r="A63" s="14">
        <v>1</v>
      </c>
      <c r="B63" s="14">
        <v>57</v>
      </c>
      <c r="C63" s="410"/>
      <c r="D63" s="410" t="str">
        <f t="shared" si="0"/>
        <v>2012</v>
      </c>
      <c r="E63" s="120" t="s">
        <v>69</v>
      </c>
      <c r="F63" s="120" t="s">
        <v>77</v>
      </c>
      <c r="G63" s="1049">
        <v>860506170</v>
      </c>
      <c r="H63" s="957" t="s">
        <v>397</v>
      </c>
      <c r="I63" s="121">
        <v>500000000</v>
      </c>
      <c r="J63" s="121" t="s">
        <v>1087</v>
      </c>
      <c r="K63" s="135">
        <v>2012</v>
      </c>
      <c r="L63" s="519" t="s">
        <v>1087</v>
      </c>
      <c r="M63" s="123">
        <v>41170</v>
      </c>
      <c r="N63" s="123">
        <v>41412</v>
      </c>
      <c r="O63" s="1099" t="str">
        <f>IF(+Modificaciones!I63=0,"",VLOOKUP(E63,Modificaciones!$B$7:$I$2400,8,0))</f>
        <v/>
      </c>
      <c r="P63" s="115">
        <f>COUNTA(Modificaciones!J63,Modificaciones!L63,Modificaciones!N63,Modificaciones!P63)</f>
        <v>0</v>
      </c>
      <c r="Q63" s="116">
        <f>VLOOKUP(E63,Modificaciones!$B$7:$R$300,17,0)</f>
        <v>0</v>
      </c>
      <c r="R63" s="117">
        <f>COUNTA(Modificaciones!T63,Modificaciones!V63,Modificaciones!X63,Modificaciones!Z63)</f>
        <v>0</v>
      </c>
      <c r="S63" s="118" t="str">
        <f>IF(Modificaciones!AA63=0,"",VLOOKUP(E63,Modificaciones!$B$7:$AA$400,26,0))</f>
        <v/>
      </c>
      <c r="T63" s="119" t="str">
        <f>IF(Modificaciones!AB63=0,"",VLOOKUP(E63,Modificaciones!$B$7:$AB$400,27,0))</f>
        <v/>
      </c>
      <c r="U63" s="1080" t="str">
        <f>+Modificaciones!AC63</f>
        <v/>
      </c>
      <c r="V63" s="825" t="str">
        <f>+Modificaciones!AK63</f>
        <v/>
      </c>
      <c r="W63" s="825">
        <f t="shared" si="6"/>
        <v>41412</v>
      </c>
      <c r="X63" s="59">
        <f t="shared" si="1"/>
        <v>500000000</v>
      </c>
      <c r="Y63" s="151">
        <f>VLOOKUP(E63,Modificaciones!$B$7:$BE$300,56,0)</f>
        <v>500000000</v>
      </c>
      <c r="Z63" s="84">
        <f t="shared" si="2"/>
        <v>0</v>
      </c>
      <c r="AA63" s="283"/>
      <c r="AB63" s="40">
        <f t="shared" si="3"/>
        <v>1</v>
      </c>
      <c r="AC63" s="40">
        <f t="shared" ca="1" si="7"/>
        <v>1</v>
      </c>
      <c r="AD63" s="41">
        <f t="shared" ca="1" si="8"/>
        <v>0</v>
      </c>
      <c r="AE63" s="181" t="str">
        <f t="shared" ca="1" si="9"/>
        <v/>
      </c>
      <c r="AF63" s="42" t="str">
        <f t="shared" si="5"/>
        <v>SI</v>
      </c>
      <c r="AG63" s="42"/>
      <c r="AH63" s="152" t="s">
        <v>1255</v>
      </c>
      <c r="AI63" s="152"/>
      <c r="AJ63" s="152"/>
      <c r="AL63" s="153"/>
      <c r="AM63" s="160" t="s">
        <v>600</v>
      </c>
      <c r="AN63" s="161" t="str">
        <f t="shared" ca="1" si="10"/>
        <v>TERMINO</v>
      </c>
      <c r="AO63" s="160" t="s">
        <v>582</v>
      </c>
      <c r="AP63" s="155" t="s">
        <v>390</v>
      </c>
      <c r="AQ63" s="819" t="str">
        <f>IFERROR(VLOOKUP(E63,'liquidaciones '!$B$2:$C$1048576,2,0),"NO")</f>
        <v>NO</v>
      </c>
      <c r="AR63" s="909" t="str">
        <f>IFERROR(VLOOKUP(E63,'liquidaciones '!$B$2:$I$1048576,8,0),"")</f>
        <v/>
      </c>
      <c r="AS63" s="310"/>
      <c r="AT63" s="156" t="str">
        <f t="shared" ca="1" si="11"/>
        <v>NO</v>
      </c>
      <c r="AU63" s="156" t="s">
        <v>982</v>
      </c>
      <c r="AV63" s="406"/>
      <c r="AW63" s="928"/>
      <c r="AX63" s="928"/>
      <c r="AY63" s="928"/>
    </row>
    <row r="64" spans="1:51" ht="47.25" customHeight="1" x14ac:dyDescent="0.3">
      <c r="A64" s="14">
        <v>1</v>
      </c>
      <c r="B64" s="14">
        <v>58</v>
      </c>
      <c r="C64" s="410"/>
      <c r="D64" s="410" t="str">
        <f t="shared" si="0"/>
        <v>2012</v>
      </c>
      <c r="E64" s="120" t="s">
        <v>396</v>
      </c>
      <c r="F64" s="144" t="s">
        <v>203</v>
      </c>
      <c r="G64" s="1049">
        <v>860049921</v>
      </c>
      <c r="H64" s="958" t="s">
        <v>346</v>
      </c>
      <c r="I64" s="130">
        <v>10440000</v>
      </c>
      <c r="J64" s="821" t="s">
        <v>4304</v>
      </c>
      <c r="K64" s="135">
        <v>2012</v>
      </c>
      <c r="L64" s="519" t="s">
        <v>1087</v>
      </c>
      <c r="M64" s="131">
        <v>41067</v>
      </c>
      <c r="N64" s="132">
        <v>41312</v>
      </c>
      <c r="O64" s="1099" t="str">
        <f>IF(+Modificaciones!I64=0,"",VLOOKUP(E64,Modificaciones!$B$7:$I$2400,8,0))</f>
        <v/>
      </c>
      <c r="P64" s="115">
        <f>COUNTA(Modificaciones!J64,Modificaciones!L64,Modificaciones!N64,Modificaciones!P64)</f>
        <v>0</v>
      </c>
      <c r="Q64" s="116">
        <f>VLOOKUP(E64,Modificaciones!$B$7:$R$300,17,0)</f>
        <v>0</v>
      </c>
      <c r="R64" s="117">
        <f>COUNTA(Modificaciones!T64,Modificaciones!V64,Modificaciones!X64,Modificaciones!Z64)</f>
        <v>0</v>
      </c>
      <c r="S64" s="118" t="str">
        <f>IF(Modificaciones!AA64=0,"",VLOOKUP(E64,Modificaciones!$B$7:$AA$400,26,0))</f>
        <v/>
      </c>
      <c r="T64" s="119" t="str">
        <f>IF(Modificaciones!AB64=0,"",VLOOKUP(E64,Modificaciones!$B$7:$AB$400,27,0))</f>
        <v/>
      </c>
      <c r="U64" s="1080" t="str">
        <f>+Modificaciones!AC64</f>
        <v/>
      </c>
      <c r="V64" s="825" t="str">
        <f>+Modificaciones!AK64</f>
        <v/>
      </c>
      <c r="W64" s="825">
        <f t="shared" si="6"/>
        <v>41312</v>
      </c>
      <c r="X64" s="59">
        <f t="shared" si="1"/>
        <v>10440000</v>
      </c>
      <c r="Y64" s="151">
        <f>VLOOKUP(E64,Modificaciones!$B$7:$BE$300,56,0)</f>
        <v>10440000</v>
      </c>
      <c r="Z64" s="84">
        <f t="shared" si="2"/>
        <v>0</v>
      </c>
      <c r="AA64" s="283"/>
      <c r="AB64" s="40">
        <f t="shared" si="3"/>
        <v>1</v>
      </c>
      <c r="AC64" s="40">
        <f t="shared" ca="1" si="7"/>
        <v>1</v>
      </c>
      <c r="AD64" s="41">
        <f t="shared" ca="1" si="8"/>
        <v>0</v>
      </c>
      <c r="AE64" s="181" t="str">
        <f t="shared" ca="1" si="9"/>
        <v/>
      </c>
      <c r="AF64" s="42" t="str">
        <f t="shared" si="5"/>
        <v>SI</v>
      </c>
      <c r="AG64" s="42"/>
      <c r="AH64" s="152" t="s">
        <v>1255</v>
      </c>
      <c r="AI64" s="275" t="s">
        <v>1349</v>
      </c>
      <c r="AJ64" s="152" t="s">
        <v>1430</v>
      </c>
      <c r="AK64" s="255" t="s">
        <v>563</v>
      </c>
      <c r="AL64" s="153"/>
      <c r="AM64" s="160" t="s">
        <v>600</v>
      </c>
      <c r="AN64" s="161" t="str">
        <f t="shared" ca="1" si="10"/>
        <v>TERMINO</v>
      </c>
      <c r="AO64" s="160" t="s">
        <v>582</v>
      </c>
      <c r="AP64" s="155" t="s">
        <v>390</v>
      </c>
      <c r="AQ64" s="819" t="str">
        <f>IFERROR(VLOOKUP(E64,'liquidaciones '!$B$2:$C$1048576,2,0),"NO")</f>
        <v>LIQUIDADO</v>
      </c>
      <c r="AR64" s="909">
        <f>IFERROR(VLOOKUP(E64,'liquidaciones '!$B$2:$I$1048576,8,0),"")</f>
        <v>0</v>
      </c>
      <c r="AS64" s="310">
        <v>42221</v>
      </c>
      <c r="AT64" s="156" t="str">
        <f t="shared" ca="1" si="11"/>
        <v>NO</v>
      </c>
      <c r="AU64" s="156" t="s">
        <v>1570</v>
      </c>
      <c r="AV64" s="406"/>
      <c r="AW64" s="928"/>
      <c r="AX64" s="928"/>
      <c r="AY64" s="928"/>
    </row>
    <row r="65" spans="1:51" ht="47.25" customHeight="1" x14ac:dyDescent="0.3">
      <c r="A65" s="14">
        <v>1</v>
      </c>
      <c r="B65" s="14">
        <v>59</v>
      </c>
      <c r="C65" s="410"/>
      <c r="D65" s="410" t="str">
        <f t="shared" si="0"/>
        <v>2012</v>
      </c>
      <c r="E65" s="120" t="s">
        <v>47</v>
      </c>
      <c r="F65" s="129" t="s">
        <v>48</v>
      </c>
      <c r="G65" s="1048">
        <v>830085352</v>
      </c>
      <c r="H65" s="958" t="s">
        <v>421</v>
      </c>
      <c r="I65" s="130">
        <v>24824832</v>
      </c>
      <c r="J65" s="821" t="s">
        <v>4413</v>
      </c>
      <c r="K65" s="135">
        <v>2012</v>
      </c>
      <c r="L65" s="519" t="s">
        <v>1087</v>
      </c>
      <c r="M65" s="131">
        <v>41208</v>
      </c>
      <c r="N65" s="132">
        <v>41481</v>
      </c>
      <c r="O65" s="1099" t="str">
        <f>IF(+Modificaciones!I65=0,"",VLOOKUP(E65,Modificaciones!$B$7:$I$2400,8,0))</f>
        <v/>
      </c>
      <c r="P65" s="115">
        <f>COUNTA(Modificaciones!J65,Modificaciones!L65,Modificaciones!N65,Modificaciones!P65)</f>
        <v>0</v>
      </c>
      <c r="Q65" s="116">
        <f>VLOOKUP(E65,Modificaciones!$B$7:$R$300,17,0)</f>
        <v>0</v>
      </c>
      <c r="R65" s="117">
        <f>COUNTA(Modificaciones!T65,Modificaciones!V65,Modificaciones!X65,Modificaciones!Z65)</f>
        <v>0</v>
      </c>
      <c r="S65" s="118" t="str">
        <f>IF(Modificaciones!AA65=0,"",VLOOKUP(E65,Modificaciones!$B$7:$AA$400,26,0))</f>
        <v/>
      </c>
      <c r="T65" s="119" t="str">
        <f>IF(Modificaciones!AB65=0,"",VLOOKUP(E65,Modificaciones!$B$7:$AB$400,27,0))</f>
        <v/>
      </c>
      <c r="U65" s="1080" t="str">
        <f>+Modificaciones!AC65</f>
        <v/>
      </c>
      <c r="V65" s="825" t="str">
        <f>+Modificaciones!AK65</f>
        <v/>
      </c>
      <c r="W65" s="825">
        <f t="shared" si="6"/>
        <v>41481</v>
      </c>
      <c r="X65" s="59">
        <f t="shared" si="1"/>
        <v>24824832</v>
      </c>
      <c r="Y65" s="151">
        <f>VLOOKUP(E65,Modificaciones!$B$7:$BE$300,56,0)</f>
        <v>24824832</v>
      </c>
      <c r="Z65" s="84">
        <f t="shared" si="2"/>
        <v>0</v>
      </c>
      <c r="AA65" s="283"/>
      <c r="AB65" s="40">
        <f t="shared" si="3"/>
        <v>1</v>
      </c>
      <c r="AC65" s="40">
        <f t="shared" ca="1" si="7"/>
        <v>1</v>
      </c>
      <c r="AD65" s="41">
        <f t="shared" ca="1" si="8"/>
        <v>0</v>
      </c>
      <c r="AE65" s="181" t="str">
        <f t="shared" ca="1" si="9"/>
        <v/>
      </c>
      <c r="AF65" s="42" t="str">
        <f t="shared" si="5"/>
        <v>SI</v>
      </c>
      <c r="AG65" s="42"/>
      <c r="AH65" s="152" t="s">
        <v>1255</v>
      </c>
      <c r="AI65" s="152" t="s">
        <v>1140</v>
      </c>
      <c r="AJ65" s="152"/>
      <c r="AL65" s="153"/>
      <c r="AM65" s="160" t="s">
        <v>600</v>
      </c>
      <c r="AN65" s="161" t="str">
        <f t="shared" ca="1" si="10"/>
        <v>TERMINO</v>
      </c>
      <c r="AO65" s="160" t="s">
        <v>576</v>
      </c>
      <c r="AP65" s="155" t="s">
        <v>390</v>
      </c>
      <c r="AQ65" s="819" t="str">
        <f>IFERROR(VLOOKUP(E65,'liquidaciones '!$B$2:$C$1048576,2,0),"NO")</f>
        <v>LIQUIDADO</v>
      </c>
      <c r="AR65" s="909">
        <f>IFERROR(VLOOKUP(E65,'liquidaciones '!$B$2:$I$1048576,8,0),"")</f>
        <v>0</v>
      </c>
      <c r="AS65" s="310">
        <v>41982</v>
      </c>
      <c r="AT65" s="156" t="str">
        <f t="shared" ca="1" si="11"/>
        <v>NO</v>
      </c>
      <c r="AU65" s="156" t="s">
        <v>1570</v>
      </c>
      <c r="AV65" s="406"/>
      <c r="AW65" s="928"/>
      <c r="AX65" s="928"/>
      <c r="AY65" s="928"/>
    </row>
    <row r="66" spans="1:51" ht="47.25" customHeight="1" x14ac:dyDescent="0.3">
      <c r="A66" s="14">
        <v>1</v>
      </c>
      <c r="B66" s="14">
        <v>60</v>
      </c>
      <c r="C66" s="410"/>
      <c r="D66" s="410" t="str">
        <f t="shared" si="0"/>
        <v>2012</v>
      </c>
      <c r="E66" s="120" t="s">
        <v>39</v>
      </c>
      <c r="F66" s="120" t="s">
        <v>1019</v>
      </c>
      <c r="G66" s="1048">
        <v>900169179</v>
      </c>
      <c r="H66" s="957" t="s">
        <v>328</v>
      </c>
      <c r="I66" s="121">
        <v>810000</v>
      </c>
      <c r="J66" s="121" t="s">
        <v>1087</v>
      </c>
      <c r="K66" s="135">
        <v>2012</v>
      </c>
      <c r="L66" s="519" t="s">
        <v>1087</v>
      </c>
      <c r="M66" s="124">
        <v>41193</v>
      </c>
      <c r="N66" s="124">
        <v>41558</v>
      </c>
      <c r="O66" s="1099" t="str">
        <f>IF(+Modificaciones!I66=0,"",VLOOKUP(E66,Modificaciones!$B$7:$I$2400,8,0))</f>
        <v/>
      </c>
      <c r="P66" s="115">
        <f>COUNTA(Modificaciones!J66,Modificaciones!L66,Modificaciones!N66,Modificaciones!P66)</f>
        <v>0</v>
      </c>
      <c r="Q66" s="116">
        <f>VLOOKUP(E66,Modificaciones!$B$7:$R$300,17,0)</f>
        <v>0</v>
      </c>
      <c r="R66" s="117">
        <f>COUNTA(Modificaciones!T66,Modificaciones!V66,Modificaciones!X66,Modificaciones!Z66)</f>
        <v>0</v>
      </c>
      <c r="S66" s="118" t="str">
        <f>IF(Modificaciones!AA66=0,"",VLOOKUP(E66,Modificaciones!$B$7:$AA$400,26,0))</f>
        <v/>
      </c>
      <c r="T66" s="119" t="str">
        <f>IF(Modificaciones!AB66=0,"",VLOOKUP(E66,Modificaciones!$B$7:$AB$400,27,0))</f>
        <v/>
      </c>
      <c r="U66" s="1080" t="str">
        <f>+Modificaciones!AC66</f>
        <v/>
      </c>
      <c r="V66" s="825" t="str">
        <f>+Modificaciones!AK66</f>
        <v/>
      </c>
      <c r="W66" s="825">
        <f t="shared" si="6"/>
        <v>41558</v>
      </c>
      <c r="X66" s="59">
        <f t="shared" si="1"/>
        <v>810000</v>
      </c>
      <c r="Y66" s="151">
        <f>VLOOKUP(E66,Modificaciones!$B$7:$BE$300,56,0)</f>
        <v>810000</v>
      </c>
      <c r="Z66" s="84">
        <f t="shared" si="2"/>
        <v>0</v>
      </c>
      <c r="AA66" s="283"/>
      <c r="AB66" s="40">
        <f t="shared" si="3"/>
        <v>1</v>
      </c>
      <c r="AC66" s="40">
        <f t="shared" ca="1" si="7"/>
        <v>1</v>
      </c>
      <c r="AD66" s="41">
        <f t="shared" ca="1" si="8"/>
        <v>0</v>
      </c>
      <c r="AE66" s="181" t="str">
        <f t="shared" ca="1" si="9"/>
        <v/>
      </c>
      <c r="AF66" s="42" t="str">
        <f t="shared" si="5"/>
        <v>SI</v>
      </c>
      <c r="AG66" s="42"/>
      <c r="AH66" s="152" t="s">
        <v>1255</v>
      </c>
      <c r="AI66" s="152" t="s">
        <v>1124</v>
      </c>
      <c r="AJ66" s="152"/>
      <c r="AL66" s="153"/>
      <c r="AM66" s="160" t="s">
        <v>600</v>
      </c>
      <c r="AN66" s="161" t="str">
        <f t="shared" ca="1" si="10"/>
        <v>TERMINO</v>
      </c>
      <c r="AO66" s="160" t="s">
        <v>582</v>
      </c>
      <c r="AP66" s="155" t="s">
        <v>390</v>
      </c>
      <c r="AQ66" s="819" t="str">
        <f>IFERROR(VLOOKUP(E66,'liquidaciones '!$B$2:$C$1048576,2,0),"NO")</f>
        <v>LIQUIDADO</v>
      </c>
      <c r="AR66" s="909">
        <f>IFERROR(VLOOKUP(E66,'liquidaciones '!$B$2:$I$1048576,8,0),"")</f>
        <v>0</v>
      </c>
      <c r="AS66" s="310"/>
      <c r="AT66" s="156" t="str">
        <f t="shared" ca="1" si="11"/>
        <v>NO</v>
      </c>
      <c r="AU66" s="156" t="s">
        <v>1570</v>
      </c>
      <c r="AV66" s="406"/>
      <c r="AW66" s="928"/>
      <c r="AX66" s="928"/>
      <c r="AY66" s="928"/>
    </row>
    <row r="67" spans="1:51" ht="47.25" customHeight="1" x14ac:dyDescent="0.3">
      <c r="A67" s="14">
        <v>1</v>
      </c>
      <c r="B67" s="14">
        <v>61</v>
      </c>
      <c r="C67" s="410"/>
      <c r="D67" s="410" t="str">
        <f t="shared" si="0"/>
        <v>2012</v>
      </c>
      <c r="E67" s="120" t="s">
        <v>49</v>
      </c>
      <c r="F67" s="129" t="s">
        <v>1020</v>
      </c>
      <c r="G67" s="1048">
        <v>830042460</v>
      </c>
      <c r="H67" s="958" t="s">
        <v>460</v>
      </c>
      <c r="I67" s="130">
        <v>299287875</v>
      </c>
      <c r="J67" s="821" t="s">
        <v>4285</v>
      </c>
      <c r="K67" s="135">
        <v>2012</v>
      </c>
      <c r="L67" s="519" t="s">
        <v>1087</v>
      </c>
      <c r="M67" s="131">
        <v>41208</v>
      </c>
      <c r="N67" s="132">
        <v>41451</v>
      </c>
      <c r="O67" s="1099" t="str">
        <f>IF(+Modificaciones!I67=0,"",VLOOKUP(E67,Modificaciones!$B$7:$I$2400,8,0))</f>
        <v/>
      </c>
      <c r="P67" s="115">
        <f>COUNTA(Modificaciones!J67,Modificaciones!L67,Modificaciones!N67,Modificaciones!P67)</f>
        <v>0</v>
      </c>
      <c r="Q67" s="116">
        <f>VLOOKUP(E67,Modificaciones!$B$7:$R$300,17,0)</f>
        <v>0</v>
      </c>
      <c r="R67" s="117">
        <f>COUNTA(Modificaciones!T67,Modificaciones!V67,Modificaciones!X67,Modificaciones!Z67)</f>
        <v>0</v>
      </c>
      <c r="S67" s="118" t="str">
        <f>IF(Modificaciones!AA67=0,"",VLOOKUP(E67,Modificaciones!$B$7:$AA$400,26,0))</f>
        <v/>
      </c>
      <c r="T67" s="119" t="str">
        <f>IF(Modificaciones!AB67=0,"",VLOOKUP(E67,Modificaciones!$B$7:$AB$400,27,0))</f>
        <v/>
      </c>
      <c r="U67" s="1080" t="str">
        <f>+Modificaciones!AC67</f>
        <v/>
      </c>
      <c r="V67" s="825" t="str">
        <f>+Modificaciones!AK67</f>
        <v/>
      </c>
      <c r="W67" s="825">
        <f t="shared" si="6"/>
        <v>41451</v>
      </c>
      <c r="X67" s="59">
        <f t="shared" si="1"/>
        <v>299287875</v>
      </c>
      <c r="Y67" s="151">
        <f>VLOOKUP(E67,Modificaciones!$B$7:$BE$300,56,0)</f>
        <v>160844981</v>
      </c>
      <c r="Z67" s="84">
        <f t="shared" si="2"/>
        <v>138442894</v>
      </c>
      <c r="AA67" s="283"/>
      <c r="AB67" s="40">
        <f t="shared" si="3"/>
        <v>0.53742565080526572</v>
      </c>
      <c r="AC67" s="40">
        <f t="shared" ca="1" si="7"/>
        <v>1</v>
      </c>
      <c r="AD67" s="41">
        <f t="shared" ca="1" si="8"/>
        <v>0.46257434919473428</v>
      </c>
      <c r="AE67" s="181" t="str">
        <f t="shared" ca="1" si="9"/>
        <v/>
      </c>
      <c r="AF67" s="42" t="str">
        <f t="shared" si="5"/>
        <v>NO</v>
      </c>
      <c r="AG67" s="42"/>
      <c r="AH67" s="152" t="s">
        <v>1255</v>
      </c>
      <c r="AI67" s="152" t="s">
        <v>1285</v>
      </c>
      <c r="AJ67" s="152"/>
      <c r="AL67" s="153"/>
      <c r="AM67" s="160" t="s">
        <v>1342</v>
      </c>
      <c r="AN67" s="161" t="str">
        <f t="shared" ca="1" si="10"/>
        <v>TERMINO</v>
      </c>
      <c r="AO67" s="160" t="s">
        <v>574</v>
      </c>
      <c r="AP67" s="155" t="s">
        <v>390</v>
      </c>
      <c r="AQ67" s="819" t="str">
        <f>IFERROR(VLOOKUP(E67,'liquidaciones '!$B$2:$C$1048576,2,0),"NO")</f>
        <v>LIQUIDADO</v>
      </c>
      <c r="AR67" s="909">
        <f>IFERROR(VLOOKUP(E67,'liquidaciones '!$B$2:$I$1048576,8,0),"")</f>
        <v>0</v>
      </c>
      <c r="AS67" s="310">
        <v>41799</v>
      </c>
      <c r="AT67" s="156" t="str">
        <f t="shared" ca="1" si="11"/>
        <v>NO</v>
      </c>
      <c r="AU67" s="156" t="s">
        <v>1570</v>
      </c>
      <c r="AV67" s="406"/>
      <c r="AW67" s="928"/>
      <c r="AX67" s="928"/>
      <c r="AY67" s="928"/>
    </row>
    <row r="68" spans="1:51" ht="47.25" customHeight="1" x14ac:dyDescent="0.3">
      <c r="A68" s="14">
        <v>1</v>
      </c>
      <c r="B68" s="14">
        <v>62</v>
      </c>
      <c r="C68" s="410"/>
      <c r="D68" s="410" t="str">
        <f t="shared" si="0"/>
        <v>2012</v>
      </c>
      <c r="E68" s="120" t="s">
        <v>50</v>
      </c>
      <c r="F68" s="120" t="s">
        <v>1021</v>
      </c>
      <c r="G68" s="1048">
        <v>830017796</v>
      </c>
      <c r="H68" s="958" t="s">
        <v>331</v>
      </c>
      <c r="I68" s="130">
        <v>1392000</v>
      </c>
      <c r="J68" s="821" t="s">
        <v>4271</v>
      </c>
      <c r="K68" s="135">
        <v>2012</v>
      </c>
      <c r="L68" s="519" t="s">
        <v>1087</v>
      </c>
      <c r="M68" s="131">
        <v>41242</v>
      </c>
      <c r="N68" s="132">
        <v>41303</v>
      </c>
      <c r="O68" s="1099" t="str">
        <f>IF(+Modificaciones!I68=0,"",VLOOKUP(E68,Modificaciones!$B$7:$I$2400,8,0))</f>
        <v/>
      </c>
      <c r="P68" s="115">
        <f>COUNTA(Modificaciones!J68,Modificaciones!L68,Modificaciones!N68,Modificaciones!P68)</f>
        <v>0</v>
      </c>
      <c r="Q68" s="116">
        <f>VLOOKUP(E68,Modificaciones!$B$7:$R$300,17,0)</f>
        <v>0</v>
      </c>
      <c r="R68" s="117">
        <f>COUNTA(Modificaciones!T68,Modificaciones!V68,Modificaciones!X68,Modificaciones!Z68)</f>
        <v>4</v>
      </c>
      <c r="S68" s="118" t="str">
        <f>IF(Modificaciones!AA68=0,"",VLOOKUP(E68,Modificaciones!$B$7:$AA$400,26,0))</f>
        <v>9 meses</v>
      </c>
      <c r="T68" s="119">
        <f>IF(Modificaciones!AB68=0,"",VLOOKUP(E68,Modificaciones!$B$7:$AB$400,27,0))</f>
        <v>41534</v>
      </c>
      <c r="U68" s="1080" t="str">
        <f>+Modificaciones!AC68</f>
        <v/>
      </c>
      <c r="V68" s="825" t="str">
        <f>+Modificaciones!AK68</f>
        <v/>
      </c>
      <c r="W68" s="825">
        <f t="shared" si="6"/>
        <v>41534</v>
      </c>
      <c r="X68" s="59">
        <f t="shared" si="1"/>
        <v>1392000</v>
      </c>
      <c r="Y68" s="151">
        <f>VLOOKUP(E68,Modificaciones!$B$7:$BE$300,56,0)</f>
        <v>0</v>
      </c>
      <c r="Z68" s="84">
        <f t="shared" si="2"/>
        <v>1392000</v>
      </c>
      <c r="AA68" s="283"/>
      <c r="AB68" s="40">
        <f t="shared" si="3"/>
        <v>0</v>
      </c>
      <c r="AC68" s="40">
        <f t="shared" ca="1" si="7"/>
        <v>1</v>
      </c>
      <c r="AD68" s="41">
        <f t="shared" ca="1" si="8"/>
        <v>1</v>
      </c>
      <c r="AE68" s="181" t="str">
        <f t="shared" ca="1" si="9"/>
        <v/>
      </c>
      <c r="AF68" s="42" t="str">
        <f t="shared" si="5"/>
        <v>NO</v>
      </c>
      <c r="AG68" s="42"/>
      <c r="AH68" s="152" t="s">
        <v>1255</v>
      </c>
      <c r="AI68" s="152" t="s">
        <v>1169</v>
      </c>
      <c r="AJ68" s="152" t="s">
        <v>1441</v>
      </c>
      <c r="AK68" s="255" t="s">
        <v>560</v>
      </c>
      <c r="AL68" s="153"/>
      <c r="AM68" s="160" t="s">
        <v>600</v>
      </c>
      <c r="AN68" s="161" t="str">
        <f t="shared" ca="1" si="10"/>
        <v>TERMINO</v>
      </c>
      <c r="AO68" s="160" t="s">
        <v>576</v>
      </c>
      <c r="AP68" s="155" t="s">
        <v>390</v>
      </c>
      <c r="AQ68" s="819" t="str">
        <f>IFERROR(VLOOKUP(E68,'liquidaciones '!$B$2:$C$1048576,2,0),"NO")</f>
        <v>LIQUIDADO</v>
      </c>
      <c r="AR68" s="909">
        <f>IFERROR(VLOOKUP(E68,'liquidaciones '!$B$2:$I$1048576,8,0),"")</f>
        <v>0</v>
      </c>
      <c r="AS68" s="310"/>
      <c r="AT68" s="156" t="str">
        <f t="shared" ca="1" si="11"/>
        <v>NO</v>
      </c>
      <c r="AU68" s="156" t="s">
        <v>1570</v>
      </c>
      <c r="AV68" s="406"/>
      <c r="AW68" s="928"/>
      <c r="AX68" s="928"/>
      <c r="AY68" s="928"/>
    </row>
    <row r="69" spans="1:51" ht="47.25" customHeight="1" x14ac:dyDescent="0.3">
      <c r="A69" s="14">
        <v>1</v>
      </c>
      <c r="B69" s="14">
        <v>63</v>
      </c>
      <c r="C69" s="410"/>
      <c r="D69" s="410" t="str">
        <f t="shared" si="0"/>
        <v>2012</v>
      </c>
      <c r="E69" s="120" t="s">
        <v>119</v>
      </c>
      <c r="F69" s="120" t="s">
        <v>398</v>
      </c>
      <c r="G69" s="1048">
        <v>830043839</v>
      </c>
      <c r="H69" s="957" t="s">
        <v>352</v>
      </c>
      <c r="I69" s="121">
        <v>4056000</v>
      </c>
      <c r="J69" s="821" t="s">
        <v>4057</v>
      </c>
      <c r="K69" s="135">
        <v>2012</v>
      </c>
      <c r="L69" s="519" t="s">
        <v>1087</v>
      </c>
      <c r="M69" s="123">
        <v>41208</v>
      </c>
      <c r="N69" s="123">
        <v>41390</v>
      </c>
      <c r="O69" s="1099" t="str">
        <f>IF(+Modificaciones!I69=0,"",VLOOKUP(E69,Modificaciones!$B$7:$I$2400,8,0))</f>
        <v/>
      </c>
      <c r="P69" s="115">
        <f>COUNTA(Modificaciones!J69,Modificaciones!L69,Modificaciones!N69,Modificaciones!P69)</f>
        <v>0</v>
      </c>
      <c r="Q69" s="116">
        <f>VLOOKUP(E69,Modificaciones!$B$7:$R$300,17,0)</f>
        <v>0</v>
      </c>
      <c r="R69" s="117">
        <f>COUNTA(Modificaciones!T69,Modificaciones!V69,Modificaciones!X69,Modificaciones!Z69)</f>
        <v>0</v>
      </c>
      <c r="S69" s="118" t="str">
        <f>IF(Modificaciones!AA69=0,"",VLOOKUP(E69,Modificaciones!$B$7:$AA$400,26,0))</f>
        <v/>
      </c>
      <c r="T69" s="119" t="str">
        <f>IF(Modificaciones!AB69=0,"",VLOOKUP(E69,Modificaciones!$B$7:$AB$400,27,0))</f>
        <v/>
      </c>
      <c r="U69" s="1080" t="str">
        <f>+Modificaciones!AC69</f>
        <v/>
      </c>
      <c r="V69" s="825" t="str">
        <f>+Modificaciones!AK69</f>
        <v/>
      </c>
      <c r="W69" s="825">
        <f t="shared" si="6"/>
        <v>41390</v>
      </c>
      <c r="X69" s="59">
        <f t="shared" si="1"/>
        <v>4056000</v>
      </c>
      <c r="Y69" s="151">
        <f>VLOOKUP(E69,Modificaciones!$B$7:$BE$300,56,0)</f>
        <v>4056000</v>
      </c>
      <c r="Z69" s="84">
        <f t="shared" si="2"/>
        <v>0</v>
      </c>
      <c r="AA69" s="283"/>
      <c r="AB69" s="40">
        <f t="shared" si="3"/>
        <v>1</v>
      </c>
      <c r="AC69" s="40">
        <f t="shared" ca="1" si="7"/>
        <v>1</v>
      </c>
      <c r="AD69" s="41">
        <f t="shared" ca="1" si="8"/>
        <v>0</v>
      </c>
      <c r="AE69" s="181" t="str">
        <f t="shared" ca="1" si="9"/>
        <v/>
      </c>
      <c r="AF69" s="42" t="str">
        <f t="shared" si="5"/>
        <v>SI</v>
      </c>
      <c r="AG69" s="42"/>
      <c r="AH69" s="152" t="s">
        <v>1255</v>
      </c>
      <c r="AI69" s="152" t="s">
        <v>1510</v>
      </c>
      <c r="AJ69" s="152" t="s">
        <v>1441</v>
      </c>
      <c r="AK69" s="255" t="s">
        <v>560</v>
      </c>
      <c r="AL69" s="153"/>
      <c r="AM69" s="160" t="s">
        <v>600</v>
      </c>
      <c r="AN69" s="161" t="str">
        <f t="shared" ca="1" si="10"/>
        <v>TERMINO</v>
      </c>
      <c r="AO69" s="160" t="s">
        <v>576</v>
      </c>
      <c r="AP69" s="155" t="s">
        <v>390</v>
      </c>
      <c r="AQ69" s="819" t="str">
        <f>IFERROR(VLOOKUP(E69,'liquidaciones '!$B$2:$C$1048576,2,0),"NO")</f>
        <v>LIQUIDADO</v>
      </c>
      <c r="AR69" s="909">
        <f>IFERROR(VLOOKUP(E69,'liquidaciones '!$B$2:$I$1048576,8,0),"")</f>
        <v>0</v>
      </c>
      <c r="AS69" s="310">
        <v>42303</v>
      </c>
      <c r="AT69" s="156" t="str">
        <f t="shared" ca="1" si="11"/>
        <v>NO</v>
      </c>
      <c r="AU69" s="156" t="s">
        <v>1570</v>
      </c>
      <c r="AV69" s="406"/>
      <c r="AW69" s="928"/>
      <c r="AX69" s="928"/>
      <c r="AY69" s="928"/>
    </row>
    <row r="70" spans="1:51" ht="47.25" customHeight="1" x14ac:dyDescent="0.3">
      <c r="A70" s="14">
        <v>1</v>
      </c>
      <c r="B70" s="14">
        <v>64</v>
      </c>
      <c r="C70" s="410"/>
      <c r="D70" s="410" t="str">
        <f t="shared" si="0"/>
        <v>2012</v>
      </c>
      <c r="E70" s="120" t="s">
        <v>51</v>
      </c>
      <c r="F70" s="120" t="s">
        <v>1022</v>
      </c>
      <c r="G70" s="1048">
        <v>900431177</v>
      </c>
      <c r="H70" s="958" t="s">
        <v>1374</v>
      </c>
      <c r="I70" s="130">
        <v>431745000</v>
      </c>
      <c r="J70" s="821" t="s">
        <v>4932</v>
      </c>
      <c r="K70" s="135">
        <v>2012</v>
      </c>
      <c r="L70" s="519" t="s">
        <v>1087</v>
      </c>
      <c r="M70" s="131">
        <v>41214</v>
      </c>
      <c r="N70" s="132">
        <v>41518</v>
      </c>
      <c r="O70" s="1099" t="str">
        <f>IF(+Modificaciones!I70=0,"",VLOOKUP(E70,Modificaciones!$B$7:$I$2400,8,0))</f>
        <v/>
      </c>
      <c r="P70" s="115">
        <f>COUNTA(Modificaciones!J70,Modificaciones!L70,Modificaciones!N70,Modificaciones!P70)</f>
        <v>1</v>
      </c>
      <c r="Q70" s="116">
        <f>VLOOKUP(E70,Modificaciones!$B$7:$R$300,17,0)</f>
        <v>95000000</v>
      </c>
      <c r="R70" s="117">
        <f>COUNTA(Modificaciones!T70,Modificaciones!V70,Modificaciones!X70,Modificaciones!Z70)</f>
        <v>1</v>
      </c>
      <c r="S70" s="118" t="str">
        <f>IF(Modificaciones!AA70=0,"",VLOOKUP(E70,Modificaciones!$B$7:$AA$400,26,0))</f>
        <v>2 meses</v>
      </c>
      <c r="T70" s="119">
        <f>IF(Modificaciones!AB70=0,"",VLOOKUP(E70,Modificaciones!$B$7:$AB$400,27,0))</f>
        <v>41579</v>
      </c>
      <c r="U70" s="1080" t="str">
        <f>+Modificaciones!AC70</f>
        <v/>
      </c>
      <c r="V70" s="825" t="str">
        <f>+Modificaciones!AK70</f>
        <v/>
      </c>
      <c r="W70" s="825">
        <f t="shared" si="6"/>
        <v>41579</v>
      </c>
      <c r="X70" s="59">
        <f t="shared" si="1"/>
        <v>526745000</v>
      </c>
      <c r="Y70" s="151">
        <f>VLOOKUP(E70,Modificaciones!$B$7:$BE$300,56,0)</f>
        <v>526745000</v>
      </c>
      <c r="Z70" s="84">
        <f t="shared" si="2"/>
        <v>0</v>
      </c>
      <c r="AA70" s="283"/>
      <c r="AB70" s="40">
        <f t="shared" si="3"/>
        <v>1</v>
      </c>
      <c r="AC70" s="40">
        <f t="shared" ca="1" si="7"/>
        <v>1</v>
      </c>
      <c r="AD70" s="41">
        <f t="shared" ca="1" si="8"/>
        <v>0</v>
      </c>
      <c r="AE70" s="181" t="str">
        <f t="shared" ca="1" si="9"/>
        <v/>
      </c>
      <c r="AF70" s="42" t="str">
        <f t="shared" si="5"/>
        <v>SI</v>
      </c>
      <c r="AG70" s="42"/>
      <c r="AH70" s="152" t="s">
        <v>1255</v>
      </c>
      <c r="AI70" s="152" t="s">
        <v>1126</v>
      </c>
      <c r="AJ70" s="152"/>
      <c r="AK70" s="255" t="s">
        <v>560</v>
      </c>
      <c r="AL70" s="153"/>
      <c r="AM70" s="160" t="s">
        <v>600</v>
      </c>
      <c r="AN70" s="161" t="str">
        <f t="shared" ca="1" si="10"/>
        <v>TERMINO</v>
      </c>
      <c r="AO70" s="160" t="s">
        <v>573</v>
      </c>
      <c r="AP70" s="155" t="s">
        <v>390</v>
      </c>
      <c r="AQ70" s="819" t="str">
        <f>IFERROR(VLOOKUP(E70,'liquidaciones '!$B$2:$C$1048576,2,0),"NO")</f>
        <v>NO</v>
      </c>
      <c r="AR70" s="909" t="str">
        <f>IFERROR(VLOOKUP(E70,'liquidaciones '!$B$2:$I$1048576,8,0),"")</f>
        <v/>
      </c>
      <c r="AS70" s="310"/>
      <c r="AT70" s="156" t="str">
        <f t="shared" ca="1" si="11"/>
        <v>NO</v>
      </c>
      <c r="AU70" s="156" t="s">
        <v>1570</v>
      </c>
      <c r="AV70" s="406"/>
      <c r="AW70" s="928"/>
      <c r="AX70" s="928"/>
      <c r="AY70" s="928"/>
    </row>
    <row r="71" spans="1:51" ht="47.25" customHeight="1" x14ac:dyDescent="0.3">
      <c r="A71" s="14">
        <v>1</v>
      </c>
      <c r="B71" s="14">
        <v>65</v>
      </c>
      <c r="C71" s="410"/>
      <c r="D71" s="410" t="str">
        <f t="shared" ref="D71:D134" si="12">K71&amp;C71</f>
        <v>2012</v>
      </c>
      <c r="E71" s="120" t="s">
        <v>597</v>
      </c>
      <c r="F71" s="120" t="s">
        <v>1023</v>
      </c>
      <c r="G71" s="1048">
        <v>860066942</v>
      </c>
      <c r="H71" s="957" t="s">
        <v>338</v>
      </c>
      <c r="I71" s="121">
        <v>407400000</v>
      </c>
      <c r="J71" s="821" t="s">
        <v>5755</v>
      </c>
      <c r="K71" s="135">
        <v>2012</v>
      </c>
      <c r="L71" s="519" t="s">
        <v>1087</v>
      </c>
      <c r="M71" s="123">
        <v>41232</v>
      </c>
      <c r="N71" s="123">
        <v>41383</v>
      </c>
      <c r="O71" s="1099" t="str">
        <f>IF(+Modificaciones!I71=0,"",VLOOKUP(E71,Modificaciones!$B$7:$I$2400,8,0))</f>
        <v/>
      </c>
      <c r="P71" s="115">
        <f>COUNTA(Modificaciones!J71,Modificaciones!L71,Modificaciones!N71,Modificaciones!P71)</f>
        <v>2</v>
      </c>
      <c r="Q71" s="116">
        <f>VLOOKUP(E71,Modificaciones!$B$7:$R$300,17,0)</f>
        <v>211889880</v>
      </c>
      <c r="R71" s="117">
        <f>COUNTA(Modificaciones!T71,Modificaciones!V71,Modificaciones!X71,Modificaciones!Z71)</f>
        <v>4</v>
      </c>
      <c r="S71" s="118" t="str">
        <f>IF(Modificaciones!AA71=0,"",VLOOKUP(E71,Modificaciones!$B$7:$AA$400,26,0))</f>
        <v>5 meses y 27 días</v>
      </c>
      <c r="T71" s="119">
        <f>IF(Modificaciones!AB71=0,"",VLOOKUP(E71,Modificaciones!$B$7:$AB$400,27,0))</f>
        <v>41562</v>
      </c>
      <c r="U71" s="1080" t="str">
        <f>+Modificaciones!AC71</f>
        <v/>
      </c>
      <c r="V71" s="825" t="str">
        <f>+Modificaciones!AK71</f>
        <v/>
      </c>
      <c r="W71" s="825">
        <f t="shared" si="6"/>
        <v>41562</v>
      </c>
      <c r="X71" s="59">
        <f t="shared" ref="X71:X134" si="13">I71+Q71</f>
        <v>619289880</v>
      </c>
      <c r="Y71" s="151">
        <f>VLOOKUP(E71,Modificaciones!$B$7:$BE$300,56,0)</f>
        <v>619289880</v>
      </c>
      <c r="Z71" s="84">
        <f t="shared" ref="Z71:Z134" si="14">X71-Y71</f>
        <v>0</v>
      </c>
      <c r="AA71" s="283"/>
      <c r="AB71" s="40">
        <f t="shared" ref="AB71:AB134" si="15">(Y71*100%)/X71</f>
        <v>1</v>
      </c>
      <c r="AC71" s="40">
        <f t="shared" ca="1" si="7"/>
        <v>1</v>
      </c>
      <c r="AD71" s="41">
        <f t="shared" ca="1" si="8"/>
        <v>0</v>
      </c>
      <c r="AE71" s="181" t="str">
        <f t="shared" ca="1" si="9"/>
        <v/>
      </c>
      <c r="AF71" s="42" t="str">
        <f t="shared" ref="AF71:AF134" si="16">IF(AB71&lt;=99.9%,"NO","SI")</f>
        <v>SI</v>
      </c>
      <c r="AG71" s="42"/>
      <c r="AH71" s="152" t="s">
        <v>1255</v>
      </c>
      <c r="AI71" s="152" t="s">
        <v>1279</v>
      </c>
      <c r="AJ71" s="152" t="s">
        <v>1434</v>
      </c>
      <c r="AK71" s="255" t="s">
        <v>560</v>
      </c>
      <c r="AL71" s="153"/>
      <c r="AM71" s="160" t="s">
        <v>901</v>
      </c>
      <c r="AN71" s="161" t="str">
        <f t="shared" ca="1" si="10"/>
        <v>TERMINO</v>
      </c>
      <c r="AO71" s="160" t="s">
        <v>574</v>
      </c>
      <c r="AP71" s="155" t="s">
        <v>390</v>
      </c>
      <c r="AQ71" s="819" t="str">
        <f>IFERROR(VLOOKUP(E71,'liquidaciones '!$B$2:$C$1048576,2,0),"NO")</f>
        <v>LIQUIDADO</v>
      </c>
      <c r="AR71" s="909">
        <f>IFERROR(VLOOKUP(E71,'liquidaciones '!$B$2:$I$1048576,8,0),"")</f>
        <v>0</v>
      </c>
      <c r="AS71" s="310">
        <v>42017</v>
      </c>
      <c r="AT71" s="156" t="str">
        <f t="shared" ca="1" si="11"/>
        <v>NO</v>
      </c>
      <c r="AU71" s="156" t="s">
        <v>1570</v>
      </c>
      <c r="AV71" s="406"/>
      <c r="AW71" s="928"/>
      <c r="AX71" s="928"/>
      <c r="AY71" s="928"/>
    </row>
    <row r="72" spans="1:51" ht="47.25" customHeight="1" x14ac:dyDescent="0.3">
      <c r="A72" s="14">
        <v>3</v>
      </c>
      <c r="B72" s="14">
        <v>66</v>
      </c>
      <c r="C72" s="410"/>
      <c r="D72" s="410" t="str">
        <f t="shared" si="12"/>
        <v>2012</v>
      </c>
      <c r="E72" s="120" t="s">
        <v>598</v>
      </c>
      <c r="F72" s="120" t="s">
        <v>1024</v>
      </c>
      <c r="G72" s="1048">
        <v>80199707</v>
      </c>
      <c r="H72" s="957" t="s">
        <v>333</v>
      </c>
      <c r="I72" s="121">
        <v>37359000</v>
      </c>
      <c r="J72" s="121" t="s">
        <v>1087</v>
      </c>
      <c r="K72" s="135">
        <v>2012</v>
      </c>
      <c r="L72" s="519" t="s">
        <v>1087</v>
      </c>
      <c r="M72" s="123">
        <v>41234</v>
      </c>
      <c r="N72" s="123">
        <v>41446</v>
      </c>
      <c r="O72" s="1099" t="str">
        <f>IF(+Modificaciones!I72=0,"",VLOOKUP(E72,Modificaciones!$B$7:$I$2400,8,0))</f>
        <v/>
      </c>
      <c r="P72" s="115">
        <f>COUNTA(Modificaciones!J72,Modificaciones!L72,Modificaciones!N72,Modificaciones!P72)</f>
        <v>0</v>
      </c>
      <c r="Q72" s="116">
        <f>VLOOKUP(E72,Modificaciones!$B$7:$R$300,17,0)</f>
        <v>0</v>
      </c>
      <c r="R72" s="117">
        <f>COUNTA(Modificaciones!T72,Modificaciones!V72,Modificaciones!X72,Modificaciones!Z72)</f>
        <v>0</v>
      </c>
      <c r="S72" s="118" t="str">
        <f>IF(Modificaciones!AA72=0,"",VLOOKUP(E72,Modificaciones!$B$7:$AA$400,26,0))</f>
        <v/>
      </c>
      <c r="T72" s="119" t="str">
        <f>IF(Modificaciones!AB72=0,"",VLOOKUP(E72,Modificaciones!$B$7:$AB$400,27,0))</f>
        <v/>
      </c>
      <c r="U72" s="1080" t="str">
        <f>+Modificaciones!AC72</f>
        <v/>
      </c>
      <c r="V72" s="825" t="str">
        <f>+Modificaciones!AK72</f>
        <v/>
      </c>
      <c r="W72" s="825">
        <f t="shared" ref="W72:W135" si="17">MAX(N72,O72,T72,V72)</f>
        <v>41446</v>
      </c>
      <c r="X72" s="59">
        <f t="shared" si="13"/>
        <v>37359000</v>
      </c>
      <c r="Y72" s="151">
        <f>VLOOKUP(E72,Modificaciones!$B$7:$BE$300,56,0)</f>
        <v>37359000</v>
      </c>
      <c r="Z72" s="84">
        <f t="shared" si="14"/>
        <v>0</v>
      </c>
      <c r="AA72" s="283"/>
      <c r="AB72" s="40">
        <f t="shared" si="15"/>
        <v>1</v>
      </c>
      <c r="AC72" s="40">
        <f t="shared" ref="AC72:AC135" ca="1" si="18">IF((($F$3-M72)*100%/(W72-M72))&gt;100%,100%,(($F$3-M72)*100%/(W72-M72)))</f>
        <v>1</v>
      </c>
      <c r="AD72" s="41">
        <f t="shared" ref="AD72:AD135" ca="1" si="19">AC72-AB72</f>
        <v>0</v>
      </c>
      <c r="AE72" s="181" t="str">
        <f t="shared" ref="AE72:AE135" ca="1" si="20">IF(AC72&lt;100%,W72-$F$3,"")</f>
        <v/>
      </c>
      <c r="AF72" s="42" t="str">
        <f t="shared" si="16"/>
        <v>SI</v>
      </c>
      <c r="AG72" s="42"/>
      <c r="AH72" s="152" t="s">
        <v>1255</v>
      </c>
      <c r="AI72" s="152" t="s">
        <v>1297</v>
      </c>
      <c r="AJ72" s="152" t="s">
        <v>1441</v>
      </c>
      <c r="AK72" s="255" t="s">
        <v>560</v>
      </c>
      <c r="AL72" s="153"/>
      <c r="AM72" s="160" t="s">
        <v>600</v>
      </c>
      <c r="AN72" s="161" t="str">
        <f t="shared" ref="AN72:AN135" ca="1" si="21">IF(W72&gt;=$F$3,"EN EJECUCIÓN","TERMINO")</f>
        <v>TERMINO</v>
      </c>
      <c r="AO72" s="160" t="s">
        <v>576</v>
      </c>
      <c r="AP72" s="155" t="s">
        <v>390</v>
      </c>
      <c r="AQ72" s="819" t="str">
        <f>IFERROR(VLOOKUP(E72,'liquidaciones '!$B$2:$C$1048576,2,0),"NO")</f>
        <v>NO</v>
      </c>
      <c r="AR72" s="909" t="str">
        <f>IFERROR(VLOOKUP(E72,'liquidaciones '!$B$2:$I$1048576,8,0),"")</f>
        <v/>
      </c>
      <c r="AS72" s="310">
        <v>42234</v>
      </c>
      <c r="AT72" s="156" t="str">
        <f t="shared" ref="AT72:AT135" ca="1" si="22">IF((TODAY()-W72&lt;900),"SI","NO")</f>
        <v>NO</v>
      </c>
      <c r="AU72" s="156" t="s">
        <v>1570</v>
      </c>
      <c r="AV72" s="406"/>
      <c r="AW72" s="928"/>
      <c r="AX72" s="928"/>
      <c r="AY72" s="928"/>
    </row>
    <row r="73" spans="1:51" ht="47.25" customHeight="1" x14ac:dyDescent="0.3">
      <c r="A73" s="14">
        <v>1</v>
      </c>
      <c r="B73" s="14">
        <v>67</v>
      </c>
      <c r="C73" s="410"/>
      <c r="D73" s="410" t="str">
        <f t="shared" si="12"/>
        <v>2012</v>
      </c>
      <c r="E73" s="120" t="s">
        <v>42</v>
      </c>
      <c r="F73" s="129" t="s">
        <v>43</v>
      </c>
      <c r="G73" s="1048">
        <v>830100153</v>
      </c>
      <c r="H73" s="958" t="s">
        <v>1375</v>
      </c>
      <c r="I73" s="130">
        <v>20358000</v>
      </c>
      <c r="J73" s="821" t="s">
        <v>5275</v>
      </c>
      <c r="K73" s="135">
        <v>2012</v>
      </c>
      <c r="L73" s="519" t="s">
        <v>1087</v>
      </c>
      <c r="M73" s="133">
        <v>41240</v>
      </c>
      <c r="N73" s="134">
        <v>41421</v>
      </c>
      <c r="O73" s="1099" t="str">
        <f>IF(+Modificaciones!I73=0,"",VLOOKUP(E73,Modificaciones!$B$7:$I$2400,8,0))</f>
        <v/>
      </c>
      <c r="P73" s="115">
        <f>COUNTA(Modificaciones!J73,Modificaciones!L73,Modificaciones!N73,Modificaciones!P73)</f>
        <v>1</v>
      </c>
      <c r="Q73" s="116">
        <f>VLOOKUP(E73,Modificaciones!$B$7:$R$300,17,0)</f>
        <v>8062000</v>
      </c>
      <c r="R73" s="117">
        <f>COUNTA(Modificaciones!T73,Modificaciones!V73,Modificaciones!X73,Modificaciones!Z73)</f>
        <v>1</v>
      </c>
      <c r="S73" s="118" t="str">
        <f>IF(Modificaciones!AA73=0,"",VLOOKUP(E73,Modificaciones!$B$7:$AA$400,26,0))</f>
        <v>1 mes</v>
      </c>
      <c r="T73" s="119">
        <f>IF(Modificaciones!AB73=0,"",VLOOKUP(E73,Modificaciones!$B$7:$AB$400,27,0))</f>
        <v>41452</v>
      </c>
      <c r="U73" s="1080" t="str">
        <f>+Modificaciones!AC73</f>
        <v/>
      </c>
      <c r="V73" s="825" t="str">
        <f>+Modificaciones!AK73</f>
        <v/>
      </c>
      <c r="W73" s="825">
        <f t="shared" si="17"/>
        <v>41452</v>
      </c>
      <c r="X73" s="59">
        <f t="shared" si="13"/>
        <v>28420000</v>
      </c>
      <c r="Y73" s="151">
        <f>VLOOKUP(E73,Modificaciones!$B$7:$BE$300,56,0)</f>
        <v>28379400</v>
      </c>
      <c r="Z73" s="84">
        <f t="shared" si="14"/>
        <v>40600</v>
      </c>
      <c r="AA73" s="283"/>
      <c r="AB73" s="40">
        <f t="shared" si="15"/>
        <v>0.99857142857142855</v>
      </c>
      <c r="AC73" s="40">
        <f t="shared" ca="1" si="18"/>
        <v>1</v>
      </c>
      <c r="AD73" s="41">
        <f t="shared" ca="1" si="19"/>
        <v>1.4285714285714457E-3</v>
      </c>
      <c r="AE73" s="181" t="str">
        <f t="shared" ca="1" si="20"/>
        <v/>
      </c>
      <c r="AF73" s="42" t="str">
        <f t="shared" si="16"/>
        <v>NO</v>
      </c>
      <c r="AG73" s="42"/>
      <c r="AH73" s="152" t="s">
        <v>1255</v>
      </c>
      <c r="AI73" s="152" t="s">
        <v>1134</v>
      </c>
      <c r="AJ73" s="152"/>
      <c r="AK73" s="255" t="s">
        <v>562</v>
      </c>
      <c r="AL73" s="153" t="s">
        <v>1505</v>
      </c>
      <c r="AM73" s="160" t="s">
        <v>600</v>
      </c>
      <c r="AN73" s="161" t="str">
        <f t="shared" ca="1" si="21"/>
        <v>TERMINO</v>
      </c>
      <c r="AO73" s="160" t="s">
        <v>576</v>
      </c>
      <c r="AP73" s="155" t="s">
        <v>390</v>
      </c>
      <c r="AQ73" s="819" t="str">
        <f>IFERROR(VLOOKUP(E73,'liquidaciones '!$B$2:$C$1048576,2,0),"NO")</f>
        <v>LIQUIDADO</v>
      </c>
      <c r="AR73" s="909">
        <f>IFERROR(VLOOKUP(E73,'liquidaciones '!$B$2:$I$1048576,8,0),"")</f>
        <v>0</v>
      </c>
      <c r="AS73" s="310">
        <v>42107</v>
      </c>
      <c r="AT73" s="156" t="str">
        <f t="shared" ca="1" si="22"/>
        <v>NO</v>
      </c>
      <c r="AU73" s="156" t="s">
        <v>1570</v>
      </c>
      <c r="AV73" s="406"/>
      <c r="AW73" s="928"/>
      <c r="AX73" s="928"/>
      <c r="AY73" s="928"/>
    </row>
    <row r="74" spans="1:51" ht="47.25" customHeight="1" x14ac:dyDescent="0.3">
      <c r="A74" s="14">
        <v>1</v>
      </c>
      <c r="B74" s="14">
        <v>68</v>
      </c>
      <c r="C74" s="410"/>
      <c r="D74" s="410" t="str">
        <f t="shared" si="12"/>
        <v>2012</v>
      </c>
      <c r="E74" s="120" t="s">
        <v>599</v>
      </c>
      <c r="F74" s="129" t="s">
        <v>1025</v>
      </c>
      <c r="G74" s="1048">
        <v>860030197</v>
      </c>
      <c r="H74" s="958" t="s">
        <v>461</v>
      </c>
      <c r="I74" s="130">
        <v>6388708</v>
      </c>
      <c r="J74" s="821" t="s">
        <v>4060</v>
      </c>
      <c r="K74" s="135">
        <v>2012</v>
      </c>
      <c r="L74" s="519" t="s">
        <v>1087</v>
      </c>
      <c r="M74" s="131">
        <v>41248</v>
      </c>
      <c r="N74" s="132">
        <v>41500</v>
      </c>
      <c r="O74" s="1099" t="str">
        <f>IF(+Modificaciones!I74=0,"",VLOOKUP(E74,Modificaciones!$B$7:$I$2400,8,0))</f>
        <v/>
      </c>
      <c r="P74" s="115">
        <f>COUNTA(Modificaciones!J74,Modificaciones!L74,Modificaciones!N74,Modificaciones!P74)</f>
        <v>1</v>
      </c>
      <c r="Q74" s="116">
        <f>VLOOKUP(E74,Modificaciones!$B$7:$R$300,17,0)</f>
        <v>2648556</v>
      </c>
      <c r="R74" s="117">
        <f>COUNTA(Modificaciones!T74,Modificaciones!V74,Modificaciones!X74,Modificaciones!Z74)</f>
        <v>3</v>
      </c>
      <c r="S74" s="118" t="str">
        <f>IF(Modificaciones!AA74=0,"",VLOOKUP(E74,Modificaciones!$B$7:$AA$400,26,0))</f>
        <v>3 meses y 20 días</v>
      </c>
      <c r="T74" s="119">
        <f>IF(Modificaciones!AB74=0,"",VLOOKUP(E74,Modificaciones!$B$7:$AB$400,27,0))</f>
        <v>41580</v>
      </c>
      <c r="U74" s="1080" t="str">
        <f>+Modificaciones!AC74</f>
        <v/>
      </c>
      <c r="V74" s="825" t="str">
        <f>+Modificaciones!AK74</f>
        <v/>
      </c>
      <c r="W74" s="825">
        <f t="shared" si="17"/>
        <v>41580</v>
      </c>
      <c r="X74" s="59">
        <f t="shared" si="13"/>
        <v>9037264</v>
      </c>
      <c r="Y74" s="151">
        <f>VLOOKUP(E74,Modificaciones!$B$7:$BE$300,56,0)</f>
        <v>7492420</v>
      </c>
      <c r="Z74" s="84">
        <f t="shared" si="14"/>
        <v>1544844</v>
      </c>
      <c r="AA74" s="283"/>
      <c r="AB74" s="40">
        <f t="shared" si="15"/>
        <v>0.82905844069621071</v>
      </c>
      <c r="AC74" s="40">
        <f t="shared" ca="1" si="18"/>
        <v>1</v>
      </c>
      <c r="AD74" s="41">
        <f t="shared" ca="1" si="19"/>
        <v>0.17094155930378929</v>
      </c>
      <c r="AE74" s="181" t="str">
        <f t="shared" ca="1" si="20"/>
        <v/>
      </c>
      <c r="AF74" s="42" t="str">
        <f t="shared" si="16"/>
        <v>NO</v>
      </c>
      <c r="AG74" s="42"/>
      <c r="AH74" s="152" t="s">
        <v>1255</v>
      </c>
      <c r="AI74" s="152" t="s">
        <v>1286</v>
      </c>
      <c r="AJ74" s="152"/>
      <c r="AL74" s="153"/>
      <c r="AM74" s="154" t="s">
        <v>901</v>
      </c>
      <c r="AN74" s="161" t="str">
        <f t="shared" ca="1" si="21"/>
        <v>TERMINO</v>
      </c>
      <c r="AO74" s="154"/>
      <c r="AP74" s="155" t="s">
        <v>390</v>
      </c>
      <c r="AQ74" s="819" t="str">
        <f>IFERROR(VLOOKUP(E74,'liquidaciones '!$B$2:$C$1048576,2,0),"NO")</f>
        <v>LIQUIDADO</v>
      </c>
      <c r="AR74" s="909">
        <f>IFERROR(VLOOKUP(E74,'liquidaciones '!$B$2:$I$1048576,8,0),"")</f>
        <v>0</v>
      </c>
      <c r="AS74" s="310">
        <v>42278</v>
      </c>
      <c r="AT74" s="156" t="str">
        <f t="shared" ca="1" si="22"/>
        <v>NO</v>
      </c>
      <c r="AU74" s="156" t="s">
        <v>1570</v>
      </c>
      <c r="AV74" s="406"/>
      <c r="AW74" s="928"/>
      <c r="AX74" s="928"/>
      <c r="AY74" s="928"/>
    </row>
    <row r="75" spans="1:51" ht="47.25" customHeight="1" x14ac:dyDescent="0.3">
      <c r="A75" s="14">
        <v>1</v>
      </c>
      <c r="B75" s="14">
        <v>69</v>
      </c>
      <c r="C75" s="410"/>
      <c r="D75" s="410" t="str">
        <f t="shared" si="12"/>
        <v>2012</v>
      </c>
      <c r="E75" s="120" t="s">
        <v>67</v>
      </c>
      <c r="F75" s="120" t="s">
        <v>68</v>
      </c>
      <c r="G75" s="1048">
        <v>860007336</v>
      </c>
      <c r="H75" s="957" t="s">
        <v>462</v>
      </c>
      <c r="I75" s="121">
        <v>58300000</v>
      </c>
      <c r="J75" s="121" t="s">
        <v>1087</v>
      </c>
      <c r="K75" s="135">
        <v>2012</v>
      </c>
      <c r="L75" s="519" t="s">
        <v>1087</v>
      </c>
      <c r="M75" s="124">
        <v>41260</v>
      </c>
      <c r="N75" s="124">
        <v>41322</v>
      </c>
      <c r="O75" s="1099" t="str">
        <f>IF(+Modificaciones!I75=0,"",VLOOKUP(E75,Modificaciones!$B$7:$I$2400,8,0))</f>
        <v/>
      </c>
      <c r="P75" s="115">
        <f>COUNTA(Modificaciones!J75,Modificaciones!L75,Modificaciones!N75,Modificaciones!P75)</f>
        <v>0</v>
      </c>
      <c r="Q75" s="116">
        <f>VLOOKUP(E75,Modificaciones!$B$7:$R$300,17,0)</f>
        <v>0</v>
      </c>
      <c r="R75" s="117">
        <f>COUNTA(Modificaciones!T75,Modificaciones!V75,Modificaciones!X75,Modificaciones!Z75)</f>
        <v>0</v>
      </c>
      <c r="S75" s="118" t="str">
        <f>IF(Modificaciones!AA75=0,"",VLOOKUP(E75,Modificaciones!$B$7:$AA$400,26,0))</f>
        <v/>
      </c>
      <c r="T75" s="119" t="str">
        <f>IF(Modificaciones!AB75=0,"",VLOOKUP(E75,Modificaciones!$B$7:$AB$400,27,0))</f>
        <v/>
      </c>
      <c r="U75" s="1080" t="str">
        <f>+Modificaciones!AC75</f>
        <v/>
      </c>
      <c r="V75" s="825" t="str">
        <f>+Modificaciones!AK75</f>
        <v/>
      </c>
      <c r="W75" s="825">
        <f t="shared" si="17"/>
        <v>41322</v>
      </c>
      <c r="X75" s="59">
        <f t="shared" si="13"/>
        <v>58300000</v>
      </c>
      <c r="Y75" s="151">
        <f>VLOOKUP(E75,Modificaciones!$B$7:$BE$300,56,0)</f>
        <v>58300000</v>
      </c>
      <c r="Z75" s="84">
        <f t="shared" si="14"/>
        <v>0</v>
      </c>
      <c r="AA75" s="283"/>
      <c r="AB75" s="40">
        <f t="shared" si="15"/>
        <v>1</v>
      </c>
      <c r="AC75" s="40">
        <f t="shared" ca="1" si="18"/>
        <v>1</v>
      </c>
      <c r="AD75" s="41">
        <f t="shared" ca="1" si="19"/>
        <v>0</v>
      </c>
      <c r="AE75" s="181" t="str">
        <f t="shared" ca="1" si="20"/>
        <v/>
      </c>
      <c r="AF75" s="42" t="str">
        <f t="shared" si="16"/>
        <v>SI</v>
      </c>
      <c r="AG75" s="42"/>
      <c r="AH75" s="152" t="s">
        <v>1255</v>
      </c>
      <c r="AI75" s="152" t="s">
        <v>1279</v>
      </c>
      <c r="AJ75" s="152"/>
      <c r="AL75" s="153"/>
      <c r="AM75" s="160" t="s">
        <v>600</v>
      </c>
      <c r="AN75" s="161" t="str">
        <f t="shared" ca="1" si="21"/>
        <v>TERMINO</v>
      </c>
      <c r="AO75" s="160" t="s">
        <v>574</v>
      </c>
      <c r="AP75" s="155" t="s">
        <v>390</v>
      </c>
      <c r="AQ75" s="819" t="str">
        <f>IFERROR(VLOOKUP(E75,'liquidaciones '!$B$2:$C$1048576,2,0),"NO")</f>
        <v>LIQUIDADO</v>
      </c>
      <c r="AR75" s="909">
        <f>IFERROR(VLOOKUP(E75,'liquidaciones '!$B$2:$I$1048576,8,0),"")</f>
        <v>0</v>
      </c>
      <c r="AS75" s="310">
        <v>42121</v>
      </c>
      <c r="AT75" s="156" t="str">
        <f t="shared" ca="1" si="22"/>
        <v>NO</v>
      </c>
      <c r="AU75" s="156" t="s">
        <v>1570</v>
      </c>
      <c r="AV75" s="406"/>
      <c r="AW75" s="928"/>
      <c r="AX75" s="928"/>
      <c r="AY75" s="928"/>
    </row>
    <row r="76" spans="1:51" ht="47.25" customHeight="1" x14ac:dyDescent="0.3">
      <c r="A76" s="14">
        <v>1</v>
      </c>
      <c r="B76" s="14">
        <v>70</v>
      </c>
      <c r="C76" s="410"/>
      <c r="D76" s="410" t="str">
        <f t="shared" si="12"/>
        <v>2012</v>
      </c>
      <c r="E76" s="120" t="s">
        <v>74</v>
      </c>
      <c r="F76" s="129" t="s">
        <v>75</v>
      </c>
      <c r="G76" s="1048">
        <v>800045878</v>
      </c>
      <c r="H76" s="958" t="s">
        <v>415</v>
      </c>
      <c r="I76" s="130">
        <v>293000000</v>
      </c>
      <c r="J76" s="121" t="s">
        <v>1087</v>
      </c>
      <c r="K76" s="135">
        <v>2012</v>
      </c>
      <c r="L76" s="519" t="s">
        <v>1087</v>
      </c>
      <c r="M76" s="131">
        <v>41269</v>
      </c>
      <c r="N76" s="132">
        <v>41451</v>
      </c>
      <c r="O76" s="1099" t="str">
        <f>IF(+Modificaciones!I76=0,"",VLOOKUP(E76,Modificaciones!$B$7:$I$2400,8,0))</f>
        <v/>
      </c>
      <c r="P76" s="115">
        <f>COUNTA(Modificaciones!J76,Modificaciones!L76,Modificaciones!N76,Modificaciones!P76)</f>
        <v>2</v>
      </c>
      <c r="Q76" s="116">
        <f>VLOOKUP(E76,Modificaciones!$B$7:$R$300,17,0)</f>
        <v>118000000</v>
      </c>
      <c r="R76" s="117">
        <f>COUNTA(Modificaciones!T76,Modificaciones!V76,Modificaciones!X76,Modificaciones!Z76)</f>
        <v>4</v>
      </c>
      <c r="S76" s="118" t="str">
        <f>IF(Modificaciones!AA76=0,"",VLOOKUP(E76,Modificaciones!$B$7:$AA$400,26,0))</f>
        <v>4 meses y 20 días</v>
      </c>
      <c r="T76" s="119">
        <f>IF(Modificaciones!AB76=0,"",VLOOKUP(E76,Modificaciones!$B$7:$AB$400,27,0))</f>
        <v>41593</v>
      </c>
      <c r="U76" s="1080" t="str">
        <f>+Modificaciones!AC76</f>
        <v/>
      </c>
      <c r="V76" s="825" t="str">
        <f>+Modificaciones!AK76</f>
        <v/>
      </c>
      <c r="W76" s="825">
        <f t="shared" si="17"/>
        <v>41593</v>
      </c>
      <c r="X76" s="59">
        <f t="shared" si="13"/>
        <v>411000000</v>
      </c>
      <c r="Y76" s="151">
        <f>VLOOKUP(E76,Modificaciones!$B$7:$BE$300,56,0)</f>
        <v>411000000</v>
      </c>
      <c r="Z76" s="84">
        <f t="shared" si="14"/>
        <v>0</v>
      </c>
      <c r="AA76" s="283"/>
      <c r="AB76" s="40">
        <f t="shared" si="15"/>
        <v>1</v>
      </c>
      <c r="AC76" s="40">
        <f t="shared" ca="1" si="18"/>
        <v>1</v>
      </c>
      <c r="AD76" s="41">
        <f t="shared" ca="1" si="19"/>
        <v>0</v>
      </c>
      <c r="AE76" s="181" t="str">
        <f t="shared" ca="1" si="20"/>
        <v/>
      </c>
      <c r="AF76" s="42" t="str">
        <f t="shared" si="16"/>
        <v>SI</v>
      </c>
      <c r="AG76" s="42"/>
      <c r="AH76" s="152" t="s">
        <v>1255</v>
      </c>
      <c r="AI76" s="152" t="s">
        <v>1128</v>
      </c>
      <c r="AJ76" s="152"/>
      <c r="AL76" s="153"/>
      <c r="AM76" s="160" t="s">
        <v>600</v>
      </c>
      <c r="AN76" s="161" t="str">
        <f t="shared" ca="1" si="21"/>
        <v>TERMINO</v>
      </c>
      <c r="AO76" s="160" t="s">
        <v>995</v>
      </c>
      <c r="AP76" s="155" t="s">
        <v>390</v>
      </c>
      <c r="AQ76" s="819" t="str">
        <f>IFERROR(VLOOKUP(E76,'liquidaciones '!$B$2:$C$1048576,2,0),"NO")</f>
        <v>NO</v>
      </c>
      <c r="AR76" s="909" t="str">
        <f>IFERROR(VLOOKUP(E76,'liquidaciones '!$B$2:$I$1048576,8,0),"")</f>
        <v/>
      </c>
      <c r="AS76" s="310"/>
      <c r="AT76" s="156" t="str">
        <f t="shared" ca="1" si="22"/>
        <v>NO</v>
      </c>
      <c r="AU76" s="156" t="s">
        <v>1570</v>
      </c>
      <c r="AV76" s="406"/>
      <c r="AW76" s="928"/>
      <c r="AX76" s="928"/>
      <c r="AY76" s="928"/>
    </row>
    <row r="77" spans="1:51" ht="47.25" customHeight="1" x14ac:dyDescent="0.3">
      <c r="A77" s="14">
        <v>1</v>
      </c>
      <c r="B77" s="14">
        <v>71</v>
      </c>
      <c r="C77" s="410"/>
      <c r="D77" s="410" t="str">
        <f t="shared" si="12"/>
        <v>2012</v>
      </c>
      <c r="E77" s="120" t="s">
        <v>54</v>
      </c>
      <c r="F77" s="120" t="s">
        <v>55</v>
      </c>
      <c r="G77" s="1048">
        <v>830050320</v>
      </c>
      <c r="H77" s="957" t="s">
        <v>334</v>
      </c>
      <c r="I77" s="121">
        <v>10032000</v>
      </c>
      <c r="J77" s="821" t="s">
        <v>2254</v>
      </c>
      <c r="K77" s="135">
        <v>2012</v>
      </c>
      <c r="L77" s="519" t="s">
        <v>1087</v>
      </c>
      <c r="M77" s="124">
        <v>41271</v>
      </c>
      <c r="N77" s="124">
        <v>41514</v>
      </c>
      <c r="O77" s="1099" t="str">
        <f>IF(+Modificaciones!I77=0,"",VLOOKUP(E77,Modificaciones!$B$7:$I$2400,8,0))</f>
        <v/>
      </c>
      <c r="P77" s="115">
        <f>COUNTA(Modificaciones!J77,Modificaciones!L77,Modificaciones!N77,Modificaciones!P77)</f>
        <v>0</v>
      </c>
      <c r="Q77" s="116">
        <f>VLOOKUP(E77,Modificaciones!$B$7:$R$300,17,0)</f>
        <v>0</v>
      </c>
      <c r="R77" s="117">
        <f>COUNTA(Modificaciones!T77,Modificaciones!V77,Modificaciones!X77,Modificaciones!Z77)</f>
        <v>1</v>
      </c>
      <c r="S77" s="118" t="str">
        <f>IF(Modificaciones!AA77=0,"",VLOOKUP(E77,Modificaciones!$B$7:$AA$400,26,0))</f>
        <v>2 meses</v>
      </c>
      <c r="T77" s="119">
        <f>IF(Modificaciones!AB77=0,"",VLOOKUP(E77,Modificaciones!$B$7:$AB$400,27,0))</f>
        <v>41575</v>
      </c>
      <c r="U77" s="1080" t="str">
        <f>+Modificaciones!AC77</f>
        <v/>
      </c>
      <c r="V77" s="825" t="str">
        <f>+Modificaciones!AK77</f>
        <v/>
      </c>
      <c r="W77" s="825">
        <f t="shared" si="17"/>
        <v>41575</v>
      </c>
      <c r="X77" s="59">
        <f t="shared" si="13"/>
        <v>10032000</v>
      </c>
      <c r="Y77" s="151">
        <f>VLOOKUP(E77,Modificaciones!$B$7:$BE$300,56,0)</f>
        <v>9339930</v>
      </c>
      <c r="Z77" s="84">
        <f t="shared" si="14"/>
        <v>692070</v>
      </c>
      <c r="AA77" s="283"/>
      <c r="AB77" s="40">
        <f t="shared" si="15"/>
        <v>0.93101375598086122</v>
      </c>
      <c r="AC77" s="40">
        <f t="shared" ca="1" si="18"/>
        <v>1</v>
      </c>
      <c r="AD77" s="41">
        <f t="shared" ca="1" si="19"/>
        <v>6.8986244019138776E-2</v>
      </c>
      <c r="AE77" s="181" t="str">
        <f t="shared" ca="1" si="20"/>
        <v/>
      </c>
      <c r="AF77" s="42" t="str">
        <f t="shared" si="16"/>
        <v>NO</v>
      </c>
      <c r="AG77" s="42"/>
      <c r="AH77" s="152" t="s">
        <v>1255</v>
      </c>
      <c r="AI77" s="152" t="s">
        <v>1167</v>
      </c>
      <c r="AJ77" s="152" t="s">
        <v>1441</v>
      </c>
      <c r="AK77" s="255" t="s">
        <v>560</v>
      </c>
      <c r="AL77" s="153"/>
      <c r="AM77" s="160" t="s">
        <v>600</v>
      </c>
      <c r="AN77" s="161" t="str">
        <f t="shared" ca="1" si="21"/>
        <v>TERMINO</v>
      </c>
      <c r="AO77" s="160" t="s">
        <v>576</v>
      </c>
      <c r="AP77" s="155" t="s">
        <v>390</v>
      </c>
      <c r="AQ77" s="819" t="str">
        <f>IFERROR(VLOOKUP(E77,'liquidaciones '!$B$2:$C$1048576,2,0),"NO")</f>
        <v>LIQUIDADO</v>
      </c>
      <c r="AR77" s="909">
        <f>IFERROR(VLOOKUP(E77,'liquidaciones '!$B$2:$I$1048576,8,0),"")</f>
        <v>0</v>
      </c>
      <c r="AS77" s="310">
        <v>42321</v>
      </c>
      <c r="AT77" s="156" t="str">
        <f t="shared" ca="1" si="22"/>
        <v>NO</v>
      </c>
      <c r="AU77" s="156" t="s">
        <v>1570</v>
      </c>
      <c r="AV77" s="406"/>
      <c r="AW77" s="928"/>
      <c r="AX77" s="928"/>
      <c r="AY77" s="928"/>
    </row>
    <row r="78" spans="1:51" ht="47.25" customHeight="1" x14ac:dyDescent="0.3">
      <c r="A78" s="14">
        <v>1</v>
      </c>
      <c r="B78" s="14">
        <v>72</v>
      </c>
      <c r="C78" s="410"/>
      <c r="D78" s="410" t="str">
        <f t="shared" si="12"/>
        <v>2012</v>
      </c>
      <c r="E78" s="120" t="s">
        <v>11</v>
      </c>
      <c r="F78" s="120" t="s">
        <v>12</v>
      </c>
      <c r="G78" s="1048">
        <v>805006014</v>
      </c>
      <c r="H78" s="957" t="s">
        <v>316</v>
      </c>
      <c r="I78" s="121">
        <v>1633200</v>
      </c>
      <c r="J78" s="121" t="s">
        <v>1087</v>
      </c>
      <c r="K78" s="122">
        <v>2012</v>
      </c>
      <c r="L78" s="519" t="s">
        <v>1087</v>
      </c>
      <c r="M78" s="123">
        <v>41288</v>
      </c>
      <c r="N78" s="123">
        <v>41652</v>
      </c>
      <c r="O78" s="1099" t="str">
        <f>IF(+Modificaciones!I78=0,"",VLOOKUP(E78,Modificaciones!$B$7:$I$2400,8,0))</f>
        <v/>
      </c>
      <c r="P78" s="115">
        <f>COUNTA(Modificaciones!J78,Modificaciones!L78,Modificaciones!N78,Modificaciones!P78)</f>
        <v>1</v>
      </c>
      <c r="Q78" s="116">
        <f>VLOOKUP(E78,Modificaciones!$B$7:$R$300,17,0)</f>
        <v>285000</v>
      </c>
      <c r="R78" s="117">
        <f>COUNTA(Modificaciones!T78,Modificaciones!V78,Modificaciones!X78,Modificaciones!Z78)</f>
        <v>1</v>
      </c>
      <c r="S78" s="118" t="str">
        <f>IF(Modificaciones!AA78=0,"",VLOOKUP(E78,Modificaciones!$B$7:$AA$400,26,0))</f>
        <v>2 meses</v>
      </c>
      <c r="T78" s="119">
        <f>IF(Modificaciones!AB78=0,"",VLOOKUP(E78,Modificaciones!$B$7:$AB$400,27,0))</f>
        <v>41711</v>
      </c>
      <c r="U78" s="1080" t="str">
        <f>+Modificaciones!AC78</f>
        <v/>
      </c>
      <c r="V78" s="825" t="str">
        <f>+Modificaciones!AK78</f>
        <v/>
      </c>
      <c r="W78" s="825">
        <f t="shared" si="17"/>
        <v>41711</v>
      </c>
      <c r="X78" s="59">
        <f t="shared" si="13"/>
        <v>1918200</v>
      </c>
      <c r="Y78" s="151">
        <f>VLOOKUP(E78,Modificaciones!$B$7:$BE$300,56,0)</f>
        <v>1755170</v>
      </c>
      <c r="Z78" s="84">
        <f t="shared" si="14"/>
        <v>163030</v>
      </c>
      <c r="AA78" s="283"/>
      <c r="AB78" s="40">
        <f t="shared" si="15"/>
        <v>0.91500886247523716</v>
      </c>
      <c r="AC78" s="40">
        <f t="shared" ca="1" si="18"/>
        <v>1</v>
      </c>
      <c r="AD78" s="41">
        <f t="shared" ca="1" si="19"/>
        <v>8.4991137524762839E-2</v>
      </c>
      <c r="AE78" s="181" t="str">
        <f t="shared" ca="1" si="20"/>
        <v/>
      </c>
      <c r="AF78" s="42" t="str">
        <f t="shared" si="16"/>
        <v>NO</v>
      </c>
      <c r="AG78" s="42"/>
      <c r="AH78" s="152" t="s">
        <v>1255</v>
      </c>
      <c r="AI78" s="152" t="s">
        <v>1132</v>
      </c>
      <c r="AJ78" s="152" t="s">
        <v>1441</v>
      </c>
      <c r="AK78" s="255" t="s">
        <v>560</v>
      </c>
      <c r="AL78" s="153"/>
      <c r="AM78" s="160" t="s">
        <v>600</v>
      </c>
      <c r="AN78" s="161" t="str">
        <f t="shared" ca="1" si="21"/>
        <v>TERMINO</v>
      </c>
      <c r="AO78" s="160" t="s">
        <v>576</v>
      </c>
      <c r="AP78" s="155" t="s">
        <v>390</v>
      </c>
      <c r="AQ78" s="819" t="str">
        <f>IFERROR(VLOOKUP(E78,'liquidaciones '!$B$2:$C$1048576,2,0),"NO")</f>
        <v>NO</v>
      </c>
      <c r="AR78" s="909" t="str">
        <f>IFERROR(VLOOKUP(E78,'liquidaciones '!$B$2:$I$1048576,8,0),"")</f>
        <v/>
      </c>
      <c r="AS78" s="310"/>
      <c r="AT78" s="156" t="str">
        <f t="shared" ca="1" si="22"/>
        <v>NO</v>
      </c>
      <c r="AU78" s="156" t="s">
        <v>1570</v>
      </c>
      <c r="AV78" s="406"/>
      <c r="AW78" s="928"/>
      <c r="AX78" s="928"/>
      <c r="AY78" s="928"/>
    </row>
    <row r="79" spans="1:51" ht="65.25" customHeight="1" x14ac:dyDescent="0.3">
      <c r="B79" s="14">
        <v>73</v>
      </c>
      <c r="C79" s="410"/>
      <c r="D79" s="410" t="str">
        <f t="shared" si="12"/>
        <v>2013</v>
      </c>
      <c r="E79" s="120" t="s">
        <v>309</v>
      </c>
      <c r="F79" s="120" t="s">
        <v>77</v>
      </c>
      <c r="G79" s="1046">
        <v>860506170</v>
      </c>
      <c r="H79" s="957" t="s">
        <v>1886</v>
      </c>
      <c r="I79" s="126">
        <v>398614000</v>
      </c>
      <c r="J79" s="121" t="s">
        <v>1087</v>
      </c>
      <c r="K79" s="139">
        <v>2013</v>
      </c>
      <c r="L79" s="519" t="s">
        <v>1087</v>
      </c>
      <c r="M79" s="124">
        <v>41864</v>
      </c>
      <c r="N79" s="124">
        <v>42107</v>
      </c>
      <c r="O79" s="1099" t="str">
        <f>IF(+Modificaciones!I79=0,"",VLOOKUP(E79,Modificaciones!$B$7:$I$2400,8,0))</f>
        <v/>
      </c>
      <c r="P79" s="115">
        <f>COUNTA(Modificaciones!J79,Modificaciones!L79,Modificaciones!N79,Modificaciones!P79)</f>
        <v>0</v>
      </c>
      <c r="Q79" s="116">
        <f>VLOOKUP(E79,Modificaciones!$B$7:$R$300,17,0)</f>
        <v>0</v>
      </c>
      <c r="R79" s="117">
        <f>COUNTA(Modificaciones!T79,Modificaciones!V79,Modificaciones!X79,Modificaciones!Z79)</f>
        <v>1</v>
      </c>
      <c r="S79" s="118" t="str">
        <f>IF(Modificaciones!AA79=0,"",VLOOKUP(E79,Modificaciones!$B$7:$AA$400,26,0))</f>
        <v>7 meses</v>
      </c>
      <c r="T79" s="119">
        <f>IF(Modificaciones!AB79=0,"",VLOOKUP(E79,Modificaciones!$B$7:$AB$400,27,0))</f>
        <v>42321</v>
      </c>
      <c r="U79" s="1080" t="str">
        <f>+Modificaciones!AC79</f>
        <v/>
      </c>
      <c r="V79" s="825" t="str">
        <f>+Modificaciones!AK79</f>
        <v/>
      </c>
      <c r="W79" s="825">
        <f t="shared" si="17"/>
        <v>42321</v>
      </c>
      <c r="X79" s="59">
        <f t="shared" si="13"/>
        <v>398614000</v>
      </c>
      <c r="Y79" s="151">
        <f>VLOOKUP(E79,Modificaciones!$B$7:$BE$300,56,0)</f>
        <v>398614000</v>
      </c>
      <c r="Z79" s="84">
        <f t="shared" si="14"/>
        <v>0</v>
      </c>
      <c r="AA79" s="286"/>
      <c r="AB79" s="91">
        <f t="shared" si="15"/>
        <v>1</v>
      </c>
      <c r="AC79" s="40">
        <f t="shared" ca="1" si="18"/>
        <v>1</v>
      </c>
      <c r="AD79" s="41">
        <f t="shared" ca="1" si="19"/>
        <v>0</v>
      </c>
      <c r="AE79" s="181" t="str">
        <f t="shared" ca="1" si="20"/>
        <v/>
      </c>
      <c r="AF79" s="42" t="str">
        <f t="shared" si="16"/>
        <v>SI</v>
      </c>
      <c r="AG79" s="42"/>
      <c r="AH79" s="152"/>
      <c r="AI79" s="275" t="s">
        <v>1123</v>
      </c>
      <c r="AJ79" s="152" t="s">
        <v>1441</v>
      </c>
      <c r="AK79" s="255" t="s">
        <v>562</v>
      </c>
      <c r="AL79" s="153" t="s">
        <v>1392</v>
      </c>
      <c r="AM79" s="160" t="s">
        <v>901</v>
      </c>
      <c r="AN79" s="161" t="str">
        <f t="shared" ca="1" si="21"/>
        <v>TERMINO</v>
      </c>
      <c r="AO79" s="160" t="s">
        <v>582</v>
      </c>
      <c r="AP79" s="155" t="s">
        <v>390</v>
      </c>
      <c r="AQ79" s="819" t="str">
        <f>IFERROR(VLOOKUP(E79,'liquidaciones '!$B$2:$C$1048576,2,0),"NO")</f>
        <v>EN TRÁMITE</v>
      </c>
      <c r="AR79" s="909" t="str">
        <f>IFERROR(VLOOKUP(E79,'liquidaciones '!$B$2:$I$1048576,8,0),"")</f>
        <v>MANUEL ROJAS</v>
      </c>
      <c r="AS79" s="310"/>
      <c r="AT79" s="156" t="str">
        <f t="shared" ca="1" si="22"/>
        <v>NO</v>
      </c>
      <c r="AU79" s="156" t="s">
        <v>1570</v>
      </c>
      <c r="AV79" s="406"/>
      <c r="AW79" s="928"/>
      <c r="AX79" s="928"/>
      <c r="AY79" s="928"/>
    </row>
    <row r="80" spans="1:51" ht="47.25" customHeight="1" x14ac:dyDescent="0.3">
      <c r="A80" s="14">
        <v>1</v>
      </c>
      <c r="B80" s="14">
        <v>74</v>
      </c>
      <c r="C80" s="410"/>
      <c r="D80" s="410" t="str">
        <f t="shared" si="12"/>
        <v>2012</v>
      </c>
      <c r="E80" s="120" t="s">
        <v>45</v>
      </c>
      <c r="F80" s="120" t="s">
        <v>46</v>
      </c>
      <c r="G80" s="1048">
        <v>900006611</v>
      </c>
      <c r="H80" s="957" t="s">
        <v>330</v>
      </c>
      <c r="I80" s="121">
        <v>1062500</v>
      </c>
      <c r="J80" s="821" t="s">
        <v>4563</v>
      </c>
      <c r="K80" s="122">
        <v>2012</v>
      </c>
      <c r="L80" s="519" t="s">
        <v>1087</v>
      </c>
      <c r="M80" s="123">
        <v>41292</v>
      </c>
      <c r="N80" s="123">
        <v>41322</v>
      </c>
      <c r="O80" s="1099" t="str">
        <f>IF(+Modificaciones!I80=0,"",VLOOKUP(E80,Modificaciones!$B$7:$I$2400,8,0))</f>
        <v/>
      </c>
      <c r="P80" s="115">
        <f>COUNTA(Modificaciones!J80,Modificaciones!L80,Modificaciones!N80,Modificaciones!P80)</f>
        <v>0</v>
      </c>
      <c r="Q80" s="116">
        <f>VLOOKUP(E80,Modificaciones!$B$7:$R$300,17,0)</f>
        <v>0</v>
      </c>
      <c r="R80" s="117">
        <f>COUNTA(Modificaciones!T80,Modificaciones!V80,Modificaciones!X80,Modificaciones!Z80)</f>
        <v>0</v>
      </c>
      <c r="S80" s="118" t="str">
        <f>IF(Modificaciones!AA80=0,"",VLOOKUP(E80,Modificaciones!$B$7:$AA$400,26,0))</f>
        <v/>
      </c>
      <c r="T80" s="119" t="str">
        <f>IF(Modificaciones!AB80=0,"",VLOOKUP(E80,Modificaciones!$B$7:$AB$400,27,0))</f>
        <v/>
      </c>
      <c r="U80" s="1080" t="str">
        <f>+Modificaciones!AC80</f>
        <v/>
      </c>
      <c r="V80" s="825" t="str">
        <f>+Modificaciones!AK80</f>
        <v/>
      </c>
      <c r="W80" s="825">
        <f t="shared" si="17"/>
        <v>41322</v>
      </c>
      <c r="X80" s="59">
        <f t="shared" si="13"/>
        <v>1062500</v>
      </c>
      <c r="Y80" s="151">
        <f>VLOOKUP(E80,Modificaciones!$B$7:$BE$300,56,0)</f>
        <v>1062500</v>
      </c>
      <c r="Z80" s="84">
        <f t="shared" si="14"/>
        <v>0</v>
      </c>
      <c r="AA80" s="393"/>
      <c r="AB80" s="91">
        <f t="shared" si="15"/>
        <v>1</v>
      </c>
      <c r="AC80" s="40">
        <f t="shared" ca="1" si="18"/>
        <v>1</v>
      </c>
      <c r="AD80" s="41">
        <f t="shared" ca="1" si="19"/>
        <v>0</v>
      </c>
      <c r="AE80" s="181" t="str">
        <f t="shared" ca="1" si="20"/>
        <v/>
      </c>
      <c r="AF80" s="42" t="str">
        <f t="shared" si="16"/>
        <v>SI</v>
      </c>
      <c r="AG80" s="42"/>
      <c r="AH80" s="152" t="s">
        <v>1255</v>
      </c>
      <c r="AI80" s="152" t="s">
        <v>1287</v>
      </c>
      <c r="AJ80" s="152"/>
      <c r="AL80" s="153"/>
      <c r="AM80" s="160" t="s">
        <v>600</v>
      </c>
      <c r="AN80" s="161" t="str">
        <f t="shared" ca="1" si="21"/>
        <v>TERMINO</v>
      </c>
      <c r="AO80" s="160" t="s">
        <v>576</v>
      </c>
      <c r="AP80" s="155" t="s">
        <v>391</v>
      </c>
      <c r="AQ80" s="819" t="str">
        <f>IFERROR(VLOOKUP(E80,'liquidaciones '!$B$2:$C$1048576,2,0),"NO")</f>
        <v>EN TRÁMITE</v>
      </c>
      <c r="AR80" s="909" t="str">
        <f>IFERROR(VLOOKUP(E80,'liquidaciones '!$B$2:$I$1048576,8,0),"")</f>
        <v>JUAN DIEGO ESPITIA</v>
      </c>
      <c r="AS80" s="308"/>
      <c r="AT80" s="156" t="str">
        <f t="shared" ca="1" si="22"/>
        <v>NO</v>
      </c>
      <c r="AU80" s="156" t="s">
        <v>1570</v>
      </c>
      <c r="AV80" s="406"/>
      <c r="AW80" s="928"/>
      <c r="AX80" s="928"/>
      <c r="AY80" s="928"/>
    </row>
    <row r="81" spans="1:51" ht="69" customHeight="1" x14ac:dyDescent="0.3">
      <c r="A81" s="14">
        <v>2</v>
      </c>
      <c r="B81" s="14">
        <v>75</v>
      </c>
      <c r="C81" s="410"/>
      <c r="D81" s="410" t="str">
        <f t="shared" si="12"/>
        <v>2012</v>
      </c>
      <c r="E81" s="120" t="s">
        <v>25</v>
      </c>
      <c r="F81" s="120" t="s">
        <v>26</v>
      </c>
      <c r="G81" s="1048">
        <v>830039811</v>
      </c>
      <c r="H81" s="959" t="s">
        <v>1376</v>
      </c>
      <c r="I81" s="121">
        <v>80074800</v>
      </c>
      <c r="J81" s="121" t="s">
        <v>1087</v>
      </c>
      <c r="K81" s="122">
        <v>2012</v>
      </c>
      <c r="L81" s="519" t="s">
        <v>1087</v>
      </c>
      <c r="M81" s="124">
        <v>41313</v>
      </c>
      <c r="N81" s="124">
        <v>41705</v>
      </c>
      <c r="O81" s="1099" t="str">
        <f>IF(+Modificaciones!I81=0,"",VLOOKUP(E81,Modificaciones!$B$7:$I$2400,8,0))</f>
        <v/>
      </c>
      <c r="P81" s="115">
        <f>COUNTA(Modificaciones!J81,Modificaciones!L81,Modificaciones!N81,Modificaciones!P81)</f>
        <v>1</v>
      </c>
      <c r="Q81" s="116">
        <f>VLOOKUP(E81,Modificaciones!$B$7:$R$300,17,0)</f>
        <v>35588800</v>
      </c>
      <c r="R81" s="117">
        <f>COUNTA(Modificaciones!T81,Modificaciones!V81,Modificaciones!X81,Modificaciones!Z81)</f>
        <v>1</v>
      </c>
      <c r="S81" s="118" t="str">
        <f>IF(Modificaciones!AA81=0,"",VLOOKUP(E81,Modificaciones!$B$7:$AA$400,26,0))</f>
        <v>1 mes</v>
      </c>
      <c r="T81" s="119">
        <f>IF(Modificaciones!AB81=0,"",VLOOKUP(E81,Modificaciones!$B$7:$AB$400,27,0))</f>
        <v>41736</v>
      </c>
      <c r="U81" s="1080" t="str">
        <f>+Modificaciones!AC81</f>
        <v/>
      </c>
      <c r="V81" s="825" t="str">
        <f>+Modificaciones!AK81</f>
        <v/>
      </c>
      <c r="W81" s="825">
        <f t="shared" si="17"/>
        <v>41736</v>
      </c>
      <c r="X81" s="59">
        <f t="shared" si="13"/>
        <v>115663600</v>
      </c>
      <c r="Y81" s="151">
        <f>VLOOKUP(E81,Modificaciones!$B$7:$BE$300,56,0)</f>
        <v>115663040</v>
      </c>
      <c r="Z81" s="84">
        <f t="shared" si="14"/>
        <v>560</v>
      </c>
      <c r="AA81" s="283"/>
      <c r="AB81" s="40">
        <f t="shared" si="15"/>
        <v>0.99999515837307507</v>
      </c>
      <c r="AC81" s="40">
        <f t="shared" ca="1" si="18"/>
        <v>1</v>
      </c>
      <c r="AD81" s="41">
        <f t="shared" ca="1" si="19"/>
        <v>4.8416269249340615E-6</v>
      </c>
      <c r="AE81" s="181" t="str">
        <f t="shared" ca="1" si="20"/>
        <v/>
      </c>
      <c r="AF81" s="42" t="str">
        <f t="shared" si="16"/>
        <v>SI</v>
      </c>
      <c r="AG81" s="42"/>
      <c r="AH81" s="152" t="s">
        <v>1256</v>
      </c>
      <c r="AI81" s="152" t="s">
        <v>1173</v>
      </c>
      <c r="AJ81" s="152" t="s">
        <v>1438</v>
      </c>
      <c r="AK81" s="255" t="s">
        <v>560</v>
      </c>
      <c r="AL81" s="153"/>
      <c r="AM81" s="160" t="s">
        <v>1026</v>
      </c>
      <c r="AN81" s="161" t="str">
        <f t="shared" ca="1" si="21"/>
        <v>TERMINO</v>
      </c>
      <c r="AO81" s="160" t="s">
        <v>574</v>
      </c>
      <c r="AP81" s="155" t="s">
        <v>390</v>
      </c>
      <c r="AQ81" s="819" t="str">
        <f>IFERROR(VLOOKUP(E81,'liquidaciones '!$B$2:$C$1048576,2,0),"NO")</f>
        <v>NO</v>
      </c>
      <c r="AR81" s="909" t="str">
        <f>IFERROR(VLOOKUP(E81,'liquidaciones '!$B$2:$I$1048576,8,0),"")</f>
        <v/>
      </c>
      <c r="AS81" s="310">
        <v>42236</v>
      </c>
      <c r="AT81" s="156" t="str">
        <f t="shared" ca="1" si="22"/>
        <v>NO</v>
      </c>
      <c r="AU81" s="156" t="s">
        <v>1570</v>
      </c>
      <c r="AV81" s="406"/>
      <c r="AW81" s="928"/>
      <c r="AX81" s="928"/>
      <c r="AY81" s="928"/>
    </row>
    <row r="82" spans="1:51" ht="47.25" customHeight="1" x14ac:dyDescent="0.3">
      <c r="A82" s="14">
        <v>3</v>
      </c>
      <c r="B82" s="14">
        <v>76</v>
      </c>
      <c r="C82" s="410"/>
      <c r="D82" s="410" t="str">
        <f t="shared" si="12"/>
        <v>2012</v>
      </c>
      <c r="E82" s="120" t="s">
        <v>52</v>
      </c>
      <c r="F82" s="129" t="s">
        <v>53</v>
      </c>
      <c r="G82" s="1049">
        <v>4831</v>
      </c>
      <c r="H82" s="958" t="s">
        <v>332</v>
      </c>
      <c r="I82" s="130">
        <v>13806000</v>
      </c>
      <c r="J82" s="121" t="s">
        <v>1087</v>
      </c>
      <c r="K82" s="122">
        <v>2012</v>
      </c>
      <c r="L82" s="519" t="s">
        <v>1087</v>
      </c>
      <c r="M82" s="133">
        <v>41278</v>
      </c>
      <c r="N82" s="134">
        <v>41429</v>
      </c>
      <c r="O82" s="1099" t="str">
        <f>IF(+Modificaciones!I82=0,"",VLOOKUP(E82,Modificaciones!$B$7:$I$2400,8,0))</f>
        <v/>
      </c>
      <c r="P82" s="115">
        <f>COUNTA(Modificaciones!J82,Modificaciones!L82,Modificaciones!N82,Modificaciones!P82)</f>
        <v>0</v>
      </c>
      <c r="Q82" s="116">
        <f>VLOOKUP(E82,Modificaciones!$B$7:$R$300,17,0)</f>
        <v>0</v>
      </c>
      <c r="R82" s="117">
        <f>COUNTA(Modificaciones!T82,Modificaciones!V82,Modificaciones!X82,Modificaciones!Z82)</f>
        <v>1</v>
      </c>
      <c r="S82" s="118" t="str">
        <f>IF(Modificaciones!AA82=0,"",VLOOKUP(E82,Modificaciones!$B$7:$AA$400,26,0))</f>
        <v>1 mes</v>
      </c>
      <c r="T82" s="119">
        <f>IF(Modificaciones!AB82=0,"",VLOOKUP(E82,Modificaciones!$B$7:$AB$400,27,0))</f>
        <v>41459</v>
      </c>
      <c r="U82" s="1080" t="str">
        <f>+Modificaciones!AC82</f>
        <v/>
      </c>
      <c r="V82" s="825" t="str">
        <f>+Modificaciones!AK82</f>
        <v/>
      </c>
      <c r="W82" s="825">
        <f t="shared" si="17"/>
        <v>41459</v>
      </c>
      <c r="X82" s="59">
        <f t="shared" si="13"/>
        <v>13806000</v>
      </c>
      <c r="Y82" s="151">
        <f>VLOOKUP(E82,Modificaciones!$B$7:$BE$300,56,0)</f>
        <v>12439108</v>
      </c>
      <c r="Z82" s="84">
        <f t="shared" si="14"/>
        <v>1366892</v>
      </c>
      <c r="AA82" s="283"/>
      <c r="AB82" s="40">
        <f t="shared" si="15"/>
        <v>0.90099290163696943</v>
      </c>
      <c r="AC82" s="40">
        <f t="shared" ca="1" si="18"/>
        <v>1</v>
      </c>
      <c r="AD82" s="41">
        <f t="shared" ca="1" si="19"/>
        <v>9.9007098363030566E-2</v>
      </c>
      <c r="AE82" s="181" t="str">
        <f t="shared" ca="1" si="20"/>
        <v/>
      </c>
      <c r="AF82" s="42" t="str">
        <f t="shared" si="16"/>
        <v>NO</v>
      </c>
      <c r="AG82" s="42"/>
      <c r="AH82" s="152" t="s">
        <v>1255</v>
      </c>
      <c r="AI82" s="152" t="s">
        <v>1125</v>
      </c>
      <c r="AJ82" s="152" t="s">
        <v>1441</v>
      </c>
      <c r="AK82" s="255" t="s">
        <v>560</v>
      </c>
      <c r="AL82" s="153" t="s">
        <v>1318</v>
      </c>
      <c r="AM82" s="160" t="s">
        <v>600</v>
      </c>
      <c r="AN82" s="161" t="str">
        <f t="shared" ca="1" si="21"/>
        <v>TERMINO</v>
      </c>
      <c r="AO82" s="160" t="s">
        <v>576</v>
      </c>
      <c r="AP82" s="155" t="s">
        <v>390</v>
      </c>
      <c r="AQ82" s="819" t="str">
        <f>IFERROR(VLOOKUP(E82,'liquidaciones '!$B$2:$C$1048576,2,0),"NO")</f>
        <v>LIQUIDADO</v>
      </c>
      <c r="AR82" s="909">
        <f>IFERROR(VLOOKUP(E82,'liquidaciones '!$B$2:$I$1048576,8,0),"")</f>
        <v>0</v>
      </c>
      <c r="AS82" s="310">
        <v>42004</v>
      </c>
      <c r="AT82" s="156" t="str">
        <f t="shared" ca="1" si="22"/>
        <v>NO</v>
      </c>
      <c r="AU82" s="156" t="s">
        <v>1570</v>
      </c>
      <c r="AV82" s="406"/>
      <c r="AW82" s="928"/>
      <c r="AX82" s="928"/>
      <c r="AY82" s="928"/>
    </row>
    <row r="83" spans="1:51" ht="47.25" customHeight="1" x14ac:dyDescent="0.3">
      <c r="A83" s="14">
        <v>1</v>
      </c>
      <c r="B83" s="14">
        <v>77</v>
      </c>
      <c r="C83" s="410"/>
      <c r="D83" s="410" t="str">
        <f t="shared" si="12"/>
        <v>2012</v>
      </c>
      <c r="E83" s="120" t="s">
        <v>4</v>
      </c>
      <c r="F83" s="120" t="s">
        <v>1027</v>
      </c>
      <c r="G83" s="1046">
        <v>860053274</v>
      </c>
      <c r="H83" s="957" t="s">
        <v>312</v>
      </c>
      <c r="I83" s="121">
        <v>59046000</v>
      </c>
      <c r="J83" s="121" t="s">
        <v>1087</v>
      </c>
      <c r="K83" s="122">
        <v>2012</v>
      </c>
      <c r="L83" s="519" t="s">
        <v>1087</v>
      </c>
      <c r="M83" s="123">
        <v>41292</v>
      </c>
      <c r="N83" s="123">
        <v>41442</v>
      </c>
      <c r="O83" s="1099" t="str">
        <f>IF(+Modificaciones!I83=0,"",VLOOKUP(E83,Modificaciones!$B$7:$I$2400,8,0))</f>
        <v/>
      </c>
      <c r="P83" s="115">
        <f>COUNTA(Modificaciones!J83,Modificaciones!L83,Modificaciones!N83,Modificaciones!P83)</f>
        <v>1</v>
      </c>
      <c r="Q83" s="116">
        <f>VLOOKUP(E83,Modificaciones!$B$7:$R$300,17,0)</f>
        <v>20167111</v>
      </c>
      <c r="R83" s="117">
        <f>COUNTA(Modificaciones!T83,Modificaciones!V83,Modificaciones!X83,Modificaciones!Z83)</f>
        <v>2</v>
      </c>
      <c r="S83" s="118" t="str">
        <f>IF(Modificaciones!AA83=0,"",VLOOKUP(E83,Modificaciones!$B$7:$AA$400,26,0))</f>
        <v>5 meses y 13 días</v>
      </c>
      <c r="T83" s="119">
        <f>IF(Modificaciones!AB83=0,"",VLOOKUP(E83,Modificaciones!$B$7:$AB$400,27,0))</f>
        <v>41608</v>
      </c>
      <c r="U83" s="1080" t="str">
        <f>+Modificaciones!AC83</f>
        <v/>
      </c>
      <c r="V83" s="825" t="str">
        <f>+Modificaciones!AK83</f>
        <v/>
      </c>
      <c r="W83" s="825">
        <f t="shared" si="17"/>
        <v>41608</v>
      </c>
      <c r="X83" s="59">
        <f t="shared" si="13"/>
        <v>79213111</v>
      </c>
      <c r="Y83" s="151">
        <f>VLOOKUP(E83,Modificaciones!$B$7:$BE$300,56,0)</f>
        <v>65129800</v>
      </c>
      <c r="Z83" s="84">
        <f t="shared" si="14"/>
        <v>14083311</v>
      </c>
      <c r="AA83" s="283"/>
      <c r="AB83" s="40">
        <f t="shared" si="15"/>
        <v>0.82220984856913393</v>
      </c>
      <c r="AC83" s="40">
        <f t="shared" ca="1" si="18"/>
        <v>1</v>
      </c>
      <c r="AD83" s="41">
        <f t="shared" ca="1" si="19"/>
        <v>0.17779015143086607</v>
      </c>
      <c r="AE83" s="181" t="str">
        <f t="shared" ca="1" si="20"/>
        <v/>
      </c>
      <c r="AF83" s="42" t="str">
        <f t="shared" si="16"/>
        <v>NO</v>
      </c>
      <c r="AG83" s="42"/>
      <c r="AH83" s="152" t="s">
        <v>1255</v>
      </c>
      <c r="AI83" s="152" t="s">
        <v>1129</v>
      </c>
      <c r="AJ83" s="152" t="s">
        <v>1441</v>
      </c>
      <c r="AK83" s="255" t="s">
        <v>560</v>
      </c>
      <c r="AL83" s="158" t="s">
        <v>1378</v>
      </c>
      <c r="AM83" s="160" t="s">
        <v>600</v>
      </c>
      <c r="AN83" s="161" t="str">
        <f t="shared" ca="1" si="21"/>
        <v>TERMINO</v>
      </c>
      <c r="AO83" s="160" t="s">
        <v>921</v>
      </c>
      <c r="AP83" s="155" t="s">
        <v>390</v>
      </c>
      <c r="AQ83" s="819" t="str">
        <f>IFERROR(VLOOKUP(E83,'liquidaciones '!$B$2:$C$1048576,2,0),"NO")</f>
        <v>LIQUIDADO</v>
      </c>
      <c r="AR83" s="909">
        <f>IFERROR(VLOOKUP(E83,'liquidaciones '!$B$2:$I$1048576,8,0),"")</f>
        <v>0</v>
      </c>
      <c r="AS83" s="310">
        <v>42023</v>
      </c>
      <c r="AT83" s="156" t="str">
        <f t="shared" ca="1" si="22"/>
        <v>NO</v>
      </c>
      <c r="AU83" s="156" t="s">
        <v>1570</v>
      </c>
      <c r="AV83" s="406"/>
      <c r="AW83" s="928"/>
      <c r="AX83" s="928"/>
      <c r="AY83" s="928"/>
    </row>
    <row r="84" spans="1:51" ht="47.25" customHeight="1" x14ac:dyDescent="0.3">
      <c r="A84" s="14">
        <v>1</v>
      </c>
      <c r="B84" s="14">
        <v>78</v>
      </c>
      <c r="C84" s="410"/>
      <c r="D84" s="410" t="str">
        <f t="shared" si="12"/>
        <v>2012</v>
      </c>
      <c r="E84" s="120" t="s">
        <v>71</v>
      </c>
      <c r="F84" s="129" t="s">
        <v>1028</v>
      </c>
      <c r="G84" s="1048">
        <v>860066942</v>
      </c>
      <c r="H84" s="958" t="s">
        <v>339</v>
      </c>
      <c r="I84" s="130">
        <v>49500000</v>
      </c>
      <c r="J84" s="121" t="s">
        <v>1087</v>
      </c>
      <c r="K84" s="122">
        <v>2012</v>
      </c>
      <c r="L84" s="519" t="s">
        <v>1087</v>
      </c>
      <c r="M84" s="133">
        <v>41325</v>
      </c>
      <c r="N84" s="134">
        <v>41505</v>
      </c>
      <c r="O84" s="1099" t="str">
        <f>IF(+Modificaciones!I84=0,"",VLOOKUP(E84,Modificaciones!$B$7:$I$2400,8,0))</f>
        <v/>
      </c>
      <c r="P84" s="115">
        <f>COUNTA(Modificaciones!J84,Modificaciones!L84,Modificaciones!N84,Modificaciones!P84)</f>
        <v>1</v>
      </c>
      <c r="Q84" s="116">
        <f>VLOOKUP(E84,Modificaciones!$B$7:$R$300,17,0)</f>
        <v>25746412</v>
      </c>
      <c r="R84" s="117">
        <f>COUNTA(Modificaciones!T84,Modificaciones!V84,Modificaciones!X84,Modificaciones!Z84)</f>
        <v>0</v>
      </c>
      <c r="S84" s="118" t="str">
        <f>IF(Modificaciones!AA84=0,"",VLOOKUP(E84,Modificaciones!$B$7:$AA$400,26,0))</f>
        <v/>
      </c>
      <c r="T84" s="119" t="str">
        <f>IF(Modificaciones!AB84=0,"",VLOOKUP(E84,Modificaciones!$B$7:$AB$400,27,0))</f>
        <v/>
      </c>
      <c r="U84" s="1080" t="str">
        <f>+Modificaciones!AC84</f>
        <v/>
      </c>
      <c r="V84" s="825" t="str">
        <f>+Modificaciones!AK84</f>
        <v/>
      </c>
      <c r="W84" s="825">
        <f t="shared" si="17"/>
        <v>41505</v>
      </c>
      <c r="X84" s="59">
        <f t="shared" si="13"/>
        <v>75246412</v>
      </c>
      <c r="Y84" s="151">
        <f>VLOOKUP(E84,Modificaciones!$B$7:$BE$300,56,0)</f>
        <v>75232704</v>
      </c>
      <c r="Z84" s="84">
        <f t="shared" si="14"/>
        <v>13708</v>
      </c>
      <c r="AA84" s="283"/>
      <c r="AB84" s="40">
        <f t="shared" si="15"/>
        <v>0.99981782520075513</v>
      </c>
      <c r="AC84" s="40">
        <f t="shared" ca="1" si="18"/>
        <v>1</v>
      </c>
      <c r="AD84" s="41">
        <f t="shared" ca="1" si="19"/>
        <v>1.821747992448719E-4</v>
      </c>
      <c r="AE84" s="181" t="str">
        <f t="shared" ca="1" si="20"/>
        <v/>
      </c>
      <c r="AF84" s="42" t="str">
        <f t="shared" si="16"/>
        <v>SI</v>
      </c>
      <c r="AG84" s="42"/>
      <c r="AH84" s="152" t="s">
        <v>1255</v>
      </c>
      <c r="AI84" s="152" t="s">
        <v>1279</v>
      </c>
      <c r="AJ84" s="152" t="s">
        <v>1434</v>
      </c>
      <c r="AK84" s="255" t="s">
        <v>560</v>
      </c>
      <c r="AL84" s="153"/>
      <c r="AM84" s="160" t="s">
        <v>600</v>
      </c>
      <c r="AN84" s="161" t="str">
        <f t="shared" ca="1" si="21"/>
        <v>TERMINO</v>
      </c>
      <c r="AO84" s="160" t="s">
        <v>574</v>
      </c>
      <c r="AP84" s="155" t="s">
        <v>390</v>
      </c>
      <c r="AQ84" s="819" t="str">
        <f>IFERROR(VLOOKUP(E84,'liquidaciones '!$B$2:$C$1048576,2,0),"NO")</f>
        <v>LIQUIDADO</v>
      </c>
      <c r="AR84" s="909">
        <f>IFERROR(VLOOKUP(E84,'liquidaciones '!$B$2:$I$1048576,8,0),"")</f>
        <v>0</v>
      </c>
      <c r="AS84" s="310">
        <v>42150</v>
      </c>
      <c r="AT84" s="156" t="str">
        <f t="shared" ca="1" si="22"/>
        <v>NO</v>
      </c>
      <c r="AU84" s="156" t="s">
        <v>1570</v>
      </c>
      <c r="AV84" s="406"/>
      <c r="AW84" s="928"/>
      <c r="AX84" s="928"/>
      <c r="AY84" s="928"/>
    </row>
    <row r="85" spans="1:51" ht="47.25" customHeight="1" x14ac:dyDescent="0.3">
      <c r="A85" s="14">
        <v>2</v>
      </c>
      <c r="B85" s="14">
        <v>79</v>
      </c>
      <c r="C85" s="410"/>
      <c r="D85" s="410" t="str">
        <f t="shared" si="12"/>
        <v>2012</v>
      </c>
      <c r="E85" s="120" t="s">
        <v>116</v>
      </c>
      <c r="F85" s="120" t="s">
        <v>418</v>
      </c>
      <c r="G85" s="1048">
        <v>891501783</v>
      </c>
      <c r="H85" s="957" t="s">
        <v>350</v>
      </c>
      <c r="I85" s="121">
        <v>36990000</v>
      </c>
      <c r="J85" s="821" t="s">
        <v>4065</v>
      </c>
      <c r="K85" s="122">
        <v>2012</v>
      </c>
      <c r="L85" s="519" t="s">
        <v>1087</v>
      </c>
      <c r="M85" s="123">
        <v>41323</v>
      </c>
      <c r="N85" s="123">
        <v>41442</v>
      </c>
      <c r="O85" s="1099" t="str">
        <f>IF(+Modificaciones!I85=0,"",VLOOKUP(E85,Modificaciones!$B$7:$I$2400,8,0))</f>
        <v/>
      </c>
      <c r="P85" s="115">
        <f>COUNTA(Modificaciones!J85,Modificaciones!L85,Modificaciones!N85,Modificaciones!P85)</f>
        <v>0</v>
      </c>
      <c r="Q85" s="116">
        <f>VLOOKUP(E85,Modificaciones!$B$7:$R$300,17,0)</f>
        <v>0</v>
      </c>
      <c r="R85" s="117">
        <f>COUNTA(Modificaciones!T85,Modificaciones!V85,Modificaciones!X85,Modificaciones!Z85)</f>
        <v>0</v>
      </c>
      <c r="S85" s="118" t="str">
        <f>IF(Modificaciones!AA85=0,"",VLOOKUP(E85,Modificaciones!$B$7:$AA$400,26,0))</f>
        <v/>
      </c>
      <c r="T85" s="119" t="str">
        <f>IF(Modificaciones!AB85=0,"",VLOOKUP(E85,Modificaciones!$B$7:$AB$400,27,0))</f>
        <v/>
      </c>
      <c r="U85" s="1080" t="str">
        <f>+Modificaciones!AC85</f>
        <v/>
      </c>
      <c r="V85" s="825" t="str">
        <f>+Modificaciones!AK85</f>
        <v/>
      </c>
      <c r="W85" s="825">
        <f t="shared" si="17"/>
        <v>41442</v>
      </c>
      <c r="X85" s="59">
        <f t="shared" si="13"/>
        <v>36990000</v>
      </c>
      <c r="Y85" s="151">
        <f>VLOOKUP(E85,Modificaciones!$B$7:$BE$300,56,0)</f>
        <v>36990000</v>
      </c>
      <c r="Z85" s="84">
        <f t="shared" si="14"/>
        <v>0</v>
      </c>
      <c r="AA85" s="283"/>
      <c r="AB85" s="40">
        <f t="shared" si="15"/>
        <v>1</v>
      </c>
      <c r="AC85" s="40">
        <f t="shared" ca="1" si="18"/>
        <v>1</v>
      </c>
      <c r="AD85" s="41">
        <f t="shared" ca="1" si="19"/>
        <v>0</v>
      </c>
      <c r="AE85" s="181" t="str">
        <f t="shared" ca="1" si="20"/>
        <v/>
      </c>
      <c r="AF85" s="42" t="str">
        <f t="shared" si="16"/>
        <v>SI</v>
      </c>
      <c r="AG85" s="42"/>
      <c r="AH85" s="152" t="s">
        <v>1256</v>
      </c>
      <c r="AI85" s="152" t="s">
        <v>1463</v>
      </c>
      <c r="AJ85" s="152"/>
      <c r="AL85" s="153"/>
      <c r="AM85" s="160" t="s">
        <v>600</v>
      </c>
      <c r="AN85" s="161" t="str">
        <f t="shared" ca="1" si="21"/>
        <v>TERMINO</v>
      </c>
      <c r="AO85" s="160" t="s">
        <v>576</v>
      </c>
      <c r="AP85" s="155" t="s">
        <v>390</v>
      </c>
      <c r="AQ85" s="819" t="str">
        <f>IFERROR(VLOOKUP(E85,'liquidaciones '!$B$2:$C$1048576,2,0),"NO")</f>
        <v>LIQUIDADO</v>
      </c>
      <c r="AR85" s="909">
        <f>IFERROR(VLOOKUP(E85,'liquidaciones '!$B$2:$I$1048576,8,0),"")</f>
        <v>0</v>
      </c>
      <c r="AS85" s="310">
        <v>42249</v>
      </c>
      <c r="AT85" s="156" t="str">
        <f t="shared" ca="1" si="22"/>
        <v>NO</v>
      </c>
      <c r="AU85" s="156" t="s">
        <v>1570</v>
      </c>
      <c r="AV85" s="406"/>
      <c r="AW85" s="928"/>
      <c r="AX85" s="928"/>
      <c r="AY85" s="928"/>
    </row>
    <row r="86" spans="1:51" ht="47.25" customHeight="1" x14ac:dyDescent="0.3">
      <c r="A86" s="14">
        <v>1</v>
      </c>
      <c r="B86" s="14">
        <v>80</v>
      </c>
      <c r="C86" s="410"/>
      <c r="D86" s="410" t="str">
        <f t="shared" si="12"/>
        <v>2012</v>
      </c>
      <c r="E86" s="120" t="s">
        <v>122</v>
      </c>
      <c r="F86" s="120" t="s">
        <v>244</v>
      </c>
      <c r="G86" s="1048">
        <v>800058607</v>
      </c>
      <c r="H86" s="957" t="s">
        <v>354</v>
      </c>
      <c r="I86" s="121">
        <v>85314724</v>
      </c>
      <c r="J86" s="121" t="s">
        <v>1087</v>
      </c>
      <c r="K86" s="122">
        <v>2012</v>
      </c>
      <c r="L86" s="519" t="s">
        <v>1087</v>
      </c>
      <c r="M86" s="123">
        <v>41316</v>
      </c>
      <c r="N86" s="123">
        <v>41680</v>
      </c>
      <c r="O86" s="1099" t="str">
        <f>IF(+Modificaciones!I86=0,"",VLOOKUP(E86,Modificaciones!$B$7:$I$2400,8,0))</f>
        <v/>
      </c>
      <c r="P86" s="115">
        <f>COUNTA(Modificaciones!J86,Modificaciones!L86,Modificaciones!N86,Modificaciones!P86)</f>
        <v>0</v>
      </c>
      <c r="Q86" s="116">
        <f>VLOOKUP(E86,Modificaciones!$B$7:$R$300,17,0)</f>
        <v>0</v>
      </c>
      <c r="R86" s="117">
        <f>COUNTA(Modificaciones!T86,Modificaciones!V86,Modificaciones!X86,Modificaciones!Z86)</f>
        <v>0</v>
      </c>
      <c r="S86" s="118" t="str">
        <f>IF(Modificaciones!AA86=0,"",VLOOKUP(E86,Modificaciones!$B$7:$AA$400,26,0))</f>
        <v/>
      </c>
      <c r="T86" s="119" t="str">
        <f>IF(Modificaciones!AB86=0,"",VLOOKUP(E86,Modificaciones!$B$7:$AB$400,27,0))</f>
        <v/>
      </c>
      <c r="U86" s="1080" t="str">
        <f>+Modificaciones!AC86</f>
        <v/>
      </c>
      <c r="V86" s="825" t="str">
        <f>+Modificaciones!AK86</f>
        <v/>
      </c>
      <c r="W86" s="825">
        <f t="shared" si="17"/>
        <v>41680</v>
      </c>
      <c r="X86" s="59">
        <f t="shared" si="13"/>
        <v>85314724</v>
      </c>
      <c r="Y86" s="151">
        <f>VLOOKUP(E86,Modificaciones!$B$7:$BE$300,56,0)</f>
        <v>85314724</v>
      </c>
      <c r="Z86" s="84">
        <f t="shared" si="14"/>
        <v>0</v>
      </c>
      <c r="AA86" s="283"/>
      <c r="AB86" s="40">
        <f t="shared" si="15"/>
        <v>1</v>
      </c>
      <c r="AC86" s="40">
        <f t="shared" ca="1" si="18"/>
        <v>1</v>
      </c>
      <c r="AD86" s="41">
        <f t="shared" ca="1" si="19"/>
        <v>0</v>
      </c>
      <c r="AE86" s="181" t="str">
        <f t="shared" ca="1" si="20"/>
        <v/>
      </c>
      <c r="AF86" s="42" t="str">
        <f t="shared" si="16"/>
        <v>SI</v>
      </c>
      <c r="AG86" s="42"/>
      <c r="AH86" s="152" t="s">
        <v>1256</v>
      </c>
      <c r="AI86" s="152" t="s">
        <v>1288</v>
      </c>
      <c r="AJ86" s="152" t="s">
        <v>1438</v>
      </c>
      <c r="AK86" s="255" t="s">
        <v>560</v>
      </c>
      <c r="AL86" s="153"/>
      <c r="AM86" s="160" t="s">
        <v>600</v>
      </c>
      <c r="AN86" s="161" t="str">
        <f t="shared" ca="1" si="21"/>
        <v>TERMINO</v>
      </c>
      <c r="AO86" s="154"/>
      <c r="AP86" s="155" t="s">
        <v>390</v>
      </c>
      <c r="AQ86" s="819" t="str">
        <f>IFERROR(VLOOKUP(E86,'liquidaciones '!$B$2:$C$1048576,2,0),"NO")</f>
        <v>NO</v>
      </c>
      <c r="AR86" s="909" t="str">
        <f>IFERROR(VLOOKUP(E86,'liquidaciones '!$B$2:$I$1048576,8,0),"")</f>
        <v/>
      </c>
      <c r="AS86" s="310"/>
      <c r="AT86" s="156" t="str">
        <f t="shared" ca="1" si="22"/>
        <v>NO</v>
      </c>
      <c r="AU86" s="156" t="s">
        <v>1570</v>
      </c>
      <c r="AV86" s="406"/>
      <c r="AW86" s="928"/>
      <c r="AX86" s="928"/>
      <c r="AY86" s="928"/>
    </row>
    <row r="87" spans="1:51" ht="47.25" customHeight="1" x14ac:dyDescent="0.3">
      <c r="A87" s="14">
        <v>4</v>
      </c>
      <c r="B87" s="14">
        <v>81</v>
      </c>
      <c r="C87" s="410"/>
      <c r="D87" s="410" t="str">
        <f t="shared" si="12"/>
        <v>2013</v>
      </c>
      <c r="E87" s="120" t="s">
        <v>78</v>
      </c>
      <c r="F87" s="120" t="s">
        <v>79</v>
      </c>
      <c r="G87" s="1048">
        <v>830017209</v>
      </c>
      <c r="H87" s="957" t="s">
        <v>340</v>
      </c>
      <c r="I87" s="121">
        <v>123000000</v>
      </c>
      <c r="J87" s="821" t="s">
        <v>4030</v>
      </c>
      <c r="K87" s="122">
        <v>2013</v>
      </c>
      <c r="L87" s="519" t="s">
        <v>1087</v>
      </c>
      <c r="M87" s="123">
        <v>41319</v>
      </c>
      <c r="N87" s="123">
        <v>41683</v>
      </c>
      <c r="O87" s="1099" t="str">
        <f>IF(+Modificaciones!I87=0,"",VLOOKUP(E87,Modificaciones!$B$7:$I$2400,8,0))</f>
        <v/>
      </c>
      <c r="P87" s="115">
        <f>COUNTA(Modificaciones!J87,Modificaciones!L87,Modificaciones!N87,Modificaciones!P87)</f>
        <v>0</v>
      </c>
      <c r="Q87" s="116">
        <f>VLOOKUP(E87,Modificaciones!$B$7:$R$300,17,0)</f>
        <v>0</v>
      </c>
      <c r="R87" s="117">
        <f>COUNTA(Modificaciones!T87,Modificaciones!V87,Modificaciones!X87,Modificaciones!Z87)</f>
        <v>0</v>
      </c>
      <c r="S87" s="118" t="str">
        <f>IF(Modificaciones!AA87=0,"",VLOOKUP(E87,Modificaciones!$B$7:$AA$400,26,0))</f>
        <v/>
      </c>
      <c r="T87" s="119" t="str">
        <f>IF(Modificaciones!AB87=0,"",VLOOKUP(E87,Modificaciones!$B$7:$AB$400,27,0))</f>
        <v/>
      </c>
      <c r="U87" s="1080" t="str">
        <f>+Modificaciones!AC87</f>
        <v/>
      </c>
      <c r="V87" s="825" t="str">
        <f>+Modificaciones!AK87</f>
        <v/>
      </c>
      <c r="W87" s="825">
        <f t="shared" si="17"/>
        <v>41683</v>
      </c>
      <c r="X87" s="59">
        <f t="shared" si="13"/>
        <v>123000000</v>
      </c>
      <c r="Y87" s="151">
        <f>VLOOKUP(E87,Modificaciones!$B$7:$BE$300,56,0)</f>
        <v>123000000</v>
      </c>
      <c r="Z87" s="84">
        <f t="shared" si="14"/>
        <v>0</v>
      </c>
      <c r="AA87" s="287" t="s">
        <v>1106</v>
      </c>
      <c r="AB87" s="40">
        <f t="shared" si="15"/>
        <v>1</v>
      </c>
      <c r="AC87" s="40">
        <f t="shared" ca="1" si="18"/>
        <v>1</v>
      </c>
      <c r="AD87" s="41">
        <f t="shared" ca="1" si="19"/>
        <v>0</v>
      </c>
      <c r="AE87" s="181" t="str">
        <f t="shared" ca="1" si="20"/>
        <v/>
      </c>
      <c r="AF87" s="42" t="str">
        <f t="shared" si="16"/>
        <v>SI</v>
      </c>
      <c r="AG87" s="42"/>
      <c r="AH87" s="152" t="s">
        <v>1256</v>
      </c>
      <c r="AI87" s="152" t="s">
        <v>1288</v>
      </c>
      <c r="AJ87" s="152" t="s">
        <v>1438</v>
      </c>
      <c r="AK87" s="255" t="s">
        <v>560</v>
      </c>
      <c r="AL87" s="153"/>
      <c r="AM87" s="160" t="s">
        <v>600</v>
      </c>
      <c r="AN87" s="161" t="str">
        <f t="shared" ca="1" si="21"/>
        <v>TERMINO</v>
      </c>
      <c r="AO87" s="160" t="s">
        <v>575</v>
      </c>
      <c r="AP87" s="155" t="s">
        <v>390</v>
      </c>
      <c r="AQ87" s="819" t="str">
        <f>IFERROR(VLOOKUP(E87,'liquidaciones '!$B$2:$C$1048576,2,0),"NO")</f>
        <v>EN TRÁMITE</v>
      </c>
      <c r="AR87" s="909">
        <f>IFERROR(VLOOKUP(E87,'liquidaciones '!$B$2:$I$1048576,8,0),"")</f>
        <v>0</v>
      </c>
      <c r="AS87" s="310"/>
      <c r="AT87" s="156" t="str">
        <f t="shared" ca="1" si="22"/>
        <v>NO</v>
      </c>
      <c r="AU87" s="156" t="s">
        <v>1570</v>
      </c>
      <c r="AV87" s="406"/>
      <c r="AW87" s="928"/>
      <c r="AX87" s="928"/>
      <c r="AY87" s="928"/>
    </row>
    <row r="88" spans="1:51" ht="47.25" customHeight="1" x14ac:dyDescent="0.3">
      <c r="A88" s="14">
        <v>4</v>
      </c>
      <c r="B88" s="14">
        <v>82</v>
      </c>
      <c r="C88" s="410"/>
      <c r="D88" s="410" t="str">
        <f t="shared" si="12"/>
        <v>2013</v>
      </c>
      <c r="E88" s="120" t="s">
        <v>80</v>
      </c>
      <c r="F88" s="120" t="s">
        <v>81</v>
      </c>
      <c r="G88" s="1048">
        <v>900241832</v>
      </c>
      <c r="H88" s="957" t="s">
        <v>1072</v>
      </c>
      <c r="I88" s="121">
        <v>1113600</v>
      </c>
      <c r="J88" s="821" t="s">
        <v>4411</v>
      </c>
      <c r="K88" s="122">
        <v>2013</v>
      </c>
      <c r="L88" s="519" t="s">
        <v>1087</v>
      </c>
      <c r="M88" s="123">
        <v>41347</v>
      </c>
      <c r="N88" s="123">
        <v>41711</v>
      </c>
      <c r="O88" s="1099" t="str">
        <f>IF(+Modificaciones!I88=0,"",VLOOKUP(E88,Modificaciones!$B$7:$I$2400,8,0))</f>
        <v/>
      </c>
      <c r="P88" s="115">
        <f>COUNTA(Modificaciones!J88,Modificaciones!L88,Modificaciones!N88,Modificaciones!P88)</f>
        <v>0</v>
      </c>
      <c r="Q88" s="116">
        <f>VLOOKUP(E88,Modificaciones!$B$7:$R$300,17,0)</f>
        <v>0</v>
      </c>
      <c r="R88" s="117">
        <f>COUNTA(Modificaciones!T88,Modificaciones!V88,Modificaciones!X88,Modificaciones!Z88)</f>
        <v>0</v>
      </c>
      <c r="S88" s="118" t="str">
        <f>IF(Modificaciones!AA88=0,"",VLOOKUP(E88,Modificaciones!$B$7:$AA$400,26,0))</f>
        <v/>
      </c>
      <c r="T88" s="119" t="str">
        <f>IF(Modificaciones!AB88=0,"",VLOOKUP(E88,Modificaciones!$B$7:$AB$400,27,0))</f>
        <v/>
      </c>
      <c r="U88" s="1080" t="str">
        <f>+Modificaciones!AC88</f>
        <v/>
      </c>
      <c r="V88" s="825" t="str">
        <f>+Modificaciones!AK88</f>
        <v/>
      </c>
      <c r="W88" s="825">
        <f t="shared" si="17"/>
        <v>41711</v>
      </c>
      <c r="X88" s="59">
        <f t="shared" si="13"/>
        <v>1113600</v>
      </c>
      <c r="Y88" s="151">
        <f>VLOOKUP(E88,Modificaciones!$B$7:$BE$300,56,0)</f>
        <v>1113600</v>
      </c>
      <c r="Z88" s="84">
        <f t="shared" si="14"/>
        <v>0</v>
      </c>
      <c r="AA88" s="286" t="s">
        <v>1404</v>
      </c>
      <c r="AB88" s="40">
        <f t="shared" si="15"/>
        <v>1</v>
      </c>
      <c r="AC88" s="40">
        <f t="shared" ca="1" si="18"/>
        <v>1</v>
      </c>
      <c r="AD88" s="41">
        <f t="shared" ca="1" si="19"/>
        <v>0</v>
      </c>
      <c r="AE88" s="181" t="str">
        <f t="shared" ca="1" si="20"/>
        <v/>
      </c>
      <c r="AF88" s="42" t="str">
        <f t="shared" si="16"/>
        <v>SI</v>
      </c>
      <c r="AG88" s="42"/>
      <c r="AH88" s="152" t="s">
        <v>1255</v>
      </c>
      <c r="AI88" s="152" t="s">
        <v>1289</v>
      </c>
      <c r="AJ88" s="152"/>
      <c r="AL88" s="153"/>
      <c r="AM88" s="160" t="s">
        <v>901</v>
      </c>
      <c r="AN88" s="161" t="str">
        <f t="shared" ca="1" si="21"/>
        <v>TERMINO</v>
      </c>
      <c r="AO88" s="160" t="s">
        <v>576</v>
      </c>
      <c r="AP88" s="155" t="s">
        <v>390</v>
      </c>
      <c r="AQ88" s="819" t="str">
        <f>IFERROR(VLOOKUP(E88,'liquidaciones '!$B$2:$C$1048576,2,0),"NO")</f>
        <v>LIQUIDADO</v>
      </c>
      <c r="AR88" s="909">
        <f>IFERROR(VLOOKUP(E88,'liquidaciones '!$B$2:$I$1048576,8,0),"")</f>
        <v>0</v>
      </c>
      <c r="AS88" s="310">
        <v>41999</v>
      </c>
      <c r="AT88" s="156" t="str">
        <f t="shared" ca="1" si="22"/>
        <v>NO</v>
      </c>
      <c r="AU88" s="156" t="s">
        <v>1570</v>
      </c>
      <c r="AV88" s="406"/>
      <c r="AW88" s="928"/>
      <c r="AX88" s="928"/>
      <c r="AY88" s="928"/>
    </row>
    <row r="89" spans="1:51" ht="47.25" customHeight="1" x14ac:dyDescent="0.3">
      <c r="A89" s="14">
        <v>4</v>
      </c>
      <c r="B89" s="14">
        <v>83</v>
      </c>
      <c r="C89" s="410"/>
      <c r="D89" s="410" t="str">
        <f t="shared" si="12"/>
        <v>2013</v>
      </c>
      <c r="E89" s="120" t="s">
        <v>82</v>
      </c>
      <c r="F89" s="120" t="s">
        <v>1029</v>
      </c>
      <c r="G89" s="1046">
        <v>830122370</v>
      </c>
      <c r="H89" s="957" t="s">
        <v>463</v>
      </c>
      <c r="I89" s="121">
        <v>4967474</v>
      </c>
      <c r="J89" s="821" t="s">
        <v>5260</v>
      </c>
      <c r="K89" s="122">
        <v>2013</v>
      </c>
      <c r="L89" s="519" t="s">
        <v>1087</v>
      </c>
      <c r="M89" s="123">
        <v>41347</v>
      </c>
      <c r="N89" s="123">
        <v>41652</v>
      </c>
      <c r="O89" s="1099" t="str">
        <f>IF(+Modificaciones!I89=0,"",VLOOKUP(E89,Modificaciones!$B$7:$I$2400,8,0))</f>
        <v/>
      </c>
      <c r="P89" s="115">
        <f>COUNTA(Modificaciones!J89,Modificaciones!L89,Modificaciones!N89,Modificaciones!P89)</f>
        <v>0</v>
      </c>
      <c r="Q89" s="116">
        <f>VLOOKUP(E89,Modificaciones!$B$7:$R$300,17,0)</f>
        <v>0</v>
      </c>
      <c r="R89" s="117">
        <f>COUNTA(Modificaciones!T89,Modificaciones!V89,Modificaciones!X89,Modificaciones!Z89)</f>
        <v>0</v>
      </c>
      <c r="S89" s="118" t="str">
        <f>IF(Modificaciones!AA89=0,"",VLOOKUP(E89,Modificaciones!$B$7:$AA$400,26,0))</f>
        <v/>
      </c>
      <c r="T89" s="119" t="str">
        <f>IF(Modificaciones!AB89=0,"",VLOOKUP(E89,Modificaciones!$B$7:$AB$400,27,0))</f>
        <v/>
      </c>
      <c r="U89" s="1080" t="str">
        <f>+Modificaciones!AC89</f>
        <v/>
      </c>
      <c r="V89" s="825" t="str">
        <f>+Modificaciones!AK89</f>
        <v/>
      </c>
      <c r="W89" s="825">
        <f t="shared" si="17"/>
        <v>41652</v>
      </c>
      <c r="X89" s="59">
        <f t="shared" si="13"/>
        <v>4967474</v>
      </c>
      <c r="Y89" s="151">
        <f>VLOOKUP(E89,Modificaciones!$B$7:$BE$300,56,0)</f>
        <v>4453683</v>
      </c>
      <c r="Z89" s="84">
        <f t="shared" si="14"/>
        <v>513791</v>
      </c>
      <c r="AA89" s="286" t="s">
        <v>1395</v>
      </c>
      <c r="AB89" s="40">
        <f t="shared" si="15"/>
        <v>0.89656896040120193</v>
      </c>
      <c r="AC89" s="40">
        <f t="shared" ca="1" si="18"/>
        <v>1</v>
      </c>
      <c r="AD89" s="41">
        <f t="shared" ca="1" si="19"/>
        <v>0.10343103959879807</v>
      </c>
      <c r="AE89" s="181" t="str">
        <f t="shared" ca="1" si="20"/>
        <v/>
      </c>
      <c r="AF89" s="42" t="str">
        <f t="shared" si="16"/>
        <v>NO</v>
      </c>
      <c r="AG89" s="42"/>
      <c r="AH89" s="152" t="s">
        <v>1255</v>
      </c>
      <c r="AI89" s="275" t="s">
        <v>1467</v>
      </c>
      <c r="AJ89" s="152"/>
      <c r="AL89" s="153"/>
      <c r="AM89" s="160" t="s">
        <v>901</v>
      </c>
      <c r="AN89" s="161" t="str">
        <f t="shared" ca="1" si="21"/>
        <v>TERMINO</v>
      </c>
      <c r="AO89" s="160" t="s">
        <v>576</v>
      </c>
      <c r="AP89" s="155" t="s">
        <v>390</v>
      </c>
      <c r="AQ89" s="819" t="str">
        <f>IFERROR(VLOOKUP(E89,'liquidaciones '!$B$2:$C$1048576,2,0),"NO")</f>
        <v>LIQUIDADO</v>
      </c>
      <c r="AR89" s="909">
        <f>IFERROR(VLOOKUP(E89,'liquidaciones '!$B$2:$I$1048576,8,0),"")</f>
        <v>0</v>
      </c>
      <c r="AS89" s="310">
        <v>42321</v>
      </c>
      <c r="AT89" s="156" t="str">
        <f t="shared" ca="1" si="22"/>
        <v>NO</v>
      </c>
      <c r="AU89" s="156" t="s">
        <v>1570</v>
      </c>
      <c r="AV89" s="406"/>
      <c r="AW89" s="928"/>
      <c r="AX89" s="928"/>
      <c r="AY89" s="928"/>
    </row>
    <row r="90" spans="1:51" ht="47.25" customHeight="1" x14ac:dyDescent="0.3">
      <c r="A90" s="14">
        <v>4</v>
      </c>
      <c r="B90" s="14">
        <v>84</v>
      </c>
      <c r="C90" s="410"/>
      <c r="D90" s="410" t="str">
        <f t="shared" si="12"/>
        <v>2013</v>
      </c>
      <c r="E90" s="120" t="s">
        <v>83</v>
      </c>
      <c r="F90" s="120" t="s">
        <v>84</v>
      </c>
      <c r="G90" s="1046">
        <v>860025639</v>
      </c>
      <c r="H90" s="957" t="s">
        <v>320</v>
      </c>
      <c r="I90" s="121">
        <v>15913500</v>
      </c>
      <c r="J90" s="121" t="s">
        <v>1087</v>
      </c>
      <c r="K90" s="122">
        <v>2013</v>
      </c>
      <c r="L90" s="519" t="s">
        <v>1087</v>
      </c>
      <c r="M90" s="123">
        <v>41367</v>
      </c>
      <c r="N90" s="123">
        <v>41731</v>
      </c>
      <c r="O90" s="1099" t="str">
        <f>IF(+Modificaciones!I90=0,"",VLOOKUP(E90,Modificaciones!$B$7:$I$2400,8,0))</f>
        <v/>
      </c>
      <c r="P90" s="115">
        <f>COUNTA(Modificaciones!J90,Modificaciones!L90,Modificaciones!N90,Modificaciones!P90)</f>
        <v>0</v>
      </c>
      <c r="Q90" s="116">
        <f>VLOOKUP(E90,Modificaciones!$B$7:$R$300,17,0)</f>
        <v>0</v>
      </c>
      <c r="R90" s="117">
        <f>COUNTA(Modificaciones!T90,Modificaciones!V90,Modificaciones!X90,Modificaciones!Z90)</f>
        <v>0</v>
      </c>
      <c r="S90" s="118" t="str">
        <f>IF(Modificaciones!AA90=0,"",VLOOKUP(E90,Modificaciones!$B$7:$AA$400,26,0))</f>
        <v/>
      </c>
      <c r="T90" s="119" t="str">
        <f>IF(Modificaciones!AB90=0,"",VLOOKUP(E90,Modificaciones!$B$7:$AB$400,27,0))</f>
        <v/>
      </c>
      <c r="U90" s="1080" t="str">
        <f>+Modificaciones!AC90</f>
        <v/>
      </c>
      <c r="V90" s="825" t="str">
        <f>+Modificaciones!AK90</f>
        <v/>
      </c>
      <c r="W90" s="825">
        <f t="shared" si="17"/>
        <v>41731</v>
      </c>
      <c r="X90" s="59">
        <f t="shared" si="13"/>
        <v>15913500</v>
      </c>
      <c r="Y90" s="151">
        <f>VLOOKUP(E90,Modificaciones!$B$7:$BE$300,56,0)</f>
        <v>15453868</v>
      </c>
      <c r="Z90" s="84">
        <f t="shared" si="14"/>
        <v>459632</v>
      </c>
      <c r="AA90" s="286"/>
      <c r="AB90" s="40">
        <f t="shared" si="15"/>
        <v>0.971116850472869</v>
      </c>
      <c r="AC90" s="40">
        <f t="shared" ca="1" si="18"/>
        <v>1</v>
      </c>
      <c r="AD90" s="41">
        <f t="shared" ca="1" si="19"/>
        <v>2.8883149527131002E-2</v>
      </c>
      <c r="AE90" s="181" t="str">
        <f t="shared" ca="1" si="20"/>
        <v/>
      </c>
      <c r="AF90" s="42" t="str">
        <f t="shared" si="16"/>
        <v>NO</v>
      </c>
      <c r="AG90" s="42"/>
      <c r="AH90" s="152" t="s">
        <v>1255</v>
      </c>
      <c r="AI90" s="152" t="s">
        <v>1169</v>
      </c>
      <c r="AJ90" s="152" t="s">
        <v>1441</v>
      </c>
      <c r="AK90" s="255" t="s">
        <v>560</v>
      </c>
      <c r="AL90" s="153"/>
      <c r="AM90" s="160" t="s">
        <v>901</v>
      </c>
      <c r="AN90" s="161" t="str">
        <f t="shared" ca="1" si="21"/>
        <v>TERMINO</v>
      </c>
      <c r="AO90" s="160" t="s">
        <v>582</v>
      </c>
      <c r="AP90" s="155" t="s">
        <v>390</v>
      </c>
      <c r="AQ90" s="819" t="str">
        <f>IFERROR(VLOOKUP(E90,'liquidaciones '!$B$2:$C$1048576,2,0),"NO")</f>
        <v>LIQUIDADO</v>
      </c>
      <c r="AR90" s="909">
        <f>IFERROR(VLOOKUP(E90,'liquidaciones '!$B$2:$I$1048576,8,0),"")</f>
        <v>0</v>
      </c>
      <c r="AS90" s="310"/>
      <c r="AT90" s="156" t="str">
        <f t="shared" ca="1" si="22"/>
        <v>NO</v>
      </c>
      <c r="AU90" s="156" t="s">
        <v>1570</v>
      </c>
      <c r="AV90" s="406"/>
      <c r="AW90" s="928"/>
      <c r="AX90" s="928"/>
      <c r="AY90" s="928"/>
    </row>
    <row r="91" spans="1:51" ht="47.25" customHeight="1" x14ac:dyDescent="0.3">
      <c r="A91" s="14">
        <v>4</v>
      </c>
      <c r="B91" s="14">
        <v>85</v>
      </c>
      <c r="C91" s="410"/>
      <c r="D91" s="410" t="str">
        <f t="shared" si="12"/>
        <v>2013</v>
      </c>
      <c r="E91" s="120" t="s">
        <v>85</v>
      </c>
      <c r="F91" s="120" t="s">
        <v>86</v>
      </c>
      <c r="G91" s="1048">
        <v>860001022</v>
      </c>
      <c r="H91" s="957" t="s">
        <v>341</v>
      </c>
      <c r="I91" s="121">
        <v>1197000</v>
      </c>
      <c r="J91" s="121" t="s">
        <v>1087</v>
      </c>
      <c r="K91" s="122">
        <v>2013</v>
      </c>
      <c r="L91" s="519" t="s">
        <v>1087</v>
      </c>
      <c r="M91" s="123">
        <v>41352</v>
      </c>
      <c r="N91" s="123">
        <v>41716</v>
      </c>
      <c r="O91" s="1099" t="str">
        <f>IF(+Modificaciones!I91=0,"",VLOOKUP(E91,Modificaciones!$B$7:$I$2400,8,0))</f>
        <v/>
      </c>
      <c r="P91" s="115">
        <f>COUNTA(Modificaciones!J91,Modificaciones!L91,Modificaciones!N91,Modificaciones!P91)</f>
        <v>0</v>
      </c>
      <c r="Q91" s="116">
        <f>VLOOKUP(E91,Modificaciones!$B$7:$R$300,17,0)</f>
        <v>0</v>
      </c>
      <c r="R91" s="117">
        <f>COUNTA(Modificaciones!T91,Modificaciones!V91,Modificaciones!X91,Modificaciones!Z91)</f>
        <v>0</v>
      </c>
      <c r="S91" s="118" t="str">
        <f>IF(Modificaciones!AA91=0,"",VLOOKUP(E91,Modificaciones!$B$7:$AA$400,26,0))</f>
        <v/>
      </c>
      <c r="T91" s="119" t="str">
        <f>IF(Modificaciones!AB91=0,"",VLOOKUP(E91,Modificaciones!$B$7:$AB$400,27,0))</f>
        <v/>
      </c>
      <c r="U91" s="1080" t="str">
        <f>+Modificaciones!AC91</f>
        <v/>
      </c>
      <c r="V91" s="825" t="str">
        <f>+Modificaciones!AK91</f>
        <v/>
      </c>
      <c r="W91" s="825">
        <f t="shared" si="17"/>
        <v>41716</v>
      </c>
      <c r="X91" s="59">
        <f t="shared" si="13"/>
        <v>1197000</v>
      </c>
      <c r="Y91" s="151">
        <f>VLOOKUP(E91,Modificaciones!$B$7:$BE$300,56,0)</f>
        <v>1197000</v>
      </c>
      <c r="Z91" s="84">
        <f t="shared" si="14"/>
        <v>0</v>
      </c>
      <c r="AA91" s="283" t="s">
        <v>1894</v>
      </c>
      <c r="AB91" s="40">
        <f t="shared" si="15"/>
        <v>1</v>
      </c>
      <c r="AC91" s="40">
        <f t="shared" ca="1" si="18"/>
        <v>1</v>
      </c>
      <c r="AD91" s="41">
        <f t="shared" ca="1" si="19"/>
        <v>0</v>
      </c>
      <c r="AE91" s="181" t="str">
        <f t="shared" ca="1" si="20"/>
        <v/>
      </c>
      <c r="AF91" s="42" t="str">
        <f t="shared" si="16"/>
        <v>SI</v>
      </c>
      <c r="AG91" s="42"/>
      <c r="AH91" s="152" t="s">
        <v>1255</v>
      </c>
      <c r="AI91" s="152" t="s">
        <v>1124</v>
      </c>
      <c r="AJ91" s="152"/>
      <c r="AL91" s="153"/>
      <c r="AM91" s="160" t="s">
        <v>901</v>
      </c>
      <c r="AN91" s="161" t="str">
        <f t="shared" ca="1" si="21"/>
        <v>TERMINO</v>
      </c>
      <c r="AO91" s="160" t="s">
        <v>582</v>
      </c>
      <c r="AP91" s="155" t="s">
        <v>390</v>
      </c>
      <c r="AQ91" s="819" t="str">
        <f>IFERROR(VLOOKUP(E91,'liquidaciones '!$B$2:$C$1048576,2,0),"NO")</f>
        <v>EN TRÁMITE</v>
      </c>
      <c r="AR91" s="909">
        <f>IFERROR(VLOOKUP(E91,'liquidaciones '!$B$2:$I$1048576,8,0),"")</f>
        <v>0</v>
      </c>
      <c r="AS91" s="310"/>
      <c r="AT91" s="156" t="str">
        <f t="shared" ca="1" si="22"/>
        <v>NO</v>
      </c>
      <c r="AU91" s="156" t="s">
        <v>1570</v>
      </c>
      <c r="AV91" s="406"/>
      <c r="AW91" s="928"/>
      <c r="AX91" s="928"/>
      <c r="AY91" s="928"/>
    </row>
    <row r="92" spans="1:51" ht="47.25" customHeight="1" x14ac:dyDescent="0.3">
      <c r="A92" s="14">
        <v>4</v>
      </c>
      <c r="B92" s="14">
        <v>86</v>
      </c>
      <c r="C92" s="410"/>
      <c r="D92" s="410" t="str">
        <f t="shared" si="12"/>
        <v>2013</v>
      </c>
      <c r="E92" s="120" t="s">
        <v>87</v>
      </c>
      <c r="F92" s="120" t="s">
        <v>435</v>
      </c>
      <c r="G92" s="1048">
        <v>900152368</v>
      </c>
      <c r="H92" s="957" t="s">
        <v>318</v>
      </c>
      <c r="I92" s="121">
        <v>8360000</v>
      </c>
      <c r="J92" s="821" t="s">
        <v>5686</v>
      </c>
      <c r="K92" s="122">
        <v>2013</v>
      </c>
      <c r="L92" s="519" t="s">
        <v>1087</v>
      </c>
      <c r="M92" s="123">
        <v>41400</v>
      </c>
      <c r="N92" s="123">
        <v>41764</v>
      </c>
      <c r="O92" s="1099" t="str">
        <f>IF(+Modificaciones!I92=0,"",VLOOKUP(E92,Modificaciones!$B$7:$I$2400,8,0))</f>
        <v/>
      </c>
      <c r="P92" s="115">
        <f>COUNTA(Modificaciones!J92,Modificaciones!L92,Modificaciones!N92,Modificaciones!P92)</f>
        <v>0</v>
      </c>
      <c r="Q92" s="116">
        <f>VLOOKUP(E92,Modificaciones!$B$7:$R$300,17,0)</f>
        <v>0</v>
      </c>
      <c r="R92" s="117">
        <f>COUNTA(Modificaciones!T92,Modificaciones!V92,Modificaciones!X92,Modificaciones!Z92)</f>
        <v>0</v>
      </c>
      <c r="S92" s="118" t="str">
        <f>IF(Modificaciones!AA92=0,"",VLOOKUP(E92,Modificaciones!$B$7:$AA$400,26,0))</f>
        <v/>
      </c>
      <c r="T92" s="119" t="str">
        <f>IF(Modificaciones!AB92=0,"",VLOOKUP(E92,Modificaciones!$B$7:$AB$400,27,0))</f>
        <v/>
      </c>
      <c r="U92" s="1080" t="str">
        <f>+Modificaciones!AC92</f>
        <v/>
      </c>
      <c r="V92" s="825" t="str">
        <f>+Modificaciones!AK92</f>
        <v/>
      </c>
      <c r="W92" s="825">
        <f t="shared" si="17"/>
        <v>41764</v>
      </c>
      <c r="X92" s="59">
        <f t="shared" si="13"/>
        <v>8360000</v>
      </c>
      <c r="Y92" s="151">
        <f>VLOOKUP(E92,Modificaciones!$B$7:$BE$300,56,0)</f>
        <v>7018000</v>
      </c>
      <c r="Z92" s="84">
        <f t="shared" si="14"/>
        <v>1342000</v>
      </c>
      <c r="AA92" s="286" t="s">
        <v>1396</v>
      </c>
      <c r="AB92" s="40">
        <f t="shared" si="15"/>
        <v>0.83947368421052626</v>
      </c>
      <c r="AC92" s="40">
        <f t="shared" ca="1" si="18"/>
        <v>1</v>
      </c>
      <c r="AD92" s="41">
        <f t="shared" ca="1" si="19"/>
        <v>0.16052631578947374</v>
      </c>
      <c r="AE92" s="181" t="str">
        <f t="shared" ca="1" si="20"/>
        <v/>
      </c>
      <c r="AF92" s="42" t="str">
        <f t="shared" si="16"/>
        <v>NO</v>
      </c>
      <c r="AG92" s="42"/>
      <c r="AH92" s="152" t="s">
        <v>1255</v>
      </c>
      <c r="AI92" s="152" t="s">
        <v>1171</v>
      </c>
      <c r="AJ92" s="152"/>
      <c r="AL92" s="153"/>
      <c r="AM92" s="160" t="s">
        <v>901</v>
      </c>
      <c r="AN92" s="161" t="str">
        <f t="shared" ca="1" si="21"/>
        <v>TERMINO</v>
      </c>
      <c r="AO92" s="160" t="s">
        <v>576</v>
      </c>
      <c r="AP92" s="155" t="s">
        <v>390</v>
      </c>
      <c r="AQ92" s="819" t="str">
        <f>IFERROR(VLOOKUP(E92,'liquidaciones '!$B$2:$C$1048576,2,0),"NO")</f>
        <v>LIQUIDADO</v>
      </c>
      <c r="AR92" s="909">
        <f>IFERROR(VLOOKUP(E92,'liquidaciones '!$B$2:$I$1048576,8,0),"")</f>
        <v>0</v>
      </c>
      <c r="AS92" s="310">
        <v>42017</v>
      </c>
      <c r="AT92" s="156" t="str">
        <f t="shared" ca="1" si="22"/>
        <v>NO</v>
      </c>
      <c r="AU92" s="156" t="s">
        <v>1570</v>
      </c>
      <c r="AV92" s="406"/>
      <c r="AW92" s="928"/>
      <c r="AX92" s="928"/>
      <c r="AY92" s="928"/>
    </row>
    <row r="93" spans="1:51" ht="47.25" customHeight="1" x14ac:dyDescent="0.3">
      <c r="A93" s="14">
        <v>4</v>
      </c>
      <c r="B93" s="14">
        <v>87</v>
      </c>
      <c r="C93" s="410"/>
      <c r="D93" s="410" t="str">
        <f t="shared" si="12"/>
        <v>2013</v>
      </c>
      <c r="E93" s="120" t="s">
        <v>88</v>
      </c>
      <c r="F93" s="120" t="s">
        <v>1030</v>
      </c>
      <c r="G93" s="1046">
        <v>800249557</v>
      </c>
      <c r="H93" s="957" t="s">
        <v>342</v>
      </c>
      <c r="I93" s="121">
        <v>3700000</v>
      </c>
      <c r="J93" s="821" t="s">
        <v>4936</v>
      </c>
      <c r="K93" s="122">
        <v>2013</v>
      </c>
      <c r="L93" s="519" t="s">
        <v>1087</v>
      </c>
      <c r="M93" s="123">
        <v>41393</v>
      </c>
      <c r="N93" s="123">
        <v>41545</v>
      </c>
      <c r="O93" s="1099" t="str">
        <f>IF(+Modificaciones!I93=0,"",VLOOKUP(E93,Modificaciones!$B$7:$I$2400,8,0))</f>
        <v/>
      </c>
      <c r="P93" s="115">
        <f>COUNTA(Modificaciones!J93,Modificaciones!L93,Modificaciones!N93,Modificaciones!P93)</f>
        <v>0</v>
      </c>
      <c r="Q93" s="116">
        <f>VLOOKUP(E93,Modificaciones!$B$7:$R$300,17,0)</f>
        <v>0</v>
      </c>
      <c r="R93" s="117">
        <f>COUNTA(Modificaciones!T93,Modificaciones!V93,Modificaciones!X93,Modificaciones!Z93)</f>
        <v>0</v>
      </c>
      <c r="S93" s="118" t="str">
        <f>IF(Modificaciones!AA93=0,"",VLOOKUP(E93,Modificaciones!$B$7:$AA$400,26,0))</f>
        <v/>
      </c>
      <c r="T93" s="119" t="str">
        <f>IF(Modificaciones!AB93=0,"",VLOOKUP(E93,Modificaciones!$B$7:$AB$400,27,0))</f>
        <v/>
      </c>
      <c r="U93" s="1080" t="str">
        <f>+Modificaciones!AC93</f>
        <v/>
      </c>
      <c r="V93" s="825" t="str">
        <f>+Modificaciones!AK93</f>
        <v/>
      </c>
      <c r="W93" s="825">
        <f t="shared" si="17"/>
        <v>41545</v>
      </c>
      <c r="X93" s="59">
        <f t="shared" si="13"/>
        <v>3700000</v>
      </c>
      <c r="Y93" s="151">
        <f>VLOOKUP(E93,Modificaciones!$B$7:$BE$300,56,0)</f>
        <v>3700000</v>
      </c>
      <c r="Z93" s="84">
        <f t="shared" si="14"/>
        <v>0</v>
      </c>
      <c r="AA93" s="286" t="s">
        <v>1405</v>
      </c>
      <c r="AB93" s="40">
        <f t="shared" si="15"/>
        <v>1</v>
      </c>
      <c r="AC93" s="40">
        <f t="shared" ca="1" si="18"/>
        <v>1</v>
      </c>
      <c r="AD93" s="41">
        <f t="shared" ca="1" si="19"/>
        <v>0</v>
      </c>
      <c r="AE93" s="181" t="str">
        <f t="shared" ca="1" si="20"/>
        <v/>
      </c>
      <c r="AF93" s="42" t="str">
        <f t="shared" si="16"/>
        <v>SI</v>
      </c>
      <c r="AG93" s="42"/>
      <c r="AH93" s="152" t="s">
        <v>1255</v>
      </c>
      <c r="AI93" s="152" t="s">
        <v>1290</v>
      </c>
      <c r="AJ93" s="152"/>
      <c r="AL93" s="153"/>
      <c r="AM93" s="160" t="s">
        <v>901</v>
      </c>
      <c r="AN93" s="161" t="str">
        <f t="shared" ca="1" si="21"/>
        <v>TERMINO</v>
      </c>
      <c r="AO93" s="160" t="s">
        <v>582</v>
      </c>
      <c r="AP93" s="155" t="s">
        <v>390</v>
      </c>
      <c r="AQ93" s="819" t="str">
        <f>IFERROR(VLOOKUP(E93,'liquidaciones '!$B$2:$C$1048576,2,0),"NO")</f>
        <v>LIQUIDADO</v>
      </c>
      <c r="AR93" s="909">
        <f>IFERROR(VLOOKUP(E93,'liquidaciones '!$B$2:$I$1048576,8,0),"")</f>
        <v>0</v>
      </c>
      <c r="AS93" s="310">
        <v>41950</v>
      </c>
      <c r="AT93" s="156" t="str">
        <f t="shared" ca="1" si="22"/>
        <v>NO</v>
      </c>
      <c r="AU93" s="156" t="s">
        <v>1570</v>
      </c>
      <c r="AV93" s="406"/>
      <c r="AW93" s="928"/>
      <c r="AX93" s="928"/>
      <c r="AY93" s="928"/>
    </row>
    <row r="94" spans="1:51" ht="63.75" customHeight="1" x14ac:dyDescent="0.3">
      <c r="A94" s="14">
        <v>4</v>
      </c>
      <c r="B94" s="14">
        <v>88</v>
      </c>
      <c r="C94" s="410"/>
      <c r="D94" s="410" t="str">
        <f t="shared" si="12"/>
        <v>2013</v>
      </c>
      <c r="E94" s="120" t="s">
        <v>91</v>
      </c>
      <c r="F94" s="120" t="s">
        <v>1031</v>
      </c>
      <c r="G94" s="1046">
        <v>79843891</v>
      </c>
      <c r="H94" s="957" t="s">
        <v>464</v>
      </c>
      <c r="I94" s="121">
        <v>50000000</v>
      </c>
      <c r="J94" s="821" t="s">
        <v>4031</v>
      </c>
      <c r="K94" s="122">
        <v>2013</v>
      </c>
      <c r="L94" s="519" t="s">
        <v>1087</v>
      </c>
      <c r="M94" s="123">
        <v>41387</v>
      </c>
      <c r="N94" s="123">
        <v>41692</v>
      </c>
      <c r="O94" s="1099" t="str">
        <f>IF(+Modificaciones!I94=0,"",VLOOKUP(E94,Modificaciones!$B$7:$I$2400,8,0))</f>
        <v/>
      </c>
      <c r="P94" s="115">
        <f>COUNTA(Modificaciones!J94,Modificaciones!L94,Modificaciones!N94,Modificaciones!P94)</f>
        <v>0</v>
      </c>
      <c r="Q94" s="116">
        <f>VLOOKUP(E94,Modificaciones!$B$7:$R$300,17,0)</f>
        <v>0</v>
      </c>
      <c r="R94" s="117">
        <f>COUNTA(Modificaciones!T94,Modificaciones!V94,Modificaciones!X94,Modificaciones!Z94)</f>
        <v>0</v>
      </c>
      <c r="S94" s="118" t="str">
        <f>IF(Modificaciones!AA94=0,"",VLOOKUP(E94,Modificaciones!$B$7:$AA$400,26,0))</f>
        <v/>
      </c>
      <c r="T94" s="119" t="str">
        <f>IF(Modificaciones!AB94=0,"",VLOOKUP(E94,Modificaciones!$B$7:$AB$400,27,0))</f>
        <v/>
      </c>
      <c r="U94" s="1080" t="str">
        <f>+Modificaciones!AC94</f>
        <v/>
      </c>
      <c r="V94" s="825" t="str">
        <f>+Modificaciones!AK94</f>
        <v/>
      </c>
      <c r="W94" s="825">
        <f t="shared" si="17"/>
        <v>41692</v>
      </c>
      <c r="X94" s="59">
        <f t="shared" si="13"/>
        <v>50000000</v>
      </c>
      <c r="Y94" s="151">
        <f>VLOOKUP(E94,Modificaciones!$B$7:$BE$300,56,0)</f>
        <v>50000000</v>
      </c>
      <c r="Z94" s="84">
        <f t="shared" si="14"/>
        <v>0</v>
      </c>
      <c r="AA94" s="283" t="s">
        <v>1094</v>
      </c>
      <c r="AB94" s="40">
        <f t="shared" si="15"/>
        <v>1</v>
      </c>
      <c r="AC94" s="40">
        <f t="shared" ca="1" si="18"/>
        <v>1</v>
      </c>
      <c r="AD94" s="41">
        <f t="shared" ca="1" si="19"/>
        <v>0</v>
      </c>
      <c r="AE94" s="181" t="str">
        <f t="shared" ca="1" si="20"/>
        <v/>
      </c>
      <c r="AF94" s="42" t="str">
        <f t="shared" si="16"/>
        <v>SI</v>
      </c>
      <c r="AG94" s="42"/>
      <c r="AH94" s="152" t="s">
        <v>1255</v>
      </c>
      <c r="AI94" s="152" t="s">
        <v>1130</v>
      </c>
      <c r="AJ94" s="152"/>
      <c r="AL94" s="153"/>
      <c r="AM94" s="160" t="s">
        <v>901</v>
      </c>
      <c r="AN94" s="161" t="str">
        <f t="shared" ca="1" si="21"/>
        <v>TERMINO</v>
      </c>
      <c r="AO94" s="160" t="s">
        <v>582</v>
      </c>
      <c r="AP94" s="155" t="s">
        <v>391</v>
      </c>
      <c r="AQ94" s="819" t="str">
        <f>IFERROR(VLOOKUP(E94,'liquidaciones '!$B$2:$C$1048576,2,0),"NO")</f>
        <v>EN TRÁMITE</v>
      </c>
      <c r="AR94" s="909">
        <f>IFERROR(VLOOKUP(E94,'liquidaciones '!$B$2:$I$1048576,8,0),"")</f>
        <v>0</v>
      </c>
      <c r="AS94" s="308">
        <v>41702</v>
      </c>
      <c r="AT94" s="156" t="str">
        <f t="shared" ca="1" si="22"/>
        <v>NO</v>
      </c>
      <c r="AU94" s="156" t="s">
        <v>1570</v>
      </c>
      <c r="AV94" s="406"/>
      <c r="AW94" s="928"/>
      <c r="AX94" s="928"/>
      <c r="AY94" s="928"/>
    </row>
    <row r="95" spans="1:51" ht="47.25" customHeight="1" x14ac:dyDescent="0.3">
      <c r="A95" s="14">
        <v>4</v>
      </c>
      <c r="B95" s="14">
        <v>89</v>
      </c>
      <c r="C95" s="410"/>
      <c r="D95" s="410" t="str">
        <f t="shared" si="12"/>
        <v>2013</v>
      </c>
      <c r="E95" s="120" t="s">
        <v>93</v>
      </c>
      <c r="F95" s="120" t="s">
        <v>1032</v>
      </c>
      <c r="G95" s="1046">
        <v>51931422</v>
      </c>
      <c r="H95" s="957" t="s">
        <v>343</v>
      </c>
      <c r="I95" s="121">
        <v>41600000</v>
      </c>
      <c r="J95" s="821" t="s">
        <v>4587</v>
      </c>
      <c r="K95" s="122">
        <v>2013</v>
      </c>
      <c r="L95" s="519" t="s">
        <v>1087</v>
      </c>
      <c r="M95" s="123">
        <v>41396</v>
      </c>
      <c r="N95" s="123">
        <v>41699</v>
      </c>
      <c r="O95" s="1099" t="str">
        <f>IF(+Modificaciones!I95=0,"",VLOOKUP(E95,Modificaciones!$B$7:$I$2400,8,0))</f>
        <v/>
      </c>
      <c r="P95" s="115">
        <f>COUNTA(Modificaciones!J95,Modificaciones!L95,Modificaciones!N95,Modificaciones!P95)</f>
        <v>0</v>
      </c>
      <c r="Q95" s="116">
        <f>VLOOKUP(E95,Modificaciones!$B$7:$R$300,17,0)</f>
        <v>0</v>
      </c>
      <c r="R95" s="117">
        <f>COUNTA(Modificaciones!T95,Modificaciones!V95,Modificaciones!X95,Modificaciones!Z95)</f>
        <v>0</v>
      </c>
      <c r="S95" s="118" t="str">
        <f>IF(Modificaciones!AA95=0,"",VLOOKUP(E95,Modificaciones!$B$7:$AA$400,26,0))</f>
        <v/>
      </c>
      <c r="T95" s="119" t="str">
        <f>IF(Modificaciones!AB95=0,"",VLOOKUP(E95,Modificaciones!$B$7:$AB$400,27,0))</f>
        <v/>
      </c>
      <c r="U95" s="1080" t="str">
        <f>+Modificaciones!AC95</f>
        <v/>
      </c>
      <c r="V95" s="825" t="str">
        <f>+Modificaciones!AK95</f>
        <v/>
      </c>
      <c r="W95" s="825">
        <f t="shared" si="17"/>
        <v>41699</v>
      </c>
      <c r="X95" s="59">
        <f t="shared" si="13"/>
        <v>41600000</v>
      </c>
      <c r="Y95" s="151">
        <f>VLOOKUP(E95,Modificaciones!$B$7:$BE$300,56,0)</f>
        <v>41600000</v>
      </c>
      <c r="Z95" s="84">
        <f t="shared" si="14"/>
        <v>0</v>
      </c>
      <c r="AA95" s="283" t="s">
        <v>1094</v>
      </c>
      <c r="AB95" s="40">
        <f t="shared" si="15"/>
        <v>1</v>
      </c>
      <c r="AC95" s="40">
        <f t="shared" ca="1" si="18"/>
        <v>1</v>
      </c>
      <c r="AD95" s="41">
        <f t="shared" ca="1" si="19"/>
        <v>0</v>
      </c>
      <c r="AE95" s="181" t="str">
        <f t="shared" ca="1" si="20"/>
        <v/>
      </c>
      <c r="AF95" s="42" t="str">
        <f t="shared" si="16"/>
        <v>SI</v>
      </c>
      <c r="AG95" s="42"/>
      <c r="AH95" s="152" t="s">
        <v>1255</v>
      </c>
      <c r="AI95" s="152" t="s">
        <v>1130</v>
      </c>
      <c r="AJ95" s="152"/>
      <c r="AL95" s="153"/>
      <c r="AM95" s="160" t="s">
        <v>901</v>
      </c>
      <c r="AN95" s="161" t="str">
        <f t="shared" ca="1" si="21"/>
        <v>TERMINO</v>
      </c>
      <c r="AO95" s="160" t="s">
        <v>582</v>
      </c>
      <c r="AP95" s="155" t="s">
        <v>391</v>
      </c>
      <c r="AQ95" s="819" t="str">
        <f>IFERROR(VLOOKUP(E95,'liquidaciones '!$B$2:$C$1048576,2,0),"NO")</f>
        <v>LIQUIDADO</v>
      </c>
      <c r="AR95" s="909" t="str">
        <f>IFERROR(VLOOKUP(E95,'liquidaciones '!$B$2:$I$1048576,8,0),"")</f>
        <v>JUAN DIEGO ESPITIA</v>
      </c>
      <c r="AS95" s="308">
        <v>41845</v>
      </c>
      <c r="AT95" s="156" t="str">
        <f t="shared" ca="1" si="22"/>
        <v>NO</v>
      </c>
      <c r="AU95" s="156" t="s">
        <v>1570</v>
      </c>
      <c r="AV95" s="406"/>
      <c r="AW95" s="928"/>
      <c r="AX95" s="928"/>
      <c r="AY95" s="928"/>
    </row>
    <row r="96" spans="1:51" ht="47.25" customHeight="1" x14ac:dyDescent="0.3">
      <c r="A96" s="14">
        <v>4</v>
      </c>
      <c r="B96" s="14">
        <v>90</v>
      </c>
      <c r="C96" s="410"/>
      <c r="D96" s="410" t="str">
        <f t="shared" si="12"/>
        <v>2013</v>
      </c>
      <c r="E96" s="120" t="s">
        <v>94</v>
      </c>
      <c r="F96" s="120" t="s">
        <v>433</v>
      </c>
      <c r="G96" s="1047">
        <v>899999115</v>
      </c>
      <c r="H96" s="957" t="s">
        <v>344</v>
      </c>
      <c r="I96" s="121">
        <v>160000000</v>
      </c>
      <c r="J96" s="121" t="s">
        <v>1087</v>
      </c>
      <c r="K96" s="122">
        <v>2013</v>
      </c>
      <c r="L96" s="519" t="s">
        <v>1087</v>
      </c>
      <c r="M96" s="123">
        <v>41411</v>
      </c>
      <c r="N96" s="123">
        <v>41477</v>
      </c>
      <c r="O96" s="1099" t="str">
        <f>IF(+Modificaciones!I96=0,"",VLOOKUP(E96,Modificaciones!$B$7:$I$2400,8,0))</f>
        <v/>
      </c>
      <c r="P96" s="115">
        <f>COUNTA(Modificaciones!J96,Modificaciones!L96,Modificaciones!N96,Modificaciones!P96)</f>
        <v>1</v>
      </c>
      <c r="Q96" s="116">
        <f>VLOOKUP(E96,Modificaciones!$B$7:$R$300,17,0)</f>
        <v>80000000</v>
      </c>
      <c r="R96" s="117">
        <f>COUNTA(Modificaciones!T96,Modificaciones!V96,Modificaciones!X96,Modificaciones!Z96)</f>
        <v>1</v>
      </c>
      <c r="S96" s="118" t="str">
        <f>IF(Modificaciones!AA96=0,"",VLOOKUP(E96,Modificaciones!$B$7:$AA$400,26,0))</f>
        <v>1 mes</v>
      </c>
      <c r="T96" s="119">
        <f>IF(Modificaciones!AB96=0,"",VLOOKUP(E96,Modificaciones!$B$7:$AB$400,27,0))</f>
        <v>41508</v>
      </c>
      <c r="U96" s="1080" t="str">
        <f>+Modificaciones!AC96</f>
        <v/>
      </c>
      <c r="V96" s="825" t="str">
        <f>+Modificaciones!AK96</f>
        <v/>
      </c>
      <c r="W96" s="825">
        <f t="shared" si="17"/>
        <v>41508</v>
      </c>
      <c r="X96" s="59">
        <f t="shared" si="13"/>
        <v>240000000</v>
      </c>
      <c r="Y96" s="151">
        <f>VLOOKUP(E96,Modificaciones!$B$7:$BE$300,56,0)</f>
        <v>239999964</v>
      </c>
      <c r="Z96" s="84">
        <f t="shared" si="14"/>
        <v>36</v>
      </c>
      <c r="AA96" s="286" t="s">
        <v>1406</v>
      </c>
      <c r="AB96" s="40">
        <f t="shared" si="15"/>
        <v>0.99999985000000002</v>
      </c>
      <c r="AC96" s="40">
        <f t="shared" ca="1" si="18"/>
        <v>1</v>
      </c>
      <c r="AD96" s="41">
        <f t="shared" ca="1" si="19"/>
        <v>1.4999999997655777E-7</v>
      </c>
      <c r="AE96" s="181" t="str">
        <f t="shared" ca="1" si="20"/>
        <v/>
      </c>
      <c r="AF96" s="42" t="str">
        <f t="shared" si="16"/>
        <v>SI</v>
      </c>
      <c r="AG96" s="42"/>
      <c r="AH96" s="152" t="s">
        <v>1256</v>
      </c>
      <c r="AI96" s="152" t="s">
        <v>1277</v>
      </c>
      <c r="AJ96" s="152"/>
      <c r="AL96" s="153"/>
      <c r="AM96" s="160" t="s">
        <v>996</v>
      </c>
      <c r="AN96" s="161" t="str">
        <f t="shared" ca="1" si="21"/>
        <v>TERMINO</v>
      </c>
      <c r="AO96" s="160" t="s">
        <v>582</v>
      </c>
      <c r="AP96" s="155" t="s">
        <v>390</v>
      </c>
      <c r="AQ96" s="819" t="str">
        <f>IFERROR(VLOOKUP(E96,'liquidaciones '!$B$2:$C$1048576,2,0),"NO")</f>
        <v>NO</v>
      </c>
      <c r="AR96" s="909" t="str">
        <f>IFERROR(VLOOKUP(E96,'liquidaciones '!$B$2:$I$1048576,8,0),"")</f>
        <v/>
      </c>
      <c r="AS96" s="310"/>
      <c r="AT96" s="156" t="str">
        <f t="shared" ca="1" si="22"/>
        <v>NO</v>
      </c>
      <c r="AU96" s="156" t="s">
        <v>1570</v>
      </c>
      <c r="AV96" s="406"/>
      <c r="AW96" s="928"/>
      <c r="AX96" s="928"/>
      <c r="AY96" s="928"/>
    </row>
    <row r="97" spans="1:51" ht="47.25" customHeight="1" x14ac:dyDescent="0.3">
      <c r="A97" s="14">
        <v>4</v>
      </c>
      <c r="B97" s="14">
        <v>91</v>
      </c>
      <c r="C97" s="410"/>
      <c r="D97" s="410" t="str">
        <f t="shared" si="12"/>
        <v>2013</v>
      </c>
      <c r="E97" s="120" t="s">
        <v>95</v>
      </c>
      <c r="F97" s="120" t="s">
        <v>41</v>
      </c>
      <c r="G97" s="1048">
        <v>830034865</v>
      </c>
      <c r="H97" s="957" t="s">
        <v>458</v>
      </c>
      <c r="I97" s="121">
        <v>55784000</v>
      </c>
      <c r="J97" s="821" t="s">
        <v>5701</v>
      </c>
      <c r="K97" s="122">
        <v>2013</v>
      </c>
      <c r="L97" s="519" t="s">
        <v>1087</v>
      </c>
      <c r="M97" s="124">
        <v>41403</v>
      </c>
      <c r="N97" s="124">
        <v>41678</v>
      </c>
      <c r="O97" s="1099" t="str">
        <f>IF(+Modificaciones!I97=0,"",VLOOKUP(E97,Modificaciones!$B$7:$I$2400,8,0))</f>
        <v/>
      </c>
      <c r="P97" s="115">
        <f>COUNTA(Modificaciones!J97,Modificaciones!L97,Modificaciones!N97,Modificaciones!P97)</f>
        <v>1</v>
      </c>
      <c r="Q97" s="116">
        <f>VLOOKUP(E97,Modificaciones!$B$7:$R$300,17,0)</f>
        <v>11395000</v>
      </c>
      <c r="R97" s="117">
        <f>COUNTA(Modificaciones!T97,Modificaciones!V97,Modificaciones!X97,Modificaciones!Z97)</f>
        <v>3</v>
      </c>
      <c r="S97" s="118" t="str">
        <f>IF(Modificaciones!AA97=0,"",VLOOKUP(E97,Modificaciones!$B$7:$AA$400,26,0))</f>
        <v>7 meses</v>
      </c>
      <c r="T97" s="119">
        <f>IF(Modificaciones!AB97=0,"",VLOOKUP(E97,Modificaciones!$B$7:$AB$400,27,0))</f>
        <v>41890</v>
      </c>
      <c r="U97" s="1080" t="str">
        <f>+Modificaciones!AC97</f>
        <v/>
      </c>
      <c r="V97" s="825" t="str">
        <f>+Modificaciones!AK97</f>
        <v/>
      </c>
      <c r="W97" s="825">
        <f t="shared" si="17"/>
        <v>41890</v>
      </c>
      <c r="X97" s="59">
        <f t="shared" si="13"/>
        <v>67179000</v>
      </c>
      <c r="Y97" s="151">
        <f>VLOOKUP(E97,Modificaciones!$B$7:$BE$300,56,0)</f>
        <v>67115300</v>
      </c>
      <c r="Z97" s="84">
        <f t="shared" si="14"/>
        <v>63700</v>
      </c>
      <c r="AA97" s="283" t="s">
        <v>1094</v>
      </c>
      <c r="AB97" s="40">
        <f t="shared" si="15"/>
        <v>0.9990517870167761</v>
      </c>
      <c r="AC97" s="40">
        <f t="shared" ca="1" si="18"/>
        <v>1</v>
      </c>
      <c r="AD97" s="41">
        <f t="shared" ca="1" si="19"/>
        <v>9.4821298322389502E-4</v>
      </c>
      <c r="AE97" s="181" t="str">
        <f t="shared" ca="1" si="20"/>
        <v/>
      </c>
      <c r="AF97" s="42" t="str">
        <f t="shared" si="16"/>
        <v>SI</v>
      </c>
      <c r="AG97" s="42"/>
      <c r="AH97" s="152" t="s">
        <v>1255</v>
      </c>
      <c r="AI97" s="152" t="s">
        <v>1283</v>
      </c>
      <c r="AJ97" s="152"/>
      <c r="AL97" s="153"/>
      <c r="AM97" s="160" t="s">
        <v>901</v>
      </c>
      <c r="AN97" s="161" t="str">
        <f t="shared" ca="1" si="21"/>
        <v>TERMINO</v>
      </c>
      <c r="AO97" s="160" t="s">
        <v>577</v>
      </c>
      <c r="AP97" s="155" t="s">
        <v>390</v>
      </c>
      <c r="AQ97" s="819" t="str">
        <f>IFERROR(VLOOKUP(E97,'liquidaciones '!$B$2:$C$1048576,2,0),"NO")</f>
        <v>LIQUIDADO</v>
      </c>
      <c r="AR97" s="909">
        <f>IFERROR(VLOOKUP(E97,'liquidaciones '!$B$2:$I$1048576,8,0),"")</f>
        <v>0</v>
      </c>
      <c r="AS97" s="310">
        <v>42150</v>
      </c>
      <c r="AT97" s="156" t="str">
        <f t="shared" ca="1" si="22"/>
        <v>NO</v>
      </c>
      <c r="AU97" s="156" t="s">
        <v>1570</v>
      </c>
      <c r="AV97" s="406"/>
      <c r="AW97" s="928"/>
      <c r="AX97" s="928"/>
      <c r="AY97" s="928"/>
    </row>
    <row r="98" spans="1:51" ht="47.25" customHeight="1" x14ac:dyDescent="0.3">
      <c r="A98" s="14">
        <v>4</v>
      </c>
      <c r="B98" s="14">
        <v>92</v>
      </c>
      <c r="C98" s="410"/>
      <c r="D98" s="410" t="str">
        <f t="shared" si="12"/>
        <v>2013</v>
      </c>
      <c r="E98" s="120" t="s">
        <v>96</v>
      </c>
      <c r="F98" s="120" t="s">
        <v>3</v>
      </c>
      <c r="G98" s="1048">
        <v>830095213</v>
      </c>
      <c r="H98" s="957" t="s">
        <v>456</v>
      </c>
      <c r="I98" s="121">
        <v>351295000</v>
      </c>
      <c r="J98" s="821" t="s">
        <v>4402</v>
      </c>
      <c r="K98" s="122">
        <v>2013</v>
      </c>
      <c r="L98" s="519" t="s">
        <v>1087</v>
      </c>
      <c r="M98" s="124">
        <v>41426</v>
      </c>
      <c r="N98" s="124">
        <v>41671</v>
      </c>
      <c r="O98" s="1099" t="str">
        <f>IF(+Modificaciones!I98=0,"",VLOOKUP(E98,Modificaciones!$B$7:$I$2400,8,0))</f>
        <v/>
      </c>
      <c r="P98" s="115">
        <f>COUNTA(Modificaciones!J98,Modificaciones!L98,Modificaciones!N98,Modificaciones!P98)</f>
        <v>2</v>
      </c>
      <c r="Q98" s="116">
        <f>VLOOKUP(E98,Modificaciones!$B$7:$R$300,17,0)</f>
        <v>121839060</v>
      </c>
      <c r="R98" s="117">
        <f>COUNTA(Modificaciones!T98,Modificaciones!V98,Modificaciones!X98,Modificaciones!Z98)</f>
        <v>3</v>
      </c>
      <c r="S98" s="118" t="str">
        <f>IF(Modificaciones!AA98=0,"",VLOOKUP(E98,Modificaciones!$B$7:$AA$400,26,0))</f>
        <v>5 meses</v>
      </c>
      <c r="T98" s="119">
        <f>IF(Modificaciones!AB98=0,"",VLOOKUP(E98,Modificaciones!$B$7:$AB$400,27,0))</f>
        <v>41820</v>
      </c>
      <c r="U98" s="1080" t="str">
        <f>+Modificaciones!AC98</f>
        <v/>
      </c>
      <c r="V98" s="825" t="str">
        <f>+Modificaciones!AK98</f>
        <v/>
      </c>
      <c r="W98" s="825">
        <f t="shared" si="17"/>
        <v>41820</v>
      </c>
      <c r="X98" s="59">
        <f t="shared" si="13"/>
        <v>473134060</v>
      </c>
      <c r="Y98" s="151">
        <f>VLOOKUP(E98,Modificaciones!$B$7:$BE$300,56,0)</f>
        <v>473133510</v>
      </c>
      <c r="Z98" s="84">
        <f t="shared" si="14"/>
        <v>550</v>
      </c>
      <c r="AA98" s="283" t="s">
        <v>1094</v>
      </c>
      <c r="AB98" s="40">
        <f t="shared" si="15"/>
        <v>0.99999883753877283</v>
      </c>
      <c r="AC98" s="40">
        <f t="shared" ca="1" si="18"/>
        <v>1</v>
      </c>
      <c r="AD98" s="41">
        <f t="shared" ca="1" si="19"/>
        <v>1.1624612271665669E-6</v>
      </c>
      <c r="AE98" s="181" t="str">
        <f t="shared" ca="1" si="20"/>
        <v/>
      </c>
      <c r="AF98" s="42" t="str">
        <f t="shared" si="16"/>
        <v>SI</v>
      </c>
      <c r="AG98" s="42"/>
      <c r="AH98" s="152" t="s">
        <v>1255</v>
      </c>
      <c r="AI98" s="152" t="s">
        <v>1138</v>
      </c>
      <c r="AJ98" s="152" t="s">
        <v>1441</v>
      </c>
      <c r="AK98" s="255" t="s">
        <v>560</v>
      </c>
      <c r="AL98" s="153" t="s">
        <v>1318</v>
      </c>
      <c r="AM98" s="160" t="s">
        <v>901</v>
      </c>
      <c r="AN98" s="161" t="str">
        <f t="shared" ca="1" si="21"/>
        <v>TERMINO</v>
      </c>
      <c r="AO98" s="160" t="s">
        <v>574</v>
      </c>
      <c r="AP98" s="155" t="s">
        <v>390</v>
      </c>
      <c r="AQ98" s="819" t="str">
        <f>IFERROR(VLOOKUP(E98,'liquidaciones '!$B$2:$C$1048576,2,0),"NO")</f>
        <v>LIQUIDADO</v>
      </c>
      <c r="AR98" s="909">
        <f>IFERROR(VLOOKUP(E98,'liquidaciones '!$B$2:$I$1048576,8,0),"")</f>
        <v>0</v>
      </c>
      <c r="AS98" s="310"/>
      <c r="AT98" s="156" t="str">
        <f t="shared" ca="1" si="22"/>
        <v>NO</v>
      </c>
      <c r="AU98" s="156" t="s">
        <v>1570</v>
      </c>
      <c r="AV98" s="406"/>
      <c r="AW98" s="928"/>
      <c r="AX98" s="928"/>
      <c r="AY98" s="928"/>
    </row>
    <row r="99" spans="1:51" ht="47.25" customHeight="1" x14ac:dyDescent="0.3">
      <c r="A99" s="14">
        <v>4</v>
      </c>
      <c r="B99" s="14">
        <v>93</v>
      </c>
      <c r="C99" s="410"/>
      <c r="D99" s="410" t="str">
        <f t="shared" si="12"/>
        <v>2013</v>
      </c>
      <c r="E99" s="120" t="s">
        <v>97</v>
      </c>
      <c r="F99" s="120" t="s">
        <v>98</v>
      </c>
      <c r="G99" s="1046">
        <v>830070625</v>
      </c>
      <c r="H99" s="957" t="s">
        <v>345</v>
      </c>
      <c r="I99" s="121">
        <v>2096276</v>
      </c>
      <c r="J99" s="821" t="s">
        <v>3990</v>
      </c>
      <c r="K99" s="122">
        <v>2013</v>
      </c>
      <c r="L99" s="519" t="s">
        <v>1087</v>
      </c>
      <c r="M99" s="124">
        <v>41417</v>
      </c>
      <c r="N99" s="124">
        <v>41692</v>
      </c>
      <c r="O99" s="1099" t="str">
        <f>IF(+Modificaciones!I99=0,"",VLOOKUP(E99,Modificaciones!$B$7:$I$2400,8,0))</f>
        <v/>
      </c>
      <c r="P99" s="115">
        <f>COUNTA(Modificaciones!J99,Modificaciones!L99,Modificaciones!N99,Modificaciones!P99)</f>
        <v>0</v>
      </c>
      <c r="Q99" s="116">
        <f>VLOOKUP(E99,Modificaciones!$B$7:$R$300,17,0)</f>
        <v>0</v>
      </c>
      <c r="R99" s="117">
        <f>COUNTA(Modificaciones!T99,Modificaciones!V99,Modificaciones!X99,Modificaciones!Z99)</f>
        <v>0</v>
      </c>
      <c r="S99" s="118" t="str">
        <f>IF(Modificaciones!AA99=0,"",VLOOKUP(E99,Modificaciones!$B$7:$AA$400,26,0))</f>
        <v/>
      </c>
      <c r="T99" s="119" t="str">
        <f>IF(Modificaciones!AB99=0,"",VLOOKUP(E99,Modificaciones!$B$7:$AB$400,27,0))</f>
        <v/>
      </c>
      <c r="U99" s="1080" t="str">
        <f>+Modificaciones!AC99</f>
        <v/>
      </c>
      <c r="V99" s="825" t="str">
        <f>+Modificaciones!AK99</f>
        <v/>
      </c>
      <c r="W99" s="825">
        <f t="shared" si="17"/>
        <v>41692</v>
      </c>
      <c r="X99" s="59">
        <f t="shared" si="13"/>
        <v>2096276</v>
      </c>
      <c r="Y99" s="151">
        <f>VLOOKUP(E99,Modificaciones!$B$7:$BE$300,56,0)</f>
        <v>2086672</v>
      </c>
      <c r="Z99" s="84">
        <f t="shared" si="14"/>
        <v>9604</v>
      </c>
      <c r="AA99" s="286" t="s">
        <v>1397</v>
      </c>
      <c r="AB99" s="40">
        <f t="shared" si="15"/>
        <v>0.99541854221486104</v>
      </c>
      <c r="AC99" s="40">
        <f t="shared" ca="1" si="18"/>
        <v>1</v>
      </c>
      <c r="AD99" s="41">
        <f t="shared" ca="1" si="19"/>
        <v>4.5814577851389648E-3</v>
      </c>
      <c r="AE99" s="181" t="str">
        <f t="shared" ca="1" si="20"/>
        <v/>
      </c>
      <c r="AF99" s="42" t="str">
        <f t="shared" si="16"/>
        <v>NO</v>
      </c>
      <c r="AG99" s="42"/>
      <c r="AH99" s="152" t="s">
        <v>1255</v>
      </c>
      <c r="AI99" s="152" t="s">
        <v>1382</v>
      </c>
      <c r="AJ99" s="152" t="s">
        <v>1441</v>
      </c>
      <c r="AK99" s="255" t="s">
        <v>560</v>
      </c>
      <c r="AL99" s="153"/>
      <c r="AM99" s="160" t="s">
        <v>901</v>
      </c>
      <c r="AN99" s="161" t="str">
        <f t="shared" ca="1" si="21"/>
        <v>TERMINO</v>
      </c>
      <c r="AO99" s="160" t="s">
        <v>576</v>
      </c>
      <c r="AP99" s="155" t="s">
        <v>390</v>
      </c>
      <c r="AQ99" s="819" t="str">
        <f>IFERROR(VLOOKUP(E99,'liquidaciones '!$B$2:$C$1048576,2,0),"NO")</f>
        <v>LIQUIDADO</v>
      </c>
      <c r="AR99" s="909">
        <f>IFERROR(VLOOKUP(E99,'liquidaciones '!$B$2:$I$1048576,8,0),"")</f>
        <v>0</v>
      </c>
      <c r="AS99" s="310">
        <v>41982</v>
      </c>
      <c r="AT99" s="156" t="str">
        <f t="shared" ca="1" si="22"/>
        <v>NO</v>
      </c>
      <c r="AU99" s="156" t="s">
        <v>1570</v>
      </c>
      <c r="AV99" s="406"/>
      <c r="AW99" s="928"/>
      <c r="AX99" s="928"/>
      <c r="AY99" s="928"/>
    </row>
    <row r="100" spans="1:51" ht="47.25" customHeight="1" x14ac:dyDescent="0.3">
      <c r="A100" s="14">
        <v>4</v>
      </c>
      <c r="B100" s="14">
        <v>94</v>
      </c>
      <c r="C100" s="410"/>
      <c r="D100" s="410" t="str">
        <f t="shared" si="12"/>
        <v>2013</v>
      </c>
      <c r="E100" s="120" t="s">
        <v>99</v>
      </c>
      <c r="F100" s="120" t="s">
        <v>100</v>
      </c>
      <c r="G100" s="1046">
        <v>860019063</v>
      </c>
      <c r="H100" s="957" t="s">
        <v>465</v>
      </c>
      <c r="I100" s="121">
        <v>12594000</v>
      </c>
      <c r="J100" s="821" t="s">
        <v>5700</v>
      </c>
      <c r="K100" s="122">
        <v>2013</v>
      </c>
      <c r="L100" s="519" t="s">
        <v>1087</v>
      </c>
      <c r="M100" s="124">
        <v>41416</v>
      </c>
      <c r="N100" s="124">
        <v>41660</v>
      </c>
      <c r="O100" s="1099" t="str">
        <f>IF(+Modificaciones!I100=0,"",VLOOKUP(E100,Modificaciones!$B$7:$I$2400,8,0))</f>
        <v/>
      </c>
      <c r="P100" s="115">
        <f>COUNTA(Modificaciones!J100,Modificaciones!L100,Modificaciones!N100,Modificaciones!P100)</f>
        <v>1</v>
      </c>
      <c r="Q100" s="116">
        <f>VLOOKUP(E100,Modificaciones!$B$7:$R$300,17,0)</f>
        <v>6150000</v>
      </c>
      <c r="R100" s="117">
        <f>COUNTA(Modificaciones!T100,Modificaciones!V100,Modificaciones!X100,Modificaciones!Z100)</f>
        <v>0</v>
      </c>
      <c r="S100" s="118" t="str">
        <f>IF(Modificaciones!AA100=0,"",VLOOKUP(E100,Modificaciones!$B$7:$AA$400,26,0))</f>
        <v/>
      </c>
      <c r="T100" s="119" t="str">
        <f>IF(Modificaciones!AB100=0,"",VLOOKUP(E100,Modificaciones!$B$7:$AB$400,27,0))</f>
        <v/>
      </c>
      <c r="U100" s="1080" t="str">
        <f>+Modificaciones!AC100</f>
        <v/>
      </c>
      <c r="V100" s="825" t="str">
        <f>+Modificaciones!AK100</f>
        <v/>
      </c>
      <c r="W100" s="825">
        <f t="shared" si="17"/>
        <v>41660</v>
      </c>
      <c r="X100" s="59">
        <f t="shared" si="13"/>
        <v>18744000</v>
      </c>
      <c r="Y100" s="151">
        <f>VLOOKUP(E100,Modificaciones!$B$7:$BE$300,56,0)</f>
        <v>18286734</v>
      </c>
      <c r="Z100" s="84">
        <f t="shared" si="14"/>
        <v>457266</v>
      </c>
      <c r="AA100" s="286" t="s">
        <v>1398</v>
      </c>
      <c r="AB100" s="40">
        <f t="shared" si="15"/>
        <v>0.9756046734955186</v>
      </c>
      <c r="AC100" s="40">
        <f t="shared" ca="1" si="18"/>
        <v>1</v>
      </c>
      <c r="AD100" s="41">
        <f t="shared" ca="1" si="19"/>
        <v>2.4395326504481396E-2</v>
      </c>
      <c r="AE100" s="181" t="str">
        <f t="shared" ca="1" si="20"/>
        <v/>
      </c>
      <c r="AF100" s="42" t="str">
        <f t="shared" si="16"/>
        <v>NO</v>
      </c>
      <c r="AG100" s="42"/>
      <c r="AH100" s="152" t="s">
        <v>1255</v>
      </c>
      <c r="AI100" s="152" t="s">
        <v>1125</v>
      </c>
      <c r="AJ100" s="152" t="s">
        <v>1441</v>
      </c>
      <c r="AK100" s="255" t="s">
        <v>560</v>
      </c>
      <c r="AL100" s="153"/>
      <c r="AM100" s="160" t="s">
        <v>901</v>
      </c>
      <c r="AN100" s="161" t="str">
        <f t="shared" ca="1" si="21"/>
        <v>TERMINO</v>
      </c>
      <c r="AO100" s="160" t="s">
        <v>576</v>
      </c>
      <c r="AP100" s="155" t="s">
        <v>390</v>
      </c>
      <c r="AQ100" s="819" t="str">
        <f>IFERROR(VLOOKUP(E100,'liquidaciones '!$B$2:$C$1048576,2,0),"NO")</f>
        <v>NO</v>
      </c>
      <c r="AR100" s="909" t="str">
        <f>IFERROR(VLOOKUP(E100,'liquidaciones '!$B$2:$I$1048576,8,0),"")</f>
        <v/>
      </c>
      <c r="AS100" s="310"/>
      <c r="AT100" s="156" t="str">
        <f t="shared" ca="1" si="22"/>
        <v>NO</v>
      </c>
      <c r="AU100" s="156" t="s">
        <v>1570</v>
      </c>
      <c r="AV100" s="406"/>
      <c r="AW100" s="928"/>
      <c r="AX100" s="928"/>
      <c r="AY100" s="928"/>
    </row>
    <row r="101" spans="1:51" ht="47.25" customHeight="1" x14ac:dyDescent="0.3">
      <c r="A101" s="14">
        <v>4</v>
      </c>
      <c r="B101" s="14">
        <v>95</v>
      </c>
      <c r="C101" s="410"/>
      <c r="D101" s="410" t="str">
        <f t="shared" si="12"/>
        <v>2013</v>
      </c>
      <c r="E101" s="120" t="s">
        <v>121</v>
      </c>
      <c r="F101" s="120" t="s">
        <v>15</v>
      </c>
      <c r="G101" s="1046">
        <v>830067096</v>
      </c>
      <c r="H101" s="957" t="s">
        <v>353</v>
      </c>
      <c r="I101" s="126">
        <v>7740000</v>
      </c>
      <c r="J101" s="821" t="s">
        <v>4409</v>
      </c>
      <c r="K101" s="122">
        <v>2013</v>
      </c>
      <c r="L101" s="519" t="s">
        <v>1087</v>
      </c>
      <c r="M101" s="124">
        <v>41410</v>
      </c>
      <c r="N101" s="124">
        <v>41774</v>
      </c>
      <c r="O101" s="1099" t="str">
        <f>IF(+Modificaciones!I101=0,"",VLOOKUP(E101,Modificaciones!$B$7:$I$2400,8,0))</f>
        <v/>
      </c>
      <c r="P101" s="115">
        <f>COUNTA(Modificaciones!J101,Modificaciones!L101,Modificaciones!N101,Modificaciones!P101)</f>
        <v>0</v>
      </c>
      <c r="Q101" s="116">
        <f>VLOOKUP(E101,Modificaciones!$B$7:$R$300,17,0)</f>
        <v>0</v>
      </c>
      <c r="R101" s="117">
        <f>COUNTA(Modificaciones!T101,Modificaciones!V101,Modificaciones!X101,Modificaciones!Z101)</f>
        <v>0</v>
      </c>
      <c r="S101" s="118" t="str">
        <f>IF(Modificaciones!AA101=0,"",VLOOKUP(E101,Modificaciones!$B$7:$AA$400,26,0))</f>
        <v/>
      </c>
      <c r="T101" s="119" t="str">
        <f>IF(Modificaciones!AB101=0,"",VLOOKUP(E101,Modificaciones!$B$7:$AB$400,27,0))</f>
        <v/>
      </c>
      <c r="U101" s="1080" t="str">
        <f>+Modificaciones!AC101</f>
        <v/>
      </c>
      <c r="V101" s="825" t="str">
        <f>+Modificaciones!AK101</f>
        <v/>
      </c>
      <c r="W101" s="825">
        <f t="shared" si="17"/>
        <v>41774</v>
      </c>
      <c r="X101" s="59">
        <f t="shared" si="13"/>
        <v>7740000</v>
      </c>
      <c r="Y101" s="151">
        <f>VLOOKUP(E101,Modificaciones!$B$7:$BE$300,56,0)</f>
        <v>7740000</v>
      </c>
      <c r="Z101" s="84">
        <f t="shared" si="14"/>
        <v>0</v>
      </c>
      <c r="AA101" s="286"/>
      <c r="AB101" s="40">
        <f t="shared" si="15"/>
        <v>1</v>
      </c>
      <c r="AC101" s="40">
        <f t="shared" ca="1" si="18"/>
        <v>1</v>
      </c>
      <c r="AD101" s="41">
        <f t="shared" ca="1" si="19"/>
        <v>0</v>
      </c>
      <c r="AE101" s="181" t="str">
        <f t="shared" ca="1" si="20"/>
        <v/>
      </c>
      <c r="AF101" s="42" t="str">
        <f t="shared" si="16"/>
        <v>SI</v>
      </c>
      <c r="AG101" s="42"/>
      <c r="AH101" s="152" t="s">
        <v>1255</v>
      </c>
      <c r="AI101" s="152" t="s">
        <v>1124</v>
      </c>
      <c r="AJ101" s="152"/>
      <c r="AL101" s="153"/>
      <c r="AM101" s="160" t="s">
        <v>901</v>
      </c>
      <c r="AN101" s="161" t="str">
        <f t="shared" ca="1" si="21"/>
        <v>TERMINO</v>
      </c>
      <c r="AO101" s="160" t="s">
        <v>582</v>
      </c>
      <c r="AP101" s="155" t="s">
        <v>390</v>
      </c>
      <c r="AQ101" s="819" t="str">
        <f>IFERROR(VLOOKUP(E101,'liquidaciones '!$B$2:$C$1048576,2,0),"NO")</f>
        <v>LIQUIDADO</v>
      </c>
      <c r="AR101" s="909">
        <f>IFERROR(VLOOKUP(E101,'liquidaciones '!$B$2:$I$1048576,8,0),"")</f>
        <v>0</v>
      </c>
      <c r="AS101" s="310">
        <v>42004</v>
      </c>
      <c r="AT101" s="156" t="str">
        <f t="shared" ca="1" si="22"/>
        <v>NO</v>
      </c>
      <c r="AU101" s="156" t="s">
        <v>1570</v>
      </c>
      <c r="AV101" s="406"/>
      <c r="AW101" s="928"/>
      <c r="AX101" s="928"/>
      <c r="AY101" s="928"/>
    </row>
    <row r="102" spans="1:51" ht="70.5" customHeight="1" x14ac:dyDescent="0.3">
      <c r="A102" s="14">
        <v>4</v>
      </c>
      <c r="B102" s="14">
        <v>96</v>
      </c>
      <c r="C102" s="410"/>
      <c r="D102" s="410" t="str">
        <f t="shared" si="12"/>
        <v>2013</v>
      </c>
      <c r="E102" s="120" t="s">
        <v>123</v>
      </c>
      <c r="F102" s="120" t="s">
        <v>124</v>
      </c>
      <c r="G102" s="1048">
        <v>52353202</v>
      </c>
      <c r="H102" s="957" t="s">
        <v>464</v>
      </c>
      <c r="I102" s="121">
        <v>50000000</v>
      </c>
      <c r="J102" s="821" t="s">
        <v>5273</v>
      </c>
      <c r="K102" s="122">
        <v>2013</v>
      </c>
      <c r="L102" s="519" t="s">
        <v>1087</v>
      </c>
      <c r="M102" s="123">
        <v>41410</v>
      </c>
      <c r="N102" s="123">
        <v>41713</v>
      </c>
      <c r="O102" s="1099" t="str">
        <f>IF(+Modificaciones!I102=0,"",VLOOKUP(E102,Modificaciones!$B$7:$I$2400,8,0))</f>
        <v/>
      </c>
      <c r="P102" s="115">
        <f>COUNTA(Modificaciones!J102,Modificaciones!L102,Modificaciones!N102,Modificaciones!P102)</f>
        <v>0</v>
      </c>
      <c r="Q102" s="116">
        <f>VLOOKUP(E102,Modificaciones!$B$7:$R$300,17,0)</f>
        <v>0</v>
      </c>
      <c r="R102" s="117">
        <f>COUNTA(Modificaciones!T102,Modificaciones!V102,Modificaciones!X102,Modificaciones!Z102)</f>
        <v>0</v>
      </c>
      <c r="S102" s="118" t="str">
        <f>IF(Modificaciones!AA102=0,"",VLOOKUP(E102,Modificaciones!$B$7:$AA$400,26,0))</f>
        <v/>
      </c>
      <c r="T102" s="119" t="str">
        <f>IF(Modificaciones!AB102=0,"",VLOOKUP(E102,Modificaciones!$B$7:$AB$400,27,0))</f>
        <v/>
      </c>
      <c r="U102" s="1080" t="str">
        <f>+Modificaciones!AC102</f>
        <v/>
      </c>
      <c r="V102" s="825" t="str">
        <f>+Modificaciones!AK102</f>
        <v/>
      </c>
      <c r="W102" s="825">
        <f t="shared" si="17"/>
        <v>41713</v>
      </c>
      <c r="X102" s="59">
        <f t="shared" si="13"/>
        <v>50000000</v>
      </c>
      <c r="Y102" s="151">
        <f>VLOOKUP(E102,Modificaciones!$B$7:$BE$300,56,0)</f>
        <v>27500000</v>
      </c>
      <c r="Z102" s="84">
        <f t="shared" si="14"/>
        <v>22500000</v>
      </c>
      <c r="AA102" s="283" t="s">
        <v>1094</v>
      </c>
      <c r="AB102" s="40">
        <f t="shared" si="15"/>
        <v>0.55000000000000004</v>
      </c>
      <c r="AC102" s="40">
        <f t="shared" ca="1" si="18"/>
        <v>1</v>
      </c>
      <c r="AD102" s="41">
        <f t="shared" ca="1" si="19"/>
        <v>0.44999999999999996</v>
      </c>
      <c r="AE102" s="181" t="str">
        <f t="shared" ca="1" si="20"/>
        <v/>
      </c>
      <c r="AF102" s="42" t="str">
        <f t="shared" si="16"/>
        <v>NO</v>
      </c>
      <c r="AG102" s="42"/>
      <c r="AH102" s="152" t="s">
        <v>1255</v>
      </c>
      <c r="AI102" s="152" t="s">
        <v>1130</v>
      </c>
      <c r="AJ102" s="152"/>
      <c r="AL102" s="153"/>
      <c r="AM102" s="160" t="s">
        <v>901</v>
      </c>
      <c r="AN102" s="161" t="str">
        <f t="shared" ca="1" si="21"/>
        <v>TERMINO</v>
      </c>
      <c r="AO102" s="160" t="s">
        <v>582</v>
      </c>
      <c r="AP102" s="155" t="s">
        <v>391</v>
      </c>
      <c r="AQ102" s="819" t="str">
        <f>IFERROR(VLOOKUP(E102,'liquidaciones '!$B$2:$C$1048576,2,0),"NO")</f>
        <v>LIQUIDADO</v>
      </c>
      <c r="AR102" s="909">
        <f>IFERROR(VLOOKUP(E102,'liquidaciones '!$B$2:$I$1048576,8,0),"")</f>
        <v>0</v>
      </c>
      <c r="AS102" s="309">
        <v>42117</v>
      </c>
      <c r="AT102" s="156" t="str">
        <f t="shared" ca="1" si="22"/>
        <v>NO</v>
      </c>
      <c r="AU102" s="156" t="s">
        <v>1570</v>
      </c>
      <c r="AV102" s="406"/>
      <c r="AW102" s="928"/>
      <c r="AX102" s="928"/>
      <c r="AY102" s="928"/>
    </row>
    <row r="103" spans="1:51" ht="47.25" customHeight="1" x14ac:dyDescent="0.3">
      <c r="A103" s="14">
        <v>4</v>
      </c>
      <c r="B103" s="14">
        <v>97</v>
      </c>
      <c r="C103" s="410"/>
      <c r="D103" s="410" t="str">
        <f t="shared" si="12"/>
        <v>2013</v>
      </c>
      <c r="E103" s="120" t="s">
        <v>125</v>
      </c>
      <c r="F103" s="120" t="s">
        <v>126</v>
      </c>
      <c r="G103" s="1046">
        <v>900333228</v>
      </c>
      <c r="H103" s="957" t="s">
        <v>466</v>
      </c>
      <c r="I103" s="121">
        <v>9366000</v>
      </c>
      <c r="J103" s="821" t="s">
        <v>4053</v>
      </c>
      <c r="K103" s="122">
        <v>2013</v>
      </c>
      <c r="L103" s="519" t="s">
        <v>1087</v>
      </c>
      <c r="M103" s="124">
        <v>41423</v>
      </c>
      <c r="N103" s="124">
        <v>41698</v>
      </c>
      <c r="O103" s="1099" t="str">
        <f>IF(+Modificaciones!I103=0,"",VLOOKUP(E103,Modificaciones!$B$7:$I$2400,8,0))</f>
        <v/>
      </c>
      <c r="P103" s="115">
        <f>COUNTA(Modificaciones!J103,Modificaciones!L103,Modificaciones!N103,Modificaciones!P103)</f>
        <v>0</v>
      </c>
      <c r="Q103" s="116">
        <f>VLOOKUP(E103,Modificaciones!$B$7:$R$300,17,0)</f>
        <v>0</v>
      </c>
      <c r="R103" s="117">
        <f>COUNTA(Modificaciones!T103,Modificaciones!V103,Modificaciones!X103,Modificaciones!Z103)</f>
        <v>0</v>
      </c>
      <c r="S103" s="118" t="str">
        <f>IF(Modificaciones!AA103=0,"",VLOOKUP(E103,Modificaciones!$B$7:$AA$400,26,0))</f>
        <v/>
      </c>
      <c r="T103" s="119" t="str">
        <f>IF(Modificaciones!AB103=0,"",VLOOKUP(E103,Modificaciones!$B$7:$AB$400,27,0))</f>
        <v/>
      </c>
      <c r="U103" s="1080" t="str">
        <f>+Modificaciones!AC103</f>
        <v/>
      </c>
      <c r="V103" s="825" t="str">
        <f>+Modificaciones!AK103</f>
        <v/>
      </c>
      <c r="W103" s="825">
        <f t="shared" si="17"/>
        <v>41698</v>
      </c>
      <c r="X103" s="59">
        <f t="shared" si="13"/>
        <v>9366000</v>
      </c>
      <c r="Y103" s="151">
        <f>VLOOKUP(E103,Modificaciones!$B$7:$BE$300,56,0)</f>
        <v>7783682</v>
      </c>
      <c r="Z103" s="84">
        <f t="shared" si="14"/>
        <v>1582318</v>
      </c>
      <c r="AA103" s="286" t="s">
        <v>1397</v>
      </c>
      <c r="AB103" s="40">
        <f t="shared" si="15"/>
        <v>0.83105722827247486</v>
      </c>
      <c r="AC103" s="40">
        <f t="shared" ca="1" si="18"/>
        <v>1</v>
      </c>
      <c r="AD103" s="41">
        <f t="shared" ca="1" si="19"/>
        <v>0.16894277172752514</v>
      </c>
      <c r="AE103" s="181" t="str">
        <f t="shared" ca="1" si="20"/>
        <v/>
      </c>
      <c r="AF103" s="42" t="str">
        <f t="shared" si="16"/>
        <v>NO</v>
      </c>
      <c r="AG103" s="42"/>
      <c r="AH103" s="152" t="s">
        <v>1255</v>
      </c>
      <c r="AI103" s="152" t="s">
        <v>1281</v>
      </c>
      <c r="AJ103" s="152" t="s">
        <v>1441</v>
      </c>
      <c r="AK103" s="255" t="s">
        <v>560</v>
      </c>
      <c r="AL103" s="153" t="s">
        <v>1379</v>
      </c>
      <c r="AM103" s="160" t="s">
        <v>906</v>
      </c>
      <c r="AN103" s="161" t="str">
        <f t="shared" ca="1" si="21"/>
        <v>TERMINO</v>
      </c>
      <c r="AO103" s="160" t="s">
        <v>576</v>
      </c>
      <c r="AP103" s="155" t="s">
        <v>390</v>
      </c>
      <c r="AQ103" s="819" t="str">
        <f>IFERROR(VLOOKUP(E103,'liquidaciones '!$B$2:$C$1048576,2,0),"NO")</f>
        <v>LIQUIDADO</v>
      </c>
      <c r="AR103" s="909">
        <f>IFERROR(VLOOKUP(E103,'liquidaciones '!$B$2:$I$1048576,8,0),"")</f>
        <v>0</v>
      </c>
      <c r="AS103" s="310">
        <v>42333</v>
      </c>
      <c r="AT103" s="156" t="str">
        <f t="shared" ca="1" si="22"/>
        <v>NO</v>
      </c>
      <c r="AU103" s="156" t="s">
        <v>1570</v>
      </c>
      <c r="AV103" s="406"/>
      <c r="AW103" s="928"/>
      <c r="AX103" s="928"/>
      <c r="AY103" s="928"/>
    </row>
    <row r="104" spans="1:51" ht="47.25" customHeight="1" x14ac:dyDescent="0.3">
      <c r="A104" s="14">
        <v>4</v>
      </c>
      <c r="B104" s="14">
        <v>98</v>
      </c>
      <c r="C104" s="410"/>
      <c r="D104" s="410" t="str">
        <f t="shared" si="12"/>
        <v>2013</v>
      </c>
      <c r="E104" s="120" t="s">
        <v>129</v>
      </c>
      <c r="F104" s="120" t="s">
        <v>1018</v>
      </c>
      <c r="G104" s="1046">
        <v>900611595</v>
      </c>
      <c r="H104" s="957" t="s">
        <v>315</v>
      </c>
      <c r="I104" s="121">
        <v>22300000</v>
      </c>
      <c r="J104" s="821" t="s">
        <v>4058</v>
      </c>
      <c r="K104" s="122">
        <v>2013</v>
      </c>
      <c r="L104" s="519" t="s">
        <v>1087</v>
      </c>
      <c r="M104" s="124">
        <v>41410</v>
      </c>
      <c r="N104" s="124">
        <v>41623</v>
      </c>
      <c r="O104" s="1099" t="str">
        <f>IF(+Modificaciones!I104=0,"",VLOOKUP(E104,Modificaciones!$B$7:$I$2400,8,0))</f>
        <v/>
      </c>
      <c r="P104" s="115">
        <f>COUNTA(Modificaciones!J104,Modificaciones!L104,Modificaciones!N104,Modificaciones!P104)</f>
        <v>3</v>
      </c>
      <c r="Q104" s="116">
        <f>VLOOKUP(E104,Modificaciones!$B$7:$R$300,17,0)</f>
        <v>10820000</v>
      </c>
      <c r="R104" s="117">
        <f>COUNTA(Modificaciones!T104,Modificaciones!V104,Modificaciones!X104,Modificaciones!Z104)</f>
        <v>3</v>
      </c>
      <c r="S104" s="118" t="str">
        <f>IF(Modificaciones!AA104=0,"",VLOOKUP(E104,Modificaciones!$B$7:$AA$400,26,0))</f>
        <v xml:space="preserve">6 meses  </v>
      </c>
      <c r="T104" s="119">
        <f>IF(Modificaciones!AB104=0,"",VLOOKUP(E104,Modificaciones!$B$7:$AB$400,27,0))</f>
        <v>41806</v>
      </c>
      <c r="U104" s="1080" t="str">
        <f>+Modificaciones!AC104</f>
        <v/>
      </c>
      <c r="V104" s="825" t="str">
        <f>+Modificaciones!AK104</f>
        <v/>
      </c>
      <c r="W104" s="825">
        <f t="shared" si="17"/>
        <v>41806</v>
      </c>
      <c r="X104" s="59">
        <f t="shared" si="13"/>
        <v>33120000</v>
      </c>
      <c r="Y104" s="151">
        <f>VLOOKUP(E104,Modificaciones!$B$7:$BE$300,56,0)</f>
        <v>32832950</v>
      </c>
      <c r="Z104" s="84">
        <f t="shared" si="14"/>
        <v>287050</v>
      </c>
      <c r="AA104" s="283" t="s">
        <v>1094</v>
      </c>
      <c r="AB104" s="40">
        <f t="shared" si="15"/>
        <v>0.99133303140096618</v>
      </c>
      <c r="AC104" s="40">
        <f t="shared" ca="1" si="18"/>
        <v>1</v>
      </c>
      <c r="AD104" s="41">
        <f t="shared" ca="1" si="19"/>
        <v>8.6669685990338197E-3</v>
      </c>
      <c r="AE104" s="181" t="str">
        <f t="shared" ca="1" si="20"/>
        <v/>
      </c>
      <c r="AF104" s="42" t="str">
        <f t="shared" si="16"/>
        <v>NO</v>
      </c>
      <c r="AG104" s="42"/>
      <c r="AH104" s="152" t="s">
        <v>1255</v>
      </c>
      <c r="AI104" s="152" t="s">
        <v>1136</v>
      </c>
      <c r="AJ104" s="152" t="s">
        <v>1435</v>
      </c>
      <c r="AK104" s="255" t="s">
        <v>562</v>
      </c>
      <c r="AL104" s="153"/>
      <c r="AM104" s="160" t="s">
        <v>901</v>
      </c>
      <c r="AN104" s="161" t="str">
        <f t="shared" ca="1" si="21"/>
        <v>TERMINO</v>
      </c>
      <c r="AO104" s="160" t="s">
        <v>574</v>
      </c>
      <c r="AP104" s="155" t="s">
        <v>390</v>
      </c>
      <c r="AQ104" s="819" t="str">
        <f>IFERROR(VLOOKUP(E104,'liquidaciones '!$B$2:$C$1048576,2,0),"NO")</f>
        <v>LIQUIDADO</v>
      </c>
      <c r="AR104" s="909">
        <f>IFERROR(VLOOKUP(E104,'liquidaciones '!$B$2:$I$1048576,8,0),"")</f>
        <v>0</v>
      </c>
      <c r="AS104" s="310">
        <v>42290</v>
      </c>
      <c r="AT104" s="156" t="str">
        <f t="shared" ca="1" si="22"/>
        <v>NO</v>
      </c>
      <c r="AU104" s="156" t="s">
        <v>1570</v>
      </c>
      <c r="AV104" s="406"/>
      <c r="AW104" s="928"/>
      <c r="AX104" s="928"/>
      <c r="AY104" s="928"/>
    </row>
    <row r="105" spans="1:51" ht="47.25" customHeight="1" x14ac:dyDescent="0.3">
      <c r="A105" s="14">
        <v>4</v>
      </c>
      <c r="B105" s="14">
        <v>99</v>
      </c>
      <c r="C105" s="410"/>
      <c r="D105" s="410" t="str">
        <f t="shared" si="12"/>
        <v>2013</v>
      </c>
      <c r="E105" s="120" t="s">
        <v>89</v>
      </c>
      <c r="F105" s="120" t="s">
        <v>90</v>
      </c>
      <c r="G105" s="1046">
        <v>830109807</v>
      </c>
      <c r="H105" s="957" t="s">
        <v>467</v>
      </c>
      <c r="I105" s="121">
        <v>1030000</v>
      </c>
      <c r="J105" s="821" t="s">
        <v>5685</v>
      </c>
      <c r="K105" s="122">
        <v>2013</v>
      </c>
      <c r="L105" s="519" t="s">
        <v>1087</v>
      </c>
      <c r="M105" s="123">
        <v>41438</v>
      </c>
      <c r="N105" s="123">
        <v>41802</v>
      </c>
      <c r="O105" s="1099" t="str">
        <f>IF(+Modificaciones!I105=0,"",VLOOKUP(E105,Modificaciones!$B$7:$I$2400,8,0))</f>
        <v/>
      </c>
      <c r="P105" s="115">
        <f>COUNTA(Modificaciones!J105,Modificaciones!L105,Modificaciones!N105,Modificaciones!P105)</f>
        <v>0</v>
      </c>
      <c r="Q105" s="116">
        <f>VLOOKUP(E105,Modificaciones!$B$7:$R$300,17,0)</f>
        <v>0</v>
      </c>
      <c r="R105" s="117">
        <f>COUNTA(Modificaciones!T105,Modificaciones!V105,Modificaciones!X105,Modificaciones!Z105)</f>
        <v>0</v>
      </c>
      <c r="S105" s="118" t="str">
        <f>IF(Modificaciones!AA105=0,"",VLOOKUP(E105,Modificaciones!$B$7:$AA$400,26,0))</f>
        <v/>
      </c>
      <c r="T105" s="119" t="str">
        <f>IF(Modificaciones!AB105=0,"",VLOOKUP(E105,Modificaciones!$B$7:$AB$400,27,0))</f>
        <v/>
      </c>
      <c r="U105" s="1080" t="str">
        <f>+Modificaciones!AC105</f>
        <v/>
      </c>
      <c r="V105" s="825" t="str">
        <f>+Modificaciones!AK105</f>
        <v/>
      </c>
      <c r="W105" s="825">
        <f t="shared" si="17"/>
        <v>41802</v>
      </c>
      <c r="X105" s="59">
        <f t="shared" si="13"/>
        <v>1030000</v>
      </c>
      <c r="Y105" s="151">
        <f>VLOOKUP(E105,Modificaciones!$B$7:$BE$300,56,0)</f>
        <v>1030000</v>
      </c>
      <c r="Z105" s="84">
        <f t="shared" si="14"/>
        <v>0</v>
      </c>
      <c r="AA105" s="283" t="s">
        <v>1894</v>
      </c>
      <c r="AB105" s="40">
        <f t="shared" si="15"/>
        <v>1</v>
      </c>
      <c r="AC105" s="40">
        <f t="shared" ca="1" si="18"/>
        <v>1</v>
      </c>
      <c r="AD105" s="41">
        <f t="shared" ca="1" si="19"/>
        <v>0</v>
      </c>
      <c r="AE105" s="181" t="str">
        <f t="shared" ca="1" si="20"/>
        <v/>
      </c>
      <c r="AF105" s="42" t="str">
        <f t="shared" si="16"/>
        <v>SI</v>
      </c>
      <c r="AG105" s="42"/>
      <c r="AH105" s="152" t="s">
        <v>1255</v>
      </c>
      <c r="AI105" s="152" t="s">
        <v>1290</v>
      </c>
      <c r="AJ105" s="152"/>
      <c r="AL105" s="153"/>
      <c r="AM105" s="160" t="s">
        <v>901</v>
      </c>
      <c r="AN105" s="161" t="str">
        <f t="shared" ca="1" si="21"/>
        <v>TERMINO</v>
      </c>
      <c r="AO105" s="160" t="s">
        <v>576</v>
      </c>
      <c r="AP105" s="155" t="s">
        <v>390</v>
      </c>
      <c r="AQ105" s="819" t="str">
        <f>IFERROR(VLOOKUP(E105,'liquidaciones '!$B$2:$C$1048576,2,0),"NO")</f>
        <v>LIQUIDADO</v>
      </c>
      <c r="AR105" s="909">
        <f>IFERROR(VLOOKUP(E105,'liquidaciones '!$B$2:$I$1048576,8,0),"")</f>
        <v>0</v>
      </c>
      <c r="AS105" s="310">
        <v>41982</v>
      </c>
      <c r="AT105" s="156" t="str">
        <f t="shared" ca="1" si="22"/>
        <v>NO</v>
      </c>
      <c r="AU105" s="156" t="s">
        <v>1570</v>
      </c>
      <c r="AV105" s="406"/>
      <c r="AW105" s="928"/>
      <c r="AX105" s="928"/>
      <c r="AY105" s="928"/>
    </row>
    <row r="106" spans="1:51" ht="47.25" customHeight="1" x14ac:dyDescent="0.3">
      <c r="A106" s="14">
        <v>4</v>
      </c>
      <c r="B106" s="14">
        <v>100</v>
      </c>
      <c r="C106" s="410"/>
      <c r="D106" s="410" t="str">
        <f t="shared" si="12"/>
        <v>2013</v>
      </c>
      <c r="E106" s="120" t="s">
        <v>130</v>
      </c>
      <c r="F106" s="184" t="s">
        <v>1110</v>
      </c>
      <c r="G106" s="1046">
        <v>830005370</v>
      </c>
      <c r="H106" s="957" t="s">
        <v>468</v>
      </c>
      <c r="I106" s="121">
        <v>1379939352</v>
      </c>
      <c r="J106" s="121" t="s">
        <v>1087</v>
      </c>
      <c r="K106" s="122">
        <v>2013</v>
      </c>
      <c r="L106" s="519" t="s">
        <v>1087</v>
      </c>
      <c r="M106" s="123">
        <v>41421</v>
      </c>
      <c r="N106" s="123">
        <v>41785</v>
      </c>
      <c r="O106" s="1099" t="str">
        <f>IF(+Modificaciones!I106=0,"",VLOOKUP(E106,Modificaciones!$B$7:$I$2400,8,0))</f>
        <v/>
      </c>
      <c r="P106" s="115">
        <f>COUNTA(Modificaciones!J106,Modificaciones!L106,Modificaciones!N106,Modificaciones!P106)</f>
        <v>1</v>
      </c>
      <c r="Q106" s="116">
        <f>VLOOKUP(E106,Modificaciones!$B$7:$R$300,17,0)</f>
        <v>172492424</v>
      </c>
      <c r="R106" s="117">
        <f>COUNTA(Modificaciones!T106,Modificaciones!V106,Modificaciones!X106,Modificaciones!Z106)</f>
        <v>3</v>
      </c>
      <c r="S106" s="118" t="str">
        <f>IF(Modificaciones!AA106=0,"",VLOOKUP(E106,Modificaciones!$B$7:$AA$400,26,0))</f>
        <v>3 meses y 20 días</v>
      </c>
      <c r="T106" s="119">
        <f>IF(Modificaciones!AB106=0,"",VLOOKUP(E106,Modificaciones!$B$7:$AB$400,27,0))</f>
        <v>41897</v>
      </c>
      <c r="U106" s="1080" t="str">
        <f>+Modificaciones!AC106</f>
        <v/>
      </c>
      <c r="V106" s="825" t="str">
        <f>+Modificaciones!AK106</f>
        <v/>
      </c>
      <c r="W106" s="825">
        <f t="shared" si="17"/>
        <v>41897</v>
      </c>
      <c r="X106" s="59">
        <f t="shared" si="13"/>
        <v>1552431776</v>
      </c>
      <c r="Y106" s="151">
        <f>VLOOKUP(E106,Modificaciones!$B$7:$BE$300,56,0)</f>
        <v>1552431775</v>
      </c>
      <c r="Z106" s="84">
        <f t="shared" si="14"/>
        <v>1</v>
      </c>
      <c r="AA106" s="283" t="s">
        <v>1094</v>
      </c>
      <c r="AB106" s="40">
        <f t="shared" si="15"/>
        <v>0.99999999935584927</v>
      </c>
      <c r="AC106" s="40">
        <f t="shared" ca="1" si="18"/>
        <v>1</v>
      </c>
      <c r="AD106" s="41">
        <f t="shared" ca="1" si="19"/>
        <v>6.4415073275370105E-10</v>
      </c>
      <c r="AE106" s="181" t="str">
        <f t="shared" ca="1" si="20"/>
        <v/>
      </c>
      <c r="AF106" s="42" t="str">
        <f t="shared" si="16"/>
        <v>SI</v>
      </c>
      <c r="AG106" s="42"/>
      <c r="AH106" s="152" t="s">
        <v>1255</v>
      </c>
      <c r="AI106" s="152" t="s">
        <v>1291</v>
      </c>
      <c r="AJ106" s="152" t="s">
        <v>1429</v>
      </c>
      <c r="AK106" s="255" t="s">
        <v>564</v>
      </c>
      <c r="AL106" s="153" t="s">
        <v>1380</v>
      </c>
      <c r="AM106" s="160" t="s">
        <v>901</v>
      </c>
      <c r="AN106" s="161" t="str">
        <f t="shared" ca="1" si="21"/>
        <v>TERMINO</v>
      </c>
      <c r="AO106" s="160" t="s">
        <v>582</v>
      </c>
      <c r="AP106" s="155" t="s">
        <v>390</v>
      </c>
      <c r="AQ106" s="819" t="str">
        <f>IFERROR(VLOOKUP(E106,'liquidaciones '!$B$2:$C$1048576,2,0),"NO")</f>
        <v>LIQUIDADO</v>
      </c>
      <c r="AR106" s="909">
        <f>IFERROR(VLOOKUP(E106,'liquidaciones '!$B$2:$I$1048576,8,0),"")</f>
        <v>0</v>
      </c>
      <c r="AS106" s="310">
        <v>42051</v>
      </c>
      <c r="AT106" s="156" t="str">
        <f t="shared" ca="1" si="22"/>
        <v>NO</v>
      </c>
      <c r="AU106" s="156" t="s">
        <v>1570</v>
      </c>
      <c r="AV106" s="406"/>
      <c r="AW106" s="928"/>
      <c r="AX106" s="928"/>
      <c r="AY106" s="928"/>
    </row>
    <row r="107" spans="1:51" ht="47.25" customHeight="1" x14ac:dyDescent="0.3">
      <c r="A107" s="14">
        <v>4</v>
      </c>
      <c r="B107" s="14">
        <v>101</v>
      </c>
      <c r="C107" s="410"/>
      <c r="D107" s="410" t="str">
        <f t="shared" si="12"/>
        <v>2013</v>
      </c>
      <c r="E107" s="120" t="s">
        <v>132</v>
      </c>
      <c r="F107" s="120" t="s">
        <v>27</v>
      </c>
      <c r="G107" s="1048">
        <v>860009759</v>
      </c>
      <c r="H107" s="957" t="s">
        <v>450</v>
      </c>
      <c r="I107" s="121">
        <v>849000</v>
      </c>
      <c r="J107" s="821" t="s">
        <v>5263</v>
      </c>
      <c r="K107" s="122">
        <v>2013</v>
      </c>
      <c r="L107" s="519" t="s">
        <v>1087</v>
      </c>
      <c r="M107" s="124">
        <v>41421</v>
      </c>
      <c r="N107" s="124">
        <v>41969</v>
      </c>
      <c r="O107" s="1099" t="str">
        <f>IF(+Modificaciones!I107=0,"",VLOOKUP(E107,Modificaciones!$B$7:$I$2400,8,0))</f>
        <v/>
      </c>
      <c r="P107" s="115">
        <f>COUNTA(Modificaciones!J107,Modificaciones!L107,Modificaciones!N107,Modificaciones!P107)</f>
        <v>0</v>
      </c>
      <c r="Q107" s="116">
        <f>VLOOKUP(E107,Modificaciones!$B$7:$R$300,17,0)</f>
        <v>0</v>
      </c>
      <c r="R107" s="117">
        <f>COUNTA(Modificaciones!T107,Modificaciones!V107,Modificaciones!X107,Modificaciones!Z107)</f>
        <v>0</v>
      </c>
      <c r="S107" s="118" t="str">
        <f>IF(Modificaciones!AA107=0,"",VLOOKUP(E107,Modificaciones!$B$7:$AA$400,26,0))</f>
        <v/>
      </c>
      <c r="T107" s="119" t="str">
        <f>IF(Modificaciones!AB107=0,"",VLOOKUP(E107,Modificaciones!$B$7:$AB$400,27,0))</f>
        <v/>
      </c>
      <c r="U107" s="1080" t="str">
        <f>+Modificaciones!AC107</f>
        <v/>
      </c>
      <c r="V107" s="825" t="str">
        <f>+Modificaciones!AK107</f>
        <v/>
      </c>
      <c r="W107" s="825">
        <f t="shared" si="17"/>
        <v>41969</v>
      </c>
      <c r="X107" s="59">
        <f t="shared" si="13"/>
        <v>849000</v>
      </c>
      <c r="Y107" s="151">
        <f>VLOOKUP(E107,Modificaciones!$B$7:$BE$300,56,0)</f>
        <v>849000</v>
      </c>
      <c r="Z107" s="84">
        <f t="shared" si="14"/>
        <v>0</v>
      </c>
      <c r="AA107" s="283" t="s">
        <v>1894</v>
      </c>
      <c r="AB107" s="40">
        <f t="shared" si="15"/>
        <v>1</v>
      </c>
      <c r="AC107" s="40">
        <f t="shared" ca="1" si="18"/>
        <v>1</v>
      </c>
      <c r="AD107" s="41">
        <f t="shared" ca="1" si="19"/>
        <v>0</v>
      </c>
      <c r="AE107" s="181" t="str">
        <f t="shared" ca="1" si="20"/>
        <v/>
      </c>
      <c r="AF107" s="42" t="str">
        <f t="shared" si="16"/>
        <v>SI</v>
      </c>
      <c r="AG107" s="42"/>
      <c r="AH107" s="152" t="s">
        <v>1255</v>
      </c>
      <c r="AI107" s="275" t="s">
        <v>1124</v>
      </c>
      <c r="AJ107" s="152" t="s">
        <v>1429</v>
      </c>
      <c r="AK107" s="255" t="s">
        <v>564</v>
      </c>
      <c r="AL107" s="153" t="s">
        <v>1380</v>
      </c>
      <c r="AM107" s="160" t="s">
        <v>901</v>
      </c>
      <c r="AN107" s="161" t="str">
        <f t="shared" ca="1" si="21"/>
        <v>TERMINO</v>
      </c>
      <c r="AO107" s="160" t="s">
        <v>582</v>
      </c>
      <c r="AP107" s="155" t="s">
        <v>390</v>
      </c>
      <c r="AQ107" s="819" t="str">
        <f>IFERROR(VLOOKUP(E107,'liquidaciones '!$B$2:$C$1048576,2,0),"NO")</f>
        <v>LIQUIDADO</v>
      </c>
      <c r="AR107" s="909">
        <f>IFERROR(VLOOKUP(E107,'liquidaciones '!$B$2:$I$1048576,8,0),"")</f>
        <v>0</v>
      </c>
      <c r="AS107" s="310">
        <v>42286</v>
      </c>
      <c r="AT107" s="156" t="str">
        <f t="shared" ca="1" si="22"/>
        <v>NO</v>
      </c>
      <c r="AU107" s="156" t="s">
        <v>1570</v>
      </c>
      <c r="AV107" s="406"/>
      <c r="AW107" s="928"/>
      <c r="AX107" s="928"/>
      <c r="AY107" s="928"/>
    </row>
    <row r="108" spans="1:51" ht="47.25" customHeight="1" x14ac:dyDescent="0.3">
      <c r="A108" s="14">
        <v>4</v>
      </c>
      <c r="B108" s="14">
        <v>102</v>
      </c>
      <c r="C108" s="410"/>
      <c r="D108" s="410" t="str">
        <f t="shared" si="12"/>
        <v>2013</v>
      </c>
      <c r="E108" s="120" t="s">
        <v>133</v>
      </c>
      <c r="F108" s="120" t="s">
        <v>134</v>
      </c>
      <c r="G108" s="1046">
        <v>830101973</v>
      </c>
      <c r="H108" s="957" t="s">
        <v>356</v>
      </c>
      <c r="I108" s="121">
        <v>15000000</v>
      </c>
      <c r="J108" s="821" t="s">
        <v>5664</v>
      </c>
      <c r="K108" s="122">
        <v>2013</v>
      </c>
      <c r="L108" s="519" t="s">
        <v>1087</v>
      </c>
      <c r="M108" s="124">
        <v>41459</v>
      </c>
      <c r="N108" s="124">
        <v>41701</v>
      </c>
      <c r="O108" s="1099" t="str">
        <f>IF(+Modificaciones!I108=0,"",VLOOKUP(E108,Modificaciones!$B$7:$I$2400,8,0))</f>
        <v/>
      </c>
      <c r="P108" s="115">
        <f>COUNTA(Modificaciones!J108,Modificaciones!L108,Modificaciones!N108,Modificaciones!P108)</f>
        <v>0</v>
      </c>
      <c r="Q108" s="116">
        <f>VLOOKUP(E108,Modificaciones!$B$7:$R$300,17,0)</f>
        <v>0</v>
      </c>
      <c r="R108" s="117">
        <f>COUNTA(Modificaciones!T108,Modificaciones!V108,Modificaciones!X108,Modificaciones!Z108)</f>
        <v>1</v>
      </c>
      <c r="S108" s="118" t="str">
        <f>IF(Modificaciones!AA108=0,"",VLOOKUP(E108,Modificaciones!$B$7:$AA$400,26,0))</f>
        <v>4 meses</v>
      </c>
      <c r="T108" s="119">
        <f>IF(Modificaciones!AB108=0,"",VLOOKUP(E108,Modificaciones!$B$7:$AB$400,27,0))</f>
        <v>41823</v>
      </c>
      <c r="U108" s="1080" t="str">
        <f>+Modificaciones!AC108</f>
        <v/>
      </c>
      <c r="V108" s="825" t="str">
        <f>+Modificaciones!AK108</f>
        <v/>
      </c>
      <c r="W108" s="825">
        <f t="shared" si="17"/>
        <v>41823</v>
      </c>
      <c r="X108" s="59">
        <f t="shared" si="13"/>
        <v>15000000</v>
      </c>
      <c r="Y108" s="151">
        <f>VLOOKUP(E108,Modificaciones!$B$7:$BE$300,56,0)</f>
        <v>5368620</v>
      </c>
      <c r="Z108" s="84">
        <f t="shared" si="14"/>
        <v>9631380</v>
      </c>
      <c r="AA108" s="283" t="s">
        <v>1094</v>
      </c>
      <c r="AB108" s="40">
        <f t="shared" si="15"/>
        <v>0.357908</v>
      </c>
      <c r="AC108" s="40">
        <f t="shared" ca="1" si="18"/>
        <v>1</v>
      </c>
      <c r="AD108" s="41">
        <f t="shared" ca="1" si="19"/>
        <v>0.642092</v>
      </c>
      <c r="AE108" s="181" t="str">
        <f t="shared" ca="1" si="20"/>
        <v/>
      </c>
      <c r="AF108" s="42" t="str">
        <f t="shared" si="16"/>
        <v>NO</v>
      </c>
      <c r="AG108" s="42"/>
      <c r="AH108" s="152" t="s">
        <v>1255</v>
      </c>
      <c r="AI108" s="152" t="s">
        <v>1135</v>
      </c>
      <c r="AJ108" s="152"/>
      <c r="AL108" s="153"/>
      <c r="AM108" s="160" t="s">
        <v>901</v>
      </c>
      <c r="AN108" s="161" t="str">
        <f t="shared" ca="1" si="21"/>
        <v>TERMINO</v>
      </c>
      <c r="AO108" s="160" t="s">
        <v>576</v>
      </c>
      <c r="AP108" s="155" t="s">
        <v>390</v>
      </c>
      <c r="AQ108" s="819" t="str">
        <f>IFERROR(VLOOKUP(E108,'liquidaciones '!$B$2:$C$1048576,2,0),"NO")</f>
        <v>LIQUIDADO</v>
      </c>
      <c r="AR108" s="909">
        <f>IFERROR(VLOOKUP(E108,'liquidaciones '!$B$2:$I$1048576,8,0),"")</f>
        <v>0</v>
      </c>
      <c r="AS108" s="310">
        <v>42004</v>
      </c>
      <c r="AT108" s="156" t="str">
        <f t="shared" ca="1" si="22"/>
        <v>NO</v>
      </c>
      <c r="AU108" s="156" t="s">
        <v>1570</v>
      </c>
      <c r="AV108" s="406"/>
      <c r="AW108" s="928"/>
      <c r="AX108" s="928"/>
      <c r="AY108" s="928"/>
    </row>
    <row r="109" spans="1:51" ht="47.25" customHeight="1" x14ac:dyDescent="0.3">
      <c r="A109" s="14">
        <v>4</v>
      </c>
      <c r="B109" s="14">
        <v>103</v>
      </c>
      <c r="C109" s="410"/>
      <c r="D109" s="410" t="str">
        <f t="shared" si="12"/>
        <v>2013</v>
      </c>
      <c r="E109" s="120" t="s">
        <v>135</v>
      </c>
      <c r="F109" s="120" t="s">
        <v>38</v>
      </c>
      <c r="G109" s="1046">
        <v>830053669</v>
      </c>
      <c r="H109" s="957" t="s">
        <v>327</v>
      </c>
      <c r="I109" s="121">
        <v>31904847</v>
      </c>
      <c r="J109" s="821" t="s">
        <v>4401</v>
      </c>
      <c r="K109" s="122">
        <v>2013</v>
      </c>
      <c r="L109" s="519" t="s">
        <v>1087</v>
      </c>
      <c r="M109" s="124">
        <v>41426</v>
      </c>
      <c r="N109" s="124">
        <v>41729</v>
      </c>
      <c r="O109" s="1099" t="str">
        <f>IF(+Modificaciones!I109=0,"",VLOOKUP(E109,Modificaciones!$B$7:$I$2400,8,0))</f>
        <v/>
      </c>
      <c r="P109" s="115">
        <f>COUNTA(Modificaciones!J109,Modificaciones!L109,Modificaciones!N109,Modificaciones!P109)</f>
        <v>2</v>
      </c>
      <c r="Q109" s="116">
        <f>VLOOKUP(E109,Modificaciones!$B$7:$R$300,17,0)</f>
        <v>4000000</v>
      </c>
      <c r="R109" s="117">
        <f>COUNTA(Modificaciones!T109,Modificaciones!V109,Modificaciones!X109,Modificaciones!Z109)</f>
        <v>2</v>
      </c>
      <c r="S109" s="118" t="str">
        <f>IF(Modificaciones!AA109=0,"",VLOOKUP(E109,Modificaciones!$B$7:$AA$400,26,0))</f>
        <v>3 meses</v>
      </c>
      <c r="T109" s="119">
        <f>IF(Modificaciones!AB109=0,"",VLOOKUP(E109,Modificaciones!$B$7:$AB$400,27,0))</f>
        <v>41820</v>
      </c>
      <c r="U109" s="1080" t="str">
        <f>+Modificaciones!AC109</f>
        <v/>
      </c>
      <c r="V109" s="825" t="str">
        <f>+Modificaciones!AK109</f>
        <v/>
      </c>
      <c r="W109" s="825">
        <f t="shared" si="17"/>
        <v>41820</v>
      </c>
      <c r="X109" s="59">
        <f t="shared" si="13"/>
        <v>35904847</v>
      </c>
      <c r="Y109" s="151">
        <f>VLOOKUP(E109,Modificaciones!$B$7:$BE$300,56,0)</f>
        <v>35904845</v>
      </c>
      <c r="Z109" s="84">
        <f t="shared" si="14"/>
        <v>2</v>
      </c>
      <c r="AA109" s="283" t="s">
        <v>1094</v>
      </c>
      <c r="AB109" s="40">
        <f t="shared" si="15"/>
        <v>0.99999994429721428</v>
      </c>
      <c r="AC109" s="40">
        <f t="shared" ca="1" si="18"/>
        <v>1</v>
      </c>
      <c r="AD109" s="41">
        <f t="shared" ca="1" si="19"/>
        <v>5.5702785717315351E-8</v>
      </c>
      <c r="AE109" s="181" t="str">
        <f t="shared" ca="1" si="20"/>
        <v/>
      </c>
      <c r="AF109" s="42" t="str">
        <f t="shared" si="16"/>
        <v>SI</v>
      </c>
      <c r="AG109" s="42"/>
      <c r="AH109" s="152" t="s">
        <v>1255</v>
      </c>
      <c r="AI109" s="152" t="s">
        <v>1139</v>
      </c>
      <c r="AJ109" s="152" t="s">
        <v>1441</v>
      </c>
      <c r="AK109" s="255" t="s">
        <v>560</v>
      </c>
      <c r="AL109" s="153"/>
      <c r="AM109" s="160" t="s">
        <v>901</v>
      </c>
      <c r="AN109" s="161" t="str">
        <f t="shared" ca="1" si="21"/>
        <v>TERMINO</v>
      </c>
      <c r="AO109" s="160" t="s">
        <v>921</v>
      </c>
      <c r="AP109" s="155" t="s">
        <v>390</v>
      </c>
      <c r="AQ109" s="819" t="str">
        <f>IFERROR(VLOOKUP(E109,'liquidaciones '!$B$2:$C$1048576,2,0),"NO")</f>
        <v>LIQUIDADO</v>
      </c>
      <c r="AR109" s="909">
        <f>IFERROR(VLOOKUP(E109,'liquidaciones '!$B$2:$I$1048576,8,0),"")</f>
        <v>0</v>
      </c>
      <c r="AS109" s="310"/>
      <c r="AT109" s="156" t="str">
        <f t="shared" ca="1" si="22"/>
        <v>NO</v>
      </c>
      <c r="AU109" s="156" t="s">
        <v>1570</v>
      </c>
      <c r="AV109" s="406"/>
      <c r="AW109" s="928"/>
      <c r="AX109" s="928"/>
      <c r="AY109" s="928"/>
    </row>
    <row r="110" spans="1:51" ht="47.25" customHeight="1" x14ac:dyDescent="0.3">
      <c r="A110" s="14">
        <v>4</v>
      </c>
      <c r="B110" s="14">
        <v>104</v>
      </c>
      <c r="C110" s="410"/>
      <c r="D110" s="410" t="str">
        <f t="shared" si="12"/>
        <v>2013</v>
      </c>
      <c r="E110" s="120" t="s">
        <v>136</v>
      </c>
      <c r="F110" s="120" t="s">
        <v>137</v>
      </c>
      <c r="G110" s="1046">
        <v>230802</v>
      </c>
      <c r="H110" s="957" t="s">
        <v>469</v>
      </c>
      <c r="I110" s="121">
        <v>40000000</v>
      </c>
      <c r="J110" s="821" t="s">
        <v>4054</v>
      </c>
      <c r="K110" s="122">
        <v>2013</v>
      </c>
      <c r="L110" s="519" t="s">
        <v>1087</v>
      </c>
      <c r="M110" s="123">
        <v>41416</v>
      </c>
      <c r="N110" s="123">
        <v>41660</v>
      </c>
      <c r="O110" s="1099" t="str">
        <f>IF(+Modificaciones!I110=0,"",VLOOKUP(E110,Modificaciones!$B$7:$I$2400,8,0))</f>
        <v/>
      </c>
      <c r="P110" s="115">
        <f>COUNTA(Modificaciones!J110,Modificaciones!L110,Modificaciones!N110,Modificaciones!P110)</f>
        <v>0</v>
      </c>
      <c r="Q110" s="116">
        <f>VLOOKUP(E110,Modificaciones!$B$7:$R$300,17,0)</f>
        <v>0</v>
      </c>
      <c r="R110" s="117">
        <f>COUNTA(Modificaciones!T110,Modificaciones!V110,Modificaciones!X110,Modificaciones!Z110)</f>
        <v>0</v>
      </c>
      <c r="S110" s="118" t="str">
        <f>IF(Modificaciones!AA110=0,"",VLOOKUP(E110,Modificaciones!$B$7:$AA$400,26,0))</f>
        <v/>
      </c>
      <c r="T110" s="119" t="str">
        <f>IF(Modificaciones!AB110=0,"",VLOOKUP(E110,Modificaciones!$B$7:$AB$400,27,0))</f>
        <v/>
      </c>
      <c r="U110" s="1080" t="str">
        <f>+Modificaciones!AC110</f>
        <v/>
      </c>
      <c r="V110" s="825" t="str">
        <f>+Modificaciones!AK110</f>
        <v/>
      </c>
      <c r="W110" s="825">
        <f t="shared" si="17"/>
        <v>41660</v>
      </c>
      <c r="X110" s="59">
        <f t="shared" si="13"/>
        <v>40000000</v>
      </c>
      <c r="Y110" s="151">
        <f>VLOOKUP(E110,Modificaciones!$B$7:$BE$300,56,0)</f>
        <v>16667000</v>
      </c>
      <c r="Z110" s="84">
        <f t="shared" si="14"/>
        <v>23333000</v>
      </c>
      <c r="AA110" s="283" t="s">
        <v>1094</v>
      </c>
      <c r="AB110" s="40">
        <f t="shared" si="15"/>
        <v>0.41667500000000002</v>
      </c>
      <c r="AC110" s="40">
        <f t="shared" ca="1" si="18"/>
        <v>1</v>
      </c>
      <c r="AD110" s="41">
        <f t="shared" ca="1" si="19"/>
        <v>0.58332499999999998</v>
      </c>
      <c r="AE110" s="181" t="str">
        <f t="shared" ca="1" si="20"/>
        <v/>
      </c>
      <c r="AF110" s="42" t="str">
        <f t="shared" si="16"/>
        <v>NO</v>
      </c>
      <c r="AG110" s="42"/>
      <c r="AH110" s="152" t="s">
        <v>1255</v>
      </c>
      <c r="AI110" s="152" t="s">
        <v>1130</v>
      </c>
      <c r="AJ110" s="152"/>
      <c r="AL110" s="153"/>
      <c r="AM110" s="152" t="s">
        <v>901</v>
      </c>
      <c r="AN110" s="161" t="str">
        <f t="shared" ca="1" si="21"/>
        <v>TERMINO</v>
      </c>
      <c r="AO110" s="160" t="s">
        <v>582</v>
      </c>
      <c r="AP110" s="155" t="s">
        <v>391</v>
      </c>
      <c r="AQ110" s="819" t="str">
        <f>IFERROR(VLOOKUP(E110,'liquidaciones '!$B$2:$C$1048576,2,0),"NO")</f>
        <v>LIQUIDADO</v>
      </c>
      <c r="AR110" s="909">
        <f>IFERROR(VLOOKUP(E110,'liquidaciones '!$B$2:$I$1048576,8,0),"")</f>
        <v>0</v>
      </c>
      <c r="AS110" s="308">
        <v>42325</v>
      </c>
      <c r="AT110" s="156" t="str">
        <f t="shared" ca="1" si="22"/>
        <v>NO</v>
      </c>
      <c r="AU110" s="156" t="s">
        <v>1570</v>
      </c>
      <c r="AV110" s="406"/>
      <c r="AW110" s="928"/>
      <c r="AX110" s="928"/>
      <c r="AY110" s="928"/>
    </row>
    <row r="111" spans="1:51" ht="47.25" customHeight="1" x14ac:dyDescent="0.3">
      <c r="A111" s="14">
        <v>4</v>
      </c>
      <c r="B111" s="14">
        <v>105</v>
      </c>
      <c r="C111" s="410"/>
      <c r="D111" s="410" t="str">
        <f t="shared" si="12"/>
        <v>2013</v>
      </c>
      <c r="E111" s="120" t="s">
        <v>202</v>
      </c>
      <c r="F111" s="144" t="s">
        <v>203</v>
      </c>
      <c r="G111" s="1046">
        <v>860049921</v>
      </c>
      <c r="H111" s="957" t="s">
        <v>470</v>
      </c>
      <c r="I111" s="126">
        <v>4524000</v>
      </c>
      <c r="J111" s="121" t="s">
        <v>1087</v>
      </c>
      <c r="K111" s="139">
        <v>2013</v>
      </c>
      <c r="L111" s="519" t="s">
        <v>1087</v>
      </c>
      <c r="M111" s="124">
        <v>41548</v>
      </c>
      <c r="N111" s="124">
        <v>41578</v>
      </c>
      <c r="O111" s="1099" t="str">
        <f>IF(+Modificaciones!I111=0,"",VLOOKUP(E111,Modificaciones!$B$7:$I$2400,8,0))</f>
        <v/>
      </c>
      <c r="P111" s="115">
        <f>COUNTA(Modificaciones!J111,Modificaciones!L111,Modificaciones!N111,Modificaciones!P111)</f>
        <v>0</v>
      </c>
      <c r="Q111" s="116">
        <f>VLOOKUP(E111,Modificaciones!$B$7:$R$300,17,0)</f>
        <v>0</v>
      </c>
      <c r="R111" s="117">
        <f>COUNTA(Modificaciones!T111,Modificaciones!V111,Modificaciones!X111,Modificaciones!Z111)</f>
        <v>0</v>
      </c>
      <c r="S111" s="118" t="str">
        <f>IF(Modificaciones!AA111=0,"",VLOOKUP(E111,Modificaciones!$B$7:$AA$400,26,0))</f>
        <v/>
      </c>
      <c r="T111" s="119" t="str">
        <f>IF(Modificaciones!AB111=0,"",VLOOKUP(E111,Modificaciones!$B$7:$AB$400,27,0))</f>
        <v/>
      </c>
      <c r="U111" s="1080" t="str">
        <f>+Modificaciones!AC111</f>
        <v/>
      </c>
      <c r="V111" s="825" t="str">
        <f>+Modificaciones!AK111</f>
        <v/>
      </c>
      <c r="W111" s="825">
        <f t="shared" si="17"/>
        <v>41578</v>
      </c>
      <c r="X111" s="59">
        <f t="shared" si="13"/>
        <v>4524000</v>
      </c>
      <c r="Y111" s="151">
        <f>VLOOKUP(E111,Modificaciones!$B$7:$BE$300,56,0)</f>
        <v>4524000</v>
      </c>
      <c r="Z111" s="84">
        <f t="shared" si="14"/>
        <v>0</v>
      </c>
      <c r="AA111" s="286" t="s">
        <v>1399</v>
      </c>
      <c r="AB111" s="40">
        <f t="shared" si="15"/>
        <v>1</v>
      </c>
      <c r="AC111" s="40">
        <f t="shared" ca="1" si="18"/>
        <v>1</v>
      </c>
      <c r="AD111" s="41">
        <f t="shared" ca="1" si="19"/>
        <v>0</v>
      </c>
      <c r="AE111" s="181" t="str">
        <f t="shared" ca="1" si="20"/>
        <v/>
      </c>
      <c r="AF111" s="42" t="str">
        <f t="shared" si="16"/>
        <v>SI</v>
      </c>
      <c r="AG111" s="42"/>
      <c r="AH111" s="152" t="s">
        <v>1255</v>
      </c>
      <c r="AI111" s="275" t="s">
        <v>1349</v>
      </c>
      <c r="AJ111" s="152"/>
      <c r="AL111" s="153"/>
      <c r="AM111" s="152" t="s">
        <v>901</v>
      </c>
      <c r="AN111" s="161" t="str">
        <f t="shared" ca="1" si="21"/>
        <v>TERMINO</v>
      </c>
      <c r="AO111" s="160" t="s">
        <v>582</v>
      </c>
      <c r="AP111" s="155" t="s">
        <v>390</v>
      </c>
      <c r="AQ111" s="819" t="str">
        <f>IFERROR(VLOOKUP(E111,'liquidaciones '!$B$2:$C$1048576,2,0),"NO")</f>
        <v>LIQUIDADO</v>
      </c>
      <c r="AR111" s="909">
        <f>IFERROR(VLOOKUP(E111,'liquidaciones '!$B$2:$I$1048576,8,0),"")</f>
        <v>0</v>
      </c>
      <c r="AS111" s="312">
        <v>41905</v>
      </c>
      <c r="AT111" s="156" t="str">
        <f t="shared" ca="1" si="22"/>
        <v>NO</v>
      </c>
      <c r="AU111" s="156" t="s">
        <v>1570</v>
      </c>
      <c r="AV111" s="406"/>
      <c r="AW111" s="928"/>
      <c r="AX111" s="928"/>
      <c r="AY111" s="928"/>
    </row>
    <row r="112" spans="1:51" ht="47.25" customHeight="1" x14ac:dyDescent="0.3">
      <c r="A112" s="14">
        <v>4</v>
      </c>
      <c r="B112" s="14">
        <v>106</v>
      </c>
      <c r="C112" s="410"/>
      <c r="D112" s="410" t="str">
        <f t="shared" si="12"/>
        <v>2013</v>
      </c>
      <c r="E112" s="120" t="s">
        <v>138</v>
      </c>
      <c r="F112" s="120" t="s">
        <v>1033</v>
      </c>
      <c r="G112" s="1046">
        <v>79887061</v>
      </c>
      <c r="H112" s="957" t="s">
        <v>357</v>
      </c>
      <c r="I112" s="121">
        <v>20800000</v>
      </c>
      <c r="J112" s="821" t="s">
        <v>5754</v>
      </c>
      <c r="K112" s="122">
        <v>2013</v>
      </c>
      <c r="L112" s="519" t="s">
        <v>1087</v>
      </c>
      <c r="M112" s="123">
        <v>41421</v>
      </c>
      <c r="N112" s="123">
        <v>41665</v>
      </c>
      <c r="O112" s="1099" t="str">
        <f>IF(+Modificaciones!I112=0,"",VLOOKUP(E112,Modificaciones!$B$7:$I$2400,8,0))</f>
        <v/>
      </c>
      <c r="P112" s="115">
        <f>COUNTA(Modificaciones!J112,Modificaciones!L112,Modificaciones!N112,Modificaciones!P112)</f>
        <v>0</v>
      </c>
      <c r="Q112" s="116">
        <f>VLOOKUP(E112,Modificaciones!$B$7:$R$300,17,0)</f>
        <v>0</v>
      </c>
      <c r="R112" s="117">
        <f>COUNTA(Modificaciones!T112,Modificaciones!V112,Modificaciones!X112,Modificaciones!Z112)</f>
        <v>0</v>
      </c>
      <c r="S112" s="118" t="str">
        <f>IF(Modificaciones!AA112=0,"",VLOOKUP(E112,Modificaciones!$B$7:$AA$400,26,0))</f>
        <v/>
      </c>
      <c r="T112" s="119" t="str">
        <f>IF(Modificaciones!AB112=0,"",VLOOKUP(E112,Modificaciones!$B$7:$AB$400,27,0))</f>
        <v/>
      </c>
      <c r="U112" s="1080" t="str">
        <f>+Modificaciones!AC112</f>
        <v/>
      </c>
      <c r="V112" s="825" t="str">
        <f>+Modificaciones!AK112</f>
        <v/>
      </c>
      <c r="W112" s="825">
        <f t="shared" si="17"/>
        <v>41665</v>
      </c>
      <c r="X112" s="59">
        <f t="shared" si="13"/>
        <v>20800000</v>
      </c>
      <c r="Y112" s="151">
        <f>VLOOKUP(E112,Modificaciones!$B$7:$BE$300,56,0)</f>
        <v>20800000</v>
      </c>
      <c r="Z112" s="84">
        <f t="shared" si="14"/>
        <v>0</v>
      </c>
      <c r="AA112" s="283" t="s">
        <v>1094</v>
      </c>
      <c r="AB112" s="40">
        <f t="shared" si="15"/>
        <v>1</v>
      </c>
      <c r="AC112" s="40">
        <f t="shared" ca="1" si="18"/>
        <v>1</v>
      </c>
      <c r="AD112" s="41">
        <f t="shared" ca="1" si="19"/>
        <v>0</v>
      </c>
      <c r="AE112" s="181" t="str">
        <f t="shared" ca="1" si="20"/>
        <v/>
      </c>
      <c r="AF112" s="42" t="str">
        <f t="shared" si="16"/>
        <v>SI</v>
      </c>
      <c r="AG112" s="42"/>
      <c r="AH112" s="152" t="s">
        <v>1255</v>
      </c>
      <c r="AI112" s="152" t="s">
        <v>1130</v>
      </c>
      <c r="AJ112" s="152" t="s">
        <v>1438</v>
      </c>
      <c r="AK112" s="255" t="s">
        <v>560</v>
      </c>
      <c r="AL112" s="153"/>
      <c r="AM112" s="152" t="s">
        <v>901</v>
      </c>
      <c r="AN112" s="161" t="str">
        <f t="shared" ca="1" si="21"/>
        <v>TERMINO</v>
      </c>
      <c r="AO112" s="160" t="s">
        <v>582</v>
      </c>
      <c r="AP112" s="155" t="s">
        <v>391</v>
      </c>
      <c r="AQ112" s="819" t="str">
        <f>IFERROR(VLOOKUP(E112,'liquidaciones '!$B$2:$C$1048576,2,0),"NO")</f>
        <v>LIQUIDADO</v>
      </c>
      <c r="AR112" s="909">
        <f>IFERROR(VLOOKUP(E112,'liquidaciones '!$B$2:$I$1048576,8,0),"")</f>
        <v>0</v>
      </c>
      <c r="AS112" s="308">
        <v>41712</v>
      </c>
      <c r="AT112" s="156" t="str">
        <f t="shared" ca="1" si="22"/>
        <v>NO</v>
      </c>
      <c r="AU112" s="156" t="s">
        <v>1570</v>
      </c>
      <c r="AV112" s="406"/>
      <c r="AW112" s="928"/>
      <c r="AX112" s="928"/>
      <c r="AY112" s="928"/>
    </row>
    <row r="113" spans="1:51" ht="47.25" customHeight="1" x14ac:dyDescent="0.3">
      <c r="A113" s="14">
        <v>4</v>
      </c>
      <c r="B113" s="14">
        <v>107</v>
      </c>
      <c r="C113" s="410"/>
      <c r="D113" s="410" t="str">
        <f t="shared" si="12"/>
        <v>2013</v>
      </c>
      <c r="E113" s="120" t="s">
        <v>139</v>
      </c>
      <c r="F113" s="120" t="s">
        <v>140</v>
      </c>
      <c r="G113" s="1046">
        <v>51721571</v>
      </c>
      <c r="H113" s="957" t="s">
        <v>1052</v>
      </c>
      <c r="I113" s="121">
        <v>28000000</v>
      </c>
      <c r="J113" s="121" t="s">
        <v>1087</v>
      </c>
      <c r="K113" s="122">
        <v>2013</v>
      </c>
      <c r="L113" s="519" t="s">
        <v>1087</v>
      </c>
      <c r="M113" s="123">
        <v>41423</v>
      </c>
      <c r="N113" s="123">
        <v>41667</v>
      </c>
      <c r="O113" s="1099" t="str">
        <f>IF(+Modificaciones!I113=0,"",VLOOKUP(E113,Modificaciones!$B$7:$I$2400,8,0))</f>
        <v/>
      </c>
      <c r="P113" s="115">
        <f>COUNTA(Modificaciones!J113,Modificaciones!L113,Modificaciones!N113,Modificaciones!P113)</f>
        <v>0</v>
      </c>
      <c r="Q113" s="116">
        <f>VLOOKUP(E113,Modificaciones!$B$7:$R$300,17,0)</f>
        <v>0</v>
      </c>
      <c r="R113" s="117">
        <f>COUNTA(Modificaciones!T113,Modificaciones!V113,Modificaciones!X113,Modificaciones!Z113)</f>
        <v>0</v>
      </c>
      <c r="S113" s="118" t="str">
        <f>IF(Modificaciones!AA113=0,"",VLOOKUP(E113,Modificaciones!$B$7:$AA$400,26,0))</f>
        <v/>
      </c>
      <c r="T113" s="119" t="str">
        <f>IF(Modificaciones!AB113=0,"",VLOOKUP(E113,Modificaciones!$B$7:$AB$400,27,0))</f>
        <v/>
      </c>
      <c r="U113" s="1080" t="str">
        <f>+Modificaciones!AC113</f>
        <v/>
      </c>
      <c r="V113" s="825" t="str">
        <f>+Modificaciones!AK113</f>
        <v/>
      </c>
      <c r="W113" s="825">
        <f t="shared" si="17"/>
        <v>41667</v>
      </c>
      <c r="X113" s="59">
        <f t="shared" si="13"/>
        <v>28000000</v>
      </c>
      <c r="Y113" s="151">
        <f>VLOOKUP(E113,Modificaciones!$B$7:$BE$300,56,0)</f>
        <v>28000000</v>
      </c>
      <c r="Z113" s="84">
        <f t="shared" si="14"/>
        <v>0</v>
      </c>
      <c r="AA113" s="283" t="s">
        <v>1094</v>
      </c>
      <c r="AB113" s="40">
        <f t="shared" si="15"/>
        <v>1</v>
      </c>
      <c r="AC113" s="40">
        <f t="shared" ca="1" si="18"/>
        <v>1</v>
      </c>
      <c r="AD113" s="41">
        <f t="shared" ca="1" si="19"/>
        <v>0</v>
      </c>
      <c r="AE113" s="181" t="str">
        <f t="shared" ca="1" si="20"/>
        <v/>
      </c>
      <c r="AF113" s="42" t="str">
        <f t="shared" si="16"/>
        <v>SI</v>
      </c>
      <c r="AG113" s="42"/>
      <c r="AH113" s="152" t="s">
        <v>1255</v>
      </c>
      <c r="AI113" s="152" t="s">
        <v>1293</v>
      </c>
      <c r="AJ113" s="152"/>
      <c r="AL113" s="153"/>
      <c r="AM113" s="152" t="s">
        <v>901</v>
      </c>
      <c r="AN113" s="161" t="str">
        <f t="shared" ca="1" si="21"/>
        <v>TERMINO</v>
      </c>
      <c r="AO113" s="160" t="s">
        <v>582</v>
      </c>
      <c r="AP113" s="155" t="s">
        <v>391</v>
      </c>
      <c r="AQ113" s="819" t="str">
        <f>IFERROR(VLOOKUP(E113,'liquidaciones '!$B$2:$C$1048576,2,0),"NO")</f>
        <v>NO</v>
      </c>
      <c r="AR113" s="909" t="str">
        <f>IFERROR(VLOOKUP(E113,'liquidaciones '!$B$2:$I$1048576,8,0),"")</f>
        <v/>
      </c>
      <c r="AS113" s="308"/>
      <c r="AT113" s="156" t="str">
        <f t="shared" ca="1" si="22"/>
        <v>NO</v>
      </c>
      <c r="AU113" s="156" t="s">
        <v>1570</v>
      </c>
      <c r="AV113" s="406"/>
      <c r="AW113" s="928"/>
      <c r="AX113" s="928"/>
      <c r="AY113" s="928"/>
    </row>
    <row r="114" spans="1:51" ht="47.25" customHeight="1" x14ac:dyDescent="0.3">
      <c r="A114" s="14">
        <v>4</v>
      </c>
      <c r="B114" s="14">
        <v>108</v>
      </c>
      <c r="C114" s="410"/>
      <c r="D114" s="410" t="str">
        <f t="shared" si="12"/>
        <v>2013</v>
      </c>
      <c r="E114" s="120" t="s">
        <v>141</v>
      </c>
      <c r="F114" s="120" t="s">
        <v>142</v>
      </c>
      <c r="G114" s="1046">
        <v>800026212</v>
      </c>
      <c r="H114" s="957" t="s">
        <v>471</v>
      </c>
      <c r="I114" s="121">
        <v>266580829</v>
      </c>
      <c r="J114" s="821" t="s">
        <v>5272</v>
      </c>
      <c r="K114" s="122">
        <v>2013</v>
      </c>
      <c r="L114" s="519" t="s">
        <v>1087</v>
      </c>
      <c r="M114" s="124">
        <v>41457</v>
      </c>
      <c r="N114" s="124">
        <v>41501</v>
      </c>
      <c r="O114" s="1099" t="str">
        <f>IF(+Modificaciones!I114=0,"",VLOOKUP(E114,Modificaciones!$B$7:$I$2400,8,0))</f>
        <v/>
      </c>
      <c r="P114" s="115">
        <f>COUNTA(Modificaciones!J114,Modificaciones!L114,Modificaciones!N114,Modificaciones!P114)</f>
        <v>0</v>
      </c>
      <c r="Q114" s="116">
        <f>VLOOKUP(E114,Modificaciones!$B$7:$R$300,17,0)</f>
        <v>0</v>
      </c>
      <c r="R114" s="117">
        <f>COUNTA(Modificaciones!T114,Modificaciones!V114,Modificaciones!X114,Modificaciones!Z114)</f>
        <v>0</v>
      </c>
      <c r="S114" s="118" t="str">
        <f>IF(Modificaciones!AA114=0,"",VLOOKUP(E114,Modificaciones!$B$7:$AA$400,26,0))</f>
        <v/>
      </c>
      <c r="T114" s="119" t="str">
        <f>IF(Modificaciones!AB114=0,"",VLOOKUP(E114,Modificaciones!$B$7:$AB$400,27,0))</f>
        <v/>
      </c>
      <c r="U114" s="1080" t="str">
        <f>+Modificaciones!AC114</f>
        <v/>
      </c>
      <c r="V114" s="825" t="str">
        <f>+Modificaciones!AK114</f>
        <v/>
      </c>
      <c r="W114" s="825">
        <f t="shared" si="17"/>
        <v>41501</v>
      </c>
      <c r="X114" s="59">
        <f t="shared" si="13"/>
        <v>266580829</v>
      </c>
      <c r="Y114" s="151">
        <f>VLOOKUP(E114,Modificaciones!$B$7:$BE$300,56,0)</f>
        <v>266580829</v>
      </c>
      <c r="Z114" s="84">
        <f t="shared" si="14"/>
        <v>0</v>
      </c>
      <c r="AA114" s="286"/>
      <c r="AB114" s="40">
        <f t="shared" si="15"/>
        <v>1</v>
      </c>
      <c r="AC114" s="40">
        <f t="shared" ca="1" si="18"/>
        <v>1</v>
      </c>
      <c r="AD114" s="41">
        <f t="shared" ca="1" si="19"/>
        <v>0</v>
      </c>
      <c r="AE114" s="181" t="str">
        <f t="shared" ca="1" si="20"/>
        <v/>
      </c>
      <c r="AF114" s="42" t="str">
        <f t="shared" si="16"/>
        <v>SI</v>
      </c>
      <c r="AG114" s="42"/>
      <c r="AH114" s="152" t="s">
        <v>1256</v>
      </c>
      <c r="AI114" s="152" t="s">
        <v>1292</v>
      </c>
      <c r="AJ114" s="152" t="s">
        <v>1438</v>
      </c>
      <c r="AK114" s="255" t="s">
        <v>560</v>
      </c>
      <c r="AL114" s="153"/>
      <c r="AM114" s="152" t="s">
        <v>901</v>
      </c>
      <c r="AN114" s="161" t="str">
        <f t="shared" ca="1" si="21"/>
        <v>TERMINO</v>
      </c>
      <c r="AO114" s="160" t="s">
        <v>921</v>
      </c>
      <c r="AP114" s="155" t="s">
        <v>390</v>
      </c>
      <c r="AQ114" s="819" t="str">
        <f>IFERROR(VLOOKUP(E114,'liquidaciones '!$B$2:$C$1048576,2,0),"NO")</f>
        <v>LIQUIDADO</v>
      </c>
      <c r="AR114" s="909">
        <f>IFERROR(VLOOKUP(E114,'liquidaciones '!$B$2:$I$1048576,8,0),"")</f>
        <v>0</v>
      </c>
      <c r="AS114" s="308">
        <v>42118</v>
      </c>
      <c r="AT114" s="156" t="str">
        <f t="shared" ca="1" si="22"/>
        <v>NO</v>
      </c>
      <c r="AU114" s="156" t="s">
        <v>1570</v>
      </c>
      <c r="AV114" s="406"/>
      <c r="AW114" s="928"/>
      <c r="AX114" s="928"/>
      <c r="AY114" s="928"/>
    </row>
    <row r="115" spans="1:51" ht="47.25" customHeight="1" x14ac:dyDescent="0.3">
      <c r="A115" s="14">
        <v>4</v>
      </c>
      <c r="B115" s="14">
        <v>109</v>
      </c>
      <c r="C115" s="410"/>
      <c r="D115" s="410" t="str">
        <f t="shared" si="12"/>
        <v>2013</v>
      </c>
      <c r="E115" s="120" t="s">
        <v>143</v>
      </c>
      <c r="F115" s="120" t="s">
        <v>144</v>
      </c>
      <c r="G115" s="1046">
        <v>900450570</v>
      </c>
      <c r="H115" s="957" t="s">
        <v>358</v>
      </c>
      <c r="I115" s="121">
        <v>232000000</v>
      </c>
      <c r="J115" s="121" t="s">
        <v>1087</v>
      </c>
      <c r="K115" s="122">
        <v>2013</v>
      </c>
      <c r="L115" s="519" t="s">
        <v>1087</v>
      </c>
      <c r="M115" s="123">
        <v>41463</v>
      </c>
      <c r="N115" s="123">
        <v>41766</v>
      </c>
      <c r="O115" s="1099" t="str">
        <f>IF(+Modificaciones!I115=0,"",VLOOKUP(E115,Modificaciones!$B$7:$I$2400,8,0))</f>
        <v/>
      </c>
      <c r="P115" s="115">
        <f>COUNTA(Modificaciones!J115,Modificaciones!L115,Modificaciones!N115,Modificaciones!P115)</f>
        <v>2</v>
      </c>
      <c r="Q115" s="116">
        <f>VLOOKUP(E115,Modificaciones!$B$7:$R$300,17,0)</f>
        <v>116897514</v>
      </c>
      <c r="R115" s="117">
        <f>COUNTA(Modificaciones!T115,Modificaciones!V115,Modificaciones!X115,Modificaciones!Z115)</f>
        <v>1</v>
      </c>
      <c r="S115" s="118" t="str">
        <f>IF(Modificaciones!AA115=0,"",VLOOKUP(E115,Modificaciones!$B$7:$AA$400,26,0))</f>
        <v>2 meses y 22 días</v>
      </c>
      <c r="T115" s="119">
        <f>IF(Modificaciones!AB115=0,"",VLOOKUP(E115,Modificaciones!$B$7:$AB$400,27,0))</f>
        <v>41849</v>
      </c>
      <c r="U115" s="1080" t="str">
        <f>+Modificaciones!AC115</f>
        <v/>
      </c>
      <c r="V115" s="825" t="str">
        <f>+Modificaciones!AK115</f>
        <v/>
      </c>
      <c r="W115" s="825">
        <f t="shared" si="17"/>
        <v>41849</v>
      </c>
      <c r="X115" s="59">
        <f t="shared" si="13"/>
        <v>348897514</v>
      </c>
      <c r="Y115" s="151">
        <f>VLOOKUP(E115,Modificaciones!$B$7:$BE$300,56,0)</f>
        <v>348897514</v>
      </c>
      <c r="Z115" s="84">
        <f t="shared" si="14"/>
        <v>0</v>
      </c>
      <c r="AA115" s="283" t="s">
        <v>1094</v>
      </c>
      <c r="AB115" s="40">
        <f t="shared" si="15"/>
        <v>1</v>
      </c>
      <c r="AC115" s="40">
        <f t="shared" ca="1" si="18"/>
        <v>1</v>
      </c>
      <c r="AD115" s="41">
        <f t="shared" ca="1" si="19"/>
        <v>0</v>
      </c>
      <c r="AE115" s="181" t="str">
        <f t="shared" ca="1" si="20"/>
        <v/>
      </c>
      <c r="AF115" s="42" t="str">
        <f t="shared" si="16"/>
        <v>SI</v>
      </c>
      <c r="AG115" s="42"/>
      <c r="AH115" s="152" t="s">
        <v>1255</v>
      </c>
      <c r="AI115" s="152" t="s">
        <v>1145</v>
      </c>
      <c r="AJ115" s="152" t="s">
        <v>1441</v>
      </c>
      <c r="AK115" s="255" t="s">
        <v>560</v>
      </c>
      <c r="AL115" s="153" t="s">
        <v>1318</v>
      </c>
      <c r="AM115" s="152" t="s">
        <v>901</v>
      </c>
      <c r="AN115" s="161" t="str">
        <f t="shared" ca="1" si="21"/>
        <v>TERMINO</v>
      </c>
      <c r="AO115" s="160" t="s">
        <v>582</v>
      </c>
      <c r="AP115" s="155" t="s">
        <v>390</v>
      </c>
      <c r="AQ115" s="819" t="str">
        <f>IFERROR(VLOOKUP(E115,'liquidaciones '!$B$2:$C$1048576,2,0),"NO")</f>
        <v>LIQUIDADO</v>
      </c>
      <c r="AR115" s="909">
        <f>IFERROR(VLOOKUP(E115,'liquidaciones '!$B$2:$I$1048576,8,0),"")</f>
        <v>0</v>
      </c>
      <c r="AS115" s="312">
        <v>42081</v>
      </c>
      <c r="AT115" s="156" t="str">
        <f t="shared" ca="1" si="22"/>
        <v>NO</v>
      </c>
      <c r="AU115" s="156" t="s">
        <v>1570</v>
      </c>
      <c r="AV115" s="406"/>
      <c r="AW115" s="928"/>
      <c r="AX115" s="928"/>
      <c r="AY115" s="928"/>
    </row>
    <row r="116" spans="1:51" s="209" customFormat="1" ht="47.25" customHeight="1" x14ac:dyDescent="0.3">
      <c r="A116" s="14">
        <v>4</v>
      </c>
      <c r="B116" s="373">
        <v>110</v>
      </c>
      <c r="C116" s="413"/>
      <c r="D116" s="410" t="str">
        <f t="shared" si="12"/>
        <v>2013</v>
      </c>
      <c r="E116" s="120" t="s">
        <v>145</v>
      </c>
      <c r="F116" s="120" t="s">
        <v>43</v>
      </c>
      <c r="G116" s="1046">
        <v>830100153</v>
      </c>
      <c r="H116" s="957" t="s">
        <v>1460</v>
      </c>
      <c r="I116" s="121">
        <v>23246000</v>
      </c>
      <c r="J116" s="821" t="s">
        <v>5695</v>
      </c>
      <c r="K116" s="122">
        <v>2013</v>
      </c>
      <c r="L116" s="519" t="s">
        <v>1087</v>
      </c>
      <c r="M116" s="124">
        <v>41463</v>
      </c>
      <c r="N116" s="202">
        <v>41646</v>
      </c>
      <c r="O116" s="1099" t="str">
        <f>IF(+Modificaciones!I116=0,"",VLOOKUP(E116,Modificaciones!$B$7:$I$2400,8,0))</f>
        <v/>
      </c>
      <c r="P116" s="115">
        <f>COUNTA(Modificaciones!J116,Modificaciones!L116,Modificaciones!N116,Modificaciones!P116)</f>
        <v>0</v>
      </c>
      <c r="Q116" s="116">
        <f>VLOOKUP(E116,Modificaciones!$B$7:$R$300,17,0)</f>
        <v>0</v>
      </c>
      <c r="R116" s="117">
        <f>COUNTA(Modificaciones!T116,Modificaciones!V116,Modificaciones!X116,Modificaciones!Z116)</f>
        <v>2</v>
      </c>
      <c r="S116" s="118" t="str">
        <f>IF(Modificaciones!AA116=0,"",VLOOKUP(E116,Modificaciones!$B$7:$AA$400,26,0))</f>
        <v>3 meses</v>
      </c>
      <c r="T116" s="119">
        <f>IF(Modificaciones!AB116=0,"",VLOOKUP(E116,Modificaciones!$B$7:$AB$400,27,0))</f>
        <v>41736</v>
      </c>
      <c r="U116" s="1080" t="str">
        <f>+Modificaciones!AC116</f>
        <v/>
      </c>
      <c r="V116" s="825" t="str">
        <f>+Modificaciones!AK116</f>
        <v/>
      </c>
      <c r="W116" s="825">
        <f t="shared" si="17"/>
        <v>41736</v>
      </c>
      <c r="X116" s="59">
        <f t="shared" si="13"/>
        <v>23246000</v>
      </c>
      <c r="Y116" s="151">
        <f>VLOOKUP(E116,Modificaciones!$B$7:$BE$300,56,0)</f>
        <v>19772977</v>
      </c>
      <c r="Z116" s="203">
        <f t="shared" si="14"/>
        <v>3473023</v>
      </c>
      <c r="AA116" s="283" t="s">
        <v>1094</v>
      </c>
      <c r="AB116" s="204">
        <f t="shared" si="15"/>
        <v>0.85059696291835152</v>
      </c>
      <c r="AC116" s="40">
        <f t="shared" ca="1" si="18"/>
        <v>1</v>
      </c>
      <c r="AD116" s="41">
        <f t="shared" ca="1" si="19"/>
        <v>0.14940303708164848</v>
      </c>
      <c r="AE116" s="181" t="str">
        <f t="shared" ca="1" si="20"/>
        <v/>
      </c>
      <c r="AF116" s="205" t="str">
        <f t="shared" si="16"/>
        <v>NO</v>
      </c>
      <c r="AG116" s="205"/>
      <c r="AH116" s="152" t="s">
        <v>1255</v>
      </c>
      <c r="AI116" s="206" t="s">
        <v>1134</v>
      </c>
      <c r="AJ116" s="152"/>
      <c r="AK116" s="255"/>
      <c r="AL116" s="207" t="s">
        <v>1505</v>
      </c>
      <c r="AM116" s="206" t="s">
        <v>901</v>
      </c>
      <c r="AN116" s="161" t="str">
        <f t="shared" ca="1" si="21"/>
        <v>TERMINO</v>
      </c>
      <c r="AO116" s="160" t="s">
        <v>576</v>
      </c>
      <c r="AP116" s="208" t="s">
        <v>390</v>
      </c>
      <c r="AQ116" s="819" t="str">
        <f>IFERROR(VLOOKUP(E116,'liquidaciones '!$B$2:$C$1048576,2,0),"NO")</f>
        <v>LIQUIDADO</v>
      </c>
      <c r="AR116" s="909">
        <f>IFERROR(VLOOKUP(E116,'liquidaciones '!$B$2:$I$1048576,8,0),"")</f>
        <v>0</v>
      </c>
      <c r="AS116" s="313">
        <v>42004</v>
      </c>
      <c r="AT116" s="156" t="str">
        <f t="shared" ca="1" si="22"/>
        <v>NO</v>
      </c>
      <c r="AU116" s="156" t="s">
        <v>1570</v>
      </c>
      <c r="AV116" s="406"/>
      <c r="AW116" s="929"/>
      <c r="AX116" s="929"/>
      <c r="AY116" s="929"/>
    </row>
    <row r="117" spans="1:51" ht="47.25" customHeight="1" x14ac:dyDescent="0.3">
      <c r="A117" s="14">
        <v>4</v>
      </c>
      <c r="B117" s="14">
        <v>111</v>
      </c>
      <c r="C117" s="410"/>
      <c r="D117" s="410" t="str">
        <f t="shared" si="12"/>
        <v>2013</v>
      </c>
      <c r="E117" s="120" t="s">
        <v>146</v>
      </c>
      <c r="F117" s="120" t="s">
        <v>1017</v>
      </c>
      <c r="G117" s="1046">
        <v>900548648</v>
      </c>
      <c r="H117" s="957" t="s">
        <v>313</v>
      </c>
      <c r="I117" s="121">
        <v>301200000</v>
      </c>
      <c r="J117" s="821" t="s">
        <v>5689</v>
      </c>
      <c r="K117" s="122">
        <v>2013</v>
      </c>
      <c r="L117" s="519" t="s">
        <v>1087</v>
      </c>
      <c r="M117" s="124">
        <v>41446</v>
      </c>
      <c r="N117" s="124">
        <v>41718</v>
      </c>
      <c r="O117" s="1099" t="str">
        <f>IF(+Modificaciones!I117=0,"",VLOOKUP(E117,Modificaciones!$B$7:$I$2400,8,0))</f>
        <v/>
      </c>
      <c r="P117" s="115">
        <f>COUNTA(Modificaciones!J117,Modificaciones!L117,Modificaciones!N117,Modificaciones!P117)</f>
        <v>1</v>
      </c>
      <c r="Q117" s="116">
        <f>VLOOKUP(E117,Modificaciones!$B$7:$R$300,17,0)</f>
        <v>20373359</v>
      </c>
      <c r="R117" s="117">
        <f>COUNTA(Modificaciones!T117,Modificaciones!V117,Modificaciones!X117,Modificaciones!Z117)</f>
        <v>2</v>
      </c>
      <c r="S117" s="118" t="str">
        <f>IF(Modificaciones!AA117=0,"",VLOOKUP(E117,Modificaciones!$B$7:$AA$400,26,0))</f>
        <v>3 meses</v>
      </c>
      <c r="T117" s="119">
        <f>IF(Modificaciones!AB117=0,"",VLOOKUP(E117,Modificaciones!$B$7:$AB$400,27,0))</f>
        <v>41810</v>
      </c>
      <c r="U117" s="1080" t="str">
        <f>+Modificaciones!AC117</f>
        <v/>
      </c>
      <c r="V117" s="825" t="str">
        <f>+Modificaciones!AK117</f>
        <v/>
      </c>
      <c r="W117" s="825">
        <f t="shared" si="17"/>
        <v>41810</v>
      </c>
      <c r="X117" s="59">
        <f t="shared" si="13"/>
        <v>321573359</v>
      </c>
      <c r="Y117" s="151">
        <f>VLOOKUP(E117,Modificaciones!$B$7:$BE$300,56,0)</f>
        <v>317232018</v>
      </c>
      <c r="Z117" s="84">
        <f t="shared" si="14"/>
        <v>4341341</v>
      </c>
      <c r="AA117" s="286"/>
      <c r="AB117" s="40">
        <f t="shared" si="15"/>
        <v>0.98649968699677015</v>
      </c>
      <c r="AC117" s="40">
        <f t="shared" ca="1" si="18"/>
        <v>1</v>
      </c>
      <c r="AD117" s="41">
        <f t="shared" ca="1" si="19"/>
        <v>1.3500313003229847E-2</v>
      </c>
      <c r="AE117" s="181" t="str">
        <f t="shared" ca="1" si="20"/>
        <v/>
      </c>
      <c r="AF117" s="42" t="str">
        <f t="shared" si="16"/>
        <v>NO</v>
      </c>
      <c r="AG117" s="42"/>
      <c r="AH117" s="152" t="s">
        <v>1255</v>
      </c>
      <c r="AI117" s="152" t="s">
        <v>1137</v>
      </c>
      <c r="AJ117" s="152" t="s">
        <v>1441</v>
      </c>
      <c r="AK117" s="255" t="s">
        <v>560</v>
      </c>
      <c r="AL117" s="153" t="s">
        <v>1378</v>
      </c>
      <c r="AM117" s="152" t="s">
        <v>905</v>
      </c>
      <c r="AN117" s="161" t="str">
        <f t="shared" ca="1" si="21"/>
        <v>TERMINO</v>
      </c>
      <c r="AO117" s="160" t="s">
        <v>921</v>
      </c>
      <c r="AP117" s="155" t="s">
        <v>390</v>
      </c>
      <c r="AQ117" s="819" t="str">
        <f>IFERROR(VLOOKUP(E117,'liquidaciones '!$B$2:$C$1048576,2,0),"NO")</f>
        <v>LIQUIDADO</v>
      </c>
      <c r="AR117" s="909">
        <f>IFERROR(VLOOKUP(E117,'liquidaciones '!$B$2:$I$1048576,8,0),"")</f>
        <v>0</v>
      </c>
      <c r="AS117" s="312"/>
      <c r="AT117" s="156" t="str">
        <f t="shared" ca="1" si="22"/>
        <v>NO</v>
      </c>
      <c r="AU117" s="156" t="s">
        <v>1570</v>
      </c>
      <c r="AV117" s="406"/>
      <c r="AW117" s="928"/>
      <c r="AX117" s="928"/>
      <c r="AY117" s="928"/>
    </row>
    <row r="118" spans="1:51" ht="57" customHeight="1" x14ac:dyDescent="0.3">
      <c r="A118" s="14">
        <v>4</v>
      </c>
      <c r="B118" s="14">
        <v>112</v>
      </c>
      <c r="C118" s="410"/>
      <c r="D118" s="410" t="str">
        <f t="shared" si="12"/>
        <v>2013</v>
      </c>
      <c r="E118" s="120" t="s">
        <v>147</v>
      </c>
      <c r="F118" s="120" t="s">
        <v>148</v>
      </c>
      <c r="G118" s="1046">
        <v>80422654</v>
      </c>
      <c r="H118" s="957" t="s">
        <v>472</v>
      </c>
      <c r="I118" s="121">
        <v>15797970</v>
      </c>
      <c r="J118" s="821" t="s">
        <v>5697</v>
      </c>
      <c r="K118" s="122">
        <v>2013</v>
      </c>
      <c r="L118" s="519" t="s">
        <v>1087</v>
      </c>
      <c r="M118" s="124">
        <v>41464</v>
      </c>
      <c r="N118" s="124">
        <v>41737</v>
      </c>
      <c r="O118" s="1099" t="str">
        <f>IF(+Modificaciones!I118=0,"",VLOOKUP(E118,Modificaciones!$B$7:$I$2400,8,0))</f>
        <v/>
      </c>
      <c r="P118" s="115">
        <f>COUNTA(Modificaciones!J118,Modificaciones!L118,Modificaciones!N118,Modificaciones!P118)</f>
        <v>2</v>
      </c>
      <c r="Q118" s="116">
        <f>VLOOKUP(E118,Modificaciones!$B$7:$R$300,17,0)</f>
        <v>6494721</v>
      </c>
      <c r="R118" s="117">
        <f>COUNTA(Modificaciones!T118,Modificaciones!V118,Modificaciones!X118,Modificaciones!Z118)</f>
        <v>2</v>
      </c>
      <c r="S118" s="118" t="str">
        <f>IF(Modificaciones!AA118=0,"",VLOOKUP(E118,Modificaciones!$B$7:$AA$400,26,0))</f>
        <v>3 meses y 21 días</v>
      </c>
      <c r="T118" s="119">
        <f>IF(Modificaciones!AB118=0,"",VLOOKUP(E118,Modificaciones!$B$7:$AB$400,27,0))</f>
        <v>41851</v>
      </c>
      <c r="U118" s="1080" t="str">
        <f>+Modificaciones!AC118</f>
        <v/>
      </c>
      <c r="V118" s="825" t="str">
        <f>+Modificaciones!AK118</f>
        <v/>
      </c>
      <c r="W118" s="825">
        <f t="shared" si="17"/>
        <v>41851</v>
      </c>
      <c r="X118" s="59">
        <f t="shared" si="13"/>
        <v>22292691</v>
      </c>
      <c r="Y118" s="151">
        <f>VLOOKUP(E118,Modificaciones!$B$7:$BE$300,56,0)</f>
        <v>22292691</v>
      </c>
      <c r="Z118" s="84">
        <f t="shared" si="14"/>
        <v>0</v>
      </c>
      <c r="AA118" s="286" t="s">
        <v>1400</v>
      </c>
      <c r="AB118" s="40">
        <f t="shared" si="15"/>
        <v>1</v>
      </c>
      <c r="AC118" s="40">
        <f t="shared" ca="1" si="18"/>
        <v>1</v>
      </c>
      <c r="AD118" s="41">
        <f t="shared" ca="1" si="19"/>
        <v>0</v>
      </c>
      <c r="AE118" s="181" t="str">
        <f t="shared" ca="1" si="20"/>
        <v/>
      </c>
      <c r="AF118" s="42" t="str">
        <f t="shared" si="16"/>
        <v>SI</v>
      </c>
      <c r="AG118" s="42"/>
      <c r="AH118" s="152" t="s">
        <v>1255</v>
      </c>
      <c r="AI118" s="152" t="s">
        <v>1140</v>
      </c>
      <c r="AJ118" s="152"/>
      <c r="AL118" s="153"/>
      <c r="AM118" s="152" t="s">
        <v>901</v>
      </c>
      <c r="AN118" s="161" t="str">
        <f t="shared" ca="1" si="21"/>
        <v>TERMINO</v>
      </c>
      <c r="AO118" s="160" t="s">
        <v>576</v>
      </c>
      <c r="AP118" s="155" t="s">
        <v>390</v>
      </c>
      <c r="AQ118" s="819" t="str">
        <f>IFERROR(VLOOKUP(E118,'liquidaciones '!$B$2:$C$1048576,2,0),"NO")</f>
        <v>EN TRÁMITE</v>
      </c>
      <c r="AR118" s="909">
        <f>IFERROR(VLOOKUP(E118,'liquidaciones '!$B$2:$I$1048576,8,0),"")</f>
        <v>0</v>
      </c>
      <c r="AS118" s="312"/>
      <c r="AT118" s="156" t="str">
        <f t="shared" ca="1" si="22"/>
        <v>NO</v>
      </c>
      <c r="AU118" s="156" t="s">
        <v>1570</v>
      </c>
      <c r="AV118" s="406"/>
      <c r="AW118" s="928"/>
      <c r="AX118" s="928"/>
      <c r="AY118" s="928"/>
    </row>
    <row r="119" spans="1:51" ht="66.75" customHeight="1" x14ac:dyDescent="0.3">
      <c r="A119" s="14">
        <v>4</v>
      </c>
      <c r="B119" s="14">
        <v>113</v>
      </c>
      <c r="C119" s="410"/>
      <c r="D119" s="410" t="str">
        <f t="shared" si="12"/>
        <v>2013</v>
      </c>
      <c r="E119" s="120" t="s">
        <v>155</v>
      </c>
      <c r="F119" s="120" t="s">
        <v>1034</v>
      </c>
      <c r="G119" s="1046">
        <v>4098836</v>
      </c>
      <c r="H119" s="957" t="s">
        <v>359</v>
      </c>
      <c r="I119" s="126">
        <v>23989000</v>
      </c>
      <c r="J119" s="121" t="s">
        <v>1087</v>
      </c>
      <c r="K119" s="122">
        <v>2013</v>
      </c>
      <c r="L119" s="519" t="s">
        <v>1087</v>
      </c>
      <c r="M119" s="124">
        <v>41457</v>
      </c>
      <c r="N119" s="124">
        <v>41671</v>
      </c>
      <c r="O119" s="1099" t="str">
        <f>IF(+Modificaciones!I119=0,"",VLOOKUP(E119,Modificaciones!$B$7:$I$2400,8,0))</f>
        <v/>
      </c>
      <c r="P119" s="115">
        <f>COUNTA(Modificaciones!J119,Modificaciones!L119,Modificaciones!N119,Modificaciones!P119)</f>
        <v>0</v>
      </c>
      <c r="Q119" s="116">
        <f>VLOOKUP(E119,Modificaciones!$B$7:$R$300,17,0)</f>
        <v>0</v>
      </c>
      <c r="R119" s="117">
        <f>COUNTA(Modificaciones!T119,Modificaciones!V119,Modificaciones!X119,Modificaciones!Z119)</f>
        <v>0</v>
      </c>
      <c r="S119" s="118" t="str">
        <f>IF(Modificaciones!AA119=0,"",VLOOKUP(E119,Modificaciones!$B$7:$AA$400,26,0))</f>
        <v/>
      </c>
      <c r="T119" s="119" t="str">
        <f>IF(Modificaciones!AB119=0,"",VLOOKUP(E119,Modificaciones!$B$7:$AB$400,27,0))</f>
        <v/>
      </c>
      <c r="U119" s="1080" t="str">
        <f>+Modificaciones!AC119</f>
        <v/>
      </c>
      <c r="V119" s="825" t="str">
        <f>+Modificaciones!AK119</f>
        <v/>
      </c>
      <c r="W119" s="825">
        <f t="shared" si="17"/>
        <v>41671</v>
      </c>
      <c r="X119" s="59">
        <f t="shared" si="13"/>
        <v>23989000</v>
      </c>
      <c r="Y119" s="151">
        <f>VLOOKUP(E119,Modificaciones!$B$7:$BE$300,56,0)</f>
        <v>23989000</v>
      </c>
      <c r="Z119" s="84">
        <f t="shared" si="14"/>
        <v>0</v>
      </c>
      <c r="AA119" s="283" t="s">
        <v>1094</v>
      </c>
      <c r="AB119" s="40">
        <f t="shared" si="15"/>
        <v>1</v>
      </c>
      <c r="AC119" s="40">
        <f t="shared" ca="1" si="18"/>
        <v>1</v>
      </c>
      <c r="AD119" s="41">
        <f t="shared" ca="1" si="19"/>
        <v>0</v>
      </c>
      <c r="AE119" s="181" t="str">
        <f t="shared" ca="1" si="20"/>
        <v/>
      </c>
      <c r="AF119" s="42" t="str">
        <f t="shared" si="16"/>
        <v>SI</v>
      </c>
      <c r="AG119" s="42"/>
      <c r="AH119" s="152" t="s">
        <v>1255</v>
      </c>
      <c r="AI119" s="152" t="s">
        <v>1130</v>
      </c>
      <c r="AJ119" s="152" t="s">
        <v>1176</v>
      </c>
      <c r="AK119" s="255" t="s">
        <v>559</v>
      </c>
      <c r="AL119" s="153"/>
      <c r="AM119" s="152" t="s">
        <v>901</v>
      </c>
      <c r="AN119" s="161" t="str">
        <f t="shared" ca="1" si="21"/>
        <v>TERMINO</v>
      </c>
      <c r="AO119" s="160" t="s">
        <v>582</v>
      </c>
      <c r="AP119" s="155" t="s">
        <v>391</v>
      </c>
      <c r="AQ119" s="819" t="str">
        <f>IFERROR(VLOOKUP(E119,'liquidaciones '!$B$2:$C$1048576,2,0),"NO")</f>
        <v>NO</v>
      </c>
      <c r="AR119" s="909" t="str">
        <f>IFERROR(VLOOKUP(E119,'liquidaciones '!$B$2:$I$1048576,8,0),"")</f>
        <v/>
      </c>
      <c r="AS119" s="308">
        <v>41710</v>
      </c>
      <c r="AT119" s="156" t="str">
        <f t="shared" ca="1" si="22"/>
        <v>NO</v>
      </c>
      <c r="AU119" s="156" t="s">
        <v>1570</v>
      </c>
      <c r="AV119" s="406"/>
      <c r="AW119" s="928"/>
      <c r="AX119" s="928"/>
      <c r="AY119" s="928"/>
    </row>
    <row r="120" spans="1:51" ht="47.25" customHeight="1" x14ac:dyDescent="0.3">
      <c r="A120" s="14">
        <v>4</v>
      </c>
      <c r="B120" s="14">
        <v>114</v>
      </c>
      <c r="C120" s="410"/>
      <c r="D120" s="410" t="str">
        <f t="shared" si="12"/>
        <v>2013</v>
      </c>
      <c r="E120" s="120" t="s">
        <v>156</v>
      </c>
      <c r="F120" s="120" t="s">
        <v>53</v>
      </c>
      <c r="G120" s="1046">
        <v>4831</v>
      </c>
      <c r="H120" s="957" t="s">
        <v>332</v>
      </c>
      <c r="I120" s="121">
        <v>13576000</v>
      </c>
      <c r="J120" s="821" t="s">
        <v>5282</v>
      </c>
      <c r="K120" s="122">
        <v>2013</v>
      </c>
      <c r="L120" s="519" t="s">
        <v>1087</v>
      </c>
      <c r="M120" s="124">
        <v>41470</v>
      </c>
      <c r="N120" s="124">
        <v>41712</v>
      </c>
      <c r="O120" s="1099" t="str">
        <f>IF(+Modificaciones!I120=0,"",VLOOKUP(E120,Modificaciones!$B$7:$I$2400,8,0))</f>
        <v/>
      </c>
      <c r="P120" s="115">
        <f>COUNTA(Modificaciones!J120,Modificaciones!L120,Modificaciones!N120,Modificaciones!P120)</f>
        <v>1</v>
      </c>
      <c r="Q120" s="116">
        <f>VLOOKUP(E120,Modificaciones!$B$7:$R$300,17,0)</f>
        <v>6000000</v>
      </c>
      <c r="R120" s="117">
        <f>COUNTA(Modificaciones!T120,Modificaciones!V120,Modificaciones!X120,Modificaciones!Z120)</f>
        <v>0</v>
      </c>
      <c r="S120" s="118" t="str">
        <f>IF(Modificaciones!AA120=0,"",VLOOKUP(E120,Modificaciones!$B$7:$AA$400,26,0))</f>
        <v/>
      </c>
      <c r="T120" s="119" t="str">
        <f>IF(Modificaciones!AB120=0,"",VLOOKUP(E120,Modificaciones!$B$7:$AB$400,27,0))</f>
        <v/>
      </c>
      <c r="U120" s="1080" t="str">
        <f>+Modificaciones!AC120</f>
        <v/>
      </c>
      <c r="V120" s="825" t="str">
        <f>+Modificaciones!AK120</f>
        <v/>
      </c>
      <c r="W120" s="825">
        <f t="shared" si="17"/>
        <v>41712</v>
      </c>
      <c r="X120" s="59">
        <f t="shared" si="13"/>
        <v>19576000</v>
      </c>
      <c r="Y120" s="151">
        <f>VLOOKUP(E120,Modificaciones!$B$7:$BE$300,56,0)</f>
        <v>19571370</v>
      </c>
      <c r="Z120" s="84">
        <f t="shared" si="14"/>
        <v>4630</v>
      </c>
      <c r="AA120" s="283" t="s">
        <v>1094</v>
      </c>
      <c r="AB120" s="40">
        <f t="shared" si="15"/>
        <v>0.99976348590110342</v>
      </c>
      <c r="AC120" s="40">
        <f t="shared" ca="1" si="18"/>
        <v>1</v>
      </c>
      <c r="AD120" s="41">
        <f t="shared" ca="1" si="19"/>
        <v>2.365140988965786E-4</v>
      </c>
      <c r="AE120" s="181" t="str">
        <f t="shared" ca="1" si="20"/>
        <v/>
      </c>
      <c r="AF120" s="42" t="str">
        <f t="shared" si="16"/>
        <v>SI</v>
      </c>
      <c r="AG120" s="42"/>
      <c r="AH120" s="152" t="s">
        <v>1255</v>
      </c>
      <c r="AI120" s="152" t="s">
        <v>1125</v>
      </c>
      <c r="AJ120" s="152" t="s">
        <v>1441</v>
      </c>
      <c r="AK120" s="255" t="s">
        <v>560</v>
      </c>
      <c r="AL120" s="153" t="s">
        <v>1318</v>
      </c>
      <c r="AM120" s="152" t="s">
        <v>901</v>
      </c>
      <c r="AN120" s="161" t="str">
        <f t="shared" ca="1" si="21"/>
        <v>TERMINO</v>
      </c>
      <c r="AO120" s="160" t="s">
        <v>576</v>
      </c>
      <c r="AP120" s="155" t="s">
        <v>390</v>
      </c>
      <c r="AQ120" s="819" t="str">
        <f>IFERROR(VLOOKUP(E120,'liquidaciones '!$B$2:$C$1048576,2,0),"NO")</f>
        <v>LIQUIDADO</v>
      </c>
      <c r="AR120" s="909">
        <f>IFERROR(VLOOKUP(E120,'liquidaciones '!$B$2:$I$1048576,8,0),"")</f>
        <v>0</v>
      </c>
      <c r="AS120" s="312">
        <v>42012</v>
      </c>
      <c r="AT120" s="156" t="str">
        <f t="shared" ca="1" si="22"/>
        <v>NO</v>
      </c>
      <c r="AU120" s="156" t="s">
        <v>1570</v>
      </c>
      <c r="AV120" s="406"/>
      <c r="AW120" s="928"/>
      <c r="AX120" s="928"/>
      <c r="AY120" s="928"/>
    </row>
    <row r="121" spans="1:51" ht="47.25" customHeight="1" x14ac:dyDescent="0.3">
      <c r="A121" s="14">
        <v>4</v>
      </c>
      <c r="B121" s="14">
        <v>115</v>
      </c>
      <c r="C121" s="410"/>
      <c r="D121" s="410" t="str">
        <f t="shared" si="12"/>
        <v>2013</v>
      </c>
      <c r="E121" s="120" t="s">
        <v>157</v>
      </c>
      <c r="F121" s="120" t="s">
        <v>158</v>
      </c>
      <c r="G121" s="1046">
        <v>900090485</v>
      </c>
      <c r="H121" s="957" t="s">
        <v>473</v>
      </c>
      <c r="I121" s="121">
        <v>6499930</v>
      </c>
      <c r="J121" s="121" t="s">
        <v>1087</v>
      </c>
      <c r="K121" s="122">
        <v>2013</v>
      </c>
      <c r="L121" s="519" t="s">
        <v>1087</v>
      </c>
      <c r="M121" s="124">
        <v>41471</v>
      </c>
      <c r="N121" s="124">
        <v>41562</v>
      </c>
      <c r="O121" s="1099" t="str">
        <f>IF(+Modificaciones!I121=0,"",VLOOKUP(E121,Modificaciones!$B$7:$I$2400,8,0))</f>
        <v/>
      </c>
      <c r="P121" s="115">
        <f>COUNTA(Modificaciones!J121,Modificaciones!L121,Modificaciones!N121,Modificaciones!P121)</f>
        <v>0</v>
      </c>
      <c r="Q121" s="116">
        <f>VLOOKUP(E121,Modificaciones!$B$7:$R$300,17,0)</f>
        <v>0</v>
      </c>
      <c r="R121" s="117">
        <f>COUNTA(Modificaciones!T121,Modificaciones!V121,Modificaciones!X121,Modificaciones!Z121)</f>
        <v>0</v>
      </c>
      <c r="S121" s="118" t="str">
        <f>IF(Modificaciones!AA121=0,"",VLOOKUP(E121,Modificaciones!$B$7:$AA$400,26,0))</f>
        <v/>
      </c>
      <c r="T121" s="119" t="str">
        <f>IF(Modificaciones!AB121=0,"",VLOOKUP(E121,Modificaciones!$B$7:$AB$400,27,0))</f>
        <v/>
      </c>
      <c r="U121" s="1080" t="str">
        <f>+Modificaciones!AC121</f>
        <v/>
      </c>
      <c r="V121" s="825" t="str">
        <f>+Modificaciones!AK121</f>
        <v/>
      </c>
      <c r="W121" s="825">
        <f t="shared" si="17"/>
        <v>41562</v>
      </c>
      <c r="X121" s="59">
        <f t="shared" si="13"/>
        <v>6499930</v>
      </c>
      <c r="Y121" s="151">
        <f>VLOOKUP(E121,Modificaciones!$B$7:$BE$300,56,0)</f>
        <v>6499930</v>
      </c>
      <c r="Z121" s="84">
        <f t="shared" si="14"/>
        <v>0</v>
      </c>
      <c r="AA121" s="286"/>
      <c r="AB121" s="40">
        <f t="shared" si="15"/>
        <v>1</v>
      </c>
      <c r="AC121" s="40">
        <f t="shared" ca="1" si="18"/>
        <v>1</v>
      </c>
      <c r="AD121" s="41">
        <f t="shared" ca="1" si="19"/>
        <v>0</v>
      </c>
      <c r="AE121" s="181" t="str">
        <f t="shared" ca="1" si="20"/>
        <v/>
      </c>
      <c r="AF121" s="42" t="str">
        <f t="shared" si="16"/>
        <v>SI</v>
      </c>
      <c r="AG121" s="42"/>
      <c r="AH121" s="152" t="s">
        <v>1256</v>
      </c>
      <c r="AI121" s="152" t="s">
        <v>1295</v>
      </c>
      <c r="AJ121" s="152"/>
      <c r="AL121" s="153"/>
      <c r="AM121" s="152" t="s">
        <v>901</v>
      </c>
      <c r="AN121" s="161" t="str">
        <f t="shared" ca="1" si="21"/>
        <v>TERMINO</v>
      </c>
      <c r="AO121" s="160" t="s">
        <v>576</v>
      </c>
      <c r="AP121" s="155" t="s">
        <v>391</v>
      </c>
      <c r="AQ121" s="819" t="str">
        <f>IFERROR(VLOOKUP(E121,'liquidaciones '!$B$2:$C$1048576,2,0),"NO")</f>
        <v>NO</v>
      </c>
      <c r="AR121" s="909" t="str">
        <f>IFERROR(VLOOKUP(E121,'liquidaciones '!$B$2:$I$1048576,8,0),"")</f>
        <v/>
      </c>
      <c r="AS121" s="308"/>
      <c r="AT121" s="156" t="str">
        <f t="shared" ca="1" si="22"/>
        <v>NO</v>
      </c>
      <c r="AU121" s="156" t="s">
        <v>1570</v>
      </c>
      <c r="AV121" s="406"/>
      <c r="AW121" s="928"/>
      <c r="AX121" s="928"/>
      <c r="AY121" s="928"/>
    </row>
    <row r="122" spans="1:51" ht="47.25" customHeight="1" x14ac:dyDescent="0.3">
      <c r="A122" s="14">
        <v>4</v>
      </c>
      <c r="B122" s="14">
        <v>116</v>
      </c>
      <c r="C122" s="410"/>
      <c r="D122" s="410" t="str">
        <f t="shared" si="12"/>
        <v>2013</v>
      </c>
      <c r="E122" s="120" t="s">
        <v>159</v>
      </c>
      <c r="F122" s="120" t="s">
        <v>160</v>
      </c>
      <c r="G122" s="1048">
        <v>804002433</v>
      </c>
      <c r="H122" s="957" t="s">
        <v>474</v>
      </c>
      <c r="I122" s="121">
        <v>2367000</v>
      </c>
      <c r="J122" s="821" t="s">
        <v>4937</v>
      </c>
      <c r="K122" s="122">
        <v>2013</v>
      </c>
      <c r="L122" s="519" t="s">
        <v>1087</v>
      </c>
      <c r="M122" s="124">
        <v>41472</v>
      </c>
      <c r="N122" s="124">
        <v>41533</v>
      </c>
      <c r="O122" s="1099" t="str">
        <f>IF(+Modificaciones!I122=0,"",VLOOKUP(E122,Modificaciones!$B$7:$I$2400,8,0))</f>
        <v/>
      </c>
      <c r="P122" s="115">
        <f>COUNTA(Modificaciones!J122,Modificaciones!L122,Modificaciones!N122,Modificaciones!P122)</f>
        <v>0</v>
      </c>
      <c r="Q122" s="116">
        <f>VLOOKUP(E122,Modificaciones!$B$7:$R$300,17,0)</f>
        <v>0</v>
      </c>
      <c r="R122" s="117">
        <f>COUNTA(Modificaciones!T122,Modificaciones!V122,Modificaciones!X122,Modificaciones!Z122)</f>
        <v>0</v>
      </c>
      <c r="S122" s="118" t="str">
        <f>IF(Modificaciones!AA122=0,"",VLOOKUP(E122,Modificaciones!$B$7:$AA$400,26,0))</f>
        <v/>
      </c>
      <c r="T122" s="119" t="str">
        <f>IF(Modificaciones!AB122=0,"",VLOOKUP(E122,Modificaciones!$B$7:$AB$400,27,0))</f>
        <v/>
      </c>
      <c r="U122" s="1080" t="str">
        <f>+Modificaciones!AC122</f>
        <v/>
      </c>
      <c r="V122" s="825" t="str">
        <f>+Modificaciones!AK122</f>
        <v/>
      </c>
      <c r="W122" s="825">
        <f t="shared" si="17"/>
        <v>41533</v>
      </c>
      <c r="X122" s="59">
        <f t="shared" si="13"/>
        <v>2367000</v>
      </c>
      <c r="Y122" s="151">
        <f>VLOOKUP(E122,Modificaciones!$B$7:$BE$300,56,0)</f>
        <v>2367000</v>
      </c>
      <c r="Z122" s="84">
        <f t="shared" si="14"/>
        <v>0</v>
      </c>
      <c r="AA122" s="286" t="s">
        <v>1196</v>
      </c>
      <c r="AB122" s="40">
        <f t="shared" si="15"/>
        <v>1</v>
      </c>
      <c r="AC122" s="40">
        <f t="shared" ca="1" si="18"/>
        <v>1</v>
      </c>
      <c r="AD122" s="41">
        <f t="shared" ca="1" si="19"/>
        <v>0</v>
      </c>
      <c r="AE122" s="181" t="str">
        <f t="shared" ca="1" si="20"/>
        <v/>
      </c>
      <c r="AF122" s="42" t="str">
        <f t="shared" si="16"/>
        <v>SI</v>
      </c>
      <c r="AG122" s="42"/>
      <c r="AH122" s="152" t="s">
        <v>1255</v>
      </c>
      <c r="AI122" s="152" t="s">
        <v>1294</v>
      </c>
      <c r="AJ122" s="152"/>
      <c r="AL122" s="153"/>
      <c r="AM122" s="152" t="s">
        <v>901</v>
      </c>
      <c r="AN122" s="161" t="str">
        <f t="shared" ca="1" si="21"/>
        <v>TERMINO</v>
      </c>
      <c r="AO122" s="160" t="s">
        <v>576</v>
      </c>
      <c r="AP122" s="155" t="s">
        <v>390</v>
      </c>
      <c r="AQ122" s="819" t="str">
        <f>IFERROR(VLOOKUP(E122,'liquidaciones '!$B$2:$C$1048576,2,0),"NO")</f>
        <v>LIQUIDADO</v>
      </c>
      <c r="AR122" s="909">
        <f>IFERROR(VLOOKUP(E122,'liquidaciones '!$B$2:$I$1048576,8,0),"")</f>
        <v>0</v>
      </c>
      <c r="AS122" s="312">
        <v>41939</v>
      </c>
      <c r="AT122" s="156" t="str">
        <f t="shared" ca="1" si="22"/>
        <v>NO</v>
      </c>
      <c r="AU122" s="156" t="s">
        <v>1570</v>
      </c>
      <c r="AV122" s="406"/>
      <c r="AW122" s="928"/>
      <c r="AX122" s="928"/>
      <c r="AY122" s="928"/>
    </row>
    <row r="123" spans="1:51" ht="47.25" customHeight="1" x14ac:dyDescent="0.3">
      <c r="A123" s="14">
        <v>4</v>
      </c>
      <c r="B123" s="14">
        <v>117</v>
      </c>
      <c r="C123" s="410"/>
      <c r="D123" s="410" t="str">
        <f t="shared" si="12"/>
        <v>2013</v>
      </c>
      <c r="E123" s="120" t="s">
        <v>164</v>
      </c>
      <c r="F123" s="120" t="s">
        <v>165</v>
      </c>
      <c r="G123" s="1046">
        <v>900629446</v>
      </c>
      <c r="H123" s="957" t="s">
        <v>1443</v>
      </c>
      <c r="I123" s="121">
        <v>269441460</v>
      </c>
      <c r="J123" s="121" t="s">
        <v>1087</v>
      </c>
      <c r="K123" s="122">
        <v>2013</v>
      </c>
      <c r="L123" s="519" t="s">
        <v>1087</v>
      </c>
      <c r="M123" s="124">
        <v>41464</v>
      </c>
      <c r="N123" s="124">
        <v>41706</v>
      </c>
      <c r="O123" s="1099" t="str">
        <f>IF(+Modificaciones!I123=0,"",VLOOKUP(E123,Modificaciones!$B$7:$I$2400,8,0))</f>
        <v/>
      </c>
      <c r="P123" s="115">
        <f>COUNTA(Modificaciones!J123,Modificaciones!L123,Modificaciones!N123,Modificaciones!P123)</f>
        <v>0</v>
      </c>
      <c r="Q123" s="116">
        <f>VLOOKUP(E123,Modificaciones!$B$7:$R$300,17,0)</f>
        <v>0</v>
      </c>
      <c r="R123" s="117">
        <f>COUNTA(Modificaciones!T123,Modificaciones!V123,Modificaciones!X123,Modificaciones!Z123)</f>
        <v>2</v>
      </c>
      <c r="S123" s="118" t="str">
        <f>IF(Modificaciones!AA123=0,"",VLOOKUP(E123,Modificaciones!$B$7:$AA$400,26,0))</f>
        <v>3 meses y 23 días</v>
      </c>
      <c r="T123" s="119">
        <f>IF(Modificaciones!AB123=0,"",VLOOKUP(E123,Modificaciones!$B$7:$AB$400,27,0))</f>
        <v>41820</v>
      </c>
      <c r="U123" s="1080" t="str">
        <f>+Modificaciones!AC123</f>
        <v/>
      </c>
      <c r="V123" s="825" t="str">
        <f>+Modificaciones!AK123</f>
        <v/>
      </c>
      <c r="W123" s="825">
        <f t="shared" si="17"/>
        <v>41820</v>
      </c>
      <c r="X123" s="59">
        <f t="shared" si="13"/>
        <v>269441460</v>
      </c>
      <c r="Y123" s="151">
        <f>VLOOKUP(E123,Modificaciones!$B$7:$BE$300,56,0)</f>
        <v>265223666</v>
      </c>
      <c r="Z123" s="84">
        <f t="shared" si="14"/>
        <v>4217794</v>
      </c>
      <c r="AA123" s="283" t="s">
        <v>1094</v>
      </c>
      <c r="AB123" s="40">
        <f t="shared" si="15"/>
        <v>0.98434615815992088</v>
      </c>
      <c r="AC123" s="40">
        <f t="shared" ca="1" si="18"/>
        <v>1</v>
      </c>
      <c r="AD123" s="41">
        <f t="shared" ca="1" si="19"/>
        <v>1.5653841840079119E-2</v>
      </c>
      <c r="AE123" s="181" t="str">
        <f t="shared" ca="1" si="20"/>
        <v/>
      </c>
      <c r="AF123" s="42" t="str">
        <f t="shared" si="16"/>
        <v>NO</v>
      </c>
      <c r="AG123" s="42"/>
      <c r="AH123" s="152" t="s">
        <v>1255</v>
      </c>
      <c r="AI123" s="152" t="s">
        <v>1285</v>
      </c>
      <c r="AJ123" s="152"/>
      <c r="AL123" s="153"/>
      <c r="AM123" s="152" t="s">
        <v>903</v>
      </c>
      <c r="AN123" s="161" t="str">
        <f t="shared" ca="1" si="21"/>
        <v>TERMINO</v>
      </c>
      <c r="AO123" s="160" t="s">
        <v>574</v>
      </c>
      <c r="AP123" s="155" t="s">
        <v>390</v>
      </c>
      <c r="AQ123" s="819" t="str">
        <f>IFERROR(VLOOKUP(E123,'liquidaciones '!$B$2:$C$1048576,2,0),"NO")</f>
        <v>NO</v>
      </c>
      <c r="AR123" s="909" t="str">
        <f>IFERROR(VLOOKUP(E123,'liquidaciones '!$B$2:$I$1048576,8,0),"")</f>
        <v/>
      </c>
      <c r="AS123" s="312">
        <v>42179</v>
      </c>
      <c r="AT123" s="156" t="str">
        <f t="shared" ca="1" si="22"/>
        <v>NO</v>
      </c>
      <c r="AU123" s="156" t="s">
        <v>1570</v>
      </c>
      <c r="AV123" s="406"/>
      <c r="AW123" s="928"/>
      <c r="AX123" s="928"/>
      <c r="AY123" s="928"/>
    </row>
    <row r="124" spans="1:51" ht="47.25" customHeight="1" x14ac:dyDescent="0.3">
      <c r="A124" s="14">
        <v>4</v>
      </c>
      <c r="B124" s="14">
        <v>118</v>
      </c>
      <c r="C124" s="410"/>
      <c r="D124" s="410" t="str">
        <f t="shared" si="12"/>
        <v>2013</v>
      </c>
      <c r="E124" s="120" t="s">
        <v>190</v>
      </c>
      <c r="F124" s="120" t="s">
        <v>29</v>
      </c>
      <c r="G124" s="1046">
        <v>860536029</v>
      </c>
      <c r="H124" s="957" t="s">
        <v>404</v>
      </c>
      <c r="I124" s="126">
        <v>840000</v>
      </c>
      <c r="J124" s="831">
        <v>130209</v>
      </c>
      <c r="K124" s="139">
        <v>2013</v>
      </c>
      <c r="L124" s="519" t="s">
        <v>1087</v>
      </c>
      <c r="M124" s="124">
        <v>41531</v>
      </c>
      <c r="N124" s="124">
        <v>41895</v>
      </c>
      <c r="O124" s="1099" t="str">
        <f>IF(+Modificaciones!I124=0,"",VLOOKUP(E124,Modificaciones!$B$7:$I$2400,8,0))</f>
        <v/>
      </c>
      <c r="P124" s="115">
        <f>COUNTA(Modificaciones!J124,Modificaciones!L124,Modificaciones!N124,Modificaciones!P124)</f>
        <v>0</v>
      </c>
      <c r="Q124" s="116">
        <f>VLOOKUP(E124,Modificaciones!$B$7:$R$300,17,0)</f>
        <v>0</v>
      </c>
      <c r="R124" s="117">
        <f>COUNTA(Modificaciones!T124,Modificaciones!V124,Modificaciones!X124,Modificaciones!Z124)</f>
        <v>0</v>
      </c>
      <c r="S124" s="118" t="str">
        <f>IF(Modificaciones!AA124=0,"",VLOOKUP(E124,Modificaciones!$B$7:$AA$400,26,0))</f>
        <v/>
      </c>
      <c r="T124" s="119" t="str">
        <f>IF(Modificaciones!AB124=0,"",VLOOKUP(E124,Modificaciones!$B$7:$AB$400,27,0))</f>
        <v/>
      </c>
      <c r="U124" s="1080" t="str">
        <f>+Modificaciones!AC124</f>
        <v/>
      </c>
      <c r="V124" s="825" t="str">
        <f>+Modificaciones!AK124</f>
        <v/>
      </c>
      <c r="W124" s="825">
        <f t="shared" si="17"/>
        <v>41895</v>
      </c>
      <c r="X124" s="59">
        <f t="shared" si="13"/>
        <v>840000</v>
      </c>
      <c r="Y124" s="151">
        <f>VLOOKUP(E124,Modificaciones!$B$7:$BE$300,56,0)</f>
        <v>840000</v>
      </c>
      <c r="Z124" s="84">
        <f t="shared" si="14"/>
        <v>0</v>
      </c>
      <c r="AA124" s="283" t="s">
        <v>1894</v>
      </c>
      <c r="AB124" s="40">
        <f t="shared" si="15"/>
        <v>1</v>
      </c>
      <c r="AC124" s="40">
        <f t="shared" ca="1" si="18"/>
        <v>1</v>
      </c>
      <c r="AD124" s="41">
        <f t="shared" ca="1" si="19"/>
        <v>0</v>
      </c>
      <c r="AE124" s="181" t="str">
        <f t="shared" ca="1" si="20"/>
        <v/>
      </c>
      <c r="AF124" s="42" t="str">
        <f t="shared" si="16"/>
        <v>SI</v>
      </c>
      <c r="AG124" s="42"/>
      <c r="AH124" s="152" t="s">
        <v>1255</v>
      </c>
      <c r="AI124" s="152" t="s">
        <v>1124</v>
      </c>
      <c r="AJ124" s="152"/>
      <c r="AL124" s="153"/>
      <c r="AM124" s="152" t="s">
        <v>901</v>
      </c>
      <c r="AN124" s="161" t="str">
        <f t="shared" ca="1" si="21"/>
        <v>TERMINO</v>
      </c>
      <c r="AO124" s="160" t="s">
        <v>582</v>
      </c>
      <c r="AP124" s="155" t="s">
        <v>390</v>
      </c>
      <c r="AQ124" s="819" t="str">
        <f>IFERROR(VLOOKUP(E124,'liquidaciones '!$B$2:$C$1048576,2,0),"NO")</f>
        <v>LIQUIDADO</v>
      </c>
      <c r="AR124" s="909">
        <f>IFERROR(VLOOKUP(E124,'liquidaciones '!$B$2:$I$1048576,8,0),"")</f>
        <v>0</v>
      </c>
      <c r="AS124" s="312">
        <v>42152</v>
      </c>
      <c r="AT124" s="156" t="str">
        <f t="shared" ca="1" si="22"/>
        <v>NO</v>
      </c>
      <c r="AU124" s="156" t="s">
        <v>1570</v>
      </c>
      <c r="AV124" s="406"/>
      <c r="AW124" s="928"/>
      <c r="AX124" s="928"/>
      <c r="AY124" s="928"/>
    </row>
    <row r="125" spans="1:51" ht="47.25" customHeight="1" x14ac:dyDescent="0.3">
      <c r="A125" s="14">
        <v>4</v>
      </c>
      <c r="B125" s="14">
        <v>119</v>
      </c>
      <c r="C125" s="410"/>
      <c r="D125" s="410" t="str">
        <f t="shared" si="12"/>
        <v>2013</v>
      </c>
      <c r="E125" s="120" t="s">
        <v>166</v>
      </c>
      <c r="F125" s="120" t="s">
        <v>1024</v>
      </c>
      <c r="G125" s="1048">
        <v>80199707</v>
      </c>
      <c r="H125" s="957" t="s">
        <v>333</v>
      </c>
      <c r="I125" s="121">
        <v>38271000</v>
      </c>
      <c r="J125" s="821" t="s">
        <v>5692</v>
      </c>
      <c r="K125" s="122">
        <v>2013</v>
      </c>
      <c r="L125" s="519" t="s">
        <v>1087</v>
      </c>
      <c r="M125" s="124">
        <v>41472</v>
      </c>
      <c r="N125" s="124">
        <v>41686</v>
      </c>
      <c r="O125" s="1099" t="str">
        <f>IF(+Modificaciones!I125=0,"",VLOOKUP(E125,Modificaciones!$B$7:$I$2400,8,0))</f>
        <v/>
      </c>
      <c r="P125" s="115">
        <f>COUNTA(Modificaciones!J125,Modificaciones!L125,Modificaciones!N125,Modificaciones!P125)</f>
        <v>0</v>
      </c>
      <c r="Q125" s="116">
        <f>VLOOKUP(E125,Modificaciones!$B$7:$R$300,17,0)</f>
        <v>0</v>
      </c>
      <c r="R125" s="117">
        <f>COUNTA(Modificaciones!T125,Modificaciones!V125,Modificaciones!X125,Modificaciones!Z125)</f>
        <v>1</v>
      </c>
      <c r="S125" s="118" t="str">
        <f>IF(Modificaciones!AA125=0,"",VLOOKUP(E125,Modificaciones!$B$7:$AA$400,26,0))</f>
        <v>1 mes</v>
      </c>
      <c r="T125" s="119">
        <f>IF(Modificaciones!AB125=0,"",VLOOKUP(E125,Modificaciones!$B$7:$AB$400,27,0))</f>
        <v>41714</v>
      </c>
      <c r="U125" s="1080" t="str">
        <f>+Modificaciones!AC125</f>
        <v/>
      </c>
      <c r="V125" s="825" t="str">
        <f>+Modificaciones!AK125</f>
        <v/>
      </c>
      <c r="W125" s="825">
        <f t="shared" si="17"/>
        <v>41714</v>
      </c>
      <c r="X125" s="59">
        <f t="shared" si="13"/>
        <v>38271000</v>
      </c>
      <c r="Y125" s="151">
        <f>VLOOKUP(E125,Modificaciones!$B$7:$BE$300,56,0)</f>
        <v>38271000</v>
      </c>
      <c r="Z125" s="84">
        <f t="shared" si="14"/>
        <v>0</v>
      </c>
      <c r="AA125" s="283" t="s">
        <v>1094</v>
      </c>
      <c r="AB125" s="40">
        <f t="shared" si="15"/>
        <v>1</v>
      </c>
      <c r="AC125" s="40">
        <f t="shared" ca="1" si="18"/>
        <v>1</v>
      </c>
      <c r="AD125" s="41">
        <f t="shared" ca="1" si="19"/>
        <v>0</v>
      </c>
      <c r="AE125" s="181" t="str">
        <f t="shared" ca="1" si="20"/>
        <v/>
      </c>
      <c r="AF125" s="42" t="str">
        <f t="shared" si="16"/>
        <v>SI</v>
      </c>
      <c r="AG125" s="42"/>
      <c r="AH125" s="152" t="s">
        <v>1255</v>
      </c>
      <c r="AI125" s="152" t="s">
        <v>1297</v>
      </c>
      <c r="AJ125" s="152" t="s">
        <v>1441</v>
      </c>
      <c r="AK125" s="255" t="s">
        <v>560</v>
      </c>
      <c r="AL125" s="153"/>
      <c r="AM125" s="152" t="s">
        <v>901</v>
      </c>
      <c r="AN125" s="161" t="str">
        <f t="shared" ca="1" si="21"/>
        <v>TERMINO</v>
      </c>
      <c r="AO125" s="160" t="s">
        <v>576</v>
      </c>
      <c r="AP125" s="155" t="s">
        <v>390</v>
      </c>
      <c r="AQ125" s="819" t="str">
        <f>IFERROR(VLOOKUP(E125,'liquidaciones '!$B$2:$C$1048576,2,0),"NO")</f>
        <v>LIQUIDADO</v>
      </c>
      <c r="AR125" s="909">
        <f>IFERROR(VLOOKUP(E125,'liquidaciones '!$B$2:$I$1048576,8,0),"")</f>
        <v>0</v>
      </c>
      <c r="AS125" s="312">
        <v>42011</v>
      </c>
      <c r="AT125" s="156" t="str">
        <f t="shared" ca="1" si="22"/>
        <v>NO</v>
      </c>
      <c r="AU125" s="156" t="s">
        <v>1570</v>
      </c>
      <c r="AV125" s="406"/>
      <c r="AW125" s="928"/>
      <c r="AX125" s="928"/>
      <c r="AY125" s="928"/>
    </row>
    <row r="126" spans="1:51" ht="47.25" customHeight="1" x14ac:dyDescent="0.3">
      <c r="A126" s="14">
        <v>4</v>
      </c>
      <c r="B126" s="14">
        <v>120</v>
      </c>
      <c r="C126" s="410"/>
      <c r="D126" s="410" t="str">
        <f t="shared" si="12"/>
        <v>2013</v>
      </c>
      <c r="E126" s="120" t="s">
        <v>175</v>
      </c>
      <c r="F126" s="120" t="s">
        <v>176</v>
      </c>
      <c r="G126" s="1048">
        <v>890903407</v>
      </c>
      <c r="H126" s="957" t="s">
        <v>475</v>
      </c>
      <c r="I126" s="126">
        <v>4001000</v>
      </c>
      <c r="J126" s="821" t="s">
        <v>4400</v>
      </c>
      <c r="K126" s="139">
        <v>2013</v>
      </c>
      <c r="L126" s="519" t="s">
        <v>1087</v>
      </c>
      <c r="M126" s="124">
        <v>41472</v>
      </c>
      <c r="N126" s="124">
        <v>42082</v>
      </c>
      <c r="O126" s="1099" t="str">
        <f>IF(+Modificaciones!I126=0,"",VLOOKUP(E126,Modificaciones!$B$7:$I$2400,8,0))</f>
        <v/>
      </c>
      <c r="P126" s="115">
        <f>COUNTA(Modificaciones!J126,Modificaciones!L126,Modificaciones!N126,Modificaciones!P126)</f>
        <v>0</v>
      </c>
      <c r="Q126" s="116">
        <f>VLOOKUP(E126,Modificaciones!$B$7:$R$300,17,0)</f>
        <v>0</v>
      </c>
      <c r="R126" s="117">
        <f>COUNTA(Modificaciones!T126,Modificaciones!V126,Modificaciones!X126,Modificaciones!Z126)</f>
        <v>1</v>
      </c>
      <c r="S126" s="118" t="str">
        <f>IF(Modificaciones!AA126=0,"",VLOOKUP(E126,Modificaciones!$B$7:$AA$400,26,0))</f>
        <v>1 mes</v>
      </c>
      <c r="T126" s="119">
        <f>IF(Modificaciones!AB126=0,"",VLOOKUP(E126,Modificaciones!$B$7:$AB$400,27,0))</f>
        <v>41714</v>
      </c>
      <c r="U126" s="1080" t="str">
        <f>+Modificaciones!AC126</f>
        <v/>
      </c>
      <c r="V126" s="825" t="str">
        <f>+Modificaciones!AK126</f>
        <v/>
      </c>
      <c r="W126" s="825">
        <f t="shared" si="17"/>
        <v>42082</v>
      </c>
      <c r="X126" s="59">
        <f t="shared" si="13"/>
        <v>4001000</v>
      </c>
      <c r="Y126" s="151">
        <f>VLOOKUP(E126,Modificaciones!$B$7:$BE$300,56,0)</f>
        <v>4001000</v>
      </c>
      <c r="Z126" s="84">
        <f t="shared" si="14"/>
        <v>0</v>
      </c>
      <c r="AA126" s="286" t="s">
        <v>1401</v>
      </c>
      <c r="AB126" s="40">
        <f t="shared" si="15"/>
        <v>1</v>
      </c>
      <c r="AC126" s="40">
        <f t="shared" ca="1" si="18"/>
        <v>1</v>
      </c>
      <c r="AD126" s="41">
        <f t="shared" ca="1" si="19"/>
        <v>0</v>
      </c>
      <c r="AE126" s="181" t="str">
        <f t="shared" ca="1" si="20"/>
        <v/>
      </c>
      <c r="AF126" s="42" t="str">
        <f t="shared" si="16"/>
        <v>SI</v>
      </c>
      <c r="AG126" s="42"/>
      <c r="AH126" s="152" t="s">
        <v>1255</v>
      </c>
      <c r="AI126" s="275" t="s">
        <v>1511</v>
      </c>
      <c r="AJ126" s="152"/>
      <c r="AK126" s="255" t="s">
        <v>559</v>
      </c>
      <c r="AL126" s="153" t="s">
        <v>1389</v>
      </c>
      <c r="AM126" s="152" t="s">
        <v>901</v>
      </c>
      <c r="AN126" s="161" t="str">
        <f t="shared" ca="1" si="21"/>
        <v>TERMINO</v>
      </c>
      <c r="AO126" s="160" t="s">
        <v>576</v>
      </c>
      <c r="AP126" s="155" t="s">
        <v>390</v>
      </c>
      <c r="AQ126" s="819" t="str">
        <f>IFERROR(VLOOKUP(E126,'liquidaciones '!$B$2:$C$1048576,2,0),"NO")</f>
        <v>LIQUIDADO</v>
      </c>
      <c r="AR126" s="909">
        <f>IFERROR(VLOOKUP(E126,'liquidaciones '!$B$2:$I$1048576,8,0),"")</f>
        <v>0</v>
      </c>
      <c r="AS126" s="312"/>
      <c r="AT126" s="156" t="str">
        <f t="shared" ca="1" si="22"/>
        <v>NO</v>
      </c>
      <c r="AU126" s="156"/>
      <c r="AV126" s="406"/>
      <c r="AW126" s="928"/>
      <c r="AX126" s="928"/>
      <c r="AY126" s="928"/>
    </row>
    <row r="127" spans="1:51" ht="47.25" customHeight="1" x14ac:dyDescent="0.3">
      <c r="A127" s="14">
        <v>4</v>
      </c>
      <c r="B127" s="14">
        <v>121</v>
      </c>
      <c r="C127" s="410"/>
      <c r="D127" s="410" t="str">
        <f t="shared" si="12"/>
        <v>2013</v>
      </c>
      <c r="E127" s="120" t="s">
        <v>197</v>
      </c>
      <c r="F127" s="137" t="s">
        <v>198</v>
      </c>
      <c r="G127" s="1046">
        <v>900268429</v>
      </c>
      <c r="H127" s="957" t="s">
        <v>476</v>
      </c>
      <c r="I127" s="126">
        <v>10222000</v>
      </c>
      <c r="J127" s="821" t="s">
        <v>4934</v>
      </c>
      <c r="K127" s="139">
        <v>2013</v>
      </c>
      <c r="L127" s="519" t="s">
        <v>1087</v>
      </c>
      <c r="M127" s="124">
        <v>41548</v>
      </c>
      <c r="N127" s="124">
        <v>41790</v>
      </c>
      <c r="O127" s="1099" t="str">
        <f>IF(+Modificaciones!I127=0,"",VLOOKUP(E127,Modificaciones!$B$7:$I$2400,8,0))</f>
        <v/>
      </c>
      <c r="P127" s="115">
        <f>COUNTA(Modificaciones!J127,Modificaciones!L127,Modificaciones!N127,Modificaciones!P127)</f>
        <v>0</v>
      </c>
      <c r="Q127" s="116">
        <f>VLOOKUP(E127,Modificaciones!$B$7:$R$300,17,0)</f>
        <v>0</v>
      </c>
      <c r="R127" s="117">
        <f>COUNTA(Modificaciones!T127,Modificaciones!V127,Modificaciones!X127,Modificaciones!Z127)</f>
        <v>0</v>
      </c>
      <c r="S127" s="118" t="str">
        <f>IF(Modificaciones!AA127=0,"",VLOOKUP(E127,Modificaciones!$B$7:$AA$400,26,0))</f>
        <v/>
      </c>
      <c r="T127" s="119" t="str">
        <f>IF(Modificaciones!AB127=0,"",VLOOKUP(E127,Modificaciones!$B$7:$AB$400,27,0))</f>
        <v/>
      </c>
      <c r="U127" s="1080" t="str">
        <f>+Modificaciones!AC127</f>
        <v/>
      </c>
      <c r="V127" s="825" t="str">
        <f>+Modificaciones!AK127</f>
        <v/>
      </c>
      <c r="W127" s="825">
        <f t="shared" si="17"/>
        <v>41790</v>
      </c>
      <c r="X127" s="59">
        <f t="shared" si="13"/>
        <v>10222000</v>
      </c>
      <c r="Y127" s="151">
        <f>VLOOKUP(E127,Modificaciones!$B$7:$BE$300,56,0)</f>
        <v>10208006</v>
      </c>
      <c r="Z127" s="84">
        <f t="shared" si="14"/>
        <v>13994</v>
      </c>
      <c r="AA127" s="286" t="s">
        <v>1407</v>
      </c>
      <c r="AB127" s="40">
        <f t="shared" si="15"/>
        <v>0.99863099197808647</v>
      </c>
      <c r="AC127" s="40">
        <f t="shared" ca="1" si="18"/>
        <v>1</v>
      </c>
      <c r="AD127" s="41">
        <f t="shared" ca="1" si="19"/>
        <v>1.3690080219135314E-3</v>
      </c>
      <c r="AE127" s="181" t="str">
        <f t="shared" ca="1" si="20"/>
        <v/>
      </c>
      <c r="AF127" s="42" t="str">
        <f t="shared" si="16"/>
        <v>NO</v>
      </c>
      <c r="AG127" s="42"/>
      <c r="AH127" s="152" t="s">
        <v>1255</v>
      </c>
      <c r="AI127" s="152" t="s">
        <v>1296</v>
      </c>
      <c r="AJ127" s="152"/>
      <c r="AL127" s="153"/>
      <c r="AM127" s="152" t="s">
        <v>901</v>
      </c>
      <c r="AN127" s="161" t="str">
        <f t="shared" ca="1" si="21"/>
        <v>TERMINO</v>
      </c>
      <c r="AO127" s="160" t="s">
        <v>576</v>
      </c>
      <c r="AP127" s="155" t="s">
        <v>390</v>
      </c>
      <c r="AQ127" s="819" t="str">
        <f>IFERROR(VLOOKUP(E127,'liquidaciones '!$B$2:$C$1048576,2,0),"NO")</f>
        <v>LIQUIDADO</v>
      </c>
      <c r="AR127" s="909">
        <f>IFERROR(VLOOKUP(E127,'liquidaciones '!$B$2:$I$1048576,8,0),"")</f>
        <v>0</v>
      </c>
      <c r="AS127" s="312">
        <v>41975</v>
      </c>
      <c r="AT127" s="156" t="str">
        <f t="shared" ca="1" si="22"/>
        <v>NO</v>
      </c>
      <c r="AU127" s="156" t="s">
        <v>983</v>
      </c>
      <c r="AV127" s="406"/>
      <c r="AW127" s="928"/>
      <c r="AX127" s="928"/>
      <c r="AY127" s="928"/>
    </row>
    <row r="128" spans="1:51" ht="54" customHeight="1" x14ac:dyDescent="0.3">
      <c r="A128" s="14">
        <v>4</v>
      </c>
      <c r="B128" s="14">
        <v>122</v>
      </c>
      <c r="C128" s="410"/>
      <c r="D128" s="410" t="str">
        <f t="shared" si="12"/>
        <v>2013</v>
      </c>
      <c r="E128" s="120" t="s">
        <v>167</v>
      </c>
      <c r="F128" s="120" t="s">
        <v>1514</v>
      </c>
      <c r="G128" s="1046">
        <v>80117116</v>
      </c>
      <c r="H128" s="957" t="s">
        <v>361</v>
      </c>
      <c r="I128" s="121">
        <v>23989000</v>
      </c>
      <c r="J128" s="821" t="s">
        <v>4585</v>
      </c>
      <c r="K128" s="122">
        <v>2013</v>
      </c>
      <c r="L128" s="519" t="s">
        <v>1087</v>
      </c>
      <c r="M128" s="124">
        <v>41477</v>
      </c>
      <c r="N128" s="124">
        <v>41691</v>
      </c>
      <c r="O128" s="1099" t="str">
        <f>IF(+Modificaciones!I128=0,"",VLOOKUP(E128,Modificaciones!$B$7:$I$2400,8,0))</f>
        <v/>
      </c>
      <c r="P128" s="115">
        <f>COUNTA(Modificaciones!J128,Modificaciones!L128,Modificaciones!N128,Modificaciones!P128)</f>
        <v>0</v>
      </c>
      <c r="Q128" s="116">
        <f>VLOOKUP(E128,Modificaciones!$B$7:$R$300,17,0)</f>
        <v>0</v>
      </c>
      <c r="R128" s="117">
        <f>COUNTA(Modificaciones!T128,Modificaciones!V128,Modificaciones!X128,Modificaciones!Z128)</f>
        <v>0</v>
      </c>
      <c r="S128" s="118" t="str">
        <f>IF(Modificaciones!AA128=0,"",VLOOKUP(E128,Modificaciones!$B$7:$AA$400,26,0))</f>
        <v/>
      </c>
      <c r="T128" s="119" t="str">
        <f>IF(Modificaciones!AB128=0,"",VLOOKUP(E128,Modificaciones!$B$7:$AB$400,27,0))</f>
        <v/>
      </c>
      <c r="U128" s="1080" t="str">
        <f>+Modificaciones!AC128</f>
        <v/>
      </c>
      <c r="V128" s="825" t="str">
        <f>+Modificaciones!AK128</f>
        <v/>
      </c>
      <c r="W128" s="825">
        <f t="shared" si="17"/>
        <v>41691</v>
      </c>
      <c r="X128" s="59">
        <f t="shared" si="13"/>
        <v>23989000</v>
      </c>
      <c r="Y128" s="151">
        <f>VLOOKUP(E128,Modificaciones!$B$7:$BE$300,56,0)</f>
        <v>23989000</v>
      </c>
      <c r="Z128" s="84">
        <f t="shared" si="14"/>
        <v>0</v>
      </c>
      <c r="AA128" s="283" t="s">
        <v>1094</v>
      </c>
      <c r="AB128" s="40">
        <f t="shared" si="15"/>
        <v>1</v>
      </c>
      <c r="AC128" s="40">
        <f t="shared" ca="1" si="18"/>
        <v>1</v>
      </c>
      <c r="AD128" s="41">
        <f t="shared" ca="1" si="19"/>
        <v>0</v>
      </c>
      <c r="AE128" s="181" t="str">
        <f t="shared" ca="1" si="20"/>
        <v/>
      </c>
      <c r="AF128" s="42" t="str">
        <f t="shared" si="16"/>
        <v>SI</v>
      </c>
      <c r="AG128" s="42"/>
      <c r="AH128" s="152" t="s">
        <v>1255</v>
      </c>
      <c r="AI128" s="152" t="s">
        <v>1130</v>
      </c>
      <c r="AJ128" s="152" t="s">
        <v>1429</v>
      </c>
      <c r="AK128" s="255" t="s">
        <v>564</v>
      </c>
      <c r="AL128" s="153"/>
      <c r="AM128" s="152" t="s">
        <v>901</v>
      </c>
      <c r="AN128" s="161" t="str">
        <f t="shared" ca="1" si="21"/>
        <v>TERMINO</v>
      </c>
      <c r="AO128" s="160" t="s">
        <v>582</v>
      </c>
      <c r="AP128" s="155" t="s">
        <v>391</v>
      </c>
      <c r="AQ128" s="819" t="str">
        <f>IFERROR(VLOOKUP(E128,'liquidaciones '!$B$2:$C$1048576,2,0),"NO")</f>
        <v>LIQUIDADO</v>
      </c>
      <c r="AR128" s="909" t="str">
        <f>IFERROR(VLOOKUP(E128,'liquidaciones '!$B$2:$I$1048576,8,0),"")</f>
        <v>JUAN DIEGO ESPITIA</v>
      </c>
      <c r="AS128" s="308">
        <v>41708</v>
      </c>
      <c r="AT128" s="156" t="str">
        <f t="shared" ca="1" si="22"/>
        <v>NO</v>
      </c>
      <c r="AU128" s="156" t="s">
        <v>981</v>
      </c>
      <c r="AV128" s="406"/>
      <c r="AW128" s="928"/>
      <c r="AX128" s="928"/>
      <c r="AY128" s="928"/>
    </row>
    <row r="129" spans="1:51" ht="47.25" customHeight="1" x14ac:dyDescent="0.3">
      <c r="A129" s="14">
        <v>4</v>
      </c>
      <c r="B129" s="14">
        <v>123</v>
      </c>
      <c r="C129" s="410"/>
      <c r="D129" s="410" t="str">
        <f t="shared" si="12"/>
        <v>2013</v>
      </c>
      <c r="E129" s="120" t="s">
        <v>178</v>
      </c>
      <c r="F129" s="120" t="s">
        <v>33</v>
      </c>
      <c r="G129" s="1046">
        <v>860509265</v>
      </c>
      <c r="H129" s="957" t="s">
        <v>477</v>
      </c>
      <c r="I129" s="142">
        <v>795000</v>
      </c>
      <c r="J129" s="821" t="s">
        <v>4056</v>
      </c>
      <c r="K129" s="139">
        <v>2013</v>
      </c>
      <c r="L129" s="519" t="s">
        <v>1087</v>
      </c>
      <c r="M129" s="124">
        <v>41547</v>
      </c>
      <c r="N129" s="124">
        <v>41911</v>
      </c>
      <c r="O129" s="1099" t="str">
        <f>IF(+Modificaciones!I129=0,"",VLOOKUP(E129,Modificaciones!$B$7:$I$2400,8,0))</f>
        <v/>
      </c>
      <c r="P129" s="115">
        <f>COUNTA(Modificaciones!J129,Modificaciones!L129,Modificaciones!N129,Modificaciones!P129)</f>
        <v>0</v>
      </c>
      <c r="Q129" s="116">
        <f>VLOOKUP(E129,Modificaciones!$B$7:$R$300,17,0)</f>
        <v>0</v>
      </c>
      <c r="R129" s="117">
        <f>COUNTA(Modificaciones!T129,Modificaciones!V129,Modificaciones!X129,Modificaciones!Z129)</f>
        <v>0</v>
      </c>
      <c r="S129" s="118" t="str">
        <f>IF(Modificaciones!AA129=0,"",VLOOKUP(E129,Modificaciones!$B$7:$AA$400,26,0))</f>
        <v/>
      </c>
      <c r="T129" s="119" t="str">
        <f>IF(Modificaciones!AB129=0,"",VLOOKUP(E129,Modificaciones!$B$7:$AB$400,27,0))</f>
        <v/>
      </c>
      <c r="U129" s="1080" t="str">
        <f>+Modificaciones!AC129</f>
        <v/>
      </c>
      <c r="V129" s="825" t="str">
        <f>+Modificaciones!AK129</f>
        <v/>
      </c>
      <c r="W129" s="825">
        <f t="shared" si="17"/>
        <v>41911</v>
      </c>
      <c r="X129" s="59">
        <f t="shared" si="13"/>
        <v>795000</v>
      </c>
      <c r="Y129" s="151">
        <f>VLOOKUP(E129,Modificaciones!$B$7:$BE$300,56,0)</f>
        <v>795000</v>
      </c>
      <c r="Z129" s="84">
        <f t="shared" si="14"/>
        <v>0</v>
      </c>
      <c r="AA129" s="283" t="s">
        <v>1894</v>
      </c>
      <c r="AB129" s="40">
        <f t="shared" si="15"/>
        <v>1</v>
      </c>
      <c r="AC129" s="40">
        <f t="shared" ca="1" si="18"/>
        <v>1</v>
      </c>
      <c r="AD129" s="41">
        <f t="shared" ca="1" si="19"/>
        <v>0</v>
      </c>
      <c r="AE129" s="181" t="str">
        <f t="shared" ca="1" si="20"/>
        <v/>
      </c>
      <c r="AF129" s="42" t="str">
        <f t="shared" si="16"/>
        <v>SI</v>
      </c>
      <c r="AG129" s="42"/>
      <c r="AH129" s="152" t="s">
        <v>1255</v>
      </c>
      <c r="AI129" s="152" t="s">
        <v>1468</v>
      </c>
      <c r="AJ129" s="152"/>
      <c r="AL129" s="153"/>
      <c r="AM129" s="152" t="s">
        <v>901</v>
      </c>
      <c r="AN129" s="161" t="str">
        <f t="shared" ca="1" si="21"/>
        <v>TERMINO</v>
      </c>
      <c r="AO129" s="160" t="s">
        <v>582</v>
      </c>
      <c r="AP129" s="155" t="s">
        <v>390</v>
      </c>
      <c r="AQ129" s="819" t="str">
        <f>IFERROR(VLOOKUP(E129,'liquidaciones '!$B$2:$C$1048576,2,0),"NO")</f>
        <v>LIQUIDADO</v>
      </c>
      <c r="AR129" s="909">
        <f>IFERROR(VLOOKUP(E129,'liquidaciones '!$B$2:$I$1048576,8,0),"")</f>
        <v>0</v>
      </c>
      <c r="AS129" s="312">
        <v>42307</v>
      </c>
      <c r="AT129" s="156" t="str">
        <f t="shared" ca="1" si="22"/>
        <v>NO</v>
      </c>
      <c r="AU129" s="156" t="s">
        <v>1509</v>
      </c>
      <c r="AV129" s="406"/>
      <c r="AW129" s="928"/>
      <c r="AX129" s="928"/>
      <c r="AY129" s="928"/>
    </row>
    <row r="130" spans="1:51" ht="47.25" customHeight="1" x14ac:dyDescent="0.3">
      <c r="A130" s="14">
        <v>4</v>
      </c>
      <c r="B130" s="14">
        <v>124</v>
      </c>
      <c r="C130" s="410"/>
      <c r="D130" s="410" t="str">
        <f t="shared" si="12"/>
        <v>2013</v>
      </c>
      <c r="E130" s="120" t="s">
        <v>189</v>
      </c>
      <c r="F130" s="120" t="s">
        <v>13</v>
      </c>
      <c r="G130" s="1046">
        <v>860007590</v>
      </c>
      <c r="H130" s="957" t="s">
        <v>478</v>
      </c>
      <c r="I130" s="126">
        <v>936000</v>
      </c>
      <c r="J130" s="821" t="s">
        <v>4584</v>
      </c>
      <c r="K130" s="139">
        <v>2013</v>
      </c>
      <c r="L130" s="519" t="s">
        <v>1087</v>
      </c>
      <c r="M130" s="124">
        <v>41528</v>
      </c>
      <c r="N130" s="124">
        <v>41892</v>
      </c>
      <c r="O130" s="1099" t="str">
        <f>IF(+Modificaciones!I130=0,"",VLOOKUP(E130,Modificaciones!$B$7:$I$2400,8,0))</f>
        <v/>
      </c>
      <c r="P130" s="115">
        <f>COUNTA(Modificaciones!J130,Modificaciones!L130,Modificaciones!N130,Modificaciones!P130)</f>
        <v>0</v>
      </c>
      <c r="Q130" s="116">
        <f>VLOOKUP(E130,Modificaciones!$B$7:$R$300,17,0)</f>
        <v>0</v>
      </c>
      <c r="R130" s="117">
        <f>COUNTA(Modificaciones!T130,Modificaciones!V130,Modificaciones!X130,Modificaciones!Z130)</f>
        <v>0</v>
      </c>
      <c r="S130" s="118" t="str">
        <f>IF(Modificaciones!AA130=0,"",VLOOKUP(E130,Modificaciones!$B$7:$AA$400,26,0))</f>
        <v/>
      </c>
      <c r="T130" s="119" t="str">
        <f>IF(Modificaciones!AB130=0,"",VLOOKUP(E130,Modificaciones!$B$7:$AB$400,27,0))</f>
        <v/>
      </c>
      <c r="U130" s="1080" t="str">
        <f>+Modificaciones!AC130</f>
        <v/>
      </c>
      <c r="V130" s="825" t="str">
        <f>+Modificaciones!AK130</f>
        <v/>
      </c>
      <c r="W130" s="825">
        <f t="shared" si="17"/>
        <v>41892</v>
      </c>
      <c r="X130" s="59">
        <f t="shared" si="13"/>
        <v>936000</v>
      </c>
      <c r="Y130" s="151">
        <f>VLOOKUP(E130,Modificaciones!$B$7:$BE$300,56,0)</f>
        <v>936000</v>
      </c>
      <c r="Z130" s="84">
        <f t="shared" si="14"/>
        <v>0</v>
      </c>
      <c r="AA130" s="283" t="s">
        <v>1894</v>
      </c>
      <c r="AB130" s="40">
        <f t="shared" si="15"/>
        <v>1</v>
      </c>
      <c r="AC130" s="40">
        <f t="shared" ca="1" si="18"/>
        <v>1</v>
      </c>
      <c r="AD130" s="41">
        <f t="shared" ca="1" si="19"/>
        <v>0</v>
      </c>
      <c r="AE130" s="181" t="str">
        <f t="shared" ca="1" si="20"/>
        <v/>
      </c>
      <c r="AF130" s="42" t="str">
        <f t="shared" si="16"/>
        <v>SI</v>
      </c>
      <c r="AG130" s="42"/>
      <c r="AH130" s="152" t="s">
        <v>1255</v>
      </c>
      <c r="AI130" s="152" t="s">
        <v>1124</v>
      </c>
      <c r="AJ130" s="152"/>
      <c r="AL130" s="153"/>
      <c r="AM130" s="152" t="s">
        <v>901</v>
      </c>
      <c r="AN130" s="161" t="str">
        <f t="shared" ca="1" si="21"/>
        <v>TERMINO</v>
      </c>
      <c r="AO130" s="160" t="s">
        <v>582</v>
      </c>
      <c r="AP130" s="155" t="s">
        <v>390</v>
      </c>
      <c r="AQ130" s="819" t="str">
        <f>IFERROR(VLOOKUP(E130,'liquidaciones '!$B$2:$C$1048576,2,0),"NO")</f>
        <v>NO</v>
      </c>
      <c r="AR130" s="909" t="str">
        <f>IFERROR(VLOOKUP(E130,'liquidaciones '!$B$2:$I$1048576,8,0),"")</f>
        <v/>
      </c>
      <c r="AS130" s="312"/>
      <c r="AT130" s="156" t="str">
        <f t="shared" ca="1" si="22"/>
        <v>NO</v>
      </c>
      <c r="AU130" s="156" t="s">
        <v>1509</v>
      </c>
      <c r="AV130" s="406"/>
      <c r="AW130" s="928"/>
      <c r="AX130" s="928"/>
      <c r="AY130" s="928"/>
    </row>
    <row r="131" spans="1:51" ht="47.25" customHeight="1" x14ac:dyDescent="0.3">
      <c r="A131" s="14">
        <v>4</v>
      </c>
      <c r="B131" s="14">
        <v>125</v>
      </c>
      <c r="C131" s="410"/>
      <c r="D131" s="410" t="str">
        <f t="shared" si="12"/>
        <v>2013</v>
      </c>
      <c r="E131" s="120" t="s">
        <v>168</v>
      </c>
      <c r="F131" s="120" t="s">
        <v>169</v>
      </c>
      <c r="G131" s="1046">
        <v>1016050827</v>
      </c>
      <c r="H131" s="957" t="s">
        <v>362</v>
      </c>
      <c r="I131" s="126">
        <v>3847300</v>
      </c>
      <c r="J131" s="121" t="s">
        <v>1087</v>
      </c>
      <c r="K131" s="122">
        <v>2013</v>
      </c>
      <c r="L131" s="519" t="s">
        <v>1087</v>
      </c>
      <c r="M131" s="124">
        <v>41494</v>
      </c>
      <c r="N131" s="124">
        <v>41766</v>
      </c>
      <c r="O131" s="1099" t="str">
        <f>IF(+Modificaciones!I131=0,"",VLOOKUP(E131,Modificaciones!$B$7:$I$2400,8,0))</f>
        <v/>
      </c>
      <c r="P131" s="115">
        <f>COUNTA(Modificaciones!J131,Modificaciones!L131,Modificaciones!N131,Modificaciones!P131)</f>
        <v>0</v>
      </c>
      <c r="Q131" s="116">
        <f>VLOOKUP(E131,Modificaciones!$B$7:$R$300,17,0)</f>
        <v>0</v>
      </c>
      <c r="R131" s="117">
        <f>COUNTA(Modificaciones!T131,Modificaciones!V131,Modificaciones!X131,Modificaciones!Z131)</f>
        <v>1</v>
      </c>
      <c r="S131" s="118" t="str">
        <f>IF(Modificaciones!AA131=0,"",VLOOKUP(E131,Modificaciones!$B$7:$AA$400,26,0))</f>
        <v>3 meses</v>
      </c>
      <c r="T131" s="119">
        <f>IF(Modificaciones!AB131=0,"",VLOOKUP(E131,Modificaciones!$B$7:$AB$400,27,0))</f>
        <v>41858</v>
      </c>
      <c r="U131" s="1080" t="str">
        <f>+Modificaciones!AC131</f>
        <v/>
      </c>
      <c r="V131" s="825" t="str">
        <f>+Modificaciones!AK131</f>
        <v/>
      </c>
      <c r="W131" s="825">
        <f t="shared" si="17"/>
        <v>41858</v>
      </c>
      <c r="X131" s="59">
        <f t="shared" si="13"/>
        <v>3847300</v>
      </c>
      <c r="Y131" s="151">
        <f>VLOOKUP(E131,Modificaciones!$B$7:$BE$300,56,0)</f>
        <v>3847300</v>
      </c>
      <c r="Z131" s="84">
        <f t="shared" si="14"/>
        <v>0</v>
      </c>
      <c r="AA131" s="286"/>
      <c r="AB131" s="40">
        <f t="shared" si="15"/>
        <v>1</v>
      </c>
      <c r="AC131" s="40">
        <f t="shared" ca="1" si="18"/>
        <v>1</v>
      </c>
      <c r="AD131" s="41">
        <f t="shared" ca="1" si="19"/>
        <v>0</v>
      </c>
      <c r="AE131" s="181" t="str">
        <f t="shared" ca="1" si="20"/>
        <v/>
      </c>
      <c r="AF131" s="42" t="str">
        <f t="shared" si="16"/>
        <v>SI</v>
      </c>
      <c r="AG131" s="42"/>
      <c r="AH131" s="152" t="s">
        <v>1255</v>
      </c>
      <c r="AI131" s="152" t="s">
        <v>1298</v>
      </c>
      <c r="AJ131" s="152" t="s">
        <v>1439</v>
      </c>
      <c r="AK131" s="255" t="s">
        <v>562</v>
      </c>
      <c r="AL131" s="279" t="s">
        <v>1472</v>
      </c>
      <c r="AM131" s="152" t="s">
        <v>901</v>
      </c>
      <c r="AN131" s="161" t="str">
        <f t="shared" ca="1" si="21"/>
        <v>TERMINO</v>
      </c>
      <c r="AO131" s="160" t="s">
        <v>576</v>
      </c>
      <c r="AP131" s="155" t="s">
        <v>390</v>
      </c>
      <c r="AQ131" s="819" t="str">
        <f>IFERROR(VLOOKUP(E131,'liquidaciones '!$B$2:$C$1048576,2,0),"NO")</f>
        <v>EN TRÁMITE</v>
      </c>
      <c r="AR131" s="909">
        <f>IFERROR(VLOOKUP(E131,'liquidaciones '!$B$2:$I$1048576,8,0),"")</f>
        <v>0</v>
      </c>
      <c r="AS131" s="312"/>
      <c r="AT131" s="156" t="str">
        <f t="shared" ca="1" si="22"/>
        <v>NO</v>
      </c>
      <c r="AU131" s="156" t="s">
        <v>1164</v>
      </c>
      <c r="AV131" s="406"/>
      <c r="AW131" s="928"/>
      <c r="AX131" s="928"/>
      <c r="AY131" s="928"/>
    </row>
    <row r="132" spans="1:51" ht="47.25" customHeight="1" x14ac:dyDescent="0.3">
      <c r="A132" s="14">
        <v>4</v>
      </c>
      <c r="B132" s="14">
        <v>126</v>
      </c>
      <c r="C132" s="410"/>
      <c r="D132" s="410" t="str">
        <f t="shared" si="12"/>
        <v>2013</v>
      </c>
      <c r="E132" s="120" t="s">
        <v>172</v>
      </c>
      <c r="F132" s="120" t="s">
        <v>152</v>
      </c>
      <c r="G132" s="1046">
        <v>800015583</v>
      </c>
      <c r="H132" s="957" t="s">
        <v>364</v>
      </c>
      <c r="I132" s="142">
        <v>46411000</v>
      </c>
      <c r="J132" s="121" t="s">
        <v>1087</v>
      </c>
      <c r="K132" s="139">
        <v>2013</v>
      </c>
      <c r="L132" s="519" t="s">
        <v>1087</v>
      </c>
      <c r="M132" s="124">
        <v>41500</v>
      </c>
      <c r="N132" s="124">
        <v>41803</v>
      </c>
      <c r="O132" s="1099" t="str">
        <f>IF(+Modificaciones!I132=0,"",VLOOKUP(E132,Modificaciones!$B$7:$I$2400,8,0))</f>
        <v/>
      </c>
      <c r="P132" s="115">
        <f>COUNTA(Modificaciones!J132,Modificaciones!L132,Modificaciones!N132,Modificaciones!P132)</f>
        <v>2</v>
      </c>
      <c r="Q132" s="116">
        <f>VLOOKUP(E132,Modificaciones!$B$7:$R$300,17,0)</f>
        <v>14282200</v>
      </c>
      <c r="R132" s="117">
        <f>COUNTA(Modificaciones!T132,Modificaciones!V132,Modificaciones!X132,Modificaciones!Z132)</f>
        <v>1</v>
      </c>
      <c r="S132" s="118" t="str">
        <f>IF(Modificaciones!AA132=0,"",VLOOKUP(E132,Modificaciones!$B$7:$AA$400,26,0))</f>
        <v>2 meses</v>
      </c>
      <c r="T132" s="119">
        <f>IF(Modificaciones!AB132=0,"",VLOOKUP(E132,Modificaciones!$B$7:$AB$400,27,0))</f>
        <v>41864</v>
      </c>
      <c r="U132" s="1080" t="str">
        <f>+Modificaciones!AC132</f>
        <v/>
      </c>
      <c r="V132" s="825" t="str">
        <f>+Modificaciones!AK132</f>
        <v/>
      </c>
      <c r="W132" s="825">
        <f t="shared" si="17"/>
        <v>41864</v>
      </c>
      <c r="X132" s="59">
        <f t="shared" si="13"/>
        <v>60693200</v>
      </c>
      <c r="Y132" s="151">
        <f>VLOOKUP(E132,Modificaciones!$B$7:$BE$300,56,0)</f>
        <v>59391828</v>
      </c>
      <c r="Z132" s="84">
        <f t="shared" si="14"/>
        <v>1301372</v>
      </c>
      <c r="AA132" s="286" t="s">
        <v>1402</v>
      </c>
      <c r="AB132" s="40">
        <f t="shared" si="15"/>
        <v>0.97855819103293284</v>
      </c>
      <c r="AC132" s="40">
        <f t="shared" ca="1" si="18"/>
        <v>1</v>
      </c>
      <c r="AD132" s="41">
        <f t="shared" ca="1" si="19"/>
        <v>2.1441808967067155E-2</v>
      </c>
      <c r="AE132" s="181" t="str">
        <f t="shared" ca="1" si="20"/>
        <v/>
      </c>
      <c r="AF132" s="42" t="str">
        <f t="shared" si="16"/>
        <v>NO</v>
      </c>
      <c r="AG132" s="42"/>
      <c r="AH132" s="152" t="s">
        <v>1256</v>
      </c>
      <c r="AI132" s="157" t="s">
        <v>1462</v>
      </c>
      <c r="AJ132" s="152" t="s">
        <v>1438</v>
      </c>
      <c r="AK132" s="255" t="s">
        <v>560</v>
      </c>
      <c r="AL132" s="153"/>
      <c r="AM132" s="152" t="s">
        <v>901</v>
      </c>
      <c r="AN132" s="161" t="str">
        <f t="shared" ca="1" si="21"/>
        <v>TERMINO</v>
      </c>
      <c r="AO132" s="160" t="s">
        <v>921</v>
      </c>
      <c r="AP132" s="155" t="s">
        <v>390</v>
      </c>
      <c r="AQ132" s="819" t="str">
        <f>IFERROR(VLOOKUP(E132,'liquidaciones '!$B$2:$C$1048576,2,0),"NO")</f>
        <v>NO</v>
      </c>
      <c r="AR132" s="909" t="str">
        <f>IFERROR(VLOOKUP(E132,'liquidaciones '!$B$2:$I$1048576,8,0),"")</f>
        <v/>
      </c>
      <c r="AS132" s="312"/>
      <c r="AT132" s="156" t="str">
        <f t="shared" ca="1" si="22"/>
        <v>NO</v>
      </c>
      <c r="AU132" s="156" t="s">
        <v>1570</v>
      </c>
      <c r="AV132" s="406"/>
      <c r="AW132" s="928"/>
      <c r="AX132" s="928"/>
      <c r="AY132" s="928"/>
    </row>
    <row r="133" spans="1:51" ht="47.25" customHeight="1" x14ac:dyDescent="0.3">
      <c r="A133" s="14">
        <v>4</v>
      </c>
      <c r="B133" s="14">
        <v>127</v>
      </c>
      <c r="C133" s="410"/>
      <c r="D133" s="410" t="str">
        <f t="shared" si="12"/>
        <v>2013</v>
      </c>
      <c r="E133" s="120" t="s">
        <v>173</v>
      </c>
      <c r="F133" s="120" t="s">
        <v>174</v>
      </c>
      <c r="G133" s="1046">
        <v>830047489</v>
      </c>
      <c r="H133" s="957" t="s">
        <v>365</v>
      </c>
      <c r="I133" s="126">
        <v>4393120</v>
      </c>
      <c r="J133" s="121" t="s">
        <v>1087</v>
      </c>
      <c r="K133" s="139">
        <v>2013</v>
      </c>
      <c r="L133" s="519" t="s">
        <v>1087</v>
      </c>
      <c r="M133" s="124">
        <v>41512</v>
      </c>
      <c r="N133" s="124">
        <v>41784</v>
      </c>
      <c r="O133" s="1099" t="str">
        <f>IF(+Modificaciones!I133=0,"",VLOOKUP(E133,Modificaciones!$B$7:$I$2400,8,0))</f>
        <v/>
      </c>
      <c r="P133" s="115">
        <f>COUNTA(Modificaciones!J133,Modificaciones!L133,Modificaciones!N133,Modificaciones!P133)</f>
        <v>0</v>
      </c>
      <c r="Q133" s="116">
        <f>VLOOKUP(E133,Modificaciones!$B$7:$R$300,17,0)</f>
        <v>0</v>
      </c>
      <c r="R133" s="117">
        <f>COUNTA(Modificaciones!T133,Modificaciones!V133,Modificaciones!X133,Modificaciones!Z133)</f>
        <v>1</v>
      </c>
      <c r="S133" s="118" t="str">
        <f>IF(Modificaciones!AA133=0,"",VLOOKUP(E133,Modificaciones!$B$7:$AA$400,26,0))</f>
        <v>3 meses</v>
      </c>
      <c r="T133" s="119">
        <f>IF(Modificaciones!AB133=0,"",VLOOKUP(E133,Modificaciones!$B$7:$AB$400,27,0))</f>
        <v>41876</v>
      </c>
      <c r="U133" s="1080" t="str">
        <f>+Modificaciones!AC133</f>
        <v/>
      </c>
      <c r="V133" s="825" t="str">
        <f>+Modificaciones!AK133</f>
        <v/>
      </c>
      <c r="W133" s="825">
        <f t="shared" si="17"/>
        <v>41876</v>
      </c>
      <c r="X133" s="59">
        <f t="shared" si="13"/>
        <v>4393120</v>
      </c>
      <c r="Y133" s="151">
        <f>VLOOKUP(E133,Modificaciones!$B$7:$BE$300,56,0)</f>
        <v>2578000</v>
      </c>
      <c r="Z133" s="84">
        <f t="shared" si="14"/>
        <v>1815120</v>
      </c>
      <c r="AA133" s="283" t="s">
        <v>1094</v>
      </c>
      <c r="AB133" s="40">
        <f t="shared" si="15"/>
        <v>0.58682667443639147</v>
      </c>
      <c r="AC133" s="40">
        <f t="shared" ca="1" si="18"/>
        <v>1</v>
      </c>
      <c r="AD133" s="41">
        <f t="shared" ca="1" si="19"/>
        <v>0.41317332556360853</v>
      </c>
      <c r="AE133" s="181" t="str">
        <f t="shared" ca="1" si="20"/>
        <v/>
      </c>
      <c r="AF133" s="42" t="str">
        <f t="shared" si="16"/>
        <v>NO</v>
      </c>
      <c r="AG133" s="42"/>
      <c r="AH133" s="152" t="s">
        <v>1255</v>
      </c>
      <c r="AI133" s="152" t="s">
        <v>1510</v>
      </c>
      <c r="AJ133" s="152" t="s">
        <v>1441</v>
      </c>
      <c r="AK133" s="255" t="s">
        <v>560</v>
      </c>
      <c r="AL133" s="153" t="s">
        <v>1379</v>
      </c>
      <c r="AM133" s="152" t="s">
        <v>901</v>
      </c>
      <c r="AN133" s="161" t="str">
        <f t="shared" ca="1" si="21"/>
        <v>TERMINO</v>
      </c>
      <c r="AO133" s="160" t="s">
        <v>576</v>
      </c>
      <c r="AP133" s="155" t="s">
        <v>390</v>
      </c>
      <c r="AQ133" s="819" t="str">
        <f>IFERROR(VLOOKUP(E133,'liquidaciones '!$B$2:$C$1048576,2,0),"NO")</f>
        <v>LIQUIDADO</v>
      </c>
      <c r="AR133" s="909">
        <f>IFERROR(VLOOKUP(E133,'liquidaciones '!$B$2:$I$1048576,8,0),"")</f>
        <v>0</v>
      </c>
      <c r="AS133" s="312">
        <v>42025</v>
      </c>
      <c r="AT133" s="156" t="str">
        <f t="shared" ca="1" si="22"/>
        <v>NO</v>
      </c>
      <c r="AU133" s="156" t="s">
        <v>1055</v>
      </c>
      <c r="AV133" s="406"/>
      <c r="AW133" s="928"/>
      <c r="AX133" s="928"/>
      <c r="AY133" s="928"/>
    </row>
    <row r="134" spans="1:51" ht="47.25" customHeight="1" x14ac:dyDescent="0.3">
      <c r="A134" s="14">
        <v>4</v>
      </c>
      <c r="B134" s="14">
        <v>128</v>
      </c>
      <c r="C134" s="410"/>
      <c r="D134" s="410" t="str">
        <f t="shared" si="12"/>
        <v>2013</v>
      </c>
      <c r="E134" s="120" t="s">
        <v>187</v>
      </c>
      <c r="F134" s="120" t="s">
        <v>188</v>
      </c>
      <c r="G134" s="1048">
        <v>900055635</v>
      </c>
      <c r="H134" s="957" t="s">
        <v>479</v>
      </c>
      <c r="I134" s="126">
        <v>16804000</v>
      </c>
      <c r="J134" s="821" t="s">
        <v>5691</v>
      </c>
      <c r="K134" s="139">
        <v>2013</v>
      </c>
      <c r="L134" s="519" t="s">
        <v>1087</v>
      </c>
      <c r="M134" s="124">
        <v>41523</v>
      </c>
      <c r="N134" s="124">
        <v>41764</v>
      </c>
      <c r="O134" s="1099" t="str">
        <f>IF(+Modificaciones!I134=0,"",VLOOKUP(E134,Modificaciones!$B$7:$I$2400,8,0))</f>
        <v/>
      </c>
      <c r="P134" s="115">
        <f>COUNTA(Modificaciones!J134,Modificaciones!L134,Modificaciones!N134,Modificaciones!P134)</f>
        <v>1</v>
      </c>
      <c r="Q134" s="116">
        <f>VLOOKUP(E134,Modificaciones!$B$7:$R$300,17,0)</f>
        <v>8400000</v>
      </c>
      <c r="R134" s="117">
        <f>COUNTA(Modificaciones!T134,Modificaciones!V134,Modificaciones!X134,Modificaciones!Z134)</f>
        <v>3</v>
      </c>
      <c r="S134" s="118" t="str">
        <f>IF(Modificaciones!AA134=0,"",VLOOKUP(E134,Modificaciones!$B$7:$AA$400,26,0))</f>
        <v>11 meses</v>
      </c>
      <c r="T134" s="119">
        <f>IF(Modificaciones!AB134=0,"",VLOOKUP(E134,Modificaciones!$B$7:$AB$400,27,0))</f>
        <v>42099</v>
      </c>
      <c r="U134" s="1080" t="str">
        <f>+Modificaciones!AC134</f>
        <v/>
      </c>
      <c r="V134" s="825" t="str">
        <f>+Modificaciones!AK134</f>
        <v/>
      </c>
      <c r="W134" s="825">
        <f t="shared" si="17"/>
        <v>42099</v>
      </c>
      <c r="X134" s="59">
        <f t="shared" si="13"/>
        <v>25204000</v>
      </c>
      <c r="Y134" s="151">
        <f>VLOOKUP(E134,Modificaciones!$B$7:$BE$300,56,0)</f>
        <v>25201450</v>
      </c>
      <c r="Z134" s="84">
        <f t="shared" si="14"/>
        <v>2550</v>
      </c>
      <c r="AA134" s="283" t="s">
        <v>1094</v>
      </c>
      <c r="AB134" s="40">
        <f t="shared" si="15"/>
        <v>0.99989882558324072</v>
      </c>
      <c r="AC134" s="40">
        <f t="shared" ca="1" si="18"/>
        <v>1</v>
      </c>
      <c r="AD134" s="41">
        <f t="shared" ca="1" si="19"/>
        <v>1.0117441675927541E-4</v>
      </c>
      <c r="AE134" s="181" t="str">
        <f t="shared" ca="1" si="20"/>
        <v/>
      </c>
      <c r="AF134" s="42" t="str">
        <f t="shared" si="16"/>
        <v>SI</v>
      </c>
      <c r="AG134" s="42"/>
      <c r="AH134" s="152" t="s">
        <v>1255</v>
      </c>
      <c r="AI134" s="152" t="s">
        <v>1125</v>
      </c>
      <c r="AJ134" s="152" t="s">
        <v>1441</v>
      </c>
      <c r="AK134" s="255" t="s">
        <v>560</v>
      </c>
      <c r="AL134" s="153" t="s">
        <v>1318</v>
      </c>
      <c r="AM134" s="152" t="s">
        <v>901</v>
      </c>
      <c r="AN134" s="161" t="str">
        <f t="shared" ca="1" si="21"/>
        <v>TERMINO</v>
      </c>
      <c r="AO134" s="160" t="s">
        <v>576</v>
      </c>
      <c r="AP134" s="155" t="s">
        <v>390</v>
      </c>
      <c r="AQ134" s="819" t="str">
        <f>IFERROR(VLOOKUP(E134,'liquidaciones '!$B$2:$C$1048576,2,0),"NO")</f>
        <v>LIQUIDADO</v>
      </c>
      <c r="AR134" s="909">
        <f>IFERROR(VLOOKUP(E134,'liquidaciones '!$B$2:$I$1048576,8,0),"")</f>
        <v>0</v>
      </c>
      <c r="AS134" s="312"/>
      <c r="AT134" s="156" t="str">
        <f t="shared" ca="1" si="22"/>
        <v>NO</v>
      </c>
      <c r="AU134" s="156" t="s">
        <v>1569</v>
      </c>
      <c r="AV134" s="406"/>
      <c r="AW134" s="928"/>
      <c r="AX134" s="928"/>
      <c r="AY134" s="928"/>
    </row>
    <row r="135" spans="1:51" ht="47.25" customHeight="1" x14ac:dyDescent="0.3">
      <c r="A135" s="14">
        <v>4</v>
      </c>
      <c r="B135" s="14">
        <v>129</v>
      </c>
      <c r="C135" s="410"/>
      <c r="D135" s="410" t="str">
        <f t="shared" ref="D135:D198" si="23">K135&amp;C135</f>
        <v>2013</v>
      </c>
      <c r="E135" s="120" t="s">
        <v>183</v>
      </c>
      <c r="F135" s="120" t="s">
        <v>184</v>
      </c>
      <c r="G135" s="1046">
        <v>800230639</v>
      </c>
      <c r="H135" s="957" t="s">
        <v>480</v>
      </c>
      <c r="I135" s="126">
        <v>86923131</v>
      </c>
      <c r="J135" s="821" t="s">
        <v>5699</v>
      </c>
      <c r="K135" s="139">
        <v>2013</v>
      </c>
      <c r="L135" s="519" t="s">
        <v>1087</v>
      </c>
      <c r="M135" s="124">
        <v>41506</v>
      </c>
      <c r="N135" s="124">
        <v>41871</v>
      </c>
      <c r="O135" s="1099" t="str">
        <f>IF(+Modificaciones!I135=0,"",VLOOKUP(E135,Modificaciones!$B$7:$I$2400,8,0))</f>
        <v/>
      </c>
      <c r="P135" s="115">
        <f>COUNTA(Modificaciones!J135,Modificaciones!L135,Modificaciones!N135,Modificaciones!P135)</f>
        <v>1</v>
      </c>
      <c r="Q135" s="116">
        <f>VLOOKUP(E135,Modificaciones!$B$7:$R$300,17,0)</f>
        <v>43461566</v>
      </c>
      <c r="R135" s="117">
        <f>COUNTA(Modificaciones!T135,Modificaciones!V135,Modificaciones!X135,Modificaciones!Z135)</f>
        <v>1</v>
      </c>
      <c r="S135" s="118" t="str">
        <f>IF(Modificaciones!AA135=0,"",VLOOKUP(E135,Modificaciones!$B$7:$AA$400,26,0))</f>
        <v>5 meses</v>
      </c>
      <c r="T135" s="119">
        <f>IF(Modificaciones!AB135=0,"",VLOOKUP(E135,Modificaciones!$B$7:$AB$400,27,0))</f>
        <v>42055</v>
      </c>
      <c r="U135" s="1080" t="str">
        <f>+Modificaciones!AC135</f>
        <v/>
      </c>
      <c r="V135" s="825" t="str">
        <f>+Modificaciones!AK135</f>
        <v/>
      </c>
      <c r="W135" s="825">
        <f t="shared" si="17"/>
        <v>42055</v>
      </c>
      <c r="X135" s="59">
        <f t="shared" ref="X135:X198" si="24">I135+Q135</f>
        <v>130384697</v>
      </c>
      <c r="Y135" s="151">
        <f>VLOOKUP(E135,Modificaciones!$B$7:$BE$300,56,0)</f>
        <v>96359635</v>
      </c>
      <c r="Z135" s="84">
        <f t="shared" ref="Z135:Z198" si="25">X135-Y135</f>
        <v>34025062</v>
      </c>
      <c r="AA135" s="286"/>
      <c r="AB135" s="40">
        <f t="shared" ref="AB135:AB198" si="26">(Y135*100%)/X135</f>
        <v>0.7390409857684449</v>
      </c>
      <c r="AC135" s="40">
        <f t="shared" ca="1" si="18"/>
        <v>1</v>
      </c>
      <c r="AD135" s="41">
        <f t="shared" ca="1" si="19"/>
        <v>0.2609590142315551</v>
      </c>
      <c r="AE135" s="181" t="str">
        <f t="shared" ca="1" si="20"/>
        <v/>
      </c>
      <c r="AF135" s="42" t="str">
        <f t="shared" ref="AF135:AF198" si="27">IF(AB135&lt;=99.9%,"NO","SI")</f>
        <v>NO</v>
      </c>
      <c r="AG135" s="42"/>
      <c r="AH135" s="152" t="s">
        <v>1256</v>
      </c>
      <c r="AI135" s="275" t="s">
        <v>1165</v>
      </c>
      <c r="AJ135" s="152" t="s">
        <v>1438</v>
      </c>
      <c r="AK135" s="255" t="s">
        <v>560</v>
      </c>
      <c r="AL135" s="153"/>
      <c r="AM135" s="152" t="s">
        <v>904</v>
      </c>
      <c r="AN135" s="161" t="str">
        <f t="shared" ca="1" si="21"/>
        <v>TERMINO</v>
      </c>
      <c r="AO135" s="160" t="s">
        <v>576</v>
      </c>
      <c r="AP135" s="155" t="s">
        <v>390</v>
      </c>
      <c r="AQ135" s="819" t="str">
        <f>IFERROR(VLOOKUP(E135,'liquidaciones '!$B$2:$C$1048576,2,0),"NO")</f>
        <v>LIQUIDADO</v>
      </c>
      <c r="AR135" s="909">
        <f>IFERROR(VLOOKUP(E135,'liquidaciones '!$B$2:$I$1048576,8,0),"")</f>
        <v>0</v>
      </c>
      <c r="AS135" s="312"/>
      <c r="AT135" s="156" t="str">
        <f t="shared" ca="1" si="22"/>
        <v>NO</v>
      </c>
      <c r="AU135" s="156" t="s">
        <v>1991</v>
      </c>
      <c r="AV135" s="406"/>
      <c r="AW135" s="928"/>
      <c r="AX135" s="928"/>
      <c r="AY135" s="928"/>
    </row>
    <row r="136" spans="1:51" ht="47.25" customHeight="1" x14ac:dyDescent="0.3">
      <c r="A136" s="14">
        <v>4</v>
      </c>
      <c r="B136" s="14">
        <v>130</v>
      </c>
      <c r="C136" s="410"/>
      <c r="D136" s="410" t="str">
        <f t="shared" si="23"/>
        <v>2013</v>
      </c>
      <c r="E136" s="120" t="s">
        <v>185</v>
      </c>
      <c r="F136" s="120" t="s">
        <v>186</v>
      </c>
      <c r="G136" s="1048">
        <v>800039398</v>
      </c>
      <c r="H136" s="957" t="s">
        <v>481</v>
      </c>
      <c r="I136" s="126">
        <v>45056000</v>
      </c>
      <c r="J136" s="821" t="s">
        <v>5693</v>
      </c>
      <c r="K136" s="139">
        <v>2013</v>
      </c>
      <c r="L136" s="519" t="s">
        <v>1087</v>
      </c>
      <c r="M136" s="124">
        <v>41533</v>
      </c>
      <c r="N136" s="124">
        <v>41897</v>
      </c>
      <c r="O136" s="1099" t="str">
        <f>IF(+Modificaciones!I136=0,"",VLOOKUP(E136,Modificaciones!$B$7:$I$2400,8,0))</f>
        <v/>
      </c>
      <c r="P136" s="115">
        <f>COUNTA(Modificaciones!J136,Modificaciones!L136,Modificaciones!N136,Modificaciones!P136)</f>
        <v>0</v>
      </c>
      <c r="Q136" s="116">
        <f>VLOOKUP(E136,Modificaciones!$B$7:$R$300,17,0)</f>
        <v>0</v>
      </c>
      <c r="R136" s="117">
        <f>COUNTA(Modificaciones!T136,Modificaciones!V136,Modificaciones!X136,Modificaciones!Z136)</f>
        <v>0</v>
      </c>
      <c r="S136" s="118" t="str">
        <f>IF(Modificaciones!AA136=0,"",VLOOKUP(E136,Modificaciones!$B$7:$AA$400,26,0))</f>
        <v/>
      </c>
      <c r="T136" s="119" t="str">
        <f>IF(Modificaciones!AB136=0,"",VLOOKUP(E136,Modificaciones!$B$7:$AB$400,27,0))</f>
        <v/>
      </c>
      <c r="U136" s="1080" t="str">
        <f>+Modificaciones!AC136</f>
        <v/>
      </c>
      <c r="V136" s="825" t="str">
        <f>+Modificaciones!AK136</f>
        <v/>
      </c>
      <c r="W136" s="825">
        <f t="shared" ref="W136:W199" si="28">MAX(N136,O136,T136,V136)</f>
        <v>41897</v>
      </c>
      <c r="X136" s="59">
        <f t="shared" si="24"/>
        <v>45056000</v>
      </c>
      <c r="Y136" s="151">
        <f>VLOOKUP(E136,Modificaciones!$B$7:$BE$300,56,0)</f>
        <v>25056000</v>
      </c>
      <c r="Z136" s="84">
        <f t="shared" si="25"/>
        <v>20000000</v>
      </c>
      <c r="AA136" s="286"/>
      <c r="AB136" s="40">
        <f t="shared" si="26"/>
        <v>0.55610795454545459</v>
      </c>
      <c r="AC136" s="40">
        <f t="shared" ref="AC136:AC199" ca="1" si="29">IF((($F$3-M136)*100%/(W136-M136))&gt;100%,100%,(($F$3-M136)*100%/(W136-M136)))</f>
        <v>1</v>
      </c>
      <c r="AD136" s="41">
        <f t="shared" ref="AD136:AD199" ca="1" si="30">AC136-AB136</f>
        <v>0.44389204545454541</v>
      </c>
      <c r="AE136" s="181" t="str">
        <f t="shared" ref="AE136:AE199" ca="1" si="31">IF(AC136&lt;100%,W136-$F$3,"")</f>
        <v/>
      </c>
      <c r="AF136" s="42" t="str">
        <f t="shared" si="27"/>
        <v>NO</v>
      </c>
      <c r="AG136" s="42"/>
      <c r="AH136" s="152" t="s">
        <v>1256</v>
      </c>
      <c r="AI136" s="152" t="s">
        <v>1488</v>
      </c>
      <c r="AJ136" s="152" t="s">
        <v>1438</v>
      </c>
      <c r="AK136" s="255" t="s">
        <v>560</v>
      </c>
      <c r="AL136" s="153"/>
      <c r="AM136" s="152" t="s">
        <v>901</v>
      </c>
      <c r="AN136" s="161" t="str">
        <f t="shared" ref="AN136:AN199" ca="1" si="32">IF(W136&gt;=$F$3,"EN EJECUCIÓN","TERMINO")</f>
        <v>TERMINO</v>
      </c>
      <c r="AO136" s="152" t="s">
        <v>575</v>
      </c>
      <c r="AP136" s="155" t="s">
        <v>390</v>
      </c>
      <c r="AQ136" s="819" t="str">
        <f>IFERROR(VLOOKUP(E136,'liquidaciones '!$B$2:$C$1048576,2,0),"NO")</f>
        <v>LIQUIDADO</v>
      </c>
      <c r="AR136" s="909">
        <f>IFERROR(VLOOKUP(E136,'liquidaciones '!$B$2:$I$1048576,8,0),"")</f>
        <v>0</v>
      </c>
      <c r="AS136" s="312">
        <v>42004</v>
      </c>
      <c r="AT136" s="156" t="str">
        <f t="shared" ref="AT136:AT199" ca="1" si="33">IF((TODAY()-W136&lt;900),"SI","NO")</f>
        <v>NO</v>
      </c>
      <c r="AU136" s="156" t="s">
        <v>981</v>
      </c>
      <c r="AV136" s="406"/>
      <c r="AW136" s="928"/>
      <c r="AX136" s="928"/>
      <c r="AY136" s="928"/>
    </row>
    <row r="137" spans="1:51" ht="47.25" customHeight="1" x14ac:dyDescent="0.3">
      <c r="A137" s="14">
        <v>4</v>
      </c>
      <c r="B137" s="14">
        <v>131</v>
      </c>
      <c r="C137" s="410"/>
      <c r="D137" s="410" t="str">
        <f t="shared" si="23"/>
        <v>2013</v>
      </c>
      <c r="E137" s="120" t="s">
        <v>195</v>
      </c>
      <c r="F137" s="120" t="s">
        <v>1036</v>
      </c>
      <c r="G137" s="1046">
        <v>860066942</v>
      </c>
      <c r="H137" s="957" t="s">
        <v>482</v>
      </c>
      <c r="I137" s="126">
        <v>76223000</v>
      </c>
      <c r="J137" s="821" t="s">
        <v>4776</v>
      </c>
      <c r="K137" s="139">
        <v>2013</v>
      </c>
      <c r="L137" s="519" t="s">
        <v>1087</v>
      </c>
      <c r="M137" s="124">
        <v>41541</v>
      </c>
      <c r="N137" s="124">
        <v>41721</v>
      </c>
      <c r="O137" s="1099" t="str">
        <f>IF(+Modificaciones!I137=0,"",VLOOKUP(E137,Modificaciones!$B$7:$I$2400,8,0))</f>
        <v/>
      </c>
      <c r="P137" s="115">
        <f>COUNTA(Modificaciones!J137,Modificaciones!L137,Modificaciones!N137,Modificaciones!P137)</f>
        <v>2</v>
      </c>
      <c r="Q137" s="116">
        <f>VLOOKUP(E137,Modificaciones!$B$7:$R$300,17,0)</f>
        <v>38002288</v>
      </c>
      <c r="R137" s="117">
        <f>COUNTA(Modificaciones!T137,Modificaciones!V137,Modificaciones!X137,Modificaciones!Z137)</f>
        <v>1</v>
      </c>
      <c r="S137" s="118" t="str">
        <f>IF(Modificaciones!AA137=0,"",VLOOKUP(E137,Modificaciones!$B$7:$AA$400,26,0))</f>
        <v>2 meses</v>
      </c>
      <c r="T137" s="119">
        <f>IF(Modificaciones!AB137=0,"",VLOOKUP(E137,Modificaciones!$B$7:$AB$400,27,0))</f>
        <v>41782</v>
      </c>
      <c r="U137" s="1080" t="str">
        <f>+Modificaciones!AC137</f>
        <v/>
      </c>
      <c r="V137" s="825" t="str">
        <f>+Modificaciones!AK137</f>
        <v/>
      </c>
      <c r="W137" s="825">
        <f t="shared" si="28"/>
        <v>41782</v>
      </c>
      <c r="X137" s="59">
        <f t="shared" si="24"/>
        <v>114225288</v>
      </c>
      <c r="Y137" s="151">
        <f>VLOOKUP(E137,Modificaciones!$B$7:$BE$300,56,0)</f>
        <v>114217068</v>
      </c>
      <c r="Z137" s="84">
        <f t="shared" si="25"/>
        <v>8220</v>
      </c>
      <c r="AA137" s="286"/>
      <c r="AB137" s="40">
        <f t="shared" si="26"/>
        <v>0.99992803695097709</v>
      </c>
      <c r="AC137" s="40">
        <f t="shared" ca="1" si="29"/>
        <v>1</v>
      </c>
      <c r="AD137" s="41">
        <f t="shared" ca="1" si="30"/>
        <v>7.1963049022905068E-5</v>
      </c>
      <c r="AE137" s="181" t="str">
        <f t="shared" ca="1" si="31"/>
        <v/>
      </c>
      <c r="AF137" s="42" t="str">
        <f t="shared" si="27"/>
        <v>SI</v>
      </c>
      <c r="AG137" s="42"/>
      <c r="AH137" s="152" t="s">
        <v>1255</v>
      </c>
      <c r="AI137" s="152" t="s">
        <v>1300</v>
      </c>
      <c r="AJ137" s="152" t="s">
        <v>1434</v>
      </c>
      <c r="AK137" s="255" t="s">
        <v>560</v>
      </c>
      <c r="AL137" s="153"/>
      <c r="AM137" s="152" t="s">
        <v>901</v>
      </c>
      <c r="AN137" s="161" t="str">
        <f t="shared" ca="1" si="32"/>
        <v>TERMINO</v>
      </c>
      <c r="AO137" s="160" t="s">
        <v>574</v>
      </c>
      <c r="AP137" s="155" t="s">
        <v>390</v>
      </c>
      <c r="AQ137" s="819" t="str">
        <f>IFERROR(VLOOKUP(E137,'liquidaciones '!$B$2:$C$1048576,2,0),"NO")</f>
        <v>LIQUIDADO</v>
      </c>
      <c r="AR137" s="909">
        <f>IFERROR(VLOOKUP(E137,'liquidaciones '!$B$2:$I$1048576,8,0),"")</f>
        <v>0</v>
      </c>
      <c r="AS137" s="312">
        <v>42004</v>
      </c>
      <c r="AT137" s="156" t="str">
        <f t="shared" ca="1" si="33"/>
        <v>NO</v>
      </c>
      <c r="AU137" s="156" t="s">
        <v>983</v>
      </c>
      <c r="AV137" s="406"/>
      <c r="AW137" s="928"/>
      <c r="AX137" s="928"/>
      <c r="AY137" s="928"/>
    </row>
    <row r="138" spans="1:51" ht="47.25" customHeight="1" x14ac:dyDescent="0.3">
      <c r="A138" s="14">
        <v>4</v>
      </c>
      <c r="B138" s="14">
        <v>132</v>
      </c>
      <c r="C138" s="410"/>
      <c r="D138" s="410" t="str">
        <f t="shared" si="23"/>
        <v>2013</v>
      </c>
      <c r="E138" s="120" t="s">
        <v>191</v>
      </c>
      <c r="F138" s="120" t="s">
        <v>192</v>
      </c>
      <c r="G138" s="1048">
        <v>800105847</v>
      </c>
      <c r="H138" s="957" t="s">
        <v>483</v>
      </c>
      <c r="I138" s="126">
        <v>4715000</v>
      </c>
      <c r="J138" s="821" t="s">
        <v>4775</v>
      </c>
      <c r="K138" s="139">
        <v>2013</v>
      </c>
      <c r="L138" s="519" t="s">
        <v>1087</v>
      </c>
      <c r="M138" s="124">
        <v>41555</v>
      </c>
      <c r="N138" s="124">
        <v>41615</v>
      </c>
      <c r="O138" s="1099" t="str">
        <f>IF(+Modificaciones!I138=0,"",VLOOKUP(E138,Modificaciones!$B$7:$I$2400,8,0))</f>
        <v/>
      </c>
      <c r="P138" s="115">
        <f>COUNTA(Modificaciones!J138,Modificaciones!L138,Modificaciones!N138,Modificaciones!P138)</f>
        <v>0</v>
      </c>
      <c r="Q138" s="116">
        <f>VLOOKUP(E138,Modificaciones!$B$7:$R$300,17,0)</f>
        <v>0</v>
      </c>
      <c r="R138" s="117">
        <f>COUNTA(Modificaciones!T138,Modificaciones!V138,Modificaciones!X138,Modificaciones!Z138)</f>
        <v>0</v>
      </c>
      <c r="S138" s="118" t="str">
        <f>IF(Modificaciones!AA138=0,"",VLOOKUP(E138,Modificaciones!$B$7:$AA$400,26,0))</f>
        <v/>
      </c>
      <c r="T138" s="119" t="str">
        <f>IF(Modificaciones!AB138=0,"",VLOOKUP(E138,Modificaciones!$B$7:$AB$400,27,0))</f>
        <v/>
      </c>
      <c r="U138" s="1080" t="str">
        <f>+Modificaciones!AC138</f>
        <v/>
      </c>
      <c r="V138" s="825" t="str">
        <f>+Modificaciones!AK138</f>
        <v/>
      </c>
      <c r="W138" s="825">
        <f t="shared" si="28"/>
        <v>41615</v>
      </c>
      <c r="X138" s="59">
        <f t="shared" si="24"/>
        <v>4715000</v>
      </c>
      <c r="Y138" s="151">
        <f>VLOOKUP(E138,Modificaciones!$B$7:$BE$300,56,0)</f>
        <v>4715000</v>
      </c>
      <c r="Z138" s="84">
        <f t="shared" si="25"/>
        <v>0</v>
      </c>
      <c r="AA138" s="283" t="s">
        <v>1094</v>
      </c>
      <c r="AB138" s="40">
        <f t="shared" si="26"/>
        <v>1</v>
      </c>
      <c r="AC138" s="40">
        <f t="shared" ca="1" si="29"/>
        <v>1</v>
      </c>
      <c r="AD138" s="41">
        <f t="shared" ca="1" si="30"/>
        <v>0</v>
      </c>
      <c r="AE138" s="181" t="str">
        <f t="shared" ca="1" si="31"/>
        <v/>
      </c>
      <c r="AF138" s="42" t="str">
        <f t="shared" si="27"/>
        <v>SI</v>
      </c>
      <c r="AG138" s="42"/>
      <c r="AH138" s="152" t="s">
        <v>1255</v>
      </c>
      <c r="AI138" s="152" t="s">
        <v>1299</v>
      </c>
      <c r="AJ138" s="152" t="s">
        <v>1441</v>
      </c>
      <c r="AK138" s="255" t="s">
        <v>560</v>
      </c>
      <c r="AL138" s="153" t="s">
        <v>1379</v>
      </c>
      <c r="AM138" s="152" t="s">
        <v>901</v>
      </c>
      <c r="AN138" s="161" t="str">
        <f t="shared" ca="1" si="32"/>
        <v>TERMINO</v>
      </c>
      <c r="AO138" s="160" t="s">
        <v>576</v>
      </c>
      <c r="AP138" s="155" t="s">
        <v>390</v>
      </c>
      <c r="AQ138" s="819" t="str">
        <f>IFERROR(VLOOKUP(E138,'liquidaciones '!$B$2:$C$1048576,2,0),"NO")</f>
        <v>LIQUIDADO</v>
      </c>
      <c r="AR138" s="909" t="str">
        <f>IFERROR(VLOOKUP(E138,'liquidaciones '!$B$2:$I$1048576,8,0),"")</f>
        <v>JUAN DIEGO ESPITIA</v>
      </c>
      <c r="AS138" s="308">
        <v>41900</v>
      </c>
      <c r="AT138" s="156" t="str">
        <f t="shared" ca="1" si="33"/>
        <v>NO</v>
      </c>
      <c r="AU138" s="156" t="s">
        <v>1150</v>
      </c>
      <c r="AV138" s="406"/>
      <c r="AW138" s="928"/>
      <c r="AX138" s="928"/>
      <c r="AY138" s="928"/>
    </row>
    <row r="139" spans="1:51" ht="47.25" customHeight="1" x14ac:dyDescent="0.3">
      <c r="A139" s="14">
        <v>4</v>
      </c>
      <c r="B139" s="14">
        <v>133</v>
      </c>
      <c r="C139" s="410"/>
      <c r="D139" s="410" t="str">
        <f t="shared" si="23"/>
        <v>2013</v>
      </c>
      <c r="E139" s="120" t="s">
        <v>199</v>
      </c>
      <c r="F139" s="120" t="s">
        <v>1037</v>
      </c>
      <c r="G139" s="1046">
        <v>899999230</v>
      </c>
      <c r="H139" s="957" t="s">
        <v>484</v>
      </c>
      <c r="I139" s="126">
        <v>457000000</v>
      </c>
      <c r="J139" s="821" t="s">
        <v>5277</v>
      </c>
      <c r="K139" s="139">
        <v>2013</v>
      </c>
      <c r="L139" s="519" t="s">
        <v>1087</v>
      </c>
      <c r="M139" s="124">
        <v>41556</v>
      </c>
      <c r="N139" s="124">
        <v>41798</v>
      </c>
      <c r="O139" s="1099" t="str">
        <f>IF(+Modificaciones!I139=0,"",VLOOKUP(E139,Modificaciones!$B$7:$I$2400,8,0))</f>
        <v/>
      </c>
      <c r="P139" s="115">
        <f>COUNTA(Modificaciones!J139,Modificaciones!L139,Modificaciones!N139,Modificaciones!P139)</f>
        <v>0</v>
      </c>
      <c r="Q139" s="116">
        <f>VLOOKUP(E139,Modificaciones!$B$7:$R$300,17,0)</f>
        <v>0</v>
      </c>
      <c r="R139" s="117">
        <f>COUNTA(Modificaciones!T139,Modificaciones!V139,Modificaciones!X139,Modificaciones!Z139)</f>
        <v>2</v>
      </c>
      <c r="S139" s="118" t="str">
        <f>IF(Modificaciones!AA139=0,"",VLOOKUP(E139,Modificaciones!$B$7:$AA$400,26,0))</f>
        <v>3 meses</v>
      </c>
      <c r="T139" s="119">
        <f>IF(Modificaciones!AB139=0,"",VLOOKUP(E139,Modificaciones!$B$7:$AB$400,27,0))</f>
        <v>41890</v>
      </c>
      <c r="U139" s="1080" t="str">
        <f>+Modificaciones!AC139</f>
        <v/>
      </c>
      <c r="V139" s="825" t="str">
        <f>+Modificaciones!AK139</f>
        <v/>
      </c>
      <c r="W139" s="825">
        <f t="shared" si="28"/>
        <v>41890</v>
      </c>
      <c r="X139" s="59">
        <f t="shared" si="24"/>
        <v>457000000</v>
      </c>
      <c r="Y139" s="151">
        <f>VLOOKUP(E139,Modificaciones!$B$7:$BE$300,56,0)</f>
        <v>416287285</v>
      </c>
      <c r="Z139" s="84">
        <f t="shared" si="25"/>
        <v>40712715</v>
      </c>
      <c r="AA139" s="286" t="s">
        <v>1408</v>
      </c>
      <c r="AB139" s="40">
        <f t="shared" si="26"/>
        <v>0.91091309628008754</v>
      </c>
      <c r="AC139" s="40">
        <f t="shared" ca="1" si="29"/>
        <v>1</v>
      </c>
      <c r="AD139" s="41">
        <f t="shared" ca="1" si="30"/>
        <v>8.9086903719912458E-2</v>
      </c>
      <c r="AE139" s="181" t="str">
        <f t="shared" ca="1" si="31"/>
        <v/>
      </c>
      <c r="AF139" s="42" t="str">
        <f t="shared" si="27"/>
        <v>NO</v>
      </c>
      <c r="AG139" s="42"/>
      <c r="AH139" s="152" t="s">
        <v>1255</v>
      </c>
      <c r="AI139" s="152" t="s">
        <v>1302</v>
      </c>
      <c r="AJ139" s="152" t="s">
        <v>1434</v>
      </c>
      <c r="AK139" s="255" t="s">
        <v>560</v>
      </c>
      <c r="AL139" s="153" t="s">
        <v>1385</v>
      </c>
      <c r="AM139" s="152" t="s">
        <v>901</v>
      </c>
      <c r="AN139" s="161" t="str">
        <f t="shared" ca="1" si="32"/>
        <v>TERMINO</v>
      </c>
      <c r="AO139" s="160" t="s">
        <v>582</v>
      </c>
      <c r="AP139" s="155" t="s">
        <v>390</v>
      </c>
      <c r="AQ139" s="819" t="str">
        <f>IFERROR(VLOOKUP(E139,'liquidaciones '!$B$2:$C$1048576,2,0),"NO")</f>
        <v>LIQUIDADO</v>
      </c>
      <c r="AR139" s="909">
        <f>IFERROR(VLOOKUP(E139,'liquidaciones '!$B$2:$I$1048576,8,0),"")</f>
        <v>0</v>
      </c>
      <c r="AS139" s="312">
        <v>42094</v>
      </c>
      <c r="AT139" s="156" t="str">
        <f t="shared" ca="1" si="33"/>
        <v>NO</v>
      </c>
      <c r="AU139" s="156" t="s">
        <v>982</v>
      </c>
      <c r="AV139" s="406"/>
      <c r="AW139" s="928"/>
      <c r="AX139" s="928"/>
      <c r="AY139" s="928"/>
    </row>
    <row r="140" spans="1:51" ht="47.25" customHeight="1" x14ac:dyDescent="0.3">
      <c r="A140" s="14">
        <v>4</v>
      </c>
      <c r="B140" s="14">
        <v>134</v>
      </c>
      <c r="C140" s="410"/>
      <c r="D140" s="410" t="str">
        <f t="shared" si="23"/>
        <v>2013</v>
      </c>
      <c r="E140" s="120" t="s">
        <v>177</v>
      </c>
      <c r="F140" s="120" t="s">
        <v>1038</v>
      </c>
      <c r="G140" s="1046">
        <v>900207129</v>
      </c>
      <c r="H140" s="957" t="s">
        <v>485</v>
      </c>
      <c r="I140" s="142">
        <v>3356320</v>
      </c>
      <c r="J140" s="821" t="s">
        <v>4774</v>
      </c>
      <c r="K140" s="139">
        <v>2013</v>
      </c>
      <c r="L140" s="519" t="s">
        <v>1087</v>
      </c>
      <c r="M140" s="124">
        <v>41554</v>
      </c>
      <c r="N140" s="124">
        <v>41645</v>
      </c>
      <c r="O140" s="1099" t="str">
        <f>IF(+Modificaciones!I140=0,"",VLOOKUP(E140,Modificaciones!$B$7:$I$2400,8,0))</f>
        <v/>
      </c>
      <c r="P140" s="115">
        <f>COUNTA(Modificaciones!J140,Modificaciones!L140,Modificaciones!N140,Modificaciones!P140)</f>
        <v>0</v>
      </c>
      <c r="Q140" s="116">
        <f>VLOOKUP(E140,Modificaciones!$B$7:$R$300,17,0)</f>
        <v>0</v>
      </c>
      <c r="R140" s="117">
        <f>COUNTA(Modificaciones!T140,Modificaciones!V140,Modificaciones!X140,Modificaciones!Z140)</f>
        <v>0</v>
      </c>
      <c r="S140" s="118" t="str">
        <f>IF(Modificaciones!AA140=0,"",VLOOKUP(E140,Modificaciones!$B$7:$AA$400,26,0))</f>
        <v/>
      </c>
      <c r="T140" s="119" t="str">
        <f>IF(Modificaciones!AB140=0,"",VLOOKUP(E140,Modificaciones!$B$7:$AB$400,27,0))</f>
        <v/>
      </c>
      <c r="U140" s="1080" t="str">
        <f>+Modificaciones!AC140</f>
        <v/>
      </c>
      <c r="V140" s="825" t="str">
        <f>+Modificaciones!AK140</f>
        <v/>
      </c>
      <c r="W140" s="825">
        <f t="shared" si="28"/>
        <v>41645</v>
      </c>
      <c r="X140" s="59">
        <f t="shared" si="24"/>
        <v>3356320</v>
      </c>
      <c r="Y140" s="151">
        <f>VLOOKUP(E140,Modificaciones!$B$7:$BE$300,56,0)</f>
        <v>3356320</v>
      </c>
      <c r="Z140" s="84">
        <f t="shared" si="25"/>
        <v>0</v>
      </c>
      <c r="AA140" s="283" t="s">
        <v>1894</v>
      </c>
      <c r="AB140" s="40">
        <f t="shared" si="26"/>
        <v>1</v>
      </c>
      <c r="AC140" s="40">
        <f t="shared" ca="1" si="29"/>
        <v>1</v>
      </c>
      <c r="AD140" s="41">
        <f t="shared" ca="1" si="30"/>
        <v>0</v>
      </c>
      <c r="AE140" s="181" t="str">
        <f t="shared" ca="1" si="31"/>
        <v/>
      </c>
      <c r="AF140" s="42" t="str">
        <f t="shared" si="27"/>
        <v>SI</v>
      </c>
      <c r="AG140" s="42"/>
      <c r="AH140" s="152" t="s">
        <v>1255</v>
      </c>
      <c r="AI140" s="152" t="s">
        <v>1301</v>
      </c>
      <c r="AJ140" s="152"/>
      <c r="AL140" s="153"/>
      <c r="AM140" s="152" t="s">
        <v>901</v>
      </c>
      <c r="AN140" s="161" t="str">
        <f t="shared" ca="1" si="32"/>
        <v>TERMINO</v>
      </c>
      <c r="AO140" s="160" t="s">
        <v>576</v>
      </c>
      <c r="AP140" s="155" t="s">
        <v>390</v>
      </c>
      <c r="AQ140" s="819" t="str">
        <f>IFERROR(VLOOKUP(E140,'liquidaciones '!$B$2:$C$1048576,2,0),"NO")</f>
        <v>LIQUIDADO</v>
      </c>
      <c r="AR140" s="909">
        <f>IFERROR(VLOOKUP(E140,'liquidaciones '!$B$2:$I$1048576,8,0),"")</f>
        <v>0</v>
      </c>
      <c r="AS140" s="312">
        <v>42030</v>
      </c>
      <c r="AT140" s="156" t="str">
        <f t="shared" ca="1" si="33"/>
        <v>NO</v>
      </c>
      <c r="AU140" s="156" t="s">
        <v>983</v>
      </c>
      <c r="AV140" s="406"/>
      <c r="AW140" s="928"/>
      <c r="AX140" s="928"/>
      <c r="AY140" s="928"/>
    </row>
    <row r="141" spans="1:51" ht="47.25" customHeight="1" x14ac:dyDescent="0.3">
      <c r="A141" s="14">
        <v>4</v>
      </c>
      <c r="B141" s="14">
        <v>135</v>
      </c>
      <c r="C141" s="410"/>
      <c r="D141" s="410" t="str">
        <f t="shared" si="23"/>
        <v>2013</v>
      </c>
      <c r="E141" s="120" t="s">
        <v>193</v>
      </c>
      <c r="F141" s="120" t="s">
        <v>194</v>
      </c>
      <c r="G141" s="1048">
        <v>830069296</v>
      </c>
      <c r="H141" s="957" t="s">
        <v>486</v>
      </c>
      <c r="I141" s="126">
        <v>19965572</v>
      </c>
      <c r="J141" s="821" t="s">
        <v>4773</v>
      </c>
      <c r="K141" s="139">
        <v>2013</v>
      </c>
      <c r="L141" s="519" t="s">
        <v>1087</v>
      </c>
      <c r="M141" s="124">
        <v>41555</v>
      </c>
      <c r="N141" s="124">
        <v>41935</v>
      </c>
      <c r="O141" s="1099" t="str">
        <f>IF(+Modificaciones!I141=0,"",VLOOKUP(E141,Modificaciones!$B$7:$I$2400,8,0))</f>
        <v/>
      </c>
      <c r="P141" s="115">
        <f>COUNTA(Modificaciones!J141,Modificaciones!L141,Modificaciones!N141,Modificaciones!P141)</f>
        <v>0</v>
      </c>
      <c r="Q141" s="116">
        <f>VLOOKUP(E141,Modificaciones!$B$7:$R$300,17,0)</f>
        <v>0</v>
      </c>
      <c r="R141" s="117">
        <f>COUNTA(Modificaciones!T141,Modificaciones!V141,Modificaciones!X141,Modificaciones!Z141)</f>
        <v>0</v>
      </c>
      <c r="S141" s="118" t="str">
        <f>IF(Modificaciones!AA141=0,"",VLOOKUP(E141,Modificaciones!$B$7:$AA$400,26,0))</f>
        <v/>
      </c>
      <c r="T141" s="119" t="str">
        <f>IF(Modificaciones!AB141=0,"",VLOOKUP(E141,Modificaciones!$B$7:$AB$400,27,0))</f>
        <v/>
      </c>
      <c r="U141" s="1080" t="str">
        <f>+Modificaciones!AC141</f>
        <v/>
      </c>
      <c r="V141" s="825" t="str">
        <f>+Modificaciones!AK141</f>
        <v/>
      </c>
      <c r="W141" s="825">
        <f t="shared" si="28"/>
        <v>41935</v>
      </c>
      <c r="X141" s="59">
        <f t="shared" si="24"/>
        <v>19965572</v>
      </c>
      <c r="Y141" s="151">
        <f>VLOOKUP(E141,Modificaciones!$B$7:$BE$300,56,0)</f>
        <v>19965572</v>
      </c>
      <c r="Z141" s="84">
        <f t="shared" si="25"/>
        <v>0</v>
      </c>
      <c r="AA141" s="286"/>
      <c r="AB141" s="40">
        <f t="shared" si="26"/>
        <v>1</v>
      </c>
      <c r="AC141" s="40">
        <f t="shared" ca="1" si="29"/>
        <v>1</v>
      </c>
      <c r="AD141" s="41">
        <f t="shared" ca="1" si="30"/>
        <v>0</v>
      </c>
      <c r="AE141" s="181" t="str">
        <f t="shared" ca="1" si="31"/>
        <v/>
      </c>
      <c r="AF141" s="42" t="str">
        <f t="shared" si="27"/>
        <v>SI</v>
      </c>
      <c r="AG141" s="42"/>
      <c r="AH141" s="152" t="s">
        <v>1256</v>
      </c>
      <c r="AI141" s="152" t="s">
        <v>1288</v>
      </c>
      <c r="AJ141" s="152" t="s">
        <v>1438</v>
      </c>
      <c r="AK141" s="255" t="s">
        <v>560</v>
      </c>
      <c r="AL141" s="153"/>
      <c r="AM141" s="152" t="s">
        <v>901</v>
      </c>
      <c r="AN141" s="161" t="str">
        <f t="shared" ca="1" si="32"/>
        <v>TERMINO</v>
      </c>
      <c r="AO141" s="160" t="s">
        <v>576</v>
      </c>
      <c r="AP141" s="155" t="s">
        <v>390</v>
      </c>
      <c r="AQ141" s="819" t="str">
        <f>IFERROR(VLOOKUP(E141,'liquidaciones '!$B$2:$C$1048576,2,0),"NO")</f>
        <v>LIQUIDADO</v>
      </c>
      <c r="AR141" s="909">
        <f>IFERROR(VLOOKUP(E141,'liquidaciones '!$B$2:$I$1048576,8,0),"")</f>
        <v>0</v>
      </c>
      <c r="AS141" s="312">
        <v>42013</v>
      </c>
      <c r="AT141" s="156" t="str">
        <f t="shared" ca="1" si="33"/>
        <v>NO</v>
      </c>
      <c r="AU141" s="156" t="s">
        <v>981</v>
      </c>
      <c r="AV141" s="406"/>
      <c r="AW141" s="928"/>
      <c r="AX141" s="928"/>
      <c r="AY141" s="928"/>
    </row>
    <row r="142" spans="1:51" ht="47.25" customHeight="1" x14ac:dyDescent="0.3">
      <c r="A142" s="14">
        <v>4</v>
      </c>
      <c r="B142" s="14">
        <v>136</v>
      </c>
      <c r="C142" s="410"/>
      <c r="D142" s="410" t="str">
        <f t="shared" si="23"/>
        <v>2013</v>
      </c>
      <c r="E142" s="120" t="s">
        <v>196</v>
      </c>
      <c r="F142" s="137" t="s">
        <v>22</v>
      </c>
      <c r="G142" s="1046">
        <v>830112518</v>
      </c>
      <c r="H142" s="957" t="s">
        <v>487</v>
      </c>
      <c r="I142" s="126">
        <v>38280000</v>
      </c>
      <c r="J142" s="121" t="s">
        <v>1087</v>
      </c>
      <c r="K142" s="139">
        <v>2013</v>
      </c>
      <c r="L142" s="519" t="s">
        <v>1087</v>
      </c>
      <c r="M142" s="124">
        <v>41562</v>
      </c>
      <c r="N142" s="124">
        <v>41926</v>
      </c>
      <c r="O142" s="1099" t="str">
        <f>IF(+Modificaciones!I142=0,"",VLOOKUP(E142,Modificaciones!$B$7:$I$2400,8,0))</f>
        <v/>
      </c>
      <c r="P142" s="115">
        <f>COUNTA(Modificaciones!J142,Modificaciones!L142,Modificaciones!N142,Modificaciones!P142)</f>
        <v>0</v>
      </c>
      <c r="Q142" s="116">
        <f>VLOOKUP(E142,Modificaciones!$B$7:$R$300,17,0)</f>
        <v>0</v>
      </c>
      <c r="R142" s="117">
        <f>COUNTA(Modificaciones!T142,Modificaciones!V142,Modificaciones!X142,Modificaciones!Z142)</f>
        <v>0</v>
      </c>
      <c r="S142" s="118" t="str">
        <f>IF(Modificaciones!AA142=0,"",VLOOKUP(E142,Modificaciones!$B$7:$AA$400,26,0))</f>
        <v/>
      </c>
      <c r="T142" s="119" t="str">
        <f>IF(Modificaciones!AB142=0,"",VLOOKUP(E142,Modificaciones!$B$7:$AB$400,27,0))</f>
        <v/>
      </c>
      <c r="U142" s="1080" t="str">
        <f>+Modificaciones!AC142</f>
        <v/>
      </c>
      <c r="V142" s="825" t="str">
        <f>+Modificaciones!AK142</f>
        <v/>
      </c>
      <c r="W142" s="825">
        <f t="shared" si="28"/>
        <v>41926</v>
      </c>
      <c r="X142" s="59">
        <f t="shared" si="24"/>
        <v>38280000</v>
      </c>
      <c r="Y142" s="151">
        <f>VLOOKUP(E142,Modificaciones!$B$7:$BE$300,56,0)</f>
        <v>38280000</v>
      </c>
      <c r="Z142" s="84">
        <f t="shared" si="25"/>
        <v>0</v>
      </c>
      <c r="AA142" s="283" t="s">
        <v>1094</v>
      </c>
      <c r="AB142" s="40">
        <f t="shared" si="26"/>
        <v>1</v>
      </c>
      <c r="AC142" s="40">
        <f t="shared" ca="1" si="29"/>
        <v>1</v>
      </c>
      <c r="AD142" s="41">
        <f t="shared" ca="1" si="30"/>
        <v>0</v>
      </c>
      <c r="AE142" s="181" t="str">
        <f t="shared" ca="1" si="31"/>
        <v/>
      </c>
      <c r="AF142" s="42" t="str">
        <f t="shared" si="27"/>
        <v>SI</v>
      </c>
      <c r="AG142" s="42"/>
      <c r="AH142" s="152" t="s">
        <v>1256</v>
      </c>
      <c r="AI142" s="152" t="s">
        <v>1173</v>
      </c>
      <c r="AJ142" s="152" t="s">
        <v>1438</v>
      </c>
      <c r="AK142" s="255" t="s">
        <v>560</v>
      </c>
      <c r="AL142" s="153"/>
      <c r="AM142" s="152" t="s">
        <v>901</v>
      </c>
      <c r="AN142" s="161" t="str">
        <f t="shared" ca="1" si="32"/>
        <v>TERMINO</v>
      </c>
      <c r="AO142" s="160" t="s">
        <v>582</v>
      </c>
      <c r="AP142" s="155" t="s">
        <v>390</v>
      </c>
      <c r="AQ142" s="819" t="str">
        <f>IFERROR(VLOOKUP(E142,'liquidaciones '!$B$2:$C$1048576,2,0),"NO")</f>
        <v>NO</v>
      </c>
      <c r="AR142" s="909" t="str">
        <f>IFERROR(VLOOKUP(E142,'liquidaciones '!$B$2:$I$1048576,8,0),"")</f>
        <v/>
      </c>
      <c r="AS142" s="312">
        <v>42059</v>
      </c>
      <c r="AT142" s="156" t="str">
        <f t="shared" ca="1" si="33"/>
        <v>NO</v>
      </c>
      <c r="AU142" s="156" t="s">
        <v>981</v>
      </c>
      <c r="AV142" s="406"/>
      <c r="AW142" s="928"/>
      <c r="AX142" s="928"/>
      <c r="AY142" s="928"/>
    </row>
    <row r="143" spans="1:51" ht="47.25" customHeight="1" x14ac:dyDescent="0.3">
      <c r="A143" s="14">
        <v>4</v>
      </c>
      <c r="B143" s="14">
        <v>137</v>
      </c>
      <c r="C143" s="410"/>
      <c r="D143" s="410" t="str">
        <f t="shared" si="23"/>
        <v>2013</v>
      </c>
      <c r="E143" s="120" t="s">
        <v>200</v>
      </c>
      <c r="F143" s="120" t="s">
        <v>201</v>
      </c>
      <c r="G143" s="1046">
        <v>900309238</v>
      </c>
      <c r="H143" s="957" t="s">
        <v>488</v>
      </c>
      <c r="I143" s="126">
        <v>26073552</v>
      </c>
      <c r="J143" s="821" t="s">
        <v>4272</v>
      </c>
      <c r="K143" s="139">
        <v>2013</v>
      </c>
      <c r="L143" s="519" t="s">
        <v>1087</v>
      </c>
      <c r="M143" s="124">
        <v>41562</v>
      </c>
      <c r="N143" s="124">
        <v>41592</v>
      </c>
      <c r="O143" s="1099" t="str">
        <f>IF(+Modificaciones!I143=0,"",VLOOKUP(E143,Modificaciones!$B$7:$I$2400,8,0))</f>
        <v/>
      </c>
      <c r="P143" s="115">
        <f>COUNTA(Modificaciones!J143,Modificaciones!L143,Modificaciones!N143,Modificaciones!P143)</f>
        <v>0</v>
      </c>
      <c r="Q143" s="116">
        <f>VLOOKUP(E143,Modificaciones!$B$7:$R$300,17,0)</f>
        <v>0</v>
      </c>
      <c r="R143" s="117">
        <f>COUNTA(Modificaciones!T143,Modificaciones!V143,Modificaciones!X143,Modificaciones!Z143)</f>
        <v>0</v>
      </c>
      <c r="S143" s="118" t="str">
        <f>IF(Modificaciones!AA143=0,"",VLOOKUP(E143,Modificaciones!$B$7:$AA$400,26,0))</f>
        <v/>
      </c>
      <c r="T143" s="119" t="str">
        <f>IF(Modificaciones!AB143=0,"",VLOOKUP(E143,Modificaciones!$B$7:$AB$400,27,0))</f>
        <v/>
      </c>
      <c r="U143" s="1080" t="str">
        <f>+Modificaciones!AC143</f>
        <v/>
      </c>
      <c r="V143" s="825" t="str">
        <f>+Modificaciones!AK143</f>
        <v/>
      </c>
      <c r="W143" s="825">
        <f t="shared" si="28"/>
        <v>41592</v>
      </c>
      <c r="X143" s="59">
        <f t="shared" si="24"/>
        <v>26073552</v>
      </c>
      <c r="Y143" s="151">
        <f>VLOOKUP(E143,Modificaciones!$B$7:$BE$300,56,0)</f>
        <v>26073552</v>
      </c>
      <c r="Z143" s="84">
        <f t="shared" si="25"/>
        <v>0</v>
      </c>
      <c r="AA143" s="286"/>
      <c r="AB143" s="40">
        <f t="shared" si="26"/>
        <v>1</v>
      </c>
      <c r="AC143" s="40">
        <f t="shared" ca="1" si="29"/>
        <v>1</v>
      </c>
      <c r="AD143" s="41">
        <f t="shared" ca="1" si="30"/>
        <v>0</v>
      </c>
      <c r="AE143" s="181" t="str">
        <f t="shared" ca="1" si="31"/>
        <v/>
      </c>
      <c r="AF143" s="42" t="str">
        <f t="shared" si="27"/>
        <v>SI</v>
      </c>
      <c r="AG143" s="42"/>
      <c r="AH143" s="152" t="s">
        <v>1255</v>
      </c>
      <c r="AI143" s="152" t="s">
        <v>1461</v>
      </c>
      <c r="AJ143" s="152"/>
      <c r="AL143" s="153"/>
      <c r="AM143" s="152" t="s">
        <v>901</v>
      </c>
      <c r="AN143" s="161" t="str">
        <f t="shared" ca="1" si="32"/>
        <v>TERMINO</v>
      </c>
      <c r="AO143" s="160" t="s">
        <v>576</v>
      </c>
      <c r="AP143" s="155" t="s">
        <v>390</v>
      </c>
      <c r="AQ143" s="819" t="str">
        <f>IFERROR(VLOOKUP(E143,'liquidaciones '!$B$2:$C$1048576,2,0),"NO")</f>
        <v>LIQUIDADO</v>
      </c>
      <c r="AR143" s="909">
        <f>IFERROR(VLOOKUP(E143,'liquidaciones '!$B$2:$I$1048576,8,0),"")</f>
        <v>0</v>
      </c>
      <c r="AS143" s="312">
        <v>41872</v>
      </c>
      <c r="AT143" s="156" t="str">
        <f t="shared" ca="1" si="33"/>
        <v>NO</v>
      </c>
      <c r="AU143" s="156" t="s">
        <v>983</v>
      </c>
      <c r="AV143" s="406"/>
      <c r="AW143" s="928"/>
      <c r="AX143" s="928"/>
      <c r="AY143" s="928"/>
    </row>
    <row r="144" spans="1:51" ht="47.25" customHeight="1" x14ac:dyDescent="0.3">
      <c r="A144" s="14">
        <v>4</v>
      </c>
      <c r="B144" s="14">
        <v>138</v>
      </c>
      <c r="C144" s="410"/>
      <c r="D144" s="410" t="str">
        <f t="shared" si="23"/>
        <v>2013</v>
      </c>
      <c r="E144" s="120" t="s">
        <v>204</v>
      </c>
      <c r="F144" s="120" t="s">
        <v>205</v>
      </c>
      <c r="G144" s="1046">
        <v>900542684</v>
      </c>
      <c r="H144" s="957" t="s">
        <v>489</v>
      </c>
      <c r="I144" s="126">
        <v>17262940</v>
      </c>
      <c r="J144" s="821" t="s">
        <v>3989</v>
      </c>
      <c r="K144" s="139">
        <v>2013</v>
      </c>
      <c r="L144" s="519" t="s">
        <v>1087</v>
      </c>
      <c r="M144" s="124">
        <v>41570</v>
      </c>
      <c r="N144" s="124">
        <v>41692</v>
      </c>
      <c r="O144" s="1099" t="str">
        <f>IF(+Modificaciones!I144=0,"",VLOOKUP(E144,Modificaciones!$B$7:$I$2400,8,0))</f>
        <v/>
      </c>
      <c r="P144" s="115">
        <f>COUNTA(Modificaciones!J144,Modificaciones!L144,Modificaciones!N144,Modificaciones!P144)</f>
        <v>0</v>
      </c>
      <c r="Q144" s="116">
        <f>VLOOKUP(E144,Modificaciones!$B$7:$R$300,17,0)</f>
        <v>0</v>
      </c>
      <c r="R144" s="117">
        <f>COUNTA(Modificaciones!T144,Modificaciones!V144,Modificaciones!X144,Modificaciones!Z144)</f>
        <v>0</v>
      </c>
      <c r="S144" s="118" t="str">
        <f>IF(Modificaciones!AA144=0,"",VLOOKUP(E144,Modificaciones!$B$7:$AA$400,26,0))</f>
        <v/>
      </c>
      <c r="T144" s="119" t="str">
        <f>IF(Modificaciones!AB144=0,"",VLOOKUP(E144,Modificaciones!$B$7:$AB$400,27,0))</f>
        <v/>
      </c>
      <c r="U144" s="1080" t="str">
        <f>+Modificaciones!AC144</f>
        <v/>
      </c>
      <c r="V144" s="825" t="str">
        <f>+Modificaciones!AK144</f>
        <v/>
      </c>
      <c r="W144" s="825">
        <f t="shared" si="28"/>
        <v>41692</v>
      </c>
      <c r="X144" s="59">
        <f t="shared" si="24"/>
        <v>17262940</v>
      </c>
      <c r="Y144" s="151">
        <f>VLOOKUP(E144,Modificaciones!$B$7:$BE$300,56,0)</f>
        <v>17262940</v>
      </c>
      <c r="Z144" s="84">
        <f t="shared" si="25"/>
        <v>0</v>
      </c>
      <c r="AA144" s="283" t="s">
        <v>1894</v>
      </c>
      <c r="AB144" s="40">
        <f t="shared" si="26"/>
        <v>1</v>
      </c>
      <c r="AC144" s="40">
        <f t="shared" ca="1" si="29"/>
        <v>1</v>
      </c>
      <c r="AD144" s="41">
        <f t="shared" ca="1" si="30"/>
        <v>0</v>
      </c>
      <c r="AE144" s="181" t="str">
        <f t="shared" ca="1" si="31"/>
        <v/>
      </c>
      <c r="AF144" s="42" t="str">
        <f t="shared" si="27"/>
        <v>SI</v>
      </c>
      <c r="AG144" s="42"/>
      <c r="AH144" s="152" t="s">
        <v>1255</v>
      </c>
      <c r="AI144" s="152" t="s">
        <v>1303</v>
      </c>
      <c r="AJ144" s="152" t="s">
        <v>1434</v>
      </c>
      <c r="AK144" s="255" t="s">
        <v>560</v>
      </c>
      <c r="AL144" s="153"/>
      <c r="AM144" s="152" t="s">
        <v>901</v>
      </c>
      <c r="AN144" s="161" t="str">
        <f t="shared" ca="1" si="32"/>
        <v>TERMINO</v>
      </c>
      <c r="AO144" s="160" t="s">
        <v>576</v>
      </c>
      <c r="AP144" s="155" t="s">
        <v>390</v>
      </c>
      <c r="AQ144" s="819" t="str">
        <f>IFERROR(VLOOKUP(E144,'liquidaciones '!$B$2:$C$1048576,2,0),"NO")</f>
        <v>LIQUIDADO</v>
      </c>
      <c r="AR144" s="909">
        <f>IFERROR(VLOOKUP(E144,'liquidaciones '!$B$2:$I$1048576,8,0),"")</f>
        <v>0</v>
      </c>
      <c r="AS144" s="312">
        <v>42004</v>
      </c>
      <c r="AT144" s="156" t="str">
        <f t="shared" ca="1" si="33"/>
        <v>NO</v>
      </c>
      <c r="AU144" s="156" t="s">
        <v>983</v>
      </c>
      <c r="AV144" s="406"/>
      <c r="AW144" s="928"/>
      <c r="AX144" s="928"/>
      <c r="AY144" s="928"/>
    </row>
    <row r="145" spans="1:51" ht="47.25" customHeight="1" x14ac:dyDescent="0.3">
      <c r="A145" s="14">
        <v>4</v>
      </c>
      <c r="B145" s="14">
        <v>139</v>
      </c>
      <c r="C145" s="410"/>
      <c r="D145" s="410" t="str">
        <f t="shared" si="23"/>
        <v>2013</v>
      </c>
      <c r="E145" s="120" t="s">
        <v>206</v>
      </c>
      <c r="F145" s="120" t="s">
        <v>1019</v>
      </c>
      <c r="G145" s="1046">
        <v>900169179</v>
      </c>
      <c r="H145" s="957" t="s">
        <v>490</v>
      </c>
      <c r="I145" s="126">
        <v>810000</v>
      </c>
      <c r="J145" s="821" t="s">
        <v>4678</v>
      </c>
      <c r="K145" s="139">
        <v>2013</v>
      </c>
      <c r="L145" s="519" t="s">
        <v>1087</v>
      </c>
      <c r="M145" s="124">
        <v>41575</v>
      </c>
      <c r="N145" s="124">
        <v>41939</v>
      </c>
      <c r="O145" s="1099" t="str">
        <f>IF(+Modificaciones!I145=0,"",VLOOKUP(E145,Modificaciones!$B$7:$I$2400,8,0))</f>
        <v/>
      </c>
      <c r="P145" s="115">
        <f>COUNTA(Modificaciones!J145,Modificaciones!L145,Modificaciones!N145,Modificaciones!P145)</f>
        <v>0</v>
      </c>
      <c r="Q145" s="116">
        <f>VLOOKUP(E145,Modificaciones!$B$7:$R$300,17,0)</f>
        <v>0</v>
      </c>
      <c r="R145" s="117">
        <f>COUNTA(Modificaciones!T145,Modificaciones!V145,Modificaciones!X145,Modificaciones!Z145)</f>
        <v>0</v>
      </c>
      <c r="S145" s="118" t="str">
        <f>IF(Modificaciones!AA145=0,"",VLOOKUP(E145,Modificaciones!$B$7:$AA$400,26,0))</f>
        <v/>
      </c>
      <c r="T145" s="119" t="str">
        <f>IF(Modificaciones!AB145=0,"",VLOOKUP(E145,Modificaciones!$B$7:$AB$400,27,0))</f>
        <v/>
      </c>
      <c r="U145" s="1080" t="str">
        <f>+Modificaciones!AC145</f>
        <v/>
      </c>
      <c r="V145" s="825" t="str">
        <f>+Modificaciones!AK145</f>
        <v/>
      </c>
      <c r="W145" s="825">
        <f t="shared" si="28"/>
        <v>41939</v>
      </c>
      <c r="X145" s="59">
        <f t="shared" si="24"/>
        <v>810000</v>
      </c>
      <c r="Y145" s="151">
        <f>VLOOKUP(E145,Modificaciones!$B$7:$BE$300,56,0)</f>
        <v>810000</v>
      </c>
      <c r="Z145" s="84">
        <f t="shared" si="25"/>
        <v>0</v>
      </c>
      <c r="AA145" s="286"/>
      <c r="AB145" s="40">
        <f t="shared" si="26"/>
        <v>1</v>
      </c>
      <c r="AC145" s="40">
        <f t="shared" ca="1" si="29"/>
        <v>1</v>
      </c>
      <c r="AD145" s="41">
        <f t="shared" ca="1" si="30"/>
        <v>0</v>
      </c>
      <c r="AE145" s="181" t="str">
        <f t="shared" ca="1" si="31"/>
        <v/>
      </c>
      <c r="AF145" s="42" t="str">
        <f t="shared" si="27"/>
        <v>SI</v>
      </c>
      <c r="AG145" s="42"/>
      <c r="AH145" s="152" t="s">
        <v>1255</v>
      </c>
      <c r="AI145" s="152" t="s">
        <v>1124</v>
      </c>
      <c r="AJ145" s="152"/>
      <c r="AL145" s="153"/>
      <c r="AM145" s="152" t="s">
        <v>901</v>
      </c>
      <c r="AN145" s="161" t="str">
        <f t="shared" ca="1" si="32"/>
        <v>TERMINO</v>
      </c>
      <c r="AO145" s="160" t="s">
        <v>582</v>
      </c>
      <c r="AP145" s="155" t="s">
        <v>390</v>
      </c>
      <c r="AQ145" s="819" t="str">
        <f>IFERROR(VLOOKUP(E145,'liquidaciones '!$B$2:$C$1048576,2,0),"NO")</f>
        <v>LIQUIDADO</v>
      </c>
      <c r="AR145" s="909">
        <f>IFERROR(VLOOKUP(E145,'liquidaciones '!$B$2:$I$1048576,8,0),"")</f>
        <v>0</v>
      </c>
      <c r="AS145" s="312"/>
      <c r="AT145" s="156" t="str">
        <f t="shared" ca="1" si="33"/>
        <v>NO</v>
      </c>
      <c r="AU145" s="156" t="s">
        <v>1509</v>
      </c>
      <c r="AV145" s="406"/>
      <c r="AW145" s="928"/>
      <c r="AX145" s="928"/>
      <c r="AY145" s="928"/>
    </row>
    <row r="146" spans="1:51" ht="54" customHeight="1" x14ac:dyDescent="0.3">
      <c r="B146" s="14">
        <v>140</v>
      </c>
      <c r="C146" s="410"/>
      <c r="D146" s="410" t="str">
        <f t="shared" si="23"/>
        <v>2013</v>
      </c>
      <c r="E146" s="120" t="s">
        <v>211</v>
      </c>
      <c r="F146" s="120" t="s">
        <v>212</v>
      </c>
      <c r="G146" s="1046">
        <v>830080652</v>
      </c>
      <c r="H146" s="957" t="s">
        <v>491</v>
      </c>
      <c r="I146" s="126">
        <v>5545000</v>
      </c>
      <c r="J146" s="821" t="s">
        <v>4772</v>
      </c>
      <c r="K146" s="139">
        <v>2013</v>
      </c>
      <c r="L146" s="519" t="s">
        <v>1087</v>
      </c>
      <c r="M146" s="124">
        <v>41590</v>
      </c>
      <c r="N146" s="124">
        <v>41650</v>
      </c>
      <c r="O146" s="1099" t="str">
        <f>IF(+Modificaciones!I146=0,"",VLOOKUP(E146,Modificaciones!$B$7:$I$2400,8,0))</f>
        <v/>
      </c>
      <c r="P146" s="115">
        <f>COUNTA(Modificaciones!J146,Modificaciones!L146,Modificaciones!N146,Modificaciones!P146)</f>
        <v>0</v>
      </c>
      <c r="Q146" s="116">
        <f>VLOOKUP(E146,Modificaciones!$B$7:$R$300,17,0)</f>
        <v>0</v>
      </c>
      <c r="R146" s="117">
        <f>COUNTA(Modificaciones!T146,Modificaciones!V146,Modificaciones!X146,Modificaciones!Z146)</f>
        <v>0</v>
      </c>
      <c r="S146" s="118" t="str">
        <f>IF(Modificaciones!AA146=0,"",VLOOKUP(E146,Modificaciones!$B$7:$AA$400,26,0))</f>
        <v/>
      </c>
      <c r="T146" s="119" t="str">
        <f>IF(Modificaciones!AB146=0,"",VLOOKUP(E146,Modificaciones!$B$7:$AB$400,27,0))</f>
        <v/>
      </c>
      <c r="U146" s="1080" t="str">
        <f>+Modificaciones!AC146</f>
        <v/>
      </c>
      <c r="V146" s="825" t="str">
        <f>+Modificaciones!AK146</f>
        <v/>
      </c>
      <c r="W146" s="825">
        <f t="shared" si="28"/>
        <v>41650</v>
      </c>
      <c r="X146" s="59">
        <f t="shared" si="24"/>
        <v>5545000</v>
      </c>
      <c r="Y146" s="151">
        <f>VLOOKUP(E146,Modificaciones!$B$7:$BE$300,56,0)</f>
        <v>5545000</v>
      </c>
      <c r="Z146" s="84">
        <f t="shared" si="25"/>
        <v>0</v>
      </c>
      <c r="AA146" s="283" t="s">
        <v>1894</v>
      </c>
      <c r="AB146" s="40">
        <f t="shared" si="26"/>
        <v>1</v>
      </c>
      <c r="AC146" s="40">
        <f t="shared" ca="1" si="29"/>
        <v>1</v>
      </c>
      <c r="AD146" s="41">
        <f t="shared" ca="1" si="30"/>
        <v>0</v>
      </c>
      <c r="AE146" s="181" t="str">
        <f t="shared" ca="1" si="31"/>
        <v/>
      </c>
      <c r="AF146" s="42" t="str">
        <f t="shared" si="27"/>
        <v>SI</v>
      </c>
      <c r="AG146" s="42"/>
      <c r="AH146" s="152" t="s">
        <v>1255</v>
      </c>
      <c r="AI146" s="152" t="s">
        <v>1304</v>
      </c>
      <c r="AJ146" s="152"/>
      <c r="AL146" s="153"/>
      <c r="AM146" s="152" t="s">
        <v>901</v>
      </c>
      <c r="AN146" s="161" t="str">
        <f t="shared" ca="1" si="32"/>
        <v>TERMINO</v>
      </c>
      <c r="AO146" s="160" t="s">
        <v>576</v>
      </c>
      <c r="AP146" s="155" t="s">
        <v>390</v>
      </c>
      <c r="AQ146" s="819" t="str">
        <f>IFERROR(VLOOKUP(E146,'liquidaciones '!$B$2:$C$1048576,2,0),"NO")</f>
        <v>LIQUIDADO</v>
      </c>
      <c r="AR146" s="909">
        <f>IFERROR(VLOOKUP(E146,'liquidaciones '!$B$2:$I$1048576,8,0),"")</f>
        <v>0</v>
      </c>
      <c r="AS146" s="312"/>
      <c r="AT146" s="156" t="str">
        <f t="shared" ca="1" si="33"/>
        <v>NO</v>
      </c>
      <c r="AU146" s="156" t="s">
        <v>1164</v>
      </c>
      <c r="AV146" s="406"/>
      <c r="AW146" s="928"/>
      <c r="AX146" s="928"/>
      <c r="AY146" s="928"/>
    </row>
    <row r="147" spans="1:51" ht="47.25" customHeight="1" x14ac:dyDescent="0.3">
      <c r="A147" s="14">
        <v>4</v>
      </c>
      <c r="B147" s="14">
        <v>141</v>
      </c>
      <c r="C147" s="410"/>
      <c r="D147" s="410" t="str">
        <f t="shared" si="23"/>
        <v>2013</v>
      </c>
      <c r="E147" s="120" t="s">
        <v>209</v>
      </c>
      <c r="F147" s="120" t="s">
        <v>210</v>
      </c>
      <c r="G147" s="1046">
        <v>900236701</v>
      </c>
      <c r="H147" s="957" t="s">
        <v>1444</v>
      </c>
      <c r="I147" s="126">
        <v>19360400</v>
      </c>
      <c r="J147" s="821" t="s">
        <v>4772</v>
      </c>
      <c r="K147" s="139">
        <v>2013</v>
      </c>
      <c r="L147" s="519" t="s">
        <v>1087</v>
      </c>
      <c r="M147" s="124">
        <v>41590</v>
      </c>
      <c r="N147" s="124">
        <v>41650</v>
      </c>
      <c r="O147" s="1099" t="str">
        <f>IF(+Modificaciones!I147=0,"",VLOOKUP(E147,Modificaciones!$B$7:$I$2400,8,0))</f>
        <v/>
      </c>
      <c r="P147" s="115">
        <f>COUNTA(Modificaciones!J147,Modificaciones!L147,Modificaciones!N147,Modificaciones!P147)</f>
        <v>0</v>
      </c>
      <c r="Q147" s="116">
        <f>VLOOKUP(E147,Modificaciones!$B$7:$R$300,17,0)</f>
        <v>0</v>
      </c>
      <c r="R147" s="117">
        <f>COUNTA(Modificaciones!T147,Modificaciones!V147,Modificaciones!X147,Modificaciones!Z147)</f>
        <v>0</v>
      </c>
      <c r="S147" s="118" t="str">
        <f>IF(Modificaciones!AA147=0,"",VLOOKUP(E147,Modificaciones!$B$7:$AA$400,26,0))</f>
        <v/>
      </c>
      <c r="T147" s="119" t="str">
        <f>IF(Modificaciones!AB147=0,"",VLOOKUP(E147,Modificaciones!$B$7:$AB$400,27,0))</f>
        <v/>
      </c>
      <c r="U147" s="1080" t="str">
        <f>+Modificaciones!AC147</f>
        <v/>
      </c>
      <c r="V147" s="825" t="str">
        <f>+Modificaciones!AK147</f>
        <v/>
      </c>
      <c r="W147" s="825">
        <f t="shared" si="28"/>
        <v>41650</v>
      </c>
      <c r="X147" s="59">
        <f t="shared" si="24"/>
        <v>19360400</v>
      </c>
      <c r="Y147" s="151">
        <f>VLOOKUP(E147,Modificaciones!$B$7:$BE$300,56,0)</f>
        <v>19360400</v>
      </c>
      <c r="Z147" s="84">
        <f t="shared" si="25"/>
        <v>0</v>
      </c>
      <c r="AA147" s="283" t="s">
        <v>1894</v>
      </c>
      <c r="AB147" s="40">
        <f t="shared" si="26"/>
        <v>1</v>
      </c>
      <c r="AC147" s="40">
        <f t="shared" ca="1" si="29"/>
        <v>1</v>
      </c>
      <c r="AD147" s="41">
        <f t="shared" ca="1" si="30"/>
        <v>0</v>
      </c>
      <c r="AE147" s="181" t="str">
        <f t="shared" ca="1" si="31"/>
        <v/>
      </c>
      <c r="AF147" s="42" t="str">
        <f t="shared" si="27"/>
        <v>SI</v>
      </c>
      <c r="AG147" s="42"/>
      <c r="AH147" s="152" t="s">
        <v>1255</v>
      </c>
      <c r="AI147" s="152" t="s">
        <v>1304</v>
      </c>
      <c r="AJ147" s="152"/>
      <c r="AL147" s="153"/>
      <c r="AM147" s="152" t="s">
        <v>901</v>
      </c>
      <c r="AN147" s="161" t="str">
        <f t="shared" ca="1" si="32"/>
        <v>TERMINO</v>
      </c>
      <c r="AO147" s="160" t="s">
        <v>576</v>
      </c>
      <c r="AP147" s="155" t="s">
        <v>390</v>
      </c>
      <c r="AQ147" s="819" t="str">
        <f>IFERROR(VLOOKUP(E147,'liquidaciones '!$B$2:$C$1048576,2,0),"NO")</f>
        <v>LIQUIDADO</v>
      </c>
      <c r="AR147" s="909" t="str">
        <f>IFERROR(VLOOKUP(E147,'liquidaciones '!$B$2:$I$1048576,8,0),"")</f>
        <v>JUAN DIEGO ESPITIA</v>
      </c>
      <c r="AS147" s="312">
        <v>41979</v>
      </c>
      <c r="AT147" s="156" t="str">
        <f t="shared" ca="1" si="33"/>
        <v>NO</v>
      </c>
      <c r="AU147" s="156" t="s">
        <v>983</v>
      </c>
      <c r="AV147" s="406"/>
      <c r="AW147" s="928"/>
      <c r="AX147" s="928"/>
      <c r="AY147" s="928"/>
    </row>
    <row r="148" spans="1:51" ht="47.25" customHeight="1" x14ac:dyDescent="0.3">
      <c r="A148" s="14">
        <v>4</v>
      </c>
      <c r="B148" s="14">
        <v>142</v>
      </c>
      <c r="C148" s="410"/>
      <c r="D148" s="410" t="str">
        <f t="shared" si="23"/>
        <v>2013</v>
      </c>
      <c r="E148" s="120" t="s">
        <v>207</v>
      </c>
      <c r="F148" s="120" t="s">
        <v>208</v>
      </c>
      <c r="G148" s="1046">
        <v>860066942</v>
      </c>
      <c r="H148" s="957" t="s">
        <v>492</v>
      </c>
      <c r="I148" s="126">
        <v>336560000</v>
      </c>
      <c r="J148" s="821" t="s">
        <v>4059</v>
      </c>
      <c r="K148" s="139">
        <v>2013</v>
      </c>
      <c r="L148" s="519" t="s">
        <v>1087</v>
      </c>
      <c r="M148" s="124">
        <v>41572</v>
      </c>
      <c r="N148" s="124">
        <v>41814</v>
      </c>
      <c r="O148" s="1099" t="str">
        <f>IF(+Modificaciones!I148=0,"",VLOOKUP(E148,Modificaciones!$B$7:$I$2400,8,0))</f>
        <v/>
      </c>
      <c r="P148" s="115">
        <f>COUNTA(Modificaciones!J148,Modificaciones!L148,Modificaciones!N148,Modificaciones!P148)</f>
        <v>2</v>
      </c>
      <c r="Q148" s="116">
        <f>VLOOKUP(E148,Modificaciones!$B$7:$R$300,17,0)</f>
        <v>165720800</v>
      </c>
      <c r="R148" s="117">
        <f>COUNTA(Modificaciones!T148,Modificaciones!V148,Modificaciones!X148,Modificaciones!Z148)</f>
        <v>0</v>
      </c>
      <c r="S148" s="118" t="str">
        <f>IF(Modificaciones!AA148=0,"",VLOOKUP(E148,Modificaciones!$B$7:$AA$400,26,0))</f>
        <v/>
      </c>
      <c r="T148" s="119" t="str">
        <f>IF(Modificaciones!AB148=0,"",VLOOKUP(E148,Modificaciones!$B$7:$AB$400,27,0))</f>
        <v/>
      </c>
      <c r="U148" s="1080" t="str">
        <f>+Modificaciones!AC148</f>
        <v/>
      </c>
      <c r="V148" s="825" t="str">
        <f>+Modificaciones!AK148</f>
        <v/>
      </c>
      <c r="W148" s="825">
        <f t="shared" si="28"/>
        <v>41814</v>
      </c>
      <c r="X148" s="59">
        <f t="shared" si="24"/>
        <v>502280800</v>
      </c>
      <c r="Y148" s="151">
        <f>VLOOKUP(E148,Modificaciones!$B$7:$BE$300,56,0)</f>
        <v>502247588</v>
      </c>
      <c r="Z148" s="84">
        <f t="shared" si="25"/>
        <v>33212</v>
      </c>
      <c r="AA148" s="286"/>
      <c r="AB148" s="40">
        <f t="shared" si="26"/>
        <v>0.99993387762383112</v>
      </c>
      <c r="AC148" s="40">
        <f t="shared" ca="1" si="29"/>
        <v>1</v>
      </c>
      <c r="AD148" s="41">
        <f t="shared" ca="1" si="30"/>
        <v>6.6122376168875618E-5</v>
      </c>
      <c r="AE148" s="181" t="str">
        <f t="shared" ca="1" si="31"/>
        <v/>
      </c>
      <c r="AF148" s="42" t="str">
        <f t="shared" si="27"/>
        <v>SI</v>
      </c>
      <c r="AG148" s="42"/>
      <c r="AH148" s="152" t="s">
        <v>1255</v>
      </c>
      <c r="AI148" s="152" t="s">
        <v>1279</v>
      </c>
      <c r="AJ148" s="152" t="s">
        <v>1434</v>
      </c>
      <c r="AK148" s="255" t="s">
        <v>560</v>
      </c>
      <c r="AL148" s="153"/>
      <c r="AM148" s="152" t="s">
        <v>1341</v>
      </c>
      <c r="AN148" s="161" t="str">
        <f t="shared" ca="1" si="32"/>
        <v>TERMINO</v>
      </c>
      <c r="AO148" s="160" t="s">
        <v>582</v>
      </c>
      <c r="AP148" s="155" t="s">
        <v>390</v>
      </c>
      <c r="AQ148" s="819" t="str">
        <f>IFERROR(VLOOKUP(E148,'liquidaciones '!$B$2:$C$1048576,2,0),"NO")</f>
        <v>LIQUIDADO</v>
      </c>
      <c r="AR148" s="909">
        <f>IFERROR(VLOOKUP(E148,'liquidaciones '!$B$2:$I$1048576,8,0),"")</f>
        <v>0</v>
      </c>
      <c r="AS148" s="312">
        <v>42279</v>
      </c>
      <c r="AT148" s="156" t="str">
        <f t="shared" ca="1" si="33"/>
        <v>NO</v>
      </c>
      <c r="AU148" s="156" t="s">
        <v>1164</v>
      </c>
      <c r="AV148" s="406"/>
      <c r="AW148" s="928"/>
      <c r="AX148" s="928"/>
      <c r="AY148" s="928"/>
    </row>
    <row r="149" spans="1:51" ht="95.25" customHeight="1" x14ac:dyDescent="0.3">
      <c r="B149" s="14">
        <v>143</v>
      </c>
      <c r="C149" s="410"/>
      <c r="D149" s="410" t="str">
        <f t="shared" si="23"/>
        <v>2013</v>
      </c>
      <c r="E149" s="120" t="s">
        <v>213</v>
      </c>
      <c r="F149" s="120" t="s">
        <v>1039</v>
      </c>
      <c r="G149" s="1046">
        <v>900228623</v>
      </c>
      <c r="H149" s="957" t="s">
        <v>493</v>
      </c>
      <c r="I149" s="126">
        <v>533636000</v>
      </c>
      <c r="J149" s="821" t="s">
        <v>4771</v>
      </c>
      <c r="K149" s="139">
        <v>2013</v>
      </c>
      <c r="L149" s="519" t="s">
        <v>1087</v>
      </c>
      <c r="M149" s="124">
        <v>41580</v>
      </c>
      <c r="N149" s="124">
        <v>41944</v>
      </c>
      <c r="O149" s="1099" t="str">
        <f>IF(+Modificaciones!I149=0,"",VLOOKUP(E149,Modificaciones!$B$7:$I$2400,8,0))</f>
        <v/>
      </c>
      <c r="P149" s="115">
        <f>COUNTA(Modificaciones!J149,Modificaciones!L149,Modificaciones!N149,Modificaciones!P149)</f>
        <v>1</v>
      </c>
      <c r="Q149" s="116">
        <f>VLOOKUP(E149,Modificaciones!$B$7:$R$300,17,0)</f>
        <v>159203272</v>
      </c>
      <c r="R149" s="117">
        <f>COUNTA(Modificaciones!T149,Modificaciones!V149,Modificaciones!X149,Modificaciones!Z149)</f>
        <v>1</v>
      </c>
      <c r="S149" s="118" t="str">
        <f>IF(Modificaciones!AA149=0,"",VLOOKUP(E149,Modificaciones!$B$7:$AA$400,26,0))</f>
        <v>1 mes</v>
      </c>
      <c r="T149" s="119">
        <f>IF(Modificaciones!AB149=0,"",VLOOKUP(E149,Modificaciones!$B$7:$AB$400,27,0))</f>
        <v>41975</v>
      </c>
      <c r="U149" s="1080" t="str">
        <f>+Modificaciones!AC149</f>
        <v/>
      </c>
      <c r="V149" s="825" t="str">
        <f>+Modificaciones!AK149</f>
        <v/>
      </c>
      <c r="W149" s="825">
        <f t="shared" si="28"/>
        <v>41975</v>
      </c>
      <c r="X149" s="59">
        <f t="shared" si="24"/>
        <v>692839272</v>
      </c>
      <c r="Y149" s="151">
        <f>VLOOKUP(E149,Modificaciones!$B$7:$BE$300,56,0)</f>
        <v>678164443</v>
      </c>
      <c r="Z149" s="84">
        <f t="shared" si="25"/>
        <v>14674829</v>
      </c>
      <c r="AA149" s="283" t="s">
        <v>1094</v>
      </c>
      <c r="AB149" s="40">
        <f t="shared" si="26"/>
        <v>0.97881928811910646</v>
      </c>
      <c r="AC149" s="40">
        <f t="shared" ca="1" si="29"/>
        <v>1</v>
      </c>
      <c r="AD149" s="41">
        <f t="shared" ca="1" si="30"/>
        <v>2.1180711880893544E-2</v>
      </c>
      <c r="AE149" s="181" t="str">
        <f t="shared" ca="1" si="31"/>
        <v/>
      </c>
      <c r="AF149" s="42" t="str">
        <f t="shared" si="27"/>
        <v>NO</v>
      </c>
      <c r="AG149" s="42"/>
      <c r="AH149" s="152" t="s">
        <v>1255</v>
      </c>
      <c r="AI149" s="275" t="s">
        <v>1126</v>
      </c>
      <c r="AJ149" s="152"/>
      <c r="AK149" s="255" t="s">
        <v>560</v>
      </c>
      <c r="AL149" s="153"/>
      <c r="AM149" s="152" t="s">
        <v>901</v>
      </c>
      <c r="AN149" s="161" t="str">
        <f t="shared" ca="1" si="32"/>
        <v>TERMINO</v>
      </c>
      <c r="AO149" s="152" t="s">
        <v>575</v>
      </c>
      <c r="AP149" s="155" t="s">
        <v>390</v>
      </c>
      <c r="AQ149" s="819" t="str">
        <f>IFERROR(VLOOKUP(E149,'liquidaciones '!$B$2:$C$1048576,2,0),"NO")</f>
        <v>EN TRÁMITE</v>
      </c>
      <c r="AR149" s="909">
        <f>IFERROR(VLOOKUP(E149,'liquidaciones '!$B$2:$I$1048576,8,0),"")</f>
        <v>0</v>
      </c>
      <c r="AS149" s="312"/>
      <c r="AT149" s="156" t="str">
        <f t="shared" ca="1" si="33"/>
        <v>NO</v>
      </c>
      <c r="AU149" s="156" t="s">
        <v>982</v>
      </c>
      <c r="AV149" s="406"/>
      <c r="AW149" s="928"/>
      <c r="AX149" s="928"/>
      <c r="AY149" s="928"/>
    </row>
    <row r="150" spans="1:51" ht="47.25" customHeight="1" x14ac:dyDescent="0.3">
      <c r="B150" s="14">
        <v>144</v>
      </c>
      <c r="C150" s="410"/>
      <c r="D150" s="410" t="str">
        <f t="shared" si="23"/>
        <v>2013</v>
      </c>
      <c r="E150" s="120" t="s">
        <v>857</v>
      </c>
      <c r="F150" s="120" t="s">
        <v>1337</v>
      </c>
      <c r="G150" s="1046"/>
      <c r="H150" s="957" t="s">
        <v>1338</v>
      </c>
      <c r="I150" s="126">
        <v>150000000</v>
      </c>
      <c r="J150" s="121" t="s">
        <v>1087</v>
      </c>
      <c r="K150" s="139">
        <v>2013</v>
      </c>
      <c r="L150" s="519" t="s">
        <v>1087</v>
      </c>
      <c r="M150" s="124">
        <v>41610</v>
      </c>
      <c r="N150" s="124">
        <v>41975</v>
      </c>
      <c r="O150" s="1099" t="str">
        <f>IF(+Modificaciones!I150=0,"",VLOOKUP(E150,Modificaciones!$B$7:$I$2400,8,0))</f>
        <v/>
      </c>
      <c r="P150" s="115">
        <f>COUNTA(Modificaciones!J150,Modificaciones!L150,Modificaciones!N150,Modificaciones!P150)</f>
        <v>0</v>
      </c>
      <c r="Q150" s="116">
        <f>VLOOKUP(E150,Modificaciones!$B$7:$R$300,17,0)</f>
        <v>0</v>
      </c>
      <c r="R150" s="117">
        <f>COUNTA(Modificaciones!T150,Modificaciones!V150,Modificaciones!X150,Modificaciones!Z150)</f>
        <v>0</v>
      </c>
      <c r="S150" s="118" t="str">
        <f>IF(Modificaciones!AA150=0,"",VLOOKUP(E150,Modificaciones!$B$7:$AA$400,26,0))</f>
        <v/>
      </c>
      <c r="T150" s="119" t="str">
        <f>IF(Modificaciones!AB150=0,"",VLOOKUP(E150,Modificaciones!$B$7:$AB$400,27,0))</f>
        <v/>
      </c>
      <c r="U150" s="1080" t="str">
        <f>+Modificaciones!AC150</f>
        <v/>
      </c>
      <c r="V150" s="825" t="str">
        <f>+Modificaciones!AK150</f>
        <v/>
      </c>
      <c r="W150" s="825">
        <f t="shared" si="28"/>
        <v>41975</v>
      </c>
      <c r="X150" s="59">
        <f t="shared" si="24"/>
        <v>150000000</v>
      </c>
      <c r="Y150" s="151">
        <f>VLOOKUP(E150,Modificaciones!$B$7:$BE$300,56,0)</f>
        <v>0</v>
      </c>
      <c r="Z150" s="84">
        <f t="shared" si="25"/>
        <v>150000000</v>
      </c>
      <c r="AA150" s="288" t="s">
        <v>1339</v>
      </c>
      <c r="AB150" s="40">
        <f t="shared" si="26"/>
        <v>0</v>
      </c>
      <c r="AC150" s="40">
        <f t="shared" ca="1" si="29"/>
        <v>1</v>
      </c>
      <c r="AD150" s="41">
        <f t="shared" ca="1" si="30"/>
        <v>1</v>
      </c>
      <c r="AE150" s="181" t="str">
        <f t="shared" ca="1" si="31"/>
        <v/>
      </c>
      <c r="AF150" s="42" t="str">
        <f t="shared" si="27"/>
        <v>NO</v>
      </c>
      <c r="AG150" s="42"/>
      <c r="AH150" s="152" t="s">
        <v>1256</v>
      </c>
      <c r="AI150" s="275" t="s">
        <v>1340</v>
      </c>
      <c r="AJ150" s="152"/>
      <c r="AK150" s="255" t="s">
        <v>560</v>
      </c>
      <c r="AL150" s="153"/>
      <c r="AM150" s="152" t="s">
        <v>2274</v>
      </c>
      <c r="AN150" s="161" t="str">
        <f t="shared" ca="1" si="32"/>
        <v>TERMINO</v>
      </c>
      <c r="AO150" s="160" t="s">
        <v>582</v>
      </c>
      <c r="AP150" s="155" t="s">
        <v>390</v>
      </c>
      <c r="AQ150" s="819" t="str">
        <f>IFERROR(VLOOKUP(E150,'liquidaciones '!$B$2:$C$1048576,2,0),"NO")</f>
        <v>NO</v>
      </c>
      <c r="AR150" s="909" t="str">
        <f>IFERROR(VLOOKUP(E150,'liquidaciones '!$B$2:$I$1048576,8,0),"")</f>
        <v/>
      </c>
      <c r="AS150" s="312"/>
      <c r="AT150" s="156" t="str">
        <f t="shared" ca="1" si="33"/>
        <v>NO</v>
      </c>
      <c r="AU150" s="156"/>
      <c r="AV150" s="406"/>
      <c r="AW150" s="928"/>
      <c r="AX150" s="928"/>
      <c r="AY150" s="928"/>
    </row>
    <row r="151" spans="1:51" ht="70.5" customHeight="1" x14ac:dyDescent="0.3">
      <c r="B151" s="14">
        <v>145</v>
      </c>
      <c r="C151" s="410"/>
      <c r="D151" s="410" t="str">
        <f t="shared" si="23"/>
        <v>2013</v>
      </c>
      <c r="E151" s="120" t="s">
        <v>258</v>
      </c>
      <c r="F151" s="120" t="s">
        <v>259</v>
      </c>
      <c r="G151" s="1047">
        <v>899999061</v>
      </c>
      <c r="H151" s="957" t="s">
        <v>494</v>
      </c>
      <c r="I151" s="126">
        <v>0</v>
      </c>
      <c r="J151" s="121" t="s">
        <v>1087</v>
      </c>
      <c r="K151" s="139">
        <v>2013</v>
      </c>
      <c r="L151" s="519" t="s">
        <v>1087</v>
      </c>
      <c r="M151" s="124">
        <v>41696</v>
      </c>
      <c r="N151" s="124">
        <v>42425</v>
      </c>
      <c r="O151" s="1099" t="str">
        <f>IF(+Modificaciones!I151=0,"",VLOOKUP(E151,Modificaciones!$B$7:$I$2400,8,0))</f>
        <v/>
      </c>
      <c r="P151" s="115">
        <f>COUNTA(Modificaciones!J151,Modificaciones!L151,Modificaciones!N151,Modificaciones!P151)</f>
        <v>0</v>
      </c>
      <c r="Q151" s="116">
        <f>VLOOKUP(E151,Modificaciones!$B$7:$R$300,17,0)</f>
        <v>0</v>
      </c>
      <c r="R151" s="117">
        <f>COUNTA(Modificaciones!T151,Modificaciones!V151,Modificaciones!X151,Modificaciones!Z151)</f>
        <v>0</v>
      </c>
      <c r="S151" s="118" t="str">
        <f>IF(Modificaciones!AA151=0,"",VLOOKUP(E151,Modificaciones!$B$7:$AA$400,26,0))</f>
        <v/>
      </c>
      <c r="T151" s="119" t="str">
        <f>IF(Modificaciones!AB151=0,"",VLOOKUP(E151,Modificaciones!$B$7:$AB$400,27,0))</f>
        <v/>
      </c>
      <c r="U151" s="1080" t="str">
        <f>+Modificaciones!AC151</f>
        <v/>
      </c>
      <c r="V151" s="825" t="str">
        <f>+Modificaciones!AK151</f>
        <v/>
      </c>
      <c r="W151" s="825">
        <f t="shared" si="28"/>
        <v>42425</v>
      </c>
      <c r="X151" s="59">
        <f t="shared" si="24"/>
        <v>0</v>
      </c>
      <c r="Y151" s="151">
        <f>VLOOKUP(E151,Modificaciones!$B$7:$BE$300,56,0)</f>
        <v>0</v>
      </c>
      <c r="Z151" s="84">
        <f t="shared" si="25"/>
        <v>0</v>
      </c>
      <c r="AA151" s="286"/>
      <c r="AB151" s="40" t="e">
        <f t="shared" si="26"/>
        <v>#DIV/0!</v>
      </c>
      <c r="AC151" s="40">
        <f t="shared" ca="1" si="29"/>
        <v>1</v>
      </c>
      <c r="AD151" s="41" t="e">
        <f t="shared" ca="1" si="30"/>
        <v>#DIV/0!</v>
      </c>
      <c r="AE151" s="181" t="str">
        <f t="shared" ca="1" si="31"/>
        <v/>
      </c>
      <c r="AF151" s="42" t="e">
        <f t="shared" si="27"/>
        <v>#DIV/0!</v>
      </c>
      <c r="AG151" s="42"/>
      <c r="AH151" s="152"/>
      <c r="AI151" s="275"/>
      <c r="AJ151" s="152"/>
      <c r="AK151" s="255" t="s">
        <v>560</v>
      </c>
      <c r="AL151" s="153"/>
      <c r="AM151" s="152" t="s">
        <v>901</v>
      </c>
      <c r="AN151" s="161" t="str">
        <f t="shared" ca="1" si="32"/>
        <v>TERMINO</v>
      </c>
      <c r="AO151" s="160" t="s">
        <v>582</v>
      </c>
      <c r="AP151" s="155" t="s">
        <v>390</v>
      </c>
      <c r="AQ151" s="819" t="str">
        <f>IFERROR(VLOOKUP(E151,'liquidaciones '!$B$2:$C$1048576,2,0),"NO")</f>
        <v>NO</v>
      </c>
      <c r="AR151" s="909" t="str">
        <f>IFERROR(VLOOKUP(E151,'liquidaciones '!$B$2:$I$1048576,8,0),"")</f>
        <v/>
      </c>
      <c r="AS151" s="312"/>
      <c r="AT151" s="156" t="str">
        <f t="shared" ca="1" si="33"/>
        <v>NO</v>
      </c>
      <c r="AU151" s="156" t="s">
        <v>1991</v>
      </c>
      <c r="AV151" s="406"/>
      <c r="AW151" s="928"/>
      <c r="AX151" s="928"/>
      <c r="AY151" s="928"/>
    </row>
    <row r="152" spans="1:51" ht="94.5" customHeight="1" x14ac:dyDescent="0.3">
      <c r="A152" s="14">
        <v>1</v>
      </c>
      <c r="B152" s="14">
        <v>146</v>
      </c>
      <c r="C152" s="410"/>
      <c r="D152" s="410" t="str">
        <f t="shared" si="23"/>
        <v>2012</v>
      </c>
      <c r="E152" s="120" t="s">
        <v>76</v>
      </c>
      <c r="F152" s="120" t="s">
        <v>77</v>
      </c>
      <c r="G152" s="1048">
        <v>860506170</v>
      </c>
      <c r="H152" s="957" t="s">
        <v>417</v>
      </c>
      <c r="I152" s="121">
        <v>2689440000</v>
      </c>
      <c r="J152" s="821" t="s">
        <v>2838</v>
      </c>
      <c r="K152" s="135">
        <v>2012</v>
      </c>
      <c r="L152" s="519" t="s">
        <v>1087</v>
      </c>
      <c r="M152" s="123">
        <v>41263</v>
      </c>
      <c r="N152" s="123">
        <v>41993</v>
      </c>
      <c r="O152" s="1099" t="str">
        <f>IF(+Modificaciones!I152=0,"",VLOOKUP(E152,Modificaciones!$B$7:$I$2400,8,0))</f>
        <v/>
      </c>
      <c r="P152" s="115">
        <f>COUNTA(Modificaciones!J152,Modificaciones!L152,Modificaciones!N152,Modificaciones!P152)</f>
        <v>4</v>
      </c>
      <c r="Q152" s="116">
        <f>VLOOKUP(E152,Modificaciones!$B$7:$R$300,17,0)</f>
        <v>1210934978</v>
      </c>
      <c r="R152" s="117">
        <f>COUNTA(Modificaciones!T152,Modificaciones!V152,Modificaciones!X152,Modificaciones!Z152)</f>
        <v>4</v>
      </c>
      <c r="S152" s="118" t="str">
        <f>IF(Modificaciones!AA152=0,"",VLOOKUP(E152,Modificaciones!$B$7:$AA$400,26,0))</f>
        <v>5 años y 6 meses y 10 dias calendario</v>
      </c>
      <c r="T152" s="119">
        <f>IF(Modificaciones!AB152=0,"",VLOOKUP(E152,Modificaciones!$B$7:$AB$400,27,0))</f>
        <v>43281</v>
      </c>
      <c r="U152" s="1080" t="str">
        <f>+Modificaciones!AC152</f>
        <v/>
      </c>
      <c r="V152" s="825" t="str">
        <f>+Modificaciones!AK152</f>
        <v/>
      </c>
      <c r="W152" s="825">
        <f t="shared" si="28"/>
        <v>43281</v>
      </c>
      <c r="X152" s="59">
        <f t="shared" si="24"/>
        <v>3900374978</v>
      </c>
      <c r="Y152" s="151">
        <f>VLOOKUP(E152,Modificaciones!$B$7:$BE$300,56,0)</f>
        <v>680003244</v>
      </c>
      <c r="Z152" s="84">
        <f t="shared" si="25"/>
        <v>3220371734</v>
      </c>
      <c r="AA152" s="283"/>
      <c r="AB152" s="40">
        <f t="shared" si="26"/>
        <v>0.17434304338314827</v>
      </c>
      <c r="AC152" s="40">
        <f t="shared" ca="1" si="29"/>
        <v>1</v>
      </c>
      <c r="AD152" s="41">
        <f t="shared" ca="1" si="30"/>
        <v>0.82565695661685168</v>
      </c>
      <c r="AE152" s="181" t="str">
        <f t="shared" ca="1" si="31"/>
        <v/>
      </c>
      <c r="AF152" s="42" t="str">
        <f t="shared" si="27"/>
        <v>NO</v>
      </c>
      <c r="AG152" s="42"/>
      <c r="AH152" s="152" t="s">
        <v>1255</v>
      </c>
      <c r="AI152" s="275" t="s">
        <v>1166</v>
      </c>
      <c r="AJ152" s="152" t="s">
        <v>1441</v>
      </c>
      <c r="AK152" s="255" t="s">
        <v>560</v>
      </c>
      <c r="AL152" s="153"/>
      <c r="AM152" s="152" t="s">
        <v>600</v>
      </c>
      <c r="AN152" s="161" t="str">
        <f t="shared" ca="1" si="32"/>
        <v>TERMINO</v>
      </c>
      <c r="AO152" s="160" t="s">
        <v>582</v>
      </c>
      <c r="AP152" s="155" t="s">
        <v>390</v>
      </c>
      <c r="AQ152" s="819" t="str">
        <f>IFERROR(VLOOKUP(E152,'liquidaciones '!$B$2:$C$1048576,2,0),"NO")</f>
        <v>LIQUIDADO</v>
      </c>
      <c r="AR152" s="909" t="str">
        <f>IFERROR(VLOOKUP(E152,'liquidaciones '!$B$2:$I$1048576,8,0),"")</f>
        <v>JUAN DIEGO ESPITIA</v>
      </c>
      <c r="AS152" s="312"/>
      <c r="AT152" s="156" t="str">
        <f t="shared" ca="1" si="33"/>
        <v>NO</v>
      </c>
      <c r="AU152" s="930" t="s">
        <v>4224</v>
      </c>
      <c r="AV152" s="930"/>
      <c r="AW152" s="930" t="s">
        <v>3938</v>
      </c>
      <c r="AX152" s="928"/>
      <c r="AY152" s="928"/>
    </row>
    <row r="153" spans="1:51" ht="63.75" customHeight="1" x14ac:dyDescent="0.3">
      <c r="B153" s="14">
        <v>147</v>
      </c>
      <c r="C153" s="410"/>
      <c r="D153" s="410" t="str">
        <f t="shared" si="23"/>
        <v>2013</v>
      </c>
      <c r="E153" s="120" t="s">
        <v>234</v>
      </c>
      <c r="F153" s="120" t="s">
        <v>235</v>
      </c>
      <c r="G153" s="1046">
        <v>830110570</v>
      </c>
      <c r="H153" s="957" t="s">
        <v>367</v>
      </c>
      <c r="I153" s="126">
        <v>430036764</v>
      </c>
      <c r="J153" s="821" t="s">
        <v>4581</v>
      </c>
      <c r="K153" s="139">
        <v>2013</v>
      </c>
      <c r="L153" s="519" t="s">
        <v>1087</v>
      </c>
      <c r="M153" s="124">
        <v>41659</v>
      </c>
      <c r="N153" s="124">
        <v>41748</v>
      </c>
      <c r="O153" s="1099" t="str">
        <f>IF(+Modificaciones!I153=0,"",VLOOKUP(E153,Modificaciones!$B$7:$I$2400,8,0))</f>
        <v/>
      </c>
      <c r="P153" s="115">
        <f>COUNTA(Modificaciones!J153,Modificaciones!L153,Modificaciones!N153,Modificaciones!P153)</f>
        <v>0</v>
      </c>
      <c r="Q153" s="116">
        <f>VLOOKUP(E153,Modificaciones!$B$7:$R$300,17,0)</f>
        <v>0</v>
      </c>
      <c r="R153" s="117">
        <f>COUNTA(Modificaciones!T153,Modificaciones!V153,Modificaciones!X153,Modificaciones!Z153)</f>
        <v>0</v>
      </c>
      <c r="S153" s="118" t="str">
        <f>IF(Modificaciones!AA153=0,"",VLOOKUP(E153,Modificaciones!$B$7:$AA$400,26,0))</f>
        <v/>
      </c>
      <c r="T153" s="119" t="str">
        <f>IF(Modificaciones!AB153=0,"",VLOOKUP(E153,Modificaciones!$B$7:$AB$400,27,0))</f>
        <v/>
      </c>
      <c r="U153" s="1080" t="str">
        <f>+Modificaciones!AC153</f>
        <v/>
      </c>
      <c r="V153" s="825" t="str">
        <f>+Modificaciones!AK153</f>
        <v/>
      </c>
      <c r="W153" s="825">
        <f t="shared" si="28"/>
        <v>41748</v>
      </c>
      <c r="X153" s="59">
        <f t="shared" si="24"/>
        <v>430036764</v>
      </c>
      <c r="Y153" s="151">
        <f>VLOOKUP(E153,Modificaciones!$B$7:$BE$300,56,0)</f>
        <v>430036600</v>
      </c>
      <c r="Z153" s="84">
        <f t="shared" si="25"/>
        <v>164</v>
      </c>
      <c r="AA153" s="286" t="s">
        <v>1409</v>
      </c>
      <c r="AB153" s="40">
        <f t="shared" si="26"/>
        <v>0.99999961863725684</v>
      </c>
      <c r="AC153" s="40">
        <f t="shared" ca="1" si="29"/>
        <v>1</v>
      </c>
      <c r="AD153" s="41">
        <f t="shared" ca="1" si="30"/>
        <v>3.8136274316258323E-7</v>
      </c>
      <c r="AE153" s="181" t="str">
        <f t="shared" ca="1" si="31"/>
        <v/>
      </c>
      <c r="AF153" s="42" t="str">
        <f t="shared" si="27"/>
        <v>SI</v>
      </c>
      <c r="AG153" s="42"/>
      <c r="AH153" s="152" t="s">
        <v>1256</v>
      </c>
      <c r="AI153" s="152" t="s">
        <v>1305</v>
      </c>
      <c r="AJ153" s="152" t="s">
        <v>1438</v>
      </c>
      <c r="AK153" s="255" t="s">
        <v>560</v>
      </c>
      <c r="AL153" s="153"/>
      <c r="AM153" s="152" t="s">
        <v>901</v>
      </c>
      <c r="AN153" s="161" t="str">
        <f t="shared" ca="1" si="32"/>
        <v>TERMINO</v>
      </c>
      <c r="AO153" s="152" t="s">
        <v>575</v>
      </c>
      <c r="AP153" s="155" t="s">
        <v>391</v>
      </c>
      <c r="AQ153" s="819" t="str">
        <f>IFERROR(VLOOKUP(E153,'liquidaciones '!$B$2:$C$1048576,2,0),"NO")</f>
        <v>LIQUIDADO</v>
      </c>
      <c r="AR153" s="909">
        <f>IFERROR(VLOOKUP(E153,'liquidaciones '!$B$2:$I$1048576,8,0),"")</f>
        <v>0</v>
      </c>
      <c r="AS153" s="312">
        <v>42059</v>
      </c>
      <c r="AT153" s="156" t="str">
        <f t="shared" ca="1" si="33"/>
        <v>NO</v>
      </c>
      <c r="AU153" s="156" t="s">
        <v>981</v>
      </c>
      <c r="AV153" s="406"/>
      <c r="AW153" s="928"/>
      <c r="AX153" s="928"/>
      <c r="AY153" s="928"/>
    </row>
    <row r="154" spans="1:51" ht="47.25" customHeight="1" x14ac:dyDescent="0.3">
      <c r="B154" s="14">
        <v>148</v>
      </c>
      <c r="C154" s="410"/>
      <c r="D154" s="410" t="str">
        <f t="shared" si="23"/>
        <v>2013</v>
      </c>
      <c r="E154" s="120" t="s">
        <v>214</v>
      </c>
      <c r="F154" s="120" t="s">
        <v>31</v>
      </c>
      <c r="G154" s="1046">
        <v>80725449</v>
      </c>
      <c r="H154" s="957" t="s">
        <v>495</v>
      </c>
      <c r="I154" s="126">
        <v>6000000</v>
      </c>
      <c r="J154" s="821" t="s">
        <v>4933</v>
      </c>
      <c r="K154" s="139">
        <v>2013</v>
      </c>
      <c r="L154" s="519" t="s">
        <v>1087</v>
      </c>
      <c r="M154" s="124">
        <v>41620</v>
      </c>
      <c r="N154" s="124">
        <v>41681</v>
      </c>
      <c r="O154" s="1099" t="str">
        <f>IF(+Modificaciones!I154=0,"",VLOOKUP(E154,Modificaciones!$B$7:$I$2400,8,0))</f>
        <v/>
      </c>
      <c r="P154" s="115">
        <f>COUNTA(Modificaciones!J154,Modificaciones!L154,Modificaciones!N154,Modificaciones!P154)</f>
        <v>0</v>
      </c>
      <c r="Q154" s="116">
        <f>VLOOKUP(E154,Modificaciones!$B$7:$R$300,17,0)</f>
        <v>0</v>
      </c>
      <c r="R154" s="117">
        <f>COUNTA(Modificaciones!T154,Modificaciones!V154,Modificaciones!X154,Modificaciones!Z154)</f>
        <v>0</v>
      </c>
      <c r="S154" s="118" t="str">
        <f>IF(Modificaciones!AA154=0,"",VLOOKUP(E154,Modificaciones!$B$7:$AA$400,26,0))</f>
        <v/>
      </c>
      <c r="T154" s="119" t="str">
        <f>IF(Modificaciones!AB154=0,"",VLOOKUP(E154,Modificaciones!$B$7:$AB$400,27,0))</f>
        <v/>
      </c>
      <c r="U154" s="1080" t="str">
        <f>+Modificaciones!AC154</f>
        <v/>
      </c>
      <c r="V154" s="825" t="str">
        <f>+Modificaciones!AK154</f>
        <v/>
      </c>
      <c r="W154" s="825">
        <f t="shared" si="28"/>
        <v>41681</v>
      </c>
      <c r="X154" s="59">
        <f t="shared" si="24"/>
        <v>6000000</v>
      </c>
      <c r="Y154" s="151">
        <f>VLOOKUP(E154,Modificaciones!$B$7:$BE$300,56,0)</f>
        <v>6000000</v>
      </c>
      <c r="Z154" s="84">
        <f t="shared" si="25"/>
        <v>0</v>
      </c>
      <c r="AA154" s="283" t="s">
        <v>1894</v>
      </c>
      <c r="AB154" s="40">
        <f t="shared" si="26"/>
        <v>1</v>
      </c>
      <c r="AC154" s="40">
        <f t="shared" ca="1" si="29"/>
        <v>1</v>
      </c>
      <c r="AD154" s="41">
        <f t="shared" ca="1" si="30"/>
        <v>0</v>
      </c>
      <c r="AE154" s="181" t="str">
        <f t="shared" ca="1" si="31"/>
        <v/>
      </c>
      <c r="AF154" s="42" t="str">
        <f t="shared" si="27"/>
        <v>SI</v>
      </c>
      <c r="AG154" s="42"/>
      <c r="AH154" s="152" t="s">
        <v>1255</v>
      </c>
      <c r="AI154" s="152" t="s">
        <v>1306</v>
      </c>
      <c r="AJ154" s="152"/>
      <c r="AL154" s="153"/>
      <c r="AM154" s="152" t="s">
        <v>901</v>
      </c>
      <c r="AN154" s="161" t="str">
        <f t="shared" ca="1" si="32"/>
        <v>TERMINO</v>
      </c>
      <c r="AO154" s="160" t="s">
        <v>582</v>
      </c>
      <c r="AP154" s="155" t="s">
        <v>391</v>
      </c>
      <c r="AQ154" s="819" t="str">
        <f>IFERROR(VLOOKUP(E154,'liquidaciones '!$B$2:$C$1048576,2,0),"NO")</f>
        <v>LIQUIDADO</v>
      </c>
      <c r="AR154" s="909">
        <f>IFERROR(VLOOKUP(E154,'liquidaciones '!$B$2:$I$1048576,8,0),"")</f>
        <v>0</v>
      </c>
      <c r="AS154" s="312">
        <v>41817</v>
      </c>
      <c r="AT154" s="156" t="str">
        <f t="shared" ca="1" si="33"/>
        <v>NO</v>
      </c>
      <c r="AU154" s="156" t="s">
        <v>1055</v>
      </c>
      <c r="AV154" s="406"/>
      <c r="AW154" s="928"/>
      <c r="AX154" s="928"/>
      <c r="AY154" s="928"/>
    </row>
    <row r="155" spans="1:51" ht="47.25" customHeight="1" x14ac:dyDescent="0.3">
      <c r="B155" s="14">
        <v>149</v>
      </c>
      <c r="C155" s="410"/>
      <c r="D155" s="410" t="str">
        <f t="shared" si="23"/>
        <v>2013</v>
      </c>
      <c r="E155" s="120" t="s">
        <v>232</v>
      </c>
      <c r="F155" s="120" t="s">
        <v>233</v>
      </c>
      <c r="G155" s="1046">
        <v>860536079</v>
      </c>
      <c r="H155" s="957" t="s">
        <v>496</v>
      </c>
      <c r="I155" s="126">
        <v>7937504</v>
      </c>
      <c r="J155" s="821" t="s">
        <v>4582</v>
      </c>
      <c r="K155" s="139">
        <v>2013</v>
      </c>
      <c r="L155" s="519" t="s">
        <v>1087</v>
      </c>
      <c r="M155" s="124">
        <v>41641</v>
      </c>
      <c r="N155" s="124">
        <v>42005</v>
      </c>
      <c r="O155" s="1099" t="str">
        <f>IF(+Modificaciones!I155=0,"",VLOOKUP(E155,Modificaciones!$B$7:$I$2400,8,0))</f>
        <v/>
      </c>
      <c r="P155" s="115">
        <f>COUNTA(Modificaciones!J155,Modificaciones!L155,Modificaciones!N155,Modificaciones!P155)</f>
        <v>0</v>
      </c>
      <c r="Q155" s="116">
        <f>VLOOKUP(E155,Modificaciones!$B$7:$R$300,17,0)</f>
        <v>0</v>
      </c>
      <c r="R155" s="117">
        <f>COUNTA(Modificaciones!T155,Modificaciones!V155,Modificaciones!X155,Modificaciones!Z155)</f>
        <v>0</v>
      </c>
      <c r="S155" s="118" t="str">
        <f>IF(Modificaciones!AA155=0,"",VLOOKUP(E155,Modificaciones!$B$7:$AA$400,26,0))</f>
        <v/>
      </c>
      <c r="T155" s="119" t="str">
        <f>IF(Modificaciones!AB155=0,"",VLOOKUP(E155,Modificaciones!$B$7:$AB$400,27,0))</f>
        <v/>
      </c>
      <c r="U155" s="1080" t="str">
        <f>+Modificaciones!AC155</f>
        <v/>
      </c>
      <c r="V155" s="825" t="str">
        <f>+Modificaciones!AK155</f>
        <v/>
      </c>
      <c r="W155" s="825">
        <f t="shared" si="28"/>
        <v>42005</v>
      </c>
      <c r="X155" s="59">
        <f t="shared" si="24"/>
        <v>7937504</v>
      </c>
      <c r="Y155" s="151">
        <f>VLOOKUP(E155,Modificaciones!$B$7:$BE$300,56,0)</f>
        <v>5992064</v>
      </c>
      <c r="Z155" s="84">
        <f t="shared" si="25"/>
        <v>1945440</v>
      </c>
      <c r="AA155" s="286" t="s">
        <v>1410</v>
      </c>
      <c r="AB155" s="40">
        <f t="shared" si="26"/>
        <v>0.75490532036267322</v>
      </c>
      <c r="AC155" s="40">
        <f t="shared" ca="1" si="29"/>
        <v>1</v>
      </c>
      <c r="AD155" s="41">
        <f t="shared" ca="1" si="30"/>
        <v>0.24509467963732678</v>
      </c>
      <c r="AE155" s="181" t="str">
        <f t="shared" ca="1" si="31"/>
        <v/>
      </c>
      <c r="AF155" s="42" t="str">
        <f t="shared" si="27"/>
        <v>NO</v>
      </c>
      <c r="AG155" s="42"/>
      <c r="AH155" s="152" t="s">
        <v>1255</v>
      </c>
      <c r="AI155" s="275" t="s">
        <v>1167</v>
      </c>
      <c r="AJ155" s="152" t="s">
        <v>1441</v>
      </c>
      <c r="AK155" s="255" t="s">
        <v>560</v>
      </c>
      <c r="AL155" s="153" t="s">
        <v>1379</v>
      </c>
      <c r="AM155" s="152" t="s">
        <v>901</v>
      </c>
      <c r="AN155" s="161" t="str">
        <f t="shared" ca="1" si="32"/>
        <v>TERMINO</v>
      </c>
      <c r="AO155" s="160" t="s">
        <v>576</v>
      </c>
      <c r="AP155" s="155" t="s">
        <v>390</v>
      </c>
      <c r="AQ155" s="819" t="str">
        <f>IFERROR(VLOOKUP(E155,'liquidaciones '!$B$2:$C$1048576,2,0),"NO")</f>
        <v>LIQUIDADO</v>
      </c>
      <c r="AR155" s="909">
        <f>IFERROR(VLOOKUP(E155,'liquidaciones '!$B$2:$I$1048576,8,0),"")</f>
        <v>0</v>
      </c>
      <c r="AS155" s="312"/>
      <c r="AT155" s="156" t="str">
        <f t="shared" ca="1" si="33"/>
        <v>NO</v>
      </c>
      <c r="AU155" s="156" t="s">
        <v>1509</v>
      </c>
      <c r="AV155" s="406"/>
      <c r="AW155" s="928"/>
      <c r="AX155" s="928"/>
      <c r="AY155" s="928"/>
    </row>
    <row r="156" spans="1:51" ht="47.25" customHeight="1" x14ac:dyDescent="0.3">
      <c r="B156" s="14">
        <v>150</v>
      </c>
      <c r="C156" s="410"/>
      <c r="D156" s="410" t="str">
        <f t="shared" si="23"/>
        <v>2013</v>
      </c>
      <c r="E156" s="120" t="s">
        <v>215</v>
      </c>
      <c r="F156" s="120" t="s">
        <v>1595</v>
      </c>
      <c r="G156" s="1046">
        <v>79106019</v>
      </c>
      <c r="H156" s="957" t="s">
        <v>1445</v>
      </c>
      <c r="I156" s="126">
        <v>15000000</v>
      </c>
      <c r="J156" s="821" t="s">
        <v>5690</v>
      </c>
      <c r="K156" s="139">
        <v>2013</v>
      </c>
      <c r="L156" s="519" t="s">
        <v>1087</v>
      </c>
      <c r="M156" s="124">
        <v>41612</v>
      </c>
      <c r="N156" s="124">
        <v>41658</v>
      </c>
      <c r="O156" s="1099" t="str">
        <f>IF(+Modificaciones!I156=0,"",VLOOKUP(E156,Modificaciones!$B$7:$I$2400,8,0))</f>
        <v/>
      </c>
      <c r="P156" s="115">
        <f>COUNTA(Modificaciones!J156,Modificaciones!L156,Modificaciones!N156,Modificaciones!P156)</f>
        <v>0</v>
      </c>
      <c r="Q156" s="116">
        <f>VLOOKUP(E156,Modificaciones!$B$7:$R$300,17,0)</f>
        <v>0</v>
      </c>
      <c r="R156" s="117">
        <f>COUNTA(Modificaciones!T156,Modificaciones!V156,Modificaciones!X156,Modificaciones!Z156)</f>
        <v>0</v>
      </c>
      <c r="S156" s="118" t="str">
        <f>IF(Modificaciones!AA156=0,"",VLOOKUP(E156,Modificaciones!$B$7:$AA$400,26,0))</f>
        <v/>
      </c>
      <c r="T156" s="119" t="str">
        <f>IF(Modificaciones!AB156=0,"",VLOOKUP(E156,Modificaciones!$B$7:$AB$400,27,0))</f>
        <v/>
      </c>
      <c r="U156" s="1080" t="str">
        <f>+Modificaciones!AC156</f>
        <v/>
      </c>
      <c r="V156" s="825" t="str">
        <f>+Modificaciones!AK156</f>
        <v/>
      </c>
      <c r="W156" s="825">
        <f t="shared" si="28"/>
        <v>41658</v>
      </c>
      <c r="X156" s="59">
        <f t="shared" si="24"/>
        <v>15000000</v>
      </c>
      <c r="Y156" s="151">
        <f>VLOOKUP(E156,Modificaciones!$B$7:$BE$300,56,0)</f>
        <v>15000000</v>
      </c>
      <c r="Z156" s="84">
        <f t="shared" si="25"/>
        <v>0</v>
      </c>
      <c r="AA156" s="286" t="s">
        <v>1411</v>
      </c>
      <c r="AB156" s="40">
        <f t="shared" si="26"/>
        <v>1</v>
      </c>
      <c r="AC156" s="40">
        <f t="shared" ca="1" si="29"/>
        <v>1</v>
      </c>
      <c r="AD156" s="41">
        <f t="shared" ca="1" si="30"/>
        <v>0</v>
      </c>
      <c r="AE156" s="181" t="str">
        <f t="shared" ca="1" si="31"/>
        <v/>
      </c>
      <c r="AF156" s="42" t="str">
        <f t="shared" si="27"/>
        <v>SI</v>
      </c>
      <c r="AG156" s="42"/>
      <c r="AH156" s="152" t="s">
        <v>1255</v>
      </c>
      <c r="AI156" s="255" t="s">
        <v>1487</v>
      </c>
      <c r="AJ156" s="152" t="s">
        <v>1441</v>
      </c>
      <c r="AK156" s="255" t="s">
        <v>560</v>
      </c>
      <c r="AL156" s="279" t="s">
        <v>1379</v>
      </c>
      <c r="AM156" s="152" t="s">
        <v>901</v>
      </c>
      <c r="AN156" s="161" t="str">
        <f t="shared" ca="1" si="32"/>
        <v>TERMINO</v>
      </c>
      <c r="AO156" s="160" t="s">
        <v>576</v>
      </c>
      <c r="AP156" s="155" t="s">
        <v>390</v>
      </c>
      <c r="AQ156" s="819" t="str">
        <f>IFERROR(VLOOKUP(E156,'liquidaciones '!$B$2:$C$1048576,2,0),"NO")</f>
        <v>LIQUIDADO</v>
      </c>
      <c r="AR156" s="909">
        <f>IFERROR(VLOOKUP(E156,'liquidaciones '!$B$2:$I$1048576,8,0),"")</f>
        <v>0</v>
      </c>
      <c r="AS156" s="312">
        <v>42011</v>
      </c>
      <c r="AT156" s="156" t="str">
        <f t="shared" ca="1" si="33"/>
        <v>NO</v>
      </c>
      <c r="AU156" s="156" t="s">
        <v>1164</v>
      </c>
      <c r="AV156" s="406"/>
      <c r="AW156" s="928"/>
      <c r="AX156" s="928"/>
      <c r="AY156" s="928"/>
    </row>
    <row r="157" spans="1:51" ht="47.25" customHeight="1" x14ac:dyDescent="0.3">
      <c r="B157" s="14">
        <v>151</v>
      </c>
      <c r="C157" s="410"/>
      <c r="D157" s="410" t="str">
        <f t="shared" si="23"/>
        <v>2013</v>
      </c>
      <c r="E157" s="120" t="s">
        <v>216</v>
      </c>
      <c r="F157" s="120" t="s">
        <v>217</v>
      </c>
      <c r="G157" s="1046">
        <v>800064773</v>
      </c>
      <c r="H157" s="957" t="s">
        <v>1127</v>
      </c>
      <c r="I157" s="126">
        <v>452974000</v>
      </c>
      <c r="J157" s="821" t="s">
        <v>4063</v>
      </c>
      <c r="K157" s="139">
        <v>2013</v>
      </c>
      <c r="L157" s="519" t="s">
        <v>1087</v>
      </c>
      <c r="M157" s="124">
        <v>41621</v>
      </c>
      <c r="N157" s="124">
        <v>41985</v>
      </c>
      <c r="O157" s="1099" t="str">
        <f>IF(+Modificaciones!I157=0,"",VLOOKUP(E157,Modificaciones!$B$7:$I$2400,8,0))</f>
        <v/>
      </c>
      <c r="P157" s="115">
        <f>COUNTA(Modificaciones!J157,Modificaciones!L157,Modificaciones!N157,Modificaciones!P157)</f>
        <v>0</v>
      </c>
      <c r="Q157" s="116">
        <f>VLOOKUP(E157,Modificaciones!$B$7:$R$300,17,0)</f>
        <v>0</v>
      </c>
      <c r="R157" s="117">
        <f>COUNTA(Modificaciones!T157,Modificaciones!V157,Modificaciones!X157,Modificaciones!Z157)</f>
        <v>0</v>
      </c>
      <c r="S157" s="118" t="str">
        <f>IF(Modificaciones!AA157=0,"",VLOOKUP(E157,Modificaciones!$B$7:$AA$400,26,0))</f>
        <v/>
      </c>
      <c r="T157" s="119" t="str">
        <f>IF(Modificaciones!AB157=0,"",VLOOKUP(E157,Modificaciones!$B$7:$AB$400,27,0))</f>
        <v/>
      </c>
      <c r="U157" s="1080" t="str">
        <f>+Modificaciones!AC157</f>
        <v/>
      </c>
      <c r="V157" s="825" t="str">
        <f>+Modificaciones!AK157</f>
        <v/>
      </c>
      <c r="W157" s="825">
        <f t="shared" si="28"/>
        <v>41985</v>
      </c>
      <c r="X157" s="59">
        <f t="shared" si="24"/>
        <v>452974000</v>
      </c>
      <c r="Y157" s="151">
        <f>VLOOKUP(E157,Modificaciones!$B$7:$BE$300,56,0)</f>
        <v>452973998</v>
      </c>
      <c r="Z157" s="84">
        <f t="shared" si="25"/>
        <v>2</v>
      </c>
      <c r="AA157" s="283" t="s">
        <v>1094</v>
      </c>
      <c r="AB157" s="40">
        <f t="shared" si="26"/>
        <v>0.99999999558473551</v>
      </c>
      <c r="AC157" s="40">
        <f t="shared" ca="1" si="29"/>
        <v>1</v>
      </c>
      <c r="AD157" s="41">
        <f t="shared" ca="1" si="30"/>
        <v>4.4152644873562963E-9</v>
      </c>
      <c r="AE157" s="181" t="str">
        <f t="shared" ca="1" si="31"/>
        <v/>
      </c>
      <c r="AF157" s="42" t="str">
        <f t="shared" si="27"/>
        <v>SI</v>
      </c>
      <c r="AG157" s="42"/>
      <c r="AH157" s="152" t="s">
        <v>1255</v>
      </c>
      <c r="AI157" s="275" t="s">
        <v>1128</v>
      </c>
      <c r="AJ157" s="152" t="s">
        <v>1429</v>
      </c>
      <c r="AK157" s="255" t="s">
        <v>564</v>
      </c>
      <c r="AL157" s="153" t="s">
        <v>1380</v>
      </c>
      <c r="AM157" s="152" t="s">
        <v>901</v>
      </c>
      <c r="AN157" s="161" t="str">
        <f t="shared" ca="1" si="32"/>
        <v>TERMINO</v>
      </c>
      <c r="AO157" s="152" t="s">
        <v>575</v>
      </c>
      <c r="AP157" s="155" t="s">
        <v>390</v>
      </c>
      <c r="AQ157" s="819" t="str">
        <f>IFERROR(VLOOKUP(E157,'liquidaciones '!$B$2:$C$1048576,2,0),"NO")</f>
        <v>LIQUIDADO</v>
      </c>
      <c r="AR157" s="909">
        <f>IFERROR(VLOOKUP(E157,'liquidaciones '!$B$2:$I$1048576,8,0),"")</f>
        <v>0</v>
      </c>
      <c r="AS157" s="312">
        <v>42256</v>
      </c>
      <c r="AT157" s="156" t="str">
        <f t="shared" ca="1" si="33"/>
        <v>NO</v>
      </c>
      <c r="AU157" s="156" t="s">
        <v>982</v>
      </c>
      <c r="AV157" s="406"/>
      <c r="AW157" s="928"/>
      <c r="AX157" s="928"/>
      <c r="AY157" s="928"/>
    </row>
    <row r="158" spans="1:51" ht="47.25" customHeight="1" x14ac:dyDescent="0.3">
      <c r="B158" s="14">
        <v>152</v>
      </c>
      <c r="C158" s="410"/>
      <c r="D158" s="410" t="str">
        <f t="shared" si="23"/>
        <v>2013</v>
      </c>
      <c r="E158" s="120" t="s">
        <v>218</v>
      </c>
      <c r="F158" s="120" t="s">
        <v>219</v>
      </c>
      <c r="G158" s="1046">
        <v>830113914</v>
      </c>
      <c r="H158" s="957" t="s">
        <v>366</v>
      </c>
      <c r="I158" s="126">
        <v>95000000</v>
      </c>
      <c r="J158" s="121" t="s">
        <v>1087</v>
      </c>
      <c r="K158" s="139">
        <v>2013</v>
      </c>
      <c r="L158" s="519" t="s">
        <v>1087</v>
      </c>
      <c r="M158" s="124">
        <v>41647</v>
      </c>
      <c r="N158" s="124">
        <v>41889</v>
      </c>
      <c r="O158" s="1099" t="str">
        <f>IF(+Modificaciones!I158=0,"",VLOOKUP(E158,Modificaciones!$B$7:$I$2400,8,0))</f>
        <v/>
      </c>
      <c r="P158" s="115">
        <f>COUNTA(Modificaciones!J158,Modificaciones!L158,Modificaciones!N158,Modificaciones!P158)</f>
        <v>0</v>
      </c>
      <c r="Q158" s="116">
        <f>VLOOKUP(E158,Modificaciones!$B$7:$R$300,17,0)</f>
        <v>0</v>
      </c>
      <c r="R158" s="117">
        <f>COUNTA(Modificaciones!T158,Modificaciones!V158,Modificaciones!X158,Modificaciones!Z158)</f>
        <v>1</v>
      </c>
      <c r="S158" s="118" t="str">
        <f>IF(Modificaciones!AA158=0,"",VLOOKUP(E158,Modificaciones!$B$7:$AA$400,26,0))</f>
        <v>3 meses</v>
      </c>
      <c r="T158" s="119">
        <f>IF(Modificaciones!AB158=0,"",VLOOKUP(E158,Modificaciones!$B$7:$AB$400,27,0))</f>
        <v>41980</v>
      </c>
      <c r="U158" s="1080" t="str">
        <f>+Modificaciones!AC158</f>
        <v/>
      </c>
      <c r="V158" s="825" t="str">
        <f>+Modificaciones!AK158</f>
        <v/>
      </c>
      <c r="W158" s="825">
        <f t="shared" si="28"/>
        <v>41980</v>
      </c>
      <c r="X158" s="59">
        <f t="shared" si="24"/>
        <v>95000000</v>
      </c>
      <c r="Y158" s="151">
        <f>VLOOKUP(E158,Modificaciones!$B$7:$BE$300,56,0)</f>
        <v>88983693</v>
      </c>
      <c r="Z158" s="84">
        <f t="shared" si="25"/>
        <v>6016307</v>
      </c>
      <c r="AA158" s="283" t="s">
        <v>1094</v>
      </c>
      <c r="AB158" s="40">
        <f t="shared" si="26"/>
        <v>0.936670452631579</v>
      </c>
      <c r="AC158" s="40">
        <f t="shared" ca="1" si="29"/>
        <v>1</v>
      </c>
      <c r="AD158" s="41">
        <f t="shared" ca="1" si="30"/>
        <v>6.3329547368421002E-2</v>
      </c>
      <c r="AE158" s="181" t="str">
        <f t="shared" ca="1" si="31"/>
        <v/>
      </c>
      <c r="AF158" s="42" t="str">
        <f t="shared" si="27"/>
        <v>NO</v>
      </c>
      <c r="AG158" s="42"/>
      <c r="AH158" s="152" t="s">
        <v>1255</v>
      </c>
      <c r="AI158" s="278" t="s">
        <v>1129</v>
      </c>
      <c r="AJ158" s="152" t="s">
        <v>1441</v>
      </c>
      <c r="AK158" s="255" t="s">
        <v>560</v>
      </c>
      <c r="AL158" s="158" t="s">
        <v>1378</v>
      </c>
      <c r="AM158" s="152" t="s">
        <v>901</v>
      </c>
      <c r="AN158" s="161" t="str">
        <f t="shared" ca="1" si="32"/>
        <v>TERMINO</v>
      </c>
      <c r="AO158" s="152" t="s">
        <v>575</v>
      </c>
      <c r="AP158" s="155" t="s">
        <v>390</v>
      </c>
      <c r="AQ158" s="819" t="str">
        <f>IFERROR(VLOOKUP(E158,'liquidaciones '!$B$2:$C$1048576,2,0),"NO")</f>
        <v>EN TRÁMITE</v>
      </c>
      <c r="AR158" s="909">
        <f>IFERROR(VLOOKUP(E158,'liquidaciones '!$B$2:$I$1048576,8,0),"")</f>
        <v>0</v>
      </c>
      <c r="AS158" s="312"/>
      <c r="AT158" s="156" t="str">
        <f t="shared" ca="1" si="33"/>
        <v>NO</v>
      </c>
      <c r="AU158" s="156" t="s">
        <v>1509</v>
      </c>
      <c r="AV158" s="406"/>
      <c r="AW158" s="928"/>
      <c r="AX158" s="928"/>
      <c r="AY158" s="928"/>
    </row>
    <row r="159" spans="1:51" ht="47.25" customHeight="1" x14ac:dyDescent="0.3">
      <c r="B159" s="14">
        <v>153</v>
      </c>
      <c r="C159" s="410"/>
      <c r="D159" s="410" t="str">
        <f t="shared" si="23"/>
        <v>2013</v>
      </c>
      <c r="E159" s="120" t="s">
        <v>220</v>
      </c>
      <c r="F159" s="120" t="s">
        <v>1148</v>
      </c>
      <c r="G159" s="1046">
        <v>860007336</v>
      </c>
      <c r="H159" s="957" t="s">
        <v>497</v>
      </c>
      <c r="I159" s="126">
        <v>63128000</v>
      </c>
      <c r="J159" s="821" t="s">
        <v>4580</v>
      </c>
      <c r="K159" s="139">
        <v>2013</v>
      </c>
      <c r="L159" s="519" t="s">
        <v>1087</v>
      </c>
      <c r="M159" s="124">
        <v>41626</v>
      </c>
      <c r="N159" s="124">
        <v>41641</v>
      </c>
      <c r="O159" s="1099" t="str">
        <f>IF(+Modificaciones!I159=0,"",VLOOKUP(E159,Modificaciones!$B$7:$I$2400,8,0))</f>
        <v/>
      </c>
      <c r="P159" s="115">
        <f>COUNTA(Modificaciones!J159,Modificaciones!L159,Modificaciones!N159,Modificaciones!P159)</f>
        <v>0</v>
      </c>
      <c r="Q159" s="116">
        <f>VLOOKUP(E159,Modificaciones!$B$7:$R$300,17,0)</f>
        <v>0</v>
      </c>
      <c r="R159" s="117">
        <f>COUNTA(Modificaciones!T159,Modificaciones!V159,Modificaciones!X159,Modificaciones!Z159)</f>
        <v>0</v>
      </c>
      <c r="S159" s="118" t="str">
        <f>IF(Modificaciones!AA159=0,"",VLOOKUP(E159,Modificaciones!$B$7:$AA$400,26,0))</f>
        <v/>
      </c>
      <c r="T159" s="119" t="str">
        <f>IF(Modificaciones!AB159=0,"",VLOOKUP(E159,Modificaciones!$B$7:$AB$400,27,0))</f>
        <v/>
      </c>
      <c r="U159" s="1080" t="str">
        <f>+Modificaciones!AC159</f>
        <v/>
      </c>
      <c r="V159" s="825" t="str">
        <f>+Modificaciones!AK159</f>
        <v/>
      </c>
      <c r="W159" s="825">
        <f t="shared" si="28"/>
        <v>41641</v>
      </c>
      <c r="X159" s="59">
        <f t="shared" si="24"/>
        <v>63128000</v>
      </c>
      <c r="Y159" s="151">
        <f>VLOOKUP(E159,Modificaciones!$B$7:$BE$300,56,0)</f>
        <v>63128000</v>
      </c>
      <c r="Z159" s="84">
        <f t="shared" si="25"/>
        <v>0</v>
      </c>
      <c r="AA159" s="283" t="s">
        <v>1894</v>
      </c>
      <c r="AB159" s="40">
        <f t="shared" si="26"/>
        <v>1</v>
      </c>
      <c r="AC159" s="40">
        <f t="shared" ca="1" si="29"/>
        <v>1</v>
      </c>
      <c r="AD159" s="41">
        <f t="shared" ca="1" si="30"/>
        <v>0</v>
      </c>
      <c r="AE159" s="181" t="str">
        <f t="shared" ca="1" si="31"/>
        <v/>
      </c>
      <c r="AF159" s="42" t="str">
        <f t="shared" si="27"/>
        <v>SI</v>
      </c>
      <c r="AG159" s="42"/>
      <c r="AH159" s="152" t="s">
        <v>1255</v>
      </c>
      <c r="AI159" s="152" t="s">
        <v>1307</v>
      </c>
      <c r="AJ159" s="152" t="s">
        <v>1434</v>
      </c>
      <c r="AK159" s="255" t="s">
        <v>560</v>
      </c>
      <c r="AL159" s="153" t="s">
        <v>1385</v>
      </c>
      <c r="AM159" s="152" t="s">
        <v>901</v>
      </c>
      <c r="AN159" s="161" t="str">
        <f t="shared" ca="1" si="32"/>
        <v>TERMINO</v>
      </c>
      <c r="AO159" s="160" t="s">
        <v>574</v>
      </c>
      <c r="AP159" s="155" t="s">
        <v>391</v>
      </c>
      <c r="AQ159" s="819" t="str">
        <f>IFERROR(VLOOKUP(E159,'liquidaciones '!$B$2:$C$1048576,2,0),"NO")</f>
        <v>NO</v>
      </c>
      <c r="AR159" s="909" t="str">
        <f>IFERROR(VLOOKUP(E159,'liquidaciones '!$B$2:$I$1048576,8,0),"")</f>
        <v/>
      </c>
      <c r="AS159" s="308">
        <v>41872</v>
      </c>
      <c r="AT159" s="156" t="str">
        <f t="shared" ca="1" si="33"/>
        <v>NO</v>
      </c>
      <c r="AU159" s="156" t="s">
        <v>982</v>
      </c>
      <c r="AV159" s="406"/>
      <c r="AW159" s="928"/>
      <c r="AX159" s="928"/>
      <c r="AY159" s="928"/>
    </row>
    <row r="160" spans="1:51" ht="47.25" customHeight="1" x14ac:dyDescent="0.3">
      <c r="B160" s="14">
        <v>154</v>
      </c>
      <c r="C160" s="410"/>
      <c r="D160" s="410" t="str">
        <f t="shared" si="23"/>
        <v>2013</v>
      </c>
      <c r="E160" s="120" t="s">
        <v>227</v>
      </c>
      <c r="F160" s="120" t="s">
        <v>228</v>
      </c>
      <c r="G160" s="1046">
        <v>52935011</v>
      </c>
      <c r="H160" s="957" t="s">
        <v>498</v>
      </c>
      <c r="I160" s="126">
        <v>5000000</v>
      </c>
      <c r="J160" s="821" t="s">
        <v>4579</v>
      </c>
      <c r="K160" s="139">
        <v>2013</v>
      </c>
      <c r="L160" s="519" t="s">
        <v>1087</v>
      </c>
      <c r="M160" s="124">
        <v>41628</v>
      </c>
      <c r="N160" s="124">
        <v>41658</v>
      </c>
      <c r="O160" s="1099" t="str">
        <f>IF(+Modificaciones!I160=0,"",VLOOKUP(E160,Modificaciones!$B$7:$I$2400,8,0))</f>
        <v/>
      </c>
      <c r="P160" s="115">
        <f>COUNTA(Modificaciones!J160,Modificaciones!L160,Modificaciones!N160,Modificaciones!P160)</f>
        <v>0</v>
      </c>
      <c r="Q160" s="116">
        <f>VLOOKUP(E160,Modificaciones!$B$7:$R$300,17,0)</f>
        <v>0</v>
      </c>
      <c r="R160" s="117">
        <f>COUNTA(Modificaciones!T160,Modificaciones!V160,Modificaciones!X160,Modificaciones!Z160)</f>
        <v>0</v>
      </c>
      <c r="S160" s="118" t="str">
        <f>IF(Modificaciones!AA160=0,"",VLOOKUP(E160,Modificaciones!$B$7:$AA$400,26,0))</f>
        <v/>
      </c>
      <c r="T160" s="119" t="str">
        <f>IF(Modificaciones!AB160=0,"",VLOOKUP(E160,Modificaciones!$B$7:$AB$400,27,0))</f>
        <v/>
      </c>
      <c r="U160" s="1080" t="str">
        <f>+Modificaciones!AC160</f>
        <v/>
      </c>
      <c r="V160" s="825" t="str">
        <f>+Modificaciones!AK160</f>
        <v/>
      </c>
      <c r="W160" s="825">
        <f t="shared" si="28"/>
        <v>41658</v>
      </c>
      <c r="X160" s="59">
        <f t="shared" si="24"/>
        <v>5000000</v>
      </c>
      <c r="Y160" s="151">
        <f>VLOOKUP(E160,Modificaciones!$B$7:$BE$300,56,0)</f>
        <v>5000000</v>
      </c>
      <c r="Z160" s="84">
        <f t="shared" si="25"/>
        <v>0</v>
      </c>
      <c r="AA160" s="286" t="s">
        <v>1403</v>
      </c>
      <c r="AB160" s="40">
        <f t="shared" si="26"/>
        <v>1</v>
      </c>
      <c r="AC160" s="40">
        <f t="shared" ca="1" si="29"/>
        <v>1</v>
      </c>
      <c r="AD160" s="41">
        <f t="shared" ca="1" si="30"/>
        <v>0</v>
      </c>
      <c r="AE160" s="181" t="str">
        <f t="shared" ca="1" si="31"/>
        <v/>
      </c>
      <c r="AF160" s="42" t="str">
        <f t="shared" si="27"/>
        <v>SI</v>
      </c>
      <c r="AG160" s="42"/>
      <c r="AH160" s="152" t="s">
        <v>1255</v>
      </c>
      <c r="AI160" s="152" t="s">
        <v>1968</v>
      </c>
      <c r="AJ160" s="152"/>
      <c r="AL160" s="153"/>
      <c r="AM160" s="152" t="s">
        <v>901</v>
      </c>
      <c r="AN160" s="161" t="str">
        <f t="shared" ca="1" si="32"/>
        <v>TERMINO</v>
      </c>
      <c r="AO160" s="160" t="s">
        <v>582</v>
      </c>
      <c r="AP160" s="155" t="s">
        <v>391</v>
      </c>
      <c r="AQ160" s="819" t="str">
        <f>IFERROR(VLOOKUP(E160,'liquidaciones '!$B$2:$C$1048576,2,0),"NO")</f>
        <v>LIQUIDADO</v>
      </c>
      <c r="AR160" s="909" t="str">
        <f>IFERROR(VLOOKUP(E160,'liquidaciones '!$B$2:$I$1048576,8,0),"")</f>
        <v>JUAN DIEGO ESPITIA</v>
      </c>
      <c r="AS160" s="312"/>
      <c r="AT160" s="156" t="str">
        <f t="shared" ca="1" si="33"/>
        <v>NO</v>
      </c>
      <c r="AU160" s="156" t="s">
        <v>1164</v>
      </c>
      <c r="AV160" s="406"/>
      <c r="AW160" s="928"/>
      <c r="AX160" s="928"/>
      <c r="AY160" s="928"/>
    </row>
    <row r="161" spans="2:51" ht="47.25" customHeight="1" x14ac:dyDescent="0.3">
      <c r="B161" s="14">
        <v>155</v>
      </c>
      <c r="C161" s="410"/>
      <c r="D161" s="410" t="str">
        <f t="shared" si="23"/>
        <v>2013</v>
      </c>
      <c r="E161" s="120" t="s">
        <v>223</v>
      </c>
      <c r="F161" s="120" t="s">
        <v>224</v>
      </c>
      <c r="G161" s="1046">
        <v>19327657</v>
      </c>
      <c r="H161" s="957" t="s">
        <v>498</v>
      </c>
      <c r="I161" s="126">
        <v>5000000</v>
      </c>
      <c r="J161" s="821" t="s">
        <v>5760</v>
      </c>
      <c r="K161" s="139">
        <v>2013</v>
      </c>
      <c r="L161" s="519" t="s">
        <v>1087</v>
      </c>
      <c r="M161" s="124">
        <v>41628</v>
      </c>
      <c r="N161" s="124">
        <v>41658</v>
      </c>
      <c r="O161" s="1099" t="str">
        <f>IF(+Modificaciones!I161=0,"",VLOOKUP(E161,Modificaciones!$B$7:$I$2400,8,0))</f>
        <v/>
      </c>
      <c r="P161" s="115">
        <f>COUNTA(Modificaciones!J161,Modificaciones!L161,Modificaciones!N161,Modificaciones!P161)</f>
        <v>0</v>
      </c>
      <c r="Q161" s="116">
        <f>VLOOKUP(E161,Modificaciones!$B$7:$R$300,17,0)</f>
        <v>0</v>
      </c>
      <c r="R161" s="117">
        <f>COUNTA(Modificaciones!T161,Modificaciones!V161,Modificaciones!X161,Modificaciones!Z161)</f>
        <v>0</v>
      </c>
      <c r="S161" s="118" t="str">
        <f>IF(Modificaciones!AA161=0,"",VLOOKUP(E161,Modificaciones!$B$7:$AA$400,26,0))</f>
        <v/>
      </c>
      <c r="T161" s="119" t="str">
        <f>IF(Modificaciones!AB161=0,"",VLOOKUP(E161,Modificaciones!$B$7:$AB$400,27,0))</f>
        <v/>
      </c>
      <c r="U161" s="1080" t="str">
        <f>+Modificaciones!AC161</f>
        <v/>
      </c>
      <c r="V161" s="825" t="str">
        <f>+Modificaciones!AK161</f>
        <v/>
      </c>
      <c r="W161" s="825">
        <f t="shared" si="28"/>
        <v>41658</v>
      </c>
      <c r="X161" s="59">
        <f t="shared" si="24"/>
        <v>5000000</v>
      </c>
      <c r="Y161" s="151">
        <f>VLOOKUP(E161,Modificaciones!$B$7:$BE$300,56,0)</f>
        <v>5000000</v>
      </c>
      <c r="Z161" s="84">
        <f t="shared" si="25"/>
        <v>0</v>
      </c>
      <c r="AA161" s="286" t="s">
        <v>1403</v>
      </c>
      <c r="AB161" s="40">
        <f t="shared" si="26"/>
        <v>1</v>
      </c>
      <c r="AC161" s="40">
        <f t="shared" ca="1" si="29"/>
        <v>1</v>
      </c>
      <c r="AD161" s="41">
        <f t="shared" ca="1" si="30"/>
        <v>0</v>
      </c>
      <c r="AE161" s="181" t="str">
        <f t="shared" ca="1" si="31"/>
        <v/>
      </c>
      <c r="AF161" s="42" t="str">
        <f t="shared" si="27"/>
        <v>SI</v>
      </c>
      <c r="AG161" s="42"/>
      <c r="AH161" s="152" t="s">
        <v>1255</v>
      </c>
      <c r="AI161" s="152" t="s">
        <v>1968</v>
      </c>
      <c r="AJ161" s="152"/>
      <c r="AL161" s="153"/>
      <c r="AM161" s="152" t="s">
        <v>901</v>
      </c>
      <c r="AN161" s="161" t="str">
        <f t="shared" ca="1" si="32"/>
        <v>TERMINO</v>
      </c>
      <c r="AO161" s="160" t="s">
        <v>582</v>
      </c>
      <c r="AP161" s="155" t="s">
        <v>391</v>
      </c>
      <c r="AQ161" s="819" t="str">
        <f>IFERROR(VLOOKUP(E161,'liquidaciones '!$B$2:$C$1048576,2,0),"NO")</f>
        <v>LIQUIDADO</v>
      </c>
      <c r="AR161" s="909" t="str">
        <f>IFERROR(VLOOKUP(E161,'liquidaciones '!$B$2:$I$1048576,8,0),"")</f>
        <v>LUISA FERNANDA GUTIERREZ</v>
      </c>
      <c r="AS161" s="312">
        <v>42193</v>
      </c>
      <c r="AT161" s="156" t="str">
        <f t="shared" ca="1" si="33"/>
        <v>NO</v>
      </c>
      <c r="AU161" s="156" t="s">
        <v>1569</v>
      </c>
      <c r="AV161" s="406"/>
      <c r="AW161" s="928"/>
      <c r="AX161" s="928"/>
      <c r="AY161" s="928"/>
    </row>
    <row r="162" spans="2:51" ht="47.25" customHeight="1" x14ac:dyDescent="0.3">
      <c r="B162" s="14">
        <v>156</v>
      </c>
      <c r="C162" s="410"/>
      <c r="D162" s="410" t="str">
        <f t="shared" si="23"/>
        <v>2013</v>
      </c>
      <c r="E162" s="120" t="s">
        <v>231</v>
      </c>
      <c r="F162" s="120" t="s">
        <v>1041</v>
      </c>
      <c r="G162" s="1046">
        <v>900683150</v>
      </c>
      <c r="H162" s="957" t="s">
        <v>499</v>
      </c>
      <c r="I162" s="126">
        <v>70000000</v>
      </c>
      <c r="J162" s="821" t="s">
        <v>4770</v>
      </c>
      <c r="K162" s="139">
        <v>2013</v>
      </c>
      <c r="L162" s="519" t="s">
        <v>1087</v>
      </c>
      <c r="M162" s="124">
        <v>41647</v>
      </c>
      <c r="N162" s="124">
        <v>41705</v>
      </c>
      <c r="O162" s="1099" t="str">
        <f>IF(+Modificaciones!I162=0,"",VLOOKUP(E162,Modificaciones!$B$7:$I$2400,8,0))</f>
        <v/>
      </c>
      <c r="P162" s="115">
        <f>COUNTA(Modificaciones!J162,Modificaciones!L162,Modificaciones!N162,Modificaciones!P162)</f>
        <v>0</v>
      </c>
      <c r="Q162" s="116">
        <f>VLOOKUP(E162,Modificaciones!$B$7:$R$300,17,0)</f>
        <v>0</v>
      </c>
      <c r="R162" s="117">
        <f>COUNTA(Modificaciones!T162,Modificaciones!V162,Modificaciones!X162,Modificaciones!Z162)</f>
        <v>2</v>
      </c>
      <c r="S162" s="118" t="str">
        <f>IF(Modificaciones!AA162=0,"",VLOOKUP(E162,Modificaciones!$B$7:$AA$400,26,0))</f>
        <v>3 meses</v>
      </c>
      <c r="T162" s="119">
        <f>IF(Modificaciones!AB162=0,"",VLOOKUP(E162,Modificaciones!$B$7:$AB$400,27,0))</f>
        <v>41797</v>
      </c>
      <c r="U162" s="1080" t="str">
        <f>+Modificaciones!AC162</f>
        <v/>
      </c>
      <c r="V162" s="825" t="str">
        <f>+Modificaciones!AK162</f>
        <v/>
      </c>
      <c r="W162" s="825">
        <f t="shared" si="28"/>
        <v>41797</v>
      </c>
      <c r="X162" s="59">
        <f t="shared" si="24"/>
        <v>70000000</v>
      </c>
      <c r="Y162" s="151">
        <f>VLOOKUP(E162,Modificaciones!$B$7:$BE$300,56,0)</f>
        <v>69658711</v>
      </c>
      <c r="Z162" s="84">
        <f t="shared" si="25"/>
        <v>341289</v>
      </c>
      <c r="AA162" s="283" t="s">
        <v>1094</v>
      </c>
      <c r="AB162" s="40">
        <f t="shared" si="26"/>
        <v>0.99512444285714285</v>
      </c>
      <c r="AC162" s="40">
        <f t="shared" ca="1" si="29"/>
        <v>1</v>
      </c>
      <c r="AD162" s="41">
        <f t="shared" ca="1" si="30"/>
        <v>4.8755571428571454E-3</v>
      </c>
      <c r="AE162" s="181" t="str">
        <f t="shared" ca="1" si="31"/>
        <v/>
      </c>
      <c r="AF162" s="42" t="str">
        <f t="shared" si="27"/>
        <v>NO</v>
      </c>
      <c r="AG162" s="42"/>
      <c r="AH162" s="152" t="s">
        <v>1255</v>
      </c>
      <c r="AI162" s="152" t="s">
        <v>1308</v>
      </c>
      <c r="AJ162" s="152"/>
      <c r="AL162" s="153"/>
      <c r="AM162" s="152" t="s">
        <v>901</v>
      </c>
      <c r="AN162" s="161" t="str">
        <f t="shared" ca="1" si="32"/>
        <v>TERMINO</v>
      </c>
      <c r="AO162" s="160" t="s">
        <v>574</v>
      </c>
      <c r="AP162" s="155" t="s">
        <v>390</v>
      </c>
      <c r="AQ162" s="819" t="str">
        <f>IFERROR(VLOOKUP(E162,'liquidaciones '!$B$2:$C$1048576,2,0),"NO")</f>
        <v>LIQUIDADO</v>
      </c>
      <c r="AR162" s="909">
        <f>IFERROR(VLOOKUP(E162,'liquidaciones '!$B$2:$I$1048576,8,0),"")</f>
        <v>0</v>
      </c>
      <c r="AS162" s="312">
        <v>42009</v>
      </c>
      <c r="AT162" s="156" t="str">
        <f t="shared" ca="1" si="33"/>
        <v>NO</v>
      </c>
      <c r="AU162" s="156" t="s">
        <v>1164</v>
      </c>
      <c r="AV162" s="406"/>
      <c r="AW162" s="928"/>
      <c r="AX162" s="928"/>
      <c r="AY162" s="928"/>
    </row>
    <row r="163" spans="2:51" ht="47.25" customHeight="1" x14ac:dyDescent="0.3">
      <c r="B163" s="14">
        <v>157</v>
      </c>
      <c r="C163" s="410"/>
      <c r="D163" s="410" t="str">
        <f t="shared" si="23"/>
        <v>2013</v>
      </c>
      <c r="E163" s="120" t="s">
        <v>225</v>
      </c>
      <c r="F163" s="120" t="s">
        <v>226</v>
      </c>
      <c r="G163" s="1046">
        <v>19136712</v>
      </c>
      <c r="H163" s="957" t="s">
        <v>498</v>
      </c>
      <c r="I163" s="126">
        <v>5000000</v>
      </c>
      <c r="J163" s="821" t="s">
        <v>4414</v>
      </c>
      <c r="K163" s="139">
        <v>2013</v>
      </c>
      <c r="L163" s="519" t="s">
        <v>1087</v>
      </c>
      <c r="M163" s="124">
        <v>41628</v>
      </c>
      <c r="N163" s="124">
        <v>41658</v>
      </c>
      <c r="O163" s="1099" t="str">
        <f>IF(+Modificaciones!I163=0,"",VLOOKUP(E163,Modificaciones!$B$7:$I$2400,8,0))</f>
        <v/>
      </c>
      <c r="P163" s="115">
        <f>COUNTA(Modificaciones!J163,Modificaciones!L163,Modificaciones!N163,Modificaciones!P163)</f>
        <v>0</v>
      </c>
      <c r="Q163" s="116">
        <f>VLOOKUP(E163,Modificaciones!$B$7:$R$300,17,0)</f>
        <v>0</v>
      </c>
      <c r="R163" s="117">
        <f>COUNTA(Modificaciones!T163,Modificaciones!V163,Modificaciones!X163,Modificaciones!Z163)</f>
        <v>0</v>
      </c>
      <c r="S163" s="118" t="str">
        <f>IF(Modificaciones!AA163=0,"",VLOOKUP(E163,Modificaciones!$B$7:$AA$400,26,0))</f>
        <v/>
      </c>
      <c r="T163" s="119" t="str">
        <f>IF(Modificaciones!AB163=0,"",VLOOKUP(E163,Modificaciones!$B$7:$AB$400,27,0))</f>
        <v/>
      </c>
      <c r="U163" s="1080" t="str">
        <f>+Modificaciones!AC163</f>
        <v/>
      </c>
      <c r="V163" s="825" t="str">
        <f>+Modificaciones!AK163</f>
        <v/>
      </c>
      <c r="W163" s="825">
        <f t="shared" si="28"/>
        <v>41658</v>
      </c>
      <c r="X163" s="59">
        <f t="shared" si="24"/>
        <v>5000000</v>
      </c>
      <c r="Y163" s="151">
        <f>VLOOKUP(E163,Modificaciones!$B$7:$BE$300,56,0)</f>
        <v>5000000</v>
      </c>
      <c r="Z163" s="84">
        <f t="shared" si="25"/>
        <v>0</v>
      </c>
      <c r="AA163" s="286" t="s">
        <v>1403</v>
      </c>
      <c r="AB163" s="40">
        <f t="shared" si="26"/>
        <v>1</v>
      </c>
      <c r="AC163" s="40">
        <f t="shared" ca="1" si="29"/>
        <v>1</v>
      </c>
      <c r="AD163" s="41">
        <f t="shared" ca="1" si="30"/>
        <v>0</v>
      </c>
      <c r="AE163" s="181" t="str">
        <f t="shared" ca="1" si="31"/>
        <v/>
      </c>
      <c r="AF163" s="42" t="str">
        <f t="shared" si="27"/>
        <v>SI</v>
      </c>
      <c r="AG163" s="42"/>
      <c r="AH163" s="152" t="s">
        <v>1255</v>
      </c>
      <c r="AI163" s="152" t="s">
        <v>1968</v>
      </c>
      <c r="AJ163" s="152"/>
      <c r="AL163" s="153"/>
      <c r="AM163" s="152" t="s">
        <v>901</v>
      </c>
      <c r="AN163" s="161" t="str">
        <f t="shared" ca="1" si="32"/>
        <v>TERMINO</v>
      </c>
      <c r="AO163" s="160" t="s">
        <v>582</v>
      </c>
      <c r="AP163" s="155" t="s">
        <v>391</v>
      </c>
      <c r="AQ163" s="819" t="str">
        <f>IFERROR(VLOOKUP(E163,'liquidaciones '!$B$2:$C$1048576,2,0),"NO")</f>
        <v>LIQUIDADO</v>
      </c>
      <c r="AR163" s="909">
        <f>IFERROR(VLOOKUP(E163,'liquidaciones '!$B$2:$I$1048576,8,0),"")</f>
        <v>0</v>
      </c>
      <c r="AS163" s="312">
        <v>41971</v>
      </c>
      <c r="AT163" s="156" t="str">
        <f t="shared" ca="1" si="33"/>
        <v>NO</v>
      </c>
      <c r="AU163" s="156" t="s">
        <v>1164</v>
      </c>
      <c r="AV163" s="406"/>
      <c r="AW163" s="928"/>
      <c r="AX163" s="928"/>
      <c r="AY163" s="928"/>
    </row>
    <row r="164" spans="2:51" ht="47.25" customHeight="1" x14ac:dyDescent="0.3">
      <c r="B164" s="14">
        <v>158</v>
      </c>
      <c r="C164" s="410"/>
      <c r="D164" s="410" t="str">
        <f t="shared" si="23"/>
        <v>2013</v>
      </c>
      <c r="E164" s="120" t="s">
        <v>221</v>
      </c>
      <c r="F164" s="120" t="s">
        <v>222</v>
      </c>
      <c r="G164" s="1046">
        <v>7212142</v>
      </c>
      <c r="H164" s="957" t="s">
        <v>498</v>
      </c>
      <c r="I164" s="126">
        <v>5000000</v>
      </c>
      <c r="J164" s="821" t="s">
        <v>4578</v>
      </c>
      <c r="K164" s="139">
        <v>2013</v>
      </c>
      <c r="L164" s="519" t="s">
        <v>1087</v>
      </c>
      <c r="M164" s="124">
        <v>41628</v>
      </c>
      <c r="N164" s="124">
        <v>41658</v>
      </c>
      <c r="O164" s="1099" t="str">
        <f>IF(+Modificaciones!I164=0,"",VLOOKUP(E164,Modificaciones!$B$7:$I$2400,8,0))</f>
        <v/>
      </c>
      <c r="P164" s="115">
        <f>COUNTA(Modificaciones!J164,Modificaciones!L164,Modificaciones!N164,Modificaciones!P164)</f>
        <v>0</v>
      </c>
      <c r="Q164" s="116">
        <f>VLOOKUP(E164,Modificaciones!$B$7:$R$300,17,0)</f>
        <v>0</v>
      </c>
      <c r="R164" s="117">
        <f>COUNTA(Modificaciones!T164,Modificaciones!V164,Modificaciones!X164,Modificaciones!Z164)</f>
        <v>0</v>
      </c>
      <c r="S164" s="118" t="str">
        <f>IF(Modificaciones!AA164=0,"",VLOOKUP(E164,Modificaciones!$B$7:$AA$400,26,0))</f>
        <v/>
      </c>
      <c r="T164" s="119" t="str">
        <f>IF(Modificaciones!AB164=0,"",VLOOKUP(E164,Modificaciones!$B$7:$AB$400,27,0))</f>
        <v/>
      </c>
      <c r="U164" s="1080" t="str">
        <f>+Modificaciones!AC164</f>
        <v/>
      </c>
      <c r="V164" s="825" t="str">
        <f>+Modificaciones!AK164</f>
        <v/>
      </c>
      <c r="W164" s="825">
        <f t="shared" si="28"/>
        <v>41658</v>
      </c>
      <c r="X164" s="59">
        <f t="shared" si="24"/>
        <v>5000000</v>
      </c>
      <c r="Y164" s="151">
        <f>VLOOKUP(E164,Modificaciones!$B$7:$BE$300,56,0)</f>
        <v>5000000</v>
      </c>
      <c r="Z164" s="84">
        <f t="shared" si="25"/>
        <v>0</v>
      </c>
      <c r="AA164" s="286" t="s">
        <v>1403</v>
      </c>
      <c r="AB164" s="40">
        <f t="shared" si="26"/>
        <v>1</v>
      </c>
      <c r="AC164" s="40">
        <f t="shared" ca="1" si="29"/>
        <v>1</v>
      </c>
      <c r="AD164" s="41">
        <f t="shared" ca="1" si="30"/>
        <v>0</v>
      </c>
      <c r="AE164" s="181" t="str">
        <f t="shared" ca="1" si="31"/>
        <v/>
      </c>
      <c r="AF164" s="42" t="str">
        <f t="shared" si="27"/>
        <v>SI</v>
      </c>
      <c r="AG164" s="42"/>
      <c r="AH164" s="152" t="s">
        <v>1255</v>
      </c>
      <c r="AI164" s="152" t="s">
        <v>1968</v>
      </c>
      <c r="AJ164" s="152"/>
      <c r="AL164" s="153"/>
      <c r="AM164" s="152" t="s">
        <v>901</v>
      </c>
      <c r="AN164" s="161" t="str">
        <f t="shared" ca="1" si="32"/>
        <v>TERMINO</v>
      </c>
      <c r="AO164" s="160" t="s">
        <v>582</v>
      </c>
      <c r="AP164" s="155" t="s">
        <v>391</v>
      </c>
      <c r="AQ164" s="819" t="str">
        <f>IFERROR(VLOOKUP(E164,'liquidaciones '!$B$2:$C$1048576,2,0),"NO")</f>
        <v>LIQUIDADO</v>
      </c>
      <c r="AR164" s="909">
        <f>IFERROR(VLOOKUP(E164,'liquidaciones '!$B$2:$I$1048576,8,0),"")</f>
        <v>0</v>
      </c>
      <c r="AS164" s="312">
        <v>41919</v>
      </c>
      <c r="AT164" s="156" t="str">
        <f t="shared" ca="1" si="33"/>
        <v>NO</v>
      </c>
      <c r="AU164" s="156" t="s">
        <v>1164</v>
      </c>
      <c r="AV164" s="406"/>
      <c r="AW164" s="928"/>
      <c r="AX164" s="928"/>
      <c r="AY164" s="928"/>
    </row>
    <row r="165" spans="2:51" ht="47.25" customHeight="1" x14ac:dyDescent="0.3">
      <c r="B165" s="14">
        <v>159</v>
      </c>
      <c r="C165" s="410"/>
      <c r="D165" s="410" t="str">
        <f t="shared" si="23"/>
        <v>2013</v>
      </c>
      <c r="E165" s="120" t="s">
        <v>242</v>
      </c>
      <c r="F165" s="120" t="s">
        <v>235</v>
      </c>
      <c r="G165" s="1046">
        <v>830110570</v>
      </c>
      <c r="H165" s="957" t="s">
        <v>500</v>
      </c>
      <c r="I165" s="126">
        <v>3017160</v>
      </c>
      <c r="J165" s="821" t="s">
        <v>4583</v>
      </c>
      <c r="K165" s="139">
        <v>2013</v>
      </c>
      <c r="L165" s="519" t="s">
        <v>1087</v>
      </c>
      <c r="M165" s="124">
        <v>41662</v>
      </c>
      <c r="N165" s="124">
        <v>41751</v>
      </c>
      <c r="O165" s="1099" t="str">
        <f>IF(+Modificaciones!I165=0,"",VLOOKUP(E165,Modificaciones!$B$7:$I$2400,8,0))</f>
        <v/>
      </c>
      <c r="P165" s="115">
        <f>COUNTA(Modificaciones!J165,Modificaciones!L165,Modificaciones!N165,Modificaciones!P165)</f>
        <v>0</v>
      </c>
      <c r="Q165" s="116">
        <f>VLOOKUP(E165,Modificaciones!$B$7:$R$300,17,0)</f>
        <v>0</v>
      </c>
      <c r="R165" s="117">
        <f>COUNTA(Modificaciones!T165,Modificaciones!V165,Modificaciones!X165,Modificaciones!Z165)</f>
        <v>0</v>
      </c>
      <c r="S165" s="118" t="str">
        <f>IF(Modificaciones!AA165=0,"",VLOOKUP(E165,Modificaciones!$B$7:$AA$400,26,0))</f>
        <v/>
      </c>
      <c r="T165" s="119" t="str">
        <f>IF(Modificaciones!AB165=0,"",VLOOKUP(E165,Modificaciones!$B$7:$AB$400,27,0))</f>
        <v/>
      </c>
      <c r="U165" s="1080" t="str">
        <f>+Modificaciones!AC165</f>
        <v/>
      </c>
      <c r="V165" s="825" t="str">
        <f>+Modificaciones!AK165</f>
        <v/>
      </c>
      <c r="W165" s="825">
        <f t="shared" si="28"/>
        <v>41751</v>
      </c>
      <c r="X165" s="59">
        <f t="shared" si="24"/>
        <v>3017160</v>
      </c>
      <c r="Y165" s="151">
        <f>VLOOKUP(E165,Modificaciones!$B$7:$BE$300,56,0)</f>
        <v>3017160</v>
      </c>
      <c r="Z165" s="84">
        <f t="shared" si="25"/>
        <v>0</v>
      </c>
      <c r="AA165" s="283" t="s">
        <v>1894</v>
      </c>
      <c r="AB165" s="40">
        <f t="shared" si="26"/>
        <v>1</v>
      </c>
      <c r="AC165" s="40">
        <f t="shared" ca="1" si="29"/>
        <v>1</v>
      </c>
      <c r="AD165" s="41">
        <f t="shared" ca="1" si="30"/>
        <v>0</v>
      </c>
      <c r="AE165" s="181" t="str">
        <f t="shared" ca="1" si="31"/>
        <v/>
      </c>
      <c r="AF165" s="42" t="str">
        <f t="shared" si="27"/>
        <v>SI</v>
      </c>
      <c r="AG165" s="42"/>
      <c r="AH165" s="152" t="s">
        <v>1256</v>
      </c>
      <c r="AI165" s="152" t="s">
        <v>1499</v>
      </c>
      <c r="AJ165" s="152" t="s">
        <v>1438</v>
      </c>
      <c r="AK165" s="255" t="s">
        <v>560</v>
      </c>
      <c r="AL165" s="153"/>
      <c r="AM165" s="152" t="s">
        <v>902</v>
      </c>
      <c r="AN165" s="161" t="str">
        <f t="shared" ca="1" si="32"/>
        <v>TERMINO</v>
      </c>
      <c r="AO165" s="160" t="s">
        <v>576</v>
      </c>
      <c r="AP165" s="155" t="s">
        <v>390</v>
      </c>
      <c r="AQ165" s="819" t="str">
        <f>IFERROR(VLOOKUP(E165,'liquidaciones '!$B$2:$C$1048576,2,0),"NO")</f>
        <v>LIQUIDADO</v>
      </c>
      <c r="AR165" s="909" t="str">
        <f>IFERROR(VLOOKUP(E165,'liquidaciones '!$B$2:$I$1048576,8,0),"")</f>
        <v>JUAN DIEGO ESPITIA</v>
      </c>
      <c r="AS165" s="314">
        <v>41760</v>
      </c>
      <c r="AT165" s="156" t="str">
        <f t="shared" ca="1" si="33"/>
        <v>NO</v>
      </c>
      <c r="AU165" s="156" t="s">
        <v>981</v>
      </c>
      <c r="AV165" s="406"/>
      <c r="AW165" s="928"/>
      <c r="AX165" s="928"/>
      <c r="AY165" s="928"/>
    </row>
    <row r="166" spans="2:51" ht="47.25" customHeight="1" x14ac:dyDescent="0.3">
      <c r="B166" s="14">
        <v>160</v>
      </c>
      <c r="C166" s="410"/>
      <c r="D166" s="410" t="str">
        <f t="shared" si="23"/>
        <v>2013</v>
      </c>
      <c r="E166" s="120" t="s">
        <v>240</v>
      </c>
      <c r="F166" s="120" t="s">
        <v>290</v>
      </c>
      <c r="G166" s="1046">
        <v>811021363</v>
      </c>
      <c r="H166" s="957" t="s">
        <v>501</v>
      </c>
      <c r="I166" s="126">
        <v>60000000</v>
      </c>
      <c r="J166" s="821" t="s">
        <v>5688</v>
      </c>
      <c r="K166" s="139">
        <v>2013</v>
      </c>
      <c r="L166" s="519" t="s">
        <v>1087</v>
      </c>
      <c r="M166" s="124">
        <v>41655</v>
      </c>
      <c r="N166" s="124">
        <v>42019</v>
      </c>
      <c r="O166" s="1099" t="str">
        <f>IF(+Modificaciones!I166=0,"",VLOOKUP(E166,Modificaciones!$B$7:$I$2400,8,0))</f>
        <v/>
      </c>
      <c r="P166" s="115">
        <f>COUNTA(Modificaciones!J166,Modificaciones!L166,Modificaciones!N166,Modificaciones!P166)</f>
        <v>1</v>
      </c>
      <c r="Q166" s="116">
        <f>VLOOKUP(E166,Modificaciones!$B$7:$R$300,17,0)</f>
        <v>30000000</v>
      </c>
      <c r="R166" s="117">
        <f>COUNTA(Modificaciones!T166,Modificaciones!V166,Modificaciones!X166,Modificaciones!Z166)</f>
        <v>0</v>
      </c>
      <c r="S166" s="118" t="str">
        <f>IF(Modificaciones!AA166=0,"",VLOOKUP(E166,Modificaciones!$B$7:$AA$400,26,0))</f>
        <v/>
      </c>
      <c r="T166" s="119" t="str">
        <f>IF(Modificaciones!AB166=0,"",VLOOKUP(E166,Modificaciones!$B$7:$AB$400,27,0))</f>
        <v/>
      </c>
      <c r="U166" s="1080" t="str">
        <f>+Modificaciones!AC166</f>
        <v/>
      </c>
      <c r="V166" s="825" t="str">
        <f>+Modificaciones!AK166</f>
        <v/>
      </c>
      <c r="W166" s="825">
        <f t="shared" si="28"/>
        <v>42019</v>
      </c>
      <c r="X166" s="59">
        <f t="shared" si="24"/>
        <v>90000000</v>
      </c>
      <c r="Y166" s="151">
        <f>VLOOKUP(E166,Modificaciones!$B$7:$BE$300,56,0)</f>
        <v>42574877.200000003</v>
      </c>
      <c r="Z166" s="84">
        <f t="shared" si="25"/>
        <v>47425122.799999997</v>
      </c>
      <c r="AA166" s="286" t="s">
        <v>1412</v>
      </c>
      <c r="AB166" s="40">
        <f t="shared" si="26"/>
        <v>0.47305419111111113</v>
      </c>
      <c r="AC166" s="40">
        <f t="shared" ca="1" si="29"/>
        <v>1</v>
      </c>
      <c r="AD166" s="41">
        <f t="shared" ca="1" si="30"/>
        <v>0.52694580888888887</v>
      </c>
      <c r="AE166" s="181" t="str">
        <f t="shared" ca="1" si="31"/>
        <v/>
      </c>
      <c r="AF166" s="42" t="str">
        <f t="shared" si="27"/>
        <v>NO</v>
      </c>
      <c r="AG166" s="42"/>
      <c r="AH166" s="152" t="s">
        <v>1256</v>
      </c>
      <c r="AI166" s="275" t="s">
        <v>1390</v>
      </c>
      <c r="AJ166" s="152" t="s">
        <v>1441</v>
      </c>
      <c r="AK166" s="255" t="s">
        <v>560</v>
      </c>
      <c r="AL166" s="153" t="s">
        <v>1508</v>
      </c>
      <c r="AM166" s="152" t="s">
        <v>901</v>
      </c>
      <c r="AN166" s="161" t="str">
        <f t="shared" ca="1" si="32"/>
        <v>TERMINO</v>
      </c>
      <c r="AO166" s="152" t="s">
        <v>575</v>
      </c>
      <c r="AP166" s="155" t="s">
        <v>390</v>
      </c>
      <c r="AQ166" s="819" t="str">
        <f>IFERROR(VLOOKUP(E166,'liquidaciones '!$B$2:$C$1048576,2,0),"NO")</f>
        <v>LIQUIDADO</v>
      </c>
      <c r="AR166" s="909">
        <f>IFERROR(VLOOKUP(E166,'liquidaciones '!$B$2:$I$1048576,8,0),"")</f>
        <v>0</v>
      </c>
      <c r="AS166" s="312"/>
      <c r="AT166" s="156" t="str">
        <f t="shared" ca="1" si="33"/>
        <v>NO</v>
      </c>
      <c r="AU166" s="156" t="s">
        <v>1991</v>
      </c>
      <c r="AV166" s="406"/>
      <c r="AW166" s="928"/>
      <c r="AX166" s="928"/>
      <c r="AY166" s="928"/>
    </row>
    <row r="167" spans="2:51" ht="47.25" customHeight="1" x14ac:dyDescent="0.3">
      <c r="B167" s="14">
        <v>161</v>
      </c>
      <c r="C167" s="410"/>
      <c r="D167" s="410" t="str">
        <f t="shared" si="23"/>
        <v>2013</v>
      </c>
      <c r="E167" s="120" t="s">
        <v>229</v>
      </c>
      <c r="F167" s="120" t="s">
        <v>1042</v>
      </c>
      <c r="G167" s="1046">
        <v>72167924</v>
      </c>
      <c r="H167" s="957" t="s">
        <v>498</v>
      </c>
      <c r="I167" s="126">
        <v>5000000</v>
      </c>
      <c r="J167" s="821" t="s">
        <v>4288</v>
      </c>
      <c r="K167" s="139">
        <v>2013</v>
      </c>
      <c r="L167" s="519" t="s">
        <v>1087</v>
      </c>
      <c r="M167" s="124">
        <v>41634</v>
      </c>
      <c r="N167" s="124">
        <v>41664</v>
      </c>
      <c r="O167" s="1099" t="str">
        <f>IF(+Modificaciones!I167=0,"",VLOOKUP(E167,Modificaciones!$B$7:$I$2400,8,0))</f>
        <v/>
      </c>
      <c r="P167" s="115">
        <f>COUNTA(Modificaciones!J167,Modificaciones!L167,Modificaciones!N167,Modificaciones!P167)</f>
        <v>0</v>
      </c>
      <c r="Q167" s="116">
        <f>VLOOKUP(E167,Modificaciones!$B$7:$R$300,17,0)</f>
        <v>0</v>
      </c>
      <c r="R167" s="117">
        <f>COUNTA(Modificaciones!T167,Modificaciones!V167,Modificaciones!X167,Modificaciones!Z167)</f>
        <v>0</v>
      </c>
      <c r="S167" s="118" t="str">
        <f>IF(Modificaciones!AA167=0,"",VLOOKUP(E167,Modificaciones!$B$7:$AA$400,26,0))</f>
        <v/>
      </c>
      <c r="T167" s="119" t="str">
        <f>IF(Modificaciones!AB167=0,"",VLOOKUP(E167,Modificaciones!$B$7:$AB$400,27,0))</f>
        <v/>
      </c>
      <c r="U167" s="1080" t="str">
        <f>+Modificaciones!AC167</f>
        <v/>
      </c>
      <c r="V167" s="825" t="str">
        <f>+Modificaciones!AK167</f>
        <v/>
      </c>
      <c r="W167" s="825">
        <f t="shared" si="28"/>
        <v>41664</v>
      </c>
      <c r="X167" s="59">
        <f t="shared" si="24"/>
        <v>5000000</v>
      </c>
      <c r="Y167" s="151">
        <f>VLOOKUP(E167,Modificaciones!$B$7:$BE$300,56,0)</f>
        <v>5000000</v>
      </c>
      <c r="Z167" s="84">
        <f t="shared" si="25"/>
        <v>0</v>
      </c>
      <c r="AA167" s="286" t="s">
        <v>1403</v>
      </c>
      <c r="AB167" s="40">
        <f t="shared" si="26"/>
        <v>1</v>
      </c>
      <c r="AC167" s="40">
        <f t="shared" ca="1" si="29"/>
        <v>1</v>
      </c>
      <c r="AD167" s="41">
        <f t="shared" ca="1" si="30"/>
        <v>0</v>
      </c>
      <c r="AE167" s="181" t="str">
        <f t="shared" ca="1" si="31"/>
        <v/>
      </c>
      <c r="AF167" s="42" t="str">
        <f t="shared" si="27"/>
        <v>SI</v>
      </c>
      <c r="AG167" s="42"/>
      <c r="AH167" s="152" t="s">
        <v>1255</v>
      </c>
      <c r="AI167" s="152" t="s">
        <v>1968</v>
      </c>
      <c r="AJ167" s="152"/>
      <c r="AL167" s="153"/>
      <c r="AM167" s="152" t="s">
        <v>901</v>
      </c>
      <c r="AN167" s="161" t="str">
        <f t="shared" ca="1" si="32"/>
        <v>TERMINO</v>
      </c>
      <c r="AO167" s="160" t="s">
        <v>582</v>
      </c>
      <c r="AP167" s="155" t="s">
        <v>391</v>
      </c>
      <c r="AQ167" s="819" t="str">
        <f>IFERROR(VLOOKUP(E167,'liquidaciones '!$B$2:$C$1048576,2,0),"NO")</f>
        <v>LIQUIDADO</v>
      </c>
      <c r="AR167" s="909">
        <f>IFERROR(VLOOKUP(E167,'liquidaciones '!$B$2:$I$1048576,8,0),"")</f>
        <v>0</v>
      </c>
      <c r="AS167" s="312">
        <v>41919</v>
      </c>
      <c r="AT167" s="156" t="str">
        <f t="shared" ca="1" si="33"/>
        <v>NO</v>
      </c>
      <c r="AU167" s="156" t="s">
        <v>1164</v>
      </c>
      <c r="AV167" s="406"/>
      <c r="AW167" s="928"/>
      <c r="AX167" s="928"/>
      <c r="AY167" s="928"/>
    </row>
    <row r="168" spans="2:51" ht="47.25" customHeight="1" x14ac:dyDescent="0.3">
      <c r="B168" s="14">
        <v>162</v>
      </c>
      <c r="C168" s="410"/>
      <c r="D168" s="410" t="str">
        <f t="shared" si="23"/>
        <v>2013</v>
      </c>
      <c r="E168" s="120" t="s">
        <v>239</v>
      </c>
      <c r="F168" s="120" t="s">
        <v>152</v>
      </c>
      <c r="G168" s="1046">
        <v>800015583</v>
      </c>
      <c r="H168" s="957" t="s">
        <v>502</v>
      </c>
      <c r="I168" s="126">
        <v>3743343</v>
      </c>
      <c r="J168" s="821" t="s">
        <v>4679</v>
      </c>
      <c r="K168" s="139">
        <v>2013</v>
      </c>
      <c r="L168" s="519" t="s">
        <v>1087</v>
      </c>
      <c r="M168" s="124">
        <v>41662</v>
      </c>
      <c r="N168" s="124">
        <v>41754</v>
      </c>
      <c r="O168" s="1099" t="str">
        <f>IF(+Modificaciones!I168=0,"",VLOOKUP(E168,Modificaciones!$B$7:$I$2400,8,0))</f>
        <v/>
      </c>
      <c r="P168" s="115">
        <f>COUNTA(Modificaciones!J168,Modificaciones!L168,Modificaciones!N168,Modificaciones!P168)</f>
        <v>0</v>
      </c>
      <c r="Q168" s="116">
        <f>VLOOKUP(E168,Modificaciones!$B$7:$R$300,17,0)</f>
        <v>0</v>
      </c>
      <c r="R168" s="117">
        <f>COUNTA(Modificaciones!T168,Modificaciones!V168,Modificaciones!X168,Modificaciones!Z168)</f>
        <v>0</v>
      </c>
      <c r="S168" s="118" t="str">
        <f>IF(Modificaciones!AA168=0,"",VLOOKUP(E168,Modificaciones!$B$7:$AA$400,26,0))</f>
        <v/>
      </c>
      <c r="T168" s="119" t="str">
        <f>IF(Modificaciones!AB168=0,"",VLOOKUP(E168,Modificaciones!$B$7:$AB$400,27,0))</f>
        <v/>
      </c>
      <c r="U168" s="1080" t="str">
        <f>+Modificaciones!AC168</f>
        <v/>
      </c>
      <c r="V168" s="825" t="str">
        <f>+Modificaciones!AK168</f>
        <v/>
      </c>
      <c r="W168" s="825">
        <f t="shared" si="28"/>
        <v>41754</v>
      </c>
      <c r="X168" s="59">
        <f t="shared" si="24"/>
        <v>3743343</v>
      </c>
      <c r="Y168" s="151">
        <f>VLOOKUP(E168,Modificaciones!$B$7:$BE$300,56,0)</f>
        <v>3743343</v>
      </c>
      <c r="Z168" s="84">
        <f t="shared" si="25"/>
        <v>0</v>
      </c>
      <c r="AA168" s="283" t="s">
        <v>1894</v>
      </c>
      <c r="AB168" s="40">
        <f t="shared" si="26"/>
        <v>1</v>
      </c>
      <c r="AC168" s="40">
        <f t="shared" ca="1" si="29"/>
        <v>1</v>
      </c>
      <c r="AD168" s="41">
        <f t="shared" ca="1" si="30"/>
        <v>0</v>
      </c>
      <c r="AE168" s="181" t="str">
        <f t="shared" ca="1" si="31"/>
        <v/>
      </c>
      <c r="AF168" s="42" t="str">
        <f t="shared" si="27"/>
        <v>SI</v>
      </c>
      <c r="AG168" s="42"/>
      <c r="AH168" s="152" t="s">
        <v>1256</v>
      </c>
      <c r="AI168" s="152" t="s">
        <v>1292</v>
      </c>
      <c r="AJ168" s="152"/>
      <c r="AL168" s="153" t="s">
        <v>1508</v>
      </c>
      <c r="AM168" s="152" t="s">
        <v>902</v>
      </c>
      <c r="AN168" s="161" t="str">
        <f t="shared" ca="1" si="32"/>
        <v>TERMINO</v>
      </c>
      <c r="AO168" s="160" t="s">
        <v>576</v>
      </c>
      <c r="AP168" s="155" t="s">
        <v>391</v>
      </c>
      <c r="AQ168" s="819" t="str">
        <f>IFERROR(VLOOKUP(E168,'liquidaciones '!$B$2:$C$1048576,2,0),"NO")</f>
        <v>LIQUIDADO</v>
      </c>
      <c r="AR168" s="909">
        <f>IFERROR(VLOOKUP(E168,'liquidaciones '!$B$2:$I$1048576,8,0),"")</f>
        <v>0</v>
      </c>
      <c r="AS168" s="312"/>
      <c r="AT168" s="156" t="str">
        <f t="shared" ca="1" si="33"/>
        <v>NO</v>
      </c>
      <c r="AU168" s="156" t="s">
        <v>1991</v>
      </c>
      <c r="AV168" s="406"/>
      <c r="AW168" s="928"/>
      <c r="AX168" s="928"/>
      <c r="AY168" s="928"/>
    </row>
    <row r="169" spans="2:51" ht="47.25" customHeight="1" x14ac:dyDescent="0.3">
      <c r="B169" s="14">
        <v>163</v>
      </c>
      <c r="C169" s="410"/>
      <c r="D169" s="410" t="str">
        <f t="shared" si="23"/>
        <v>2013</v>
      </c>
      <c r="E169" s="120" t="s">
        <v>405</v>
      </c>
      <c r="F169" s="120" t="s">
        <v>238</v>
      </c>
      <c r="G169" s="1046">
        <v>52374136</v>
      </c>
      <c r="H169" s="957" t="s">
        <v>503</v>
      </c>
      <c r="I169" s="126">
        <v>1620000</v>
      </c>
      <c r="J169" s="821" t="s">
        <v>5266</v>
      </c>
      <c r="K169" s="139">
        <v>2013</v>
      </c>
      <c r="L169" s="519" t="s">
        <v>1087</v>
      </c>
      <c r="M169" s="124">
        <v>41662</v>
      </c>
      <c r="N169" s="124">
        <v>42026</v>
      </c>
      <c r="O169" s="1099" t="str">
        <f>IF(+Modificaciones!I169=0,"",VLOOKUP(E169,Modificaciones!$B$7:$I$2400,8,0))</f>
        <v/>
      </c>
      <c r="P169" s="115">
        <f>COUNTA(Modificaciones!J169,Modificaciones!L169,Modificaciones!N169,Modificaciones!P169)</f>
        <v>0</v>
      </c>
      <c r="Q169" s="116">
        <f>VLOOKUP(E169,Modificaciones!$B$7:$R$300,17,0)</f>
        <v>0</v>
      </c>
      <c r="R169" s="117">
        <f>COUNTA(Modificaciones!T169,Modificaciones!V169,Modificaciones!X169,Modificaciones!Z169)</f>
        <v>0</v>
      </c>
      <c r="S169" s="118" t="str">
        <f>IF(Modificaciones!AA169=0,"",VLOOKUP(E169,Modificaciones!$B$7:$AA$400,26,0))</f>
        <v/>
      </c>
      <c r="T169" s="119" t="str">
        <f>IF(Modificaciones!AB169=0,"",VLOOKUP(E169,Modificaciones!$B$7:$AB$400,27,0))</f>
        <v/>
      </c>
      <c r="U169" s="1080" t="str">
        <f>+Modificaciones!AC169</f>
        <v/>
      </c>
      <c r="V169" s="825" t="str">
        <f>+Modificaciones!AK169</f>
        <v/>
      </c>
      <c r="W169" s="825">
        <f t="shared" si="28"/>
        <v>42026</v>
      </c>
      <c r="X169" s="59">
        <f t="shared" si="24"/>
        <v>1620000</v>
      </c>
      <c r="Y169" s="151">
        <f>VLOOKUP(E169,Modificaciones!$B$7:$BE$300,56,0)</f>
        <v>354000</v>
      </c>
      <c r="Z169" s="84">
        <f t="shared" si="25"/>
        <v>1266000</v>
      </c>
      <c r="AA169" s="286" t="s">
        <v>1413</v>
      </c>
      <c r="AB169" s="40">
        <f t="shared" si="26"/>
        <v>0.21851851851851853</v>
      </c>
      <c r="AC169" s="40">
        <f t="shared" ca="1" si="29"/>
        <v>1</v>
      </c>
      <c r="AD169" s="41">
        <f t="shared" ca="1" si="30"/>
        <v>0.78148148148148144</v>
      </c>
      <c r="AE169" s="181" t="str">
        <f t="shared" ca="1" si="31"/>
        <v/>
      </c>
      <c r="AF169" s="42" t="str">
        <f t="shared" si="27"/>
        <v>NO</v>
      </c>
      <c r="AG169" s="42"/>
      <c r="AH169" s="152" t="s">
        <v>1256</v>
      </c>
      <c r="AI169" s="275" t="s">
        <v>1168</v>
      </c>
      <c r="AJ169" s="152" t="s">
        <v>1441</v>
      </c>
      <c r="AK169" s="255" t="s">
        <v>560</v>
      </c>
      <c r="AL169" s="153" t="s">
        <v>1379</v>
      </c>
      <c r="AM169" s="152" t="s">
        <v>902</v>
      </c>
      <c r="AN169" s="161" t="str">
        <f t="shared" ca="1" si="32"/>
        <v>TERMINO</v>
      </c>
      <c r="AO169" s="160" t="s">
        <v>576</v>
      </c>
      <c r="AP169" s="155" t="s">
        <v>390</v>
      </c>
      <c r="AQ169" s="819" t="str">
        <f>IFERROR(VLOOKUP(E169,'liquidaciones '!$B$2:$C$1048576,2,0),"NO")</f>
        <v>LIQUIDADO</v>
      </c>
      <c r="AR169" s="909">
        <f>IFERROR(VLOOKUP(E169,'liquidaciones '!$B$2:$I$1048576,8,0),"")</f>
        <v>0</v>
      </c>
      <c r="AS169" s="312">
        <v>41926</v>
      </c>
      <c r="AT169" s="156" t="str">
        <f t="shared" ca="1" si="33"/>
        <v>NO</v>
      </c>
      <c r="AU169" s="156" t="s">
        <v>981</v>
      </c>
      <c r="AV169" s="406"/>
      <c r="AW169" s="928"/>
      <c r="AX169" s="928"/>
      <c r="AY169" s="928"/>
    </row>
    <row r="170" spans="2:51" ht="47.25" customHeight="1" x14ac:dyDescent="0.3">
      <c r="B170" s="14">
        <v>164</v>
      </c>
      <c r="C170" s="410"/>
      <c r="D170" s="410" t="str">
        <f t="shared" si="23"/>
        <v>2013</v>
      </c>
      <c r="E170" s="120" t="s">
        <v>236</v>
      </c>
      <c r="F170" s="120" t="s">
        <v>186</v>
      </c>
      <c r="G170" s="1046">
        <v>800039398</v>
      </c>
      <c r="H170" s="957" t="s">
        <v>504</v>
      </c>
      <c r="I170" s="126">
        <v>32048480</v>
      </c>
      <c r="J170" s="821" t="s">
        <v>4769</v>
      </c>
      <c r="K170" s="139">
        <v>2013</v>
      </c>
      <c r="L170" s="519" t="s">
        <v>1087</v>
      </c>
      <c r="M170" s="124">
        <v>41655</v>
      </c>
      <c r="N170" s="124">
        <v>41713</v>
      </c>
      <c r="O170" s="1099" t="str">
        <f>IF(+Modificaciones!I170=0,"",VLOOKUP(E170,Modificaciones!$B$7:$I$2400,8,0))</f>
        <v/>
      </c>
      <c r="P170" s="115">
        <f>COUNTA(Modificaciones!J170,Modificaciones!L170,Modificaciones!N170,Modificaciones!P170)</f>
        <v>0</v>
      </c>
      <c r="Q170" s="116">
        <f>VLOOKUP(E170,Modificaciones!$B$7:$R$300,17,0)</f>
        <v>0</v>
      </c>
      <c r="R170" s="117">
        <f>COUNTA(Modificaciones!T170,Modificaciones!V170,Modificaciones!X170,Modificaciones!Z170)</f>
        <v>0</v>
      </c>
      <c r="S170" s="118" t="str">
        <f>IF(Modificaciones!AA170=0,"",VLOOKUP(E170,Modificaciones!$B$7:$AA$400,26,0))</f>
        <v/>
      </c>
      <c r="T170" s="119" t="str">
        <f>IF(Modificaciones!AB170=0,"",VLOOKUP(E170,Modificaciones!$B$7:$AB$400,27,0))</f>
        <v/>
      </c>
      <c r="U170" s="1080" t="str">
        <f>+Modificaciones!AC170</f>
        <v/>
      </c>
      <c r="V170" s="825" t="str">
        <f>+Modificaciones!AK170</f>
        <v/>
      </c>
      <c r="W170" s="825">
        <f t="shared" si="28"/>
        <v>41713</v>
      </c>
      <c r="X170" s="59">
        <f t="shared" si="24"/>
        <v>32048480</v>
      </c>
      <c r="Y170" s="151">
        <f>VLOOKUP(E170,Modificaciones!$B$7:$BE$300,56,0)</f>
        <v>32048480</v>
      </c>
      <c r="Z170" s="84">
        <f t="shared" si="25"/>
        <v>0</v>
      </c>
      <c r="AA170" s="286" t="s">
        <v>1414</v>
      </c>
      <c r="AB170" s="40">
        <f t="shared" si="26"/>
        <v>1</v>
      </c>
      <c r="AC170" s="40">
        <f t="shared" ca="1" si="29"/>
        <v>1</v>
      </c>
      <c r="AD170" s="41">
        <f t="shared" ca="1" si="30"/>
        <v>0</v>
      </c>
      <c r="AE170" s="181" t="str">
        <f t="shared" ca="1" si="31"/>
        <v/>
      </c>
      <c r="AF170" s="42" t="str">
        <f t="shared" si="27"/>
        <v>SI</v>
      </c>
      <c r="AG170" s="42"/>
      <c r="AH170" s="152" t="s">
        <v>1256</v>
      </c>
      <c r="AI170" s="152" t="s">
        <v>1309</v>
      </c>
      <c r="AJ170" s="152" t="s">
        <v>1438</v>
      </c>
      <c r="AK170" s="255" t="s">
        <v>560</v>
      </c>
      <c r="AL170" s="153"/>
      <c r="AM170" s="152" t="s">
        <v>901</v>
      </c>
      <c r="AN170" s="161" t="str">
        <f t="shared" ca="1" si="32"/>
        <v>TERMINO</v>
      </c>
      <c r="AO170" s="160" t="s">
        <v>576</v>
      </c>
      <c r="AP170" s="155" t="s">
        <v>390</v>
      </c>
      <c r="AQ170" s="819" t="str">
        <f>IFERROR(VLOOKUP(E170,'liquidaciones '!$B$2:$C$1048576,2,0),"NO")</f>
        <v>NO</v>
      </c>
      <c r="AR170" s="909" t="str">
        <f>IFERROR(VLOOKUP(E170,'liquidaciones '!$B$2:$I$1048576,8,0),"")</f>
        <v/>
      </c>
      <c r="AS170" s="312"/>
      <c r="AT170" s="156" t="str">
        <f t="shared" ca="1" si="33"/>
        <v>NO</v>
      </c>
      <c r="AU170" s="156" t="s">
        <v>983</v>
      </c>
      <c r="AV170" s="406"/>
      <c r="AW170" s="928"/>
      <c r="AX170" s="928"/>
      <c r="AY170" s="928"/>
    </row>
    <row r="171" spans="2:51" ht="47.25" customHeight="1" x14ac:dyDescent="0.3">
      <c r="B171" s="14">
        <v>165</v>
      </c>
      <c r="C171" s="410"/>
      <c r="D171" s="410" t="str">
        <f t="shared" si="23"/>
        <v>2013</v>
      </c>
      <c r="E171" s="120" t="s">
        <v>241</v>
      </c>
      <c r="F171" s="120" t="s">
        <v>1043</v>
      </c>
      <c r="G171" s="1046">
        <v>830093579</v>
      </c>
      <c r="H171" s="957" t="s">
        <v>505</v>
      </c>
      <c r="I171" s="126">
        <v>3480000</v>
      </c>
      <c r="J171" s="821" t="s">
        <v>4577</v>
      </c>
      <c r="K171" s="139">
        <v>2013</v>
      </c>
      <c r="L171" s="519" t="s">
        <v>1087</v>
      </c>
      <c r="M171" s="124">
        <v>41662</v>
      </c>
      <c r="N171" s="124">
        <v>41720</v>
      </c>
      <c r="O171" s="1099" t="str">
        <f>IF(+Modificaciones!I171=0,"",VLOOKUP(E171,Modificaciones!$B$7:$I$2400,8,0))</f>
        <v/>
      </c>
      <c r="P171" s="115">
        <f>COUNTA(Modificaciones!J171,Modificaciones!L171,Modificaciones!N171,Modificaciones!P171)</f>
        <v>0</v>
      </c>
      <c r="Q171" s="116">
        <f>VLOOKUP(E171,Modificaciones!$B$7:$R$300,17,0)</f>
        <v>0</v>
      </c>
      <c r="R171" s="117">
        <f>COUNTA(Modificaciones!T171,Modificaciones!V171,Modificaciones!X171,Modificaciones!Z171)</f>
        <v>0</v>
      </c>
      <c r="S171" s="118" t="str">
        <f>IF(Modificaciones!AA171=0,"",VLOOKUP(E171,Modificaciones!$B$7:$AA$400,26,0))</f>
        <v/>
      </c>
      <c r="T171" s="119" t="str">
        <f>IF(Modificaciones!AB171=0,"",VLOOKUP(E171,Modificaciones!$B$7:$AB$400,27,0))</f>
        <v/>
      </c>
      <c r="U171" s="1080" t="str">
        <f>+Modificaciones!AC171</f>
        <v/>
      </c>
      <c r="V171" s="825" t="str">
        <f>+Modificaciones!AK171</f>
        <v/>
      </c>
      <c r="W171" s="825">
        <f t="shared" si="28"/>
        <v>41720</v>
      </c>
      <c r="X171" s="59">
        <f t="shared" si="24"/>
        <v>3480000</v>
      </c>
      <c r="Y171" s="151">
        <f>VLOOKUP(E171,Modificaciones!$B$7:$BE$300,56,0)</f>
        <v>3480000</v>
      </c>
      <c r="Z171" s="84">
        <f t="shared" si="25"/>
        <v>0</v>
      </c>
      <c r="AA171" s="283" t="s">
        <v>1894</v>
      </c>
      <c r="AB171" s="40">
        <f t="shared" si="26"/>
        <v>1</v>
      </c>
      <c r="AC171" s="40">
        <f t="shared" ca="1" si="29"/>
        <v>1</v>
      </c>
      <c r="AD171" s="41">
        <f t="shared" ca="1" si="30"/>
        <v>0</v>
      </c>
      <c r="AE171" s="181" t="str">
        <f t="shared" ca="1" si="31"/>
        <v/>
      </c>
      <c r="AF171" s="42" t="str">
        <f t="shared" si="27"/>
        <v>SI</v>
      </c>
      <c r="AG171" s="42"/>
      <c r="AH171" s="152" t="s">
        <v>1256</v>
      </c>
      <c r="AI171" s="152" t="s">
        <v>1310</v>
      </c>
      <c r="AJ171" s="152"/>
      <c r="AL171" s="153"/>
      <c r="AM171" s="152" t="s">
        <v>902</v>
      </c>
      <c r="AN171" s="161" t="str">
        <f t="shared" ca="1" si="32"/>
        <v>TERMINO</v>
      </c>
      <c r="AO171" s="160" t="s">
        <v>576</v>
      </c>
      <c r="AP171" s="155" t="s">
        <v>391</v>
      </c>
      <c r="AQ171" s="819" t="str">
        <f>IFERROR(VLOOKUP(E171,'liquidaciones '!$B$2:$C$1048576,2,0),"NO")</f>
        <v>NO</v>
      </c>
      <c r="AR171" s="909" t="str">
        <f>IFERROR(VLOOKUP(E171,'liquidaciones '!$B$2:$I$1048576,8,0),"")</f>
        <v/>
      </c>
      <c r="AS171" s="312"/>
      <c r="AT171" s="156" t="str">
        <f t="shared" ca="1" si="33"/>
        <v>NO</v>
      </c>
      <c r="AU171" s="156" t="s">
        <v>981</v>
      </c>
      <c r="AV171" s="406"/>
      <c r="AW171" s="928"/>
      <c r="AX171" s="928"/>
      <c r="AY171" s="928"/>
    </row>
    <row r="172" spans="2:51" ht="47.25" customHeight="1" x14ac:dyDescent="0.3">
      <c r="B172" s="14">
        <v>166</v>
      </c>
      <c r="C172" s="410"/>
      <c r="D172" s="410" t="str">
        <f t="shared" si="23"/>
        <v>2013</v>
      </c>
      <c r="E172" s="120" t="s">
        <v>237</v>
      </c>
      <c r="F172" s="120" t="s">
        <v>186</v>
      </c>
      <c r="G172" s="1047">
        <v>800039398</v>
      </c>
      <c r="H172" s="957" t="s">
        <v>506</v>
      </c>
      <c r="I172" s="126">
        <v>126308000</v>
      </c>
      <c r="J172" s="821" t="s">
        <v>4019</v>
      </c>
      <c r="K172" s="139">
        <v>2013</v>
      </c>
      <c r="L172" s="519" t="s">
        <v>1087</v>
      </c>
      <c r="M172" s="124">
        <v>41662</v>
      </c>
      <c r="N172" s="124">
        <v>41736</v>
      </c>
      <c r="O172" s="1099" t="str">
        <f>IF(+Modificaciones!I172=0,"",VLOOKUP(E172,Modificaciones!$B$7:$I$2400,8,0))</f>
        <v/>
      </c>
      <c r="P172" s="115">
        <f>COUNTA(Modificaciones!J172,Modificaciones!L172,Modificaciones!N172,Modificaciones!P172)</f>
        <v>0</v>
      </c>
      <c r="Q172" s="116">
        <f>VLOOKUP(E172,Modificaciones!$B$7:$R$300,17,0)</f>
        <v>0</v>
      </c>
      <c r="R172" s="117">
        <f>COUNTA(Modificaciones!T172,Modificaciones!V172,Modificaciones!X172,Modificaciones!Z172)</f>
        <v>0</v>
      </c>
      <c r="S172" s="118" t="str">
        <f>IF(Modificaciones!AA172=0,"",VLOOKUP(E172,Modificaciones!$B$7:$AA$400,26,0))</f>
        <v/>
      </c>
      <c r="T172" s="119" t="str">
        <f>IF(Modificaciones!AB172=0,"",VLOOKUP(E172,Modificaciones!$B$7:$AB$400,27,0))</f>
        <v/>
      </c>
      <c r="U172" s="1080" t="str">
        <f>+Modificaciones!AC172</f>
        <v/>
      </c>
      <c r="V172" s="825" t="str">
        <f>+Modificaciones!AK172</f>
        <v/>
      </c>
      <c r="W172" s="825">
        <f t="shared" si="28"/>
        <v>41736</v>
      </c>
      <c r="X172" s="59">
        <f t="shared" si="24"/>
        <v>126308000</v>
      </c>
      <c r="Y172" s="151">
        <f>VLOOKUP(E172,Modificaciones!$B$7:$BE$300,56,0)</f>
        <v>126308000</v>
      </c>
      <c r="Z172" s="84">
        <f t="shared" si="25"/>
        <v>0</v>
      </c>
      <c r="AA172" s="286" t="s">
        <v>1415</v>
      </c>
      <c r="AB172" s="40">
        <f t="shared" si="26"/>
        <v>1</v>
      </c>
      <c r="AC172" s="40">
        <f t="shared" ca="1" si="29"/>
        <v>1</v>
      </c>
      <c r="AD172" s="41">
        <f t="shared" ca="1" si="30"/>
        <v>0</v>
      </c>
      <c r="AE172" s="181" t="str">
        <f t="shared" ca="1" si="31"/>
        <v/>
      </c>
      <c r="AF172" s="42" t="str">
        <f t="shared" si="27"/>
        <v>SI</v>
      </c>
      <c r="AG172" s="42"/>
      <c r="AH172" s="152" t="s">
        <v>1256</v>
      </c>
      <c r="AI172" s="152" t="s">
        <v>1278</v>
      </c>
      <c r="AJ172" s="152" t="s">
        <v>1441</v>
      </c>
      <c r="AK172" s="255" t="s">
        <v>560</v>
      </c>
      <c r="AL172" s="153" t="s">
        <v>1379</v>
      </c>
      <c r="AM172" s="152" t="s">
        <v>902</v>
      </c>
      <c r="AN172" s="161" t="str">
        <f t="shared" ca="1" si="32"/>
        <v>TERMINO</v>
      </c>
      <c r="AO172" s="152" t="s">
        <v>575</v>
      </c>
      <c r="AP172" s="155" t="s">
        <v>390</v>
      </c>
      <c r="AQ172" s="819" t="str">
        <f>IFERROR(VLOOKUP(E172,'liquidaciones '!$B$2:$C$1048576,2,0),"NO")</f>
        <v>LIQUIDADO</v>
      </c>
      <c r="AR172" s="909">
        <f>IFERROR(VLOOKUP(E172,'liquidaciones '!$B$2:$I$1048576,8,0),"")</f>
        <v>0</v>
      </c>
      <c r="AS172" s="312">
        <v>42009</v>
      </c>
      <c r="AT172" s="156" t="str">
        <f t="shared" ca="1" si="33"/>
        <v>NO</v>
      </c>
      <c r="AU172" s="156" t="s">
        <v>1164</v>
      </c>
      <c r="AV172" s="406"/>
      <c r="AW172" s="928"/>
      <c r="AX172" s="928"/>
      <c r="AY172" s="928"/>
    </row>
    <row r="173" spans="2:51" ht="47.25" customHeight="1" x14ac:dyDescent="0.3">
      <c r="B173" s="14">
        <v>167</v>
      </c>
      <c r="C173" s="410"/>
      <c r="D173" s="410" t="str">
        <f t="shared" si="23"/>
        <v>2013</v>
      </c>
      <c r="E173" s="120" t="s">
        <v>230</v>
      </c>
      <c r="F173" s="120" t="s">
        <v>1044</v>
      </c>
      <c r="G173" s="1046">
        <v>1010168639</v>
      </c>
      <c r="H173" s="957" t="s">
        <v>507</v>
      </c>
      <c r="I173" s="126">
        <v>3500000</v>
      </c>
      <c r="J173" s="821" t="s">
        <v>4408</v>
      </c>
      <c r="K173" s="139">
        <v>2013</v>
      </c>
      <c r="L173" s="519" t="s">
        <v>1087</v>
      </c>
      <c r="M173" s="124">
        <v>41638</v>
      </c>
      <c r="N173" s="124">
        <v>41668</v>
      </c>
      <c r="O173" s="1099" t="str">
        <f>IF(+Modificaciones!I173=0,"",VLOOKUP(E173,Modificaciones!$B$7:$I$2400,8,0))</f>
        <v/>
      </c>
      <c r="P173" s="115">
        <f>COUNTA(Modificaciones!J173,Modificaciones!L173,Modificaciones!N173,Modificaciones!P173)</f>
        <v>0</v>
      </c>
      <c r="Q173" s="116">
        <f>VLOOKUP(E173,Modificaciones!$B$7:$R$300,17,0)</f>
        <v>0</v>
      </c>
      <c r="R173" s="117">
        <f>COUNTA(Modificaciones!T173,Modificaciones!V173,Modificaciones!X173,Modificaciones!Z173)</f>
        <v>0</v>
      </c>
      <c r="S173" s="118" t="str">
        <f>IF(Modificaciones!AA173=0,"",VLOOKUP(E173,Modificaciones!$B$7:$AA$400,26,0))</f>
        <v/>
      </c>
      <c r="T173" s="119" t="str">
        <f>IF(Modificaciones!AB173=0,"",VLOOKUP(E173,Modificaciones!$B$7:$AB$400,27,0))</f>
        <v/>
      </c>
      <c r="U173" s="1080" t="str">
        <f>+Modificaciones!AC173</f>
        <v/>
      </c>
      <c r="V173" s="825" t="str">
        <f>+Modificaciones!AK173</f>
        <v/>
      </c>
      <c r="W173" s="825">
        <f t="shared" si="28"/>
        <v>41668</v>
      </c>
      <c r="X173" s="59">
        <f t="shared" si="24"/>
        <v>3500000</v>
      </c>
      <c r="Y173" s="151">
        <f>VLOOKUP(E173,Modificaciones!$B$7:$BE$300,56,0)</f>
        <v>3500000</v>
      </c>
      <c r="Z173" s="84">
        <f t="shared" si="25"/>
        <v>0</v>
      </c>
      <c r="AA173" s="286" t="s">
        <v>1416</v>
      </c>
      <c r="AB173" s="40">
        <f t="shared" si="26"/>
        <v>1</v>
      </c>
      <c r="AC173" s="40">
        <f t="shared" ca="1" si="29"/>
        <v>1</v>
      </c>
      <c r="AD173" s="41">
        <f t="shared" ca="1" si="30"/>
        <v>0</v>
      </c>
      <c r="AE173" s="181" t="str">
        <f t="shared" ca="1" si="31"/>
        <v/>
      </c>
      <c r="AF173" s="42" t="str">
        <f t="shared" si="27"/>
        <v>SI</v>
      </c>
      <c r="AG173" s="42"/>
      <c r="AH173" s="152" t="s">
        <v>1255</v>
      </c>
      <c r="AI173" s="152" t="s">
        <v>1968</v>
      </c>
      <c r="AJ173" s="152"/>
      <c r="AL173" s="153"/>
      <c r="AM173" s="152" t="s">
        <v>901</v>
      </c>
      <c r="AN173" s="161" t="str">
        <f t="shared" ca="1" si="32"/>
        <v>TERMINO</v>
      </c>
      <c r="AO173" s="160" t="s">
        <v>582</v>
      </c>
      <c r="AP173" s="155" t="s">
        <v>391</v>
      </c>
      <c r="AQ173" s="819" t="str">
        <f>IFERROR(VLOOKUP(E173,'liquidaciones '!$B$2:$C$1048576,2,0),"NO")</f>
        <v>LIQUIDADO</v>
      </c>
      <c r="AR173" s="909">
        <f>IFERROR(VLOOKUP(E173,'liquidaciones '!$B$2:$I$1048576,8,0),"")</f>
        <v>0</v>
      </c>
      <c r="AS173" s="312">
        <v>41919</v>
      </c>
      <c r="AT173" s="156" t="str">
        <f t="shared" ca="1" si="33"/>
        <v>NO</v>
      </c>
      <c r="AU173" s="156" t="s">
        <v>1164</v>
      </c>
      <c r="AV173" s="406"/>
      <c r="AW173" s="928"/>
      <c r="AX173" s="928"/>
      <c r="AY173" s="928"/>
    </row>
    <row r="174" spans="2:51" ht="53.25" customHeight="1" x14ac:dyDescent="0.3">
      <c r="B174" s="14">
        <v>168</v>
      </c>
      <c r="C174" s="410"/>
      <c r="D174" s="410" t="str">
        <f t="shared" si="23"/>
        <v>2013</v>
      </c>
      <c r="E174" s="120" t="s">
        <v>243</v>
      </c>
      <c r="F174" s="120" t="s">
        <v>244</v>
      </c>
      <c r="G174" s="1046">
        <v>800058607</v>
      </c>
      <c r="H174" s="957" t="s">
        <v>508</v>
      </c>
      <c r="I174" s="126">
        <v>803432165</v>
      </c>
      <c r="J174" s="821" t="s">
        <v>4768</v>
      </c>
      <c r="K174" s="139">
        <v>2013</v>
      </c>
      <c r="L174" s="519" t="s">
        <v>1087</v>
      </c>
      <c r="M174" s="124">
        <v>41670</v>
      </c>
      <c r="N174" s="124">
        <v>41759</v>
      </c>
      <c r="O174" s="1099" t="str">
        <f>IF(+Modificaciones!I174=0,"",VLOOKUP(E174,Modificaciones!$B$7:$I$2400,8,0))</f>
        <v/>
      </c>
      <c r="P174" s="115">
        <f>COUNTA(Modificaciones!J174,Modificaciones!L174,Modificaciones!N174,Modificaciones!P174)</f>
        <v>0</v>
      </c>
      <c r="Q174" s="116">
        <f>VLOOKUP(E174,Modificaciones!$B$7:$R$300,17,0)</f>
        <v>0</v>
      </c>
      <c r="R174" s="117">
        <f>COUNTA(Modificaciones!T174,Modificaciones!V174,Modificaciones!X174,Modificaciones!Z174)</f>
        <v>1</v>
      </c>
      <c r="S174" s="118" t="str">
        <f>IF(Modificaciones!AA174=0,"",VLOOKUP(E174,Modificaciones!$B$7:$AA$400,26,0))</f>
        <v>30 días</v>
      </c>
      <c r="T174" s="119">
        <f>IF(Modificaciones!AB174=0,"",VLOOKUP(E174,Modificaciones!$B$7:$AB$400,27,0))</f>
        <v>41789</v>
      </c>
      <c r="U174" s="1080" t="str">
        <f>+Modificaciones!AC174</f>
        <v/>
      </c>
      <c r="V174" s="825" t="str">
        <f>+Modificaciones!AK174</f>
        <v/>
      </c>
      <c r="W174" s="825">
        <f t="shared" si="28"/>
        <v>41789</v>
      </c>
      <c r="X174" s="59">
        <f t="shared" si="24"/>
        <v>803432165</v>
      </c>
      <c r="Y174" s="151">
        <f>VLOOKUP(E174,Modificaciones!$B$7:$BE$300,56,0)</f>
        <v>741115935</v>
      </c>
      <c r="Z174" s="84">
        <f t="shared" si="25"/>
        <v>62316230</v>
      </c>
      <c r="AA174" s="286" t="s">
        <v>1417</v>
      </c>
      <c r="AB174" s="40">
        <f t="shared" si="26"/>
        <v>0.92243747174349189</v>
      </c>
      <c r="AC174" s="40">
        <f t="shared" ca="1" si="29"/>
        <v>1</v>
      </c>
      <c r="AD174" s="41">
        <f t="shared" ca="1" si="30"/>
        <v>7.7562528256508112E-2</v>
      </c>
      <c r="AE174" s="181" t="str">
        <f t="shared" ca="1" si="31"/>
        <v/>
      </c>
      <c r="AF174" s="42" t="str">
        <f t="shared" si="27"/>
        <v>NO</v>
      </c>
      <c r="AG174" s="42"/>
      <c r="AH174" s="152" t="s">
        <v>1256</v>
      </c>
      <c r="AI174" s="152" t="s">
        <v>1276</v>
      </c>
      <c r="AJ174" s="152" t="s">
        <v>1438</v>
      </c>
      <c r="AK174" s="255" t="s">
        <v>560</v>
      </c>
      <c r="AL174" s="153"/>
      <c r="AM174" s="152" t="s">
        <v>902</v>
      </c>
      <c r="AN174" s="161" t="str">
        <f t="shared" ca="1" si="32"/>
        <v>TERMINO</v>
      </c>
      <c r="AO174" s="152" t="s">
        <v>575</v>
      </c>
      <c r="AP174" s="155" t="s">
        <v>390</v>
      </c>
      <c r="AQ174" s="819" t="str">
        <f>IFERROR(VLOOKUP(E174,'liquidaciones '!$B$2:$C$1048576,2,0),"NO")</f>
        <v>LIQUIDADO</v>
      </c>
      <c r="AR174" s="909" t="str">
        <f>IFERROR(VLOOKUP(E174,'liquidaciones '!$B$2:$I$1048576,8,0),"")</f>
        <v>JUAN DIEGO ESPITIA</v>
      </c>
      <c r="AS174" s="312">
        <v>42192</v>
      </c>
      <c r="AT174" s="156" t="str">
        <f t="shared" ca="1" si="33"/>
        <v>NO</v>
      </c>
      <c r="AU174" s="156" t="s">
        <v>981</v>
      </c>
      <c r="AV174" s="406"/>
      <c r="AW174" s="928"/>
      <c r="AX174" s="928"/>
      <c r="AY174" s="928"/>
    </row>
    <row r="175" spans="2:51" ht="47.25" customHeight="1" x14ac:dyDescent="0.3">
      <c r="B175" s="14">
        <v>169</v>
      </c>
      <c r="C175" s="410"/>
      <c r="D175" s="410" t="str">
        <f t="shared" si="23"/>
        <v>2014</v>
      </c>
      <c r="E175" s="120" t="s">
        <v>1105</v>
      </c>
      <c r="F175" s="120" t="s">
        <v>100</v>
      </c>
      <c r="G175" s="1046">
        <v>860019063</v>
      </c>
      <c r="H175" s="957" t="s">
        <v>1051</v>
      </c>
      <c r="I175" s="126">
        <v>30000000</v>
      </c>
      <c r="J175" s="821" t="s">
        <v>2663</v>
      </c>
      <c r="K175" s="139">
        <v>2014</v>
      </c>
      <c r="L175" s="519" t="s">
        <v>1087</v>
      </c>
      <c r="M175" s="124">
        <v>41703</v>
      </c>
      <c r="N175" s="124">
        <v>42067</v>
      </c>
      <c r="O175" s="1099" t="str">
        <f>IF(+Modificaciones!I175=0,"",VLOOKUP(E175,Modificaciones!$B$7:$I$2400,8,0))</f>
        <v/>
      </c>
      <c r="P175" s="115">
        <f>COUNTA(Modificaciones!J175,Modificaciones!L175,Modificaciones!N175,Modificaciones!P175)</f>
        <v>0</v>
      </c>
      <c r="Q175" s="116">
        <f>VLOOKUP(E175,Modificaciones!$B$7:$R$300,17,0)</f>
        <v>0</v>
      </c>
      <c r="R175" s="117">
        <f>COUNTA(Modificaciones!T175,Modificaciones!V175,Modificaciones!X175,Modificaciones!Z175)</f>
        <v>1</v>
      </c>
      <c r="S175" s="118" t="str">
        <f>IF(Modificaciones!AA175=0,"",VLOOKUP(E175,Modificaciones!$B$7:$AA$400,26,0))</f>
        <v>2 meses</v>
      </c>
      <c r="T175" s="119">
        <f>IF(Modificaciones!AB175=0,"",VLOOKUP(E175,Modificaciones!$B$7:$AB$400,27,0))</f>
        <v>42129</v>
      </c>
      <c r="U175" s="1080" t="str">
        <f>+Modificaciones!AC175</f>
        <v/>
      </c>
      <c r="V175" s="825" t="str">
        <f>+Modificaciones!AK175</f>
        <v/>
      </c>
      <c r="W175" s="825">
        <f t="shared" si="28"/>
        <v>42129</v>
      </c>
      <c r="X175" s="59">
        <f t="shared" si="24"/>
        <v>30000000</v>
      </c>
      <c r="Y175" s="151">
        <f>VLOOKUP(E175,Modificaciones!$B$7:$BE$300,56,0)</f>
        <v>28330110</v>
      </c>
      <c r="Z175" s="84">
        <f t="shared" si="25"/>
        <v>1669890</v>
      </c>
      <c r="AA175" s="288" t="s">
        <v>1209</v>
      </c>
      <c r="AB175" s="40">
        <f t="shared" si="26"/>
        <v>0.94433699999999998</v>
      </c>
      <c r="AC175" s="40">
        <f t="shared" ca="1" si="29"/>
        <v>1</v>
      </c>
      <c r="AD175" s="41">
        <f t="shared" ca="1" si="30"/>
        <v>5.5663000000000018E-2</v>
      </c>
      <c r="AE175" s="181" t="str">
        <f t="shared" ca="1" si="31"/>
        <v/>
      </c>
      <c r="AF175" s="42" t="str">
        <f t="shared" si="27"/>
        <v>NO</v>
      </c>
      <c r="AG175" s="42"/>
      <c r="AH175" s="152" t="s">
        <v>1255</v>
      </c>
      <c r="AI175" s="152" t="s">
        <v>1125</v>
      </c>
      <c r="AJ175" s="152" t="s">
        <v>1441</v>
      </c>
      <c r="AK175" s="255" t="s">
        <v>560</v>
      </c>
      <c r="AL175" s="153" t="s">
        <v>1318</v>
      </c>
      <c r="AM175" s="152" t="s">
        <v>901</v>
      </c>
      <c r="AN175" s="161" t="str">
        <f t="shared" ca="1" si="32"/>
        <v>TERMINO</v>
      </c>
      <c r="AO175" s="160" t="s">
        <v>576</v>
      </c>
      <c r="AP175" s="155" t="s">
        <v>390</v>
      </c>
      <c r="AQ175" s="819" t="str">
        <f>IFERROR(VLOOKUP(E175,'liquidaciones '!$B$2:$C$1048576,2,0),"NO")</f>
        <v>LIQUIDADO</v>
      </c>
      <c r="AR175" s="909">
        <f>IFERROR(VLOOKUP(E175,'liquidaciones '!$B$2:$I$1048576,8,0),"")</f>
        <v>0</v>
      </c>
      <c r="AS175" s="312"/>
      <c r="AT175" s="156" t="str">
        <f t="shared" ca="1" si="33"/>
        <v>NO</v>
      </c>
      <c r="AU175" s="156" t="s">
        <v>1569</v>
      </c>
      <c r="AV175" s="406"/>
      <c r="AW175" s="928"/>
      <c r="AX175" s="928"/>
      <c r="AY175" s="928"/>
    </row>
    <row r="176" spans="2:51" ht="47.25" customHeight="1" x14ac:dyDescent="0.3">
      <c r="B176" s="14">
        <v>170</v>
      </c>
      <c r="C176" s="410"/>
      <c r="D176" s="410" t="str">
        <f t="shared" si="23"/>
        <v>2014</v>
      </c>
      <c r="E176" s="120" t="s">
        <v>278</v>
      </c>
      <c r="F176" s="120" t="s">
        <v>15</v>
      </c>
      <c r="G176" s="1046">
        <v>830067096</v>
      </c>
      <c r="H176" s="957" t="s">
        <v>509</v>
      </c>
      <c r="I176" s="126">
        <v>7740000</v>
      </c>
      <c r="J176" s="831">
        <v>140034</v>
      </c>
      <c r="K176" s="139">
        <v>2014</v>
      </c>
      <c r="L176" s="519" t="s">
        <v>1087</v>
      </c>
      <c r="M176" s="124">
        <v>41775</v>
      </c>
      <c r="N176" s="124">
        <v>42139</v>
      </c>
      <c r="O176" s="1099" t="str">
        <f>IF(+Modificaciones!I176=0,"",VLOOKUP(E176,Modificaciones!$B$7:$I$2400,8,0))</f>
        <v/>
      </c>
      <c r="P176" s="115">
        <f>COUNTA(Modificaciones!J176,Modificaciones!L176,Modificaciones!N176,Modificaciones!P176)</f>
        <v>0</v>
      </c>
      <c r="Q176" s="116">
        <f>VLOOKUP(E176,Modificaciones!$B$7:$R$300,17,0)</f>
        <v>0</v>
      </c>
      <c r="R176" s="117">
        <f>COUNTA(Modificaciones!T176,Modificaciones!V176,Modificaciones!X176,Modificaciones!Z176)</f>
        <v>0</v>
      </c>
      <c r="S176" s="118" t="str">
        <f>IF(Modificaciones!AA176=0,"",VLOOKUP(E176,Modificaciones!$B$7:$AA$400,26,0))</f>
        <v/>
      </c>
      <c r="T176" s="119" t="str">
        <f>IF(Modificaciones!AB176=0,"",VLOOKUP(E176,Modificaciones!$B$7:$AB$400,27,0))</f>
        <v/>
      </c>
      <c r="U176" s="1080" t="str">
        <f>+Modificaciones!AC176</f>
        <v/>
      </c>
      <c r="V176" s="825" t="str">
        <f>+Modificaciones!AK176</f>
        <v/>
      </c>
      <c r="W176" s="825">
        <f t="shared" si="28"/>
        <v>42139</v>
      </c>
      <c r="X176" s="59">
        <f t="shared" si="24"/>
        <v>7740000</v>
      </c>
      <c r="Y176" s="151">
        <f>VLOOKUP(E176,Modificaciones!$B$7:$BE$300,56,0)</f>
        <v>7740000</v>
      </c>
      <c r="Z176" s="84">
        <f t="shared" si="25"/>
        <v>0</v>
      </c>
      <c r="AA176" s="288" t="s">
        <v>1208</v>
      </c>
      <c r="AB176" s="40">
        <f t="shared" si="26"/>
        <v>1</v>
      </c>
      <c r="AC176" s="40">
        <f t="shared" ca="1" si="29"/>
        <v>1</v>
      </c>
      <c r="AD176" s="41">
        <f t="shared" ca="1" si="30"/>
        <v>0</v>
      </c>
      <c r="AE176" s="181" t="str">
        <f t="shared" ca="1" si="31"/>
        <v/>
      </c>
      <c r="AF176" s="42" t="str">
        <f t="shared" si="27"/>
        <v>SI</v>
      </c>
      <c r="AG176" s="42"/>
      <c r="AH176" s="152" t="s">
        <v>1255</v>
      </c>
      <c r="AI176" s="275" t="s">
        <v>1124</v>
      </c>
      <c r="AJ176" s="152" t="s">
        <v>1429</v>
      </c>
      <c r="AK176" s="255" t="s">
        <v>564</v>
      </c>
      <c r="AL176" s="153" t="s">
        <v>1380</v>
      </c>
      <c r="AM176" s="153" t="s">
        <v>901</v>
      </c>
      <c r="AN176" s="161" t="str">
        <f t="shared" ca="1" si="32"/>
        <v>TERMINO</v>
      </c>
      <c r="AO176" s="160" t="s">
        <v>582</v>
      </c>
      <c r="AP176" s="155" t="s">
        <v>390</v>
      </c>
      <c r="AQ176" s="819" t="str">
        <f>IFERROR(VLOOKUP(E176,'liquidaciones '!$B$2:$C$1048576,2,0),"NO")</f>
        <v>LIQUIDADO</v>
      </c>
      <c r="AR176" s="909">
        <f>IFERROR(VLOOKUP(E176,'liquidaciones '!$B$2:$I$1048576,8,0),"")</f>
        <v>0</v>
      </c>
      <c r="AS176" s="312">
        <v>42318</v>
      </c>
      <c r="AT176" s="156" t="str">
        <f t="shared" ca="1" si="33"/>
        <v>NO</v>
      </c>
      <c r="AU176" s="156" t="s">
        <v>1509</v>
      </c>
      <c r="AV176" s="406"/>
      <c r="AW176" s="928"/>
      <c r="AX176" s="928"/>
      <c r="AY176" s="928"/>
    </row>
    <row r="177" spans="1:51" ht="47.25" customHeight="1" x14ac:dyDescent="0.3">
      <c r="A177" s="14">
        <v>4</v>
      </c>
      <c r="B177" s="14">
        <v>171</v>
      </c>
      <c r="C177" s="410"/>
      <c r="D177" s="410" t="str">
        <f t="shared" si="23"/>
        <v>2014</v>
      </c>
      <c r="E177" s="120" t="s">
        <v>171</v>
      </c>
      <c r="F177" s="120" t="s">
        <v>1033</v>
      </c>
      <c r="G177" s="1046">
        <v>79887061</v>
      </c>
      <c r="H177" s="957" t="s">
        <v>510</v>
      </c>
      <c r="I177" s="126">
        <v>29819999</v>
      </c>
      <c r="J177" s="121" t="s">
        <v>1087</v>
      </c>
      <c r="K177" s="139">
        <v>2014</v>
      </c>
      <c r="L177" s="519" t="s">
        <v>1087</v>
      </c>
      <c r="M177" s="124">
        <v>41675</v>
      </c>
      <c r="N177" s="124">
        <v>42008</v>
      </c>
      <c r="O177" s="1099" t="str">
        <f>IF(+Modificaciones!I177=0,"",VLOOKUP(E177,Modificaciones!$B$7:$I$2400,8,0))</f>
        <v/>
      </c>
      <c r="P177" s="115">
        <f>COUNTA(Modificaciones!J177,Modificaciones!L177,Modificaciones!N177,Modificaciones!P177)</f>
        <v>0</v>
      </c>
      <c r="Q177" s="116">
        <f>VLOOKUP(E177,Modificaciones!$B$7:$R$300,17,0)</f>
        <v>0</v>
      </c>
      <c r="R177" s="117">
        <f>COUNTA(Modificaciones!T177,Modificaciones!V177,Modificaciones!X177,Modificaciones!Z177)</f>
        <v>0</v>
      </c>
      <c r="S177" s="118" t="str">
        <f>IF(Modificaciones!AA177=0,"",VLOOKUP(E177,Modificaciones!$B$7:$AA$400,26,0))</f>
        <v/>
      </c>
      <c r="T177" s="119" t="str">
        <f>IF(Modificaciones!AB177=0,"",VLOOKUP(E177,Modificaciones!$B$7:$AB$400,27,0))</f>
        <v/>
      </c>
      <c r="U177" s="1080" t="str">
        <f>+Modificaciones!AC177</f>
        <v/>
      </c>
      <c r="V177" s="825" t="str">
        <f>+Modificaciones!AK177</f>
        <v/>
      </c>
      <c r="W177" s="825">
        <f t="shared" si="28"/>
        <v>42008</v>
      </c>
      <c r="X177" s="59">
        <f t="shared" si="24"/>
        <v>29819999</v>
      </c>
      <c r="Y177" s="151">
        <f>VLOOKUP(E177,Modificaciones!$B$7:$BE$300,56,0)</f>
        <v>29819999</v>
      </c>
      <c r="Z177" s="84">
        <f t="shared" si="25"/>
        <v>0</v>
      </c>
      <c r="AA177" s="288" t="s">
        <v>1178</v>
      </c>
      <c r="AB177" s="40">
        <f t="shared" si="26"/>
        <v>1</v>
      </c>
      <c r="AC177" s="40">
        <f t="shared" ca="1" si="29"/>
        <v>1</v>
      </c>
      <c r="AD177" s="41">
        <f t="shared" ca="1" si="30"/>
        <v>0</v>
      </c>
      <c r="AE177" s="181" t="str">
        <f t="shared" ca="1" si="31"/>
        <v/>
      </c>
      <c r="AF177" s="42" t="str">
        <f t="shared" si="27"/>
        <v>SI</v>
      </c>
      <c r="AG177" s="42"/>
      <c r="AH177" s="152" t="s">
        <v>1255</v>
      </c>
      <c r="AI177" s="275" t="s">
        <v>1130</v>
      </c>
      <c r="AJ177" s="152" t="s">
        <v>1438</v>
      </c>
      <c r="AK177" s="255" t="s">
        <v>560</v>
      </c>
      <c r="AL177" s="153"/>
      <c r="AM177" s="153" t="s">
        <v>901</v>
      </c>
      <c r="AN177" s="161" t="str">
        <f t="shared" ca="1" si="32"/>
        <v>TERMINO</v>
      </c>
      <c r="AO177" s="160" t="s">
        <v>582</v>
      </c>
      <c r="AP177" s="155" t="s">
        <v>391</v>
      </c>
      <c r="AQ177" s="819" t="str">
        <f>IFERROR(VLOOKUP(E177,'liquidaciones '!$B$2:$C$1048576,2,0),"NO")</f>
        <v>LIQUIDADO</v>
      </c>
      <c r="AR177" s="909">
        <f>IFERROR(VLOOKUP(E177,'liquidaciones '!$B$2:$I$1048576,8,0),"")</f>
        <v>0</v>
      </c>
      <c r="AS177" s="312">
        <v>42152</v>
      </c>
      <c r="AT177" s="156" t="str">
        <f t="shared" ca="1" si="33"/>
        <v>NO</v>
      </c>
      <c r="AU177" s="156" t="s">
        <v>981</v>
      </c>
      <c r="AV177" s="406"/>
      <c r="AW177" s="928"/>
      <c r="AX177" s="928"/>
      <c r="AY177" s="928"/>
    </row>
    <row r="178" spans="1:51" ht="47.25" customHeight="1" x14ac:dyDescent="0.3">
      <c r="B178" s="14">
        <v>172</v>
      </c>
      <c r="C178" s="410"/>
      <c r="D178" s="410" t="str">
        <f t="shared" si="23"/>
        <v>2014</v>
      </c>
      <c r="E178" s="120" t="s">
        <v>252</v>
      </c>
      <c r="F178" s="120" t="s">
        <v>86</v>
      </c>
      <c r="G178" s="1046">
        <v>860001022</v>
      </c>
      <c r="H178" s="957" t="s">
        <v>511</v>
      </c>
      <c r="I178" s="126">
        <v>1197000</v>
      </c>
      <c r="J178" s="121" t="s">
        <v>1087</v>
      </c>
      <c r="K178" s="139">
        <v>2014</v>
      </c>
      <c r="L178" s="519" t="s">
        <v>1087</v>
      </c>
      <c r="M178" s="124">
        <v>41717</v>
      </c>
      <c r="N178" s="124">
        <v>42081</v>
      </c>
      <c r="O178" s="1099" t="str">
        <f>IF(+Modificaciones!I178=0,"",VLOOKUP(E178,Modificaciones!$B$7:$I$2400,8,0))</f>
        <v/>
      </c>
      <c r="P178" s="115">
        <f>COUNTA(Modificaciones!J178,Modificaciones!L178,Modificaciones!N178,Modificaciones!P178)</f>
        <v>0</v>
      </c>
      <c r="Q178" s="116">
        <f>VLOOKUP(E178,Modificaciones!$B$7:$R$300,17,0)</f>
        <v>0</v>
      </c>
      <c r="R178" s="117">
        <f>COUNTA(Modificaciones!T178,Modificaciones!V178,Modificaciones!X178,Modificaciones!Z178)</f>
        <v>0</v>
      </c>
      <c r="S178" s="118" t="str">
        <f>IF(Modificaciones!AA178=0,"",VLOOKUP(E178,Modificaciones!$B$7:$AA$400,26,0))</f>
        <v/>
      </c>
      <c r="T178" s="119" t="str">
        <f>IF(Modificaciones!AB178=0,"",VLOOKUP(E178,Modificaciones!$B$7:$AB$400,27,0))</f>
        <v/>
      </c>
      <c r="U178" s="1080" t="str">
        <f>+Modificaciones!AC178</f>
        <v/>
      </c>
      <c r="V178" s="825" t="str">
        <f>+Modificaciones!AK178</f>
        <v/>
      </c>
      <c r="W178" s="825">
        <f t="shared" si="28"/>
        <v>42081</v>
      </c>
      <c r="X178" s="59">
        <f t="shared" si="24"/>
        <v>1197000</v>
      </c>
      <c r="Y178" s="151">
        <f>VLOOKUP(E178,Modificaciones!$B$7:$BE$300,56,0)</f>
        <v>1197000</v>
      </c>
      <c r="Z178" s="84">
        <f t="shared" si="25"/>
        <v>0</v>
      </c>
      <c r="AA178" s="288" t="s">
        <v>1210</v>
      </c>
      <c r="AB178" s="40">
        <f t="shared" si="26"/>
        <v>1</v>
      </c>
      <c r="AC178" s="40">
        <f t="shared" ca="1" si="29"/>
        <v>1</v>
      </c>
      <c r="AD178" s="41">
        <f t="shared" ca="1" si="30"/>
        <v>0</v>
      </c>
      <c r="AE178" s="181" t="str">
        <f t="shared" ca="1" si="31"/>
        <v/>
      </c>
      <c r="AF178" s="42" t="str">
        <f t="shared" si="27"/>
        <v>SI</v>
      </c>
      <c r="AG178" s="42"/>
      <c r="AH178" s="152" t="s">
        <v>1255</v>
      </c>
      <c r="AI178" s="275" t="s">
        <v>1124</v>
      </c>
      <c r="AJ178" s="152" t="s">
        <v>1429</v>
      </c>
      <c r="AK178" s="255" t="s">
        <v>564</v>
      </c>
      <c r="AL178" s="153" t="s">
        <v>1380</v>
      </c>
      <c r="AM178" s="153" t="s">
        <v>901</v>
      </c>
      <c r="AN178" s="161" t="str">
        <f t="shared" ca="1" si="32"/>
        <v>TERMINO</v>
      </c>
      <c r="AO178" s="160" t="s">
        <v>582</v>
      </c>
      <c r="AP178" s="155" t="s">
        <v>390</v>
      </c>
      <c r="AQ178" s="819" t="str">
        <f>IFERROR(VLOOKUP(E178,'liquidaciones '!$B$2:$C$1048576,2,0),"NO")</f>
        <v>EN TRÁMITE</v>
      </c>
      <c r="AR178" s="909">
        <f>IFERROR(VLOOKUP(E178,'liquidaciones '!$B$2:$I$1048576,8,0),"")</f>
        <v>0</v>
      </c>
      <c r="AS178" s="312"/>
      <c r="AT178" s="156" t="str">
        <f t="shared" ca="1" si="33"/>
        <v>NO</v>
      </c>
      <c r="AU178" s="156" t="s">
        <v>1509</v>
      </c>
      <c r="AV178" s="406"/>
      <c r="AW178" s="928"/>
      <c r="AX178" s="928"/>
      <c r="AY178" s="928"/>
    </row>
    <row r="179" spans="1:51" ht="47.25" customHeight="1" x14ac:dyDescent="0.3">
      <c r="B179" s="14">
        <v>173</v>
      </c>
      <c r="C179" s="410"/>
      <c r="D179" s="410" t="str">
        <f t="shared" si="23"/>
        <v>2014</v>
      </c>
      <c r="E179" s="120" t="s">
        <v>270</v>
      </c>
      <c r="F179" s="129" t="s">
        <v>1030</v>
      </c>
      <c r="G179" s="1046">
        <v>800249557</v>
      </c>
      <c r="H179" s="958" t="s">
        <v>512</v>
      </c>
      <c r="I179" s="143">
        <v>4000000</v>
      </c>
      <c r="J179" s="821" t="s">
        <v>5276</v>
      </c>
      <c r="K179" s="139">
        <v>2014</v>
      </c>
      <c r="L179" s="519" t="s">
        <v>1087</v>
      </c>
      <c r="M179" s="133">
        <v>41739</v>
      </c>
      <c r="N179" s="133">
        <v>41891</v>
      </c>
      <c r="O179" s="1099" t="str">
        <f>IF(+Modificaciones!I179=0,"",VLOOKUP(E179,Modificaciones!$B$7:$I$2400,8,0))</f>
        <v/>
      </c>
      <c r="P179" s="115">
        <f>COUNTA(Modificaciones!J179,Modificaciones!L179,Modificaciones!N179,Modificaciones!P179)</f>
        <v>0</v>
      </c>
      <c r="Q179" s="116">
        <f>VLOOKUP(E179,Modificaciones!$B$7:$R$300,17,0)</f>
        <v>0</v>
      </c>
      <c r="R179" s="117">
        <f>COUNTA(Modificaciones!T179,Modificaciones!V179,Modificaciones!X179,Modificaciones!Z179)</f>
        <v>0</v>
      </c>
      <c r="S179" s="118" t="str">
        <f>IF(Modificaciones!AA179=0,"",VLOOKUP(E179,Modificaciones!$B$7:$AA$400,26,0))</f>
        <v/>
      </c>
      <c r="T179" s="119" t="str">
        <f>IF(Modificaciones!AB179=0,"",VLOOKUP(E179,Modificaciones!$B$7:$AB$400,27,0))</f>
        <v/>
      </c>
      <c r="U179" s="1080" t="str">
        <f>+Modificaciones!AC179</f>
        <v/>
      </c>
      <c r="V179" s="825" t="str">
        <f>+Modificaciones!AK179</f>
        <v/>
      </c>
      <c r="W179" s="825">
        <f t="shared" si="28"/>
        <v>41891</v>
      </c>
      <c r="X179" s="59">
        <f t="shared" si="24"/>
        <v>4000000</v>
      </c>
      <c r="Y179" s="151">
        <f>VLOOKUP(E179,Modificaciones!$B$7:$BE$300,56,0)</f>
        <v>4000000</v>
      </c>
      <c r="Z179" s="84">
        <f t="shared" si="25"/>
        <v>0</v>
      </c>
      <c r="AA179" s="288" t="s">
        <v>1211</v>
      </c>
      <c r="AB179" s="40">
        <f t="shared" si="26"/>
        <v>1</v>
      </c>
      <c r="AC179" s="40">
        <f t="shared" ca="1" si="29"/>
        <v>1</v>
      </c>
      <c r="AD179" s="41">
        <f t="shared" ca="1" si="30"/>
        <v>0</v>
      </c>
      <c r="AE179" s="181" t="str">
        <f t="shared" ca="1" si="31"/>
        <v/>
      </c>
      <c r="AF179" s="42" t="str">
        <f t="shared" si="27"/>
        <v>SI</v>
      </c>
      <c r="AG179" s="42"/>
      <c r="AH179" s="152" t="s">
        <v>1255</v>
      </c>
      <c r="AI179" s="152" t="s">
        <v>1290</v>
      </c>
      <c r="AJ179" s="152"/>
      <c r="AL179" s="153"/>
      <c r="AM179" s="153" t="s">
        <v>901</v>
      </c>
      <c r="AN179" s="161" t="str">
        <f t="shared" ca="1" si="32"/>
        <v>TERMINO</v>
      </c>
      <c r="AO179" s="160" t="s">
        <v>582</v>
      </c>
      <c r="AP179" s="155" t="s">
        <v>390</v>
      </c>
      <c r="AQ179" s="819" t="str">
        <f>IFERROR(VLOOKUP(E179,'liquidaciones '!$B$2:$C$1048576,2,0),"NO")</f>
        <v>LIQUIDADO</v>
      </c>
      <c r="AR179" s="909">
        <f>IFERROR(VLOOKUP(E179,'liquidaciones '!$B$2:$I$1048576,8,0),"")</f>
        <v>0</v>
      </c>
      <c r="AS179" s="312">
        <v>42095</v>
      </c>
      <c r="AT179" s="156" t="str">
        <f t="shared" ca="1" si="33"/>
        <v>NO</v>
      </c>
      <c r="AU179" s="156" t="s">
        <v>1509</v>
      </c>
      <c r="AV179" s="406"/>
      <c r="AW179" s="928"/>
      <c r="AX179" s="928"/>
      <c r="AY179" s="928"/>
    </row>
    <row r="180" spans="1:51" ht="65.25" customHeight="1" x14ac:dyDescent="0.3">
      <c r="B180" s="14">
        <v>174</v>
      </c>
      <c r="C180" s="410"/>
      <c r="D180" s="410" t="str">
        <f t="shared" si="23"/>
        <v>2014</v>
      </c>
      <c r="E180" s="120" t="s">
        <v>254</v>
      </c>
      <c r="F180" s="129" t="s">
        <v>1032</v>
      </c>
      <c r="G180" s="1046">
        <v>51931422</v>
      </c>
      <c r="H180" s="958" t="s">
        <v>513</v>
      </c>
      <c r="I180" s="143">
        <v>42800000</v>
      </c>
      <c r="J180" s="821" t="s">
        <v>5750</v>
      </c>
      <c r="K180" s="139">
        <v>2014</v>
      </c>
      <c r="L180" s="519" t="s">
        <v>1087</v>
      </c>
      <c r="M180" s="133">
        <v>41701</v>
      </c>
      <c r="N180" s="133">
        <v>42006</v>
      </c>
      <c r="O180" s="1099" t="str">
        <f>IF(+Modificaciones!I180=0,"",VLOOKUP(E180,Modificaciones!$B$7:$I$2400,8,0))</f>
        <v/>
      </c>
      <c r="P180" s="115">
        <f>COUNTA(Modificaciones!J180,Modificaciones!L180,Modificaciones!N180,Modificaciones!P180)</f>
        <v>0</v>
      </c>
      <c r="Q180" s="116">
        <f>VLOOKUP(E180,Modificaciones!$B$7:$R$300,17,0)</f>
        <v>0</v>
      </c>
      <c r="R180" s="117">
        <f>COUNTA(Modificaciones!T180,Modificaciones!V180,Modificaciones!X180,Modificaciones!Z180)</f>
        <v>0</v>
      </c>
      <c r="S180" s="118" t="str">
        <f>IF(Modificaciones!AA180=0,"",VLOOKUP(E180,Modificaciones!$B$7:$AA$400,26,0))</f>
        <v/>
      </c>
      <c r="T180" s="119" t="str">
        <f>IF(Modificaciones!AB180=0,"",VLOOKUP(E180,Modificaciones!$B$7:$AB$400,27,0))</f>
        <v/>
      </c>
      <c r="U180" s="1080" t="str">
        <f>+Modificaciones!AC180</f>
        <v/>
      </c>
      <c r="V180" s="825" t="str">
        <f>+Modificaciones!AK180</f>
        <v/>
      </c>
      <c r="W180" s="825">
        <f t="shared" si="28"/>
        <v>42006</v>
      </c>
      <c r="X180" s="59">
        <f t="shared" si="24"/>
        <v>42800000</v>
      </c>
      <c r="Y180" s="151">
        <f>VLOOKUP(E180,Modificaciones!$B$7:$BE$300,56,0)</f>
        <v>42800000</v>
      </c>
      <c r="Z180" s="84">
        <f t="shared" si="25"/>
        <v>0</v>
      </c>
      <c r="AA180" s="288" t="s">
        <v>1212</v>
      </c>
      <c r="AB180" s="40">
        <f t="shared" si="26"/>
        <v>1</v>
      </c>
      <c r="AC180" s="40">
        <f t="shared" ca="1" si="29"/>
        <v>1</v>
      </c>
      <c r="AD180" s="41">
        <f t="shared" ca="1" si="30"/>
        <v>0</v>
      </c>
      <c r="AE180" s="181" t="str">
        <f t="shared" ca="1" si="31"/>
        <v/>
      </c>
      <c r="AF180" s="42" t="str">
        <f t="shared" si="27"/>
        <v>SI</v>
      </c>
      <c r="AG180" s="42"/>
      <c r="AH180" s="152" t="s">
        <v>1255</v>
      </c>
      <c r="AI180" s="275" t="s">
        <v>1130</v>
      </c>
      <c r="AJ180" s="152" t="s">
        <v>1176</v>
      </c>
      <c r="AK180" s="255" t="s">
        <v>559</v>
      </c>
      <c r="AL180" s="153" t="s">
        <v>1381</v>
      </c>
      <c r="AM180" s="153" t="s">
        <v>901</v>
      </c>
      <c r="AN180" s="161" t="str">
        <f t="shared" ca="1" si="32"/>
        <v>TERMINO</v>
      </c>
      <c r="AO180" s="160" t="s">
        <v>582</v>
      </c>
      <c r="AP180" s="155" t="s">
        <v>391</v>
      </c>
      <c r="AQ180" s="819" t="str">
        <f>IFERROR(VLOOKUP(E180,'liquidaciones '!$B$2:$C$1048576,2,0),"NO")</f>
        <v>LIQUIDADO</v>
      </c>
      <c r="AR180" s="909">
        <f>IFERROR(VLOOKUP(E180,'liquidaciones '!$B$2:$I$1048576,8,0),"")</f>
        <v>0</v>
      </c>
      <c r="AS180" s="312">
        <v>42145</v>
      </c>
      <c r="AT180" s="156" t="str">
        <f t="shared" ca="1" si="33"/>
        <v>NO</v>
      </c>
      <c r="AU180" s="156" t="s">
        <v>981</v>
      </c>
      <c r="AV180" s="406"/>
      <c r="AW180" s="928"/>
      <c r="AX180" s="928"/>
      <c r="AY180" s="928"/>
    </row>
    <row r="181" spans="1:51" ht="47.25" customHeight="1" x14ac:dyDescent="0.3">
      <c r="B181" s="14">
        <v>175</v>
      </c>
      <c r="C181" s="410"/>
      <c r="D181" s="410" t="str">
        <f t="shared" si="23"/>
        <v>2014</v>
      </c>
      <c r="E181" s="120" t="s">
        <v>267</v>
      </c>
      <c r="F181" s="120" t="s">
        <v>1514</v>
      </c>
      <c r="G181" s="1046">
        <v>80117116</v>
      </c>
      <c r="H181" s="957" t="s">
        <v>514</v>
      </c>
      <c r="I181" s="126">
        <v>38830000</v>
      </c>
      <c r="J181" s="821" t="s">
        <v>5283</v>
      </c>
      <c r="K181" s="139">
        <v>2014</v>
      </c>
      <c r="L181" s="519" t="s">
        <v>1087</v>
      </c>
      <c r="M181" s="124">
        <v>41708</v>
      </c>
      <c r="N181" s="124">
        <v>42013</v>
      </c>
      <c r="O181" s="1099" t="str">
        <f>IF(+Modificaciones!I181=0,"",VLOOKUP(E181,Modificaciones!$B$7:$I$2400,8,0))</f>
        <v/>
      </c>
      <c r="P181" s="115">
        <f>COUNTA(Modificaciones!J181,Modificaciones!L181,Modificaciones!N181,Modificaciones!P181)</f>
        <v>0</v>
      </c>
      <c r="Q181" s="116">
        <f>VLOOKUP(E181,Modificaciones!$B$7:$R$300,17,0)</f>
        <v>0</v>
      </c>
      <c r="R181" s="117">
        <f>COUNTA(Modificaciones!T181,Modificaciones!V181,Modificaciones!X181,Modificaciones!Z181)</f>
        <v>0</v>
      </c>
      <c r="S181" s="118" t="str">
        <f>IF(Modificaciones!AA181=0,"",VLOOKUP(E181,Modificaciones!$B$7:$AA$400,26,0))</f>
        <v/>
      </c>
      <c r="T181" s="119" t="str">
        <f>IF(Modificaciones!AB181=0,"",VLOOKUP(E181,Modificaciones!$B$7:$AB$400,27,0))</f>
        <v/>
      </c>
      <c r="U181" s="1080" t="str">
        <f>+Modificaciones!AC181</f>
        <v/>
      </c>
      <c r="V181" s="825" t="str">
        <f>+Modificaciones!AK181</f>
        <v/>
      </c>
      <c r="W181" s="825">
        <f t="shared" si="28"/>
        <v>42013</v>
      </c>
      <c r="X181" s="59">
        <f t="shared" si="24"/>
        <v>38830000</v>
      </c>
      <c r="Y181" s="151">
        <f>VLOOKUP(E181,Modificaciones!$B$7:$BE$300,56,0)</f>
        <v>38830000</v>
      </c>
      <c r="Z181" s="84">
        <f t="shared" si="25"/>
        <v>0</v>
      </c>
      <c r="AA181" s="288" t="s">
        <v>1179</v>
      </c>
      <c r="AB181" s="40">
        <f t="shared" si="26"/>
        <v>1</v>
      </c>
      <c r="AC181" s="40">
        <f t="shared" ca="1" si="29"/>
        <v>1</v>
      </c>
      <c r="AD181" s="41">
        <f t="shared" ca="1" si="30"/>
        <v>0</v>
      </c>
      <c r="AE181" s="181" t="str">
        <f t="shared" ca="1" si="31"/>
        <v/>
      </c>
      <c r="AF181" s="42" t="str">
        <f t="shared" si="27"/>
        <v>SI</v>
      </c>
      <c r="AG181" s="42"/>
      <c r="AH181" s="152" t="s">
        <v>1255</v>
      </c>
      <c r="AI181" s="275" t="s">
        <v>1130</v>
      </c>
      <c r="AJ181" s="152" t="s">
        <v>1429</v>
      </c>
      <c r="AK181" s="255" t="s">
        <v>564</v>
      </c>
      <c r="AL181" s="153" t="s">
        <v>1380</v>
      </c>
      <c r="AM181" s="153" t="s">
        <v>901</v>
      </c>
      <c r="AN181" s="161" t="str">
        <f t="shared" ca="1" si="32"/>
        <v>TERMINO</v>
      </c>
      <c r="AO181" s="160" t="s">
        <v>582</v>
      </c>
      <c r="AP181" s="155" t="s">
        <v>391</v>
      </c>
      <c r="AQ181" s="819" t="str">
        <f>IFERROR(VLOOKUP(E181,'liquidaciones '!$B$2:$C$1048576,2,0),"NO")</f>
        <v>LIQUIDADO</v>
      </c>
      <c r="AR181" s="909">
        <f>IFERROR(VLOOKUP(E181,'liquidaciones '!$B$2:$I$1048576,8,0),"")</f>
        <v>0</v>
      </c>
      <c r="AS181" s="312">
        <v>42087</v>
      </c>
      <c r="AT181" s="156" t="str">
        <f t="shared" ca="1" si="33"/>
        <v>NO</v>
      </c>
      <c r="AU181" s="156" t="s">
        <v>981</v>
      </c>
      <c r="AV181" s="406"/>
      <c r="AW181" s="928"/>
      <c r="AX181" s="928"/>
      <c r="AY181" s="928"/>
    </row>
    <row r="182" spans="1:51" ht="47.25" customHeight="1" x14ac:dyDescent="0.3">
      <c r="A182" s="37"/>
      <c r="B182" s="14">
        <v>176</v>
      </c>
      <c r="C182" s="410"/>
      <c r="D182" s="410" t="str">
        <f t="shared" si="23"/>
        <v>2014</v>
      </c>
      <c r="E182" s="120" t="s">
        <v>257</v>
      </c>
      <c r="F182" s="129" t="s">
        <v>1034</v>
      </c>
      <c r="G182" s="1046">
        <v>4098836</v>
      </c>
      <c r="H182" s="958" t="s">
        <v>515</v>
      </c>
      <c r="I182" s="143">
        <v>40997000</v>
      </c>
      <c r="J182" s="821" t="s">
        <v>5747</v>
      </c>
      <c r="K182" s="139">
        <v>2014</v>
      </c>
      <c r="L182" s="519" t="s">
        <v>1087</v>
      </c>
      <c r="M182" s="133">
        <v>41675</v>
      </c>
      <c r="N182" s="133">
        <v>42008</v>
      </c>
      <c r="O182" s="1099" t="str">
        <f>IF(+Modificaciones!I182=0,"",VLOOKUP(E182,Modificaciones!$B$7:$I$2400,8,0))</f>
        <v/>
      </c>
      <c r="P182" s="115">
        <f>COUNTA(Modificaciones!J182,Modificaciones!L182,Modificaciones!N182,Modificaciones!P182)</f>
        <v>0</v>
      </c>
      <c r="Q182" s="116">
        <f>VLOOKUP(E182,Modificaciones!$B$7:$R$300,17,0)</f>
        <v>0</v>
      </c>
      <c r="R182" s="117">
        <f>COUNTA(Modificaciones!T182,Modificaciones!V182,Modificaciones!X182,Modificaciones!Z182)</f>
        <v>0</v>
      </c>
      <c r="S182" s="118" t="str">
        <f>IF(Modificaciones!AA182=0,"",VLOOKUP(E182,Modificaciones!$B$7:$AA$400,26,0))</f>
        <v/>
      </c>
      <c r="T182" s="119" t="str">
        <f>IF(Modificaciones!AB182=0,"",VLOOKUP(E182,Modificaciones!$B$7:$AB$400,27,0))</f>
        <v/>
      </c>
      <c r="U182" s="1080" t="str">
        <f>+Modificaciones!AC182</f>
        <v/>
      </c>
      <c r="V182" s="825" t="str">
        <f>+Modificaciones!AK182</f>
        <v/>
      </c>
      <c r="W182" s="825">
        <f t="shared" si="28"/>
        <v>42008</v>
      </c>
      <c r="X182" s="59">
        <f t="shared" si="24"/>
        <v>40997000</v>
      </c>
      <c r="Y182" s="151">
        <f>VLOOKUP(E182,Modificaciones!$B$7:$BE$300,56,0)</f>
        <v>40997000</v>
      </c>
      <c r="Z182" s="84">
        <f t="shared" si="25"/>
        <v>0</v>
      </c>
      <c r="AA182" s="288" t="s">
        <v>1213</v>
      </c>
      <c r="AB182" s="40">
        <f t="shared" si="26"/>
        <v>1</v>
      </c>
      <c r="AC182" s="40">
        <f t="shared" ca="1" si="29"/>
        <v>1</v>
      </c>
      <c r="AD182" s="41">
        <f t="shared" ca="1" si="30"/>
        <v>0</v>
      </c>
      <c r="AE182" s="181" t="str">
        <f t="shared" ca="1" si="31"/>
        <v/>
      </c>
      <c r="AF182" s="42" t="str">
        <f t="shared" si="27"/>
        <v>SI</v>
      </c>
      <c r="AG182" s="42"/>
      <c r="AH182" s="152" t="s">
        <v>1255</v>
      </c>
      <c r="AI182" s="275" t="s">
        <v>1130</v>
      </c>
      <c r="AJ182" s="152" t="s">
        <v>1176</v>
      </c>
      <c r="AK182" s="255" t="s">
        <v>559</v>
      </c>
      <c r="AL182" s="153" t="s">
        <v>1381</v>
      </c>
      <c r="AM182" s="153" t="s">
        <v>901</v>
      </c>
      <c r="AN182" s="161" t="str">
        <f t="shared" ca="1" si="32"/>
        <v>TERMINO</v>
      </c>
      <c r="AO182" s="160" t="s">
        <v>582</v>
      </c>
      <c r="AP182" s="155" t="s">
        <v>391</v>
      </c>
      <c r="AQ182" s="819" t="str">
        <f>IFERROR(VLOOKUP(E182,'liquidaciones '!$B$2:$C$1048576,2,0),"NO")</f>
        <v>LIQUIDADO</v>
      </c>
      <c r="AR182" s="909">
        <f>IFERROR(VLOOKUP(E182,'liquidaciones '!$B$2:$I$1048576,8,0),"")</f>
        <v>0</v>
      </c>
      <c r="AS182" s="312">
        <v>42153</v>
      </c>
      <c r="AT182" s="156" t="str">
        <f t="shared" ca="1" si="33"/>
        <v>NO</v>
      </c>
      <c r="AU182" s="156" t="s">
        <v>981</v>
      </c>
      <c r="AV182" s="406"/>
      <c r="AW182" s="928"/>
      <c r="AX182" s="928"/>
      <c r="AY182" s="928"/>
    </row>
    <row r="183" spans="1:51" ht="47.25" customHeight="1" x14ac:dyDescent="0.3">
      <c r="B183" s="14">
        <v>177</v>
      </c>
      <c r="C183" s="410"/>
      <c r="D183" s="410" t="str">
        <f t="shared" si="23"/>
        <v>2014</v>
      </c>
      <c r="E183" s="120" t="s">
        <v>245</v>
      </c>
      <c r="F183" s="120" t="s">
        <v>226</v>
      </c>
      <c r="G183" s="1046">
        <v>19136712</v>
      </c>
      <c r="H183" s="957" t="s">
        <v>516</v>
      </c>
      <c r="I183" s="126">
        <v>55000000</v>
      </c>
      <c r="J183" s="121" t="s">
        <v>1087</v>
      </c>
      <c r="K183" s="139">
        <v>2014</v>
      </c>
      <c r="L183" s="519">
        <v>41663</v>
      </c>
      <c r="M183" s="124">
        <v>41675</v>
      </c>
      <c r="N183" s="124">
        <v>42008</v>
      </c>
      <c r="O183" s="1099" t="str">
        <f>IF(+Modificaciones!I183=0,"",VLOOKUP(E183,Modificaciones!$B$7:$I$2400,8,0))</f>
        <v/>
      </c>
      <c r="P183" s="115">
        <f>COUNTA(Modificaciones!J183,Modificaciones!L183,Modificaciones!N183,Modificaciones!P183)</f>
        <v>0</v>
      </c>
      <c r="Q183" s="116">
        <f>VLOOKUP(E183,Modificaciones!$B$7:$R$300,17,0)</f>
        <v>0</v>
      </c>
      <c r="R183" s="117">
        <f>COUNTA(Modificaciones!T183,Modificaciones!V183,Modificaciones!X183,Modificaciones!Z183)</f>
        <v>0</v>
      </c>
      <c r="S183" s="118" t="str">
        <f>IF(Modificaciones!AA183=0,"",VLOOKUP(E183,Modificaciones!$B$7:$AA$400,26,0))</f>
        <v/>
      </c>
      <c r="T183" s="119" t="str">
        <f>IF(Modificaciones!AB183=0,"",VLOOKUP(E183,Modificaciones!$B$7:$AB$400,27,0))</f>
        <v/>
      </c>
      <c r="U183" s="1080" t="str">
        <f>+Modificaciones!AC183</f>
        <v/>
      </c>
      <c r="V183" s="825" t="str">
        <f>+Modificaciones!AK183</f>
        <v/>
      </c>
      <c r="W183" s="825">
        <f t="shared" si="28"/>
        <v>42008</v>
      </c>
      <c r="X183" s="59">
        <f t="shared" si="24"/>
        <v>55000000</v>
      </c>
      <c r="Y183" s="151">
        <f>VLOOKUP(E183,Modificaciones!$B$7:$BE$300,56,0)</f>
        <v>54333333</v>
      </c>
      <c r="Z183" s="84">
        <f t="shared" si="25"/>
        <v>666667</v>
      </c>
      <c r="AA183" s="288" t="s">
        <v>1214</v>
      </c>
      <c r="AB183" s="40">
        <f t="shared" si="26"/>
        <v>0.98787878181818178</v>
      </c>
      <c r="AC183" s="40">
        <f t="shared" ca="1" si="29"/>
        <v>1</v>
      </c>
      <c r="AD183" s="41">
        <f t="shared" ca="1" si="30"/>
        <v>1.2121218181818216E-2</v>
      </c>
      <c r="AE183" s="181" t="str">
        <f t="shared" ca="1" si="31"/>
        <v/>
      </c>
      <c r="AF183" s="42" t="str">
        <f t="shared" si="27"/>
        <v>NO</v>
      </c>
      <c r="AG183" s="42"/>
      <c r="AH183" s="152" t="s">
        <v>1255</v>
      </c>
      <c r="AI183" s="152" t="s">
        <v>1968</v>
      </c>
      <c r="AJ183" s="152"/>
      <c r="AK183" s="255" t="s">
        <v>559</v>
      </c>
      <c r="AL183" s="153" t="s">
        <v>1381</v>
      </c>
      <c r="AM183" s="153" t="s">
        <v>901</v>
      </c>
      <c r="AN183" s="161" t="str">
        <f t="shared" ca="1" si="32"/>
        <v>TERMINO</v>
      </c>
      <c r="AO183" s="160" t="s">
        <v>582</v>
      </c>
      <c r="AP183" s="155" t="s">
        <v>391</v>
      </c>
      <c r="AQ183" s="819" t="str">
        <f>IFERROR(VLOOKUP(E183,'liquidaciones '!$B$2:$C$1048576,2,0),"NO")</f>
        <v>EN TRÁMITE</v>
      </c>
      <c r="AR183" s="909">
        <f>IFERROR(VLOOKUP(E183,'liquidaciones '!$B$2:$I$1048576,8,0),"")</f>
        <v>0</v>
      </c>
      <c r="AS183" s="312"/>
      <c r="AT183" s="156" t="str">
        <f t="shared" ca="1" si="33"/>
        <v>NO</v>
      </c>
      <c r="AU183" s="156" t="s">
        <v>1055</v>
      </c>
      <c r="AV183" s="406"/>
      <c r="AW183" s="928"/>
      <c r="AX183" s="928"/>
      <c r="AY183" s="928"/>
    </row>
    <row r="184" spans="1:51" ht="73.5" customHeight="1" x14ac:dyDescent="0.3">
      <c r="A184" s="37"/>
      <c r="B184" s="14">
        <v>178</v>
      </c>
      <c r="C184" s="410"/>
      <c r="D184" s="410" t="str">
        <f t="shared" si="23"/>
        <v>2014</v>
      </c>
      <c r="E184" s="120" t="s">
        <v>1107</v>
      </c>
      <c r="F184" s="120" t="s">
        <v>222</v>
      </c>
      <c r="G184" s="1046">
        <v>7212142</v>
      </c>
      <c r="H184" s="957" t="s">
        <v>516</v>
      </c>
      <c r="I184" s="126">
        <v>55000000</v>
      </c>
      <c r="J184" s="821" t="s">
        <v>5748</v>
      </c>
      <c r="K184" s="139">
        <v>2014</v>
      </c>
      <c r="L184" s="519">
        <v>41663</v>
      </c>
      <c r="M184" s="124">
        <v>41675</v>
      </c>
      <c r="N184" s="124">
        <v>42008</v>
      </c>
      <c r="O184" s="1099" t="str">
        <f>IF(+Modificaciones!I184=0,"",VLOOKUP(E184,Modificaciones!$B$7:$I$2400,8,0))</f>
        <v/>
      </c>
      <c r="P184" s="115">
        <f>COUNTA(Modificaciones!J184,Modificaciones!L184,Modificaciones!N184,Modificaciones!P184)</f>
        <v>0</v>
      </c>
      <c r="Q184" s="116">
        <f>VLOOKUP(E184,Modificaciones!$B$7:$R$300,17,0)</f>
        <v>0</v>
      </c>
      <c r="R184" s="117">
        <f>COUNTA(Modificaciones!T184,Modificaciones!V184,Modificaciones!X184,Modificaciones!Z184)</f>
        <v>0</v>
      </c>
      <c r="S184" s="118" t="str">
        <f>IF(Modificaciones!AA184=0,"",VLOOKUP(E184,Modificaciones!$B$7:$AA$400,26,0))</f>
        <v/>
      </c>
      <c r="T184" s="119" t="str">
        <f>IF(Modificaciones!AB184=0,"",VLOOKUP(E184,Modificaciones!$B$7:$AB$400,27,0))</f>
        <v/>
      </c>
      <c r="U184" s="1080" t="str">
        <f>+Modificaciones!AC184</f>
        <v/>
      </c>
      <c r="V184" s="825" t="str">
        <f>+Modificaciones!AK184</f>
        <v/>
      </c>
      <c r="W184" s="825">
        <f t="shared" si="28"/>
        <v>42008</v>
      </c>
      <c r="X184" s="59">
        <f t="shared" si="24"/>
        <v>55000000</v>
      </c>
      <c r="Y184" s="151">
        <f>VLOOKUP(E184,Modificaciones!$B$7:$BE$300,56,0)</f>
        <v>55000000</v>
      </c>
      <c r="Z184" s="84">
        <f t="shared" si="25"/>
        <v>0</v>
      </c>
      <c r="AA184" s="288" t="s">
        <v>1214</v>
      </c>
      <c r="AB184" s="40">
        <f t="shared" si="26"/>
        <v>1</v>
      </c>
      <c r="AC184" s="40">
        <f t="shared" ca="1" si="29"/>
        <v>1</v>
      </c>
      <c r="AD184" s="41">
        <f t="shared" ca="1" si="30"/>
        <v>0</v>
      </c>
      <c r="AE184" s="181" t="str">
        <f t="shared" ca="1" si="31"/>
        <v/>
      </c>
      <c r="AF184" s="42" t="str">
        <f t="shared" si="27"/>
        <v>SI</v>
      </c>
      <c r="AG184" s="42"/>
      <c r="AH184" s="152" t="s">
        <v>1255</v>
      </c>
      <c r="AI184" s="152" t="s">
        <v>1968</v>
      </c>
      <c r="AJ184" s="152"/>
      <c r="AK184" s="255" t="s">
        <v>559</v>
      </c>
      <c r="AL184" s="153" t="s">
        <v>1381</v>
      </c>
      <c r="AM184" s="153" t="s">
        <v>901</v>
      </c>
      <c r="AN184" s="161" t="str">
        <f t="shared" ca="1" si="32"/>
        <v>TERMINO</v>
      </c>
      <c r="AO184" s="160" t="s">
        <v>582</v>
      </c>
      <c r="AP184" s="155" t="s">
        <v>391</v>
      </c>
      <c r="AQ184" s="819" t="str">
        <f>IFERROR(VLOOKUP(E184,'liquidaciones '!$B$2:$C$1048576,2,0),"NO")</f>
        <v>LIQUIDADO</v>
      </c>
      <c r="AR184" s="909" t="str">
        <f>IFERROR(VLOOKUP(E184,'liquidaciones '!$B$2:$I$1048576,8,0),"")</f>
        <v>LISBETH GONZALEZ VARGAS</v>
      </c>
      <c r="AS184" s="312">
        <v>42234</v>
      </c>
      <c r="AT184" s="156" t="str">
        <f t="shared" ca="1" si="33"/>
        <v>NO</v>
      </c>
      <c r="AU184" s="156" t="s">
        <v>1055</v>
      </c>
      <c r="AV184" s="406"/>
      <c r="AW184" s="928"/>
      <c r="AX184" s="928"/>
      <c r="AY184" s="928"/>
    </row>
    <row r="185" spans="1:51" ht="56.25" customHeight="1" x14ac:dyDescent="0.3">
      <c r="B185" s="14">
        <v>179</v>
      </c>
      <c r="C185" s="410"/>
      <c r="D185" s="410" t="str">
        <f t="shared" si="23"/>
        <v>2014</v>
      </c>
      <c r="E185" s="120" t="s">
        <v>247</v>
      </c>
      <c r="F185" s="2" t="s">
        <v>1513</v>
      </c>
      <c r="G185" s="1046">
        <v>72167924</v>
      </c>
      <c r="H185" s="957" t="s">
        <v>516</v>
      </c>
      <c r="I185" s="126">
        <v>55000000</v>
      </c>
      <c r="J185" s="821" t="s">
        <v>2612</v>
      </c>
      <c r="K185" s="139">
        <v>2014</v>
      </c>
      <c r="L185" s="519">
        <v>41663</v>
      </c>
      <c r="M185" s="124">
        <v>41675</v>
      </c>
      <c r="N185" s="124">
        <v>42008</v>
      </c>
      <c r="O185" s="1099" t="str">
        <f>IF(+Modificaciones!I185=0,"",VLOOKUP(E185,Modificaciones!$B$7:$I$2400,8,0))</f>
        <v/>
      </c>
      <c r="P185" s="115">
        <f>COUNTA(Modificaciones!J185,Modificaciones!L185,Modificaciones!N185,Modificaciones!P185)</f>
        <v>0</v>
      </c>
      <c r="Q185" s="116">
        <f>VLOOKUP(E185,Modificaciones!$B$7:$R$300,17,0)</f>
        <v>0</v>
      </c>
      <c r="R185" s="117">
        <f>COUNTA(Modificaciones!T185,Modificaciones!V185,Modificaciones!X185,Modificaciones!Z185)</f>
        <v>0</v>
      </c>
      <c r="S185" s="118" t="str">
        <f>IF(Modificaciones!AA185=0,"",VLOOKUP(E185,Modificaciones!$B$7:$AA$400,26,0))</f>
        <v/>
      </c>
      <c r="T185" s="119" t="str">
        <f>IF(Modificaciones!AB185=0,"",VLOOKUP(E185,Modificaciones!$B$7:$AB$400,27,0))</f>
        <v/>
      </c>
      <c r="U185" s="1080" t="str">
        <f>+Modificaciones!AC185</f>
        <v/>
      </c>
      <c r="V185" s="825" t="str">
        <f>+Modificaciones!AK185</f>
        <v/>
      </c>
      <c r="W185" s="825">
        <f t="shared" si="28"/>
        <v>42008</v>
      </c>
      <c r="X185" s="59">
        <f t="shared" si="24"/>
        <v>55000000</v>
      </c>
      <c r="Y185" s="151">
        <f>VLOOKUP(E185,Modificaciones!$B$7:$BE$300,56,0)</f>
        <v>54666666</v>
      </c>
      <c r="Z185" s="84">
        <f t="shared" si="25"/>
        <v>333334</v>
      </c>
      <c r="AA185" s="288" t="s">
        <v>1214</v>
      </c>
      <c r="AB185" s="40">
        <f t="shared" si="26"/>
        <v>0.99393938181818187</v>
      </c>
      <c r="AC185" s="40">
        <f t="shared" ca="1" si="29"/>
        <v>1</v>
      </c>
      <c r="AD185" s="41">
        <f t="shared" ca="1" si="30"/>
        <v>6.0606181818181337E-3</v>
      </c>
      <c r="AE185" s="181" t="str">
        <f t="shared" ca="1" si="31"/>
        <v/>
      </c>
      <c r="AF185" s="42" t="str">
        <f t="shared" si="27"/>
        <v>NO</v>
      </c>
      <c r="AG185" s="42"/>
      <c r="AH185" s="152" t="s">
        <v>1255</v>
      </c>
      <c r="AI185" s="152" t="s">
        <v>1968</v>
      </c>
      <c r="AJ185" s="152"/>
      <c r="AK185" s="255" t="s">
        <v>559</v>
      </c>
      <c r="AL185" s="153" t="s">
        <v>1381</v>
      </c>
      <c r="AM185" s="153" t="s">
        <v>901</v>
      </c>
      <c r="AN185" s="161" t="str">
        <f t="shared" ca="1" si="32"/>
        <v>TERMINO</v>
      </c>
      <c r="AO185" s="160" t="s">
        <v>582</v>
      </c>
      <c r="AP185" s="155" t="s">
        <v>391</v>
      </c>
      <c r="AQ185" s="819" t="str">
        <f>IFERROR(VLOOKUP(E185,'liquidaciones '!$B$2:$C$1048576,2,0),"NO")</f>
        <v>LIQUIDADO</v>
      </c>
      <c r="AR185" s="909">
        <f>IFERROR(VLOOKUP(E185,'liquidaciones '!$B$2:$I$1048576,8,0),"")</f>
        <v>0</v>
      </c>
      <c r="AS185" s="312">
        <v>42277</v>
      </c>
      <c r="AT185" s="156" t="str">
        <f t="shared" ca="1" si="33"/>
        <v>NO</v>
      </c>
      <c r="AU185" s="156" t="s">
        <v>1055</v>
      </c>
      <c r="AV185" s="406"/>
      <c r="AW185" s="928"/>
      <c r="AX185" s="928"/>
      <c r="AY185" s="928"/>
    </row>
    <row r="186" spans="1:51" ht="47.25" customHeight="1" x14ac:dyDescent="0.3">
      <c r="B186" s="14">
        <v>180</v>
      </c>
      <c r="C186" s="410"/>
      <c r="D186" s="410" t="str">
        <f t="shared" si="23"/>
        <v>2014</v>
      </c>
      <c r="E186" s="120" t="s">
        <v>249</v>
      </c>
      <c r="F186" s="120" t="s">
        <v>1044</v>
      </c>
      <c r="G186" s="1046">
        <v>1010168639</v>
      </c>
      <c r="H186" s="957" t="s">
        <v>2201</v>
      </c>
      <c r="I186" s="126">
        <v>38500000</v>
      </c>
      <c r="J186" s="821" t="s">
        <v>2613</v>
      </c>
      <c r="K186" s="139">
        <v>2014</v>
      </c>
      <c r="L186" s="519">
        <v>41663</v>
      </c>
      <c r="M186" s="124">
        <v>41675</v>
      </c>
      <c r="N186" s="124">
        <v>42008</v>
      </c>
      <c r="O186" s="1099" t="str">
        <f>IF(+Modificaciones!I186=0,"",VLOOKUP(E186,Modificaciones!$B$7:$I$2400,8,0))</f>
        <v/>
      </c>
      <c r="P186" s="115">
        <f>COUNTA(Modificaciones!J186,Modificaciones!L186,Modificaciones!N186,Modificaciones!P186)</f>
        <v>0</v>
      </c>
      <c r="Q186" s="116">
        <f>VLOOKUP(E186,Modificaciones!$B$7:$R$300,17,0)</f>
        <v>0</v>
      </c>
      <c r="R186" s="117">
        <f>COUNTA(Modificaciones!T186,Modificaciones!V186,Modificaciones!X186,Modificaciones!Z186)</f>
        <v>0</v>
      </c>
      <c r="S186" s="118" t="str">
        <f>IF(Modificaciones!AA186=0,"",VLOOKUP(E186,Modificaciones!$B$7:$AA$400,26,0))</f>
        <v/>
      </c>
      <c r="T186" s="119" t="str">
        <f>IF(Modificaciones!AB186=0,"",VLOOKUP(E186,Modificaciones!$B$7:$AB$400,27,0))</f>
        <v/>
      </c>
      <c r="U186" s="1080" t="str">
        <f>+Modificaciones!AC186</f>
        <v/>
      </c>
      <c r="V186" s="825" t="str">
        <f>+Modificaciones!AK186</f>
        <v/>
      </c>
      <c r="W186" s="825">
        <f t="shared" si="28"/>
        <v>42008</v>
      </c>
      <c r="X186" s="59">
        <f t="shared" si="24"/>
        <v>38500000</v>
      </c>
      <c r="Y186" s="151">
        <f>VLOOKUP(E186,Modificaciones!$B$7:$BE$300,56,0)</f>
        <v>38500000</v>
      </c>
      <c r="Z186" s="84">
        <f t="shared" si="25"/>
        <v>0</v>
      </c>
      <c r="AA186" s="288" t="s">
        <v>1215</v>
      </c>
      <c r="AB186" s="40">
        <f t="shared" si="26"/>
        <v>1</v>
      </c>
      <c r="AC186" s="40">
        <f t="shared" ca="1" si="29"/>
        <v>1</v>
      </c>
      <c r="AD186" s="41">
        <f t="shared" ca="1" si="30"/>
        <v>0</v>
      </c>
      <c r="AE186" s="181" t="str">
        <f t="shared" ca="1" si="31"/>
        <v/>
      </c>
      <c r="AF186" s="42" t="str">
        <f t="shared" si="27"/>
        <v>SI</v>
      </c>
      <c r="AG186" s="42"/>
      <c r="AH186" s="152" t="s">
        <v>1255</v>
      </c>
      <c r="AI186" s="152" t="s">
        <v>1968</v>
      </c>
      <c r="AJ186" s="152"/>
      <c r="AK186" s="255" t="s">
        <v>559</v>
      </c>
      <c r="AL186" s="153" t="s">
        <v>1381</v>
      </c>
      <c r="AM186" s="153" t="s">
        <v>901</v>
      </c>
      <c r="AN186" s="161" t="str">
        <f t="shared" ca="1" si="32"/>
        <v>TERMINO</v>
      </c>
      <c r="AO186" s="160" t="s">
        <v>582</v>
      </c>
      <c r="AP186" s="155" t="s">
        <v>391</v>
      </c>
      <c r="AQ186" s="819" t="str">
        <f>IFERROR(VLOOKUP(E186,'liquidaciones '!$B$2:$C$1048576,2,0),"NO")</f>
        <v>LIQUIDADO</v>
      </c>
      <c r="AR186" s="909">
        <f>IFERROR(VLOOKUP(E186,'liquidaciones '!$B$2:$I$1048576,8,0),"")</f>
        <v>0</v>
      </c>
      <c r="AS186" s="312">
        <v>42257</v>
      </c>
      <c r="AT186" s="156" t="str">
        <f t="shared" ca="1" si="33"/>
        <v>NO</v>
      </c>
      <c r="AU186" s="156" t="s">
        <v>1055</v>
      </c>
      <c r="AV186" s="406"/>
      <c r="AW186" s="928"/>
      <c r="AX186" s="928"/>
      <c r="AY186" s="928"/>
    </row>
    <row r="187" spans="1:51" ht="47.25" customHeight="1" x14ac:dyDescent="0.3">
      <c r="A187" s="37"/>
      <c r="B187" s="14">
        <v>181</v>
      </c>
      <c r="C187" s="410"/>
      <c r="D187" s="410" t="str">
        <f t="shared" si="23"/>
        <v>2014</v>
      </c>
      <c r="E187" s="120" t="s">
        <v>246</v>
      </c>
      <c r="F187" s="120" t="s">
        <v>228</v>
      </c>
      <c r="G187" s="1046">
        <v>52935011</v>
      </c>
      <c r="H187" s="957" t="s">
        <v>1618</v>
      </c>
      <c r="I187" s="126">
        <v>55000000</v>
      </c>
      <c r="J187" s="821" t="s">
        <v>5745</v>
      </c>
      <c r="K187" s="139">
        <v>2014</v>
      </c>
      <c r="L187" s="519">
        <v>41663</v>
      </c>
      <c r="M187" s="124">
        <v>41675</v>
      </c>
      <c r="N187" s="124">
        <v>42008</v>
      </c>
      <c r="O187" s="1099" t="str">
        <f>IF(+Modificaciones!I187=0,"",VLOOKUP(E187,Modificaciones!$B$7:$I$2400,8,0))</f>
        <v/>
      </c>
      <c r="P187" s="115">
        <f>COUNTA(Modificaciones!J187,Modificaciones!L187,Modificaciones!N187,Modificaciones!P187)</f>
        <v>0</v>
      </c>
      <c r="Q187" s="116">
        <f>VLOOKUP(E187,Modificaciones!$B$7:$R$300,17,0)</f>
        <v>0</v>
      </c>
      <c r="R187" s="117">
        <f>COUNTA(Modificaciones!T187,Modificaciones!V187,Modificaciones!X187,Modificaciones!Z187)</f>
        <v>0</v>
      </c>
      <c r="S187" s="118" t="str">
        <f>IF(Modificaciones!AA187=0,"",VLOOKUP(E187,Modificaciones!$B$7:$AA$400,26,0))</f>
        <v/>
      </c>
      <c r="T187" s="119" t="str">
        <f>IF(Modificaciones!AB187=0,"",VLOOKUP(E187,Modificaciones!$B$7:$AB$400,27,0))</f>
        <v/>
      </c>
      <c r="U187" s="1080" t="str">
        <f>+Modificaciones!AC187</f>
        <v/>
      </c>
      <c r="V187" s="825" t="str">
        <f>+Modificaciones!AK187</f>
        <v/>
      </c>
      <c r="W187" s="825">
        <f t="shared" si="28"/>
        <v>42008</v>
      </c>
      <c r="X187" s="59">
        <f t="shared" si="24"/>
        <v>55000000</v>
      </c>
      <c r="Y187" s="151">
        <f>VLOOKUP(E187,Modificaciones!$B$7:$BE$300,56,0)</f>
        <v>55000000</v>
      </c>
      <c r="Z187" s="84">
        <f t="shared" si="25"/>
        <v>0</v>
      </c>
      <c r="AA187" s="288" t="s">
        <v>1216</v>
      </c>
      <c r="AB187" s="40">
        <f t="shared" si="26"/>
        <v>1</v>
      </c>
      <c r="AC187" s="40">
        <f t="shared" ca="1" si="29"/>
        <v>1</v>
      </c>
      <c r="AD187" s="41">
        <f t="shared" ca="1" si="30"/>
        <v>0</v>
      </c>
      <c r="AE187" s="181" t="str">
        <f t="shared" ca="1" si="31"/>
        <v/>
      </c>
      <c r="AF187" s="42" t="str">
        <f t="shared" si="27"/>
        <v>SI</v>
      </c>
      <c r="AG187" s="42"/>
      <c r="AH187" s="152" t="s">
        <v>1255</v>
      </c>
      <c r="AI187" s="152" t="s">
        <v>1968</v>
      </c>
      <c r="AJ187" s="152"/>
      <c r="AK187" s="255" t="s">
        <v>559</v>
      </c>
      <c r="AL187" s="153" t="s">
        <v>1381</v>
      </c>
      <c r="AM187" s="153" t="s">
        <v>901</v>
      </c>
      <c r="AN187" s="161" t="str">
        <f t="shared" ca="1" si="32"/>
        <v>TERMINO</v>
      </c>
      <c r="AO187" s="160" t="s">
        <v>582</v>
      </c>
      <c r="AP187" s="155" t="s">
        <v>391</v>
      </c>
      <c r="AQ187" s="819" t="str">
        <f>IFERROR(VLOOKUP(E187,'liquidaciones '!$B$2:$C$1048576,2,0),"NO")</f>
        <v>EN TRÁMITE</v>
      </c>
      <c r="AR187" s="909">
        <f>IFERROR(VLOOKUP(E187,'liquidaciones '!$B$2:$I$1048576,8,0),"")</f>
        <v>0</v>
      </c>
      <c r="AS187" s="312">
        <v>42235</v>
      </c>
      <c r="AT187" s="156" t="str">
        <f t="shared" ca="1" si="33"/>
        <v>NO</v>
      </c>
      <c r="AU187" s="156" t="s">
        <v>1055</v>
      </c>
      <c r="AV187" s="406"/>
      <c r="AW187" s="928"/>
      <c r="AX187" s="928"/>
      <c r="AY187" s="928"/>
    </row>
    <row r="188" spans="1:51" ht="47.25" customHeight="1" x14ac:dyDescent="0.3">
      <c r="B188" s="14">
        <v>182</v>
      </c>
      <c r="C188" s="410"/>
      <c r="D188" s="410" t="str">
        <f t="shared" si="23"/>
        <v>2014</v>
      </c>
      <c r="E188" s="120" t="s">
        <v>248</v>
      </c>
      <c r="F188" s="120" t="s">
        <v>224</v>
      </c>
      <c r="G188" s="1046">
        <v>19327657</v>
      </c>
      <c r="H188" s="957" t="s">
        <v>516</v>
      </c>
      <c r="I188" s="126">
        <v>55000000</v>
      </c>
      <c r="J188" s="821" t="s">
        <v>5746</v>
      </c>
      <c r="K188" s="139">
        <v>2014</v>
      </c>
      <c r="L188" s="519">
        <v>41663</v>
      </c>
      <c r="M188" s="124">
        <v>41675</v>
      </c>
      <c r="N188" s="124">
        <v>42008</v>
      </c>
      <c r="O188" s="1099" t="str">
        <f>IF(+Modificaciones!I188=0,"",VLOOKUP(E188,Modificaciones!$B$7:$I$2400,8,0))</f>
        <v/>
      </c>
      <c r="P188" s="115">
        <f>COUNTA(Modificaciones!J188,Modificaciones!L188,Modificaciones!N188,Modificaciones!P188)</f>
        <v>0</v>
      </c>
      <c r="Q188" s="116">
        <f>VLOOKUP(E188,Modificaciones!$B$7:$R$300,17,0)</f>
        <v>0</v>
      </c>
      <c r="R188" s="117">
        <f>COUNTA(Modificaciones!T188,Modificaciones!V188,Modificaciones!X188,Modificaciones!Z188)</f>
        <v>0</v>
      </c>
      <c r="S188" s="118" t="str">
        <f>IF(Modificaciones!AA188=0,"",VLOOKUP(E188,Modificaciones!$B$7:$AA$400,26,0))</f>
        <v/>
      </c>
      <c r="T188" s="119" t="str">
        <f>IF(Modificaciones!AB188=0,"",VLOOKUP(E188,Modificaciones!$B$7:$AB$400,27,0))</f>
        <v/>
      </c>
      <c r="U188" s="1080" t="str">
        <f>+Modificaciones!AC188</f>
        <v/>
      </c>
      <c r="V188" s="825" t="str">
        <f>+Modificaciones!AK188</f>
        <v/>
      </c>
      <c r="W188" s="825">
        <f t="shared" si="28"/>
        <v>42008</v>
      </c>
      <c r="X188" s="59">
        <f t="shared" si="24"/>
        <v>55000000</v>
      </c>
      <c r="Y188" s="151">
        <f>VLOOKUP(E188,Modificaciones!$B$7:$BE$300,56,0)</f>
        <v>55000000</v>
      </c>
      <c r="Z188" s="84">
        <f t="shared" si="25"/>
        <v>0</v>
      </c>
      <c r="AA188" s="288" t="s">
        <v>1214</v>
      </c>
      <c r="AB188" s="40">
        <f t="shared" si="26"/>
        <v>1</v>
      </c>
      <c r="AC188" s="40">
        <f t="shared" ca="1" si="29"/>
        <v>1</v>
      </c>
      <c r="AD188" s="41">
        <f t="shared" ca="1" si="30"/>
        <v>0</v>
      </c>
      <c r="AE188" s="181" t="str">
        <f t="shared" ca="1" si="31"/>
        <v/>
      </c>
      <c r="AF188" s="42" t="str">
        <f t="shared" si="27"/>
        <v>SI</v>
      </c>
      <c r="AG188" s="42"/>
      <c r="AH188" s="152" t="s">
        <v>1255</v>
      </c>
      <c r="AI188" s="152" t="s">
        <v>1968</v>
      </c>
      <c r="AJ188" s="152"/>
      <c r="AK188" s="255" t="s">
        <v>559</v>
      </c>
      <c r="AL188" s="153" t="s">
        <v>1381</v>
      </c>
      <c r="AM188" s="153" t="s">
        <v>901</v>
      </c>
      <c r="AN188" s="161" t="str">
        <f t="shared" ca="1" si="32"/>
        <v>TERMINO</v>
      </c>
      <c r="AO188" s="160" t="s">
        <v>582</v>
      </c>
      <c r="AP188" s="155" t="s">
        <v>391</v>
      </c>
      <c r="AQ188" s="819" t="str">
        <f>IFERROR(VLOOKUP(E188,'liquidaciones '!$B$2:$C$1048576,2,0),"NO")</f>
        <v>LIQUIDADO</v>
      </c>
      <c r="AR188" s="909">
        <f>IFERROR(VLOOKUP(E188,'liquidaciones '!$B$2:$I$1048576,8,0),"")</f>
        <v>0</v>
      </c>
      <c r="AS188" s="312">
        <v>42277</v>
      </c>
      <c r="AT188" s="156" t="str">
        <f t="shared" ca="1" si="33"/>
        <v>NO</v>
      </c>
      <c r="AU188" s="156" t="s">
        <v>1055</v>
      </c>
      <c r="AV188" s="406"/>
      <c r="AW188" s="928"/>
      <c r="AX188" s="928"/>
      <c r="AY188" s="928"/>
    </row>
    <row r="189" spans="1:51" ht="47.25" customHeight="1" x14ac:dyDescent="0.3">
      <c r="B189" s="14">
        <v>183</v>
      </c>
      <c r="C189" s="410"/>
      <c r="D189" s="410" t="str">
        <f t="shared" si="23"/>
        <v>2014</v>
      </c>
      <c r="E189" s="120" t="s">
        <v>268</v>
      </c>
      <c r="F189" s="120" t="s">
        <v>269</v>
      </c>
      <c r="G189" s="1046">
        <v>860025639</v>
      </c>
      <c r="H189" s="957" t="s">
        <v>369</v>
      </c>
      <c r="I189" s="126">
        <v>16555000</v>
      </c>
      <c r="J189" s="121" t="s">
        <v>1087</v>
      </c>
      <c r="K189" s="139">
        <v>2014</v>
      </c>
      <c r="L189" s="519" t="s">
        <v>1087</v>
      </c>
      <c r="M189" s="124">
        <v>41732</v>
      </c>
      <c r="N189" s="124">
        <v>42096</v>
      </c>
      <c r="O189" s="1099" t="str">
        <f>IF(+Modificaciones!I189=0,"",VLOOKUP(E189,Modificaciones!$B$7:$I$2400,8,0))</f>
        <v/>
      </c>
      <c r="P189" s="115">
        <f>COUNTA(Modificaciones!J189,Modificaciones!L189,Modificaciones!N189,Modificaciones!P189)</f>
        <v>0</v>
      </c>
      <c r="Q189" s="116">
        <f>VLOOKUP(E189,Modificaciones!$B$7:$R$300,17,0)</f>
        <v>0</v>
      </c>
      <c r="R189" s="117">
        <f>COUNTA(Modificaciones!T189,Modificaciones!V189,Modificaciones!X189,Modificaciones!Z189)</f>
        <v>0</v>
      </c>
      <c r="S189" s="118" t="str">
        <f>IF(Modificaciones!AA189=0,"",VLOOKUP(E189,Modificaciones!$B$7:$AA$400,26,0))</f>
        <v/>
      </c>
      <c r="T189" s="119" t="str">
        <f>IF(Modificaciones!AB189=0,"",VLOOKUP(E189,Modificaciones!$B$7:$AB$400,27,0))</f>
        <v/>
      </c>
      <c r="U189" s="1080" t="str">
        <f>+Modificaciones!AC189</f>
        <v/>
      </c>
      <c r="V189" s="825" t="str">
        <f>+Modificaciones!AK189</f>
        <v/>
      </c>
      <c r="W189" s="825">
        <f t="shared" si="28"/>
        <v>42096</v>
      </c>
      <c r="X189" s="59">
        <f t="shared" si="24"/>
        <v>16555000</v>
      </c>
      <c r="Y189" s="151">
        <f>VLOOKUP(E189,Modificaciones!$B$7:$BE$300,56,0)</f>
        <v>15762669</v>
      </c>
      <c r="Z189" s="84">
        <f t="shared" si="25"/>
        <v>792331</v>
      </c>
      <c r="AA189" s="288" t="s">
        <v>1217</v>
      </c>
      <c r="AB189" s="40">
        <f t="shared" si="26"/>
        <v>0.95213947447900937</v>
      </c>
      <c r="AC189" s="40">
        <f t="shared" ca="1" si="29"/>
        <v>1</v>
      </c>
      <c r="AD189" s="41">
        <f t="shared" ca="1" si="30"/>
        <v>4.7860525520990627E-2</v>
      </c>
      <c r="AE189" s="181" t="str">
        <f t="shared" ca="1" si="31"/>
        <v/>
      </c>
      <c r="AF189" s="42" t="str">
        <f t="shared" si="27"/>
        <v>NO</v>
      </c>
      <c r="AG189" s="42"/>
      <c r="AH189" s="152" t="s">
        <v>1255</v>
      </c>
      <c r="AI189" s="275" t="s">
        <v>1169</v>
      </c>
      <c r="AJ189" s="152" t="s">
        <v>1441</v>
      </c>
      <c r="AK189" s="255" t="s">
        <v>560</v>
      </c>
      <c r="AL189" s="153"/>
      <c r="AM189" s="153" t="s">
        <v>901</v>
      </c>
      <c r="AN189" s="161" t="str">
        <f t="shared" ca="1" si="32"/>
        <v>TERMINO</v>
      </c>
      <c r="AO189" s="160" t="s">
        <v>582</v>
      </c>
      <c r="AP189" s="155" t="s">
        <v>390</v>
      </c>
      <c r="AQ189" s="819" t="str">
        <f>IFERROR(VLOOKUP(E189,'liquidaciones '!$B$2:$C$1048576,2,0),"NO")</f>
        <v>EN TRÁMITE</v>
      </c>
      <c r="AR189" s="909">
        <f>IFERROR(VLOOKUP(E189,'liquidaciones '!$B$2:$I$1048576,8,0),"")</f>
        <v>0</v>
      </c>
      <c r="AS189" s="312"/>
      <c r="AT189" s="156" t="str">
        <f t="shared" ca="1" si="33"/>
        <v>NO</v>
      </c>
      <c r="AU189" s="156" t="s">
        <v>1509</v>
      </c>
      <c r="AV189" s="406"/>
      <c r="AW189" s="928"/>
      <c r="AX189" s="928"/>
      <c r="AY189" s="928"/>
    </row>
    <row r="190" spans="1:51" ht="47.25" customHeight="1" x14ac:dyDescent="0.3">
      <c r="B190" s="14">
        <v>184</v>
      </c>
      <c r="C190" s="410"/>
      <c r="D190" s="410" t="str">
        <f t="shared" si="23"/>
        <v>2014</v>
      </c>
      <c r="E190" s="120" t="s">
        <v>253</v>
      </c>
      <c r="F190" s="129" t="s">
        <v>140</v>
      </c>
      <c r="G190" s="1046">
        <v>51721571</v>
      </c>
      <c r="H190" s="958" t="s">
        <v>1131</v>
      </c>
      <c r="I190" s="143">
        <v>39600000</v>
      </c>
      <c r="J190" s="821" t="s">
        <v>5757</v>
      </c>
      <c r="K190" s="139">
        <v>2014</v>
      </c>
      <c r="L190" s="519" t="s">
        <v>1087</v>
      </c>
      <c r="M190" s="133">
        <v>41675</v>
      </c>
      <c r="N190" s="133">
        <v>42008</v>
      </c>
      <c r="O190" s="1099" t="str">
        <f>IF(+Modificaciones!I190=0,"",VLOOKUP(E190,Modificaciones!$B$7:$I$2400,8,0))</f>
        <v/>
      </c>
      <c r="P190" s="115">
        <f>COUNTA(Modificaciones!J190,Modificaciones!L190,Modificaciones!N190,Modificaciones!P190)</f>
        <v>0</v>
      </c>
      <c r="Q190" s="116">
        <f>VLOOKUP(E190,Modificaciones!$B$7:$R$300,17,0)</f>
        <v>0</v>
      </c>
      <c r="R190" s="117">
        <f>COUNTA(Modificaciones!T190,Modificaciones!V190,Modificaciones!X190,Modificaciones!Z190)</f>
        <v>0</v>
      </c>
      <c r="S190" s="118" t="str">
        <f>IF(Modificaciones!AA190=0,"",VLOOKUP(E190,Modificaciones!$B$7:$AA$400,26,0))</f>
        <v/>
      </c>
      <c r="T190" s="119" t="str">
        <f>IF(Modificaciones!AB190=0,"",VLOOKUP(E190,Modificaciones!$B$7:$AB$400,27,0))</f>
        <v/>
      </c>
      <c r="U190" s="1080" t="str">
        <f>+Modificaciones!AC190</f>
        <v/>
      </c>
      <c r="V190" s="825" t="str">
        <f>+Modificaciones!AK190</f>
        <v/>
      </c>
      <c r="W190" s="825">
        <f t="shared" si="28"/>
        <v>42008</v>
      </c>
      <c r="X190" s="59">
        <f t="shared" si="24"/>
        <v>39600000</v>
      </c>
      <c r="Y190" s="151">
        <f>VLOOKUP(E190,Modificaciones!$B$7:$BE$300,56,0)</f>
        <v>24720000</v>
      </c>
      <c r="Z190" s="84">
        <f t="shared" si="25"/>
        <v>14880000</v>
      </c>
      <c r="AA190" s="288" t="s">
        <v>1218</v>
      </c>
      <c r="AB190" s="40">
        <f t="shared" si="26"/>
        <v>0.62424242424242427</v>
      </c>
      <c r="AC190" s="40">
        <f t="shared" ca="1" si="29"/>
        <v>1</v>
      </c>
      <c r="AD190" s="41">
        <f t="shared" ca="1" si="30"/>
        <v>0.37575757575757573</v>
      </c>
      <c r="AE190" s="181" t="str">
        <f t="shared" ca="1" si="31"/>
        <v/>
      </c>
      <c r="AF190" s="42" t="str">
        <f t="shared" si="27"/>
        <v>NO</v>
      </c>
      <c r="AG190" s="42"/>
      <c r="AH190" s="152" t="s">
        <v>1255</v>
      </c>
      <c r="AI190" s="152" t="s">
        <v>1130</v>
      </c>
      <c r="AJ190" s="152"/>
      <c r="AL190" s="153"/>
      <c r="AM190" s="153" t="s">
        <v>901</v>
      </c>
      <c r="AN190" s="161" t="str">
        <f t="shared" ca="1" si="32"/>
        <v>TERMINO</v>
      </c>
      <c r="AO190" s="160" t="s">
        <v>582</v>
      </c>
      <c r="AP190" s="155" t="s">
        <v>391</v>
      </c>
      <c r="AQ190" s="819" t="str">
        <f>IFERROR(VLOOKUP(E190,'liquidaciones '!$B$2:$C$1048576,2,0),"NO")</f>
        <v>LIQUIDADO</v>
      </c>
      <c r="AR190" s="909">
        <f>IFERROR(VLOOKUP(E190,'liquidaciones '!$B$2:$I$1048576,8,0),"")</f>
        <v>0</v>
      </c>
      <c r="AS190" s="312">
        <v>41962</v>
      </c>
      <c r="AT190" s="156" t="str">
        <f t="shared" ca="1" si="33"/>
        <v>NO</v>
      </c>
      <c r="AU190" s="156" t="s">
        <v>1164</v>
      </c>
      <c r="AV190" s="406"/>
      <c r="AW190" s="928"/>
      <c r="AX190" s="928"/>
      <c r="AY190" s="928"/>
    </row>
    <row r="191" spans="1:51" ht="53.25" customHeight="1" x14ac:dyDescent="0.3">
      <c r="A191" s="37"/>
      <c r="B191" s="14">
        <v>185</v>
      </c>
      <c r="C191" s="410"/>
      <c r="D191" s="410" t="str">
        <f t="shared" si="23"/>
        <v>2014</v>
      </c>
      <c r="E191" s="120" t="s">
        <v>255</v>
      </c>
      <c r="F191" s="129" t="s">
        <v>1031</v>
      </c>
      <c r="G191" s="1046">
        <v>79843891</v>
      </c>
      <c r="H191" s="958" t="s">
        <v>517</v>
      </c>
      <c r="I191" s="143">
        <v>51500000</v>
      </c>
      <c r="J191" s="821" t="s">
        <v>5756</v>
      </c>
      <c r="K191" s="139">
        <v>2014</v>
      </c>
      <c r="L191" s="519" t="s">
        <v>1087</v>
      </c>
      <c r="M191" s="133">
        <v>41694</v>
      </c>
      <c r="N191" s="133">
        <v>41996</v>
      </c>
      <c r="O191" s="1099" t="str">
        <f>IF(+Modificaciones!I191=0,"",VLOOKUP(E191,Modificaciones!$B$7:$I$2400,8,0))</f>
        <v/>
      </c>
      <c r="P191" s="115">
        <f>COUNTA(Modificaciones!J191,Modificaciones!L191,Modificaciones!N191,Modificaciones!P191)</f>
        <v>0</v>
      </c>
      <c r="Q191" s="116">
        <f>VLOOKUP(E191,Modificaciones!$B$7:$R$300,17,0)</f>
        <v>0</v>
      </c>
      <c r="R191" s="117">
        <f>COUNTA(Modificaciones!T191,Modificaciones!V191,Modificaciones!X191,Modificaciones!Z191)</f>
        <v>1</v>
      </c>
      <c r="S191" s="118" t="str">
        <f>IF(Modificaciones!AA191=0,"",VLOOKUP(E191,Modificaciones!$B$7:$AA$400,26,0))</f>
        <v/>
      </c>
      <c r="T191" s="119">
        <f>IF(Modificaciones!AB191=0,"",VLOOKUP(E191,Modificaciones!$B$7:$AB$400,27,0))</f>
        <v>41887</v>
      </c>
      <c r="U191" s="1080" t="str">
        <f>+Modificaciones!AC191</f>
        <v/>
      </c>
      <c r="V191" s="825" t="str">
        <f>+Modificaciones!AK191</f>
        <v/>
      </c>
      <c r="W191" s="825">
        <f t="shared" si="28"/>
        <v>41996</v>
      </c>
      <c r="X191" s="59">
        <f t="shared" si="24"/>
        <v>51500000</v>
      </c>
      <c r="Y191" s="151">
        <f>VLOOKUP(E191,Modificaciones!$B$7:$BE$300,56,0)</f>
        <v>32788333</v>
      </c>
      <c r="Z191" s="84">
        <f t="shared" si="25"/>
        <v>18711667</v>
      </c>
      <c r="AA191" s="288" t="s">
        <v>1219</v>
      </c>
      <c r="AB191" s="40">
        <f t="shared" si="26"/>
        <v>0.63666666019417473</v>
      </c>
      <c r="AC191" s="40">
        <f t="shared" ca="1" si="29"/>
        <v>1</v>
      </c>
      <c r="AD191" s="41">
        <f t="shared" ca="1" si="30"/>
        <v>0.36333333980582527</v>
      </c>
      <c r="AE191" s="181" t="str">
        <f t="shared" ca="1" si="31"/>
        <v/>
      </c>
      <c r="AF191" s="42" t="str">
        <f t="shared" si="27"/>
        <v>NO</v>
      </c>
      <c r="AG191" s="42"/>
      <c r="AH191" s="152" t="s">
        <v>1255</v>
      </c>
      <c r="AI191" s="152" t="s">
        <v>1130</v>
      </c>
      <c r="AJ191" s="152"/>
      <c r="AL191" s="153"/>
      <c r="AM191" s="153" t="s">
        <v>901</v>
      </c>
      <c r="AN191" s="161" t="str">
        <f t="shared" ca="1" si="32"/>
        <v>TERMINO</v>
      </c>
      <c r="AO191" s="160" t="s">
        <v>582</v>
      </c>
      <c r="AP191" s="155" t="s">
        <v>391</v>
      </c>
      <c r="AQ191" s="819" t="str">
        <f>IFERROR(VLOOKUP(E191,'liquidaciones '!$B$2:$C$1048576,2,0),"NO")</f>
        <v>LIQUIDADO</v>
      </c>
      <c r="AR191" s="909">
        <f>IFERROR(VLOOKUP(E191,'liquidaciones '!$B$2:$I$1048576,8,0),"")</f>
        <v>0</v>
      </c>
      <c r="AS191" s="312"/>
      <c r="AT191" s="156" t="str">
        <f t="shared" ca="1" si="33"/>
        <v>NO</v>
      </c>
      <c r="AU191" s="156" t="s">
        <v>1568</v>
      </c>
      <c r="AV191" s="406"/>
      <c r="AW191" s="928"/>
      <c r="AX191" s="928"/>
      <c r="AY191" s="928"/>
    </row>
    <row r="192" spans="1:51" ht="47.25" customHeight="1" x14ac:dyDescent="0.3">
      <c r="B192" s="14">
        <v>186</v>
      </c>
      <c r="C192" s="410"/>
      <c r="D192" s="410" t="str">
        <f t="shared" si="23"/>
        <v>2014</v>
      </c>
      <c r="E192" s="120" t="s">
        <v>250</v>
      </c>
      <c r="F192" s="120" t="s">
        <v>251</v>
      </c>
      <c r="G192" s="1046">
        <v>1018434911</v>
      </c>
      <c r="H192" s="957" t="s">
        <v>518</v>
      </c>
      <c r="I192" s="126">
        <v>16500000</v>
      </c>
      <c r="J192" s="821" t="s">
        <v>4677</v>
      </c>
      <c r="K192" s="139">
        <v>2014</v>
      </c>
      <c r="L192" s="519" t="s">
        <v>1087</v>
      </c>
      <c r="M192" s="124">
        <v>41675</v>
      </c>
      <c r="N192" s="124">
        <v>42008</v>
      </c>
      <c r="O192" s="1099" t="str">
        <f>IF(+Modificaciones!I192=0,"",VLOOKUP(E192,Modificaciones!$B$7:$I$2400,8,0))</f>
        <v/>
      </c>
      <c r="P192" s="115">
        <f>COUNTA(Modificaciones!J192,Modificaciones!L192,Modificaciones!N192,Modificaciones!P192)</f>
        <v>0</v>
      </c>
      <c r="Q192" s="116">
        <f>VLOOKUP(E192,Modificaciones!$B$7:$R$300,17,0)</f>
        <v>0</v>
      </c>
      <c r="R192" s="117">
        <f>COUNTA(Modificaciones!T192,Modificaciones!V192,Modificaciones!X192,Modificaciones!Z192)</f>
        <v>0</v>
      </c>
      <c r="S192" s="118" t="str">
        <f>IF(Modificaciones!AA192=0,"",VLOOKUP(E192,Modificaciones!$B$7:$AA$400,26,0))</f>
        <v/>
      </c>
      <c r="T192" s="119" t="str">
        <f>IF(Modificaciones!AB192=0,"",VLOOKUP(E192,Modificaciones!$B$7:$AB$400,27,0))</f>
        <v/>
      </c>
      <c r="U192" s="1080" t="str">
        <f>+Modificaciones!AC192</f>
        <v/>
      </c>
      <c r="V192" s="825" t="str">
        <f>+Modificaciones!AK192</f>
        <v/>
      </c>
      <c r="W192" s="825">
        <f t="shared" si="28"/>
        <v>42008</v>
      </c>
      <c r="X192" s="59">
        <f t="shared" si="24"/>
        <v>16500000</v>
      </c>
      <c r="Y192" s="151">
        <f>VLOOKUP(E192,Modificaciones!$B$7:$BE$300,56,0)</f>
        <v>10300000</v>
      </c>
      <c r="Z192" s="84">
        <f t="shared" si="25"/>
        <v>6200000</v>
      </c>
      <c r="AA192" s="288" t="s">
        <v>1220</v>
      </c>
      <c r="AB192" s="40">
        <f t="shared" si="26"/>
        <v>0.62424242424242427</v>
      </c>
      <c r="AC192" s="40">
        <f t="shared" ca="1" si="29"/>
        <v>1</v>
      </c>
      <c r="AD192" s="41">
        <f t="shared" ca="1" si="30"/>
        <v>0.37575757575757573</v>
      </c>
      <c r="AE192" s="181" t="str">
        <f t="shared" ca="1" si="31"/>
        <v/>
      </c>
      <c r="AF192" s="42" t="str">
        <f t="shared" si="27"/>
        <v>NO</v>
      </c>
      <c r="AG192" s="42"/>
      <c r="AH192" s="152" t="s">
        <v>1255</v>
      </c>
      <c r="AI192" s="275" t="s">
        <v>1130</v>
      </c>
      <c r="AJ192" s="152"/>
      <c r="AK192" s="255" t="s">
        <v>559</v>
      </c>
      <c r="AL192" s="153" t="s">
        <v>1381</v>
      </c>
      <c r="AM192" s="153" t="s">
        <v>901</v>
      </c>
      <c r="AN192" s="161" t="str">
        <f t="shared" ca="1" si="32"/>
        <v>TERMINO</v>
      </c>
      <c r="AO192" s="160" t="s">
        <v>582</v>
      </c>
      <c r="AP192" s="155" t="s">
        <v>391</v>
      </c>
      <c r="AQ192" s="819" t="str">
        <f>IFERROR(VLOOKUP(E192,'liquidaciones '!$B$2:$C$1048576,2,0),"NO")</f>
        <v>LIQUIDADO</v>
      </c>
      <c r="AR192" s="909">
        <f>IFERROR(VLOOKUP(E192,'liquidaciones '!$B$2:$I$1048576,8,0),"")</f>
        <v>0</v>
      </c>
      <c r="AS192" s="312"/>
      <c r="AT192" s="156" t="str">
        <f t="shared" ca="1" si="33"/>
        <v>NO</v>
      </c>
      <c r="AU192" s="156" t="s">
        <v>1568</v>
      </c>
      <c r="AV192" s="406"/>
      <c r="AW192" s="928"/>
      <c r="AX192" s="928"/>
      <c r="AY192" s="928"/>
    </row>
    <row r="193" spans="1:51" ht="47.25" customHeight="1" x14ac:dyDescent="0.3">
      <c r="A193" s="37"/>
      <c r="B193" s="14">
        <v>187</v>
      </c>
      <c r="C193" s="410"/>
      <c r="D193" s="410" t="str">
        <f t="shared" si="23"/>
        <v>2014</v>
      </c>
      <c r="E193" s="120" t="s">
        <v>256</v>
      </c>
      <c r="F193" s="120" t="s">
        <v>1393</v>
      </c>
      <c r="G193" s="1047">
        <v>60289180</v>
      </c>
      <c r="H193" s="958" t="s">
        <v>519</v>
      </c>
      <c r="I193" s="143">
        <v>51500000</v>
      </c>
      <c r="J193" s="821" t="s">
        <v>5265</v>
      </c>
      <c r="K193" s="139">
        <v>2014</v>
      </c>
      <c r="L193" s="519" t="s">
        <v>1087</v>
      </c>
      <c r="M193" s="133">
        <v>41677</v>
      </c>
      <c r="N193" s="133">
        <v>41979</v>
      </c>
      <c r="O193" s="1099" t="str">
        <f>IF(+Modificaciones!I193=0,"",VLOOKUP(E193,Modificaciones!$B$7:$I$2400,8,0))</f>
        <v/>
      </c>
      <c r="P193" s="115">
        <f>COUNTA(Modificaciones!J193,Modificaciones!L193,Modificaciones!N193,Modificaciones!P193)</f>
        <v>1</v>
      </c>
      <c r="Q193" s="116">
        <f>VLOOKUP(E193,Modificaciones!$B$7:$R$300,17,0)</f>
        <v>10300000</v>
      </c>
      <c r="R193" s="117">
        <f>COUNTA(Modificaciones!T193,Modificaciones!V193,Modificaciones!X193,Modificaciones!Z193)</f>
        <v>2</v>
      </c>
      <c r="S193" s="118" t="str">
        <f>IF(Modificaciones!AA193=0,"",VLOOKUP(E193,Modificaciones!$B$7:$AA$400,26,0))</f>
        <v>2 meses</v>
      </c>
      <c r="T193" s="119">
        <f>IF(Modificaciones!AB193=0,"",VLOOKUP(E193,Modificaciones!$B$7:$AB$400,27,0))</f>
        <v>42041</v>
      </c>
      <c r="U193" s="1080" t="str">
        <f>+Modificaciones!AC193</f>
        <v/>
      </c>
      <c r="V193" s="825" t="str">
        <f>+Modificaciones!AK193</f>
        <v/>
      </c>
      <c r="W193" s="825">
        <f t="shared" si="28"/>
        <v>42041</v>
      </c>
      <c r="X193" s="59">
        <f t="shared" si="24"/>
        <v>61800000</v>
      </c>
      <c r="Y193" s="151">
        <f>VLOOKUP(E193,Modificaciones!$B$7:$BE$300,56,0)</f>
        <v>54933333</v>
      </c>
      <c r="Z193" s="84">
        <f t="shared" si="25"/>
        <v>6866667</v>
      </c>
      <c r="AA193" s="288" t="s">
        <v>1221</v>
      </c>
      <c r="AB193" s="40">
        <f t="shared" si="26"/>
        <v>0.88888888349514561</v>
      </c>
      <c r="AC193" s="40">
        <f t="shared" ca="1" si="29"/>
        <v>1</v>
      </c>
      <c r="AD193" s="41">
        <f t="shared" ca="1" si="30"/>
        <v>0.11111111650485439</v>
      </c>
      <c r="AE193" s="181" t="str">
        <f t="shared" ca="1" si="31"/>
        <v/>
      </c>
      <c r="AF193" s="42" t="str">
        <f t="shared" si="27"/>
        <v>NO</v>
      </c>
      <c r="AG193" s="42"/>
      <c r="AH193" s="152" t="s">
        <v>1255</v>
      </c>
      <c r="AI193" s="275" t="s">
        <v>1130</v>
      </c>
      <c r="AJ193" s="152" t="s">
        <v>1176</v>
      </c>
      <c r="AK193" s="255" t="s">
        <v>559</v>
      </c>
      <c r="AL193" s="153" t="s">
        <v>1381</v>
      </c>
      <c r="AM193" s="153" t="s">
        <v>901</v>
      </c>
      <c r="AN193" s="161" t="str">
        <f t="shared" ca="1" si="32"/>
        <v>TERMINO</v>
      </c>
      <c r="AO193" s="160" t="s">
        <v>582</v>
      </c>
      <c r="AP193" s="155" t="s">
        <v>391</v>
      </c>
      <c r="AQ193" s="819" t="str">
        <f>IFERROR(VLOOKUP(E193,'liquidaciones '!$B$2:$C$1048576,2,0),"NO")</f>
        <v>LIQUIDADO</v>
      </c>
      <c r="AR193" s="909">
        <f>IFERROR(VLOOKUP(E193,'liquidaciones '!$B$2:$I$1048576,8,0),"")</f>
        <v>0</v>
      </c>
      <c r="AS193" s="312"/>
      <c r="AT193" s="156" t="str">
        <f t="shared" ca="1" si="33"/>
        <v>NO</v>
      </c>
      <c r="AU193" s="156" t="s">
        <v>981</v>
      </c>
      <c r="AV193" s="406"/>
      <c r="AW193" s="928"/>
      <c r="AX193" s="928"/>
      <c r="AY193" s="928"/>
    </row>
    <row r="194" spans="1:51" ht="80.25" customHeight="1" x14ac:dyDescent="0.3">
      <c r="B194" s="14">
        <v>188</v>
      </c>
      <c r="C194" s="410"/>
      <c r="D194" s="410" t="str">
        <f t="shared" si="23"/>
        <v>2014</v>
      </c>
      <c r="E194" s="120" t="s">
        <v>264</v>
      </c>
      <c r="F194" s="120" t="s">
        <v>186</v>
      </c>
      <c r="G194" s="1046">
        <v>800039398</v>
      </c>
      <c r="H194" s="957" t="s">
        <v>520</v>
      </c>
      <c r="I194" s="126">
        <v>340808000</v>
      </c>
      <c r="J194" s="821" t="s">
        <v>4715</v>
      </c>
      <c r="K194" s="139">
        <v>2014</v>
      </c>
      <c r="L194" s="519" t="s">
        <v>1087</v>
      </c>
      <c r="M194" s="124">
        <v>41704</v>
      </c>
      <c r="N194" s="124">
        <v>41748</v>
      </c>
      <c r="O194" s="1099" t="str">
        <f>IF(+Modificaciones!I194=0,"",VLOOKUP(E194,Modificaciones!$B$7:$I$2400,8,0))</f>
        <v/>
      </c>
      <c r="P194" s="115">
        <f>COUNTA(Modificaciones!J194,Modificaciones!L194,Modificaciones!N194,Modificaciones!P194)</f>
        <v>0</v>
      </c>
      <c r="Q194" s="116">
        <f>VLOOKUP(E194,Modificaciones!$B$7:$R$300,17,0)</f>
        <v>0</v>
      </c>
      <c r="R194" s="117">
        <f>COUNTA(Modificaciones!T194,Modificaciones!V194,Modificaciones!X194,Modificaciones!Z194)</f>
        <v>0</v>
      </c>
      <c r="S194" s="118" t="str">
        <f>IF(Modificaciones!AA194=0,"",VLOOKUP(E194,Modificaciones!$B$7:$AA$400,26,0))</f>
        <v/>
      </c>
      <c r="T194" s="119" t="str">
        <f>IF(Modificaciones!AB194=0,"",VLOOKUP(E194,Modificaciones!$B$7:$AB$400,27,0))</f>
        <v/>
      </c>
      <c r="U194" s="1080" t="str">
        <f>+Modificaciones!AC194</f>
        <v/>
      </c>
      <c r="V194" s="825" t="str">
        <f>+Modificaciones!AK194</f>
        <v/>
      </c>
      <c r="W194" s="825">
        <f t="shared" si="28"/>
        <v>41748</v>
      </c>
      <c r="X194" s="59">
        <f t="shared" si="24"/>
        <v>340808000</v>
      </c>
      <c r="Y194" s="151">
        <f>VLOOKUP(E194,Modificaciones!$B$7:$BE$300,56,0)</f>
        <v>340808000</v>
      </c>
      <c r="Z194" s="84">
        <f t="shared" si="25"/>
        <v>0</v>
      </c>
      <c r="AA194" s="288" t="s">
        <v>1222</v>
      </c>
      <c r="AB194" s="40">
        <f t="shared" si="26"/>
        <v>1</v>
      </c>
      <c r="AC194" s="40">
        <f t="shared" ca="1" si="29"/>
        <v>1</v>
      </c>
      <c r="AD194" s="41">
        <f t="shared" ca="1" si="30"/>
        <v>0</v>
      </c>
      <c r="AE194" s="181" t="str">
        <f t="shared" ca="1" si="31"/>
        <v/>
      </c>
      <c r="AF194" s="42" t="str">
        <f t="shared" si="27"/>
        <v>SI</v>
      </c>
      <c r="AG194" s="42"/>
      <c r="AH194" s="152" t="s">
        <v>1256</v>
      </c>
      <c r="AI194" s="152" t="s">
        <v>1311</v>
      </c>
      <c r="AJ194" s="152"/>
      <c r="AL194" s="153" t="s">
        <v>1508</v>
      </c>
      <c r="AM194" s="153" t="s">
        <v>901</v>
      </c>
      <c r="AN194" s="161" t="str">
        <f t="shared" ca="1" si="32"/>
        <v>TERMINO</v>
      </c>
      <c r="AO194" s="152" t="s">
        <v>575</v>
      </c>
      <c r="AP194" s="155" t="s">
        <v>390</v>
      </c>
      <c r="AQ194" s="819" t="str">
        <f>IFERROR(VLOOKUP(E194,'liquidaciones '!$B$2:$C$1048576,2,0),"NO")</f>
        <v>LIQUIDADO</v>
      </c>
      <c r="AR194" s="909">
        <f>IFERROR(VLOOKUP(E194,'liquidaciones '!$B$2:$I$1048576,8,0),"")</f>
        <v>0</v>
      </c>
      <c r="AS194" s="312"/>
      <c r="AT194" s="156" t="str">
        <f t="shared" ca="1" si="33"/>
        <v>NO</v>
      </c>
      <c r="AU194" s="156" t="s">
        <v>1991</v>
      </c>
      <c r="AV194" s="406"/>
      <c r="AW194" s="928"/>
      <c r="AX194" s="928"/>
      <c r="AY194" s="928"/>
    </row>
    <row r="195" spans="1:51" ht="62.25" customHeight="1" x14ac:dyDescent="0.3">
      <c r="B195" s="14">
        <v>189</v>
      </c>
      <c r="C195" s="410"/>
      <c r="D195" s="410" t="str">
        <f t="shared" si="23"/>
        <v>2014</v>
      </c>
      <c r="E195" s="120" t="s">
        <v>262</v>
      </c>
      <c r="F195" s="120" t="s">
        <v>263</v>
      </c>
      <c r="G195" s="1046">
        <v>900381188</v>
      </c>
      <c r="H195" s="957" t="s">
        <v>521</v>
      </c>
      <c r="I195" s="126">
        <v>28900000</v>
      </c>
      <c r="J195" s="821" t="s">
        <v>4715</v>
      </c>
      <c r="K195" s="139">
        <v>2014</v>
      </c>
      <c r="L195" s="519" t="s">
        <v>1087</v>
      </c>
      <c r="M195" s="124">
        <v>41704</v>
      </c>
      <c r="N195" s="124">
        <v>41748</v>
      </c>
      <c r="O195" s="1099" t="str">
        <f>IF(+Modificaciones!I195=0,"",VLOOKUP(E195,Modificaciones!$B$7:$I$2400,8,0))</f>
        <v/>
      </c>
      <c r="P195" s="115">
        <f>COUNTA(Modificaciones!J195,Modificaciones!L195,Modificaciones!N195,Modificaciones!P195)</f>
        <v>0</v>
      </c>
      <c r="Q195" s="116">
        <f>VLOOKUP(E195,Modificaciones!$B$7:$R$300,17,0)</f>
        <v>0</v>
      </c>
      <c r="R195" s="117">
        <f>COUNTA(Modificaciones!T195,Modificaciones!V195,Modificaciones!X195,Modificaciones!Z195)</f>
        <v>0</v>
      </c>
      <c r="S195" s="118" t="str">
        <f>IF(Modificaciones!AA195=0,"",VLOOKUP(E195,Modificaciones!$B$7:$AA$400,26,0))</f>
        <v/>
      </c>
      <c r="T195" s="119" t="str">
        <f>IF(Modificaciones!AB195=0,"",VLOOKUP(E195,Modificaciones!$B$7:$AB$400,27,0))</f>
        <v/>
      </c>
      <c r="U195" s="1080" t="str">
        <f>+Modificaciones!AC195</f>
        <v/>
      </c>
      <c r="V195" s="825" t="str">
        <f>+Modificaciones!AK195</f>
        <v/>
      </c>
      <c r="W195" s="825">
        <f t="shared" si="28"/>
        <v>41748</v>
      </c>
      <c r="X195" s="59">
        <f t="shared" si="24"/>
        <v>28900000</v>
      </c>
      <c r="Y195" s="151">
        <f>VLOOKUP(E195,Modificaciones!$B$7:$BE$300,56,0)</f>
        <v>28900000</v>
      </c>
      <c r="Z195" s="84">
        <f t="shared" si="25"/>
        <v>0</v>
      </c>
      <c r="AA195" s="288" t="s">
        <v>1223</v>
      </c>
      <c r="AB195" s="40">
        <f t="shared" si="26"/>
        <v>1</v>
      </c>
      <c r="AC195" s="40">
        <f t="shared" ca="1" si="29"/>
        <v>1</v>
      </c>
      <c r="AD195" s="41">
        <f t="shared" ca="1" si="30"/>
        <v>0</v>
      </c>
      <c r="AE195" s="181" t="str">
        <f t="shared" ca="1" si="31"/>
        <v/>
      </c>
      <c r="AF195" s="42" t="str">
        <f t="shared" si="27"/>
        <v>SI</v>
      </c>
      <c r="AG195" s="42"/>
      <c r="AH195" s="152" t="s">
        <v>1256</v>
      </c>
      <c r="AI195" s="152" t="s">
        <v>1311</v>
      </c>
      <c r="AJ195" s="152"/>
      <c r="AL195" s="153"/>
      <c r="AM195" s="153" t="s">
        <v>901</v>
      </c>
      <c r="AN195" s="161" t="str">
        <f t="shared" ca="1" si="32"/>
        <v>TERMINO</v>
      </c>
      <c r="AO195" s="152" t="s">
        <v>575</v>
      </c>
      <c r="AP195" s="155" t="s">
        <v>390</v>
      </c>
      <c r="AQ195" s="819" t="str">
        <f>IFERROR(VLOOKUP(E195,'liquidaciones '!$B$2:$C$1048576,2,0),"NO")</f>
        <v>LIQUIDADO</v>
      </c>
      <c r="AR195" s="909">
        <f>IFERROR(VLOOKUP(E195,'liquidaciones '!$B$2:$I$1048576,8,0),"")</f>
        <v>0</v>
      </c>
      <c r="AS195" s="312">
        <v>42094</v>
      </c>
      <c r="AT195" s="156" t="str">
        <f t="shared" ca="1" si="33"/>
        <v>NO</v>
      </c>
      <c r="AU195" s="156" t="s">
        <v>1442</v>
      </c>
      <c r="AV195" s="406"/>
      <c r="AW195" s="928"/>
      <c r="AX195" s="928"/>
      <c r="AY195" s="928"/>
    </row>
    <row r="196" spans="1:51" ht="47.25" customHeight="1" x14ac:dyDescent="0.3">
      <c r="B196" s="14">
        <v>190</v>
      </c>
      <c r="C196" s="410"/>
      <c r="D196" s="410" t="str">
        <f t="shared" si="23"/>
        <v>2014</v>
      </c>
      <c r="E196" s="120" t="s">
        <v>260</v>
      </c>
      <c r="F196" s="120" t="s">
        <v>261</v>
      </c>
      <c r="G196" s="1046">
        <v>900157564</v>
      </c>
      <c r="H196" s="957" t="s">
        <v>522</v>
      </c>
      <c r="I196" s="126">
        <v>248000000</v>
      </c>
      <c r="J196" s="821" t="s">
        <v>4410</v>
      </c>
      <c r="K196" s="139">
        <v>2014</v>
      </c>
      <c r="L196" s="519" t="s">
        <v>1087</v>
      </c>
      <c r="M196" s="124">
        <v>41708</v>
      </c>
      <c r="N196" s="124">
        <v>41738</v>
      </c>
      <c r="O196" s="1099" t="str">
        <f>IF(+Modificaciones!I196=0,"",VLOOKUP(E196,Modificaciones!$B$7:$I$2400,8,0))</f>
        <v/>
      </c>
      <c r="P196" s="115">
        <f>COUNTA(Modificaciones!J196,Modificaciones!L196,Modificaciones!N196,Modificaciones!P196)</f>
        <v>1</v>
      </c>
      <c r="Q196" s="116">
        <f>VLOOKUP(E196,Modificaciones!$B$7:$R$300,17,0)</f>
        <v>77128875</v>
      </c>
      <c r="R196" s="117">
        <f>COUNTA(Modificaciones!T196,Modificaciones!V196,Modificaciones!X196,Modificaciones!Z196)</f>
        <v>0</v>
      </c>
      <c r="S196" s="118" t="str">
        <f>IF(Modificaciones!AA196=0,"",VLOOKUP(E196,Modificaciones!$B$7:$AA$400,26,0))</f>
        <v/>
      </c>
      <c r="T196" s="119" t="str">
        <f>IF(Modificaciones!AB196=0,"",VLOOKUP(E196,Modificaciones!$B$7:$AB$400,27,0))</f>
        <v/>
      </c>
      <c r="U196" s="1080" t="str">
        <f>+Modificaciones!AC196</f>
        <v/>
      </c>
      <c r="V196" s="825" t="str">
        <f>+Modificaciones!AK196</f>
        <v/>
      </c>
      <c r="W196" s="825">
        <f t="shared" si="28"/>
        <v>41738</v>
      </c>
      <c r="X196" s="59">
        <f t="shared" si="24"/>
        <v>325128875</v>
      </c>
      <c r="Y196" s="151">
        <f>VLOOKUP(E196,Modificaciones!$B$7:$BE$300,56,0)</f>
        <v>325028452</v>
      </c>
      <c r="Z196" s="84">
        <f t="shared" si="25"/>
        <v>100423</v>
      </c>
      <c r="AA196" s="288"/>
      <c r="AB196" s="40">
        <f t="shared" si="26"/>
        <v>0.99969112863322274</v>
      </c>
      <c r="AC196" s="40">
        <f t="shared" ca="1" si="29"/>
        <v>1</v>
      </c>
      <c r="AD196" s="41">
        <f t="shared" ca="1" si="30"/>
        <v>3.0887136677726357E-4</v>
      </c>
      <c r="AE196" s="181" t="str">
        <f t="shared" ca="1" si="31"/>
        <v/>
      </c>
      <c r="AF196" s="42" t="str">
        <f t="shared" si="27"/>
        <v>SI</v>
      </c>
      <c r="AG196" s="42"/>
      <c r="AH196" s="152" t="s">
        <v>1255</v>
      </c>
      <c r="AI196" s="152" t="s">
        <v>1133</v>
      </c>
      <c r="AJ196" s="152"/>
      <c r="AL196" s="153"/>
      <c r="AM196" s="153" t="s">
        <v>901</v>
      </c>
      <c r="AN196" s="161" t="str">
        <f t="shared" ca="1" si="32"/>
        <v>TERMINO</v>
      </c>
      <c r="AO196" s="160" t="s">
        <v>921</v>
      </c>
      <c r="AP196" s="155" t="s">
        <v>390</v>
      </c>
      <c r="AQ196" s="819" t="str">
        <f>IFERROR(VLOOKUP(E196,'liquidaciones '!$B$2:$C$1048576,2,0),"NO")</f>
        <v>LIQUIDADO</v>
      </c>
      <c r="AR196" s="909">
        <f>IFERROR(VLOOKUP(E196,'liquidaciones '!$B$2:$I$1048576,8,0),"")</f>
        <v>0</v>
      </c>
      <c r="AS196" s="312">
        <v>42003</v>
      </c>
      <c r="AT196" s="156" t="str">
        <f t="shared" ca="1" si="33"/>
        <v>NO</v>
      </c>
      <c r="AU196" s="156" t="s">
        <v>1164</v>
      </c>
      <c r="AV196" s="406"/>
      <c r="AW196" s="928"/>
      <c r="AX196" s="928"/>
      <c r="AY196" s="928"/>
    </row>
    <row r="197" spans="1:51" ht="47.25" customHeight="1" x14ac:dyDescent="0.3">
      <c r="B197" s="14">
        <v>191</v>
      </c>
      <c r="C197" s="410"/>
      <c r="D197" s="410" t="str">
        <f t="shared" si="23"/>
        <v>2014</v>
      </c>
      <c r="E197" s="120" t="s">
        <v>273</v>
      </c>
      <c r="F197" s="120" t="s">
        <v>126</v>
      </c>
      <c r="G197" s="1046">
        <v>900333228</v>
      </c>
      <c r="H197" s="957" t="s">
        <v>523</v>
      </c>
      <c r="I197" s="126">
        <v>11000000</v>
      </c>
      <c r="J197" s="821" t="s">
        <v>2664</v>
      </c>
      <c r="K197" s="139">
        <v>2014</v>
      </c>
      <c r="L197" s="519" t="s">
        <v>1087</v>
      </c>
      <c r="M197" s="124">
        <v>41738</v>
      </c>
      <c r="N197" s="124">
        <v>42012</v>
      </c>
      <c r="O197" s="1099" t="str">
        <f>IF(+Modificaciones!I197=0,"",VLOOKUP(E197,Modificaciones!$B$7:$I$2400,8,0))</f>
        <v/>
      </c>
      <c r="P197" s="115">
        <f>COUNTA(Modificaciones!J197,Modificaciones!L197,Modificaciones!N197,Modificaciones!P197)</f>
        <v>0</v>
      </c>
      <c r="Q197" s="116">
        <f>VLOOKUP(E197,Modificaciones!$B$7:$R$300,17,0)</f>
        <v>0</v>
      </c>
      <c r="R197" s="117">
        <f>COUNTA(Modificaciones!T197,Modificaciones!V197,Modificaciones!X197,Modificaciones!Z197)</f>
        <v>0</v>
      </c>
      <c r="S197" s="118" t="str">
        <f>IF(Modificaciones!AA197=0,"",VLOOKUP(E197,Modificaciones!$B$7:$AA$400,26,0))</f>
        <v/>
      </c>
      <c r="T197" s="119" t="str">
        <f>IF(Modificaciones!AB197=0,"",VLOOKUP(E197,Modificaciones!$B$7:$AB$400,27,0))</f>
        <v/>
      </c>
      <c r="U197" s="1080" t="str">
        <f>+Modificaciones!AC197</f>
        <v/>
      </c>
      <c r="V197" s="825" t="str">
        <f>+Modificaciones!AK197</f>
        <v/>
      </c>
      <c r="W197" s="825">
        <f t="shared" si="28"/>
        <v>42012</v>
      </c>
      <c r="X197" s="59">
        <f t="shared" si="24"/>
        <v>11000000</v>
      </c>
      <c r="Y197" s="151">
        <f>VLOOKUP(E197,Modificaciones!$B$7:$BE$300,56,0)</f>
        <v>2672466</v>
      </c>
      <c r="Z197" s="84">
        <f t="shared" si="25"/>
        <v>8327534</v>
      </c>
      <c r="AA197" s="288" t="s">
        <v>1180</v>
      </c>
      <c r="AB197" s="40">
        <f t="shared" si="26"/>
        <v>0.24295145454545455</v>
      </c>
      <c r="AC197" s="40">
        <f t="shared" ca="1" si="29"/>
        <v>1</v>
      </c>
      <c r="AD197" s="41">
        <f t="shared" ca="1" si="30"/>
        <v>0.75704854545454547</v>
      </c>
      <c r="AE197" s="181" t="str">
        <f t="shared" ca="1" si="31"/>
        <v/>
      </c>
      <c r="AF197" s="42" t="str">
        <f t="shared" si="27"/>
        <v>NO</v>
      </c>
      <c r="AG197" s="42"/>
      <c r="AH197" s="152" t="s">
        <v>1255</v>
      </c>
      <c r="AI197" s="275" t="s">
        <v>1170</v>
      </c>
      <c r="AJ197" s="152" t="s">
        <v>1441</v>
      </c>
      <c r="AK197" s="255" t="s">
        <v>560</v>
      </c>
      <c r="AL197" s="153" t="s">
        <v>1379</v>
      </c>
      <c r="AM197" s="153" t="s">
        <v>901</v>
      </c>
      <c r="AN197" s="161" t="str">
        <f t="shared" ca="1" si="32"/>
        <v>TERMINO</v>
      </c>
      <c r="AO197" s="160" t="s">
        <v>576</v>
      </c>
      <c r="AP197" s="155" t="s">
        <v>390</v>
      </c>
      <c r="AQ197" s="819" t="str">
        <f>IFERROR(VLOOKUP(E197,'liquidaciones '!$B$2:$C$1048576,2,0),"NO")</f>
        <v>LIQUIDADO</v>
      </c>
      <c r="AR197" s="909">
        <f>IFERROR(VLOOKUP(E197,'liquidaciones '!$B$2:$I$1048576,8,0),"")</f>
        <v>0</v>
      </c>
      <c r="AS197" s="312">
        <v>42290</v>
      </c>
      <c r="AT197" s="156" t="str">
        <f t="shared" ca="1" si="33"/>
        <v>NO</v>
      </c>
      <c r="AU197" s="156" t="s">
        <v>1570</v>
      </c>
      <c r="AV197" s="406"/>
      <c r="AW197" s="928"/>
      <c r="AX197" s="928"/>
      <c r="AY197" s="928"/>
    </row>
    <row r="198" spans="1:51" ht="47.25" customHeight="1" x14ac:dyDescent="0.3">
      <c r="B198" s="14">
        <v>192</v>
      </c>
      <c r="C198" s="410"/>
      <c r="D198" s="410" t="str">
        <f t="shared" si="23"/>
        <v>2014</v>
      </c>
      <c r="E198" s="120" t="s">
        <v>288</v>
      </c>
      <c r="F198" s="120" t="s">
        <v>12</v>
      </c>
      <c r="G198" s="1046">
        <v>805006014</v>
      </c>
      <c r="H198" s="957" t="s">
        <v>524</v>
      </c>
      <c r="I198" s="126">
        <v>1325400</v>
      </c>
      <c r="J198" s="821" t="s">
        <v>2615</v>
      </c>
      <c r="K198" s="139">
        <v>2014</v>
      </c>
      <c r="L198" s="519" t="s">
        <v>1087</v>
      </c>
      <c r="M198" s="124">
        <v>41738</v>
      </c>
      <c r="N198" s="124">
        <v>42102</v>
      </c>
      <c r="O198" s="1099" t="str">
        <f>IF(+Modificaciones!I198=0,"",VLOOKUP(E198,Modificaciones!$B$7:$I$2400,8,0))</f>
        <v/>
      </c>
      <c r="P198" s="115">
        <f>COUNTA(Modificaciones!J198,Modificaciones!L198,Modificaciones!N198,Modificaciones!P198)</f>
        <v>1</v>
      </c>
      <c r="Q198" s="116">
        <f>VLOOKUP(E198,Modificaciones!$B$7:$R$300,17,0)</f>
        <v>282000</v>
      </c>
      <c r="R198" s="117">
        <f>COUNTA(Modificaciones!T198,Modificaciones!V198,Modificaciones!X198,Modificaciones!Z198)</f>
        <v>0</v>
      </c>
      <c r="S198" s="118" t="str">
        <f>IF(Modificaciones!AA198=0,"",VLOOKUP(E198,Modificaciones!$B$7:$AA$400,26,0))</f>
        <v/>
      </c>
      <c r="T198" s="119" t="str">
        <f>IF(Modificaciones!AB198=0,"",VLOOKUP(E198,Modificaciones!$B$7:$AB$400,27,0))</f>
        <v/>
      </c>
      <c r="U198" s="1080" t="str">
        <f>+Modificaciones!AC198</f>
        <v/>
      </c>
      <c r="V198" s="825" t="str">
        <f>+Modificaciones!AK198</f>
        <v/>
      </c>
      <c r="W198" s="825">
        <f t="shared" si="28"/>
        <v>42102</v>
      </c>
      <c r="X198" s="59">
        <f t="shared" si="24"/>
        <v>1607400</v>
      </c>
      <c r="Y198" s="151">
        <f>VLOOKUP(E198,Modificaciones!$B$7:$BE$300,56,0)</f>
        <v>0</v>
      </c>
      <c r="Z198" s="84">
        <f t="shared" si="25"/>
        <v>1607400</v>
      </c>
      <c r="AA198" s="288" t="s">
        <v>4985</v>
      </c>
      <c r="AB198" s="40">
        <f t="shared" si="26"/>
        <v>0</v>
      </c>
      <c r="AC198" s="40">
        <f t="shared" ca="1" si="29"/>
        <v>1</v>
      </c>
      <c r="AD198" s="41">
        <f t="shared" ca="1" si="30"/>
        <v>1</v>
      </c>
      <c r="AE198" s="181" t="str">
        <f t="shared" ca="1" si="31"/>
        <v/>
      </c>
      <c r="AF198" s="42" t="str">
        <f t="shared" si="27"/>
        <v>NO</v>
      </c>
      <c r="AG198" s="42"/>
      <c r="AH198" s="152" t="s">
        <v>1255</v>
      </c>
      <c r="AI198" s="275" t="s">
        <v>1132</v>
      </c>
      <c r="AJ198" s="152" t="s">
        <v>1441</v>
      </c>
      <c r="AK198" s="255" t="s">
        <v>560</v>
      </c>
      <c r="AL198" s="153"/>
      <c r="AM198" s="153" t="s">
        <v>901</v>
      </c>
      <c r="AN198" s="161" t="str">
        <f t="shared" ca="1" si="32"/>
        <v>TERMINO</v>
      </c>
      <c r="AO198" s="160" t="s">
        <v>576</v>
      </c>
      <c r="AP198" s="155" t="s">
        <v>390</v>
      </c>
      <c r="AQ198" s="819" t="str">
        <f>IFERROR(VLOOKUP(E198,'liquidaciones '!$B$2:$C$1048576,2,0),"NO")</f>
        <v>EN TRÁMITE</v>
      </c>
      <c r="AR198" s="909">
        <f>IFERROR(VLOOKUP(E198,'liquidaciones '!$B$2:$I$1048576,8,0),"")</f>
        <v>0</v>
      </c>
      <c r="AS198" s="312">
        <v>42304</v>
      </c>
      <c r="AT198" s="156" t="str">
        <f t="shared" ca="1" si="33"/>
        <v>NO</v>
      </c>
      <c r="AU198" s="156" t="s">
        <v>981</v>
      </c>
      <c r="AV198" s="406"/>
      <c r="AW198" s="928"/>
      <c r="AX198" s="928"/>
      <c r="AY198" s="928"/>
    </row>
    <row r="199" spans="1:51" ht="61.5" customHeight="1" x14ac:dyDescent="0.3">
      <c r="B199" s="14">
        <v>193</v>
      </c>
      <c r="C199" s="410"/>
      <c r="D199" s="410" t="str">
        <f t="shared" ref="D199:D262" si="34">K199&amp;C199</f>
        <v>2014</v>
      </c>
      <c r="E199" s="120" t="s">
        <v>266</v>
      </c>
      <c r="F199" s="120" t="s">
        <v>1029</v>
      </c>
      <c r="G199" s="1046">
        <v>830122370</v>
      </c>
      <c r="H199" s="957" t="s">
        <v>368</v>
      </c>
      <c r="I199" s="126">
        <v>4982000</v>
      </c>
      <c r="J199" s="821" t="s">
        <v>2665</v>
      </c>
      <c r="K199" s="139">
        <v>2014</v>
      </c>
      <c r="L199" s="519" t="s">
        <v>1087</v>
      </c>
      <c r="M199" s="124">
        <v>41725</v>
      </c>
      <c r="N199" s="124">
        <v>41969</v>
      </c>
      <c r="O199" s="1099" t="str">
        <f>IF(+Modificaciones!I199=0,"",VLOOKUP(E199,Modificaciones!$B$7:$I$2400,8,0))</f>
        <v/>
      </c>
      <c r="P199" s="115">
        <f>COUNTA(Modificaciones!J199,Modificaciones!L199,Modificaciones!N199,Modificaciones!P199)</f>
        <v>0</v>
      </c>
      <c r="Q199" s="116">
        <f>VLOOKUP(E199,Modificaciones!$B$7:$R$300,17,0)</f>
        <v>0</v>
      </c>
      <c r="R199" s="117">
        <f>COUNTA(Modificaciones!T199,Modificaciones!V199,Modificaciones!X199,Modificaciones!Z199)</f>
        <v>0</v>
      </c>
      <c r="S199" s="118" t="str">
        <f>IF(Modificaciones!AA199=0,"",VLOOKUP(E199,Modificaciones!$B$7:$AA$400,26,0))</f>
        <v/>
      </c>
      <c r="T199" s="119" t="str">
        <f>IF(Modificaciones!AB199=0,"",VLOOKUP(E199,Modificaciones!$B$7:$AB$400,27,0))</f>
        <v/>
      </c>
      <c r="U199" s="1080" t="str">
        <f>+Modificaciones!AC199</f>
        <v/>
      </c>
      <c r="V199" s="825" t="str">
        <f>+Modificaciones!AK199</f>
        <v/>
      </c>
      <c r="W199" s="825">
        <f t="shared" si="28"/>
        <v>41969</v>
      </c>
      <c r="X199" s="59">
        <f t="shared" ref="X199:X262" si="35">I199+Q199</f>
        <v>4982000</v>
      </c>
      <c r="Y199" s="151">
        <f>VLOOKUP(E199,Modificaciones!$B$7:$BE$300,56,0)</f>
        <v>2832000</v>
      </c>
      <c r="Z199" s="84">
        <f t="shared" ref="Z199:Z262" si="36">X199-Y199</f>
        <v>2150000</v>
      </c>
      <c r="AA199" s="288" t="s">
        <v>1224</v>
      </c>
      <c r="AB199" s="40">
        <f t="shared" ref="AB199:AB262" si="37">(Y199*100%)/X199</f>
        <v>0.56844640706543559</v>
      </c>
      <c r="AC199" s="40">
        <f t="shared" ca="1" si="29"/>
        <v>1</v>
      </c>
      <c r="AD199" s="41">
        <f t="shared" ca="1" si="30"/>
        <v>0.43155359293456441</v>
      </c>
      <c r="AE199" s="181" t="str">
        <f t="shared" ca="1" si="31"/>
        <v/>
      </c>
      <c r="AF199" s="42" t="str">
        <f t="shared" ref="AF199:AF221" si="38">IF(AB199&lt;=99.9%,"NO","SI")</f>
        <v>NO</v>
      </c>
      <c r="AG199" s="42"/>
      <c r="AH199" s="152" t="s">
        <v>1255</v>
      </c>
      <c r="AI199" s="275" t="s">
        <v>1467</v>
      </c>
      <c r="AJ199" s="152" t="s">
        <v>1437</v>
      </c>
      <c r="AK199" s="255" t="s">
        <v>560</v>
      </c>
      <c r="AL199" s="153"/>
      <c r="AM199" s="153" t="s">
        <v>901</v>
      </c>
      <c r="AN199" s="161" t="str">
        <f t="shared" ca="1" si="32"/>
        <v>TERMINO</v>
      </c>
      <c r="AO199" s="160" t="s">
        <v>576</v>
      </c>
      <c r="AP199" s="155" t="s">
        <v>390</v>
      </c>
      <c r="AQ199" s="819" t="str">
        <f>IFERROR(VLOOKUP(E199,'liquidaciones '!$B$2:$C$1048576,2,0),"NO")</f>
        <v>LIQUIDADO</v>
      </c>
      <c r="AR199" s="909">
        <f>IFERROR(VLOOKUP(E199,'liquidaciones '!$B$2:$I$1048576,8,0),"")</f>
        <v>0</v>
      </c>
      <c r="AS199" s="312">
        <v>42277</v>
      </c>
      <c r="AT199" s="156" t="str">
        <f t="shared" ca="1" si="33"/>
        <v>NO</v>
      </c>
      <c r="AU199" s="156" t="s">
        <v>981</v>
      </c>
      <c r="AV199" s="406"/>
      <c r="AW199" s="928"/>
      <c r="AX199" s="928"/>
      <c r="AY199" s="928"/>
    </row>
    <row r="200" spans="1:51" ht="47.25" customHeight="1" x14ac:dyDescent="0.3">
      <c r="B200" s="14">
        <v>194</v>
      </c>
      <c r="C200" s="410"/>
      <c r="D200" s="410" t="str">
        <f t="shared" si="34"/>
        <v>2014</v>
      </c>
      <c r="E200" s="120" t="s">
        <v>271</v>
      </c>
      <c r="F200" s="120" t="s">
        <v>272</v>
      </c>
      <c r="G200" s="1046">
        <v>900197284</v>
      </c>
      <c r="H200" s="957" t="s">
        <v>525</v>
      </c>
      <c r="I200" s="126">
        <v>28000000</v>
      </c>
      <c r="J200" s="821" t="s">
        <v>2666</v>
      </c>
      <c r="K200" s="139">
        <v>2014</v>
      </c>
      <c r="L200" s="519" t="s">
        <v>1087</v>
      </c>
      <c r="M200" s="124">
        <v>41738</v>
      </c>
      <c r="N200" s="124">
        <v>41951</v>
      </c>
      <c r="O200" s="1099" t="str">
        <f>IF(+Modificaciones!I200=0,"",VLOOKUP(E200,Modificaciones!$B$7:$I$2400,8,0))</f>
        <v/>
      </c>
      <c r="P200" s="115">
        <f>COUNTA(Modificaciones!J200,Modificaciones!L200,Modificaciones!N200,Modificaciones!P200)</f>
        <v>0</v>
      </c>
      <c r="Q200" s="116">
        <f>VLOOKUP(E200,Modificaciones!$B$7:$R$300,17,0)</f>
        <v>0</v>
      </c>
      <c r="R200" s="117">
        <f>COUNTA(Modificaciones!T200,Modificaciones!V200,Modificaciones!X200,Modificaciones!Z200)</f>
        <v>0</v>
      </c>
      <c r="S200" s="118" t="str">
        <f>IF(Modificaciones!AA200=0,"",VLOOKUP(E200,Modificaciones!$B$7:$AA$400,26,0))</f>
        <v/>
      </c>
      <c r="T200" s="119" t="str">
        <f>IF(Modificaciones!AB200=0,"",VLOOKUP(E200,Modificaciones!$B$7:$AB$400,27,0))</f>
        <v/>
      </c>
      <c r="U200" s="1080" t="str">
        <f>+Modificaciones!AC200</f>
        <v/>
      </c>
      <c r="V200" s="825" t="str">
        <f>+Modificaciones!AK200</f>
        <v/>
      </c>
      <c r="W200" s="825">
        <f t="shared" ref="W200:W263" si="39">MAX(N200,O200,T200,V200)</f>
        <v>41951</v>
      </c>
      <c r="X200" s="59">
        <f t="shared" si="35"/>
        <v>28000000</v>
      </c>
      <c r="Y200" s="151">
        <f>VLOOKUP(E200,Modificaciones!$B$7:$BE$300,56,0)</f>
        <v>10978240</v>
      </c>
      <c r="Z200" s="84">
        <f t="shared" si="36"/>
        <v>17021760</v>
      </c>
      <c r="AA200" s="288" t="s">
        <v>1181</v>
      </c>
      <c r="AB200" s="40">
        <f t="shared" si="37"/>
        <v>0.39207999999999998</v>
      </c>
      <c r="AC200" s="40">
        <f t="shared" ref="AC200:AC263" ca="1" si="40">IF((($F$3-M200)*100%/(W200-M200))&gt;100%,100%,(($F$3-M200)*100%/(W200-M200)))</f>
        <v>1</v>
      </c>
      <c r="AD200" s="41">
        <f t="shared" ref="AD200:AD263" ca="1" si="41">AC200-AB200</f>
        <v>0.60792000000000002</v>
      </c>
      <c r="AE200" s="181" t="str">
        <f t="shared" ref="AE200:AE263" ca="1" si="42">IF(AC200&lt;100%,W200-$F$3,"")</f>
        <v/>
      </c>
      <c r="AF200" s="42" t="str">
        <f t="shared" si="38"/>
        <v>NO</v>
      </c>
      <c r="AG200" s="42"/>
      <c r="AH200" s="152" t="s">
        <v>1255</v>
      </c>
      <c r="AI200" s="152" t="s">
        <v>1297</v>
      </c>
      <c r="AJ200" s="152" t="s">
        <v>1441</v>
      </c>
      <c r="AK200" s="255" t="s">
        <v>560</v>
      </c>
      <c r="AL200" s="153" t="s">
        <v>1379</v>
      </c>
      <c r="AM200" s="153" t="s">
        <v>901</v>
      </c>
      <c r="AN200" s="161" t="str">
        <f t="shared" ref="AN200:AN263" ca="1" si="43">IF(W200&gt;=$F$3,"EN EJECUCIÓN","TERMINO")</f>
        <v>TERMINO</v>
      </c>
      <c r="AO200" s="160" t="s">
        <v>576</v>
      </c>
      <c r="AP200" s="155" t="s">
        <v>390</v>
      </c>
      <c r="AQ200" s="819" t="str">
        <f>IFERROR(VLOOKUP(E200,'liquidaciones '!$B$2:$C$1048576,2,0),"NO")</f>
        <v>LIQUIDADO</v>
      </c>
      <c r="AR200" s="909">
        <f>IFERROR(VLOOKUP(E200,'liquidaciones '!$B$2:$I$1048576,8,0),"")</f>
        <v>0</v>
      </c>
      <c r="AS200" s="312">
        <v>42242</v>
      </c>
      <c r="AT200" s="156" t="str">
        <f t="shared" ref="AT200:AT263" ca="1" si="44">IF((TODAY()-W200&lt;900),"SI","NO")</f>
        <v>NO</v>
      </c>
      <c r="AU200" s="156" t="s">
        <v>1055</v>
      </c>
      <c r="AV200" s="406"/>
      <c r="AW200" s="928"/>
      <c r="AX200" s="928"/>
      <c r="AY200" s="928"/>
    </row>
    <row r="201" spans="1:51" ht="47.25" customHeight="1" x14ac:dyDescent="0.3">
      <c r="B201" s="14">
        <v>195</v>
      </c>
      <c r="C201" s="410"/>
      <c r="D201" s="410" t="str">
        <f t="shared" si="34"/>
        <v>2014</v>
      </c>
      <c r="E201" s="120" t="s">
        <v>274</v>
      </c>
      <c r="F201" s="120" t="s">
        <v>275</v>
      </c>
      <c r="G201" s="1046">
        <v>900587953</v>
      </c>
      <c r="H201" s="957" t="s">
        <v>1448</v>
      </c>
      <c r="I201" s="126">
        <v>2122000</v>
      </c>
      <c r="J201" s="121" t="s">
        <v>2150</v>
      </c>
      <c r="K201" s="139">
        <v>2014</v>
      </c>
      <c r="L201" s="519" t="s">
        <v>1087</v>
      </c>
      <c r="M201" s="124">
        <v>41752</v>
      </c>
      <c r="N201" s="124">
        <v>42116</v>
      </c>
      <c r="O201" s="1099" t="str">
        <f>IF(+Modificaciones!I201=0,"",VLOOKUP(E201,Modificaciones!$B$7:$I$2400,8,0))</f>
        <v/>
      </c>
      <c r="P201" s="115">
        <f>COUNTA(Modificaciones!J201,Modificaciones!L201,Modificaciones!N201,Modificaciones!P201)</f>
        <v>0</v>
      </c>
      <c r="Q201" s="116">
        <f>VLOOKUP(E201,Modificaciones!$B$7:$R$300,17,0)</f>
        <v>0</v>
      </c>
      <c r="R201" s="117">
        <f>COUNTA(Modificaciones!T201,Modificaciones!V201,Modificaciones!X201,Modificaciones!Z201)</f>
        <v>0</v>
      </c>
      <c r="S201" s="118" t="str">
        <f>IF(Modificaciones!AA201=0,"",VLOOKUP(E201,Modificaciones!$B$7:$AA$400,26,0))</f>
        <v/>
      </c>
      <c r="T201" s="119" t="str">
        <f>IF(Modificaciones!AB201=0,"",VLOOKUP(E201,Modificaciones!$B$7:$AB$400,27,0))</f>
        <v/>
      </c>
      <c r="U201" s="1080" t="str">
        <f>+Modificaciones!AC201</f>
        <v/>
      </c>
      <c r="V201" s="825" t="str">
        <f>+Modificaciones!AK201</f>
        <v/>
      </c>
      <c r="W201" s="825">
        <f t="shared" si="39"/>
        <v>42116</v>
      </c>
      <c r="X201" s="59">
        <f t="shared" si="35"/>
        <v>2122000</v>
      </c>
      <c r="Y201" s="151">
        <f>VLOOKUP(E201,Modificaciones!$B$7:$BE$300,56,0)</f>
        <v>2122000</v>
      </c>
      <c r="Z201" s="84">
        <f t="shared" si="36"/>
        <v>0</v>
      </c>
      <c r="AA201" s="288" t="s">
        <v>1225</v>
      </c>
      <c r="AB201" s="40">
        <f t="shared" si="37"/>
        <v>1</v>
      </c>
      <c r="AC201" s="40">
        <f t="shared" ca="1" si="40"/>
        <v>1</v>
      </c>
      <c r="AD201" s="41">
        <f t="shared" ca="1" si="41"/>
        <v>0</v>
      </c>
      <c r="AE201" s="181" t="str">
        <f t="shared" ca="1" si="42"/>
        <v/>
      </c>
      <c r="AF201" s="42" t="str">
        <f t="shared" si="38"/>
        <v>SI</v>
      </c>
      <c r="AG201" s="42"/>
      <c r="AH201" s="152" t="s">
        <v>1255</v>
      </c>
      <c r="AI201" s="275" t="s">
        <v>1382</v>
      </c>
      <c r="AJ201" s="152" t="s">
        <v>1441</v>
      </c>
      <c r="AK201" s="255" t="s">
        <v>560</v>
      </c>
      <c r="AL201" s="153" t="s">
        <v>1379</v>
      </c>
      <c r="AM201" s="153" t="s">
        <v>901</v>
      </c>
      <c r="AN201" s="161" t="str">
        <f t="shared" ca="1" si="43"/>
        <v>TERMINO</v>
      </c>
      <c r="AO201" s="160" t="s">
        <v>576</v>
      </c>
      <c r="AP201" s="155" t="s">
        <v>390</v>
      </c>
      <c r="AQ201" s="819" t="str">
        <f>IFERROR(VLOOKUP(E201,'liquidaciones '!$B$2:$C$1048576,2,0),"NO")</f>
        <v>LIQUIDADO</v>
      </c>
      <c r="AR201" s="909">
        <f>IFERROR(VLOOKUP(E201,'liquidaciones '!$B$2:$I$1048576,8,0),"")</f>
        <v>0</v>
      </c>
      <c r="AS201" s="312"/>
      <c r="AT201" s="156" t="str">
        <f t="shared" ca="1" si="44"/>
        <v>NO</v>
      </c>
      <c r="AU201" s="156" t="s">
        <v>2388</v>
      </c>
      <c r="AV201" s="406"/>
      <c r="AW201" s="928"/>
      <c r="AX201" s="928"/>
      <c r="AY201" s="928"/>
    </row>
    <row r="202" spans="1:51" ht="47.25" customHeight="1" x14ac:dyDescent="0.3">
      <c r="B202" s="14">
        <v>196</v>
      </c>
      <c r="C202" s="410"/>
      <c r="D202" s="410" t="str">
        <f t="shared" si="34"/>
        <v>2014</v>
      </c>
      <c r="E202" s="120" t="s">
        <v>279</v>
      </c>
      <c r="F202" s="120" t="s">
        <v>53</v>
      </c>
      <c r="G202" s="1046">
        <v>4831</v>
      </c>
      <c r="H202" s="957" t="s">
        <v>1767</v>
      </c>
      <c r="I202" s="126">
        <v>20872000</v>
      </c>
      <c r="J202" s="673" t="s">
        <v>2408</v>
      </c>
      <c r="K202" s="139">
        <v>2014</v>
      </c>
      <c r="L202" s="519" t="s">
        <v>1087</v>
      </c>
      <c r="M202" s="124">
        <v>41757</v>
      </c>
      <c r="N202" s="124">
        <v>42062</v>
      </c>
      <c r="O202" s="1099" t="str">
        <f>IF(+Modificaciones!I202=0,"",VLOOKUP(E202,Modificaciones!$B$7:$I$2400,8,0))</f>
        <v/>
      </c>
      <c r="P202" s="115">
        <f>COUNTA(Modificaciones!J202,Modificaciones!L202,Modificaciones!N202,Modificaciones!P202)</f>
        <v>1</v>
      </c>
      <c r="Q202" s="116">
        <f>VLOOKUP(E202,Modificaciones!$B$7:$R$300,17,0)</f>
        <v>10346000</v>
      </c>
      <c r="R202" s="117">
        <f>COUNTA(Modificaciones!T202,Modificaciones!V202,Modificaciones!X202,Modificaciones!Z202)</f>
        <v>1</v>
      </c>
      <c r="S202" s="118" t="str">
        <f>IF(Modificaciones!AA202=0,"",VLOOKUP(E202,Modificaciones!$B$7:$AA$400,26,0))</f>
        <v xml:space="preserve">1 mes   </v>
      </c>
      <c r="T202" s="119">
        <f>IF(Modificaciones!AB202=0,"",VLOOKUP(E202,Modificaciones!$B$7:$AB$400,27,0))</f>
        <v>42091</v>
      </c>
      <c r="U202" s="1080" t="str">
        <f>+Modificaciones!AC202</f>
        <v/>
      </c>
      <c r="V202" s="825" t="str">
        <f>+Modificaciones!AK202</f>
        <v/>
      </c>
      <c r="W202" s="825">
        <f t="shared" si="39"/>
        <v>42091</v>
      </c>
      <c r="X202" s="59">
        <f t="shared" si="35"/>
        <v>31218000</v>
      </c>
      <c r="Y202" s="151">
        <f>VLOOKUP(E202,Modificaciones!$B$7:$BE$300,56,0)</f>
        <v>29571427</v>
      </c>
      <c r="Z202" s="84">
        <f t="shared" si="36"/>
        <v>1646573</v>
      </c>
      <c r="AA202" s="288" t="s">
        <v>1226</v>
      </c>
      <c r="AB202" s="40">
        <f t="shared" si="37"/>
        <v>0.9472556537894804</v>
      </c>
      <c r="AC202" s="40">
        <f t="shared" ca="1" si="40"/>
        <v>1</v>
      </c>
      <c r="AD202" s="41">
        <f t="shared" ca="1" si="41"/>
        <v>5.2744346210519599E-2</v>
      </c>
      <c r="AE202" s="181" t="str">
        <f t="shared" ca="1" si="42"/>
        <v/>
      </c>
      <c r="AF202" s="42" t="str">
        <f t="shared" si="38"/>
        <v>NO</v>
      </c>
      <c r="AG202" s="42"/>
      <c r="AH202" s="152" t="s">
        <v>1255</v>
      </c>
      <c r="AI202" s="152" t="s">
        <v>1125</v>
      </c>
      <c r="AJ202" s="152" t="s">
        <v>1441</v>
      </c>
      <c r="AK202" s="255" t="s">
        <v>560</v>
      </c>
      <c r="AL202" s="153" t="s">
        <v>1318</v>
      </c>
      <c r="AM202" s="153" t="s">
        <v>901</v>
      </c>
      <c r="AN202" s="161" t="str">
        <f t="shared" ca="1" si="43"/>
        <v>TERMINO</v>
      </c>
      <c r="AO202" s="160" t="s">
        <v>576</v>
      </c>
      <c r="AP202" s="155" t="s">
        <v>390</v>
      </c>
      <c r="AQ202" s="819" t="str">
        <f>IFERROR(VLOOKUP(E202,'liquidaciones '!$B$2:$C$1048576,2,0),"NO")</f>
        <v>LIQUIDADO</v>
      </c>
      <c r="AR202" s="909">
        <f>IFERROR(VLOOKUP(E202,'liquidaciones '!$B$2:$I$1048576,8,0),"")</f>
        <v>0</v>
      </c>
      <c r="AS202" s="312">
        <v>42240</v>
      </c>
      <c r="AT202" s="156" t="str">
        <f t="shared" ca="1" si="44"/>
        <v>NO</v>
      </c>
      <c r="AU202" s="156" t="s">
        <v>982</v>
      </c>
      <c r="AV202" s="406"/>
      <c r="AW202" s="928"/>
      <c r="AX202" s="928"/>
      <c r="AY202" s="928"/>
    </row>
    <row r="203" spans="1:51" ht="47.25" customHeight="1" x14ac:dyDescent="0.3">
      <c r="B203" s="14">
        <v>197</v>
      </c>
      <c r="C203" s="410"/>
      <c r="D203" s="410" t="str">
        <f t="shared" si="34"/>
        <v>2014</v>
      </c>
      <c r="E203" s="120" t="s">
        <v>282</v>
      </c>
      <c r="F203" s="120" t="s">
        <v>418</v>
      </c>
      <c r="G203" s="1046">
        <v>891501783</v>
      </c>
      <c r="H203" s="957" t="s">
        <v>526</v>
      </c>
      <c r="I203" s="126">
        <v>12145200</v>
      </c>
      <c r="J203" s="821" t="s">
        <v>2667</v>
      </c>
      <c r="K203" s="139">
        <v>2014</v>
      </c>
      <c r="L203" s="519" t="s">
        <v>1087</v>
      </c>
      <c r="M203" s="124">
        <v>41764</v>
      </c>
      <c r="N203" s="124">
        <v>41901</v>
      </c>
      <c r="O203" s="1099" t="str">
        <f>IF(+Modificaciones!I203=0,"",VLOOKUP(E203,Modificaciones!$B$7:$I$2400,8,0))</f>
        <v/>
      </c>
      <c r="P203" s="115">
        <f>COUNTA(Modificaciones!J203,Modificaciones!L203,Modificaciones!N203,Modificaciones!P203)</f>
        <v>1</v>
      </c>
      <c r="Q203" s="116">
        <f>VLOOKUP(E203,Modificaciones!$B$7:$R$300,17,0)</f>
        <v>6072600</v>
      </c>
      <c r="R203" s="117">
        <f>COUNTA(Modificaciones!T203,Modificaciones!V203,Modificaciones!X203,Modificaciones!Z203)</f>
        <v>1</v>
      </c>
      <c r="S203" s="118" t="str">
        <f>IF(Modificaciones!AA203=0,"",VLOOKUP(E203,Modificaciones!$B$7:$AA$400,26,0))</f>
        <v>1 mes y 15 días</v>
      </c>
      <c r="T203" s="119">
        <f>IF(Modificaciones!AB203=0,"",VLOOKUP(E203,Modificaciones!$B$7:$AB$400,27,0))</f>
        <v>41901</v>
      </c>
      <c r="U203" s="1080" t="str">
        <f>+Modificaciones!AC203</f>
        <v/>
      </c>
      <c r="V203" s="825" t="str">
        <f>+Modificaciones!AK203</f>
        <v/>
      </c>
      <c r="W203" s="825">
        <f t="shared" si="39"/>
        <v>41901</v>
      </c>
      <c r="X203" s="59">
        <f t="shared" si="35"/>
        <v>18217800</v>
      </c>
      <c r="Y203" s="151">
        <f>VLOOKUP(E203,Modificaciones!$B$7:$BE$300,56,0)</f>
        <v>18217800</v>
      </c>
      <c r="Z203" s="84">
        <f t="shared" si="36"/>
        <v>0</v>
      </c>
      <c r="AA203" s="288" t="s">
        <v>1182</v>
      </c>
      <c r="AB203" s="40">
        <f t="shared" si="37"/>
        <v>1</v>
      </c>
      <c r="AC203" s="40">
        <f t="shared" ca="1" si="40"/>
        <v>1</v>
      </c>
      <c r="AD203" s="41">
        <f t="shared" ca="1" si="41"/>
        <v>0</v>
      </c>
      <c r="AE203" s="181" t="str">
        <f t="shared" ca="1" si="42"/>
        <v/>
      </c>
      <c r="AF203" s="42" t="str">
        <f t="shared" si="38"/>
        <v>SI</v>
      </c>
      <c r="AG203" s="42"/>
      <c r="AH203" s="152" t="s">
        <v>1256</v>
      </c>
      <c r="AI203" s="152" t="s">
        <v>1463</v>
      </c>
      <c r="AJ203" s="152"/>
      <c r="AL203" s="153"/>
      <c r="AM203" s="153" t="s">
        <v>901</v>
      </c>
      <c r="AN203" s="161" t="str">
        <f t="shared" ca="1" si="43"/>
        <v>TERMINO</v>
      </c>
      <c r="AO203" s="160" t="s">
        <v>576</v>
      </c>
      <c r="AP203" s="155" t="s">
        <v>390</v>
      </c>
      <c r="AQ203" s="819" t="str">
        <f>IFERROR(VLOOKUP(E203,'liquidaciones '!$B$2:$C$1048576,2,0),"NO")</f>
        <v>LIQUIDADO</v>
      </c>
      <c r="AR203" s="909">
        <f>IFERROR(VLOOKUP(E203,'liquidaciones '!$B$2:$I$1048576,8,0),"")</f>
        <v>0</v>
      </c>
      <c r="AS203" s="312">
        <v>42023</v>
      </c>
      <c r="AT203" s="156" t="str">
        <f t="shared" ca="1" si="44"/>
        <v>NO</v>
      </c>
      <c r="AU203" s="156" t="s">
        <v>981</v>
      </c>
      <c r="AV203" s="406"/>
      <c r="AW203" s="928"/>
      <c r="AX203" s="928"/>
      <c r="AY203" s="928"/>
    </row>
    <row r="204" spans="1:51" ht="47.25" customHeight="1" x14ac:dyDescent="0.3">
      <c r="B204" s="14">
        <v>198</v>
      </c>
      <c r="C204" s="410"/>
      <c r="D204" s="410" t="str">
        <f t="shared" si="34"/>
        <v>2014</v>
      </c>
      <c r="E204" s="120" t="s">
        <v>280</v>
      </c>
      <c r="F204" s="120" t="s">
        <v>281</v>
      </c>
      <c r="G204" s="1046">
        <v>900414308</v>
      </c>
      <c r="H204" s="957" t="s">
        <v>527</v>
      </c>
      <c r="I204" s="126">
        <v>1700007</v>
      </c>
      <c r="J204" s="821" t="s">
        <v>2668</v>
      </c>
      <c r="K204" s="139">
        <v>2014</v>
      </c>
      <c r="L204" s="519" t="s">
        <v>1087</v>
      </c>
      <c r="M204" s="124">
        <v>41757</v>
      </c>
      <c r="N204" s="124">
        <v>41817</v>
      </c>
      <c r="O204" s="1099" t="str">
        <f>IF(+Modificaciones!I204=0,"",VLOOKUP(E204,Modificaciones!$B$7:$I$2400,8,0))</f>
        <v/>
      </c>
      <c r="P204" s="115">
        <f>COUNTA(Modificaciones!J204,Modificaciones!L204,Modificaciones!N204,Modificaciones!P204)</f>
        <v>0</v>
      </c>
      <c r="Q204" s="116">
        <f>VLOOKUP(E204,Modificaciones!$B$7:$R$300,17,0)</f>
        <v>0</v>
      </c>
      <c r="R204" s="117">
        <f>COUNTA(Modificaciones!T204,Modificaciones!V204,Modificaciones!X204,Modificaciones!Z204)</f>
        <v>0</v>
      </c>
      <c r="S204" s="118" t="str">
        <f>IF(Modificaciones!AA204=0,"",VLOOKUP(E204,Modificaciones!$B$7:$AA$400,26,0))</f>
        <v/>
      </c>
      <c r="T204" s="119" t="str">
        <f>IF(Modificaciones!AB204=0,"",VLOOKUP(E204,Modificaciones!$B$7:$AB$400,27,0))</f>
        <v/>
      </c>
      <c r="U204" s="1080" t="str">
        <f>+Modificaciones!AC204</f>
        <v/>
      </c>
      <c r="V204" s="825" t="str">
        <f>+Modificaciones!AK204</f>
        <v/>
      </c>
      <c r="W204" s="825">
        <f t="shared" si="39"/>
        <v>41817</v>
      </c>
      <c r="X204" s="59">
        <f t="shared" si="35"/>
        <v>1700007</v>
      </c>
      <c r="Y204" s="151">
        <f>VLOOKUP(E204,Modificaciones!$B$7:$BE$300,56,0)</f>
        <v>1700000</v>
      </c>
      <c r="Z204" s="84">
        <f t="shared" si="36"/>
        <v>7</v>
      </c>
      <c r="AA204" s="288"/>
      <c r="AB204" s="40">
        <f t="shared" si="37"/>
        <v>0.99999588236989612</v>
      </c>
      <c r="AC204" s="40">
        <f t="shared" ca="1" si="40"/>
        <v>1</v>
      </c>
      <c r="AD204" s="41">
        <f t="shared" ca="1" si="41"/>
        <v>4.1176301038836627E-6</v>
      </c>
      <c r="AE204" s="181" t="str">
        <f t="shared" ca="1" si="42"/>
        <v/>
      </c>
      <c r="AF204" s="42" t="str">
        <f t="shared" si="38"/>
        <v>SI</v>
      </c>
      <c r="AG204" s="42"/>
      <c r="AH204" s="152" t="s">
        <v>1255</v>
      </c>
      <c r="AI204" s="152" t="s">
        <v>1312</v>
      </c>
      <c r="AJ204" s="152"/>
      <c r="AL204" s="153"/>
      <c r="AM204" s="153" t="s">
        <v>901</v>
      </c>
      <c r="AN204" s="161" t="str">
        <f t="shared" ca="1" si="43"/>
        <v>TERMINO</v>
      </c>
      <c r="AO204" s="160" t="s">
        <v>576</v>
      </c>
      <c r="AP204" s="155" t="s">
        <v>390</v>
      </c>
      <c r="AQ204" s="819" t="str">
        <f>IFERROR(VLOOKUP(E204,'liquidaciones '!$B$2:$C$1048576,2,0),"NO")</f>
        <v>NO</v>
      </c>
      <c r="AR204" s="909" t="str">
        <f>IFERROR(VLOOKUP(E204,'liquidaciones '!$B$2:$I$1048576,8,0),"")</f>
        <v/>
      </c>
      <c r="AS204" s="312"/>
      <c r="AT204" s="156" t="str">
        <f t="shared" ca="1" si="44"/>
        <v>NO</v>
      </c>
      <c r="AU204" s="156" t="s">
        <v>1164</v>
      </c>
      <c r="AV204" s="406"/>
      <c r="AW204" s="928"/>
      <c r="AX204" s="928"/>
      <c r="AY204" s="928"/>
    </row>
    <row r="205" spans="1:51" ht="47.25" customHeight="1" x14ac:dyDescent="0.3">
      <c r="B205" s="14">
        <v>199</v>
      </c>
      <c r="C205" s="410"/>
      <c r="D205" s="410" t="str">
        <f t="shared" si="34"/>
        <v>2014</v>
      </c>
      <c r="E205" s="120" t="s">
        <v>276</v>
      </c>
      <c r="F205" s="120" t="s">
        <v>277</v>
      </c>
      <c r="G205" s="1046">
        <v>830055827</v>
      </c>
      <c r="H205" s="957" t="s">
        <v>370</v>
      </c>
      <c r="I205" s="126">
        <v>32631000</v>
      </c>
      <c r="J205" s="121" t="s">
        <v>1087</v>
      </c>
      <c r="K205" s="139">
        <v>2014</v>
      </c>
      <c r="L205" s="519" t="s">
        <v>1087</v>
      </c>
      <c r="M205" s="124">
        <v>41753</v>
      </c>
      <c r="N205" s="124">
        <v>42117</v>
      </c>
      <c r="O205" s="1099" t="str">
        <f>IF(+Modificaciones!I205=0,"",VLOOKUP(E205,Modificaciones!$B$7:$I$2400,8,0))</f>
        <v/>
      </c>
      <c r="P205" s="115">
        <f>COUNTA(Modificaciones!J205,Modificaciones!L205,Modificaciones!N205,Modificaciones!P205)</f>
        <v>0</v>
      </c>
      <c r="Q205" s="116">
        <f>VLOOKUP(E205,Modificaciones!$B$7:$R$300,17,0)</f>
        <v>0</v>
      </c>
      <c r="R205" s="117">
        <f>COUNTA(Modificaciones!T205,Modificaciones!V205,Modificaciones!X205,Modificaciones!Z205)</f>
        <v>0</v>
      </c>
      <c r="S205" s="118" t="str">
        <f>IF(Modificaciones!AA205=0,"",VLOOKUP(E205,Modificaciones!$B$7:$AA$400,26,0))</f>
        <v/>
      </c>
      <c r="T205" s="119" t="str">
        <f>IF(Modificaciones!AB205=0,"",VLOOKUP(E205,Modificaciones!$B$7:$AB$400,27,0))</f>
        <v/>
      </c>
      <c r="U205" s="1080" t="str">
        <f>+Modificaciones!AC205</f>
        <v/>
      </c>
      <c r="V205" s="825" t="str">
        <f>+Modificaciones!AK205</f>
        <v/>
      </c>
      <c r="W205" s="825">
        <f t="shared" si="39"/>
        <v>42117</v>
      </c>
      <c r="X205" s="59">
        <f t="shared" si="35"/>
        <v>32631000</v>
      </c>
      <c r="Y205" s="151">
        <f>VLOOKUP(E205,Modificaciones!$B$7:$BE$300,56,0)</f>
        <v>32594631</v>
      </c>
      <c r="Z205" s="84">
        <f t="shared" si="36"/>
        <v>36369</v>
      </c>
      <c r="AA205" s="288" t="s">
        <v>1183</v>
      </c>
      <c r="AB205" s="40">
        <f t="shared" si="37"/>
        <v>0.99888544635469334</v>
      </c>
      <c r="AC205" s="40">
        <f t="shared" ca="1" si="40"/>
        <v>1</v>
      </c>
      <c r="AD205" s="41">
        <f t="shared" ca="1" si="41"/>
        <v>1.1145536453066596E-3</v>
      </c>
      <c r="AE205" s="181" t="str">
        <f t="shared" ca="1" si="42"/>
        <v/>
      </c>
      <c r="AF205" s="42" t="str">
        <f t="shared" si="38"/>
        <v>NO</v>
      </c>
      <c r="AG205" s="42"/>
      <c r="AH205" s="152" t="s">
        <v>1255</v>
      </c>
      <c r="AI205" s="275" t="s">
        <v>1134</v>
      </c>
      <c r="AJ205" s="152"/>
      <c r="AK205" s="255" t="s">
        <v>562</v>
      </c>
      <c r="AL205" s="153" t="s">
        <v>1383</v>
      </c>
      <c r="AM205" s="153" t="s">
        <v>901</v>
      </c>
      <c r="AN205" s="161" t="str">
        <f t="shared" ca="1" si="43"/>
        <v>TERMINO</v>
      </c>
      <c r="AO205" s="160" t="s">
        <v>576</v>
      </c>
      <c r="AP205" s="155" t="s">
        <v>390</v>
      </c>
      <c r="AQ205" s="819" t="str">
        <f>IFERROR(VLOOKUP(E205,'liquidaciones '!$B$2:$C$1048576,2,0),"NO")</f>
        <v>LIQUIDADO</v>
      </c>
      <c r="AR205" s="909">
        <f>IFERROR(VLOOKUP(E205,'liquidaciones '!$B$2:$I$1048576,8,0),"")</f>
        <v>0</v>
      </c>
      <c r="AS205" s="312"/>
      <c r="AT205" s="156" t="str">
        <f t="shared" ca="1" si="44"/>
        <v>NO</v>
      </c>
      <c r="AU205" s="156" t="s">
        <v>1569</v>
      </c>
      <c r="AV205" s="406"/>
      <c r="AW205" s="928"/>
      <c r="AX205" s="928"/>
      <c r="AY205" s="928"/>
    </row>
    <row r="206" spans="1:51" ht="47.25" customHeight="1" x14ac:dyDescent="0.3">
      <c r="B206" s="14">
        <v>200</v>
      </c>
      <c r="C206" s="410"/>
      <c r="D206" s="410" t="str">
        <f t="shared" si="34"/>
        <v>2014</v>
      </c>
      <c r="E206" s="120" t="s">
        <v>283</v>
      </c>
      <c r="F206" s="120" t="s">
        <v>284</v>
      </c>
      <c r="G206" s="1046">
        <v>830055842</v>
      </c>
      <c r="H206" s="957" t="s">
        <v>528</v>
      </c>
      <c r="I206" s="126">
        <v>40000000</v>
      </c>
      <c r="J206" s="821" t="s">
        <v>2616</v>
      </c>
      <c r="K206" s="139">
        <v>2014</v>
      </c>
      <c r="L206" s="519" t="s">
        <v>1087</v>
      </c>
      <c r="M206" s="124">
        <v>41807</v>
      </c>
      <c r="N206" s="124">
        <v>42051</v>
      </c>
      <c r="O206" s="1099" t="str">
        <f>IF(+Modificaciones!I206=0,"",VLOOKUP(E206,Modificaciones!$B$7:$I$2400,8,0))</f>
        <v/>
      </c>
      <c r="P206" s="115">
        <f>COUNTA(Modificaciones!J206,Modificaciones!L206,Modificaciones!N206,Modificaciones!P206)</f>
        <v>1</v>
      </c>
      <c r="Q206" s="116">
        <f>VLOOKUP(E206,Modificaciones!$B$7:$R$300,17,0)</f>
        <v>5100746</v>
      </c>
      <c r="R206" s="117">
        <f>COUNTA(Modificaciones!T206,Modificaciones!V206,Modificaciones!X206,Modificaciones!Z206)</f>
        <v>2</v>
      </c>
      <c r="S206" s="118" t="str">
        <f>IF(Modificaciones!AA206=0,"",VLOOKUP(E206,Modificaciones!$B$7:$AA$400,26,0))</f>
        <v>2 meses y 18 días</v>
      </c>
      <c r="T206" s="119">
        <f>IF(Modificaciones!AB206=0,"",VLOOKUP(E206,Modificaciones!$B$7:$AB$400,27,0))</f>
        <v>42128</v>
      </c>
      <c r="U206" s="1080" t="str">
        <f>+Modificaciones!AC206</f>
        <v/>
      </c>
      <c r="V206" s="825" t="str">
        <f>+Modificaciones!AK206</f>
        <v/>
      </c>
      <c r="W206" s="825">
        <f t="shared" si="39"/>
        <v>42128</v>
      </c>
      <c r="X206" s="59">
        <f t="shared" si="35"/>
        <v>45100746</v>
      </c>
      <c r="Y206" s="151">
        <f>VLOOKUP(E206,Modificaciones!$B$7:$BE$300,56,0)</f>
        <v>45045000</v>
      </c>
      <c r="Z206" s="84">
        <f t="shared" si="36"/>
        <v>55746</v>
      </c>
      <c r="AA206" s="288" t="s">
        <v>1877</v>
      </c>
      <c r="AB206" s="40">
        <f t="shared" si="37"/>
        <v>0.99876396723016514</v>
      </c>
      <c r="AC206" s="40">
        <f t="shared" ca="1" si="40"/>
        <v>1</v>
      </c>
      <c r="AD206" s="41">
        <f t="shared" ca="1" si="41"/>
        <v>1.2360327698348605E-3</v>
      </c>
      <c r="AE206" s="181" t="str">
        <f t="shared" ca="1" si="42"/>
        <v/>
      </c>
      <c r="AF206" s="42" t="str">
        <f t="shared" si="38"/>
        <v>NO</v>
      </c>
      <c r="AG206" s="42"/>
      <c r="AH206" s="152" t="s">
        <v>1255</v>
      </c>
      <c r="AI206" s="275" t="s">
        <v>1136</v>
      </c>
      <c r="AJ206" s="152" t="s">
        <v>1435</v>
      </c>
      <c r="AK206" s="255" t="s">
        <v>562</v>
      </c>
      <c r="AL206" s="153" t="s">
        <v>1384</v>
      </c>
      <c r="AM206" s="153" t="s">
        <v>901</v>
      </c>
      <c r="AN206" s="161" t="str">
        <f t="shared" ca="1" si="43"/>
        <v>TERMINO</v>
      </c>
      <c r="AO206" s="160" t="s">
        <v>921</v>
      </c>
      <c r="AP206" s="155" t="s">
        <v>390</v>
      </c>
      <c r="AQ206" s="819" t="str">
        <f>IFERROR(VLOOKUP(E206,'liquidaciones '!$B$2:$C$1048576,2,0),"NO")</f>
        <v>LIQUIDADO</v>
      </c>
      <c r="AR206" s="909">
        <f>IFERROR(VLOOKUP(E206,'liquidaciones '!$B$2:$I$1048576,8,0),"")</f>
        <v>0</v>
      </c>
      <c r="AS206" s="312"/>
      <c r="AT206" s="156" t="str">
        <f t="shared" ca="1" si="44"/>
        <v>NO</v>
      </c>
      <c r="AU206" s="156" t="s">
        <v>1509</v>
      </c>
      <c r="AV206" s="406"/>
      <c r="AW206" s="928"/>
      <c r="AX206" s="928"/>
      <c r="AY206" s="928"/>
    </row>
    <row r="207" spans="1:51" ht="89.25" customHeight="1" x14ac:dyDescent="0.3">
      <c r="B207" s="14">
        <v>201</v>
      </c>
      <c r="C207" s="410"/>
      <c r="D207" s="410" t="str">
        <f t="shared" si="34"/>
        <v>2014</v>
      </c>
      <c r="E207" s="120" t="s">
        <v>1096</v>
      </c>
      <c r="F207" s="183" t="s">
        <v>1097</v>
      </c>
      <c r="G207" s="1050"/>
      <c r="H207" s="960" t="s">
        <v>1098</v>
      </c>
      <c r="I207" s="126">
        <v>0</v>
      </c>
      <c r="J207" s="821" t="s">
        <v>5753</v>
      </c>
      <c r="K207" s="139">
        <v>2014</v>
      </c>
      <c r="L207" s="519" t="s">
        <v>1087</v>
      </c>
      <c r="M207" s="124"/>
      <c r="N207" s="124"/>
      <c r="O207" s="1099" t="str">
        <f>IF(+Modificaciones!I207=0,"",VLOOKUP(E207,Modificaciones!$B$7:$I$2400,8,0))</f>
        <v/>
      </c>
      <c r="P207" s="115">
        <f>COUNTA(Modificaciones!J207,Modificaciones!L207,Modificaciones!N207,Modificaciones!P207)</f>
        <v>0</v>
      </c>
      <c r="Q207" s="116">
        <f>VLOOKUP(E207,Modificaciones!$B$7:$R$300,17,0)</f>
        <v>0</v>
      </c>
      <c r="R207" s="117">
        <f>COUNTA(Modificaciones!T207,Modificaciones!V207,Modificaciones!X207,Modificaciones!Z207)</f>
        <v>2</v>
      </c>
      <c r="S207" s="118" t="str">
        <f>IF(Modificaciones!AA207=0,"",VLOOKUP(E207,Modificaciones!$B$7:$AA$400,26,0))</f>
        <v>10 meses y 9 días</v>
      </c>
      <c r="T207" s="119">
        <f>IF(Modificaciones!AB207=0,"",VLOOKUP(E207,Modificaciones!$B$7:$AB$400,27,0))</f>
        <v>43921</v>
      </c>
      <c r="U207" s="1080" t="str">
        <f>+Modificaciones!AC207</f>
        <v/>
      </c>
      <c r="V207" s="825" t="str">
        <f>+Modificaciones!AK207</f>
        <v/>
      </c>
      <c r="W207" s="825">
        <f t="shared" si="39"/>
        <v>43921</v>
      </c>
      <c r="X207" s="59">
        <f t="shared" si="35"/>
        <v>0</v>
      </c>
      <c r="Y207" s="151">
        <f>VLOOKUP(E207,Modificaciones!$B$7:$BE$300,56,0)</f>
        <v>0</v>
      </c>
      <c r="Z207" s="84">
        <f t="shared" si="36"/>
        <v>0</v>
      </c>
      <c r="AA207" s="288"/>
      <c r="AB207" s="40" t="e">
        <f t="shared" si="37"/>
        <v>#DIV/0!</v>
      </c>
      <c r="AC207" s="40">
        <f t="shared" ca="1" si="40"/>
        <v>1</v>
      </c>
      <c r="AD207" s="41" t="e">
        <f t="shared" ca="1" si="41"/>
        <v>#DIV/0!</v>
      </c>
      <c r="AE207" s="181" t="str">
        <f t="shared" ca="1" si="42"/>
        <v/>
      </c>
      <c r="AF207" s="42" t="e">
        <f t="shared" si="38"/>
        <v>#DIV/0!</v>
      </c>
      <c r="AG207" s="42"/>
      <c r="AH207" s="152" t="s">
        <v>1255</v>
      </c>
      <c r="AI207" s="275" t="s">
        <v>1507</v>
      </c>
      <c r="AJ207" s="152" t="s">
        <v>1441</v>
      </c>
      <c r="AK207" s="255" t="s">
        <v>560</v>
      </c>
      <c r="AL207" s="153" t="s">
        <v>1318</v>
      </c>
      <c r="AM207" s="153" t="s">
        <v>901</v>
      </c>
      <c r="AN207" s="161" t="str">
        <f t="shared" ca="1" si="43"/>
        <v>TERMINO</v>
      </c>
      <c r="AO207" s="160" t="s">
        <v>582</v>
      </c>
      <c r="AP207" s="155"/>
      <c r="AQ207" s="819" t="str">
        <f>IFERROR(VLOOKUP(E207,'liquidaciones '!$B$2:$C$1048576,2,0),"NO")</f>
        <v>NO</v>
      </c>
      <c r="AR207" s="909" t="str">
        <f>IFERROR(VLOOKUP(E207,'liquidaciones '!$B$2:$I$1048576,8,0),"")</f>
        <v/>
      </c>
      <c r="AS207" s="312"/>
      <c r="AT207" s="156" t="str">
        <f t="shared" ca="1" si="44"/>
        <v>SI</v>
      </c>
      <c r="AU207" s="156" t="s">
        <v>2972</v>
      </c>
      <c r="AV207" s="406"/>
      <c r="AW207" s="928"/>
      <c r="AX207" s="930" t="s">
        <v>5743</v>
      </c>
      <c r="AY207" s="928"/>
    </row>
    <row r="208" spans="1:51" ht="47.25" customHeight="1" x14ac:dyDescent="0.3">
      <c r="B208" s="14">
        <v>202</v>
      </c>
      <c r="C208" s="410"/>
      <c r="D208" s="410" t="str">
        <f t="shared" si="34"/>
        <v>2014</v>
      </c>
      <c r="E208" s="120" t="s">
        <v>289</v>
      </c>
      <c r="F208" s="120" t="s">
        <v>290</v>
      </c>
      <c r="G208" s="1046">
        <v>811021363</v>
      </c>
      <c r="H208" s="957" t="s">
        <v>529</v>
      </c>
      <c r="I208" s="126">
        <v>9998117</v>
      </c>
      <c r="J208" s="821" t="s">
        <v>2617</v>
      </c>
      <c r="K208" s="139">
        <v>2014</v>
      </c>
      <c r="L208" s="519" t="s">
        <v>1087</v>
      </c>
      <c r="M208" s="124">
        <v>41794</v>
      </c>
      <c r="N208" s="124">
        <v>41855</v>
      </c>
      <c r="O208" s="1099" t="str">
        <f>IF(+Modificaciones!I208=0,"",VLOOKUP(E208,Modificaciones!$B$7:$I$2400,8,0))</f>
        <v/>
      </c>
      <c r="P208" s="115">
        <f>COUNTA(Modificaciones!J208,Modificaciones!L208,Modificaciones!N208,Modificaciones!P208)</f>
        <v>0</v>
      </c>
      <c r="Q208" s="116">
        <f>VLOOKUP(E208,Modificaciones!$B$7:$R$300,17,0)</f>
        <v>0</v>
      </c>
      <c r="R208" s="117">
        <f>COUNTA(Modificaciones!T208,Modificaciones!V208,Modificaciones!X208,Modificaciones!Z208)</f>
        <v>0</v>
      </c>
      <c r="S208" s="118" t="str">
        <f>IF(Modificaciones!AA208=0,"",VLOOKUP(E208,Modificaciones!$B$7:$AA$400,26,0))</f>
        <v/>
      </c>
      <c r="T208" s="119" t="str">
        <f>IF(Modificaciones!AB208=0,"",VLOOKUP(E208,Modificaciones!$B$7:$AB$400,27,0))</f>
        <v/>
      </c>
      <c r="U208" s="1080" t="str">
        <f>+Modificaciones!AC208</f>
        <v/>
      </c>
      <c r="V208" s="825" t="str">
        <f>+Modificaciones!AK208</f>
        <v/>
      </c>
      <c r="W208" s="825">
        <f t="shared" si="39"/>
        <v>41855</v>
      </c>
      <c r="X208" s="59">
        <f t="shared" si="35"/>
        <v>9998117</v>
      </c>
      <c r="Y208" s="151">
        <f>VLOOKUP(E208,Modificaciones!$B$7:$BE$300,56,0)</f>
        <v>9998097</v>
      </c>
      <c r="Z208" s="84">
        <f t="shared" si="36"/>
        <v>20</v>
      </c>
      <c r="AA208" s="288" t="s">
        <v>1184</v>
      </c>
      <c r="AB208" s="40">
        <f t="shared" si="37"/>
        <v>0.99999799962332903</v>
      </c>
      <c r="AC208" s="40">
        <f t="shared" ca="1" si="40"/>
        <v>1</v>
      </c>
      <c r="AD208" s="41">
        <f t="shared" ca="1" si="41"/>
        <v>2.000376670974191E-6</v>
      </c>
      <c r="AE208" s="181" t="str">
        <f t="shared" ca="1" si="42"/>
        <v/>
      </c>
      <c r="AF208" s="42" t="str">
        <f t="shared" si="38"/>
        <v>SI</v>
      </c>
      <c r="AG208" s="42"/>
      <c r="AH208" s="152" t="s">
        <v>1256</v>
      </c>
      <c r="AI208" s="152" t="s">
        <v>1310</v>
      </c>
      <c r="AJ208" s="152" t="s">
        <v>1438</v>
      </c>
      <c r="AK208" s="255" t="s">
        <v>560</v>
      </c>
      <c r="AL208" s="153" t="s">
        <v>1508</v>
      </c>
      <c r="AM208" s="153" t="s">
        <v>901</v>
      </c>
      <c r="AN208" s="161" t="str">
        <f t="shared" ca="1" si="43"/>
        <v>TERMINO</v>
      </c>
      <c r="AO208" s="160" t="s">
        <v>576</v>
      </c>
      <c r="AP208" s="155" t="s">
        <v>390</v>
      </c>
      <c r="AQ208" s="819" t="str">
        <f>IFERROR(VLOOKUP(E208,'liquidaciones '!$B$2:$C$1048576,2,0),"NO")</f>
        <v>LIQUIDADO</v>
      </c>
      <c r="AR208" s="909">
        <f>IFERROR(VLOOKUP(E208,'liquidaciones '!$B$2:$I$1048576,8,0),"")</f>
        <v>0</v>
      </c>
      <c r="AS208" s="312">
        <v>42306</v>
      </c>
      <c r="AT208" s="156" t="str">
        <f t="shared" ca="1" si="44"/>
        <v>NO</v>
      </c>
      <c r="AU208" s="156" t="s">
        <v>981</v>
      </c>
      <c r="AV208" s="406"/>
      <c r="AW208" s="928"/>
      <c r="AX208" s="928"/>
      <c r="AY208" s="928"/>
    </row>
    <row r="209" spans="2:51" ht="47.25" customHeight="1" x14ac:dyDescent="0.3">
      <c r="B209" s="14">
        <v>203</v>
      </c>
      <c r="C209" s="410"/>
      <c r="D209" s="410" t="str">
        <f t="shared" si="34"/>
        <v>2014</v>
      </c>
      <c r="E209" s="120" t="s">
        <v>546</v>
      </c>
      <c r="F209" s="120" t="s">
        <v>310</v>
      </c>
      <c r="G209" s="1046">
        <v>800199498</v>
      </c>
      <c r="H209" s="957" t="s">
        <v>545</v>
      </c>
      <c r="I209" s="126">
        <v>14975600</v>
      </c>
      <c r="J209" s="821" t="s">
        <v>5274</v>
      </c>
      <c r="K209" s="139">
        <v>2014</v>
      </c>
      <c r="L209" s="519" t="s">
        <v>1087</v>
      </c>
      <c r="M209" s="124">
        <v>41871</v>
      </c>
      <c r="N209" s="124">
        <v>41932</v>
      </c>
      <c r="O209" s="1099" t="str">
        <f>IF(+Modificaciones!I209=0,"",VLOOKUP(E209,Modificaciones!$B$7:$I$2400,8,0))</f>
        <v/>
      </c>
      <c r="P209" s="115">
        <f>COUNTA(Modificaciones!J209,Modificaciones!L209,Modificaciones!N209,Modificaciones!P209)</f>
        <v>0</v>
      </c>
      <c r="Q209" s="116">
        <f>VLOOKUP(E209,Modificaciones!$B$7:$R$300,17,0)</f>
        <v>0</v>
      </c>
      <c r="R209" s="117">
        <f>COUNTA(Modificaciones!T209,Modificaciones!V209,Modificaciones!X209,Modificaciones!Z209)</f>
        <v>0</v>
      </c>
      <c r="S209" s="118" t="str">
        <f>IF(Modificaciones!AA209=0,"",VLOOKUP(E209,Modificaciones!$B$7:$AA$400,26,0))</f>
        <v/>
      </c>
      <c r="T209" s="119" t="str">
        <f>IF(Modificaciones!AB209=0,"",VLOOKUP(E209,Modificaciones!$B$7:$AB$400,27,0))</f>
        <v/>
      </c>
      <c r="U209" s="1080" t="str">
        <f>+Modificaciones!AC209</f>
        <v/>
      </c>
      <c r="V209" s="825" t="str">
        <f>+Modificaciones!AK209</f>
        <v/>
      </c>
      <c r="W209" s="825">
        <f t="shared" si="39"/>
        <v>41932</v>
      </c>
      <c r="X209" s="59">
        <f t="shared" si="35"/>
        <v>14975600</v>
      </c>
      <c r="Y209" s="151">
        <f>VLOOKUP(E209,Modificaciones!$B$7:$BE$300,56,0)</f>
        <v>14975600</v>
      </c>
      <c r="Z209" s="84">
        <f t="shared" si="36"/>
        <v>0</v>
      </c>
      <c r="AA209" s="288" t="s">
        <v>1185</v>
      </c>
      <c r="AB209" s="40">
        <f t="shared" si="37"/>
        <v>1</v>
      </c>
      <c r="AC209" s="40">
        <f t="shared" ca="1" si="40"/>
        <v>1</v>
      </c>
      <c r="AD209" s="41">
        <f t="shared" ca="1" si="41"/>
        <v>0</v>
      </c>
      <c r="AE209" s="181" t="str">
        <f t="shared" ca="1" si="42"/>
        <v/>
      </c>
      <c r="AF209" s="42" t="str">
        <f t="shared" si="38"/>
        <v>SI</v>
      </c>
      <c r="AG209" s="42"/>
      <c r="AH209" s="152" t="s">
        <v>1256</v>
      </c>
      <c r="AI209" s="152" t="s">
        <v>1292</v>
      </c>
      <c r="AJ209" s="152" t="s">
        <v>1438</v>
      </c>
      <c r="AK209" s="255" t="s">
        <v>560</v>
      </c>
      <c r="AL209" s="153" t="s">
        <v>1508</v>
      </c>
      <c r="AM209" s="153" t="s">
        <v>954</v>
      </c>
      <c r="AN209" s="161" t="str">
        <f t="shared" ca="1" si="43"/>
        <v>TERMINO</v>
      </c>
      <c r="AO209" s="160" t="s">
        <v>576</v>
      </c>
      <c r="AP209" s="155" t="s">
        <v>390</v>
      </c>
      <c r="AQ209" s="819" t="str">
        <f>IFERROR(VLOOKUP(E209,'liquidaciones '!$B$2:$C$1048576,2,0),"NO")</f>
        <v>LIQUIDADO</v>
      </c>
      <c r="AR209" s="909">
        <f>IFERROR(VLOOKUP(E209,'liquidaciones '!$B$2:$I$1048576,8,0),"")</f>
        <v>0</v>
      </c>
      <c r="AS209" s="312">
        <v>42051</v>
      </c>
      <c r="AT209" s="156" t="str">
        <f t="shared" ca="1" si="44"/>
        <v>NO</v>
      </c>
      <c r="AU209" s="156" t="s">
        <v>1150</v>
      </c>
      <c r="AV209" s="406"/>
      <c r="AW209" s="928"/>
      <c r="AX209" s="928"/>
      <c r="AY209" s="928"/>
    </row>
    <row r="210" spans="2:51" ht="47.25" customHeight="1" x14ac:dyDescent="0.3">
      <c r="B210" s="14">
        <v>204</v>
      </c>
      <c r="C210" s="410"/>
      <c r="D210" s="410" t="str">
        <f t="shared" si="34"/>
        <v>2014</v>
      </c>
      <c r="E210" s="120" t="s">
        <v>300</v>
      </c>
      <c r="F210" s="120" t="s">
        <v>1567</v>
      </c>
      <c r="G210" s="1046">
        <v>900599628</v>
      </c>
      <c r="H210" s="957" t="s">
        <v>530</v>
      </c>
      <c r="I210" s="126">
        <v>12000000</v>
      </c>
      <c r="J210" s="821" t="s">
        <v>2271</v>
      </c>
      <c r="K210" s="139">
        <v>2014</v>
      </c>
      <c r="L210" s="519" t="s">
        <v>1087</v>
      </c>
      <c r="M210" s="124">
        <v>41824</v>
      </c>
      <c r="N210" s="124">
        <v>42066</v>
      </c>
      <c r="O210" s="1099" t="str">
        <f>IF(+Modificaciones!I210=0,"",VLOOKUP(E210,Modificaciones!$B$7:$I$2400,8,0))</f>
        <v/>
      </c>
      <c r="P210" s="115">
        <f>COUNTA(Modificaciones!J210,Modificaciones!L210,Modificaciones!N210,Modificaciones!P210)</f>
        <v>0</v>
      </c>
      <c r="Q210" s="116">
        <f>VLOOKUP(E210,Modificaciones!$B$7:$R$300,17,0)</f>
        <v>0</v>
      </c>
      <c r="R210" s="117">
        <f>COUNTA(Modificaciones!T210,Modificaciones!V210,Modificaciones!X210,Modificaciones!Z210)</f>
        <v>2</v>
      </c>
      <c r="S210" s="118" t="str">
        <f>IF(Modificaciones!AA210=0,"",VLOOKUP(E210,Modificaciones!$B$7:$AA$400,26,0))</f>
        <v>8 meses</v>
      </c>
      <c r="T210" s="119">
        <f>IF(Modificaciones!AB210=0,"",VLOOKUP(E210,Modificaciones!$B$7:$AB$400,27,0))</f>
        <v>42312</v>
      </c>
      <c r="U210" s="1080" t="str">
        <f>+Modificaciones!AC210</f>
        <v/>
      </c>
      <c r="V210" s="825" t="str">
        <f>+Modificaciones!AK210</f>
        <v/>
      </c>
      <c r="W210" s="825">
        <f t="shared" si="39"/>
        <v>42312</v>
      </c>
      <c r="X210" s="59">
        <f t="shared" si="35"/>
        <v>12000000</v>
      </c>
      <c r="Y210" s="151">
        <f>VLOOKUP(E210,Modificaciones!$B$7:$BE$300,56,0)</f>
        <v>10800000</v>
      </c>
      <c r="Z210" s="84">
        <f t="shared" si="36"/>
        <v>1200000</v>
      </c>
      <c r="AA210" s="288" t="s">
        <v>1186</v>
      </c>
      <c r="AB210" s="40">
        <f t="shared" si="37"/>
        <v>0.9</v>
      </c>
      <c r="AC210" s="40">
        <f t="shared" ca="1" si="40"/>
        <v>1</v>
      </c>
      <c r="AD210" s="41">
        <f t="shared" ca="1" si="41"/>
        <v>9.9999999999999978E-2</v>
      </c>
      <c r="AE210" s="181" t="str">
        <f t="shared" ca="1" si="42"/>
        <v/>
      </c>
      <c r="AF210" s="42" t="str">
        <f t="shared" si="38"/>
        <v>NO</v>
      </c>
      <c r="AG210" s="42"/>
      <c r="AH210" s="152" t="s">
        <v>1255</v>
      </c>
      <c r="AI210" s="275" t="s">
        <v>1135</v>
      </c>
      <c r="AJ210" s="152" t="s">
        <v>1441</v>
      </c>
      <c r="AK210" s="255" t="s">
        <v>560</v>
      </c>
      <c r="AL210" s="153" t="s">
        <v>1379</v>
      </c>
      <c r="AM210" s="153" t="s">
        <v>954</v>
      </c>
      <c r="AN210" s="161" t="str">
        <f t="shared" ca="1" si="43"/>
        <v>TERMINO</v>
      </c>
      <c r="AO210" s="160" t="s">
        <v>576</v>
      </c>
      <c r="AP210" s="155" t="s">
        <v>390</v>
      </c>
      <c r="AQ210" s="819" t="str">
        <f>IFERROR(VLOOKUP(E210,'liquidaciones '!$B$2:$C$1048576,2,0),"NO")</f>
        <v>LIQUIDADO</v>
      </c>
      <c r="AR210" s="909">
        <f>IFERROR(VLOOKUP(E210,'liquidaciones '!$B$2:$I$1048576,8,0),"")</f>
        <v>0</v>
      </c>
      <c r="AS210" s="312"/>
      <c r="AT210" s="156" t="str">
        <f t="shared" ca="1" si="44"/>
        <v>NO</v>
      </c>
      <c r="AU210" s="156" t="s">
        <v>981</v>
      </c>
      <c r="AV210" s="406"/>
      <c r="AW210" s="928"/>
      <c r="AX210" s="928"/>
      <c r="AY210" s="928"/>
    </row>
    <row r="211" spans="2:51" ht="47.25" customHeight="1" x14ac:dyDescent="0.3">
      <c r="B211" s="14">
        <v>205</v>
      </c>
      <c r="C211" s="410"/>
      <c r="D211" s="410" t="str">
        <f t="shared" si="34"/>
        <v>2014</v>
      </c>
      <c r="E211" s="120" t="s">
        <v>296</v>
      </c>
      <c r="F211" s="120" t="s">
        <v>1038</v>
      </c>
      <c r="G211" s="1046">
        <v>900207129</v>
      </c>
      <c r="H211" s="957" t="s">
        <v>531</v>
      </c>
      <c r="I211" s="126">
        <v>5719790</v>
      </c>
      <c r="J211" s="821" t="s">
        <v>5280</v>
      </c>
      <c r="K211" s="139">
        <v>2014</v>
      </c>
      <c r="L211" s="519" t="s">
        <v>1087</v>
      </c>
      <c r="M211" s="124">
        <v>41807</v>
      </c>
      <c r="N211" s="124">
        <v>41867</v>
      </c>
      <c r="O211" s="1099" t="str">
        <f>IF(+Modificaciones!I211=0,"",VLOOKUP(E211,Modificaciones!$B$7:$I$2400,8,0))</f>
        <v/>
      </c>
      <c r="P211" s="115">
        <f>COUNTA(Modificaciones!J211,Modificaciones!L211,Modificaciones!N211,Modificaciones!P211)</f>
        <v>0</v>
      </c>
      <c r="Q211" s="116">
        <f>VLOOKUP(E211,Modificaciones!$B$7:$R$300,17,0)</f>
        <v>0</v>
      </c>
      <c r="R211" s="117">
        <f>COUNTA(Modificaciones!T211,Modificaciones!V211,Modificaciones!X211,Modificaciones!Z211)</f>
        <v>0</v>
      </c>
      <c r="S211" s="118" t="str">
        <f>IF(Modificaciones!AA211=0,"",VLOOKUP(E211,Modificaciones!$B$7:$AA$400,26,0))</f>
        <v/>
      </c>
      <c r="T211" s="119" t="str">
        <f>IF(Modificaciones!AB211=0,"",VLOOKUP(E211,Modificaciones!$B$7:$AB$400,27,0))</f>
        <v/>
      </c>
      <c r="U211" s="1080" t="str">
        <f>+Modificaciones!AC211</f>
        <v/>
      </c>
      <c r="V211" s="825" t="str">
        <f>+Modificaciones!AK211</f>
        <v/>
      </c>
      <c r="W211" s="825">
        <f t="shared" si="39"/>
        <v>41867</v>
      </c>
      <c r="X211" s="59">
        <f t="shared" si="35"/>
        <v>5719790</v>
      </c>
      <c r="Y211" s="151">
        <f>VLOOKUP(E211,Modificaciones!$B$7:$BE$300,56,0)</f>
        <v>5719790</v>
      </c>
      <c r="Z211" s="84">
        <f t="shared" si="36"/>
        <v>0</v>
      </c>
      <c r="AA211" s="288" t="s">
        <v>1187</v>
      </c>
      <c r="AB211" s="40">
        <f t="shared" si="37"/>
        <v>1</v>
      </c>
      <c r="AC211" s="40">
        <f t="shared" ca="1" si="40"/>
        <v>1</v>
      </c>
      <c r="AD211" s="41">
        <f t="shared" ca="1" si="41"/>
        <v>0</v>
      </c>
      <c r="AE211" s="181" t="str">
        <f t="shared" ca="1" si="42"/>
        <v/>
      </c>
      <c r="AF211" s="42" t="str">
        <f t="shared" si="38"/>
        <v>SI</v>
      </c>
      <c r="AG211" s="42"/>
      <c r="AH211" s="152" t="s">
        <v>1255</v>
      </c>
      <c r="AI211" s="152" t="s">
        <v>1301</v>
      </c>
      <c r="AJ211" s="152"/>
      <c r="AL211" s="153"/>
      <c r="AM211" s="153" t="s">
        <v>901</v>
      </c>
      <c r="AN211" s="161" t="str">
        <f t="shared" ca="1" si="43"/>
        <v>TERMINO</v>
      </c>
      <c r="AO211" s="160" t="s">
        <v>576</v>
      </c>
      <c r="AP211" s="155" t="s">
        <v>391</v>
      </c>
      <c r="AQ211" s="819" t="str">
        <f>IFERROR(VLOOKUP(E211,'liquidaciones '!$B$2:$C$1048576,2,0),"NO")</f>
        <v>LIQUIDADO</v>
      </c>
      <c r="AR211" s="909">
        <f>IFERROR(VLOOKUP(E211,'liquidaciones '!$B$2:$I$1048576,8,0),"")</f>
        <v>0</v>
      </c>
      <c r="AS211" s="312">
        <v>41919</v>
      </c>
      <c r="AT211" s="156" t="str">
        <f t="shared" ca="1" si="44"/>
        <v>NO</v>
      </c>
      <c r="AU211" s="156" t="s">
        <v>1164</v>
      </c>
      <c r="AV211" s="406"/>
      <c r="AW211" s="928"/>
      <c r="AX211" s="928"/>
      <c r="AY211" s="928"/>
    </row>
    <row r="212" spans="2:51" ht="47.25" customHeight="1" x14ac:dyDescent="0.3">
      <c r="B212" s="14">
        <v>206</v>
      </c>
      <c r="C212" s="410"/>
      <c r="D212" s="410" t="str">
        <f t="shared" si="34"/>
        <v>2014</v>
      </c>
      <c r="E212" s="120" t="s">
        <v>287</v>
      </c>
      <c r="F212" s="120" t="s">
        <v>1017</v>
      </c>
      <c r="G212" s="1046">
        <v>900548648</v>
      </c>
      <c r="H212" s="957" t="s">
        <v>532</v>
      </c>
      <c r="I212" s="126">
        <v>337487000</v>
      </c>
      <c r="J212" s="821" t="s">
        <v>5694</v>
      </c>
      <c r="K212" s="139">
        <v>2014</v>
      </c>
      <c r="L212" s="519" t="s">
        <v>1087</v>
      </c>
      <c r="M212" s="124">
        <v>41811</v>
      </c>
      <c r="N212" s="124">
        <v>42130</v>
      </c>
      <c r="O212" s="1099" t="str">
        <f>IF(+Modificaciones!I212=0,"",VLOOKUP(E212,Modificaciones!$B$7:$I$2400,8,0))</f>
        <v/>
      </c>
      <c r="P212" s="115">
        <f>COUNTA(Modificaciones!J212,Modificaciones!L212,Modificaciones!N212,Modificaciones!P212)</f>
        <v>0</v>
      </c>
      <c r="Q212" s="116">
        <f>VLOOKUP(E212,Modificaciones!$B$7:$R$300,17,0)</f>
        <v>0</v>
      </c>
      <c r="R212" s="117">
        <f>COUNTA(Modificaciones!T212,Modificaciones!V212,Modificaciones!X212,Modificaciones!Z212)</f>
        <v>2</v>
      </c>
      <c r="S212" s="118" t="str">
        <f>IF(Modificaciones!AA212=0,"",VLOOKUP(E212,Modificaciones!$B$7:$AA$400,26,0))</f>
        <v>1 mes y 25 días</v>
      </c>
      <c r="T212" s="119">
        <f>IF(Modificaciones!AB212=0,"",VLOOKUP(E212,Modificaciones!$B$7:$AB$400,27,0))</f>
        <v>42186</v>
      </c>
      <c r="U212" s="1080" t="str">
        <f>+Modificaciones!AC212</f>
        <v/>
      </c>
      <c r="V212" s="825" t="str">
        <f>+Modificaciones!AK212</f>
        <v/>
      </c>
      <c r="W212" s="825">
        <f t="shared" si="39"/>
        <v>42186</v>
      </c>
      <c r="X212" s="59">
        <f t="shared" si="35"/>
        <v>337487000</v>
      </c>
      <c r="Y212" s="151">
        <f>VLOOKUP(E212,Modificaciones!$B$7:$BE$300,56,0)</f>
        <v>337486998</v>
      </c>
      <c r="Z212" s="84">
        <f t="shared" si="36"/>
        <v>2</v>
      </c>
      <c r="AA212" s="288" t="s">
        <v>1188</v>
      </c>
      <c r="AB212" s="40">
        <f t="shared" si="37"/>
        <v>0.99999999407384577</v>
      </c>
      <c r="AC212" s="40">
        <f t="shared" ca="1" si="40"/>
        <v>1</v>
      </c>
      <c r="AD212" s="41">
        <f t="shared" ca="1" si="41"/>
        <v>5.9261542340038886E-9</v>
      </c>
      <c r="AE212" s="181" t="str">
        <f t="shared" ca="1" si="42"/>
        <v/>
      </c>
      <c r="AF212" s="42" t="str">
        <f t="shared" si="38"/>
        <v>SI</v>
      </c>
      <c r="AG212" s="42"/>
      <c r="AH212" s="152" t="s">
        <v>1255</v>
      </c>
      <c r="AI212" s="275" t="s">
        <v>1137</v>
      </c>
      <c r="AJ212" s="152" t="s">
        <v>1441</v>
      </c>
      <c r="AK212" s="255" t="s">
        <v>560</v>
      </c>
      <c r="AL212" s="153" t="s">
        <v>1378</v>
      </c>
      <c r="AM212" s="153" t="s">
        <v>901</v>
      </c>
      <c r="AN212" s="161" t="str">
        <f t="shared" ca="1" si="43"/>
        <v>TERMINO</v>
      </c>
      <c r="AO212" s="160" t="s">
        <v>921</v>
      </c>
      <c r="AP212" s="155" t="s">
        <v>390</v>
      </c>
      <c r="AQ212" s="819" t="str">
        <f>IFERROR(VLOOKUP(E212,'liquidaciones '!$B$2:$C$1048576,2,0),"NO")</f>
        <v>LIQUIDADO</v>
      </c>
      <c r="AR212" s="909" t="str">
        <f>IFERROR(VLOOKUP(E212,'liquidaciones '!$B$2:$I$1048576,8,0),"")</f>
        <v>MANUEL ROJAS</v>
      </c>
      <c r="AS212" s="312"/>
      <c r="AT212" s="156" t="str">
        <f t="shared" ca="1" si="44"/>
        <v>NO</v>
      </c>
      <c r="AU212" s="156" t="s">
        <v>1569</v>
      </c>
      <c r="AV212" s="406"/>
      <c r="AW212" s="928"/>
      <c r="AX212" s="928"/>
      <c r="AY212" s="928"/>
    </row>
    <row r="213" spans="2:51" ht="47.25" customHeight="1" x14ac:dyDescent="0.3">
      <c r="B213" s="14">
        <v>207</v>
      </c>
      <c r="C213" s="410"/>
      <c r="D213" s="410" t="str">
        <f t="shared" si="34"/>
        <v>2014</v>
      </c>
      <c r="E213" s="120" t="s">
        <v>291</v>
      </c>
      <c r="F213" s="120" t="s">
        <v>1047</v>
      </c>
      <c r="G213" s="1046">
        <v>900475780</v>
      </c>
      <c r="H213" s="957" t="s">
        <v>533</v>
      </c>
      <c r="I213" s="126">
        <v>2447846100</v>
      </c>
      <c r="J213" s="121" t="s">
        <v>1087</v>
      </c>
      <c r="K213" s="139">
        <v>2014</v>
      </c>
      <c r="L213" s="519" t="s">
        <v>1087</v>
      </c>
      <c r="M213" s="124">
        <v>41808</v>
      </c>
      <c r="N213" s="124">
        <v>42021</v>
      </c>
      <c r="O213" s="1099" t="str">
        <f>IF(+Modificaciones!I213=0,"",VLOOKUP(E213,Modificaciones!$B$7:$I$2400,8,0))</f>
        <v/>
      </c>
      <c r="P213" s="115">
        <f>COUNTA(Modificaciones!J213,Modificaciones!L213,Modificaciones!N213,Modificaciones!P213)</f>
        <v>1</v>
      </c>
      <c r="Q213" s="116">
        <f>VLOOKUP(E213,Modificaciones!$B$7:$R$300,17,0)</f>
        <v>1015608000</v>
      </c>
      <c r="R213" s="117">
        <f>COUNTA(Modificaciones!T213,Modificaciones!V213,Modificaciones!X213,Modificaciones!Z213)</f>
        <v>2</v>
      </c>
      <c r="S213" s="118" t="str">
        <f>IF(Modificaciones!AA213=0,"",VLOOKUP(E213,Modificaciones!$B$7:$AA$400,26,0))</f>
        <v>3 meses y 5 días</v>
      </c>
      <c r="T213" s="119">
        <f>IF(Modificaciones!AB213=0,"",VLOOKUP(E213,Modificaciones!$B$7:$AB$400,27,0))</f>
        <v>42116</v>
      </c>
      <c r="U213" s="1080" t="str">
        <f>+Modificaciones!AC213</f>
        <v/>
      </c>
      <c r="V213" s="825" t="str">
        <f>+Modificaciones!AK213</f>
        <v/>
      </c>
      <c r="W213" s="825">
        <f t="shared" si="39"/>
        <v>42116</v>
      </c>
      <c r="X213" s="59">
        <f t="shared" si="35"/>
        <v>3463454100</v>
      </c>
      <c r="Y213" s="151">
        <f>VLOOKUP(E213,Modificaciones!$B$7:$BE$300,56,0)</f>
        <v>3320263630</v>
      </c>
      <c r="Z213" s="84">
        <f t="shared" si="36"/>
        <v>143190470</v>
      </c>
      <c r="AA213" s="288" t="s">
        <v>1227</v>
      </c>
      <c r="AB213" s="40">
        <f t="shared" si="37"/>
        <v>0.95865674385579414</v>
      </c>
      <c r="AC213" s="40">
        <f t="shared" ca="1" si="40"/>
        <v>1</v>
      </c>
      <c r="AD213" s="41">
        <f t="shared" ca="1" si="41"/>
        <v>4.1343256144205864E-2</v>
      </c>
      <c r="AE213" s="181" t="str">
        <f t="shared" ca="1" si="42"/>
        <v/>
      </c>
      <c r="AF213" s="42" t="str">
        <f t="shared" si="38"/>
        <v>NO</v>
      </c>
      <c r="AG213" s="42"/>
      <c r="AH213" s="152" t="s">
        <v>1255</v>
      </c>
      <c r="AI213" s="275" t="s">
        <v>1507</v>
      </c>
      <c r="AJ213" s="152" t="s">
        <v>1441</v>
      </c>
      <c r="AK213" s="255" t="s">
        <v>560</v>
      </c>
      <c r="AL213" s="153" t="s">
        <v>1318</v>
      </c>
      <c r="AM213" s="153" t="s">
        <v>901</v>
      </c>
      <c r="AN213" s="161" t="str">
        <f t="shared" ca="1" si="43"/>
        <v>TERMINO</v>
      </c>
      <c r="AO213" s="160" t="s">
        <v>582</v>
      </c>
      <c r="AP213" s="155" t="s">
        <v>390</v>
      </c>
      <c r="AQ213" s="819" t="str">
        <f>IFERROR(VLOOKUP(E213,'liquidaciones '!$B$2:$C$1048576,2,0),"NO")</f>
        <v>LIQUIDADO</v>
      </c>
      <c r="AR213" s="909">
        <f>IFERROR(VLOOKUP(E213,'liquidaciones '!$B$2:$I$1048576,8,0),"")</f>
        <v>0</v>
      </c>
      <c r="AS213" s="312"/>
      <c r="AT213" s="156" t="str">
        <f t="shared" ca="1" si="44"/>
        <v>NO</v>
      </c>
      <c r="AU213" s="156" t="s">
        <v>2075</v>
      </c>
      <c r="AV213" s="406"/>
      <c r="AW213" s="928"/>
      <c r="AX213" s="928"/>
      <c r="AY213" s="928"/>
    </row>
    <row r="214" spans="2:51" ht="47.25" customHeight="1" x14ac:dyDescent="0.3">
      <c r="B214" s="14">
        <v>208</v>
      </c>
      <c r="C214" s="410"/>
      <c r="D214" s="410" t="str">
        <f t="shared" si="34"/>
        <v>2014</v>
      </c>
      <c r="E214" s="120" t="s">
        <v>305</v>
      </c>
      <c r="F214" s="120" t="s">
        <v>306</v>
      </c>
      <c r="G214" s="1046">
        <v>900007203</v>
      </c>
      <c r="H214" s="957" t="s">
        <v>534</v>
      </c>
      <c r="I214" s="126">
        <v>330000</v>
      </c>
      <c r="J214" s="821" t="s">
        <v>5261</v>
      </c>
      <c r="K214" s="139">
        <v>2014</v>
      </c>
      <c r="L214" s="519" t="s">
        <v>1087</v>
      </c>
      <c r="M214" s="124">
        <v>41841</v>
      </c>
      <c r="N214" s="124">
        <v>41872</v>
      </c>
      <c r="O214" s="1099" t="str">
        <f>IF(+Modificaciones!I214=0,"",VLOOKUP(E214,Modificaciones!$B$7:$I$2400,8,0))</f>
        <v/>
      </c>
      <c r="P214" s="115">
        <f>COUNTA(Modificaciones!J214,Modificaciones!L214,Modificaciones!N214,Modificaciones!P214)</f>
        <v>0</v>
      </c>
      <c r="Q214" s="116">
        <f>VLOOKUP(E214,Modificaciones!$B$7:$R$300,17,0)</f>
        <v>0</v>
      </c>
      <c r="R214" s="117">
        <f>COUNTA(Modificaciones!T214,Modificaciones!V214,Modificaciones!X214,Modificaciones!Z214)</f>
        <v>0</v>
      </c>
      <c r="S214" s="118" t="str">
        <f>IF(Modificaciones!AA214=0,"",VLOOKUP(E214,Modificaciones!$B$7:$AA$400,26,0))</f>
        <v/>
      </c>
      <c r="T214" s="119" t="str">
        <f>IF(Modificaciones!AB214=0,"",VLOOKUP(E214,Modificaciones!$B$7:$AB$400,27,0))</f>
        <v/>
      </c>
      <c r="U214" s="1080" t="str">
        <f>+Modificaciones!AC214</f>
        <v/>
      </c>
      <c r="V214" s="825" t="str">
        <f>+Modificaciones!AK214</f>
        <v/>
      </c>
      <c r="W214" s="825">
        <f t="shared" si="39"/>
        <v>41872</v>
      </c>
      <c r="X214" s="59">
        <f t="shared" si="35"/>
        <v>330000</v>
      </c>
      <c r="Y214" s="151">
        <f>VLOOKUP(E214,Modificaciones!$B$7:$BE$300,56,0)</f>
        <v>330000</v>
      </c>
      <c r="Z214" s="84">
        <f t="shared" si="36"/>
        <v>0</v>
      </c>
      <c r="AA214" s="288" t="s">
        <v>1228</v>
      </c>
      <c r="AB214" s="40">
        <f t="shared" si="37"/>
        <v>1</v>
      </c>
      <c r="AC214" s="40">
        <f t="shared" ca="1" si="40"/>
        <v>1</v>
      </c>
      <c r="AD214" s="41">
        <f t="shared" ca="1" si="41"/>
        <v>0</v>
      </c>
      <c r="AE214" s="181" t="str">
        <f t="shared" ca="1" si="42"/>
        <v/>
      </c>
      <c r="AF214" s="42" t="str">
        <f t="shared" si="38"/>
        <v>SI</v>
      </c>
      <c r="AG214" s="42"/>
      <c r="AH214" s="152" t="s">
        <v>1255</v>
      </c>
      <c r="AI214" s="152" t="s">
        <v>1313</v>
      </c>
      <c r="AJ214" s="152" t="s">
        <v>1434</v>
      </c>
      <c r="AK214" s="255" t="s">
        <v>560</v>
      </c>
      <c r="AL214" s="153"/>
      <c r="AM214" s="153" t="s">
        <v>954</v>
      </c>
      <c r="AN214" s="161" t="str">
        <f t="shared" ca="1" si="43"/>
        <v>TERMINO</v>
      </c>
      <c r="AO214" s="160" t="s">
        <v>576</v>
      </c>
      <c r="AP214" s="155" t="s">
        <v>390</v>
      </c>
      <c r="AQ214" s="819" t="str">
        <f>IFERROR(VLOOKUP(E214,'liquidaciones '!$B$2:$C$1048576,2,0),"NO")</f>
        <v>LIQUIDADO</v>
      </c>
      <c r="AR214" s="909">
        <f>IFERROR(VLOOKUP(E214,'liquidaciones '!$B$2:$I$1048576,8,0),"")</f>
        <v>0</v>
      </c>
      <c r="AS214" s="312">
        <v>42306</v>
      </c>
      <c r="AT214" s="156" t="str">
        <f t="shared" ca="1" si="44"/>
        <v>NO</v>
      </c>
      <c r="AU214" s="156" t="s">
        <v>1150</v>
      </c>
      <c r="AV214" s="406"/>
      <c r="AW214" s="928"/>
      <c r="AX214" s="928"/>
      <c r="AY214" s="928"/>
    </row>
    <row r="215" spans="2:51" ht="47.25" customHeight="1" x14ac:dyDescent="0.3">
      <c r="B215" s="14">
        <v>209</v>
      </c>
      <c r="C215" s="410"/>
      <c r="D215" s="410" t="str">
        <f t="shared" si="34"/>
        <v>2014</v>
      </c>
      <c r="E215" s="120" t="s">
        <v>285</v>
      </c>
      <c r="F215" s="120" t="s">
        <v>3</v>
      </c>
      <c r="G215" s="1046">
        <v>830095213</v>
      </c>
      <c r="H215" s="957" t="s">
        <v>402</v>
      </c>
      <c r="I215" s="126">
        <v>251750000</v>
      </c>
      <c r="J215" s="821" t="s">
        <v>5698</v>
      </c>
      <c r="K215" s="139">
        <v>2014</v>
      </c>
      <c r="L215" s="519" t="s">
        <v>1087</v>
      </c>
      <c r="M215" s="124">
        <v>41806</v>
      </c>
      <c r="N215" s="124">
        <v>41959</v>
      </c>
      <c r="O215" s="1099" t="str">
        <f>IF(+Modificaciones!I215=0,"",VLOOKUP(E215,Modificaciones!$B$7:$I$2400,8,0))</f>
        <v/>
      </c>
      <c r="P215" s="115">
        <f>COUNTA(Modificaciones!J215,Modificaciones!L215,Modificaciones!N215,Modificaciones!P215)</f>
        <v>0</v>
      </c>
      <c r="Q215" s="116">
        <f>VLOOKUP(E215,Modificaciones!$B$7:$R$300,17,0)</f>
        <v>0</v>
      </c>
      <c r="R215" s="117">
        <f>COUNTA(Modificaciones!T215,Modificaciones!V215,Modificaciones!X215,Modificaciones!Z215)</f>
        <v>0</v>
      </c>
      <c r="S215" s="118" t="str">
        <f>IF(Modificaciones!AA215=0,"",VLOOKUP(E215,Modificaciones!$B$7:$AA$400,26,0))</f>
        <v/>
      </c>
      <c r="T215" s="119" t="str">
        <f>IF(Modificaciones!AB215=0,"",VLOOKUP(E215,Modificaciones!$B$7:$AB$400,27,0))</f>
        <v/>
      </c>
      <c r="U215" s="1080" t="str">
        <f>+Modificaciones!AC215</f>
        <v/>
      </c>
      <c r="V215" s="825" t="str">
        <f>+Modificaciones!AK215</f>
        <v/>
      </c>
      <c r="W215" s="825">
        <f t="shared" si="39"/>
        <v>41959</v>
      </c>
      <c r="X215" s="59">
        <f t="shared" si="35"/>
        <v>251750000</v>
      </c>
      <c r="Y215" s="151">
        <f>VLOOKUP(E215,Modificaciones!$B$7:$BE$300,56,0)</f>
        <v>180186681</v>
      </c>
      <c r="Z215" s="84">
        <f t="shared" si="36"/>
        <v>71563319</v>
      </c>
      <c r="AA215" s="288" t="s">
        <v>1189</v>
      </c>
      <c r="AB215" s="40">
        <f t="shared" si="37"/>
        <v>0.71573656802383312</v>
      </c>
      <c r="AC215" s="40">
        <f t="shared" ca="1" si="40"/>
        <v>1</v>
      </c>
      <c r="AD215" s="41">
        <f t="shared" ca="1" si="41"/>
        <v>0.28426343197616688</v>
      </c>
      <c r="AE215" s="181" t="str">
        <f t="shared" ca="1" si="42"/>
        <v/>
      </c>
      <c r="AF215" s="42" t="str">
        <f t="shared" si="38"/>
        <v>NO</v>
      </c>
      <c r="AG215" s="42"/>
      <c r="AH215" s="152" t="s">
        <v>1255</v>
      </c>
      <c r="AI215" s="152" t="s">
        <v>1138</v>
      </c>
      <c r="AJ215" s="152" t="s">
        <v>1441</v>
      </c>
      <c r="AK215" s="255" t="s">
        <v>560</v>
      </c>
      <c r="AL215" s="153" t="s">
        <v>1318</v>
      </c>
      <c r="AM215" s="153" t="s">
        <v>901</v>
      </c>
      <c r="AN215" s="161" t="str">
        <f t="shared" ca="1" si="43"/>
        <v>TERMINO</v>
      </c>
      <c r="AO215" s="154"/>
      <c r="AP215" s="155" t="s">
        <v>391</v>
      </c>
      <c r="AQ215" s="819" t="str">
        <f>IFERROR(VLOOKUP(E215,'liquidaciones '!$B$2:$C$1048576,2,0),"NO")</f>
        <v>EN TRÁMITE</v>
      </c>
      <c r="AR215" s="909">
        <f>IFERROR(VLOOKUP(E215,'liquidaciones '!$B$2:$I$1048576,8,0),"")</f>
        <v>0</v>
      </c>
      <c r="AS215" s="312"/>
      <c r="AT215" s="156" t="str">
        <f t="shared" ca="1" si="44"/>
        <v>NO</v>
      </c>
      <c r="AU215" s="156" t="s">
        <v>1570</v>
      </c>
      <c r="AV215" s="406"/>
      <c r="AW215" s="928"/>
      <c r="AX215" s="928"/>
      <c r="AY215" s="928"/>
    </row>
    <row r="216" spans="2:51" ht="47.25" customHeight="1" x14ac:dyDescent="0.3">
      <c r="B216" s="14">
        <v>210</v>
      </c>
      <c r="C216" s="410"/>
      <c r="D216" s="410" t="str">
        <f t="shared" si="34"/>
        <v>2014</v>
      </c>
      <c r="E216" s="120" t="s">
        <v>1100</v>
      </c>
      <c r="F216" s="120" t="s">
        <v>435</v>
      </c>
      <c r="G216" s="1048">
        <v>900152368</v>
      </c>
      <c r="H216" s="957" t="s">
        <v>1102</v>
      </c>
      <c r="I216" s="126">
        <v>6252000</v>
      </c>
      <c r="J216" s="121" t="s">
        <v>1087</v>
      </c>
      <c r="K216" s="139">
        <v>2014</v>
      </c>
      <c r="L216" s="519" t="s">
        <v>1087</v>
      </c>
      <c r="M216" s="124">
        <v>41842</v>
      </c>
      <c r="N216" s="124">
        <v>42207</v>
      </c>
      <c r="O216" s="1099" t="str">
        <f>IF(+Modificaciones!I216=0,"",VLOOKUP(E216,Modificaciones!$B$7:$I$2400,8,0))</f>
        <v/>
      </c>
      <c r="P216" s="115">
        <f>COUNTA(Modificaciones!J216,Modificaciones!L216,Modificaciones!N216,Modificaciones!P216)</f>
        <v>0</v>
      </c>
      <c r="Q216" s="116">
        <f>VLOOKUP(E216,Modificaciones!$B$7:$R$300,17,0)</f>
        <v>0</v>
      </c>
      <c r="R216" s="117">
        <f>COUNTA(Modificaciones!T216,Modificaciones!V216,Modificaciones!X216,Modificaciones!Z216)</f>
        <v>0</v>
      </c>
      <c r="S216" s="118" t="str">
        <f>IF(Modificaciones!AA216=0,"",VLOOKUP(E216,Modificaciones!$B$7:$AA$400,26,0))</f>
        <v/>
      </c>
      <c r="T216" s="119" t="str">
        <f>IF(Modificaciones!AB216=0,"",VLOOKUP(E216,Modificaciones!$B$7:$AB$400,27,0))</f>
        <v/>
      </c>
      <c r="U216" s="1080" t="str">
        <f>+Modificaciones!AC216</f>
        <v/>
      </c>
      <c r="V216" s="825" t="str">
        <f>+Modificaciones!AK216</f>
        <v/>
      </c>
      <c r="W216" s="825">
        <f t="shared" si="39"/>
        <v>42207</v>
      </c>
      <c r="X216" s="59">
        <f t="shared" si="35"/>
        <v>6252000</v>
      </c>
      <c r="Y216" s="151">
        <f>VLOOKUP(E216,Modificaciones!$B$7:$BE$300,56,0)</f>
        <v>5665189</v>
      </c>
      <c r="Z216" s="84">
        <f t="shared" si="36"/>
        <v>586811</v>
      </c>
      <c r="AA216" s="288" t="s">
        <v>1229</v>
      </c>
      <c r="AB216" s="40">
        <f t="shared" si="37"/>
        <v>0.90614027511196416</v>
      </c>
      <c r="AC216" s="40">
        <f t="shared" ca="1" si="40"/>
        <v>1</v>
      </c>
      <c r="AD216" s="41">
        <f t="shared" ca="1" si="41"/>
        <v>9.3859724888035845E-2</v>
      </c>
      <c r="AE216" s="181" t="str">
        <f t="shared" ca="1" si="42"/>
        <v/>
      </c>
      <c r="AF216" s="42" t="str">
        <f t="shared" si="38"/>
        <v>NO</v>
      </c>
      <c r="AG216" s="42"/>
      <c r="AH216" s="152" t="s">
        <v>1255</v>
      </c>
      <c r="AI216" s="275" t="s">
        <v>1171</v>
      </c>
      <c r="AJ216" s="152" t="s">
        <v>1441</v>
      </c>
      <c r="AK216" s="255" t="s">
        <v>560</v>
      </c>
      <c r="AL216" s="153" t="s">
        <v>1379</v>
      </c>
      <c r="AM216" s="153" t="s">
        <v>901</v>
      </c>
      <c r="AN216" s="161" t="str">
        <f t="shared" ca="1" si="43"/>
        <v>TERMINO</v>
      </c>
      <c r="AO216" s="160" t="s">
        <v>576</v>
      </c>
      <c r="AP216" s="155" t="s">
        <v>390</v>
      </c>
      <c r="AQ216" s="819" t="str">
        <f>IFERROR(VLOOKUP(E216,'liquidaciones '!$B$2:$C$1048576,2,0),"NO")</f>
        <v>EN TRÁMITE</v>
      </c>
      <c r="AR216" s="909">
        <f>IFERROR(VLOOKUP(E216,'liquidaciones '!$B$2:$I$1048576,8,0),"")</f>
        <v>0</v>
      </c>
      <c r="AS216" s="312"/>
      <c r="AT216" s="156" t="str">
        <f t="shared" ca="1" si="44"/>
        <v>NO</v>
      </c>
      <c r="AU216" s="156" t="s">
        <v>2388</v>
      </c>
      <c r="AV216" s="406"/>
      <c r="AW216" s="928"/>
      <c r="AX216" s="928"/>
      <c r="AY216" s="928"/>
    </row>
    <row r="217" spans="2:51" ht="47.25" customHeight="1" x14ac:dyDescent="0.3">
      <c r="B217" s="14">
        <v>211</v>
      </c>
      <c r="C217" s="410"/>
      <c r="D217" s="410" t="str">
        <f t="shared" si="34"/>
        <v>2014</v>
      </c>
      <c r="E217" s="120" t="s">
        <v>299</v>
      </c>
      <c r="F217" s="120" t="s">
        <v>1048</v>
      </c>
      <c r="G217" s="1046">
        <v>19303649</v>
      </c>
      <c r="H217" s="957" t="s">
        <v>535</v>
      </c>
      <c r="I217" s="126">
        <v>2962640</v>
      </c>
      <c r="J217" s="821" t="s">
        <v>4018</v>
      </c>
      <c r="K217" s="139">
        <v>2014</v>
      </c>
      <c r="L217" s="519" t="s">
        <v>1087</v>
      </c>
      <c r="M217" s="124">
        <v>41838</v>
      </c>
      <c r="N217" s="124">
        <v>41852</v>
      </c>
      <c r="O217" s="1099" t="str">
        <f>IF(+Modificaciones!I217=0,"",VLOOKUP(E217,Modificaciones!$B$7:$I$2400,8,0))</f>
        <v/>
      </c>
      <c r="P217" s="115">
        <f>COUNTA(Modificaciones!J217,Modificaciones!L217,Modificaciones!N217,Modificaciones!P217)</f>
        <v>0</v>
      </c>
      <c r="Q217" s="116">
        <f>VLOOKUP(E217,Modificaciones!$B$7:$R$300,17,0)</f>
        <v>0</v>
      </c>
      <c r="R217" s="117">
        <f>COUNTA(Modificaciones!T217,Modificaciones!V217,Modificaciones!X217,Modificaciones!Z217)</f>
        <v>0</v>
      </c>
      <c r="S217" s="118" t="str">
        <f>IF(Modificaciones!AA217=0,"",VLOOKUP(E217,Modificaciones!$B$7:$AA$400,26,0))</f>
        <v/>
      </c>
      <c r="T217" s="119" t="str">
        <f>IF(Modificaciones!AB217=0,"",VLOOKUP(E217,Modificaciones!$B$7:$AB$400,27,0))</f>
        <v/>
      </c>
      <c r="U217" s="1080" t="str">
        <f>+Modificaciones!AC217</f>
        <v/>
      </c>
      <c r="V217" s="825" t="str">
        <f>+Modificaciones!AK217</f>
        <v/>
      </c>
      <c r="W217" s="825">
        <f t="shared" si="39"/>
        <v>41852</v>
      </c>
      <c r="X217" s="59">
        <f t="shared" si="35"/>
        <v>2962640</v>
      </c>
      <c r="Y217" s="151">
        <f>VLOOKUP(E217,Modificaciones!$B$7:$BE$300,56,0)</f>
        <v>2962640</v>
      </c>
      <c r="Z217" s="84">
        <f t="shared" si="36"/>
        <v>0</v>
      </c>
      <c r="AA217" s="288" t="s">
        <v>1190</v>
      </c>
      <c r="AB217" s="40">
        <f t="shared" si="37"/>
        <v>1</v>
      </c>
      <c r="AC217" s="40">
        <f t="shared" ca="1" si="40"/>
        <v>1</v>
      </c>
      <c r="AD217" s="41">
        <f t="shared" ca="1" si="41"/>
        <v>0</v>
      </c>
      <c r="AE217" s="181" t="str">
        <f t="shared" ca="1" si="42"/>
        <v/>
      </c>
      <c r="AF217" s="42" t="str">
        <f t="shared" si="38"/>
        <v>SI</v>
      </c>
      <c r="AG217" s="42"/>
      <c r="AH217" s="152" t="s">
        <v>1255</v>
      </c>
      <c r="AI217" s="152" t="s">
        <v>1314</v>
      </c>
      <c r="AJ217" s="152"/>
      <c r="AL217" s="153"/>
      <c r="AM217" s="153" t="s">
        <v>901</v>
      </c>
      <c r="AN217" s="161" t="str">
        <f t="shared" ca="1" si="43"/>
        <v>TERMINO</v>
      </c>
      <c r="AO217" s="160" t="s">
        <v>576</v>
      </c>
      <c r="AP217" s="155" t="s">
        <v>391</v>
      </c>
      <c r="AQ217" s="819" t="str">
        <f>IFERROR(VLOOKUP(E217,'liquidaciones '!$B$2:$C$1048576,2,0),"NO")</f>
        <v>LIQUIDADO</v>
      </c>
      <c r="AR217" s="909">
        <f>IFERROR(VLOOKUP(E217,'liquidaciones '!$B$2:$I$1048576,8,0),"")</f>
        <v>0</v>
      </c>
      <c r="AS217" s="308">
        <v>42088</v>
      </c>
      <c r="AT217" s="156" t="str">
        <f t="shared" ca="1" si="44"/>
        <v>NO</v>
      </c>
      <c r="AU217" s="156" t="s">
        <v>1150</v>
      </c>
      <c r="AV217" s="406"/>
      <c r="AW217" s="928"/>
      <c r="AX217" s="928"/>
      <c r="AY217" s="928"/>
    </row>
    <row r="218" spans="2:51" ht="47.25" customHeight="1" x14ac:dyDescent="0.3">
      <c r="B218" s="14">
        <v>212</v>
      </c>
      <c r="C218" s="410"/>
      <c r="D218" s="410" t="str">
        <f t="shared" si="34"/>
        <v>2014</v>
      </c>
      <c r="E218" s="120" t="s">
        <v>294</v>
      </c>
      <c r="F218" s="120" t="s">
        <v>295</v>
      </c>
      <c r="G218" s="1046">
        <v>900153597</v>
      </c>
      <c r="H218" s="957" t="s">
        <v>536</v>
      </c>
      <c r="I218" s="126">
        <v>36581760</v>
      </c>
      <c r="J218" s="821" t="s">
        <v>2619</v>
      </c>
      <c r="K218" s="139">
        <v>2014</v>
      </c>
      <c r="L218" s="519" t="s">
        <v>1087</v>
      </c>
      <c r="M218" s="124">
        <v>41821</v>
      </c>
      <c r="N218" s="124">
        <v>42093</v>
      </c>
      <c r="O218" s="1099" t="str">
        <f>IF(+Modificaciones!I218=0,"",VLOOKUP(E218,Modificaciones!$B$7:$I$2400,8,0))</f>
        <v/>
      </c>
      <c r="P218" s="115">
        <f>COUNTA(Modificaciones!J218,Modificaciones!L218,Modificaciones!N218,Modificaciones!P218)</f>
        <v>0</v>
      </c>
      <c r="Q218" s="116">
        <f>VLOOKUP(E218,Modificaciones!$B$7:$R$300,17,0)</f>
        <v>0</v>
      </c>
      <c r="R218" s="117">
        <f>COUNTA(Modificaciones!T218,Modificaciones!V218,Modificaciones!X218,Modificaciones!Z218)</f>
        <v>1</v>
      </c>
      <c r="S218" s="118" t="str">
        <f>IF(Modificaciones!AA218=0,"",VLOOKUP(E218,Modificaciones!$B$7:$AA$400,26,0))</f>
        <v>3 meses</v>
      </c>
      <c r="T218" s="119">
        <f>IF(Modificaciones!AB218=0,"",VLOOKUP(E218,Modificaciones!$B$7:$AB$400,27,0))</f>
        <v>42186</v>
      </c>
      <c r="U218" s="1080" t="str">
        <f>+Modificaciones!AC218</f>
        <v/>
      </c>
      <c r="V218" s="825" t="str">
        <f>+Modificaciones!AK218</f>
        <v/>
      </c>
      <c r="W218" s="825">
        <f t="shared" si="39"/>
        <v>42186</v>
      </c>
      <c r="X218" s="59">
        <f t="shared" si="35"/>
        <v>36581760</v>
      </c>
      <c r="Y218" s="151">
        <f>VLOOKUP(E218,Modificaciones!$B$7:$BE$300,56,0)</f>
        <v>34363318</v>
      </c>
      <c r="Z218" s="84">
        <f t="shared" si="36"/>
        <v>2218442</v>
      </c>
      <c r="AA218" s="288" t="s">
        <v>1191</v>
      </c>
      <c r="AB218" s="40">
        <f t="shared" si="37"/>
        <v>0.93935660832064938</v>
      </c>
      <c r="AC218" s="40">
        <f t="shared" ca="1" si="40"/>
        <v>1</v>
      </c>
      <c r="AD218" s="41">
        <f t="shared" ca="1" si="41"/>
        <v>6.0643391679350622E-2</v>
      </c>
      <c r="AE218" s="181" t="str">
        <f t="shared" ca="1" si="42"/>
        <v/>
      </c>
      <c r="AF218" s="42" t="str">
        <f t="shared" si="38"/>
        <v>NO</v>
      </c>
      <c r="AG218" s="42"/>
      <c r="AH218" s="152" t="s">
        <v>1255</v>
      </c>
      <c r="AI218" s="275" t="s">
        <v>1139</v>
      </c>
      <c r="AJ218" s="152" t="s">
        <v>1441</v>
      </c>
      <c r="AK218" s="255" t="s">
        <v>560</v>
      </c>
      <c r="AL218" s="153" t="s">
        <v>1378</v>
      </c>
      <c r="AM218" s="153" t="s">
        <v>901</v>
      </c>
      <c r="AN218" s="161" t="str">
        <f t="shared" ca="1" si="43"/>
        <v>TERMINO</v>
      </c>
      <c r="AO218" s="160" t="s">
        <v>921</v>
      </c>
      <c r="AP218" s="155" t="s">
        <v>390</v>
      </c>
      <c r="AQ218" s="819" t="str">
        <f>IFERROR(VLOOKUP(E218,'liquidaciones '!$B$2:$C$1048576,2,0),"NO")</f>
        <v>LIQUIDADO</v>
      </c>
      <c r="AR218" s="909">
        <f>IFERROR(VLOOKUP(E218,'liquidaciones '!$B$2:$I$1048576,8,0),"")</f>
        <v>0</v>
      </c>
      <c r="AS218" s="312"/>
      <c r="AT218" s="156" t="str">
        <f t="shared" ca="1" si="44"/>
        <v>NO</v>
      </c>
      <c r="AU218" s="156" t="s">
        <v>981</v>
      </c>
      <c r="AV218" s="406"/>
      <c r="AW218" s="928"/>
      <c r="AX218" s="928"/>
      <c r="AY218" s="928"/>
    </row>
    <row r="219" spans="2:51" ht="47.25" customHeight="1" x14ac:dyDescent="0.3">
      <c r="B219" s="14">
        <v>213</v>
      </c>
      <c r="C219" s="410"/>
      <c r="D219" s="410" t="str">
        <f t="shared" si="34"/>
        <v>2014</v>
      </c>
      <c r="E219" s="120" t="s">
        <v>292</v>
      </c>
      <c r="F219" s="120" t="s">
        <v>293</v>
      </c>
      <c r="G219" s="1046">
        <v>79619132</v>
      </c>
      <c r="H219" s="957" t="s">
        <v>537</v>
      </c>
      <c r="I219" s="126">
        <v>16390000</v>
      </c>
      <c r="J219" s="121" t="s">
        <v>1087</v>
      </c>
      <c r="K219" s="139">
        <v>2014</v>
      </c>
      <c r="L219" s="519" t="s">
        <v>1087</v>
      </c>
      <c r="M219" s="124">
        <v>41799</v>
      </c>
      <c r="N219" s="124">
        <v>42193</v>
      </c>
      <c r="O219" s="1099" t="str">
        <f>IF(+Modificaciones!I219=0,"",VLOOKUP(E219,Modificaciones!$B$7:$I$2400,8,0))</f>
        <v/>
      </c>
      <c r="P219" s="115">
        <f>COUNTA(Modificaciones!J219,Modificaciones!L219,Modificaciones!N219,Modificaciones!P219)</f>
        <v>1</v>
      </c>
      <c r="Q219" s="116">
        <f>VLOOKUP(E219,Modificaciones!$B$7:$R$300,17,0)</f>
        <v>2324400</v>
      </c>
      <c r="R219" s="117">
        <f>COUNTA(Modificaciones!T219,Modificaciones!V219,Modificaciones!X219,Modificaciones!Z219)</f>
        <v>1</v>
      </c>
      <c r="S219" s="118" t="str">
        <f>IF(Modificaciones!AA219=0,"",VLOOKUP(E219,Modificaciones!$B$7:$AA$400,26,0))</f>
        <v>1 mes y 22 días</v>
      </c>
      <c r="T219" s="119">
        <f>IF(Modificaciones!AB219=0,"",VLOOKUP(E219,Modificaciones!$B$7:$AB$400,27,0))</f>
        <v>42247</v>
      </c>
      <c r="U219" s="1080" t="str">
        <f>+Modificaciones!AC219</f>
        <v/>
      </c>
      <c r="V219" s="825" t="str">
        <f>+Modificaciones!AK219</f>
        <v/>
      </c>
      <c r="W219" s="825">
        <f t="shared" si="39"/>
        <v>42247</v>
      </c>
      <c r="X219" s="59">
        <f t="shared" si="35"/>
        <v>18714400</v>
      </c>
      <c r="Y219" s="151">
        <f>VLOOKUP(E219,Modificaciones!$B$7:$BE$300,56,0)</f>
        <v>18714400</v>
      </c>
      <c r="Z219" s="84">
        <f t="shared" si="36"/>
        <v>0</v>
      </c>
      <c r="AA219" s="288" t="s">
        <v>1192</v>
      </c>
      <c r="AB219" s="40">
        <f t="shared" si="37"/>
        <v>1</v>
      </c>
      <c r="AC219" s="40">
        <f t="shared" ca="1" si="40"/>
        <v>1</v>
      </c>
      <c r="AD219" s="41">
        <f t="shared" ca="1" si="41"/>
        <v>0</v>
      </c>
      <c r="AE219" s="181" t="str">
        <f t="shared" ca="1" si="42"/>
        <v/>
      </c>
      <c r="AF219" s="42" t="str">
        <f t="shared" si="38"/>
        <v>SI</v>
      </c>
      <c r="AG219" s="42"/>
      <c r="AH219" s="152" t="s">
        <v>1255</v>
      </c>
      <c r="AI219" s="275" t="s">
        <v>1140</v>
      </c>
      <c r="AJ219" s="152" t="s">
        <v>1441</v>
      </c>
      <c r="AK219" s="255" t="s">
        <v>560</v>
      </c>
      <c r="AL219" s="153" t="s">
        <v>1379</v>
      </c>
      <c r="AM219" s="153" t="s">
        <v>901</v>
      </c>
      <c r="AN219" s="161" t="str">
        <f t="shared" ca="1" si="43"/>
        <v>TERMINO</v>
      </c>
      <c r="AO219" s="160" t="s">
        <v>576</v>
      </c>
      <c r="AP219" s="155" t="s">
        <v>390</v>
      </c>
      <c r="AQ219" s="819" t="str">
        <f>IFERROR(VLOOKUP(E219,'liquidaciones '!$B$2:$C$1048576,2,0),"NO")</f>
        <v>LIQUIDADO</v>
      </c>
      <c r="AR219" s="909">
        <f>IFERROR(VLOOKUP(E219,'liquidaciones '!$B$2:$I$1048576,8,0),"")</f>
        <v>0</v>
      </c>
      <c r="AS219" s="312"/>
      <c r="AT219" s="156" t="str">
        <f t="shared" ca="1" si="44"/>
        <v>NO</v>
      </c>
      <c r="AU219" s="156" t="s">
        <v>981</v>
      </c>
      <c r="AV219" s="406"/>
      <c r="AW219" s="928"/>
      <c r="AX219" s="928"/>
      <c r="AY219" s="928"/>
    </row>
    <row r="220" spans="2:51" ht="57.75" customHeight="1" x14ac:dyDescent="0.3">
      <c r="B220" s="14">
        <v>214</v>
      </c>
      <c r="C220" s="410"/>
      <c r="D220" s="410" t="str">
        <f t="shared" si="34"/>
        <v>2014</v>
      </c>
      <c r="E220" s="120" t="s">
        <v>298</v>
      </c>
      <c r="F220" s="120" t="s">
        <v>90</v>
      </c>
      <c r="G220" s="1046">
        <v>830109807</v>
      </c>
      <c r="H220" s="957" t="s">
        <v>538</v>
      </c>
      <c r="I220" s="126">
        <v>683000</v>
      </c>
      <c r="J220" s="821" t="s">
        <v>5708</v>
      </c>
      <c r="K220" s="139">
        <v>2014</v>
      </c>
      <c r="L220" s="519" t="s">
        <v>1087</v>
      </c>
      <c r="M220" s="124">
        <v>41838</v>
      </c>
      <c r="N220" s="124">
        <v>42203</v>
      </c>
      <c r="O220" s="1099" t="str">
        <f>IF(+Modificaciones!I220=0,"",VLOOKUP(E220,Modificaciones!$B$7:$I$2400,8,0))</f>
        <v/>
      </c>
      <c r="P220" s="115">
        <f>COUNTA(Modificaciones!J220,Modificaciones!L220,Modificaciones!N220,Modificaciones!P220)</f>
        <v>0</v>
      </c>
      <c r="Q220" s="116">
        <f>VLOOKUP(E220,Modificaciones!$B$7:$R$300,17,0)</f>
        <v>0</v>
      </c>
      <c r="R220" s="117">
        <f>COUNTA(Modificaciones!T220,Modificaciones!V220,Modificaciones!X220,Modificaciones!Z220)</f>
        <v>0</v>
      </c>
      <c r="S220" s="118" t="str">
        <f>IF(Modificaciones!AA220=0,"",VLOOKUP(E220,Modificaciones!$B$7:$AA$400,26,0))</f>
        <v/>
      </c>
      <c r="T220" s="119" t="str">
        <f>IF(Modificaciones!AB220=0,"",VLOOKUP(E220,Modificaciones!$B$7:$AB$400,27,0))</f>
        <v/>
      </c>
      <c r="U220" s="1080" t="str">
        <f>+Modificaciones!AC220</f>
        <v/>
      </c>
      <c r="V220" s="825" t="str">
        <f>+Modificaciones!AK220</f>
        <v/>
      </c>
      <c r="W220" s="825">
        <f t="shared" si="39"/>
        <v>42203</v>
      </c>
      <c r="X220" s="59">
        <f t="shared" si="35"/>
        <v>683000</v>
      </c>
      <c r="Y220" s="151">
        <f>VLOOKUP(E220,Modificaciones!$B$7:$BE$300,56,0)</f>
        <v>683000</v>
      </c>
      <c r="Z220" s="84">
        <f t="shared" si="36"/>
        <v>0</v>
      </c>
      <c r="AA220" s="288" t="s">
        <v>1230</v>
      </c>
      <c r="AB220" s="40">
        <f t="shared" si="37"/>
        <v>1</v>
      </c>
      <c r="AC220" s="40">
        <f t="shared" ca="1" si="40"/>
        <v>1</v>
      </c>
      <c r="AD220" s="41">
        <f t="shared" ca="1" si="41"/>
        <v>0</v>
      </c>
      <c r="AE220" s="181" t="str">
        <f t="shared" ca="1" si="42"/>
        <v/>
      </c>
      <c r="AF220" s="42" t="str">
        <f t="shared" si="38"/>
        <v>SI</v>
      </c>
      <c r="AG220" s="42"/>
      <c r="AH220" s="152" t="s">
        <v>1255</v>
      </c>
      <c r="AI220" s="275" t="s">
        <v>1141</v>
      </c>
      <c r="AJ220" s="152" t="s">
        <v>1429</v>
      </c>
      <c r="AK220" s="255" t="s">
        <v>564</v>
      </c>
      <c r="AL220" s="153"/>
      <c r="AM220" s="153" t="s">
        <v>901</v>
      </c>
      <c r="AN220" s="161" t="str">
        <f t="shared" ca="1" si="43"/>
        <v>TERMINO</v>
      </c>
      <c r="AO220" s="160" t="s">
        <v>576</v>
      </c>
      <c r="AP220" s="155" t="s">
        <v>390</v>
      </c>
      <c r="AQ220" s="819" t="str">
        <f>IFERROR(VLOOKUP(E220,'liquidaciones '!$B$2:$C$1048576,2,0),"NO")</f>
        <v>LIQUIDADO</v>
      </c>
      <c r="AR220" s="909">
        <f>IFERROR(VLOOKUP(E220,'liquidaciones '!$B$2:$I$1048576,8,0),"")</f>
        <v>0</v>
      </c>
      <c r="AS220" s="312"/>
      <c r="AT220" s="156" t="str">
        <f t="shared" ca="1" si="44"/>
        <v>NO</v>
      </c>
      <c r="AU220" s="156" t="s">
        <v>1509</v>
      </c>
      <c r="AV220" s="406"/>
      <c r="AW220" s="928"/>
      <c r="AX220" s="928"/>
      <c r="AY220" s="928"/>
    </row>
    <row r="221" spans="2:51" ht="47.25" customHeight="1" x14ac:dyDescent="0.3">
      <c r="B221" s="14">
        <v>215</v>
      </c>
      <c r="C221" s="410"/>
      <c r="D221" s="410" t="str">
        <f t="shared" si="34"/>
        <v>2014</v>
      </c>
      <c r="E221" s="120" t="s">
        <v>302</v>
      </c>
      <c r="F221" s="120" t="s">
        <v>303</v>
      </c>
      <c r="G221" s="1046">
        <v>832004433</v>
      </c>
      <c r="H221" s="957" t="s">
        <v>539</v>
      </c>
      <c r="I221" s="126">
        <v>4672000</v>
      </c>
      <c r="J221" s="673" t="s">
        <v>2226</v>
      </c>
      <c r="K221" s="139">
        <v>2014</v>
      </c>
      <c r="L221" s="519" t="s">
        <v>1087</v>
      </c>
      <c r="M221" s="124">
        <v>41835</v>
      </c>
      <c r="N221" s="124">
        <v>42050</v>
      </c>
      <c r="O221" s="1099" t="str">
        <f>IF(+Modificaciones!I221=0,"",VLOOKUP(E221,Modificaciones!$B$7:$I$2400,8,0))</f>
        <v/>
      </c>
      <c r="P221" s="115">
        <f>COUNTA(Modificaciones!J221,Modificaciones!L221,Modificaciones!N221,Modificaciones!P221)</f>
        <v>0</v>
      </c>
      <c r="Q221" s="116">
        <f>VLOOKUP(E221,Modificaciones!$B$7:$R$300,17,0)</f>
        <v>0</v>
      </c>
      <c r="R221" s="117">
        <f>COUNTA(Modificaciones!T221,Modificaciones!V221,Modificaciones!X221,Modificaciones!Z221)</f>
        <v>0</v>
      </c>
      <c r="S221" s="118" t="str">
        <f>IF(Modificaciones!AA221=0,"",VLOOKUP(E221,Modificaciones!$B$7:$AA$400,26,0))</f>
        <v/>
      </c>
      <c r="T221" s="119" t="str">
        <f>IF(Modificaciones!AB221=0,"",VLOOKUP(E221,Modificaciones!$B$7:$AB$400,27,0))</f>
        <v/>
      </c>
      <c r="U221" s="1080" t="str">
        <f>+Modificaciones!AC221</f>
        <v/>
      </c>
      <c r="V221" s="825" t="str">
        <f>+Modificaciones!AK221</f>
        <v/>
      </c>
      <c r="W221" s="825">
        <f t="shared" si="39"/>
        <v>42050</v>
      </c>
      <c r="X221" s="59">
        <f t="shared" si="35"/>
        <v>4672000</v>
      </c>
      <c r="Y221" s="151">
        <f>VLOOKUP(E221,Modificaciones!$B$7:$BE$300,56,0)</f>
        <v>1806200</v>
      </c>
      <c r="Z221" s="84">
        <f t="shared" si="36"/>
        <v>2865800</v>
      </c>
      <c r="AA221" s="288" t="s">
        <v>1193</v>
      </c>
      <c r="AB221" s="40">
        <f t="shared" si="37"/>
        <v>0.38660102739726027</v>
      </c>
      <c r="AC221" s="40">
        <f t="shared" ca="1" si="40"/>
        <v>1</v>
      </c>
      <c r="AD221" s="41">
        <f t="shared" ca="1" si="41"/>
        <v>0.61339897260273979</v>
      </c>
      <c r="AE221" s="181" t="str">
        <f t="shared" ca="1" si="42"/>
        <v/>
      </c>
      <c r="AF221" s="42" t="str">
        <f t="shared" si="38"/>
        <v>NO</v>
      </c>
      <c r="AG221" s="42"/>
      <c r="AH221" s="152" t="s">
        <v>1255</v>
      </c>
      <c r="AI221" s="152" t="s">
        <v>1510</v>
      </c>
      <c r="AJ221" s="152" t="s">
        <v>1441</v>
      </c>
      <c r="AK221" s="255" t="s">
        <v>560</v>
      </c>
      <c r="AL221" s="153" t="s">
        <v>1379</v>
      </c>
      <c r="AM221" s="153" t="s">
        <v>954</v>
      </c>
      <c r="AN221" s="161" t="str">
        <f t="shared" ca="1" si="43"/>
        <v>TERMINO</v>
      </c>
      <c r="AO221" s="160" t="s">
        <v>576</v>
      </c>
      <c r="AP221" s="155" t="s">
        <v>390</v>
      </c>
      <c r="AQ221" s="819" t="str">
        <f>IFERROR(VLOOKUP(E221,'liquidaciones '!$B$2:$C$1048576,2,0),"NO")</f>
        <v>LIQUIDADO</v>
      </c>
      <c r="AR221" s="909">
        <f>IFERROR(VLOOKUP(E221,'liquidaciones '!$B$2:$I$1048576,8,0),"")</f>
        <v>0</v>
      </c>
      <c r="AS221" s="312">
        <v>42321</v>
      </c>
      <c r="AT221" s="156" t="str">
        <f t="shared" ca="1" si="44"/>
        <v>NO</v>
      </c>
      <c r="AU221" s="156" t="s">
        <v>1055</v>
      </c>
      <c r="AV221" s="406"/>
      <c r="AW221" s="928"/>
      <c r="AX221" s="928"/>
      <c r="AY221" s="928"/>
    </row>
    <row r="222" spans="2:51" ht="47.25" customHeight="1" x14ac:dyDescent="0.3">
      <c r="B222" s="14">
        <v>216</v>
      </c>
      <c r="C222" s="410"/>
      <c r="D222" s="410" t="str">
        <f t="shared" si="34"/>
        <v>2014</v>
      </c>
      <c r="E222" s="120" t="s">
        <v>919</v>
      </c>
      <c r="F222" s="120" t="s">
        <v>1103</v>
      </c>
      <c r="G222" s="1047"/>
      <c r="H222" s="957" t="s">
        <v>1104</v>
      </c>
      <c r="I222" s="126">
        <v>3846133</v>
      </c>
      <c r="J222" s="821" t="s">
        <v>4704</v>
      </c>
      <c r="K222" s="139">
        <v>2014</v>
      </c>
      <c r="L222" s="519" t="s">
        <v>1087</v>
      </c>
      <c r="M222" s="124">
        <v>41837</v>
      </c>
      <c r="N222" s="124">
        <v>42202</v>
      </c>
      <c r="O222" s="1099" t="str">
        <f>IF(+Modificaciones!I222=0,"",VLOOKUP(E222,Modificaciones!$B$7:$I$2400,8,0))</f>
        <v/>
      </c>
      <c r="P222" s="115">
        <f>COUNTA(Modificaciones!J222,Modificaciones!L222,Modificaciones!N222,Modificaciones!P222)</f>
        <v>0</v>
      </c>
      <c r="Q222" s="116">
        <f>VLOOKUP(E222,Modificaciones!$B$7:$R$300,17,0)</f>
        <v>0</v>
      </c>
      <c r="R222" s="117">
        <f>COUNTA(Modificaciones!T222,Modificaciones!V222,Modificaciones!X222,Modificaciones!Z222)</f>
        <v>0</v>
      </c>
      <c r="S222" s="118" t="str">
        <f>IF(Modificaciones!AA222=0,"",VLOOKUP(E222,Modificaciones!$B$7:$AA$400,26,0))</f>
        <v/>
      </c>
      <c r="T222" s="119" t="str">
        <f>IF(Modificaciones!AB222=0,"",VLOOKUP(E222,Modificaciones!$B$7:$AB$400,27,0))</f>
        <v/>
      </c>
      <c r="U222" s="1080" t="str">
        <f>+Modificaciones!AC222</f>
        <v/>
      </c>
      <c r="V222" s="825" t="str">
        <f>+Modificaciones!AK222</f>
        <v/>
      </c>
      <c r="W222" s="825">
        <f t="shared" si="39"/>
        <v>42202</v>
      </c>
      <c r="X222" s="59">
        <f t="shared" si="35"/>
        <v>3846133</v>
      </c>
      <c r="Y222" s="151">
        <f>VLOOKUP(E222,Modificaciones!$B$7:$BE$300,56,0)</f>
        <v>0</v>
      </c>
      <c r="Z222" s="84">
        <f t="shared" si="36"/>
        <v>3846133</v>
      </c>
      <c r="AA222" s="288"/>
      <c r="AB222" s="40">
        <f t="shared" si="37"/>
        <v>0</v>
      </c>
      <c r="AC222" s="40">
        <f t="shared" ca="1" si="40"/>
        <v>1</v>
      </c>
      <c r="AD222" s="41">
        <f t="shared" ca="1" si="41"/>
        <v>1</v>
      </c>
      <c r="AE222" s="181" t="str">
        <f t="shared" ca="1" si="42"/>
        <v/>
      </c>
      <c r="AF222" s="42"/>
      <c r="AG222" s="42"/>
      <c r="AH222" s="152"/>
      <c r="AI222" s="152"/>
      <c r="AJ222" s="152"/>
      <c r="AL222" s="153"/>
      <c r="AM222" s="153"/>
      <c r="AN222" s="161" t="str">
        <f t="shared" ca="1" si="43"/>
        <v>TERMINO</v>
      </c>
      <c r="AO222" s="160"/>
      <c r="AP222" s="155"/>
      <c r="AQ222" s="819" t="str">
        <f>IFERROR(VLOOKUP(E222,'liquidaciones '!$B$2:$C$1048576,2,0),"NO")</f>
        <v>LIQUIDADO</v>
      </c>
      <c r="AR222" s="909" t="str">
        <f>IFERROR(VLOOKUP(E222,'liquidaciones '!$B$2:$I$1048576,8,0),"")</f>
        <v>JULIETH ANGARITA</v>
      </c>
      <c r="AS222" s="312"/>
      <c r="AT222" s="156" t="str">
        <f t="shared" ca="1" si="44"/>
        <v>NO</v>
      </c>
      <c r="AU222" s="156"/>
      <c r="AV222" s="406"/>
      <c r="AW222" s="928"/>
      <c r="AX222" s="928"/>
      <c r="AY222" s="928"/>
    </row>
    <row r="223" spans="2:51" ht="57.75" customHeight="1" x14ac:dyDescent="0.3">
      <c r="B223" s="14">
        <v>217</v>
      </c>
      <c r="C223" s="410"/>
      <c r="D223" s="410" t="str">
        <f t="shared" si="34"/>
        <v>2014</v>
      </c>
      <c r="E223" s="120" t="s">
        <v>400</v>
      </c>
      <c r="F223" s="120" t="s">
        <v>198</v>
      </c>
      <c r="G223" s="1046">
        <v>900268429</v>
      </c>
      <c r="H223" s="957" t="s">
        <v>1142</v>
      </c>
      <c r="I223" s="126">
        <v>10564000</v>
      </c>
      <c r="J223" s="121" t="s">
        <v>1087</v>
      </c>
      <c r="K223" s="139">
        <v>2014</v>
      </c>
      <c r="L223" s="519" t="s">
        <v>1087</v>
      </c>
      <c r="M223" s="124">
        <v>41793</v>
      </c>
      <c r="N223" s="124">
        <v>42096</v>
      </c>
      <c r="O223" s="1099" t="str">
        <f>IF(+Modificaciones!I223=0,"",VLOOKUP(E223,Modificaciones!$B$7:$I$2400,8,0))</f>
        <v/>
      </c>
      <c r="P223" s="115">
        <f>COUNTA(Modificaciones!J223,Modificaciones!L223,Modificaciones!N223,Modificaciones!P223)</f>
        <v>0</v>
      </c>
      <c r="Q223" s="116">
        <f>VLOOKUP(E223,Modificaciones!$B$7:$R$300,17,0)</f>
        <v>0</v>
      </c>
      <c r="R223" s="117">
        <f>COUNTA(Modificaciones!T223,Modificaciones!V223,Modificaciones!X223,Modificaciones!Z223)</f>
        <v>0</v>
      </c>
      <c r="S223" s="118" t="str">
        <f>IF(Modificaciones!AA223=0,"",VLOOKUP(E223,Modificaciones!$B$7:$AA$400,26,0))</f>
        <v/>
      </c>
      <c r="T223" s="119" t="str">
        <f>IF(Modificaciones!AB223=0,"",VLOOKUP(E223,Modificaciones!$B$7:$AB$400,27,0))</f>
        <v/>
      </c>
      <c r="U223" s="1080" t="str">
        <f>+Modificaciones!AC223</f>
        <v/>
      </c>
      <c r="V223" s="825" t="str">
        <f>+Modificaciones!AK223</f>
        <v/>
      </c>
      <c r="W223" s="825">
        <f t="shared" si="39"/>
        <v>42096</v>
      </c>
      <c r="X223" s="59">
        <f t="shared" si="35"/>
        <v>10564000</v>
      </c>
      <c r="Y223" s="151">
        <f>VLOOKUP(E223,Modificaciones!$B$7:$BE$300,56,0)</f>
        <v>10055157</v>
      </c>
      <c r="Z223" s="84">
        <f t="shared" si="36"/>
        <v>508843</v>
      </c>
      <c r="AA223" s="288" t="s">
        <v>1231</v>
      </c>
      <c r="AB223" s="40">
        <f t="shared" si="37"/>
        <v>0.95183235516849674</v>
      </c>
      <c r="AC223" s="40">
        <f t="shared" ca="1" si="40"/>
        <v>1</v>
      </c>
      <c r="AD223" s="41">
        <f t="shared" ca="1" si="41"/>
        <v>4.8167644831503265E-2</v>
      </c>
      <c r="AE223" s="181" t="str">
        <f t="shared" ca="1" si="42"/>
        <v/>
      </c>
      <c r="AF223" s="42" t="str">
        <f t="shared" ref="AF223:AF254" si="45">IF(AB223&lt;=99.9%,"NO","SI")</f>
        <v>NO</v>
      </c>
      <c r="AG223" s="42"/>
      <c r="AH223" s="152" t="s">
        <v>1255</v>
      </c>
      <c r="AI223" s="275" t="s">
        <v>1143</v>
      </c>
      <c r="AJ223" s="152" t="s">
        <v>1441</v>
      </c>
      <c r="AK223" s="255" t="s">
        <v>560</v>
      </c>
      <c r="AL223" s="153" t="s">
        <v>1379</v>
      </c>
      <c r="AM223" s="153" t="s">
        <v>954</v>
      </c>
      <c r="AN223" s="161" t="str">
        <f t="shared" ca="1" si="43"/>
        <v>TERMINO</v>
      </c>
      <c r="AO223" s="160" t="s">
        <v>574</v>
      </c>
      <c r="AP223" s="155" t="s">
        <v>390</v>
      </c>
      <c r="AQ223" s="819" t="str">
        <f>IFERROR(VLOOKUP(E223,'liquidaciones '!$B$2:$C$1048576,2,0),"NO")</f>
        <v>LIQUIDADO</v>
      </c>
      <c r="AR223" s="909">
        <f>IFERROR(VLOOKUP(E223,'liquidaciones '!$B$2:$I$1048576,8,0),"")</f>
        <v>0</v>
      </c>
      <c r="AS223" s="312">
        <v>42376</v>
      </c>
      <c r="AT223" s="156" t="str">
        <f t="shared" ca="1" si="44"/>
        <v>NO</v>
      </c>
      <c r="AU223" s="156" t="s">
        <v>1569</v>
      </c>
      <c r="AV223" s="406"/>
      <c r="AW223" s="928"/>
      <c r="AX223" s="928"/>
      <c r="AY223" s="928"/>
    </row>
    <row r="224" spans="2:51" ht="63.75" customHeight="1" x14ac:dyDescent="0.3">
      <c r="B224" s="14">
        <v>218</v>
      </c>
      <c r="C224" s="410"/>
      <c r="D224" s="410" t="str">
        <f t="shared" si="34"/>
        <v>2014</v>
      </c>
      <c r="E224" s="120" t="s">
        <v>401</v>
      </c>
      <c r="F224" s="120" t="s">
        <v>547</v>
      </c>
      <c r="G224" s="1046">
        <v>830021364</v>
      </c>
      <c r="H224" s="957" t="s">
        <v>1050</v>
      </c>
      <c r="I224" s="126">
        <v>249991314</v>
      </c>
      <c r="J224" s="121" t="s">
        <v>1087</v>
      </c>
      <c r="K224" s="139">
        <v>2014</v>
      </c>
      <c r="L224" s="519" t="s">
        <v>1087</v>
      </c>
      <c r="M224" s="124">
        <v>41837</v>
      </c>
      <c r="N224" s="124">
        <v>42171</v>
      </c>
      <c r="O224" s="1099" t="str">
        <f>IF(+Modificaciones!I224=0,"",VLOOKUP(E224,Modificaciones!$B$7:$I$2400,8,0))</f>
        <v/>
      </c>
      <c r="P224" s="115">
        <f>COUNTA(Modificaciones!J224,Modificaciones!L224,Modificaciones!N224,Modificaciones!P224)</f>
        <v>0</v>
      </c>
      <c r="Q224" s="116">
        <f>VLOOKUP(E224,Modificaciones!$B$7:$R$300,17,0)</f>
        <v>0</v>
      </c>
      <c r="R224" s="117">
        <f>COUNTA(Modificaciones!T224,Modificaciones!V224,Modificaciones!X224,Modificaciones!Z224)</f>
        <v>1</v>
      </c>
      <c r="S224" s="118" t="str">
        <f>IF(Modificaciones!AA224=0,"",VLOOKUP(E224,Modificaciones!$B$7:$AA$400,26,0))</f>
        <v>1 mes y 14 días</v>
      </c>
      <c r="T224" s="119">
        <f>IF(Modificaciones!AB224=0,"",VLOOKUP(E224,Modificaciones!$B$7:$AB$400,27,0))</f>
        <v>42216</v>
      </c>
      <c r="U224" s="1080" t="str">
        <f>+Modificaciones!AC224</f>
        <v/>
      </c>
      <c r="V224" s="825" t="str">
        <f>+Modificaciones!AK224</f>
        <v/>
      </c>
      <c r="W224" s="825">
        <f t="shared" si="39"/>
        <v>42216</v>
      </c>
      <c r="X224" s="59">
        <f t="shared" si="35"/>
        <v>249991314</v>
      </c>
      <c r="Y224" s="151">
        <f>VLOOKUP(E224,Modificaciones!$B$7:$BE$300,56,0)</f>
        <v>248275406</v>
      </c>
      <c r="Z224" s="84">
        <f t="shared" si="36"/>
        <v>1715908</v>
      </c>
      <c r="AA224" s="288" t="s">
        <v>1194</v>
      </c>
      <c r="AB224" s="40">
        <f t="shared" si="37"/>
        <v>0.99313612952168406</v>
      </c>
      <c r="AC224" s="40">
        <f t="shared" ca="1" si="40"/>
        <v>1</v>
      </c>
      <c r="AD224" s="41">
        <f t="shared" ca="1" si="41"/>
        <v>6.8638704783159366E-3</v>
      </c>
      <c r="AE224" s="181" t="str">
        <f t="shared" ca="1" si="42"/>
        <v/>
      </c>
      <c r="AF224" s="42" t="str">
        <f t="shared" si="45"/>
        <v>NO</v>
      </c>
      <c r="AG224" s="42"/>
      <c r="AH224" s="152" t="s">
        <v>1255</v>
      </c>
      <c r="AI224" s="275" t="s">
        <v>1172</v>
      </c>
      <c r="AJ224" s="152" t="s">
        <v>1441</v>
      </c>
      <c r="AK224" s="255" t="s">
        <v>560</v>
      </c>
      <c r="AL224" s="153" t="s">
        <v>1379</v>
      </c>
      <c r="AM224" s="153" t="s">
        <v>954</v>
      </c>
      <c r="AN224" s="161" t="str">
        <f t="shared" ca="1" si="43"/>
        <v>TERMINO</v>
      </c>
      <c r="AO224" s="160" t="s">
        <v>576</v>
      </c>
      <c r="AP224" s="155" t="s">
        <v>391</v>
      </c>
      <c r="AQ224" s="819" t="str">
        <f>IFERROR(VLOOKUP(E224,'liquidaciones '!$B$2:$C$1048576,2,0),"NO")</f>
        <v>LIQUIDADO</v>
      </c>
      <c r="AR224" s="909">
        <f>IFERROR(VLOOKUP(E224,'liquidaciones '!$B$2:$I$1048576,8,0),"")</f>
        <v>0</v>
      </c>
      <c r="AS224" s="312"/>
      <c r="AT224" s="156" t="str">
        <f t="shared" ca="1" si="44"/>
        <v>NO</v>
      </c>
      <c r="AU224" s="156" t="s">
        <v>981</v>
      </c>
      <c r="AV224" s="406"/>
      <c r="AW224" s="928"/>
      <c r="AX224" s="928"/>
      <c r="AY224" s="928"/>
    </row>
    <row r="225" spans="2:51" ht="63" customHeight="1" x14ac:dyDescent="0.3">
      <c r="B225" s="14">
        <v>219</v>
      </c>
      <c r="C225" s="410"/>
      <c r="D225" s="410" t="str">
        <f t="shared" si="34"/>
        <v>2014</v>
      </c>
      <c r="E225" s="120" t="s">
        <v>1332</v>
      </c>
      <c r="F225" s="120" t="s">
        <v>1333</v>
      </c>
      <c r="G225" s="1046">
        <v>830145054</v>
      </c>
      <c r="H225" s="957" t="s">
        <v>1334</v>
      </c>
      <c r="I225" s="126">
        <v>4136000</v>
      </c>
      <c r="J225" s="821" t="s">
        <v>4563</v>
      </c>
      <c r="K225" s="139">
        <v>2014</v>
      </c>
      <c r="L225" s="519" t="s">
        <v>1087</v>
      </c>
      <c r="M225" s="124">
        <v>41935</v>
      </c>
      <c r="N225" s="124">
        <v>42027</v>
      </c>
      <c r="O225" s="1099" t="str">
        <f>IF(+Modificaciones!I225=0,"",VLOOKUP(E225,Modificaciones!$B$7:$I$2400,8,0))</f>
        <v/>
      </c>
      <c r="P225" s="115">
        <f>COUNTA(Modificaciones!J225,Modificaciones!L225,Modificaciones!N225,Modificaciones!P225)</f>
        <v>0</v>
      </c>
      <c r="Q225" s="116">
        <f>VLOOKUP(E225,Modificaciones!$B$7:$R$300,17,0)</f>
        <v>0</v>
      </c>
      <c r="R225" s="117">
        <f>COUNTA(Modificaciones!T225,Modificaciones!V225,Modificaciones!X225,Modificaciones!Z225)</f>
        <v>0</v>
      </c>
      <c r="S225" s="118" t="str">
        <f>IF(Modificaciones!AA225=0,"",VLOOKUP(E225,Modificaciones!$B$7:$AA$400,26,0))</f>
        <v/>
      </c>
      <c r="T225" s="119" t="str">
        <f>IF(Modificaciones!AB225=0,"",VLOOKUP(E225,Modificaciones!$B$7:$AB$400,27,0))</f>
        <v/>
      </c>
      <c r="U225" s="1080" t="str">
        <f>+Modificaciones!AC225</f>
        <v/>
      </c>
      <c r="V225" s="825" t="str">
        <f>+Modificaciones!AK225</f>
        <v/>
      </c>
      <c r="W225" s="825">
        <f t="shared" si="39"/>
        <v>42027</v>
      </c>
      <c r="X225" s="59">
        <f t="shared" si="35"/>
        <v>4136000</v>
      </c>
      <c r="Y225" s="151">
        <f>VLOOKUP(E225,Modificaciones!$B$7:$BE$300,56,0)</f>
        <v>2251047</v>
      </c>
      <c r="Z225" s="84">
        <f t="shared" si="36"/>
        <v>1884953</v>
      </c>
      <c r="AA225" s="283" t="s">
        <v>1094</v>
      </c>
      <c r="AB225" s="40">
        <f t="shared" si="37"/>
        <v>0.54425701160541584</v>
      </c>
      <c r="AC225" s="40">
        <f t="shared" ca="1" si="40"/>
        <v>1</v>
      </c>
      <c r="AD225" s="41">
        <f t="shared" ca="1" si="41"/>
        <v>0.45574298839458416</v>
      </c>
      <c r="AE225" s="181" t="str">
        <f t="shared" ca="1" si="42"/>
        <v/>
      </c>
      <c r="AF225" s="42" t="str">
        <f t="shared" si="45"/>
        <v>NO</v>
      </c>
      <c r="AG225" s="42"/>
      <c r="AH225" s="152" t="s">
        <v>1255</v>
      </c>
      <c r="AI225" s="275" t="s">
        <v>1299</v>
      </c>
      <c r="AJ225" s="152" t="s">
        <v>1441</v>
      </c>
      <c r="AK225" s="255" t="s">
        <v>560</v>
      </c>
      <c r="AL225" s="153" t="s">
        <v>1379</v>
      </c>
      <c r="AM225" s="153" t="s">
        <v>954</v>
      </c>
      <c r="AN225" s="161" t="str">
        <f t="shared" ca="1" si="43"/>
        <v>TERMINO</v>
      </c>
      <c r="AO225" s="160" t="s">
        <v>576</v>
      </c>
      <c r="AP225" s="155" t="s">
        <v>390</v>
      </c>
      <c r="AQ225" s="819" t="str">
        <f>IFERROR(VLOOKUP(E225,'liquidaciones '!$B$2:$C$1048576,2,0),"NO")</f>
        <v>EN TRÁMITE</v>
      </c>
      <c r="AR225" s="909">
        <f>IFERROR(VLOOKUP(E225,'liquidaciones '!$B$2:$I$1048576,8,0),"")</f>
        <v>0</v>
      </c>
      <c r="AS225" s="312"/>
      <c r="AT225" s="156" t="str">
        <f t="shared" ca="1" si="44"/>
        <v>NO</v>
      </c>
      <c r="AU225" s="156" t="s">
        <v>1570</v>
      </c>
      <c r="AV225" s="406"/>
      <c r="AW225" s="928"/>
      <c r="AX225" s="928"/>
      <c r="AY225" s="928"/>
    </row>
    <row r="226" spans="2:51" ht="47.25" customHeight="1" x14ac:dyDescent="0.3">
      <c r="B226" s="14">
        <v>220</v>
      </c>
      <c r="C226" s="410"/>
      <c r="D226" s="410" t="str">
        <f t="shared" si="34"/>
        <v>2014</v>
      </c>
      <c r="E226" s="120" t="s">
        <v>297</v>
      </c>
      <c r="F226" s="120" t="s">
        <v>999</v>
      </c>
      <c r="G226" s="1046">
        <v>860066942</v>
      </c>
      <c r="H226" s="957" t="s">
        <v>540</v>
      </c>
      <c r="I226" s="126">
        <v>65200000</v>
      </c>
      <c r="J226" s="821" t="s">
        <v>5259</v>
      </c>
      <c r="K226" s="139">
        <v>2014</v>
      </c>
      <c r="L226" s="519" t="s">
        <v>1087</v>
      </c>
      <c r="M226" s="124">
        <v>41835</v>
      </c>
      <c r="N226" s="124">
        <v>42078</v>
      </c>
      <c r="O226" s="1099" t="str">
        <f>IF(+Modificaciones!I226=0,"",VLOOKUP(E226,Modificaciones!$B$7:$I$2400,8,0))</f>
        <v/>
      </c>
      <c r="P226" s="115">
        <f>COUNTA(Modificaciones!J226,Modificaciones!L226,Modificaciones!N226,Modificaciones!P226)</f>
        <v>1</v>
      </c>
      <c r="Q226" s="116">
        <f>VLOOKUP(E226,Modificaciones!$B$7:$R$300,17,0)</f>
        <v>32600000</v>
      </c>
      <c r="R226" s="117">
        <f>COUNTA(Modificaciones!T226,Modificaciones!V226,Modificaciones!X226,Modificaciones!Z226)</f>
        <v>1</v>
      </c>
      <c r="S226" s="118" t="str">
        <f>IF(Modificaciones!AA226=0,"",VLOOKUP(E226,Modificaciones!$B$7:$AA$400,26,0))</f>
        <v>2 meses</v>
      </c>
      <c r="T226" s="119">
        <f>IF(Modificaciones!AB226=0,"",VLOOKUP(E226,Modificaciones!$B$7:$AB$400,27,0))</f>
        <v>42139</v>
      </c>
      <c r="U226" s="1080" t="str">
        <f>+Modificaciones!AC226</f>
        <v/>
      </c>
      <c r="V226" s="825" t="str">
        <f>+Modificaciones!AK226</f>
        <v/>
      </c>
      <c r="W226" s="825">
        <f t="shared" si="39"/>
        <v>42139</v>
      </c>
      <c r="X226" s="59">
        <f t="shared" si="35"/>
        <v>97800000</v>
      </c>
      <c r="Y226" s="151">
        <f>VLOOKUP(E226,Modificaciones!$B$7:$BE$300,56,0)</f>
        <v>97794518</v>
      </c>
      <c r="Z226" s="84">
        <f t="shared" si="36"/>
        <v>5482</v>
      </c>
      <c r="AA226" s="288" t="s">
        <v>1195</v>
      </c>
      <c r="AB226" s="40">
        <f t="shared" si="37"/>
        <v>0.99994394683026588</v>
      </c>
      <c r="AC226" s="40">
        <f t="shared" ca="1" si="40"/>
        <v>1</v>
      </c>
      <c r="AD226" s="41">
        <f t="shared" ca="1" si="41"/>
        <v>5.6053169734116004E-5</v>
      </c>
      <c r="AE226" s="181" t="str">
        <f t="shared" ca="1" si="42"/>
        <v/>
      </c>
      <c r="AF226" s="42" t="str">
        <f t="shared" si="45"/>
        <v>SI</v>
      </c>
      <c r="AG226" s="42"/>
      <c r="AH226" s="152" t="s">
        <v>1255</v>
      </c>
      <c r="AI226" s="152" t="s">
        <v>1300</v>
      </c>
      <c r="AJ226" s="152" t="s">
        <v>1434</v>
      </c>
      <c r="AK226" s="255" t="s">
        <v>560</v>
      </c>
      <c r="AL226" s="153" t="s">
        <v>1385</v>
      </c>
      <c r="AM226" s="153" t="s">
        <v>901</v>
      </c>
      <c r="AN226" s="161" t="str">
        <f t="shared" ca="1" si="43"/>
        <v>TERMINO</v>
      </c>
      <c r="AO226" s="160" t="s">
        <v>582</v>
      </c>
      <c r="AP226" s="155" t="s">
        <v>390</v>
      </c>
      <c r="AQ226" s="819" t="str">
        <f>IFERROR(VLOOKUP(E226,'liquidaciones '!$B$2:$C$1048576,2,0),"NO")</f>
        <v>LIQUIDADO</v>
      </c>
      <c r="AR226" s="909">
        <f>IFERROR(VLOOKUP(E226,'liquidaciones '!$B$2:$I$1048576,8,0),"")</f>
        <v>0</v>
      </c>
      <c r="AS226" s="312">
        <v>42345</v>
      </c>
      <c r="AT226" s="156" t="str">
        <f t="shared" ca="1" si="44"/>
        <v>NO</v>
      </c>
      <c r="AU226" s="156" t="s">
        <v>2075</v>
      </c>
      <c r="AV226" s="406"/>
      <c r="AW226" s="928"/>
      <c r="AX226" s="928"/>
      <c r="AY226" s="928"/>
    </row>
    <row r="227" spans="2:51" ht="54.75" customHeight="1" x14ac:dyDescent="0.3">
      <c r="B227" s="14">
        <v>221</v>
      </c>
      <c r="C227" s="410"/>
      <c r="D227" s="410" t="str">
        <f t="shared" si="34"/>
        <v>2014</v>
      </c>
      <c r="E227" s="120" t="s">
        <v>304</v>
      </c>
      <c r="F227" s="144" t="s">
        <v>1005</v>
      </c>
      <c r="G227" s="1051">
        <v>830040274</v>
      </c>
      <c r="H227" s="961" t="s">
        <v>371</v>
      </c>
      <c r="I227" s="145">
        <v>2228070</v>
      </c>
      <c r="J227" s="821" t="s">
        <v>4305</v>
      </c>
      <c r="K227" s="146">
        <v>2014</v>
      </c>
      <c r="L227" s="519" t="s">
        <v>1087</v>
      </c>
      <c r="M227" s="147">
        <v>41842</v>
      </c>
      <c r="N227" s="147">
        <v>41965</v>
      </c>
      <c r="O227" s="1099" t="str">
        <f>IF(+Modificaciones!I227=0,"",VLOOKUP(E227,Modificaciones!$B$7:$I$2400,8,0))</f>
        <v/>
      </c>
      <c r="P227" s="115">
        <f>COUNTA(Modificaciones!J227,Modificaciones!L227,Modificaciones!N227,Modificaciones!P227)</f>
        <v>0</v>
      </c>
      <c r="Q227" s="116">
        <f>VLOOKUP(E227,Modificaciones!$B$7:$R$300,17,0)</f>
        <v>0</v>
      </c>
      <c r="R227" s="117">
        <f>COUNTA(Modificaciones!T227,Modificaciones!V227,Modificaciones!X227,Modificaciones!Z227)</f>
        <v>0</v>
      </c>
      <c r="S227" s="118" t="str">
        <f>IF(Modificaciones!AA227=0,"",VLOOKUP(E227,Modificaciones!$B$7:$AA$400,26,0))</f>
        <v/>
      </c>
      <c r="T227" s="119" t="str">
        <f>IF(Modificaciones!AB227=0,"",VLOOKUP(E227,Modificaciones!$B$7:$AB$400,27,0))</f>
        <v/>
      </c>
      <c r="U227" s="1080" t="str">
        <f>+Modificaciones!AC227</f>
        <v/>
      </c>
      <c r="V227" s="825" t="str">
        <f>+Modificaciones!AK227</f>
        <v/>
      </c>
      <c r="W227" s="825">
        <f t="shared" si="39"/>
        <v>41965</v>
      </c>
      <c r="X227" s="59">
        <f t="shared" si="35"/>
        <v>2228070</v>
      </c>
      <c r="Y227" s="151">
        <f>VLOOKUP(E227,Modificaciones!$B$7:$BE$300,56,0)</f>
        <v>2228070</v>
      </c>
      <c r="Z227" s="84">
        <f t="shared" si="36"/>
        <v>0</v>
      </c>
      <c r="AA227" s="288" t="s">
        <v>1232</v>
      </c>
      <c r="AB227" s="40">
        <f t="shared" si="37"/>
        <v>1</v>
      </c>
      <c r="AC227" s="40">
        <f t="shared" ca="1" si="40"/>
        <v>1</v>
      </c>
      <c r="AD227" s="41">
        <f t="shared" ca="1" si="41"/>
        <v>0</v>
      </c>
      <c r="AE227" s="181" t="str">
        <f t="shared" ca="1" si="42"/>
        <v/>
      </c>
      <c r="AF227" s="42" t="str">
        <f t="shared" si="45"/>
        <v>SI</v>
      </c>
      <c r="AG227" s="42"/>
      <c r="AH227" s="152" t="s">
        <v>1255</v>
      </c>
      <c r="AI227" s="275" t="s">
        <v>1144</v>
      </c>
      <c r="AJ227" s="152"/>
      <c r="AK227" s="255" t="s">
        <v>563</v>
      </c>
      <c r="AL227" s="153" t="s">
        <v>1386</v>
      </c>
      <c r="AM227" s="153" t="s">
        <v>954</v>
      </c>
      <c r="AN227" s="161" t="str">
        <f t="shared" ca="1" si="43"/>
        <v>TERMINO</v>
      </c>
      <c r="AO227" s="160" t="s">
        <v>576</v>
      </c>
      <c r="AP227" s="155" t="s">
        <v>390</v>
      </c>
      <c r="AQ227" s="819" t="str">
        <f>IFERROR(VLOOKUP(E227,'liquidaciones '!$B$2:$C$1048576,2,0),"NO")</f>
        <v>LIQUIDADO</v>
      </c>
      <c r="AR227" s="909">
        <f>IFERROR(VLOOKUP(E227,'liquidaciones '!$B$2:$I$1048576,8,0),"")</f>
        <v>0</v>
      </c>
      <c r="AS227" s="312">
        <v>42265</v>
      </c>
      <c r="AT227" s="156" t="str">
        <f t="shared" ca="1" si="44"/>
        <v>NO</v>
      </c>
      <c r="AU227" s="156" t="s">
        <v>981</v>
      </c>
      <c r="AV227" s="406"/>
      <c r="AW227" s="928"/>
      <c r="AX227" s="928"/>
      <c r="AY227" s="928"/>
    </row>
    <row r="228" spans="2:51" ht="47.25" customHeight="1" x14ac:dyDescent="0.3">
      <c r="B228" s="14">
        <v>222</v>
      </c>
      <c r="C228" s="410"/>
      <c r="D228" s="410" t="str">
        <f t="shared" si="34"/>
        <v>2014</v>
      </c>
      <c r="E228" s="120" t="s">
        <v>308</v>
      </c>
      <c r="F228" s="144" t="s">
        <v>1049</v>
      </c>
      <c r="G228" s="1051">
        <v>800047094</v>
      </c>
      <c r="H228" s="961" t="s">
        <v>373</v>
      </c>
      <c r="I228" s="145">
        <v>2260000</v>
      </c>
      <c r="J228" s="121" t="s">
        <v>1087</v>
      </c>
      <c r="K228" s="146">
        <v>2014</v>
      </c>
      <c r="L228" s="519" t="s">
        <v>1087</v>
      </c>
      <c r="M228" s="147">
        <v>41862</v>
      </c>
      <c r="N228" s="147">
        <v>41923</v>
      </c>
      <c r="O228" s="1099" t="str">
        <f>IF(+Modificaciones!I228=0,"",VLOOKUP(E228,Modificaciones!$B$7:$I$2400,8,0))</f>
        <v/>
      </c>
      <c r="P228" s="115">
        <f>COUNTA(Modificaciones!J228,Modificaciones!L228,Modificaciones!N228,Modificaciones!P228)</f>
        <v>0</v>
      </c>
      <c r="Q228" s="116">
        <f>VLOOKUP(E228,Modificaciones!$B$7:$R$300,17,0)</f>
        <v>0</v>
      </c>
      <c r="R228" s="117">
        <f>COUNTA(Modificaciones!T228,Modificaciones!V228,Modificaciones!X228,Modificaciones!Z228)</f>
        <v>0</v>
      </c>
      <c r="S228" s="118" t="str">
        <f>IF(Modificaciones!AA228=0,"",VLOOKUP(E228,Modificaciones!$B$7:$AA$400,26,0))</f>
        <v/>
      </c>
      <c r="T228" s="119" t="str">
        <f>IF(Modificaciones!AB228=0,"",VLOOKUP(E228,Modificaciones!$B$7:$AB$400,27,0))</f>
        <v/>
      </c>
      <c r="U228" s="1080" t="str">
        <f>+Modificaciones!AC228</f>
        <v/>
      </c>
      <c r="V228" s="825" t="str">
        <f>+Modificaciones!AK228</f>
        <v/>
      </c>
      <c r="W228" s="825">
        <f t="shared" si="39"/>
        <v>41923</v>
      </c>
      <c r="X228" s="59">
        <f t="shared" si="35"/>
        <v>2260000</v>
      </c>
      <c r="Y228" s="151">
        <f>VLOOKUP(E228,Modificaciones!$B$7:$BE$300,56,0)</f>
        <v>1595000</v>
      </c>
      <c r="Z228" s="84">
        <f t="shared" si="36"/>
        <v>665000</v>
      </c>
      <c r="AA228" s="288" t="s">
        <v>1196</v>
      </c>
      <c r="AB228" s="40">
        <f t="shared" si="37"/>
        <v>0.70575221238938057</v>
      </c>
      <c r="AC228" s="40">
        <f t="shared" ca="1" si="40"/>
        <v>1</v>
      </c>
      <c r="AD228" s="41">
        <f t="shared" ca="1" si="41"/>
        <v>0.29424778761061943</v>
      </c>
      <c r="AE228" s="181" t="str">
        <f t="shared" ca="1" si="42"/>
        <v/>
      </c>
      <c r="AF228" s="42" t="str">
        <f t="shared" si="45"/>
        <v>NO</v>
      </c>
      <c r="AG228" s="42"/>
      <c r="AH228" s="152" t="s">
        <v>1255</v>
      </c>
      <c r="AI228" s="152" t="s">
        <v>1294</v>
      </c>
      <c r="AJ228" s="152"/>
      <c r="AL228" s="153" t="s">
        <v>1386</v>
      </c>
      <c r="AM228" s="153" t="s">
        <v>901</v>
      </c>
      <c r="AN228" s="161" t="str">
        <f t="shared" ca="1" si="43"/>
        <v>TERMINO</v>
      </c>
      <c r="AO228" s="160" t="s">
        <v>576</v>
      </c>
      <c r="AP228" s="155" t="s">
        <v>390</v>
      </c>
      <c r="AQ228" s="819" t="str">
        <f>IFERROR(VLOOKUP(E228,'liquidaciones '!$B$2:$C$1048576,2,0),"NO")</f>
        <v>LIQUIDADO</v>
      </c>
      <c r="AR228" s="909">
        <f>IFERROR(VLOOKUP(E228,'liquidaciones '!$B$2:$I$1048576,8,0),"")</f>
        <v>0</v>
      </c>
      <c r="AS228" s="312">
        <v>42150</v>
      </c>
      <c r="AT228" s="156" t="str">
        <f t="shared" ca="1" si="44"/>
        <v>NO</v>
      </c>
      <c r="AU228" s="156" t="s">
        <v>1150</v>
      </c>
      <c r="AV228" s="406"/>
      <c r="AW228" s="928"/>
      <c r="AX228" s="928"/>
      <c r="AY228" s="928"/>
    </row>
    <row r="229" spans="2:51" ht="47.25" customHeight="1" x14ac:dyDescent="0.3">
      <c r="B229" s="14">
        <v>223</v>
      </c>
      <c r="C229" s="410"/>
      <c r="D229" s="410" t="str">
        <f t="shared" si="34"/>
        <v>2014</v>
      </c>
      <c r="E229" s="120" t="s">
        <v>307</v>
      </c>
      <c r="F229" s="144" t="s">
        <v>144</v>
      </c>
      <c r="G229" s="1051">
        <v>900450570</v>
      </c>
      <c r="H229" s="961" t="s">
        <v>372</v>
      </c>
      <c r="I229" s="145">
        <v>202978686</v>
      </c>
      <c r="J229" s="821" t="s">
        <v>1918</v>
      </c>
      <c r="K229" s="146">
        <v>2014</v>
      </c>
      <c r="L229" s="519" t="s">
        <v>1087</v>
      </c>
      <c r="M229" s="147">
        <v>41850</v>
      </c>
      <c r="N229" s="147">
        <v>42034</v>
      </c>
      <c r="O229" s="1099" t="str">
        <f>IF(+Modificaciones!I229=0,"",VLOOKUP(E229,Modificaciones!$B$7:$I$2400,8,0))</f>
        <v/>
      </c>
      <c r="P229" s="115">
        <f>COUNTA(Modificaciones!J229,Modificaciones!L229,Modificaciones!N229,Modificaciones!P229)</f>
        <v>1</v>
      </c>
      <c r="Q229" s="116">
        <f>VLOOKUP(E229,Modificaciones!$B$7:$R$300,17,0)</f>
        <v>87669877</v>
      </c>
      <c r="R229" s="117">
        <f>COUNTA(Modificaciones!T229,Modificaciones!V229,Modificaciones!X229,Modificaciones!Z229)</f>
        <v>1</v>
      </c>
      <c r="S229" s="118" t="str">
        <f>IF(Modificaciones!AA229=0,"",VLOOKUP(E229,Modificaciones!$B$7:$AA$400,26,0))</f>
        <v>2 meses y 15 días</v>
      </c>
      <c r="T229" s="119">
        <f>IF(Modificaciones!AB229=0,"",VLOOKUP(E229,Modificaciones!$B$7:$AB$400,27,0))</f>
        <v>42108</v>
      </c>
      <c r="U229" s="1080" t="str">
        <f>+Modificaciones!AC229</f>
        <v/>
      </c>
      <c r="V229" s="825" t="str">
        <f>+Modificaciones!AK229</f>
        <v/>
      </c>
      <c r="W229" s="825">
        <f t="shared" si="39"/>
        <v>42108</v>
      </c>
      <c r="X229" s="59">
        <f t="shared" si="35"/>
        <v>290648563</v>
      </c>
      <c r="Y229" s="151">
        <f>VLOOKUP(E229,Modificaciones!$B$7:$BE$300,56,0)</f>
        <v>290648563</v>
      </c>
      <c r="Z229" s="84">
        <f t="shared" si="36"/>
        <v>0</v>
      </c>
      <c r="AA229" s="288" t="s">
        <v>1197</v>
      </c>
      <c r="AB229" s="40">
        <f t="shared" si="37"/>
        <v>1</v>
      </c>
      <c r="AC229" s="40">
        <f t="shared" ca="1" si="40"/>
        <v>1</v>
      </c>
      <c r="AD229" s="41">
        <f t="shared" ca="1" si="41"/>
        <v>0</v>
      </c>
      <c r="AE229" s="181" t="str">
        <f t="shared" ca="1" si="42"/>
        <v/>
      </c>
      <c r="AF229" s="42" t="str">
        <f t="shared" si="45"/>
        <v>SI</v>
      </c>
      <c r="AG229" s="42"/>
      <c r="AH229" s="152" t="s">
        <v>1255</v>
      </c>
      <c r="AI229" s="275" t="s">
        <v>1145</v>
      </c>
      <c r="AJ229" s="152" t="s">
        <v>1441</v>
      </c>
      <c r="AK229" s="255" t="s">
        <v>560</v>
      </c>
      <c r="AL229" s="153" t="s">
        <v>1318</v>
      </c>
      <c r="AM229" s="153" t="s">
        <v>954</v>
      </c>
      <c r="AN229" s="161" t="str">
        <f t="shared" ca="1" si="43"/>
        <v>TERMINO</v>
      </c>
      <c r="AO229" s="160" t="s">
        <v>574</v>
      </c>
      <c r="AP229" s="155" t="s">
        <v>390</v>
      </c>
      <c r="AQ229" s="819" t="str">
        <f>IFERROR(VLOOKUP(E229,'liquidaciones '!$B$2:$C$1048576,2,0),"NO")</f>
        <v>LIQUIDADO</v>
      </c>
      <c r="AR229" s="909">
        <f>IFERROR(VLOOKUP(E229,'liquidaciones '!$B$2:$I$1048576,8,0),"")</f>
        <v>0</v>
      </c>
      <c r="AS229" s="312">
        <v>42278</v>
      </c>
      <c r="AT229" s="156" t="str">
        <f t="shared" ca="1" si="44"/>
        <v>NO</v>
      </c>
      <c r="AU229" s="156" t="s">
        <v>982</v>
      </c>
      <c r="AV229" s="406"/>
      <c r="AW229" s="928"/>
      <c r="AX229" s="928"/>
      <c r="AY229" s="928"/>
    </row>
    <row r="230" spans="2:51" ht="47.25" customHeight="1" x14ac:dyDescent="0.3">
      <c r="B230" s="14">
        <v>224</v>
      </c>
      <c r="C230" s="410"/>
      <c r="D230" s="410" t="str">
        <f t="shared" si="34"/>
        <v>2014</v>
      </c>
      <c r="E230" s="120" t="s">
        <v>1161</v>
      </c>
      <c r="F230" s="189" t="s">
        <v>1162</v>
      </c>
      <c r="G230" s="1052">
        <v>800188299</v>
      </c>
      <c r="H230" s="962" t="s">
        <v>2131</v>
      </c>
      <c r="I230" s="145">
        <v>16592327</v>
      </c>
      <c r="J230" s="821" t="s">
        <v>4675</v>
      </c>
      <c r="K230" s="146">
        <v>2014</v>
      </c>
      <c r="L230" s="519" t="s">
        <v>1087</v>
      </c>
      <c r="M230" s="147">
        <v>41936</v>
      </c>
      <c r="N230" s="147">
        <v>42301</v>
      </c>
      <c r="O230" s="1099" t="str">
        <f>IF(+Modificaciones!I230=0,"",VLOOKUP(E230,Modificaciones!$B$7:$I$2400,8,0))</f>
        <v/>
      </c>
      <c r="P230" s="115">
        <f>COUNTA(Modificaciones!J230,Modificaciones!L230,Modificaciones!N230,Modificaciones!P230)</f>
        <v>0</v>
      </c>
      <c r="Q230" s="116">
        <f>VLOOKUP(E230,Modificaciones!$B$7:$R$300,17,0)</f>
        <v>0</v>
      </c>
      <c r="R230" s="117">
        <f>COUNTA(Modificaciones!T230,Modificaciones!V230,Modificaciones!X230,Modificaciones!Z230)</f>
        <v>0</v>
      </c>
      <c r="S230" s="118" t="str">
        <f>IF(Modificaciones!AA230=0,"",VLOOKUP(E230,Modificaciones!$B$7:$AA$400,26,0))</f>
        <v/>
      </c>
      <c r="T230" s="119" t="str">
        <f>IF(Modificaciones!AB230=0,"",VLOOKUP(E230,Modificaciones!$B$7:$AB$400,27,0))</f>
        <v/>
      </c>
      <c r="U230" s="1080" t="str">
        <f>+Modificaciones!AC230</f>
        <v/>
      </c>
      <c r="V230" s="825" t="str">
        <f>+Modificaciones!AK230</f>
        <v/>
      </c>
      <c r="W230" s="825">
        <f t="shared" si="39"/>
        <v>42301</v>
      </c>
      <c r="X230" s="59">
        <f t="shared" si="35"/>
        <v>16592327</v>
      </c>
      <c r="Y230" s="151">
        <f>VLOOKUP(E230,Modificaciones!$B$7:$BE$300,56,0)</f>
        <v>14933095</v>
      </c>
      <c r="Z230" s="84">
        <f t="shared" si="36"/>
        <v>1659232</v>
      </c>
      <c r="AA230" s="288" t="s">
        <v>1198</v>
      </c>
      <c r="AB230" s="40">
        <f t="shared" si="37"/>
        <v>0.90000004218817531</v>
      </c>
      <c r="AC230" s="40">
        <f t="shared" ca="1" si="40"/>
        <v>1</v>
      </c>
      <c r="AD230" s="41">
        <f t="shared" ca="1" si="41"/>
        <v>9.9999957811824691E-2</v>
      </c>
      <c r="AE230" s="181" t="str">
        <f t="shared" ca="1" si="42"/>
        <v/>
      </c>
      <c r="AF230" s="42" t="str">
        <f t="shared" si="45"/>
        <v>NO</v>
      </c>
      <c r="AG230" s="42"/>
      <c r="AH230" s="152" t="s">
        <v>1256</v>
      </c>
      <c r="AI230" s="275" t="s">
        <v>1173</v>
      </c>
      <c r="AJ230" s="152" t="s">
        <v>1438</v>
      </c>
      <c r="AK230" s="255" t="s">
        <v>560</v>
      </c>
      <c r="AL230" s="153" t="s">
        <v>1508</v>
      </c>
      <c r="AM230" s="153" t="s">
        <v>954</v>
      </c>
      <c r="AN230" s="161" t="str">
        <f t="shared" ca="1" si="43"/>
        <v>TERMINO</v>
      </c>
      <c r="AO230" s="160" t="s">
        <v>576</v>
      </c>
      <c r="AP230" s="155" t="s">
        <v>390</v>
      </c>
      <c r="AQ230" s="819" t="str">
        <f>IFERROR(VLOOKUP(E230,'liquidaciones '!$B$2:$C$1048576,2,0),"NO")</f>
        <v>LIQUIDADO</v>
      </c>
      <c r="AR230" s="909">
        <f>IFERROR(VLOOKUP(E230,'liquidaciones '!$B$2:$I$1048576,8,0),"")</f>
        <v>0</v>
      </c>
      <c r="AS230" s="312"/>
      <c r="AT230" s="156" t="str">
        <f t="shared" ca="1" si="44"/>
        <v>NO</v>
      </c>
      <c r="AU230" s="156" t="s">
        <v>1991</v>
      </c>
      <c r="AV230" s="406"/>
      <c r="AW230" s="928"/>
      <c r="AX230" s="928"/>
      <c r="AY230" s="928"/>
    </row>
    <row r="231" spans="2:51" ht="47.25" customHeight="1" x14ac:dyDescent="0.3">
      <c r="B231" s="14">
        <v>225</v>
      </c>
      <c r="C231" s="410"/>
      <c r="D231" s="410" t="str">
        <f t="shared" si="34"/>
        <v>2014</v>
      </c>
      <c r="E231" s="120" t="s">
        <v>1154</v>
      </c>
      <c r="F231" s="189" t="s">
        <v>33</v>
      </c>
      <c r="G231" s="1046">
        <v>860509265</v>
      </c>
      <c r="H231" s="962" t="s">
        <v>1155</v>
      </c>
      <c r="I231" s="145">
        <v>807000</v>
      </c>
      <c r="J231" s="121" t="s">
        <v>1087</v>
      </c>
      <c r="K231" s="146">
        <v>2014</v>
      </c>
      <c r="L231" s="519" t="s">
        <v>1087</v>
      </c>
      <c r="M231" s="147">
        <v>41912</v>
      </c>
      <c r="N231" s="147">
        <v>42277</v>
      </c>
      <c r="O231" s="1099" t="str">
        <f>IF(+Modificaciones!I231=0,"",VLOOKUP(E231,Modificaciones!$B$7:$I$2400,8,0))</f>
        <v/>
      </c>
      <c r="P231" s="115">
        <f>COUNTA(Modificaciones!J231,Modificaciones!L231,Modificaciones!N231,Modificaciones!P231)</f>
        <v>0</v>
      </c>
      <c r="Q231" s="116">
        <f>VLOOKUP(E231,Modificaciones!$B$7:$R$300,17,0)</f>
        <v>0</v>
      </c>
      <c r="R231" s="117">
        <f>COUNTA(Modificaciones!T231,Modificaciones!V231,Modificaciones!X231,Modificaciones!Z231)</f>
        <v>0</v>
      </c>
      <c r="S231" s="118" t="str">
        <f>IF(Modificaciones!AA231=0,"",VLOOKUP(E231,Modificaciones!$B$7:$AA$400,26,0))</f>
        <v/>
      </c>
      <c r="T231" s="119" t="str">
        <f>IF(Modificaciones!AB231=0,"",VLOOKUP(E231,Modificaciones!$B$7:$AB$400,27,0))</f>
        <v/>
      </c>
      <c r="U231" s="1080" t="str">
        <f>+Modificaciones!AC231</f>
        <v/>
      </c>
      <c r="V231" s="825" t="str">
        <f>+Modificaciones!AK231</f>
        <v/>
      </c>
      <c r="W231" s="825">
        <f t="shared" si="39"/>
        <v>42277</v>
      </c>
      <c r="X231" s="59">
        <f t="shared" si="35"/>
        <v>807000</v>
      </c>
      <c r="Y231" s="151">
        <f>VLOOKUP(E231,Modificaciones!$B$7:$BE$300,56,0)</f>
        <v>807000</v>
      </c>
      <c r="Z231" s="84">
        <f t="shared" si="36"/>
        <v>0</v>
      </c>
      <c r="AA231" s="288" t="s">
        <v>1199</v>
      </c>
      <c r="AB231" s="40">
        <f t="shared" si="37"/>
        <v>1</v>
      </c>
      <c r="AC231" s="40">
        <f t="shared" ca="1" si="40"/>
        <v>1</v>
      </c>
      <c r="AD231" s="41">
        <f t="shared" ca="1" si="41"/>
        <v>0</v>
      </c>
      <c r="AE231" s="181" t="str">
        <f t="shared" ca="1" si="42"/>
        <v/>
      </c>
      <c r="AF231" s="42" t="str">
        <f t="shared" si="45"/>
        <v>SI</v>
      </c>
      <c r="AG231" s="42"/>
      <c r="AH231" s="152" t="s">
        <v>1255</v>
      </c>
      <c r="AI231" s="275" t="s">
        <v>1468</v>
      </c>
      <c r="AJ231" s="152" t="s">
        <v>1429</v>
      </c>
      <c r="AK231" s="255" t="s">
        <v>564</v>
      </c>
      <c r="AL231" s="153" t="s">
        <v>2166</v>
      </c>
      <c r="AM231" s="153" t="s">
        <v>954</v>
      </c>
      <c r="AN231" s="161" t="str">
        <f t="shared" ca="1" si="43"/>
        <v>TERMINO</v>
      </c>
      <c r="AO231" s="160" t="s">
        <v>582</v>
      </c>
      <c r="AP231" s="155" t="s">
        <v>390</v>
      </c>
      <c r="AQ231" s="819" t="str">
        <f>IFERROR(VLOOKUP(E231,'liquidaciones '!$B$2:$C$1048576,2,0),"NO")</f>
        <v>LIQUIDADO</v>
      </c>
      <c r="AR231" s="909">
        <f>IFERROR(VLOOKUP(E231,'liquidaciones '!$B$2:$I$1048576,8,0),"")</f>
        <v>0</v>
      </c>
      <c r="AS231" s="312"/>
      <c r="AT231" s="156" t="str">
        <f t="shared" ca="1" si="44"/>
        <v>NO</v>
      </c>
      <c r="AU231" s="156" t="s">
        <v>1606</v>
      </c>
      <c r="AV231" s="406"/>
      <c r="AW231" s="928"/>
      <c r="AX231" s="928"/>
      <c r="AY231" s="928"/>
    </row>
    <row r="232" spans="2:51" ht="47.25" customHeight="1" x14ac:dyDescent="0.3">
      <c r="B232" s="14">
        <v>226</v>
      </c>
      <c r="C232" s="410"/>
      <c r="D232" s="410" t="str">
        <f t="shared" si="34"/>
        <v>2014</v>
      </c>
      <c r="E232" s="120" t="s">
        <v>548</v>
      </c>
      <c r="F232" s="120" t="s">
        <v>13</v>
      </c>
      <c r="G232" s="1046">
        <v>860007590</v>
      </c>
      <c r="H232" s="962" t="s">
        <v>550</v>
      </c>
      <c r="I232" s="145">
        <v>936000</v>
      </c>
      <c r="J232" s="121" t="s">
        <v>1087</v>
      </c>
      <c r="K232" s="146">
        <v>2014</v>
      </c>
      <c r="L232" s="519" t="s">
        <v>1087</v>
      </c>
      <c r="M232" s="147">
        <v>41893</v>
      </c>
      <c r="N232" s="147">
        <v>42258</v>
      </c>
      <c r="O232" s="1099" t="str">
        <f>IF(+Modificaciones!I232=0,"",VLOOKUP(E232,Modificaciones!$B$7:$I$2400,8,0))</f>
        <v/>
      </c>
      <c r="P232" s="115">
        <f>COUNTA(Modificaciones!J232,Modificaciones!L232,Modificaciones!N232,Modificaciones!P232)</f>
        <v>0</v>
      </c>
      <c r="Q232" s="116">
        <f>VLOOKUP(E232,Modificaciones!$B$7:$R$300,17,0)</f>
        <v>0</v>
      </c>
      <c r="R232" s="117">
        <f>COUNTA(Modificaciones!T232,Modificaciones!V232,Modificaciones!X232,Modificaciones!Z232)</f>
        <v>0</v>
      </c>
      <c r="S232" s="118" t="str">
        <f>IF(Modificaciones!AA232=0,"",VLOOKUP(E232,Modificaciones!$B$7:$AA$400,26,0))</f>
        <v/>
      </c>
      <c r="T232" s="119" t="str">
        <f>IF(Modificaciones!AB232=0,"",VLOOKUP(E232,Modificaciones!$B$7:$AB$400,27,0))</f>
        <v/>
      </c>
      <c r="U232" s="1080" t="str">
        <f>+Modificaciones!AC232</f>
        <v/>
      </c>
      <c r="V232" s="825" t="str">
        <f>+Modificaciones!AK232</f>
        <v/>
      </c>
      <c r="W232" s="825">
        <f t="shared" si="39"/>
        <v>42258</v>
      </c>
      <c r="X232" s="59">
        <f t="shared" si="35"/>
        <v>936000</v>
      </c>
      <c r="Y232" s="151">
        <f>VLOOKUP(E232,Modificaciones!$B$7:$BE$300,56,0)</f>
        <v>936000</v>
      </c>
      <c r="Z232" s="84">
        <f t="shared" si="36"/>
        <v>0</v>
      </c>
      <c r="AA232" s="288" t="s">
        <v>1200</v>
      </c>
      <c r="AB232" s="40">
        <f t="shared" si="37"/>
        <v>1</v>
      </c>
      <c r="AC232" s="40">
        <f t="shared" ca="1" si="40"/>
        <v>1</v>
      </c>
      <c r="AD232" s="41">
        <f t="shared" ca="1" si="41"/>
        <v>0</v>
      </c>
      <c r="AE232" s="181" t="str">
        <f t="shared" ca="1" si="42"/>
        <v/>
      </c>
      <c r="AF232" s="42" t="str">
        <f t="shared" si="45"/>
        <v>SI</v>
      </c>
      <c r="AG232" s="42"/>
      <c r="AH232" s="152" t="s">
        <v>1255</v>
      </c>
      <c r="AI232" s="275" t="s">
        <v>1124</v>
      </c>
      <c r="AJ232" s="152" t="s">
        <v>1429</v>
      </c>
      <c r="AK232" s="255" t="s">
        <v>564</v>
      </c>
      <c r="AL232" s="153" t="s">
        <v>2166</v>
      </c>
      <c r="AM232" s="153" t="s">
        <v>954</v>
      </c>
      <c r="AN232" s="161" t="str">
        <f t="shared" ca="1" si="43"/>
        <v>TERMINO</v>
      </c>
      <c r="AO232" s="160" t="s">
        <v>582</v>
      </c>
      <c r="AP232" s="155" t="s">
        <v>390</v>
      </c>
      <c r="AQ232" s="819" t="str">
        <f>IFERROR(VLOOKUP(E232,'liquidaciones '!$B$2:$C$1048576,2,0),"NO")</f>
        <v>LIQUIDADO</v>
      </c>
      <c r="AR232" s="909">
        <f>IFERROR(VLOOKUP(E232,'liquidaciones '!$B$2:$I$1048576,8,0),"")</f>
        <v>0</v>
      </c>
      <c r="AS232" s="312">
        <v>42377</v>
      </c>
      <c r="AT232" s="156" t="str">
        <f t="shared" ca="1" si="44"/>
        <v>NO</v>
      </c>
      <c r="AU232" s="156" t="s">
        <v>1509</v>
      </c>
      <c r="AV232" s="406"/>
      <c r="AW232" s="928"/>
      <c r="AX232" s="928"/>
      <c r="AY232" s="928"/>
    </row>
    <row r="233" spans="2:51" ht="47.25" customHeight="1" x14ac:dyDescent="0.3">
      <c r="B233" s="14">
        <v>227</v>
      </c>
      <c r="C233" s="410"/>
      <c r="D233" s="410" t="str">
        <f t="shared" si="34"/>
        <v>2014</v>
      </c>
      <c r="E233" s="120" t="s">
        <v>551</v>
      </c>
      <c r="F233" s="120" t="s">
        <v>29</v>
      </c>
      <c r="G233" s="1046">
        <v>860536029</v>
      </c>
      <c r="H233" s="961" t="s">
        <v>1001</v>
      </c>
      <c r="I233" s="145">
        <v>855000</v>
      </c>
      <c r="J233" s="741" t="s">
        <v>551</v>
      </c>
      <c r="K233" s="146">
        <v>2014</v>
      </c>
      <c r="L233" s="519" t="s">
        <v>1087</v>
      </c>
      <c r="M233" s="147">
        <v>41896</v>
      </c>
      <c r="N233" s="147">
        <v>42261</v>
      </c>
      <c r="O233" s="1099" t="str">
        <f>IF(+Modificaciones!I233=0,"",VLOOKUP(E233,Modificaciones!$B$7:$I$2400,8,0))</f>
        <v/>
      </c>
      <c r="P233" s="115">
        <f>COUNTA(Modificaciones!J233,Modificaciones!L233,Modificaciones!N233,Modificaciones!P233)</f>
        <v>0</v>
      </c>
      <c r="Q233" s="116">
        <f>VLOOKUP(E233,Modificaciones!$B$7:$R$300,17,0)</f>
        <v>0</v>
      </c>
      <c r="R233" s="117">
        <f>COUNTA(Modificaciones!T233,Modificaciones!V233,Modificaciones!X233,Modificaciones!Z233)</f>
        <v>0</v>
      </c>
      <c r="S233" s="118" t="str">
        <f>IF(Modificaciones!AA233=0,"",VLOOKUP(E233,Modificaciones!$B$7:$AA$400,26,0))</f>
        <v/>
      </c>
      <c r="T233" s="119" t="str">
        <f>IF(Modificaciones!AB233=0,"",VLOOKUP(E233,Modificaciones!$B$7:$AB$400,27,0))</f>
        <v/>
      </c>
      <c r="U233" s="1080" t="str">
        <f>+Modificaciones!AC233</f>
        <v/>
      </c>
      <c r="V233" s="825" t="str">
        <f>+Modificaciones!AK233</f>
        <v/>
      </c>
      <c r="W233" s="825">
        <f t="shared" si="39"/>
        <v>42261</v>
      </c>
      <c r="X233" s="59">
        <f t="shared" si="35"/>
        <v>855000</v>
      </c>
      <c r="Y233" s="151">
        <f>VLOOKUP(E233,Modificaciones!$B$7:$BE$300,56,0)</f>
        <v>855000</v>
      </c>
      <c r="Z233" s="84">
        <f t="shared" si="36"/>
        <v>0</v>
      </c>
      <c r="AA233" s="288" t="s">
        <v>1201</v>
      </c>
      <c r="AB233" s="40">
        <f t="shared" si="37"/>
        <v>1</v>
      </c>
      <c r="AC233" s="40">
        <f t="shared" ca="1" si="40"/>
        <v>1</v>
      </c>
      <c r="AD233" s="41">
        <f t="shared" ca="1" si="41"/>
        <v>0</v>
      </c>
      <c r="AE233" s="181" t="str">
        <f t="shared" ca="1" si="42"/>
        <v/>
      </c>
      <c r="AF233" s="42" t="str">
        <f t="shared" si="45"/>
        <v>SI</v>
      </c>
      <c r="AG233" s="42"/>
      <c r="AH233" s="152" t="s">
        <v>1255</v>
      </c>
      <c r="AI233" s="275" t="s">
        <v>1124</v>
      </c>
      <c r="AJ233" s="152" t="s">
        <v>1429</v>
      </c>
      <c r="AK233" s="255" t="s">
        <v>564</v>
      </c>
      <c r="AL233" s="153" t="s">
        <v>2166</v>
      </c>
      <c r="AM233" s="153" t="s">
        <v>954</v>
      </c>
      <c r="AN233" s="161" t="str">
        <f t="shared" ca="1" si="43"/>
        <v>TERMINO</v>
      </c>
      <c r="AO233" s="160" t="s">
        <v>582</v>
      </c>
      <c r="AP233" s="155" t="s">
        <v>390</v>
      </c>
      <c r="AQ233" s="819" t="str">
        <f>IFERROR(VLOOKUP(E233,'liquidaciones '!$B$2:$C$1048576,2,0),"NO")</f>
        <v>LIQUIDADO</v>
      </c>
      <c r="AR233" s="909">
        <f>IFERROR(VLOOKUP(E233,'liquidaciones '!$B$2:$I$1048576,8,0),"")</f>
        <v>0</v>
      </c>
      <c r="AS233" s="312">
        <v>42318</v>
      </c>
      <c r="AT233" s="156" t="str">
        <f t="shared" ca="1" si="44"/>
        <v>NO</v>
      </c>
      <c r="AU233" s="156" t="s">
        <v>1509</v>
      </c>
      <c r="AV233" s="406"/>
      <c r="AW233" s="928"/>
      <c r="AX233" s="928"/>
      <c r="AY233" s="928"/>
    </row>
    <row r="234" spans="2:51" ht="47.25" customHeight="1" x14ac:dyDescent="0.3">
      <c r="B234" s="14">
        <v>228</v>
      </c>
      <c r="C234" s="410"/>
      <c r="D234" s="410" t="str">
        <f t="shared" si="34"/>
        <v>2014</v>
      </c>
      <c r="E234" s="120" t="s">
        <v>553</v>
      </c>
      <c r="F234" s="144" t="s">
        <v>554</v>
      </c>
      <c r="G234" s="1051">
        <v>830144875</v>
      </c>
      <c r="H234" s="961" t="s">
        <v>1002</v>
      </c>
      <c r="I234" s="145">
        <v>19356282</v>
      </c>
      <c r="J234" s="121" t="s">
        <v>1087</v>
      </c>
      <c r="K234" s="146">
        <v>2014</v>
      </c>
      <c r="L234" s="519" t="s">
        <v>1087</v>
      </c>
      <c r="M234" s="147">
        <v>41887</v>
      </c>
      <c r="N234" s="147">
        <v>42009</v>
      </c>
      <c r="O234" s="1099" t="str">
        <f>IF(+Modificaciones!I234=0,"",VLOOKUP(E234,Modificaciones!$B$7:$I$2400,8,0))</f>
        <v/>
      </c>
      <c r="P234" s="115">
        <f>COUNTA(Modificaciones!J234,Modificaciones!L234,Modificaciones!N234,Modificaciones!P234)</f>
        <v>0</v>
      </c>
      <c r="Q234" s="116">
        <f>VLOOKUP(E234,Modificaciones!$B$7:$R$300,17,0)</f>
        <v>0</v>
      </c>
      <c r="R234" s="117">
        <f>COUNTA(Modificaciones!T234,Modificaciones!V234,Modificaciones!X234,Modificaciones!Z234)</f>
        <v>0</v>
      </c>
      <c r="S234" s="118" t="str">
        <f>IF(Modificaciones!AA234=0,"",VLOOKUP(E234,Modificaciones!$B$7:$AA$400,26,0))</f>
        <v/>
      </c>
      <c r="T234" s="119" t="str">
        <f>IF(Modificaciones!AB234=0,"",VLOOKUP(E234,Modificaciones!$B$7:$AB$400,27,0))</f>
        <v/>
      </c>
      <c r="U234" s="1080" t="str">
        <f>+Modificaciones!AC234</f>
        <v/>
      </c>
      <c r="V234" s="825" t="str">
        <f>+Modificaciones!AK234</f>
        <v/>
      </c>
      <c r="W234" s="825">
        <f t="shared" si="39"/>
        <v>42009</v>
      </c>
      <c r="X234" s="59">
        <f t="shared" si="35"/>
        <v>19356282</v>
      </c>
      <c r="Y234" s="151">
        <f>VLOOKUP(E234,Modificaciones!$B$7:$BE$300,56,0)</f>
        <v>19356282</v>
      </c>
      <c r="Z234" s="84">
        <f t="shared" si="36"/>
        <v>0</v>
      </c>
      <c r="AA234" s="288" t="s">
        <v>1202</v>
      </c>
      <c r="AB234" s="40">
        <f t="shared" si="37"/>
        <v>1</v>
      </c>
      <c r="AC234" s="40">
        <f t="shared" ca="1" si="40"/>
        <v>1</v>
      </c>
      <c r="AD234" s="41">
        <f t="shared" ca="1" si="41"/>
        <v>0</v>
      </c>
      <c r="AE234" s="181" t="str">
        <f t="shared" ca="1" si="42"/>
        <v/>
      </c>
      <c r="AF234" s="42" t="str">
        <f t="shared" si="45"/>
        <v>SI</v>
      </c>
      <c r="AG234" s="42"/>
      <c r="AH234" s="152" t="s">
        <v>1255</v>
      </c>
      <c r="AI234" s="152" t="s">
        <v>1303</v>
      </c>
      <c r="AJ234" s="152" t="s">
        <v>1434</v>
      </c>
      <c r="AK234" s="255" t="s">
        <v>560</v>
      </c>
      <c r="AL234" s="153" t="s">
        <v>1387</v>
      </c>
      <c r="AM234" s="153" t="s">
        <v>954</v>
      </c>
      <c r="AN234" s="161" t="str">
        <f t="shared" ca="1" si="43"/>
        <v>TERMINO</v>
      </c>
      <c r="AO234" s="160" t="s">
        <v>582</v>
      </c>
      <c r="AP234" s="155" t="s">
        <v>390</v>
      </c>
      <c r="AQ234" s="819" t="str">
        <f>IFERROR(VLOOKUP(E234,'liquidaciones '!$B$2:$C$1048576,2,0),"NO")</f>
        <v>LIQUIDADO</v>
      </c>
      <c r="AR234" s="909">
        <f>IFERROR(VLOOKUP(E234,'liquidaciones '!$B$2:$I$1048576,8,0),"")</f>
        <v>0</v>
      </c>
      <c r="AS234" s="312"/>
      <c r="AT234" s="156" t="str">
        <f t="shared" ca="1" si="44"/>
        <v>NO</v>
      </c>
      <c r="AU234" s="156" t="s">
        <v>2388</v>
      </c>
      <c r="AV234" s="406"/>
      <c r="AW234" s="928"/>
      <c r="AX234" s="928"/>
      <c r="AY234" s="928"/>
    </row>
    <row r="235" spans="2:51" ht="47.25" customHeight="1" x14ac:dyDescent="0.3">
      <c r="B235" s="14">
        <v>229</v>
      </c>
      <c r="C235" s="410"/>
      <c r="D235" s="410" t="str">
        <f t="shared" si="34"/>
        <v>2014</v>
      </c>
      <c r="E235" s="120" t="s">
        <v>1328</v>
      </c>
      <c r="F235" s="144" t="s">
        <v>1019</v>
      </c>
      <c r="G235" s="1046">
        <v>900169179</v>
      </c>
      <c r="H235" s="961" t="s">
        <v>1329</v>
      </c>
      <c r="I235" s="145">
        <v>810000</v>
      </c>
      <c r="J235" s="821" t="s">
        <v>2620</v>
      </c>
      <c r="K235" s="146">
        <v>2014</v>
      </c>
      <c r="L235" s="519" t="s">
        <v>1087</v>
      </c>
      <c r="M235" s="147">
        <v>41940</v>
      </c>
      <c r="N235" s="147">
        <v>42305</v>
      </c>
      <c r="O235" s="1099" t="str">
        <f>IF(+Modificaciones!I235=0,"",VLOOKUP(E235,Modificaciones!$B$7:$I$2400,8,0))</f>
        <v/>
      </c>
      <c r="P235" s="115">
        <f>COUNTA(Modificaciones!J235,Modificaciones!L235,Modificaciones!N235,Modificaciones!P235)</f>
        <v>0</v>
      </c>
      <c r="Q235" s="116">
        <f>VLOOKUP(E235,Modificaciones!$B$7:$R$300,17,0)</f>
        <v>0</v>
      </c>
      <c r="R235" s="117">
        <f>COUNTA(Modificaciones!T235,Modificaciones!V235,Modificaciones!X235,Modificaciones!Z235)</f>
        <v>0</v>
      </c>
      <c r="S235" s="118" t="str">
        <f>IF(Modificaciones!AA235=0,"",VLOOKUP(E235,Modificaciones!$B$7:$AA$400,26,0))</f>
        <v/>
      </c>
      <c r="T235" s="119" t="str">
        <f>IF(Modificaciones!AB235=0,"",VLOOKUP(E235,Modificaciones!$B$7:$AB$400,27,0))</f>
        <v/>
      </c>
      <c r="U235" s="1080" t="str">
        <f>+Modificaciones!AC235</f>
        <v/>
      </c>
      <c r="V235" s="825" t="str">
        <f>+Modificaciones!AK235</f>
        <v/>
      </c>
      <c r="W235" s="825">
        <f t="shared" si="39"/>
        <v>42305</v>
      </c>
      <c r="X235" s="59">
        <f t="shared" si="35"/>
        <v>810000</v>
      </c>
      <c r="Y235" s="151">
        <f>VLOOKUP(E235,Modificaciones!$B$7:$BE$300,56,0)</f>
        <v>810000</v>
      </c>
      <c r="Z235" s="84">
        <f t="shared" si="36"/>
        <v>0</v>
      </c>
      <c r="AA235" s="288"/>
      <c r="AB235" s="40">
        <f t="shared" si="37"/>
        <v>1</v>
      </c>
      <c r="AC235" s="40">
        <f t="shared" ca="1" si="40"/>
        <v>1</v>
      </c>
      <c r="AD235" s="41">
        <f t="shared" ca="1" si="41"/>
        <v>0</v>
      </c>
      <c r="AE235" s="181" t="str">
        <f t="shared" ca="1" si="42"/>
        <v/>
      </c>
      <c r="AF235" s="42" t="str">
        <f t="shared" si="45"/>
        <v>SI</v>
      </c>
      <c r="AG235" s="42"/>
      <c r="AH235" s="152" t="s">
        <v>1255</v>
      </c>
      <c r="AI235" s="275" t="s">
        <v>1124</v>
      </c>
      <c r="AJ235" s="152" t="s">
        <v>1429</v>
      </c>
      <c r="AK235" s="255" t="s">
        <v>564</v>
      </c>
      <c r="AL235" s="153" t="s">
        <v>2166</v>
      </c>
      <c r="AM235" s="153" t="s">
        <v>954</v>
      </c>
      <c r="AN235" s="161" t="str">
        <f t="shared" ca="1" si="43"/>
        <v>TERMINO</v>
      </c>
      <c r="AO235" s="160" t="s">
        <v>582</v>
      </c>
      <c r="AP235" s="155" t="s">
        <v>390</v>
      </c>
      <c r="AQ235" s="819" t="str">
        <f>IFERROR(VLOOKUP(E235,'liquidaciones '!$B$2:$C$1048576,2,0),"NO")</f>
        <v>LIQUIDADO</v>
      </c>
      <c r="AR235" s="909">
        <f>IFERROR(VLOOKUP(E235,'liquidaciones '!$B$2:$I$1048576,8,0),"")</f>
        <v>0</v>
      </c>
      <c r="AS235" s="312">
        <v>42341</v>
      </c>
      <c r="AT235" s="156" t="str">
        <f t="shared" ca="1" si="44"/>
        <v>NO</v>
      </c>
      <c r="AU235" s="156" t="s">
        <v>1606</v>
      </c>
      <c r="AV235" s="406"/>
      <c r="AW235" s="928"/>
      <c r="AX235" s="928"/>
      <c r="AY235" s="928"/>
    </row>
    <row r="236" spans="2:51" ht="47.25" customHeight="1" x14ac:dyDescent="0.3">
      <c r="B236" s="14">
        <v>230</v>
      </c>
      <c r="C236" s="410"/>
      <c r="D236" s="410" t="str">
        <f t="shared" si="34"/>
        <v>2014</v>
      </c>
      <c r="E236" s="120" t="s">
        <v>1335</v>
      </c>
      <c r="F236" s="144" t="s">
        <v>203</v>
      </c>
      <c r="G236" s="1046">
        <v>860049921</v>
      </c>
      <c r="H236" s="961" t="s">
        <v>1336</v>
      </c>
      <c r="I236" s="145">
        <v>4621440</v>
      </c>
      <c r="J236" s="121" t="s">
        <v>1087</v>
      </c>
      <c r="K236" s="146">
        <v>2014</v>
      </c>
      <c r="L236" s="519" t="s">
        <v>1087</v>
      </c>
      <c r="M236" s="147">
        <v>41934</v>
      </c>
      <c r="N236" s="147">
        <v>42085</v>
      </c>
      <c r="O236" s="1099" t="str">
        <f>IF(+Modificaciones!I236=0,"",VLOOKUP(E236,Modificaciones!$B$7:$I$2400,8,0))</f>
        <v/>
      </c>
      <c r="P236" s="115">
        <f>COUNTA(Modificaciones!J236,Modificaciones!L236,Modificaciones!N236,Modificaciones!P236)</f>
        <v>0</v>
      </c>
      <c r="Q236" s="116">
        <f>VLOOKUP(E236,Modificaciones!$B$7:$R$300,17,0)</f>
        <v>0</v>
      </c>
      <c r="R236" s="117">
        <f>COUNTA(Modificaciones!T236,Modificaciones!V236,Modificaciones!X236,Modificaciones!Z236)</f>
        <v>0</v>
      </c>
      <c r="S236" s="118" t="str">
        <f>IF(Modificaciones!AA236=0,"",VLOOKUP(E236,Modificaciones!$B$7:$AA$400,26,0))</f>
        <v/>
      </c>
      <c r="T236" s="119" t="str">
        <f>IF(Modificaciones!AB236=0,"",VLOOKUP(E236,Modificaciones!$B$7:$AB$400,27,0))</f>
        <v/>
      </c>
      <c r="U236" s="1080" t="str">
        <f>+Modificaciones!AC236</f>
        <v/>
      </c>
      <c r="V236" s="825" t="str">
        <f>+Modificaciones!AK236</f>
        <v/>
      </c>
      <c r="W236" s="825">
        <f t="shared" si="39"/>
        <v>42085</v>
      </c>
      <c r="X236" s="59">
        <f t="shared" si="35"/>
        <v>4621440</v>
      </c>
      <c r="Y236" s="151">
        <f>VLOOKUP(E236,Modificaciones!$B$7:$BE$300,56,0)</f>
        <v>4621440</v>
      </c>
      <c r="Z236" s="84">
        <f t="shared" si="36"/>
        <v>0</v>
      </c>
      <c r="AA236" s="288"/>
      <c r="AB236" s="40">
        <f t="shared" si="37"/>
        <v>1</v>
      </c>
      <c r="AC236" s="40">
        <f t="shared" ca="1" si="40"/>
        <v>1</v>
      </c>
      <c r="AD236" s="41">
        <f t="shared" ca="1" si="41"/>
        <v>0</v>
      </c>
      <c r="AE236" s="181" t="str">
        <f t="shared" ca="1" si="42"/>
        <v/>
      </c>
      <c r="AF236" s="42" t="str">
        <f t="shared" si="45"/>
        <v>SI</v>
      </c>
      <c r="AG236" s="42"/>
      <c r="AH236" s="152" t="s">
        <v>1255</v>
      </c>
      <c r="AI236" s="275" t="s">
        <v>1349</v>
      </c>
      <c r="AJ236" s="152" t="s">
        <v>1430</v>
      </c>
      <c r="AK236" s="255" t="s">
        <v>563</v>
      </c>
      <c r="AL236" s="153"/>
      <c r="AM236" s="153" t="s">
        <v>954</v>
      </c>
      <c r="AN236" s="161" t="str">
        <f t="shared" ca="1" si="43"/>
        <v>TERMINO</v>
      </c>
      <c r="AO236" s="160" t="s">
        <v>582</v>
      </c>
      <c r="AP236" s="155" t="s">
        <v>390</v>
      </c>
      <c r="AQ236" s="819" t="str">
        <f>IFERROR(VLOOKUP(E236,'liquidaciones '!$B$2:$C$1048576,2,0),"NO")</f>
        <v>LIQUIDADO</v>
      </c>
      <c r="AR236" s="909">
        <f>IFERROR(VLOOKUP(E236,'liquidaciones '!$B$2:$I$1048576,8,0),"")</f>
        <v>0</v>
      </c>
      <c r="AS236" s="312"/>
      <c r="AT236" s="156" t="str">
        <f t="shared" ca="1" si="44"/>
        <v>NO</v>
      </c>
      <c r="AU236" s="156" t="s">
        <v>1569</v>
      </c>
      <c r="AV236" s="406"/>
      <c r="AW236" s="928"/>
      <c r="AX236" s="928"/>
      <c r="AY236" s="928"/>
    </row>
    <row r="237" spans="2:51" ht="47.25" customHeight="1" x14ac:dyDescent="0.3">
      <c r="B237" s="14">
        <v>231</v>
      </c>
      <c r="C237" s="410"/>
      <c r="D237" s="410" t="str">
        <f t="shared" si="34"/>
        <v>2014</v>
      </c>
      <c r="E237" s="120" t="s">
        <v>1159</v>
      </c>
      <c r="F237" s="144" t="s">
        <v>1160</v>
      </c>
      <c r="G237" s="1051">
        <v>800180176</v>
      </c>
      <c r="H237" s="961" t="s">
        <v>1768</v>
      </c>
      <c r="I237" s="145">
        <v>41850000</v>
      </c>
      <c r="J237" s="821" t="s">
        <v>5262</v>
      </c>
      <c r="K237" s="146">
        <v>2014</v>
      </c>
      <c r="L237" s="519" t="s">
        <v>1087</v>
      </c>
      <c r="M237" s="147">
        <v>41926</v>
      </c>
      <c r="N237" s="147">
        <v>42138</v>
      </c>
      <c r="O237" s="1099" t="str">
        <f>IF(+Modificaciones!I237=0,"",VLOOKUP(E237,Modificaciones!$B$7:$I$2400,8,0))</f>
        <v/>
      </c>
      <c r="P237" s="115">
        <f>COUNTA(Modificaciones!J237,Modificaciones!L237,Modificaciones!N237,Modificaciones!P237)</f>
        <v>0</v>
      </c>
      <c r="Q237" s="116">
        <f>VLOOKUP(E237,Modificaciones!$B$7:$R$300,17,0)</f>
        <v>0</v>
      </c>
      <c r="R237" s="117">
        <f>COUNTA(Modificaciones!T237,Modificaciones!V237,Modificaciones!X237,Modificaciones!Z237)</f>
        <v>0</v>
      </c>
      <c r="S237" s="118" t="str">
        <f>IF(Modificaciones!AA237=0,"",VLOOKUP(E237,Modificaciones!$B$7:$AA$400,26,0))</f>
        <v/>
      </c>
      <c r="T237" s="119" t="str">
        <f>IF(Modificaciones!AB237=0,"",VLOOKUP(E237,Modificaciones!$B$7:$AB$400,27,0))</f>
        <v/>
      </c>
      <c r="U237" s="1080" t="str">
        <f>+Modificaciones!AC237</f>
        <v/>
      </c>
      <c r="V237" s="825" t="str">
        <f>+Modificaciones!AK237</f>
        <v/>
      </c>
      <c r="W237" s="825">
        <f t="shared" si="39"/>
        <v>42138</v>
      </c>
      <c r="X237" s="59">
        <f t="shared" si="35"/>
        <v>41850000</v>
      </c>
      <c r="Y237" s="151">
        <f>VLOOKUP(E237,Modificaciones!$B$7:$BE$300,56,0)</f>
        <v>26363000</v>
      </c>
      <c r="Z237" s="84">
        <f t="shared" si="36"/>
        <v>15487000</v>
      </c>
      <c r="AA237" s="288" t="s">
        <v>1203</v>
      </c>
      <c r="AB237" s="40">
        <f t="shared" si="37"/>
        <v>0.6299402628434887</v>
      </c>
      <c r="AC237" s="40">
        <f t="shared" ca="1" si="40"/>
        <v>1</v>
      </c>
      <c r="AD237" s="41">
        <f t="shared" ca="1" si="41"/>
        <v>0.3700597371565113</v>
      </c>
      <c r="AE237" s="181" t="str">
        <f t="shared" ca="1" si="42"/>
        <v/>
      </c>
      <c r="AF237" s="42" t="str">
        <f t="shared" si="45"/>
        <v>NO</v>
      </c>
      <c r="AG237" s="42"/>
      <c r="AH237" s="152" t="s">
        <v>1255</v>
      </c>
      <c r="AI237" s="275" t="s">
        <v>1174</v>
      </c>
      <c r="AJ237" s="152" t="s">
        <v>1434</v>
      </c>
      <c r="AK237" s="255" t="s">
        <v>560</v>
      </c>
      <c r="AL237" s="153" t="s">
        <v>1388</v>
      </c>
      <c r="AM237" s="153" t="s">
        <v>954</v>
      </c>
      <c r="AN237" s="161" t="str">
        <f t="shared" ca="1" si="43"/>
        <v>TERMINO</v>
      </c>
      <c r="AO237" s="152" t="s">
        <v>577</v>
      </c>
      <c r="AP237" s="155" t="s">
        <v>390</v>
      </c>
      <c r="AQ237" s="819" t="str">
        <f>IFERROR(VLOOKUP(E237,'liquidaciones '!$B$2:$C$1048576,2,0),"NO")</f>
        <v>LIQUIDADO</v>
      </c>
      <c r="AR237" s="909">
        <f>IFERROR(VLOOKUP(E237,'liquidaciones '!$B$2:$I$1048576,8,0),"")</f>
        <v>0</v>
      </c>
      <c r="AS237" s="312"/>
      <c r="AT237" s="156" t="str">
        <f t="shared" ca="1" si="44"/>
        <v>NO</v>
      </c>
      <c r="AU237" s="156" t="s">
        <v>2388</v>
      </c>
      <c r="AV237" s="406"/>
      <c r="AW237" s="928"/>
      <c r="AX237" s="928"/>
      <c r="AY237" s="928"/>
    </row>
    <row r="238" spans="2:51" ht="47.25" customHeight="1" x14ac:dyDescent="0.3">
      <c r="B238" s="14">
        <v>232</v>
      </c>
      <c r="C238" s="410"/>
      <c r="D238" s="410" t="str">
        <f t="shared" si="34"/>
        <v>2014</v>
      </c>
      <c r="E238" s="120" t="s">
        <v>555</v>
      </c>
      <c r="F238" s="144" t="s">
        <v>1066</v>
      </c>
      <c r="G238" s="1051">
        <v>52857895</v>
      </c>
      <c r="H238" s="961" t="s">
        <v>1003</v>
      </c>
      <c r="I238" s="145">
        <v>25000000</v>
      </c>
      <c r="J238" s="821" t="s">
        <v>5707</v>
      </c>
      <c r="K238" s="146">
        <v>2014</v>
      </c>
      <c r="L238" s="519" t="s">
        <v>1087</v>
      </c>
      <c r="M238" s="147">
        <v>41891</v>
      </c>
      <c r="N238" s="147">
        <v>42013</v>
      </c>
      <c r="O238" s="1099" t="str">
        <f>IF(+Modificaciones!I238=0,"",VLOOKUP(E238,Modificaciones!$B$7:$I$2400,8,0))</f>
        <v/>
      </c>
      <c r="P238" s="115">
        <f>COUNTA(Modificaciones!J238,Modificaciones!L238,Modificaciones!N238,Modificaciones!P238)</f>
        <v>0</v>
      </c>
      <c r="Q238" s="116">
        <f>VLOOKUP(E238,Modificaciones!$B$7:$R$300,17,0)</f>
        <v>0</v>
      </c>
      <c r="R238" s="117">
        <f>COUNTA(Modificaciones!T238,Modificaciones!V238,Modificaciones!X238,Modificaciones!Z238)</f>
        <v>0</v>
      </c>
      <c r="S238" s="118" t="str">
        <f>IF(Modificaciones!AA238=0,"",VLOOKUP(E238,Modificaciones!$B$7:$AA$400,26,0))</f>
        <v/>
      </c>
      <c r="T238" s="119" t="str">
        <f>IF(Modificaciones!AB238=0,"",VLOOKUP(E238,Modificaciones!$B$7:$AB$400,27,0))</f>
        <v/>
      </c>
      <c r="U238" s="1080" t="str">
        <f>+Modificaciones!AC238</f>
        <v/>
      </c>
      <c r="V238" s="825" t="str">
        <f>+Modificaciones!AK238</f>
        <v/>
      </c>
      <c r="W238" s="825">
        <f t="shared" si="39"/>
        <v>42013</v>
      </c>
      <c r="X238" s="59">
        <f t="shared" si="35"/>
        <v>25000000</v>
      </c>
      <c r="Y238" s="151">
        <f>VLOOKUP(E238,Modificaciones!$B$7:$BE$300,56,0)</f>
        <v>25000000</v>
      </c>
      <c r="Z238" s="84">
        <f t="shared" si="36"/>
        <v>0</v>
      </c>
      <c r="AA238" s="288" t="s">
        <v>1274</v>
      </c>
      <c r="AB238" s="40">
        <f t="shared" si="37"/>
        <v>1</v>
      </c>
      <c r="AC238" s="40">
        <f t="shared" ca="1" si="40"/>
        <v>1</v>
      </c>
      <c r="AD238" s="41">
        <f t="shared" ca="1" si="41"/>
        <v>0</v>
      </c>
      <c r="AE238" s="181" t="str">
        <f t="shared" ca="1" si="42"/>
        <v/>
      </c>
      <c r="AF238" s="42" t="str">
        <f t="shared" si="45"/>
        <v>SI</v>
      </c>
      <c r="AG238" s="42"/>
      <c r="AH238" s="152" t="s">
        <v>1255</v>
      </c>
      <c r="AI238" s="275" t="s">
        <v>1130</v>
      </c>
      <c r="AJ238" s="152" t="s">
        <v>1176</v>
      </c>
      <c r="AK238" s="255" t="s">
        <v>559</v>
      </c>
      <c r="AL238" s="153"/>
      <c r="AM238" s="153" t="s">
        <v>954</v>
      </c>
      <c r="AN238" s="161" t="str">
        <f t="shared" ca="1" si="43"/>
        <v>TERMINO</v>
      </c>
      <c r="AO238" s="160" t="s">
        <v>582</v>
      </c>
      <c r="AP238" s="155" t="s">
        <v>391</v>
      </c>
      <c r="AQ238" s="819" t="str">
        <f>IFERROR(VLOOKUP(E238,'liquidaciones '!$B$2:$C$1048576,2,0),"NO")</f>
        <v>LIQUIDADO</v>
      </c>
      <c r="AR238" s="909">
        <f>IFERROR(VLOOKUP(E238,'liquidaciones '!$B$2:$I$1048576,8,0),"")</f>
        <v>0</v>
      </c>
      <c r="AS238" s="312">
        <v>42145</v>
      </c>
      <c r="AT238" s="156" t="str">
        <f t="shared" ca="1" si="44"/>
        <v>NO</v>
      </c>
      <c r="AU238" s="156" t="s">
        <v>981</v>
      </c>
      <c r="AV238" s="406"/>
      <c r="AW238" s="928"/>
      <c r="AX238" s="928"/>
      <c r="AY238" s="928"/>
    </row>
    <row r="239" spans="2:51" ht="47.25" customHeight="1" x14ac:dyDescent="0.3">
      <c r="B239" s="14">
        <v>233</v>
      </c>
      <c r="C239" s="410"/>
      <c r="D239" s="410" t="str">
        <f t="shared" si="34"/>
        <v>2014</v>
      </c>
      <c r="E239" s="120" t="s">
        <v>556</v>
      </c>
      <c r="F239" s="144" t="s">
        <v>1004</v>
      </c>
      <c r="G239" s="1051">
        <v>1026250449</v>
      </c>
      <c r="H239" s="961" t="s">
        <v>557</v>
      </c>
      <c r="I239" s="145">
        <v>25000000</v>
      </c>
      <c r="J239" s="821" t="s">
        <v>5706</v>
      </c>
      <c r="K239" s="146">
        <v>2014</v>
      </c>
      <c r="L239" s="519" t="s">
        <v>1087</v>
      </c>
      <c r="M239" s="147">
        <v>41893</v>
      </c>
      <c r="N239" s="147">
        <v>42046</v>
      </c>
      <c r="O239" s="1099" t="str">
        <f>IF(+Modificaciones!I239=0,"",VLOOKUP(E239,Modificaciones!$B$7:$I$2400,8,0))</f>
        <v/>
      </c>
      <c r="P239" s="115">
        <f>COUNTA(Modificaciones!J239,Modificaciones!L239,Modificaciones!N239,Modificaciones!P239)</f>
        <v>0</v>
      </c>
      <c r="Q239" s="116">
        <f>VLOOKUP(E239,Modificaciones!$B$7:$R$300,17,0)</f>
        <v>0</v>
      </c>
      <c r="R239" s="117">
        <f>COUNTA(Modificaciones!T239,Modificaciones!V239,Modificaciones!X239,Modificaciones!Z239)</f>
        <v>0</v>
      </c>
      <c r="S239" s="118" t="str">
        <f>IF(Modificaciones!AA239=0,"",VLOOKUP(E239,Modificaciones!$B$7:$AA$400,26,0))</f>
        <v/>
      </c>
      <c r="T239" s="119" t="str">
        <f>IF(Modificaciones!AB239=0,"",VLOOKUP(E239,Modificaciones!$B$7:$AB$400,27,0))</f>
        <v/>
      </c>
      <c r="U239" s="1080" t="str">
        <f>+Modificaciones!AC239</f>
        <v/>
      </c>
      <c r="V239" s="825" t="str">
        <f>+Modificaciones!AK239</f>
        <v/>
      </c>
      <c r="W239" s="825">
        <f t="shared" si="39"/>
        <v>42046</v>
      </c>
      <c r="X239" s="59">
        <f t="shared" si="35"/>
        <v>25000000</v>
      </c>
      <c r="Y239" s="151">
        <f>VLOOKUP(E239,Modificaciones!$B$7:$BE$300,56,0)</f>
        <v>25000000</v>
      </c>
      <c r="Z239" s="84">
        <f t="shared" si="36"/>
        <v>0</v>
      </c>
      <c r="AA239" s="288" t="s">
        <v>1273</v>
      </c>
      <c r="AB239" s="40">
        <f t="shared" si="37"/>
        <v>1</v>
      </c>
      <c r="AC239" s="40">
        <f t="shared" ca="1" si="40"/>
        <v>1</v>
      </c>
      <c r="AD239" s="41">
        <f t="shared" ca="1" si="41"/>
        <v>0</v>
      </c>
      <c r="AE239" s="181" t="str">
        <f t="shared" ca="1" si="42"/>
        <v/>
      </c>
      <c r="AF239" s="42" t="str">
        <f t="shared" si="45"/>
        <v>SI</v>
      </c>
      <c r="AG239" s="42"/>
      <c r="AH239" s="152" t="s">
        <v>1255</v>
      </c>
      <c r="AI239" s="275" t="s">
        <v>1130</v>
      </c>
      <c r="AJ239" s="152" t="s">
        <v>1176</v>
      </c>
      <c r="AK239" s="255" t="s">
        <v>559</v>
      </c>
      <c r="AL239" s="153"/>
      <c r="AM239" s="153" t="s">
        <v>954</v>
      </c>
      <c r="AN239" s="161" t="str">
        <f t="shared" ca="1" si="43"/>
        <v>TERMINO</v>
      </c>
      <c r="AO239" s="160" t="s">
        <v>582</v>
      </c>
      <c r="AP239" s="155" t="s">
        <v>391</v>
      </c>
      <c r="AQ239" s="819" t="str">
        <f>IFERROR(VLOOKUP(E239,'liquidaciones '!$B$2:$C$1048576,2,0),"NO")</f>
        <v>LIQUIDADO</v>
      </c>
      <c r="AR239" s="909">
        <f>IFERROR(VLOOKUP(E239,'liquidaciones '!$B$2:$I$1048576,8,0),"")</f>
        <v>0</v>
      </c>
      <c r="AS239" s="312">
        <v>42254</v>
      </c>
      <c r="AT239" s="156" t="str">
        <f t="shared" ca="1" si="44"/>
        <v>NO</v>
      </c>
      <c r="AU239" s="156" t="s">
        <v>981</v>
      </c>
      <c r="AV239" s="406"/>
      <c r="AW239" s="928"/>
      <c r="AX239" s="928"/>
      <c r="AY239" s="928"/>
    </row>
    <row r="240" spans="2:51" ht="65.25" customHeight="1" x14ac:dyDescent="0.3">
      <c r="B240" s="14">
        <v>234</v>
      </c>
      <c r="C240" s="410"/>
      <c r="D240" s="410" t="str">
        <f t="shared" si="34"/>
        <v>2014</v>
      </c>
      <c r="E240" s="120" t="s">
        <v>1156</v>
      </c>
      <c r="F240" s="120" t="s">
        <v>186</v>
      </c>
      <c r="G240" s="1046">
        <v>800039398</v>
      </c>
      <c r="H240" s="961" t="s">
        <v>1315</v>
      </c>
      <c r="I240" s="145">
        <v>311460000</v>
      </c>
      <c r="J240" s="821" t="s">
        <v>2614</v>
      </c>
      <c r="K240" s="146">
        <v>2014</v>
      </c>
      <c r="L240" s="519" t="s">
        <v>1087</v>
      </c>
      <c r="M240" s="147">
        <v>41907</v>
      </c>
      <c r="N240" s="147">
        <v>41996</v>
      </c>
      <c r="O240" s="1099" t="str">
        <f>IF(+Modificaciones!I240=0,"",VLOOKUP(E240,Modificaciones!$B$7:$I$2400,8,0))</f>
        <v/>
      </c>
      <c r="P240" s="115">
        <f>COUNTA(Modificaciones!J240,Modificaciones!L240,Modificaciones!N240,Modificaciones!P240)</f>
        <v>0</v>
      </c>
      <c r="Q240" s="116">
        <f>VLOOKUP(E240,Modificaciones!$B$7:$R$300,17,0)</f>
        <v>0</v>
      </c>
      <c r="R240" s="117">
        <f>COUNTA(Modificaciones!T240,Modificaciones!V240,Modificaciones!X240,Modificaciones!Z240)</f>
        <v>0</v>
      </c>
      <c r="S240" s="118" t="str">
        <f>IF(Modificaciones!AA240=0,"",VLOOKUP(E240,Modificaciones!$B$7:$AA$400,26,0))</f>
        <v/>
      </c>
      <c r="T240" s="119" t="str">
        <f>IF(Modificaciones!AB240=0,"",VLOOKUP(E240,Modificaciones!$B$7:$AB$400,27,0))</f>
        <v/>
      </c>
      <c r="U240" s="1080" t="str">
        <f>+Modificaciones!AC240</f>
        <v/>
      </c>
      <c r="V240" s="825" t="str">
        <f>+Modificaciones!AK240</f>
        <v/>
      </c>
      <c r="W240" s="825">
        <f t="shared" si="39"/>
        <v>41996</v>
      </c>
      <c r="X240" s="59">
        <f t="shared" si="35"/>
        <v>311460000</v>
      </c>
      <c r="Y240" s="151">
        <f>VLOOKUP(E240,Modificaciones!$B$7:$BE$300,56,0)</f>
        <v>311460000</v>
      </c>
      <c r="Z240" s="84">
        <f t="shared" si="36"/>
        <v>0</v>
      </c>
      <c r="AA240" s="288" t="s">
        <v>4984</v>
      </c>
      <c r="AB240" s="40">
        <f t="shared" si="37"/>
        <v>1</v>
      </c>
      <c r="AC240" s="40">
        <f t="shared" ca="1" si="40"/>
        <v>1</v>
      </c>
      <c r="AD240" s="41">
        <f t="shared" ca="1" si="41"/>
        <v>0</v>
      </c>
      <c r="AE240" s="181" t="str">
        <f t="shared" ca="1" si="42"/>
        <v/>
      </c>
      <c r="AF240" s="42" t="str">
        <f t="shared" si="45"/>
        <v>SI</v>
      </c>
      <c r="AG240" s="42"/>
      <c r="AH240" s="152" t="s">
        <v>1256</v>
      </c>
      <c r="AI240" s="275" t="s">
        <v>1316</v>
      </c>
      <c r="AJ240" s="152" t="s">
        <v>1438</v>
      </c>
      <c r="AK240" s="255" t="s">
        <v>560</v>
      </c>
      <c r="AL240" s="153" t="s">
        <v>1508</v>
      </c>
      <c r="AM240" s="153" t="s">
        <v>954</v>
      </c>
      <c r="AN240" s="161" t="str">
        <f t="shared" ca="1" si="43"/>
        <v>TERMINO</v>
      </c>
      <c r="AO240" s="152" t="s">
        <v>575</v>
      </c>
      <c r="AP240" s="155" t="s">
        <v>390</v>
      </c>
      <c r="AQ240" s="819" t="str">
        <f>IFERROR(VLOOKUP(E240,'liquidaciones '!$B$2:$C$1048576,2,0),"NO")</f>
        <v>LIQUIDADO</v>
      </c>
      <c r="AR240" s="909">
        <f>IFERROR(VLOOKUP(E240,'liquidaciones '!$B$2:$I$1048576,8,0),"")</f>
        <v>0</v>
      </c>
      <c r="AS240" s="312">
        <v>42298</v>
      </c>
      <c r="AT240" s="156" t="str">
        <f t="shared" ca="1" si="44"/>
        <v>NO</v>
      </c>
      <c r="AU240" s="156" t="s">
        <v>981</v>
      </c>
      <c r="AV240" s="406"/>
      <c r="AW240" s="928"/>
      <c r="AX240" s="928"/>
      <c r="AY240" s="928"/>
    </row>
    <row r="241" spans="2:51" ht="47.25" customHeight="1" x14ac:dyDescent="0.3">
      <c r="B241" s="14">
        <v>235</v>
      </c>
      <c r="C241" s="410"/>
      <c r="D241" s="410" t="str">
        <f t="shared" si="34"/>
        <v>2014</v>
      </c>
      <c r="E241" s="120" t="s">
        <v>1068</v>
      </c>
      <c r="F241" s="120" t="s">
        <v>1069</v>
      </c>
      <c r="G241" s="1051">
        <v>1073156298</v>
      </c>
      <c r="H241" s="957" t="s">
        <v>1073</v>
      </c>
      <c r="I241" s="145">
        <v>17500000</v>
      </c>
      <c r="J241" s="821" t="s">
        <v>5752</v>
      </c>
      <c r="K241" s="146">
        <v>2014</v>
      </c>
      <c r="L241" s="519" t="s">
        <v>1087</v>
      </c>
      <c r="M241" s="124">
        <v>41900</v>
      </c>
      <c r="N241" s="124">
        <v>42053</v>
      </c>
      <c r="O241" s="1099" t="str">
        <f>IF(+Modificaciones!I241=0,"",VLOOKUP(E241,Modificaciones!$B$7:$I$2400,8,0))</f>
        <v/>
      </c>
      <c r="P241" s="115">
        <f>COUNTA(Modificaciones!J241,Modificaciones!L241,Modificaciones!N241,Modificaciones!P241)</f>
        <v>0</v>
      </c>
      <c r="Q241" s="116">
        <f>VLOOKUP(E241,Modificaciones!$B$7:$R$300,17,0)</f>
        <v>0</v>
      </c>
      <c r="R241" s="117">
        <f>COUNTA(Modificaciones!T241,Modificaciones!V241,Modificaciones!X241,Modificaciones!Z241)</f>
        <v>0</v>
      </c>
      <c r="S241" s="118" t="str">
        <f>IF(Modificaciones!AA241=0,"",VLOOKUP(E241,Modificaciones!$B$7:$AA$400,26,0))</f>
        <v/>
      </c>
      <c r="T241" s="119" t="str">
        <f>IF(Modificaciones!AB241=0,"",VLOOKUP(E241,Modificaciones!$B$7:$AB$400,27,0))</f>
        <v/>
      </c>
      <c r="U241" s="1080" t="str">
        <f>+Modificaciones!AC241</f>
        <v/>
      </c>
      <c r="V241" s="825" t="str">
        <f>+Modificaciones!AK241</f>
        <v/>
      </c>
      <c r="W241" s="825">
        <f t="shared" si="39"/>
        <v>42053</v>
      </c>
      <c r="X241" s="59">
        <f t="shared" si="35"/>
        <v>17500000</v>
      </c>
      <c r="Y241" s="151">
        <f>VLOOKUP(E241,Modificaciones!$B$7:$BE$300,56,0)</f>
        <v>17500000</v>
      </c>
      <c r="Z241" s="84">
        <f t="shared" si="36"/>
        <v>0</v>
      </c>
      <c r="AA241" s="288" t="s">
        <v>1204</v>
      </c>
      <c r="AB241" s="40">
        <f t="shared" si="37"/>
        <v>1</v>
      </c>
      <c r="AC241" s="40">
        <f t="shared" ca="1" si="40"/>
        <v>1</v>
      </c>
      <c r="AD241" s="41">
        <f t="shared" ca="1" si="41"/>
        <v>0</v>
      </c>
      <c r="AE241" s="181" t="str">
        <f t="shared" ca="1" si="42"/>
        <v/>
      </c>
      <c r="AF241" s="42" t="str">
        <f t="shared" si="45"/>
        <v>SI</v>
      </c>
      <c r="AG241" s="42"/>
      <c r="AH241" s="152" t="s">
        <v>1255</v>
      </c>
      <c r="AI241" s="152" t="s">
        <v>1130</v>
      </c>
      <c r="AJ241" s="152" t="s">
        <v>1176</v>
      </c>
      <c r="AK241" s="255" t="s">
        <v>559</v>
      </c>
      <c r="AL241" s="153"/>
      <c r="AM241" s="153" t="s">
        <v>954</v>
      </c>
      <c r="AN241" s="161" t="str">
        <f t="shared" ca="1" si="43"/>
        <v>TERMINO</v>
      </c>
      <c r="AO241" s="160" t="s">
        <v>582</v>
      </c>
      <c r="AP241" s="155" t="s">
        <v>391</v>
      </c>
      <c r="AQ241" s="819" t="str">
        <f>IFERROR(VLOOKUP(E241,'liquidaciones '!$B$2:$C$1048576,2,0),"NO")</f>
        <v>LIQUIDADO</v>
      </c>
      <c r="AR241" s="909">
        <f>IFERROR(VLOOKUP(E241,'liquidaciones '!$B$2:$I$1048576,8,0),"")</f>
        <v>0</v>
      </c>
      <c r="AS241" s="312">
        <v>42187</v>
      </c>
      <c r="AT241" s="156" t="str">
        <f t="shared" ca="1" si="44"/>
        <v>NO</v>
      </c>
      <c r="AU241" s="156" t="s">
        <v>981</v>
      </c>
      <c r="AV241" s="406"/>
      <c r="AW241" s="928"/>
      <c r="AX241" s="928"/>
      <c r="AY241" s="928"/>
    </row>
    <row r="242" spans="2:51" ht="47.25" customHeight="1" x14ac:dyDescent="0.3">
      <c r="B242" s="14">
        <v>236</v>
      </c>
      <c r="C242" s="410"/>
      <c r="D242" s="410" t="str">
        <f t="shared" si="34"/>
        <v>2014</v>
      </c>
      <c r="E242" s="120" t="s">
        <v>1112</v>
      </c>
      <c r="F242" s="120" t="s">
        <v>1113</v>
      </c>
      <c r="G242" s="1051">
        <v>830024826</v>
      </c>
      <c r="H242" s="957" t="s">
        <v>1114</v>
      </c>
      <c r="I242" s="145">
        <v>14153603</v>
      </c>
      <c r="J242" s="821" t="s">
        <v>4303</v>
      </c>
      <c r="K242" s="146">
        <v>2014</v>
      </c>
      <c r="L242" s="519" t="s">
        <v>1087</v>
      </c>
      <c r="M242" s="124">
        <v>41929</v>
      </c>
      <c r="N242" s="124">
        <v>42021</v>
      </c>
      <c r="O242" s="1099" t="str">
        <f>IF(+Modificaciones!I242=0,"",VLOOKUP(E242,Modificaciones!$B$7:$I$2400,8,0))</f>
        <v/>
      </c>
      <c r="P242" s="115">
        <f>COUNTA(Modificaciones!J242,Modificaciones!L242,Modificaciones!N242,Modificaciones!P242)</f>
        <v>0</v>
      </c>
      <c r="Q242" s="116">
        <f>VLOOKUP(E242,Modificaciones!$B$7:$R$300,17,0)</f>
        <v>0</v>
      </c>
      <c r="R242" s="117">
        <f>COUNTA(Modificaciones!T242,Modificaciones!V242,Modificaciones!X242,Modificaciones!Z242)</f>
        <v>0</v>
      </c>
      <c r="S242" s="118" t="str">
        <f>IF(Modificaciones!AA242=0,"",VLOOKUP(E242,Modificaciones!$B$7:$AA$400,26,0))</f>
        <v/>
      </c>
      <c r="T242" s="119" t="str">
        <f>IF(Modificaciones!AB242=0,"",VLOOKUP(E242,Modificaciones!$B$7:$AB$400,27,0))</f>
        <v/>
      </c>
      <c r="U242" s="1080" t="str">
        <f>+Modificaciones!AC242</f>
        <v/>
      </c>
      <c r="V242" s="825" t="str">
        <f>+Modificaciones!AK242</f>
        <v/>
      </c>
      <c r="W242" s="825">
        <f t="shared" si="39"/>
        <v>42021</v>
      </c>
      <c r="X242" s="59">
        <f t="shared" si="35"/>
        <v>14153603</v>
      </c>
      <c r="Y242" s="151">
        <f>VLOOKUP(E242,Modificaciones!$B$7:$BE$300,56,0)</f>
        <v>14153603</v>
      </c>
      <c r="Z242" s="84">
        <f t="shared" si="36"/>
        <v>0</v>
      </c>
      <c r="AA242" s="288" t="s">
        <v>1205</v>
      </c>
      <c r="AB242" s="40">
        <f t="shared" si="37"/>
        <v>1</v>
      </c>
      <c r="AC242" s="40">
        <f t="shared" ca="1" si="40"/>
        <v>1</v>
      </c>
      <c r="AD242" s="41">
        <f t="shared" ca="1" si="41"/>
        <v>0</v>
      </c>
      <c r="AE242" s="181" t="str">
        <f t="shared" ca="1" si="42"/>
        <v/>
      </c>
      <c r="AF242" s="42" t="str">
        <f t="shared" si="45"/>
        <v>SI</v>
      </c>
      <c r="AG242" s="42"/>
      <c r="AH242" s="152" t="s">
        <v>1256</v>
      </c>
      <c r="AI242" s="275" t="s">
        <v>1175</v>
      </c>
      <c r="AJ242" s="152" t="s">
        <v>1438</v>
      </c>
      <c r="AK242" s="255" t="s">
        <v>560</v>
      </c>
      <c r="AL242" s="153" t="s">
        <v>1508</v>
      </c>
      <c r="AM242" s="153" t="s">
        <v>954</v>
      </c>
      <c r="AN242" s="161" t="str">
        <f t="shared" ca="1" si="43"/>
        <v>TERMINO</v>
      </c>
      <c r="AO242" s="152" t="s">
        <v>575</v>
      </c>
      <c r="AP242" s="155" t="s">
        <v>390</v>
      </c>
      <c r="AQ242" s="819" t="str">
        <f>IFERROR(VLOOKUP(E242,'liquidaciones '!$B$2:$C$1048576,2,0),"NO")</f>
        <v>LIQUIDADO</v>
      </c>
      <c r="AR242" s="909">
        <f>IFERROR(VLOOKUP(E242,'liquidaciones '!$B$2:$I$1048576,8,0),"")</f>
        <v>0</v>
      </c>
      <c r="AS242" s="312">
        <v>42145</v>
      </c>
      <c r="AT242" s="156" t="str">
        <f t="shared" ca="1" si="44"/>
        <v>NO</v>
      </c>
      <c r="AU242" s="156" t="s">
        <v>981</v>
      </c>
      <c r="AV242" s="406"/>
      <c r="AW242" s="928"/>
      <c r="AX242" s="928"/>
      <c r="AY242" s="928"/>
    </row>
    <row r="243" spans="2:51" ht="47.25" customHeight="1" x14ac:dyDescent="0.3">
      <c r="B243" s="14">
        <v>237</v>
      </c>
      <c r="C243" s="410"/>
      <c r="D243" s="410" t="str">
        <f t="shared" si="34"/>
        <v>2014</v>
      </c>
      <c r="E243" s="120" t="s">
        <v>1070</v>
      </c>
      <c r="F243" s="120" t="s">
        <v>1071</v>
      </c>
      <c r="G243" s="1051">
        <v>1026269949</v>
      </c>
      <c r="H243" s="957" t="s">
        <v>1074</v>
      </c>
      <c r="I243" s="145">
        <v>10000000</v>
      </c>
      <c r="J243" s="821" t="s">
        <v>5281</v>
      </c>
      <c r="K243" s="146">
        <v>2014</v>
      </c>
      <c r="L243" s="519" t="s">
        <v>1087</v>
      </c>
      <c r="M243" s="124">
        <v>41911</v>
      </c>
      <c r="N243" s="124">
        <v>42033</v>
      </c>
      <c r="O243" s="1099" t="str">
        <f>IF(+Modificaciones!I243=0,"",VLOOKUP(E243,Modificaciones!$B$7:$I$2400,8,0))</f>
        <v/>
      </c>
      <c r="P243" s="115">
        <f>COUNTA(Modificaciones!J243,Modificaciones!L243,Modificaciones!N243,Modificaciones!P243)</f>
        <v>0</v>
      </c>
      <c r="Q243" s="116">
        <f>VLOOKUP(E243,Modificaciones!$B$7:$R$300,17,0)</f>
        <v>0</v>
      </c>
      <c r="R243" s="117">
        <f>COUNTA(Modificaciones!T243,Modificaciones!V243,Modificaciones!X243,Modificaciones!Z243)</f>
        <v>0</v>
      </c>
      <c r="S243" s="118" t="str">
        <f>IF(Modificaciones!AA243=0,"",VLOOKUP(E243,Modificaciones!$B$7:$AA$400,26,0))</f>
        <v/>
      </c>
      <c r="T243" s="119" t="str">
        <f>IF(Modificaciones!AB243=0,"",VLOOKUP(E243,Modificaciones!$B$7:$AB$400,27,0))</f>
        <v/>
      </c>
      <c r="U243" s="1080" t="str">
        <f>+Modificaciones!AC243</f>
        <v/>
      </c>
      <c r="V243" s="825" t="str">
        <f>+Modificaciones!AK243</f>
        <v/>
      </c>
      <c r="W243" s="825">
        <f t="shared" si="39"/>
        <v>42033</v>
      </c>
      <c r="X243" s="59">
        <f t="shared" si="35"/>
        <v>10000000</v>
      </c>
      <c r="Y243" s="151">
        <f>VLOOKUP(E243,Modificaciones!$B$7:$BE$300,56,0)</f>
        <v>10000000</v>
      </c>
      <c r="Z243" s="84">
        <f t="shared" si="36"/>
        <v>0</v>
      </c>
      <c r="AA243" s="288" t="s">
        <v>1206</v>
      </c>
      <c r="AB243" s="40">
        <f t="shared" si="37"/>
        <v>1</v>
      </c>
      <c r="AC243" s="40">
        <f t="shared" ca="1" si="40"/>
        <v>1</v>
      </c>
      <c r="AD243" s="41">
        <f t="shared" ca="1" si="41"/>
        <v>0</v>
      </c>
      <c r="AE243" s="181" t="str">
        <f t="shared" ca="1" si="42"/>
        <v/>
      </c>
      <c r="AF243" s="42" t="str">
        <f t="shared" si="45"/>
        <v>SI</v>
      </c>
      <c r="AG243" s="42"/>
      <c r="AH243" s="152" t="s">
        <v>1255</v>
      </c>
      <c r="AI243" s="275" t="s">
        <v>1130</v>
      </c>
      <c r="AJ243" s="152" t="s">
        <v>1176</v>
      </c>
      <c r="AK243" s="255" t="s">
        <v>559</v>
      </c>
      <c r="AL243" s="153"/>
      <c r="AM243" s="153" t="s">
        <v>954</v>
      </c>
      <c r="AN243" s="161" t="str">
        <f t="shared" ca="1" si="43"/>
        <v>TERMINO</v>
      </c>
      <c r="AO243" s="160" t="s">
        <v>582</v>
      </c>
      <c r="AP243" s="155" t="s">
        <v>391</v>
      </c>
      <c r="AQ243" s="819" t="str">
        <f>IFERROR(VLOOKUP(E243,'liquidaciones '!$B$2:$C$1048576,2,0),"NO")</f>
        <v>LIQUIDADO</v>
      </c>
      <c r="AR243" s="909">
        <f>IFERROR(VLOOKUP(E243,'liquidaciones '!$B$2:$I$1048576,8,0),"")</f>
        <v>0</v>
      </c>
      <c r="AS243" s="312">
        <v>42152</v>
      </c>
      <c r="AT243" s="156" t="str">
        <f t="shared" ca="1" si="44"/>
        <v>NO</v>
      </c>
      <c r="AU243" s="156" t="s">
        <v>981</v>
      </c>
      <c r="AV243" s="406"/>
      <c r="AW243" s="928"/>
      <c r="AX243" s="928"/>
      <c r="AY243" s="928"/>
    </row>
    <row r="244" spans="2:51" ht="47.25" customHeight="1" x14ac:dyDescent="0.3">
      <c r="B244" s="14">
        <v>238</v>
      </c>
      <c r="C244" s="410"/>
      <c r="D244" s="410" t="str">
        <f t="shared" si="34"/>
        <v>2014</v>
      </c>
      <c r="E244" s="120" t="s">
        <v>1118</v>
      </c>
      <c r="F244" s="184" t="s">
        <v>1119</v>
      </c>
      <c r="G244" s="1053">
        <v>900332071</v>
      </c>
      <c r="H244" s="963" t="s">
        <v>1769</v>
      </c>
      <c r="I244" s="186">
        <v>812500</v>
      </c>
      <c r="J244" s="821" t="s">
        <v>5666</v>
      </c>
      <c r="K244" s="146">
        <v>2014</v>
      </c>
      <c r="L244" s="519" t="s">
        <v>1087</v>
      </c>
      <c r="M244" s="282">
        <v>41928</v>
      </c>
      <c r="N244" s="282">
        <v>42004</v>
      </c>
      <c r="O244" s="1099" t="str">
        <f>IF(+Modificaciones!I244=0,"",VLOOKUP(E244,Modificaciones!$B$7:$I$2400,8,0))</f>
        <v/>
      </c>
      <c r="P244" s="115">
        <f>COUNTA(Modificaciones!J244,Modificaciones!L244,Modificaciones!N244,Modificaciones!P244)</f>
        <v>0</v>
      </c>
      <c r="Q244" s="116">
        <f>VLOOKUP(E244,Modificaciones!$B$7:$R$300,17,0)</f>
        <v>0</v>
      </c>
      <c r="R244" s="117">
        <f>COUNTA(Modificaciones!T244,Modificaciones!V244,Modificaciones!X244,Modificaciones!Z244)</f>
        <v>0</v>
      </c>
      <c r="S244" s="118" t="str">
        <f>IF(Modificaciones!AA244=0,"",VLOOKUP(E244,Modificaciones!$B$7:$AA$400,26,0))</f>
        <v/>
      </c>
      <c r="T244" s="119" t="str">
        <f>IF(Modificaciones!AB244=0,"",VLOOKUP(E244,Modificaciones!$B$7:$AB$400,27,0))</f>
        <v/>
      </c>
      <c r="U244" s="1080" t="str">
        <f>+Modificaciones!AC244</f>
        <v/>
      </c>
      <c r="V244" s="825" t="str">
        <f>+Modificaciones!AK244</f>
        <v/>
      </c>
      <c r="W244" s="825">
        <f t="shared" si="39"/>
        <v>42004</v>
      </c>
      <c r="X244" s="59">
        <f t="shared" si="35"/>
        <v>812500</v>
      </c>
      <c r="Y244" s="151">
        <f>VLOOKUP(E244,Modificaciones!$B$7:$BE$300,56,0)</f>
        <v>812500</v>
      </c>
      <c r="Z244" s="84">
        <f t="shared" si="36"/>
        <v>0</v>
      </c>
      <c r="AA244" s="288"/>
      <c r="AB244" s="40">
        <f t="shared" si="37"/>
        <v>1</v>
      </c>
      <c r="AC244" s="40">
        <f t="shared" ca="1" si="40"/>
        <v>1</v>
      </c>
      <c r="AD244" s="41">
        <f t="shared" ca="1" si="41"/>
        <v>0</v>
      </c>
      <c r="AE244" s="181" t="str">
        <f t="shared" ca="1" si="42"/>
        <v/>
      </c>
      <c r="AF244" s="42" t="str">
        <f t="shared" si="45"/>
        <v>SI</v>
      </c>
      <c r="AG244" s="42"/>
      <c r="AH244" s="152" t="s">
        <v>1256</v>
      </c>
      <c r="AI244" s="275" t="s">
        <v>1470</v>
      </c>
      <c r="AJ244" s="152" t="s">
        <v>1438</v>
      </c>
      <c r="AK244" s="255" t="s">
        <v>560</v>
      </c>
      <c r="AL244" s="153" t="s">
        <v>1508</v>
      </c>
      <c r="AM244" s="153" t="s">
        <v>954</v>
      </c>
      <c r="AN244" s="161" t="str">
        <f t="shared" ca="1" si="43"/>
        <v>TERMINO</v>
      </c>
      <c r="AO244" s="160" t="s">
        <v>582</v>
      </c>
      <c r="AP244" s="155" t="s">
        <v>390</v>
      </c>
      <c r="AQ244" s="819" t="str">
        <f>IFERROR(VLOOKUP(E244,'liquidaciones '!$B$2:$C$1048576,2,0),"NO")</f>
        <v>NO</v>
      </c>
      <c r="AR244" s="909" t="str">
        <f>IFERROR(VLOOKUP(E244,'liquidaciones '!$B$2:$I$1048576,8,0),"")</f>
        <v/>
      </c>
      <c r="AS244" s="312"/>
      <c r="AT244" s="156" t="str">
        <f t="shared" ca="1" si="44"/>
        <v>NO</v>
      </c>
      <c r="AU244" s="156" t="s">
        <v>981</v>
      </c>
      <c r="AV244" s="406"/>
      <c r="AW244" s="928"/>
      <c r="AX244" s="928"/>
      <c r="AY244" s="928"/>
    </row>
    <row r="245" spans="2:51" ht="128.25" customHeight="1" x14ac:dyDescent="0.3">
      <c r="B245" s="14">
        <v>239</v>
      </c>
      <c r="C245" s="410"/>
      <c r="D245" s="410" t="str">
        <f t="shared" si="34"/>
        <v>2014</v>
      </c>
      <c r="E245" s="120" t="s">
        <v>1157</v>
      </c>
      <c r="F245" s="184" t="s">
        <v>22</v>
      </c>
      <c r="G245" s="1046">
        <v>830112518</v>
      </c>
      <c r="H245" s="963" t="s">
        <v>1158</v>
      </c>
      <c r="I245" s="186">
        <v>44544000</v>
      </c>
      <c r="J245" s="821" t="s">
        <v>4403</v>
      </c>
      <c r="K245" s="146">
        <v>2014</v>
      </c>
      <c r="L245" s="519" t="s">
        <v>1087</v>
      </c>
      <c r="M245" s="282">
        <v>41929</v>
      </c>
      <c r="N245" s="282">
        <v>42294</v>
      </c>
      <c r="O245" s="1099" t="str">
        <f>IF(+Modificaciones!I245=0,"",VLOOKUP(E245,Modificaciones!$B$7:$I$2400,8,0))</f>
        <v/>
      </c>
      <c r="P245" s="115">
        <f>COUNTA(Modificaciones!J245,Modificaciones!L245,Modificaciones!N245,Modificaciones!P245)</f>
        <v>1</v>
      </c>
      <c r="Q245" s="116">
        <f>VLOOKUP(E245,Modificaciones!$B$7:$R$300,17,0)</f>
        <v>22272000</v>
      </c>
      <c r="R245" s="117">
        <f>COUNTA(Modificaciones!T245,Modificaciones!V245,Modificaciones!X245,Modificaciones!Z245)</f>
        <v>1</v>
      </c>
      <c r="S245" s="118" t="str">
        <f>IF(Modificaciones!AA245=0,"",VLOOKUP(E245,Modificaciones!$B$7:$AA$400,26,0))</f>
        <v>6 meses</v>
      </c>
      <c r="T245" s="119">
        <f>IF(Modificaciones!AB245=0,"",VLOOKUP(E245,Modificaciones!$B$7:$AB$400,27,0))</f>
        <v>42477</v>
      </c>
      <c r="U245" s="1080" t="str">
        <f>+Modificaciones!AC245</f>
        <v/>
      </c>
      <c r="V245" s="825" t="str">
        <f>+Modificaciones!AK245</f>
        <v/>
      </c>
      <c r="W245" s="825">
        <f t="shared" si="39"/>
        <v>42477</v>
      </c>
      <c r="X245" s="59">
        <f t="shared" si="35"/>
        <v>66816000</v>
      </c>
      <c r="Y245" s="151">
        <f>VLOOKUP(E245,Modificaciones!$B$7:$BE$300,56,0)</f>
        <v>66816000</v>
      </c>
      <c r="Z245" s="84">
        <f t="shared" si="36"/>
        <v>0</v>
      </c>
      <c r="AA245" s="288" t="s">
        <v>1253</v>
      </c>
      <c r="AB245" s="40">
        <f t="shared" si="37"/>
        <v>1</v>
      </c>
      <c r="AC245" s="40">
        <f t="shared" ca="1" si="40"/>
        <v>1</v>
      </c>
      <c r="AD245" s="41">
        <f t="shared" ca="1" si="41"/>
        <v>0</v>
      </c>
      <c r="AE245" s="181" t="str">
        <f t="shared" ca="1" si="42"/>
        <v/>
      </c>
      <c r="AF245" s="42" t="str">
        <f t="shared" si="45"/>
        <v>SI</v>
      </c>
      <c r="AG245" s="42"/>
      <c r="AH245" s="152" t="s">
        <v>1256</v>
      </c>
      <c r="AI245" s="152" t="s">
        <v>1173</v>
      </c>
      <c r="AJ245" s="152" t="s">
        <v>1438</v>
      </c>
      <c r="AK245" s="255" t="s">
        <v>560</v>
      </c>
      <c r="AL245" s="153" t="s">
        <v>1508</v>
      </c>
      <c r="AM245" s="153" t="s">
        <v>954</v>
      </c>
      <c r="AN245" s="161" t="str">
        <f t="shared" ca="1" si="43"/>
        <v>TERMINO</v>
      </c>
      <c r="AO245" s="160" t="s">
        <v>582</v>
      </c>
      <c r="AP245" s="155" t="s">
        <v>390</v>
      </c>
      <c r="AQ245" s="819" t="str">
        <f>IFERROR(VLOOKUP(E245,'liquidaciones '!$B$2:$C$1048576,2,0),"NO")</f>
        <v>LIQUIDADO</v>
      </c>
      <c r="AR245" s="909">
        <f>IFERROR(VLOOKUP(E245,'liquidaciones '!$B$2:$I$1048576,8,0),"")</f>
        <v>0</v>
      </c>
      <c r="AS245" s="312"/>
      <c r="AT245" s="156" t="str">
        <f t="shared" ca="1" si="44"/>
        <v>NO</v>
      </c>
      <c r="AU245" s="156" t="s">
        <v>1991</v>
      </c>
      <c r="AV245" s="406"/>
      <c r="AW245" s="928"/>
      <c r="AX245" s="928"/>
      <c r="AY245" s="928"/>
    </row>
    <row r="246" spans="2:51" ht="47.25" customHeight="1" x14ac:dyDescent="0.3">
      <c r="B246" s="14">
        <v>240</v>
      </c>
      <c r="C246" s="410"/>
      <c r="D246" s="410" t="str">
        <f t="shared" si="34"/>
        <v>2014</v>
      </c>
      <c r="E246" s="120" t="s">
        <v>1109</v>
      </c>
      <c r="F246" s="184" t="s">
        <v>1110</v>
      </c>
      <c r="G246" s="1053">
        <v>830005370</v>
      </c>
      <c r="H246" s="963" t="s">
        <v>1111</v>
      </c>
      <c r="I246" s="186">
        <v>818527824</v>
      </c>
      <c r="J246" s="821" t="s">
        <v>4680</v>
      </c>
      <c r="K246" s="146">
        <v>2014</v>
      </c>
      <c r="L246" s="519" t="s">
        <v>1087</v>
      </c>
      <c r="M246" s="282">
        <v>41921</v>
      </c>
      <c r="N246" s="282">
        <v>42102</v>
      </c>
      <c r="O246" s="1099" t="str">
        <f>IF(+Modificaciones!I246=0,"",VLOOKUP(E246,Modificaciones!$B$7:$I$2400,8,0))</f>
        <v/>
      </c>
      <c r="P246" s="115">
        <f>COUNTA(Modificaciones!J246,Modificaciones!L246,Modificaciones!N246,Modificaciones!P246)</f>
        <v>0</v>
      </c>
      <c r="Q246" s="116">
        <f>VLOOKUP(E246,Modificaciones!$B$7:$R$300,17,0)</f>
        <v>0</v>
      </c>
      <c r="R246" s="117">
        <f>COUNTA(Modificaciones!T246,Modificaciones!V246,Modificaciones!X246,Modificaciones!Z246)</f>
        <v>1</v>
      </c>
      <c r="S246" s="118" t="str">
        <f>IF(Modificaciones!AA246=0,"",VLOOKUP(E246,Modificaciones!$B$7:$AA$400,26,0))</f>
        <v>13 días</v>
      </c>
      <c r="T246" s="119">
        <f>IF(Modificaciones!AB246=0,"",VLOOKUP(E246,Modificaciones!$B$7:$AB$400,27,0))</f>
        <v>42116</v>
      </c>
      <c r="U246" s="1080" t="str">
        <f>+Modificaciones!AC246</f>
        <v/>
      </c>
      <c r="V246" s="825" t="str">
        <f>+Modificaciones!AK246</f>
        <v/>
      </c>
      <c r="W246" s="825">
        <f t="shared" si="39"/>
        <v>42116</v>
      </c>
      <c r="X246" s="59">
        <f t="shared" si="35"/>
        <v>818527824</v>
      </c>
      <c r="Y246" s="151">
        <f>VLOOKUP(E246,Modificaciones!$B$7:$BE$300,56,0)</f>
        <v>800790708</v>
      </c>
      <c r="Z246" s="84">
        <f t="shared" si="36"/>
        <v>17737116</v>
      </c>
      <c r="AA246" s="288"/>
      <c r="AB246" s="40">
        <f t="shared" si="37"/>
        <v>0.97833046662565259</v>
      </c>
      <c r="AC246" s="40">
        <f t="shared" ca="1" si="40"/>
        <v>1</v>
      </c>
      <c r="AD246" s="41">
        <f t="shared" ca="1" si="41"/>
        <v>2.1669533374347405E-2</v>
      </c>
      <c r="AE246" s="181" t="str">
        <f t="shared" ca="1" si="42"/>
        <v/>
      </c>
      <c r="AF246" s="42" t="str">
        <f t="shared" si="45"/>
        <v>NO</v>
      </c>
      <c r="AG246" s="42"/>
      <c r="AH246" s="152" t="s">
        <v>1255</v>
      </c>
      <c r="AI246" s="152" t="s">
        <v>1291</v>
      </c>
      <c r="AJ246" s="152" t="s">
        <v>1429</v>
      </c>
      <c r="AK246" s="255" t="s">
        <v>564</v>
      </c>
      <c r="AL246" s="153" t="s">
        <v>1380</v>
      </c>
      <c r="AM246" s="153" t="s">
        <v>954</v>
      </c>
      <c r="AN246" s="161" t="str">
        <f t="shared" ca="1" si="43"/>
        <v>TERMINO</v>
      </c>
      <c r="AO246" s="160" t="s">
        <v>582</v>
      </c>
      <c r="AP246" s="155" t="s">
        <v>390</v>
      </c>
      <c r="AQ246" s="819" t="str">
        <f>IFERROR(VLOOKUP(E246,'liquidaciones '!$B$2:$C$1048576,2,0),"NO")</f>
        <v>LIQUIDADO</v>
      </c>
      <c r="AR246" s="909">
        <f>IFERROR(VLOOKUP(E246,'liquidaciones '!$B$2:$I$1048576,8,0),"")</f>
        <v>0</v>
      </c>
      <c r="AS246" s="312"/>
      <c r="AT246" s="156" t="str">
        <f t="shared" ca="1" si="44"/>
        <v>NO</v>
      </c>
      <c r="AU246" s="156" t="s">
        <v>2075</v>
      </c>
      <c r="AV246" s="406"/>
      <c r="AW246" s="928"/>
      <c r="AX246" s="928"/>
      <c r="AY246" s="928"/>
    </row>
    <row r="247" spans="2:51" ht="47.25" customHeight="1" x14ac:dyDescent="0.3">
      <c r="B247" s="14">
        <v>241</v>
      </c>
      <c r="C247" s="410"/>
      <c r="D247" s="410" t="str">
        <f t="shared" si="34"/>
        <v>2014</v>
      </c>
      <c r="E247" s="120" t="s">
        <v>1115</v>
      </c>
      <c r="F247" s="185" t="s">
        <v>1116</v>
      </c>
      <c r="G247" s="998">
        <v>830001338</v>
      </c>
      <c r="H247" s="828" t="s">
        <v>1117</v>
      </c>
      <c r="I247" s="187">
        <v>75520000</v>
      </c>
      <c r="J247" s="121" t="s">
        <v>1087</v>
      </c>
      <c r="K247" s="139">
        <v>2014</v>
      </c>
      <c r="L247" s="519" t="s">
        <v>1087</v>
      </c>
      <c r="M247" s="835">
        <v>41929</v>
      </c>
      <c r="N247" s="835">
        <v>42294</v>
      </c>
      <c r="O247" s="1099" t="str">
        <f>IF(+Modificaciones!I247=0,"",VLOOKUP(E247,Modificaciones!$B$7:$I$2400,8,0))</f>
        <v/>
      </c>
      <c r="P247" s="115">
        <f>COUNTA(Modificaciones!J247,Modificaciones!L247,Modificaciones!N247,Modificaciones!P247)</f>
        <v>0</v>
      </c>
      <c r="Q247" s="116">
        <f>VLOOKUP(E247,Modificaciones!$B$7:$R$300,17,0)</f>
        <v>0</v>
      </c>
      <c r="R247" s="117">
        <f>COUNTA(Modificaciones!T247,Modificaciones!V247,Modificaciones!X247,Modificaciones!Z247)</f>
        <v>0</v>
      </c>
      <c r="S247" s="118" t="str">
        <f>IF(Modificaciones!AA247=0,"",VLOOKUP(E247,Modificaciones!$B$7:$AA$400,26,0))</f>
        <v>2 meses</v>
      </c>
      <c r="T247" s="119" t="str">
        <f>IF(Modificaciones!AB247=0,"",VLOOKUP(E247,Modificaciones!$B$7:$AB$400,27,0))</f>
        <v/>
      </c>
      <c r="U247" s="1080" t="str">
        <f>+Modificaciones!AC247</f>
        <v/>
      </c>
      <c r="V247" s="825" t="str">
        <f>+Modificaciones!AK247</f>
        <v/>
      </c>
      <c r="W247" s="825">
        <f t="shared" si="39"/>
        <v>42294</v>
      </c>
      <c r="X247" s="59">
        <f t="shared" si="35"/>
        <v>75520000</v>
      </c>
      <c r="Y247" s="151">
        <f>VLOOKUP(E247,Modificaciones!$B$7:$BE$300,56,0)</f>
        <v>75519999</v>
      </c>
      <c r="Z247" s="84">
        <f t="shared" si="36"/>
        <v>1</v>
      </c>
      <c r="AA247" s="288"/>
      <c r="AB247" s="40">
        <f t="shared" si="37"/>
        <v>0.99999998675847457</v>
      </c>
      <c r="AC247" s="40">
        <f t="shared" ca="1" si="40"/>
        <v>1</v>
      </c>
      <c r="AD247" s="41">
        <f t="shared" ca="1" si="41"/>
        <v>1.3241525431695322E-8</v>
      </c>
      <c r="AE247" s="181" t="str">
        <f t="shared" ca="1" si="42"/>
        <v/>
      </c>
      <c r="AF247" s="42" t="str">
        <f t="shared" si="45"/>
        <v>SI</v>
      </c>
      <c r="AG247" s="42"/>
      <c r="AH247" s="152" t="s">
        <v>1256</v>
      </c>
      <c r="AI247" s="255" t="s">
        <v>1175</v>
      </c>
      <c r="AJ247" s="152" t="s">
        <v>1438</v>
      </c>
      <c r="AK247" s="255" t="s">
        <v>560</v>
      </c>
      <c r="AL247" s="279" t="s">
        <v>1508</v>
      </c>
      <c r="AM247" s="279" t="s">
        <v>954</v>
      </c>
      <c r="AN247" s="161" t="str">
        <f t="shared" ca="1" si="43"/>
        <v>TERMINO</v>
      </c>
      <c r="AO247" s="255" t="s">
        <v>575</v>
      </c>
      <c r="AP247" s="155" t="s">
        <v>390</v>
      </c>
      <c r="AQ247" s="819" t="str">
        <f>IFERROR(VLOOKUP(E247,'liquidaciones '!$B$2:$C$1048576,2,0),"NO")</f>
        <v>LIQUIDADO</v>
      </c>
      <c r="AR247" s="909">
        <f>IFERROR(VLOOKUP(E247,'liquidaciones '!$B$2:$I$1048576,8,0),"")</f>
        <v>0</v>
      </c>
      <c r="AS247" s="312"/>
      <c r="AT247" s="156" t="str">
        <f t="shared" ca="1" si="44"/>
        <v>NO</v>
      </c>
      <c r="AU247" s="156" t="s">
        <v>1991</v>
      </c>
      <c r="AV247" s="406"/>
      <c r="AW247" s="928"/>
      <c r="AX247" s="928"/>
      <c r="AY247" s="928"/>
    </row>
    <row r="248" spans="2:51" ht="47.25" customHeight="1" x14ac:dyDescent="0.3">
      <c r="B248" s="14">
        <v>242</v>
      </c>
      <c r="C248" s="410"/>
      <c r="D248" s="410" t="str">
        <f t="shared" si="34"/>
        <v>2014</v>
      </c>
      <c r="E248" s="120" t="s">
        <v>1330</v>
      </c>
      <c r="F248" s="152" t="s">
        <v>212</v>
      </c>
      <c r="G248" s="1046">
        <v>830080652</v>
      </c>
      <c r="H248" s="964" t="s">
        <v>1331</v>
      </c>
      <c r="I248" s="215">
        <v>324800</v>
      </c>
      <c r="J248" s="821" t="s">
        <v>5665</v>
      </c>
      <c r="K248" s="264">
        <v>2014</v>
      </c>
      <c r="L248" s="519" t="s">
        <v>1087</v>
      </c>
      <c r="M248" s="266">
        <v>41939</v>
      </c>
      <c r="N248" s="266">
        <v>41970</v>
      </c>
      <c r="O248" s="1099" t="str">
        <f>IF(+Modificaciones!I248=0,"",VLOOKUP(E248,Modificaciones!$B$7:$I$2400,8,0))</f>
        <v/>
      </c>
      <c r="P248" s="115">
        <f>COUNTA(Modificaciones!J248,Modificaciones!L248,Modificaciones!N248,Modificaciones!P248)</f>
        <v>0</v>
      </c>
      <c r="Q248" s="116">
        <f>VLOOKUP(E248,Modificaciones!$B$7:$R$300,17,0)</f>
        <v>0</v>
      </c>
      <c r="R248" s="117">
        <f>COUNTA(Modificaciones!T248,Modificaciones!V248,Modificaciones!X248,Modificaciones!Z248)</f>
        <v>0</v>
      </c>
      <c r="S248" s="118" t="str">
        <f>IF(Modificaciones!AA248=0,"",VLOOKUP(E248,Modificaciones!$B$7:$AA$400,26,0))</f>
        <v/>
      </c>
      <c r="T248" s="119" t="str">
        <f>IF(Modificaciones!AB248=0,"",VLOOKUP(E248,Modificaciones!$B$7:$AB$400,27,0))</f>
        <v/>
      </c>
      <c r="U248" s="1080" t="str">
        <f>+Modificaciones!AC248</f>
        <v/>
      </c>
      <c r="V248" s="825" t="str">
        <f>+Modificaciones!AK248</f>
        <v/>
      </c>
      <c r="W248" s="825">
        <f t="shared" si="39"/>
        <v>41970</v>
      </c>
      <c r="X248" s="59">
        <f t="shared" si="35"/>
        <v>324800</v>
      </c>
      <c r="Y248" s="151">
        <f>VLOOKUP(E248,Modificaciones!$B$7:$BE$300,56,0)</f>
        <v>324800</v>
      </c>
      <c r="Z248" s="84">
        <f t="shared" si="36"/>
        <v>0</v>
      </c>
      <c r="AA248" s="283" t="s">
        <v>1894</v>
      </c>
      <c r="AB248" s="40">
        <f t="shared" si="37"/>
        <v>1</v>
      </c>
      <c r="AC248" s="40">
        <f t="shared" ca="1" si="40"/>
        <v>1</v>
      </c>
      <c r="AD248" s="41">
        <f t="shared" ca="1" si="41"/>
        <v>0</v>
      </c>
      <c r="AE248" s="181" t="str">
        <f t="shared" ca="1" si="42"/>
        <v/>
      </c>
      <c r="AF248" s="42" t="str">
        <f t="shared" si="45"/>
        <v>SI</v>
      </c>
      <c r="AG248" s="42"/>
      <c r="AH248" s="152" t="s">
        <v>1255</v>
      </c>
      <c r="AI248" s="255" t="s">
        <v>1362</v>
      </c>
      <c r="AJ248" s="152" t="s">
        <v>1441</v>
      </c>
      <c r="AK248" s="255" t="s">
        <v>560</v>
      </c>
      <c r="AL248" s="279" t="s">
        <v>1379</v>
      </c>
      <c r="AM248" s="279" t="s">
        <v>954</v>
      </c>
      <c r="AN248" s="161" t="str">
        <f t="shared" ca="1" si="43"/>
        <v>TERMINO</v>
      </c>
      <c r="AO248" s="284" t="s">
        <v>576</v>
      </c>
      <c r="AP248" s="155" t="s">
        <v>391</v>
      </c>
      <c r="AQ248" s="819" t="str">
        <f>IFERROR(VLOOKUP(E248,'liquidaciones '!$B$2:$C$1048576,2,0),"NO")</f>
        <v>LIQUIDADO</v>
      </c>
      <c r="AR248" s="909">
        <f>IFERROR(VLOOKUP(E248,'liquidaciones '!$B$2:$I$1048576,8,0),"")</f>
        <v>0</v>
      </c>
      <c r="AS248" s="312">
        <v>42145</v>
      </c>
      <c r="AT248" s="156" t="str">
        <f t="shared" ca="1" si="44"/>
        <v>NO</v>
      </c>
      <c r="AU248" s="156" t="s">
        <v>1055</v>
      </c>
      <c r="AV248" s="406"/>
      <c r="AW248" s="928"/>
      <c r="AX248" s="928"/>
      <c r="AY248" s="928"/>
    </row>
    <row r="249" spans="2:51" ht="47.25" customHeight="1" x14ac:dyDescent="0.3">
      <c r="B249" s="14">
        <v>243</v>
      </c>
      <c r="C249" s="410"/>
      <c r="D249" s="410" t="str">
        <f t="shared" si="34"/>
        <v>2014</v>
      </c>
      <c r="E249" s="120" t="s">
        <v>1343</v>
      </c>
      <c r="F249" s="152" t="s">
        <v>1344</v>
      </c>
      <c r="G249" s="1048">
        <v>830120684</v>
      </c>
      <c r="H249" s="964" t="s">
        <v>1345</v>
      </c>
      <c r="I249" s="215">
        <v>1659960</v>
      </c>
      <c r="J249" s="821" t="s">
        <v>2622</v>
      </c>
      <c r="K249" s="264">
        <v>2014</v>
      </c>
      <c r="L249" s="519" t="s">
        <v>1087</v>
      </c>
      <c r="M249" s="266">
        <v>41968</v>
      </c>
      <c r="N249" s="266">
        <v>42241</v>
      </c>
      <c r="O249" s="1099" t="str">
        <f>IF(+Modificaciones!I249=0,"",VLOOKUP(E249,Modificaciones!$B$7:$I$2400,8,0))</f>
        <v/>
      </c>
      <c r="P249" s="115">
        <f>COUNTA(Modificaciones!J249,Modificaciones!L249,Modificaciones!N249,Modificaciones!P249)</f>
        <v>1</v>
      </c>
      <c r="Q249" s="116">
        <f>VLOOKUP(E249,Modificaciones!$B$7:$R$300,17,0)</f>
        <v>800000</v>
      </c>
      <c r="R249" s="117">
        <f>COUNTA(Modificaciones!T249,Modificaciones!V249,Modificaciones!X249,Modificaciones!Z249)</f>
        <v>0</v>
      </c>
      <c r="S249" s="118" t="str">
        <f>IF(Modificaciones!AA249=0,"",VLOOKUP(E249,Modificaciones!$B$7:$AA$400,26,0))</f>
        <v/>
      </c>
      <c r="T249" s="119" t="str">
        <f>IF(Modificaciones!AB249=0,"",VLOOKUP(E249,Modificaciones!$B$7:$AB$400,27,0))</f>
        <v/>
      </c>
      <c r="U249" s="1080" t="str">
        <f>+Modificaciones!AC249</f>
        <v/>
      </c>
      <c r="V249" s="825" t="str">
        <f>+Modificaciones!AK249</f>
        <v/>
      </c>
      <c r="W249" s="825">
        <f t="shared" si="39"/>
        <v>42241</v>
      </c>
      <c r="X249" s="59">
        <f t="shared" si="35"/>
        <v>2459960</v>
      </c>
      <c r="Y249" s="151">
        <f>VLOOKUP(E249,Modificaciones!$B$7:$BE$300,56,0)</f>
        <v>2457884</v>
      </c>
      <c r="Z249" s="84">
        <f t="shared" si="36"/>
        <v>2076</v>
      </c>
      <c r="AA249" s="283" t="s">
        <v>1426</v>
      </c>
      <c r="AB249" s="40">
        <f t="shared" si="37"/>
        <v>0.99915608383876164</v>
      </c>
      <c r="AC249" s="40">
        <f t="shared" ca="1" si="40"/>
        <v>1</v>
      </c>
      <c r="AD249" s="41">
        <f t="shared" ca="1" si="41"/>
        <v>8.4391616123835611E-4</v>
      </c>
      <c r="AE249" s="181" t="str">
        <f t="shared" ca="1" si="42"/>
        <v/>
      </c>
      <c r="AF249" s="42" t="str">
        <f t="shared" si="45"/>
        <v>SI</v>
      </c>
      <c r="AG249" s="42"/>
      <c r="AH249" s="152" t="s">
        <v>1255</v>
      </c>
      <c r="AI249" s="255" t="s">
        <v>1298</v>
      </c>
      <c r="AJ249" s="152" t="s">
        <v>1439</v>
      </c>
      <c r="AK249" s="255" t="s">
        <v>562</v>
      </c>
      <c r="AL249" s="279" t="s">
        <v>1472</v>
      </c>
      <c r="AM249" s="279" t="s">
        <v>954</v>
      </c>
      <c r="AN249" s="161" t="str">
        <f t="shared" ca="1" si="43"/>
        <v>TERMINO</v>
      </c>
      <c r="AO249" s="284" t="s">
        <v>576</v>
      </c>
      <c r="AP249" s="155" t="s">
        <v>390</v>
      </c>
      <c r="AQ249" s="819" t="str">
        <f>IFERROR(VLOOKUP(E249,'liquidaciones '!$B$2:$C$1048576,2,0),"NO")</f>
        <v>LIQUIDADO</v>
      </c>
      <c r="AR249" s="909">
        <f>IFERROR(VLOOKUP(E249,'liquidaciones '!$B$2:$I$1048576,8,0),"")</f>
        <v>0</v>
      </c>
      <c r="AS249" s="312">
        <v>42368</v>
      </c>
      <c r="AT249" s="156" t="str">
        <f t="shared" ca="1" si="44"/>
        <v>NO</v>
      </c>
      <c r="AU249" s="156" t="s">
        <v>1569</v>
      </c>
      <c r="AV249" s="406"/>
      <c r="AW249" s="928"/>
      <c r="AX249" s="928"/>
      <c r="AY249" s="928"/>
    </row>
    <row r="250" spans="2:51" ht="47.25" customHeight="1" x14ac:dyDescent="0.3">
      <c r="B250" s="14">
        <v>244</v>
      </c>
      <c r="C250" s="410"/>
      <c r="D250" s="410" t="str">
        <f t="shared" si="34"/>
        <v>2014</v>
      </c>
      <c r="E250" s="120" t="s">
        <v>1346</v>
      </c>
      <c r="F250" s="152" t="s">
        <v>1347</v>
      </c>
      <c r="G250" s="1048">
        <v>79403174</v>
      </c>
      <c r="H250" s="964" t="s">
        <v>1348</v>
      </c>
      <c r="I250" s="215">
        <v>20188000</v>
      </c>
      <c r="J250" s="821" t="s">
        <v>2611</v>
      </c>
      <c r="K250" s="264">
        <v>2014</v>
      </c>
      <c r="L250" s="519" t="s">
        <v>1087</v>
      </c>
      <c r="M250" s="266">
        <v>41957</v>
      </c>
      <c r="N250" s="266">
        <v>42077</v>
      </c>
      <c r="O250" s="1099" t="str">
        <f>IF(+Modificaciones!I250=0,"",VLOOKUP(E250,Modificaciones!$B$7:$I$2400,8,0))</f>
        <v/>
      </c>
      <c r="P250" s="115">
        <f>COUNTA(Modificaciones!J250,Modificaciones!L250,Modificaciones!N250,Modificaciones!P250)</f>
        <v>0</v>
      </c>
      <c r="Q250" s="116">
        <f>VLOOKUP(E250,Modificaciones!$B$7:$R$300,17,0)</f>
        <v>0</v>
      </c>
      <c r="R250" s="117">
        <f>COUNTA(Modificaciones!T250,Modificaciones!V250,Modificaciones!X250,Modificaciones!Z250)</f>
        <v>0</v>
      </c>
      <c r="S250" s="118" t="str">
        <f>IF(Modificaciones!AA250=0,"",VLOOKUP(E250,Modificaciones!$B$7:$AA$400,26,0))</f>
        <v/>
      </c>
      <c r="T250" s="119" t="str">
        <f>IF(Modificaciones!AB250=0,"",VLOOKUP(E250,Modificaciones!$B$7:$AB$400,27,0))</f>
        <v/>
      </c>
      <c r="U250" s="1080" t="str">
        <f>+Modificaciones!AC250</f>
        <v/>
      </c>
      <c r="V250" s="825" t="str">
        <f>+Modificaciones!AK250</f>
        <v/>
      </c>
      <c r="W250" s="825">
        <f t="shared" si="39"/>
        <v>42077</v>
      </c>
      <c r="X250" s="59">
        <f t="shared" si="35"/>
        <v>20188000</v>
      </c>
      <c r="Y250" s="151">
        <f>VLOOKUP(E250,Modificaciones!$B$7:$BE$300,56,0)</f>
        <v>20188000</v>
      </c>
      <c r="Z250" s="84">
        <f t="shared" si="36"/>
        <v>0</v>
      </c>
      <c r="AA250" s="283" t="s">
        <v>1094</v>
      </c>
      <c r="AB250" s="40">
        <f t="shared" si="37"/>
        <v>1</v>
      </c>
      <c r="AC250" s="40">
        <f t="shared" ca="1" si="40"/>
        <v>1</v>
      </c>
      <c r="AD250" s="41">
        <f t="shared" ca="1" si="41"/>
        <v>0</v>
      </c>
      <c r="AE250" s="181" t="str">
        <f t="shared" ca="1" si="42"/>
        <v/>
      </c>
      <c r="AF250" s="42" t="str">
        <f t="shared" si="45"/>
        <v>SI</v>
      </c>
      <c r="AG250" s="42"/>
      <c r="AH250" s="152" t="s">
        <v>1256</v>
      </c>
      <c r="AI250" s="152" t="s">
        <v>1130</v>
      </c>
      <c r="AJ250" s="152" t="s">
        <v>1438</v>
      </c>
      <c r="AK250" s="255" t="s">
        <v>560</v>
      </c>
      <c r="AL250" s="279"/>
      <c r="AM250" s="279" t="s">
        <v>954</v>
      </c>
      <c r="AN250" s="161" t="str">
        <f t="shared" ca="1" si="43"/>
        <v>TERMINO</v>
      </c>
      <c r="AO250" s="284" t="s">
        <v>582</v>
      </c>
      <c r="AP250" s="155" t="s">
        <v>391</v>
      </c>
      <c r="AQ250" s="819" t="str">
        <f>IFERROR(VLOOKUP(E250,'liquidaciones '!$B$2:$C$1048576,2,0),"NO")</f>
        <v>LIQUIDADO</v>
      </c>
      <c r="AR250" s="909">
        <f>IFERROR(VLOOKUP(E250,'liquidaciones '!$B$2:$I$1048576,8,0),"")</f>
        <v>0</v>
      </c>
      <c r="AS250" s="312">
        <v>42251</v>
      </c>
      <c r="AT250" s="156" t="str">
        <f t="shared" ca="1" si="44"/>
        <v>NO</v>
      </c>
      <c r="AU250" s="156" t="s">
        <v>1471</v>
      </c>
      <c r="AV250" s="406"/>
      <c r="AW250" s="928"/>
      <c r="AX250" s="928"/>
      <c r="AY250" s="928"/>
    </row>
    <row r="251" spans="2:51" ht="47.25" customHeight="1" x14ac:dyDescent="0.3">
      <c r="B251" s="14">
        <v>245</v>
      </c>
      <c r="C251" s="410"/>
      <c r="D251" s="410" t="str">
        <f t="shared" si="34"/>
        <v>2014</v>
      </c>
      <c r="E251" s="120" t="s">
        <v>1350</v>
      </c>
      <c r="F251" s="255" t="s">
        <v>1351</v>
      </c>
      <c r="G251" s="1048">
        <v>830025104</v>
      </c>
      <c r="H251" s="964" t="s">
        <v>1571</v>
      </c>
      <c r="I251" s="263">
        <v>59383678</v>
      </c>
      <c r="J251" s="821" t="s">
        <v>2618</v>
      </c>
      <c r="K251" s="264">
        <v>2014</v>
      </c>
      <c r="L251" s="519" t="s">
        <v>1087</v>
      </c>
      <c r="M251" s="265">
        <v>41941</v>
      </c>
      <c r="N251" s="266">
        <v>42033</v>
      </c>
      <c r="O251" s="1099" t="str">
        <f>IF(+Modificaciones!I251=0,"",VLOOKUP(E251,Modificaciones!$B$7:$I$2400,8,0))</f>
        <v/>
      </c>
      <c r="P251" s="115">
        <f>COUNTA(Modificaciones!J251,Modificaciones!L251,Modificaciones!N251,Modificaciones!P251)</f>
        <v>0</v>
      </c>
      <c r="Q251" s="116">
        <f>VLOOKUP(E251,Modificaciones!$B$7:$R$300,17,0)</f>
        <v>0</v>
      </c>
      <c r="R251" s="117">
        <f>COUNTA(Modificaciones!T251,Modificaciones!V251,Modificaciones!X251,Modificaciones!Z251)</f>
        <v>3</v>
      </c>
      <c r="S251" s="118" t="str">
        <f>IF(Modificaciones!AA251=0,"",VLOOKUP(E251,Modificaciones!$B$7:$AA$400,26,0))</f>
        <v>5 meses</v>
      </c>
      <c r="T251" s="119">
        <f>IF(Modificaciones!AB251=0,"",VLOOKUP(E251,Modificaciones!$B$7:$AB$400,27,0))</f>
        <v>42184</v>
      </c>
      <c r="U251" s="1080" t="str">
        <f>+Modificaciones!AC251</f>
        <v/>
      </c>
      <c r="V251" s="825" t="str">
        <f>+Modificaciones!AK251</f>
        <v/>
      </c>
      <c r="W251" s="825">
        <f t="shared" si="39"/>
        <v>42184</v>
      </c>
      <c r="X251" s="59">
        <f t="shared" si="35"/>
        <v>59383678</v>
      </c>
      <c r="Y251" s="151">
        <f>VLOOKUP(E251,Modificaciones!$B$7:$BE$300,56,0)</f>
        <v>27770152</v>
      </c>
      <c r="Z251" s="267">
        <f t="shared" si="36"/>
        <v>31613526</v>
      </c>
      <c r="AA251" s="283" t="s">
        <v>1352</v>
      </c>
      <c r="AB251" s="40">
        <f t="shared" si="37"/>
        <v>0.46763947494124564</v>
      </c>
      <c r="AC251" s="40">
        <f t="shared" ca="1" si="40"/>
        <v>1</v>
      </c>
      <c r="AD251" s="41">
        <f t="shared" ca="1" si="41"/>
        <v>0.53236052505875442</v>
      </c>
      <c r="AE251" s="181" t="str">
        <f t="shared" ca="1" si="42"/>
        <v/>
      </c>
      <c r="AF251" s="42" t="str">
        <f t="shared" si="45"/>
        <v>NO</v>
      </c>
      <c r="AG251" s="42"/>
      <c r="AH251" s="152" t="s">
        <v>1256</v>
      </c>
      <c r="AI251" s="152" t="s">
        <v>1572</v>
      </c>
      <c r="AJ251" s="152" t="s">
        <v>1438</v>
      </c>
      <c r="AK251" s="255" t="s">
        <v>560</v>
      </c>
      <c r="AL251" s="279" t="s">
        <v>1508</v>
      </c>
      <c r="AM251" s="279" t="s">
        <v>954</v>
      </c>
      <c r="AN251" s="161" t="str">
        <f t="shared" ca="1" si="43"/>
        <v>TERMINO</v>
      </c>
      <c r="AO251" s="284" t="s">
        <v>576</v>
      </c>
      <c r="AP251" s="155" t="s">
        <v>390</v>
      </c>
      <c r="AQ251" s="819" t="str">
        <f>IFERROR(VLOOKUP(E251,'liquidaciones '!$B$2:$C$1048576,2,0),"NO")</f>
        <v>LIQUIDADO</v>
      </c>
      <c r="AR251" s="909">
        <f>IFERROR(VLOOKUP(E251,'liquidaciones '!$B$2:$I$1048576,8,0),"")</f>
        <v>0</v>
      </c>
      <c r="AS251" s="312"/>
      <c r="AT251" s="156" t="str">
        <f t="shared" ca="1" si="44"/>
        <v>NO</v>
      </c>
      <c r="AU251" s="156" t="s">
        <v>1991</v>
      </c>
      <c r="AV251" s="406"/>
      <c r="AW251" s="928"/>
      <c r="AX251" s="928"/>
      <c r="AY251" s="928"/>
    </row>
    <row r="252" spans="2:51" ht="47.25" customHeight="1" x14ac:dyDescent="0.3">
      <c r="B252" s="14">
        <v>246</v>
      </c>
      <c r="C252" s="410"/>
      <c r="D252" s="410" t="str">
        <f t="shared" si="34"/>
        <v>2014</v>
      </c>
      <c r="E252" s="120" t="s">
        <v>1353</v>
      </c>
      <c r="F252" s="834" t="s">
        <v>27</v>
      </c>
      <c r="G252" s="998">
        <v>860009759</v>
      </c>
      <c r="H252" s="828" t="s">
        <v>1354</v>
      </c>
      <c r="I252" s="268">
        <v>764100</v>
      </c>
      <c r="J252" s="121" t="s">
        <v>1087</v>
      </c>
      <c r="K252" s="269">
        <v>2014</v>
      </c>
      <c r="L252" s="519" t="s">
        <v>1087</v>
      </c>
      <c r="M252" s="835">
        <v>41970</v>
      </c>
      <c r="N252" s="835">
        <v>42335</v>
      </c>
      <c r="O252" s="1099" t="str">
        <f>IF(+Modificaciones!I252=0,"",VLOOKUP(E252,Modificaciones!$B$7:$I$2400,8,0))</f>
        <v/>
      </c>
      <c r="P252" s="115">
        <f>COUNTA(Modificaciones!J252,Modificaciones!L252,Modificaciones!N252,Modificaciones!P252)</f>
        <v>0</v>
      </c>
      <c r="Q252" s="116">
        <f>VLOOKUP(E252,Modificaciones!$B$7:$R$300,17,0)</f>
        <v>0</v>
      </c>
      <c r="R252" s="117">
        <f>COUNTA(Modificaciones!T252,Modificaciones!V252,Modificaciones!X252,Modificaciones!Z252)</f>
        <v>0</v>
      </c>
      <c r="S252" s="118" t="str">
        <f>IF(Modificaciones!AA252=0,"",VLOOKUP(E252,Modificaciones!$B$7:$AA$400,26,0))</f>
        <v/>
      </c>
      <c r="T252" s="119" t="str">
        <f>IF(Modificaciones!AB252=0,"",VLOOKUP(E252,Modificaciones!$B$7:$AB$400,27,0))</f>
        <v/>
      </c>
      <c r="U252" s="1080" t="str">
        <f>+Modificaciones!AC252</f>
        <v/>
      </c>
      <c r="V252" s="825" t="str">
        <f>+Modificaciones!AK252</f>
        <v/>
      </c>
      <c r="W252" s="825">
        <f t="shared" si="39"/>
        <v>42335</v>
      </c>
      <c r="X252" s="59">
        <f t="shared" si="35"/>
        <v>764100</v>
      </c>
      <c r="Y252" s="151">
        <f>VLOOKUP(E252,Modificaciones!$B$7:$BE$300,56,0)</f>
        <v>764100</v>
      </c>
      <c r="Z252" s="267">
        <f t="shared" si="36"/>
        <v>0</v>
      </c>
      <c r="AA252" s="283" t="s">
        <v>1894</v>
      </c>
      <c r="AB252" s="40">
        <f t="shared" si="37"/>
        <v>1</v>
      </c>
      <c r="AC252" s="40">
        <f t="shared" ca="1" si="40"/>
        <v>1</v>
      </c>
      <c r="AD252" s="41">
        <f t="shared" ca="1" si="41"/>
        <v>0</v>
      </c>
      <c r="AE252" s="181" t="str">
        <f t="shared" ca="1" si="42"/>
        <v/>
      </c>
      <c r="AF252" s="42" t="str">
        <f t="shared" si="45"/>
        <v>SI</v>
      </c>
      <c r="AG252" s="42"/>
      <c r="AH252" s="152" t="s">
        <v>1255</v>
      </c>
      <c r="AI252" s="255" t="s">
        <v>1124</v>
      </c>
      <c r="AJ252" s="152" t="s">
        <v>1429</v>
      </c>
      <c r="AK252" s="255" t="s">
        <v>564</v>
      </c>
      <c r="AL252" s="153" t="s">
        <v>2166</v>
      </c>
      <c r="AM252" s="279" t="s">
        <v>954</v>
      </c>
      <c r="AN252" s="161" t="str">
        <f t="shared" ca="1" si="43"/>
        <v>TERMINO</v>
      </c>
      <c r="AO252" s="284" t="s">
        <v>582</v>
      </c>
      <c r="AP252" s="155" t="s">
        <v>390</v>
      </c>
      <c r="AQ252" s="819" t="str">
        <f>IFERROR(VLOOKUP(E252,'liquidaciones '!$B$2:$C$1048576,2,0),"NO")</f>
        <v>LIQUIDADO</v>
      </c>
      <c r="AR252" s="909">
        <f>IFERROR(VLOOKUP(E252,'liquidaciones '!$B$2:$I$1048576,8,0),"")</f>
        <v>0</v>
      </c>
      <c r="AS252" s="312"/>
      <c r="AT252" s="156" t="str">
        <f t="shared" ca="1" si="44"/>
        <v>NO</v>
      </c>
      <c r="AU252" s="156" t="s">
        <v>1509</v>
      </c>
      <c r="AV252" s="406"/>
      <c r="AW252" s="928"/>
      <c r="AX252" s="928"/>
      <c r="AY252" s="928"/>
    </row>
    <row r="253" spans="2:51" ht="47.25" customHeight="1" x14ac:dyDescent="0.3">
      <c r="B253" s="14">
        <v>247</v>
      </c>
      <c r="C253" s="410"/>
      <c r="D253" s="410" t="str">
        <f t="shared" si="34"/>
        <v>2014</v>
      </c>
      <c r="E253" s="120" t="s">
        <v>1355</v>
      </c>
      <c r="F253" s="834" t="s">
        <v>1356</v>
      </c>
      <c r="G253" s="998">
        <v>805007625</v>
      </c>
      <c r="H253" s="828" t="s">
        <v>1357</v>
      </c>
      <c r="I253" s="268">
        <v>108570688</v>
      </c>
      <c r="J253" s="821" t="s">
        <v>5702</v>
      </c>
      <c r="K253" s="269">
        <v>2014</v>
      </c>
      <c r="L253" s="519" t="s">
        <v>1087</v>
      </c>
      <c r="M253" s="835">
        <v>41935</v>
      </c>
      <c r="N253" s="835">
        <v>42117</v>
      </c>
      <c r="O253" s="1099" t="str">
        <f>IF(+Modificaciones!I253=0,"",VLOOKUP(E253,Modificaciones!$B$7:$I$2400,8,0))</f>
        <v/>
      </c>
      <c r="P253" s="115">
        <f>COUNTA(Modificaciones!J253,Modificaciones!L253,Modificaciones!N253,Modificaciones!P253)</f>
        <v>1</v>
      </c>
      <c r="Q253" s="116">
        <f>VLOOKUP(E253,Modificaciones!$B$7:$R$300,17,0)</f>
        <v>54285345</v>
      </c>
      <c r="R253" s="117">
        <f>COUNTA(Modificaciones!T253,Modificaciones!V253,Modificaciones!X253,Modificaciones!Z253)</f>
        <v>1</v>
      </c>
      <c r="S253" s="118" t="str">
        <f>IF(Modificaciones!AA253=0,"",VLOOKUP(E253,Modificaciones!$B$7:$AA$400,26,0))</f>
        <v>3 meses</v>
      </c>
      <c r="T253" s="119">
        <f>IF(Modificaciones!AB253=0,"",VLOOKUP(E253,Modificaciones!$B$7:$AB$400,27,0))</f>
        <v>42208</v>
      </c>
      <c r="U253" s="1080" t="str">
        <f>+Modificaciones!AC253</f>
        <v/>
      </c>
      <c r="V253" s="825" t="str">
        <f>+Modificaciones!AK253</f>
        <v/>
      </c>
      <c r="W253" s="825">
        <f t="shared" si="39"/>
        <v>42208</v>
      </c>
      <c r="X253" s="59">
        <f t="shared" si="35"/>
        <v>162856033</v>
      </c>
      <c r="Y253" s="151">
        <f>VLOOKUP(E253,Modificaciones!$B$7:$BE$300,56,0)</f>
        <v>155665571</v>
      </c>
      <c r="Z253" s="267">
        <f t="shared" si="36"/>
        <v>7190462</v>
      </c>
      <c r="AA253" s="283" t="s">
        <v>1094</v>
      </c>
      <c r="AB253" s="40">
        <f t="shared" si="37"/>
        <v>0.95584773945709456</v>
      </c>
      <c r="AC253" s="40">
        <f t="shared" ca="1" si="40"/>
        <v>1</v>
      </c>
      <c r="AD253" s="41">
        <f t="shared" ca="1" si="41"/>
        <v>4.4152260542905442E-2</v>
      </c>
      <c r="AE253" s="181" t="str">
        <f t="shared" ca="1" si="42"/>
        <v/>
      </c>
      <c r="AF253" s="42" t="str">
        <f t="shared" si="45"/>
        <v>NO</v>
      </c>
      <c r="AG253" s="42"/>
      <c r="AH253" s="152" t="s">
        <v>1256</v>
      </c>
      <c r="AI253" s="157" t="s">
        <v>1462</v>
      </c>
      <c r="AJ253" s="152" t="s">
        <v>1438</v>
      </c>
      <c r="AK253" s="255" t="s">
        <v>560</v>
      </c>
      <c r="AL253" s="279" t="s">
        <v>1508</v>
      </c>
      <c r="AM253" s="279" t="s">
        <v>954</v>
      </c>
      <c r="AN253" s="161" t="str">
        <f t="shared" ca="1" si="43"/>
        <v>TERMINO</v>
      </c>
      <c r="AO253" s="284" t="s">
        <v>576</v>
      </c>
      <c r="AP253" s="155" t="s">
        <v>390</v>
      </c>
      <c r="AQ253" s="819" t="str">
        <f>IFERROR(VLOOKUP(E253,'liquidaciones '!$B$2:$C$1048576,2,0),"NO")</f>
        <v>LIQUIDADO</v>
      </c>
      <c r="AR253" s="909">
        <f>IFERROR(VLOOKUP(E253,'liquidaciones '!$B$2:$I$1048576,8,0),"")</f>
        <v>0</v>
      </c>
      <c r="AS253" s="312"/>
      <c r="AT253" s="156" t="str">
        <f t="shared" ca="1" si="44"/>
        <v>NO</v>
      </c>
      <c r="AU253" s="156" t="s">
        <v>1991</v>
      </c>
      <c r="AV253" s="406"/>
      <c r="AW253" s="928"/>
      <c r="AX253" s="928"/>
      <c r="AY253" s="928"/>
    </row>
    <row r="254" spans="2:51" ht="47.25" customHeight="1" x14ac:dyDescent="0.3">
      <c r="B254" s="14">
        <v>248</v>
      </c>
      <c r="C254" s="410"/>
      <c r="D254" s="410" t="str">
        <f t="shared" si="34"/>
        <v>2014</v>
      </c>
      <c r="E254" s="120" t="s">
        <v>1358</v>
      </c>
      <c r="F254" s="281" t="s">
        <v>1359</v>
      </c>
      <c r="G254" s="998">
        <v>860353110</v>
      </c>
      <c r="H254" s="828" t="s">
        <v>1360</v>
      </c>
      <c r="I254" s="268">
        <v>27235640</v>
      </c>
      <c r="J254" s="121" t="s">
        <v>1087</v>
      </c>
      <c r="K254" s="269">
        <v>2014</v>
      </c>
      <c r="L254" s="519" t="s">
        <v>1087</v>
      </c>
      <c r="M254" s="835">
        <v>41969</v>
      </c>
      <c r="N254" s="835">
        <v>42334</v>
      </c>
      <c r="O254" s="1099" t="str">
        <f>IF(+Modificaciones!I254=0,"",VLOOKUP(E254,Modificaciones!$B$7:$I$2400,8,0))</f>
        <v/>
      </c>
      <c r="P254" s="115">
        <f>COUNTA(Modificaciones!J254,Modificaciones!L254,Modificaciones!N254,Modificaciones!P254)</f>
        <v>0</v>
      </c>
      <c r="Q254" s="116">
        <f>VLOOKUP(E254,Modificaciones!$B$7:$R$300,17,0)</f>
        <v>0</v>
      </c>
      <c r="R254" s="117">
        <f>COUNTA(Modificaciones!T254,Modificaciones!V254,Modificaciones!X254,Modificaciones!Z254)</f>
        <v>0</v>
      </c>
      <c r="S254" s="118" t="str">
        <f>IF(Modificaciones!AA254=0,"",VLOOKUP(E254,Modificaciones!$B$7:$AA$400,26,0))</f>
        <v/>
      </c>
      <c r="T254" s="119" t="str">
        <f>IF(Modificaciones!AB254=0,"",VLOOKUP(E254,Modificaciones!$B$7:$AB$400,27,0))</f>
        <v/>
      </c>
      <c r="U254" s="1080" t="str">
        <f>+Modificaciones!AC254</f>
        <v/>
      </c>
      <c r="V254" s="825" t="str">
        <f>+Modificaciones!AK254</f>
        <v/>
      </c>
      <c r="W254" s="825">
        <f t="shared" si="39"/>
        <v>42334</v>
      </c>
      <c r="X254" s="59">
        <f t="shared" si="35"/>
        <v>27235640</v>
      </c>
      <c r="Y254" s="151">
        <f>VLOOKUP(E254,Modificaciones!$B$7:$BE$300,56,0)</f>
        <v>27235640</v>
      </c>
      <c r="Z254" s="267">
        <f t="shared" si="36"/>
        <v>0</v>
      </c>
      <c r="AA254" s="283" t="s">
        <v>1352</v>
      </c>
      <c r="AB254" s="40">
        <f t="shared" si="37"/>
        <v>1</v>
      </c>
      <c r="AC254" s="40">
        <f t="shared" ca="1" si="40"/>
        <v>1</v>
      </c>
      <c r="AD254" s="41">
        <f t="shared" ca="1" si="41"/>
        <v>0</v>
      </c>
      <c r="AE254" s="181" t="str">
        <f t="shared" ca="1" si="42"/>
        <v/>
      </c>
      <c r="AF254" s="42" t="str">
        <f t="shared" si="45"/>
        <v>SI</v>
      </c>
      <c r="AG254" s="42"/>
      <c r="AH254" s="152" t="s">
        <v>1256</v>
      </c>
      <c r="AI254" s="255" t="s">
        <v>1361</v>
      </c>
      <c r="AJ254" s="152" t="s">
        <v>1438</v>
      </c>
      <c r="AK254" s="255" t="s">
        <v>560</v>
      </c>
      <c r="AL254" s="279" t="s">
        <v>1508</v>
      </c>
      <c r="AM254" s="279" t="s">
        <v>954</v>
      </c>
      <c r="AN254" s="161" t="str">
        <f t="shared" ca="1" si="43"/>
        <v>TERMINO</v>
      </c>
      <c r="AO254" s="284" t="s">
        <v>576</v>
      </c>
      <c r="AP254" s="155" t="s">
        <v>390</v>
      </c>
      <c r="AQ254" s="819" t="str">
        <f>IFERROR(VLOOKUP(E254,'liquidaciones '!$B$2:$C$1048576,2,0),"NO")</f>
        <v>LIQUIDADO</v>
      </c>
      <c r="AR254" s="909">
        <f>IFERROR(VLOOKUP(E254,'liquidaciones '!$B$2:$I$1048576,8,0),"")</f>
        <v>0</v>
      </c>
      <c r="AS254" s="312"/>
      <c r="AT254" s="156" t="str">
        <f t="shared" ca="1" si="44"/>
        <v>NO</v>
      </c>
      <c r="AU254" s="156" t="s">
        <v>1991</v>
      </c>
      <c r="AV254" s="406"/>
      <c r="AW254" s="928"/>
      <c r="AX254" s="928"/>
      <c r="AY254" s="928"/>
    </row>
    <row r="255" spans="2:51" ht="47.25" customHeight="1" x14ac:dyDescent="0.3">
      <c r="B255" s="14">
        <v>249</v>
      </c>
      <c r="C255" s="410"/>
      <c r="D255" s="410" t="str">
        <f t="shared" si="34"/>
        <v>2014</v>
      </c>
      <c r="E255" s="120" t="s">
        <v>1365</v>
      </c>
      <c r="F255" s="834" t="s">
        <v>1366</v>
      </c>
      <c r="G255" s="998">
        <v>79797614</v>
      </c>
      <c r="H255" s="828" t="s">
        <v>1367</v>
      </c>
      <c r="I255" s="268">
        <v>39999999</v>
      </c>
      <c r="J255" s="821" t="s">
        <v>5751</v>
      </c>
      <c r="K255" s="269">
        <v>2014</v>
      </c>
      <c r="L255" s="519" t="s">
        <v>1087</v>
      </c>
      <c r="M255" s="835">
        <v>41957</v>
      </c>
      <c r="N255" s="835">
        <v>42504</v>
      </c>
      <c r="O255" s="1099" t="str">
        <f>IF(+Modificaciones!I255=0,"",VLOOKUP(E255,Modificaciones!$B$7:$I$2400,8,0))</f>
        <v/>
      </c>
      <c r="P255" s="115">
        <f>COUNTA(Modificaciones!J255,Modificaciones!L255,Modificaciones!N255,Modificaciones!P255)</f>
        <v>0</v>
      </c>
      <c r="Q255" s="116">
        <f>VLOOKUP(E255,Modificaciones!$B$7:$R$300,17,0)</f>
        <v>0</v>
      </c>
      <c r="R255" s="117">
        <f>COUNTA(Modificaciones!T255,Modificaciones!V255,Modificaciones!X255,Modificaciones!Z255)</f>
        <v>0</v>
      </c>
      <c r="S255" s="118" t="str">
        <f>IF(Modificaciones!AA255=0,"",VLOOKUP(E255,Modificaciones!$B$7:$AA$400,26,0))</f>
        <v/>
      </c>
      <c r="T255" s="119" t="str">
        <f>IF(Modificaciones!AB255=0,"",VLOOKUP(E255,Modificaciones!$B$7:$AB$400,27,0))</f>
        <v/>
      </c>
      <c r="U255" s="1080" t="str">
        <f>+Modificaciones!AC255</f>
        <v/>
      </c>
      <c r="V255" s="825" t="str">
        <f>+Modificaciones!AK255</f>
        <v/>
      </c>
      <c r="W255" s="825">
        <f t="shared" si="39"/>
        <v>42504</v>
      </c>
      <c r="X255" s="59">
        <f t="shared" si="35"/>
        <v>39999999</v>
      </c>
      <c r="Y255" s="151">
        <f>VLOOKUP(E255,Modificaciones!$B$7:$BE$300,56,0)</f>
        <v>39999998</v>
      </c>
      <c r="Z255" s="267">
        <f t="shared" si="36"/>
        <v>1</v>
      </c>
      <c r="AA255" s="283" t="s">
        <v>1352</v>
      </c>
      <c r="AB255" s="40">
        <f t="shared" si="37"/>
        <v>0.99999997499999937</v>
      </c>
      <c r="AC255" s="40">
        <f t="shared" ca="1" si="40"/>
        <v>1</v>
      </c>
      <c r="AD255" s="41">
        <f t="shared" ca="1" si="41"/>
        <v>2.5000000625219343E-8</v>
      </c>
      <c r="AE255" s="181" t="str">
        <f t="shared" ca="1" si="42"/>
        <v/>
      </c>
      <c r="AF255" s="42" t="str">
        <f t="shared" ref="AF255:AF286" si="46">IF(AB255&lt;=99.9%,"NO","SI")</f>
        <v>SI</v>
      </c>
      <c r="AG255" s="42"/>
      <c r="AH255" s="152" t="s">
        <v>1256</v>
      </c>
      <c r="AI255" s="255" t="s">
        <v>1368</v>
      </c>
      <c r="AJ255" s="152" t="s">
        <v>1438</v>
      </c>
      <c r="AK255" s="255" t="s">
        <v>560</v>
      </c>
      <c r="AL255" s="279" t="s">
        <v>1508</v>
      </c>
      <c r="AM255" s="279" t="s">
        <v>954</v>
      </c>
      <c r="AN255" s="161" t="str">
        <f t="shared" ca="1" si="43"/>
        <v>TERMINO</v>
      </c>
      <c r="AO255" s="284" t="s">
        <v>576</v>
      </c>
      <c r="AP255" s="155" t="s">
        <v>390</v>
      </c>
      <c r="AQ255" s="819" t="str">
        <f>IFERROR(VLOOKUP(E255,'liquidaciones '!$B$2:$C$1048576,2,0),"NO")</f>
        <v>EN TRÁMITE</v>
      </c>
      <c r="AR255" s="909">
        <f>IFERROR(VLOOKUP(E255,'liquidaciones '!$B$2:$I$1048576,8,0),"")</f>
        <v>0</v>
      </c>
      <c r="AS255" s="312"/>
      <c r="AT255" s="156" t="str">
        <f t="shared" ca="1" si="44"/>
        <v>NO</v>
      </c>
      <c r="AU255" s="156" t="s">
        <v>2388</v>
      </c>
      <c r="AV255" s="406"/>
      <c r="AW255" s="928"/>
      <c r="AX255" s="928"/>
      <c r="AY255" s="928"/>
    </row>
    <row r="256" spans="2:51" ht="47.25" customHeight="1" x14ac:dyDescent="0.3">
      <c r="B256" s="14">
        <v>250</v>
      </c>
      <c r="C256" s="410"/>
      <c r="D256" s="410" t="str">
        <f t="shared" si="34"/>
        <v>2014</v>
      </c>
      <c r="E256" s="120" t="s">
        <v>1363</v>
      </c>
      <c r="F256" s="834" t="s">
        <v>1534</v>
      </c>
      <c r="G256" s="998">
        <v>80100229</v>
      </c>
      <c r="H256" s="828" t="s">
        <v>1364</v>
      </c>
      <c r="I256" s="268">
        <v>17664500</v>
      </c>
      <c r="J256" s="821" t="s">
        <v>5279</v>
      </c>
      <c r="K256" s="269">
        <v>2014</v>
      </c>
      <c r="L256" s="519" t="s">
        <v>1087</v>
      </c>
      <c r="M256" s="835">
        <v>41956</v>
      </c>
      <c r="N256" s="835">
        <v>42063</v>
      </c>
      <c r="O256" s="1099" t="str">
        <f>IF(+Modificaciones!I256=0,"",VLOOKUP(E256,Modificaciones!$B$7:$I$2400,8,0))</f>
        <v/>
      </c>
      <c r="P256" s="115">
        <f>COUNTA(Modificaciones!J256,Modificaciones!L256,Modificaciones!N256,Modificaciones!P256)</f>
        <v>0</v>
      </c>
      <c r="Q256" s="116">
        <f>VLOOKUP(E256,Modificaciones!$B$7:$R$300,17,0)</f>
        <v>0</v>
      </c>
      <c r="R256" s="117">
        <f>COUNTA(Modificaciones!T256,Modificaciones!V256,Modificaciones!X256,Modificaciones!Z256)</f>
        <v>0</v>
      </c>
      <c r="S256" s="118" t="str">
        <f>IF(Modificaciones!AA256=0,"",VLOOKUP(E256,Modificaciones!$B$7:$AA$400,26,0))</f>
        <v/>
      </c>
      <c r="T256" s="119" t="str">
        <f>IF(Modificaciones!AB256=0,"",VLOOKUP(E256,Modificaciones!$B$7:$AB$400,27,0))</f>
        <v/>
      </c>
      <c r="U256" s="1080" t="str">
        <f>+Modificaciones!AC256</f>
        <v/>
      </c>
      <c r="V256" s="825" t="str">
        <f>+Modificaciones!AK256</f>
        <v/>
      </c>
      <c r="W256" s="825">
        <f t="shared" si="39"/>
        <v>42063</v>
      </c>
      <c r="X256" s="59">
        <f t="shared" si="35"/>
        <v>17664500</v>
      </c>
      <c r="Y256" s="151">
        <f>VLOOKUP(E256,Modificaciones!$B$7:$BE$300,56,0)</f>
        <v>17664500</v>
      </c>
      <c r="Z256" s="267">
        <f t="shared" si="36"/>
        <v>0</v>
      </c>
      <c r="AA256" s="283" t="s">
        <v>1094</v>
      </c>
      <c r="AB256" s="40">
        <f t="shared" si="37"/>
        <v>1</v>
      </c>
      <c r="AC256" s="40">
        <f t="shared" ca="1" si="40"/>
        <v>1</v>
      </c>
      <c r="AD256" s="41">
        <f t="shared" ca="1" si="41"/>
        <v>0</v>
      </c>
      <c r="AE256" s="181" t="str">
        <f t="shared" ca="1" si="42"/>
        <v/>
      </c>
      <c r="AF256" s="42" t="str">
        <f t="shared" si="46"/>
        <v>SI</v>
      </c>
      <c r="AG256" s="42"/>
      <c r="AH256" s="152" t="s">
        <v>1256</v>
      </c>
      <c r="AI256" s="152" t="s">
        <v>2189</v>
      </c>
      <c r="AJ256" s="152" t="s">
        <v>1176</v>
      </c>
      <c r="AK256" s="255" t="s">
        <v>559</v>
      </c>
      <c r="AL256" s="279" t="s">
        <v>2188</v>
      </c>
      <c r="AM256" s="279" t="s">
        <v>954</v>
      </c>
      <c r="AN256" s="161" t="str">
        <f t="shared" ca="1" si="43"/>
        <v>TERMINO</v>
      </c>
      <c r="AO256" s="285" t="s">
        <v>582</v>
      </c>
      <c r="AP256" s="155" t="s">
        <v>391</v>
      </c>
      <c r="AQ256" s="819" t="str">
        <f>IFERROR(VLOOKUP(E256,'liquidaciones '!$B$2:$C$1048576,2,0),"NO")</f>
        <v>LIQUIDADO</v>
      </c>
      <c r="AR256" s="909">
        <f>IFERROR(VLOOKUP(E256,'liquidaciones '!$B$2:$I$1048576,8,0),"")</f>
        <v>0</v>
      </c>
      <c r="AS256" s="312">
        <v>42265</v>
      </c>
      <c r="AT256" s="156" t="str">
        <f t="shared" ca="1" si="44"/>
        <v>NO</v>
      </c>
      <c r="AU256" s="156" t="s">
        <v>981</v>
      </c>
      <c r="AV256" s="406"/>
      <c r="AW256" s="928"/>
      <c r="AX256" s="928"/>
      <c r="AY256" s="928"/>
    </row>
    <row r="257" spans="2:51" ht="47.25" customHeight="1" x14ac:dyDescent="0.3">
      <c r="B257" s="14">
        <v>251</v>
      </c>
      <c r="C257" s="410"/>
      <c r="D257" s="410" t="str">
        <f t="shared" si="34"/>
        <v>2014</v>
      </c>
      <c r="E257" s="120" t="s">
        <v>1418</v>
      </c>
      <c r="F257" s="834" t="s">
        <v>1419</v>
      </c>
      <c r="G257" s="998">
        <v>830087030</v>
      </c>
      <c r="H257" s="828" t="s">
        <v>1420</v>
      </c>
      <c r="I257" s="187">
        <v>4750000</v>
      </c>
      <c r="J257" s="121" t="s">
        <v>1087</v>
      </c>
      <c r="K257" s="269">
        <v>2014</v>
      </c>
      <c r="L257" s="519" t="s">
        <v>1087</v>
      </c>
      <c r="M257" s="835">
        <v>41968</v>
      </c>
      <c r="N257" s="835">
        <v>42060</v>
      </c>
      <c r="O257" s="1099" t="str">
        <f>IF(+Modificaciones!I257=0,"",VLOOKUP(E257,Modificaciones!$B$7:$I$2400,8,0))</f>
        <v/>
      </c>
      <c r="P257" s="115">
        <f>COUNTA(Modificaciones!J257,Modificaciones!L257,Modificaciones!N257,Modificaciones!P257)</f>
        <v>0</v>
      </c>
      <c r="Q257" s="116">
        <f>VLOOKUP(E257,Modificaciones!$B$7:$R$300,17,0)</f>
        <v>0</v>
      </c>
      <c r="R257" s="117">
        <f>COUNTA(Modificaciones!T257,Modificaciones!V257,Modificaciones!X257,Modificaciones!Z257)</f>
        <v>0</v>
      </c>
      <c r="S257" s="118" t="str">
        <f>IF(Modificaciones!AA257=0,"",VLOOKUP(E257,Modificaciones!$B$7:$AA$400,26,0))</f>
        <v/>
      </c>
      <c r="T257" s="119" t="str">
        <f>IF(Modificaciones!AB257=0,"",VLOOKUP(E257,Modificaciones!$B$7:$AB$400,27,0))</f>
        <v/>
      </c>
      <c r="U257" s="1080" t="str">
        <f>+Modificaciones!AC257</f>
        <v/>
      </c>
      <c r="V257" s="825" t="str">
        <f>+Modificaciones!AK257</f>
        <v/>
      </c>
      <c r="W257" s="825">
        <f t="shared" si="39"/>
        <v>42060</v>
      </c>
      <c r="X257" s="59">
        <f t="shared" si="35"/>
        <v>4750000</v>
      </c>
      <c r="Y257" s="151">
        <f>VLOOKUP(E257,Modificaciones!$B$7:$BE$300,56,0)</f>
        <v>3978684</v>
      </c>
      <c r="Z257" s="84">
        <f t="shared" si="36"/>
        <v>771316</v>
      </c>
      <c r="AA257" s="283" t="s">
        <v>1421</v>
      </c>
      <c r="AB257" s="40">
        <f t="shared" si="37"/>
        <v>0.83761768421052629</v>
      </c>
      <c r="AC257" s="40">
        <f t="shared" ca="1" si="40"/>
        <v>1</v>
      </c>
      <c r="AD257" s="41">
        <f t="shared" ca="1" si="41"/>
        <v>0.16238231578947371</v>
      </c>
      <c r="AE257" s="181" t="str">
        <f t="shared" ca="1" si="42"/>
        <v/>
      </c>
      <c r="AF257" s="42" t="str">
        <f t="shared" si="46"/>
        <v>NO</v>
      </c>
      <c r="AG257" s="42"/>
      <c r="AH257" s="152" t="s">
        <v>1255</v>
      </c>
      <c r="AI257" s="255" t="s">
        <v>1422</v>
      </c>
      <c r="AJ257" s="152" t="s">
        <v>1441</v>
      </c>
      <c r="AK257" s="255" t="s">
        <v>560</v>
      </c>
      <c r="AL257" s="279" t="s">
        <v>1506</v>
      </c>
      <c r="AM257" s="279" t="s">
        <v>954</v>
      </c>
      <c r="AN257" s="161" t="str">
        <f t="shared" ca="1" si="43"/>
        <v>TERMINO</v>
      </c>
      <c r="AO257" s="284" t="s">
        <v>576</v>
      </c>
      <c r="AP257" s="155" t="s">
        <v>390</v>
      </c>
      <c r="AQ257" s="819" t="str">
        <f>IFERROR(VLOOKUP(E257,'liquidaciones '!$B$2:$C$1048576,2,0),"NO")</f>
        <v>LIQUIDADO</v>
      </c>
      <c r="AR257" s="909">
        <f>IFERROR(VLOOKUP(E257,'liquidaciones '!$B$2:$I$1048576,8,0),"")</f>
        <v>0</v>
      </c>
      <c r="AS257" s="312"/>
      <c r="AT257" s="156" t="str">
        <f t="shared" ca="1" si="44"/>
        <v>NO</v>
      </c>
      <c r="AU257" s="156" t="s">
        <v>1569</v>
      </c>
      <c r="AV257" s="406"/>
      <c r="AW257" s="928"/>
      <c r="AX257" s="928"/>
      <c r="AY257" s="928"/>
    </row>
    <row r="258" spans="2:51" ht="47.25" customHeight="1" x14ac:dyDescent="0.3">
      <c r="B258" s="14">
        <v>252</v>
      </c>
      <c r="C258" s="410"/>
      <c r="D258" s="410" t="str">
        <f t="shared" si="34"/>
        <v>2014</v>
      </c>
      <c r="E258" s="120" t="s">
        <v>1423</v>
      </c>
      <c r="F258" s="834" t="s">
        <v>428</v>
      </c>
      <c r="G258" s="998">
        <v>830050919</v>
      </c>
      <c r="H258" s="828" t="s">
        <v>1424</v>
      </c>
      <c r="I258" s="187">
        <v>506601000</v>
      </c>
      <c r="J258" s="821" t="s">
        <v>2452</v>
      </c>
      <c r="K258" s="269">
        <v>2014</v>
      </c>
      <c r="L258" s="519" t="s">
        <v>1087</v>
      </c>
      <c r="M258" s="835">
        <v>41963</v>
      </c>
      <c r="N258" s="835">
        <v>42205</v>
      </c>
      <c r="O258" s="1099" t="str">
        <f>IF(+Modificaciones!I258=0,"",VLOOKUP(E258,Modificaciones!$B$7:$I$2400,8,0))</f>
        <v/>
      </c>
      <c r="P258" s="115">
        <f>COUNTA(Modificaciones!J258,Modificaciones!L258,Modificaciones!N258,Modificaciones!P258)</f>
        <v>2</v>
      </c>
      <c r="Q258" s="116">
        <f>VLOOKUP(E258,Modificaciones!$B$7:$R$300,17,0)</f>
        <v>162106669</v>
      </c>
      <c r="R258" s="117">
        <f>COUNTA(Modificaciones!T258,Modificaciones!V258,Modificaciones!X258,Modificaciones!Z258)</f>
        <v>0</v>
      </c>
      <c r="S258" s="118" t="str">
        <f>IF(Modificaciones!AA258=0,"",VLOOKUP(E258,Modificaciones!$B$7:$AA$400,26,0))</f>
        <v/>
      </c>
      <c r="T258" s="119" t="str">
        <f>IF(Modificaciones!AB258=0,"",VLOOKUP(E258,Modificaciones!$B$7:$AB$400,27,0))</f>
        <v/>
      </c>
      <c r="U258" s="1080" t="str">
        <f>+Modificaciones!AC258</f>
        <v/>
      </c>
      <c r="V258" s="825" t="str">
        <f>+Modificaciones!AK258</f>
        <v/>
      </c>
      <c r="W258" s="825">
        <f t="shared" si="39"/>
        <v>42205</v>
      </c>
      <c r="X258" s="59">
        <f t="shared" si="35"/>
        <v>668707669</v>
      </c>
      <c r="Y258" s="151">
        <f>VLOOKUP(E258,Modificaciones!$B$7:$BE$300,56,0)</f>
        <v>665337830</v>
      </c>
      <c r="Z258" s="84">
        <f t="shared" si="36"/>
        <v>3369839</v>
      </c>
      <c r="AA258" s="283" t="s">
        <v>1094</v>
      </c>
      <c r="AB258" s="40">
        <f t="shared" si="37"/>
        <v>0.99496066942818329</v>
      </c>
      <c r="AC258" s="40">
        <f t="shared" ca="1" si="40"/>
        <v>1</v>
      </c>
      <c r="AD258" s="41">
        <f t="shared" ca="1" si="41"/>
        <v>5.0393305718167136E-3</v>
      </c>
      <c r="AE258" s="181" t="str">
        <f t="shared" ca="1" si="42"/>
        <v/>
      </c>
      <c r="AF258" s="42" t="str">
        <f t="shared" si="46"/>
        <v>NO</v>
      </c>
      <c r="AG258" s="42"/>
      <c r="AH258" s="152" t="s">
        <v>1255</v>
      </c>
      <c r="AI258" s="255" t="s">
        <v>1425</v>
      </c>
      <c r="AJ258" s="152" t="s">
        <v>1434</v>
      </c>
      <c r="AK258" s="255" t="s">
        <v>560</v>
      </c>
      <c r="AL258" s="153" t="s">
        <v>1385</v>
      </c>
      <c r="AM258" s="279" t="s">
        <v>954</v>
      </c>
      <c r="AN258" s="161" t="str">
        <f t="shared" ca="1" si="43"/>
        <v>TERMINO</v>
      </c>
      <c r="AO258" s="284" t="s">
        <v>573</v>
      </c>
      <c r="AP258" s="155" t="s">
        <v>390</v>
      </c>
      <c r="AQ258" s="819" t="str">
        <f>IFERROR(VLOOKUP(E258,'liquidaciones '!$B$2:$C$1048576,2,0),"NO")</f>
        <v>LIQUIDADO</v>
      </c>
      <c r="AR258" s="909">
        <f>IFERROR(VLOOKUP(E258,'liquidaciones '!$B$2:$I$1048576,8,0),"")</f>
        <v>0</v>
      </c>
      <c r="AS258" s="312"/>
      <c r="AT258" s="156" t="str">
        <f t="shared" ca="1" si="44"/>
        <v>NO</v>
      </c>
      <c r="AU258" s="156" t="s">
        <v>2075</v>
      </c>
      <c r="AV258" s="406"/>
      <c r="AW258" s="928"/>
      <c r="AX258" s="928"/>
      <c r="AY258" s="928"/>
    </row>
    <row r="259" spans="2:51" ht="47.25" customHeight="1" x14ac:dyDescent="0.3">
      <c r="B259" s="14">
        <v>253</v>
      </c>
      <c r="C259" s="410"/>
      <c r="D259" s="410" t="str">
        <f t="shared" si="34"/>
        <v>2014</v>
      </c>
      <c r="E259" s="120" t="s">
        <v>1473</v>
      </c>
      <c r="F259" s="834" t="s">
        <v>64</v>
      </c>
      <c r="G259" s="998">
        <v>830143378</v>
      </c>
      <c r="H259" s="828" t="s">
        <v>1474</v>
      </c>
      <c r="I259" s="187">
        <v>401058400</v>
      </c>
      <c r="J259" s="821" t="s">
        <v>5704</v>
      </c>
      <c r="K259" s="269">
        <v>2014</v>
      </c>
      <c r="L259" s="519" t="s">
        <v>1087</v>
      </c>
      <c r="M259" s="835">
        <v>42031</v>
      </c>
      <c r="N259" s="835">
        <v>42274</v>
      </c>
      <c r="O259" s="1099" t="str">
        <f>IF(+Modificaciones!I259=0,"",VLOOKUP(E259,Modificaciones!$B$7:$I$2400,8,0))</f>
        <v/>
      </c>
      <c r="P259" s="115">
        <f>COUNTA(Modificaciones!J259,Modificaciones!L259,Modificaciones!N259,Modificaciones!P259)</f>
        <v>0</v>
      </c>
      <c r="Q259" s="116">
        <f>VLOOKUP(E259,Modificaciones!$B$7:$R$300,17,0)</f>
        <v>0</v>
      </c>
      <c r="R259" s="117">
        <f>COUNTA(Modificaciones!T259,Modificaciones!V259,Modificaciones!X259,Modificaciones!Z259)</f>
        <v>1</v>
      </c>
      <c r="S259" s="118" t="str">
        <f>IF(Modificaciones!AA259=0,"",VLOOKUP(E259,Modificaciones!$B$7:$AA$400,26,0))</f>
        <v>2 meses</v>
      </c>
      <c r="T259" s="119">
        <f>IF(Modificaciones!AB259=0,"",VLOOKUP(E259,Modificaciones!$B$7:$AB$400,27,0))</f>
        <v>42335</v>
      </c>
      <c r="U259" s="1080" t="str">
        <f>+Modificaciones!AC259</f>
        <v/>
      </c>
      <c r="V259" s="825" t="str">
        <f>+Modificaciones!AK259</f>
        <v/>
      </c>
      <c r="W259" s="825">
        <f t="shared" si="39"/>
        <v>42335</v>
      </c>
      <c r="X259" s="59">
        <f t="shared" si="35"/>
        <v>401058400</v>
      </c>
      <c r="Y259" s="151">
        <f>VLOOKUP(E259,Modificaciones!$B$7:$BE$300,56,0)</f>
        <v>401058400</v>
      </c>
      <c r="Z259" s="84">
        <f t="shared" si="36"/>
        <v>0</v>
      </c>
      <c r="AA259" s="283" t="s">
        <v>1475</v>
      </c>
      <c r="AB259" s="40">
        <f t="shared" si="37"/>
        <v>1</v>
      </c>
      <c r="AC259" s="40">
        <f t="shared" ca="1" si="40"/>
        <v>1</v>
      </c>
      <c r="AD259" s="41">
        <f t="shared" ca="1" si="41"/>
        <v>0</v>
      </c>
      <c r="AE259" s="181" t="str">
        <f t="shared" ca="1" si="42"/>
        <v/>
      </c>
      <c r="AF259" s="42" t="str">
        <f t="shared" si="46"/>
        <v>SI</v>
      </c>
      <c r="AG259" s="42"/>
      <c r="AH259" s="152" t="s">
        <v>1255</v>
      </c>
      <c r="AI259" s="255" t="s">
        <v>1282</v>
      </c>
      <c r="AJ259" s="152" t="s">
        <v>1434</v>
      </c>
      <c r="AK259" s="255" t="s">
        <v>560</v>
      </c>
      <c r="AL259" s="279" t="s">
        <v>1385</v>
      </c>
      <c r="AM259" s="279" t="s">
        <v>954</v>
      </c>
      <c r="AN259" s="161" t="str">
        <f t="shared" ca="1" si="43"/>
        <v>TERMINO</v>
      </c>
      <c r="AO259" s="284" t="s">
        <v>573</v>
      </c>
      <c r="AP259" s="155" t="s">
        <v>390</v>
      </c>
      <c r="AQ259" s="819" t="str">
        <f>IFERROR(VLOOKUP(E259,'liquidaciones '!$B$2:$C$1048576,2,0),"NO")</f>
        <v>LIQUIDADO</v>
      </c>
      <c r="AR259" s="909" t="str">
        <f>IFERROR(VLOOKUP(E259,'liquidaciones '!$B$2:$I$1048576,8,0),"")</f>
        <v>LEIDY RIVERA</v>
      </c>
      <c r="AS259" s="312"/>
      <c r="AT259" s="156" t="str">
        <f t="shared" ca="1" si="44"/>
        <v>NO</v>
      </c>
      <c r="AU259" s="156" t="s">
        <v>2075</v>
      </c>
      <c r="AV259" s="406"/>
      <c r="AW259" s="928"/>
      <c r="AX259" s="928"/>
      <c r="AY259" s="928"/>
    </row>
    <row r="260" spans="2:51" ht="47.25" customHeight="1" x14ac:dyDescent="0.3">
      <c r="B260" s="14">
        <v>254</v>
      </c>
      <c r="C260" s="410"/>
      <c r="D260" s="410" t="str">
        <f t="shared" si="34"/>
        <v>2014</v>
      </c>
      <c r="E260" s="120" t="s">
        <v>1476</v>
      </c>
      <c r="F260" s="834" t="s">
        <v>3</v>
      </c>
      <c r="G260" s="1046">
        <v>830095213</v>
      </c>
      <c r="H260" s="828" t="s">
        <v>402</v>
      </c>
      <c r="I260" s="187">
        <v>171253333</v>
      </c>
      <c r="J260" s="121" t="s">
        <v>1087</v>
      </c>
      <c r="K260" s="269">
        <v>2014</v>
      </c>
      <c r="L260" s="519" t="s">
        <v>1087</v>
      </c>
      <c r="M260" s="835">
        <v>41961</v>
      </c>
      <c r="N260" s="835">
        <v>42063</v>
      </c>
      <c r="O260" s="1099" t="str">
        <f>IF(+Modificaciones!I260=0,"",VLOOKUP(E260,Modificaciones!$B$7:$I$2400,8,0))</f>
        <v/>
      </c>
      <c r="P260" s="115">
        <f>COUNTA(Modificaciones!J260,Modificaciones!L260,Modificaciones!N260,Modificaciones!P260)</f>
        <v>0</v>
      </c>
      <c r="Q260" s="116">
        <f>VLOOKUP(E260,Modificaciones!$B$7:$R$300,17,0)</f>
        <v>0</v>
      </c>
      <c r="R260" s="117">
        <f>COUNTA(Modificaciones!T260,Modificaciones!V260,Modificaciones!X260,Modificaciones!Z260)</f>
        <v>0</v>
      </c>
      <c r="S260" s="118" t="str">
        <f>IF(Modificaciones!AA260=0,"",VLOOKUP(E260,Modificaciones!$B$7:$AA$400,26,0))</f>
        <v/>
      </c>
      <c r="T260" s="119" t="str">
        <f>IF(Modificaciones!AB260=0,"",VLOOKUP(E260,Modificaciones!$B$7:$AB$400,27,0))</f>
        <v/>
      </c>
      <c r="U260" s="1080" t="str">
        <f>+Modificaciones!AC260</f>
        <v/>
      </c>
      <c r="V260" s="825" t="str">
        <f>+Modificaciones!AK260</f>
        <v/>
      </c>
      <c r="W260" s="825">
        <f t="shared" si="39"/>
        <v>42063</v>
      </c>
      <c r="X260" s="59">
        <f t="shared" si="35"/>
        <v>171253333</v>
      </c>
      <c r="Y260" s="151">
        <f>VLOOKUP(E260,Modificaciones!$B$7:$BE$300,56,0)</f>
        <v>123537109</v>
      </c>
      <c r="Z260" s="84">
        <f t="shared" si="36"/>
        <v>47716224</v>
      </c>
      <c r="AA260" s="283" t="s">
        <v>1477</v>
      </c>
      <c r="AB260" s="40">
        <f t="shared" si="37"/>
        <v>0.72137053823063402</v>
      </c>
      <c r="AC260" s="40">
        <f t="shared" ca="1" si="40"/>
        <v>1</v>
      </c>
      <c r="AD260" s="41">
        <f t="shared" ca="1" si="41"/>
        <v>0.27862946176936598</v>
      </c>
      <c r="AE260" s="181" t="str">
        <f t="shared" ca="1" si="42"/>
        <v/>
      </c>
      <c r="AF260" s="42" t="str">
        <f t="shared" si="46"/>
        <v>NO</v>
      </c>
      <c r="AG260" s="42"/>
      <c r="AH260" s="152" t="s">
        <v>1255</v>
      </c>
      <c r="AI260" s="255" t="s">
        <v>1138</v>
      </c>
      <c r="AJ260" s="152" t="s">
        <v>1441</v>
      </c>
      <c r="AK260" s="255" t="s">
        <v>560</v>
      </c>
      <c r="AL260" s="279" t="s">
        <v>1318</v>
      </c>
      <c r="AM260" s="279" t="s">
        <v>954</v>
      </c>
      <c r="AN260" s="161" t="str">
        <f t="shared" ca="1" si="43"/>
        <v>TERMINO</v>
      </c>
      <c r="AO260" s="284"/>
      <c r="AP260" s="155"/>
      <c r="AQ260" s="819" t="str">
        <f>IFERROR(VLOOKUP(E260,'liquidaciones '!$B$2:$C$1048576,2,0),"NO")</f>
        <v>EN TRÁMITE</v>
      </c>
      <c r="AR260" s="909" t="str">
        <f>IFERROR(VLOOKUP(E260,'liquidaciones '!$B$2:$I$1048576,8,0),"")</f>
        <v>JULIETH ANGARITA</v>
      </c>
      <c r="AS260" s="312"/>
      <c r="AT260" s="156" t="str">
        <f t="shared" ca="1" si="44"/>
        <v>NO</v>
      </c>
      <c r="AU260" s="156" t="s">
        <v>1570</v>
      </c>
      <c r="AV260" s="406"/>
      <c r="AW260" s="928"/>
      <c r="AX260" s="928"/>
      <c r="AY260" s="928"/>
    </row>
    <row r="261" spans="2:51" ht="47.25" customHeight="1" x14ac:dyDescent="0.3">
      <c r="B261" s="14">
        <v>255</v>
      </c>
      <c r="C261" s="410"/>
      <c r="D261" s="410" t="str">
        <f t="shared" si="34"/>
        <v>2014</v>
      </c>
      <c r="E261" s="120" t="s">
        <v>1484</v>
      </c>
      <c r="F261" s="834" t="s">
        <v>1595</v>
      </c>
      <c r="G261" s="1046">
        <v>79106019</v>
      </c>
      <c r="H261" s="828" t="s">
        <v>1485</v>
      </c>
      <c r="I261" s="187">
        <v>12700000</v>
      </c>
      <c r="J261" s="821" t="s">
        <v>4302</v>
      </c>
      <c r="K261" s="269">
        <v>2014</v>
      </c>
      <c r="L261" s="519" t="s">
        <v>1087</v>
      </c>
      <c r="M261" s="835">
        <v>41982</v>
      </c>
      <c r="N261" s="835">
        <v>42044</v>
      </c>
      <c r="O261" s="1099" t="str">
        <f>IF(+Modificaciones!I261=0,"",VLOOKUP(E261,Modificaciones!$B$7:$I$2400,8,0))</f>
        <v/>
      </c>
      <c r="P261" s="115">
        <f>COUNTA(Modificaciones!J261,Modificaciones!L261,Modificaciones!N261,Modificaciones!P261)</f>
        <v>0</v>
      </c>
      <c r="Q261" s="116">
        <f>VLOOKUP(E261,Modificaciones!$B$7:$R$300,17,0)</f>
        <v>0</v>
      </c>
      <c r="R261" s="117">
        <f>COUNTA(Modificaciones!T261,Modificaciones!V261,Modificaciones!X261,Modificaciones!Z261)</f>
        <v>0</v>
      </c>
      <c r="S261" s="118" t="str">
        <f>IF(Modificaciones!AA261=0,"",VLOOKUP(E261,Modificaciones!$B$7:$AA$400,26,0))</f>
        <v/>
      </c>
      <c r="T261" s="119" t="str">
        <f>IF(Modificaciones!AB261=0,"",VLOOKUP(E261,Modificaciones!$B$7:$AB$400,27,0))</f>
        <v/>
      </c>
      <c r="U261" s="1080" t="str">
        <f>+Modificaciones!AC261</f>
        <v/>
      </c>
      <c r="V261" s="825" t="str">
        <f>+Modificaciones!AK261</f>
        <v/>
      </c>
      <c r="W261" s="825">
        <f t="shared" si="39"/>
        <v>42044</v>
      </c>
      <c r="X261" s="59">
        <f t="shared" si="35"/>
        <v>12700000</v>
      </c>
      <c r="Y261" s="151">
        <f>VLOOKUP(E261,Modificaciones!$B$7:$BE$300,56,0)</f>
        <v>12458400</v>
      </c>
      <c r="Z261" s="84">
        <f t="shared" si="36"/>
        <v>241600</v>
      </c>
      <c r="AA261" s="283" t="s">
        <v>1486</v>
      </c>
      <c r="AB261" s="40">
        <f t="shared" si="37"/>
        <v>0.98097637795275594</v>
      </c>
      <c r="AC261" s="40">
        <f t="shared" ca="1" si="40"/>
        <v>1</v>
      </c>
      <c r="AD261" s="41">
        <f t="shared" ca="1" si="41"/>
        <v>1.902362204724406E-2</v>
      </c>
      <c r="AE261" s="181" t="str">
        <f t="shared" ca="1" si="42"/>
        <v/>
      </c>
      <c r="AF261" s="42" t="str">
        <f t="shared" si="46"/>
        <v>NO</v>
      </c>
      <c r="AG261" s="42"/>
      <c r="AH261" s="152" t="s">
        <v>1255</v>
      </c>
      <c r="AI261" s="255" t="s">
        <v>1487</v>
      </c>
      <c r="AJ261" s="152" t="s">
        <v>1441</v>
      </c>
      <c r="AK261" s="255" t="s">
        <v>560</v>
      </c>
      <c r="AL261" s="279" t="s">
        <v>1379</v>
      </c>
      <c r="AM261" s="279" t="s">
        <v>954</v>
      </c>
      <c r="AN261" s="161" t="str">
        <f t="shared" ca="1" si="43"/>
        <v>TERMINO</v>
      </c>
      <c r="AO261" s="284" t="s">
        <v>576</v>
      </c>
      <c r="AP261" s="155" t="s">
        <v>390</v>
      </c>
      <c r="AQ261" s="819" t="str">
        <f>IFERROR(VLOOKUP(E261,'liquidaciones '!$B$2:$C$1048576,2,0),"NO")</f>
        <v>LIQUIDADO</v>
      </c>
      <c r="AR261" s="909">
        <f>IFERROR(VLOOKUP(E261,'liquidaciones '!$B$2:$I$1048576,8,0),"")</f>
        <v>0</v>
      </c>
      <c r="AS261" s="312">
        <v>42272</v>
      </c>
      <c r="AT261" s="156" t="str">
        <f t="shared" ca="1" si="44"/>
        <v>NO</v>
      </c>
      <c r="AU261" s="156" t="s">
        <v>1055</v>
      </c>
      <c r="AV261" s="406"/>
      <c r="AW261" s="928"/>
      <c r="AX261" s="928"/>
      <c r="AY261" s="928"/>
    </row>
    <row r="262" spans="2:51" ht="47.25" customHeight="1" x14ac:dyDescent="0.3">
      <c r="B262" s="14">
        <v>256</v>
      </c>
      <c r="C262" s="410"/>
      <c r="D262" s="410" t="str">
        <f t="shared" si="34"/>
        <v>2014</v>
      </c>
      <c r="E262" s="120" t="s">
        <v>1480</v>
      </c>
      <c r="F262" s="834" t="s">
        <v>1481</v>
      </c>
      <c r="G262" s="998">
        <v>860007336</v>
      </c>
      <c r="H262" s="828" t="s">
        <v>1482</v>
      </c>
      <c r="I262" s="187">
        <v>39424000</v>
      </c>
      <c r="J262" s="821" t="s">
        <v>5264</v>
      </c>
      <c r="K262" s="269">
        <v>2014</v>
      </c>
      <c r="L262" s="519" t="s">
        <v>1087</v>
      </c>
      <c r="M262" s="835">
        <v>41982</v>
      </c>
      <c r="N262" s="835">
        <v>42013</v>
      </c>
      <c r="O262" s="1099" t="str">
        <f>IF(+Modificaciones!I262=0,"",VLOOKUP(E262,Modificaciones!$B$7:$I$2400,8,0))</f>
        <v/>
      </c>
      <c r="P262" s="115">
        <f>COUNTA(Modificaciones!J262,Modificaciones!L262,Modificaciones!N262,Modificaciones!P262)</f>
        <v>0</v>
      </c>
      <c r="Q262" s="116">
        <f>VLOOKUP(E262,Modificaciones!$B$7:$R$300,17,0)</f>
        <v>0</v>
      </c>
      <c r="R262" s="117">
        <f>COUNTA(Modificaciones!T262,Modificaciones!V262,Modificaciones!X262,Modificaciones!Z262)</f>
        <v>0</v>
      </c>
      <c r="S262" s="118" t="str">
        <f>IF(Modificaciones!AA262=0,"",VLOOKUP(E262,Modificaciones!$B$7:$AA$400,26,0))</f>
        <v/>
      </c>
      <c r="T262" s="119" t="str">
        <f>IF(Modificaciones!AB262=0,"",VLOOKUP(E262,Modificaciones!$B$7:$AB$400,27,0))</f>
        <v/>
      </c>
      <c r="U262" s="1080" t="str">
        <f>+Modificaciones!AC262</f>
        <v/>
      </c>
      <c r="V262" s="825" t="str">
        <f>+Modificaciones!AK262</f>
        <v/>
      </c>
      <c r="W262" s="825">
        <f t="shared" si="39"/>
        <v>42013</v>
      </c>
      <c r="X262" s="59">
        <f t="shared" si="35"/>
        <v>39424000</v>
      </c>
      <c r="Y262" s="151">
        <f>VLOOKUP(E262,Modificaciones!$B$7:$BE$300,56,0)</f>
        <v>39424000</v>
      </c>
      <c r="Z262" s="84">
        <f t="shared" si="36"/>
        <v>0</v>
      </c>
      <c r="AA262" s="283" t="s">
        <v>1894</v>
      </c>
      <c r="AB262" s="40">
        <f t="shared" si="37"/>
        <v>1</v>
      </c>
      <c r="AC262" s="40">
        <f t="shared" ca="1" si="40"/>
        <v>1</v>
      </c>
      <c r="AD262" s="41">
        <f t="shared" ca="1" si="41"/>
        <v>0</v>
      </c>
      <c r="AE262" s="181" t="str">
        <f t="shared" ca="1" si="42"/>
        <v/>
      </c>
      <c r="AF262" s="42" t="str">
        <f t="shared" si="46"/>
        <v>SI</v>
      </c>
      <c r="AG262" s="42"/>
      <c r="AH262" s="152" t="s">
        <v>1255</v>
      </c>
      <c r="AI262" s="255" t="s">
        <v>1483</v>
      </c>
      <c r="AJ262" s="152" t="s">
        <v>1434</v>
      </c>
      <c r="AK262" s="255" t="s">
        <v>560</v>
      </c>
      <c r="AL262" s="279" t="s">
        <v>1385</v>
      </c>
      <c r="AM262" s="279" t="s">
        <v>954</v>
      </c>
      <c r="AN262" s="161" t="str">
        <f t="shared" ca="1" si="43"/>
        <v>TERMINO</v>
      </c>
      <c r="AO262" s="284" t="s">
        <v>574</v>
      </c>
      <c r="AP262" s="155" t="s">
        <v>391</v>
      </c>
      <c r="AQ262" s="819" t="str">
        <f>IFERROR(VLOOKUP(E262,'liquidaciones '!$B$2:$C$1048576,2,0),"NO")</f>
        <v>LIQUIDADO</v>
      </c>
      <c r="AR262" s="909">
        <f>IFERROR(VLOOKUP(E262,'liquidaciones '!$B$2:$I$1048576,8,0),"")</f>
        <v>0</v>
      </c>
      <c r="AS262" s="312">
        <v>42278</v>
      </c>
      <c r="AT262" s="156" t="str">
        <f t="shared" ca="1" si="44"/>
        <v>NO</v>
      </c>
      <c r="AU262" s="156" t="s">
        <v>1570</v>
      </c>
      <c r="AV262" s="406"/>
      <c r="AW262" s="928"/>
      <c r="AX262" s="928"/>
      <c r="AY262" s="928"/>
    </row>
    <row r="263" spans="2:51" ht="47.25" customHeight="1" x14ac:dyDescent="0.3">
      <c r="B263" s="14">
        <v>257</v>
      </c>
      <c r="C263" s="410"/>
      <c r="D263" s="410" t="str">
        <f t="shared" ref="D263:D326" si="47">K263&amp;C263</f>
        <v>2014</v>
      </c>
      <c r="E263" s="120" t="s">
        <v>1496</v>
      </c>
      <c r="F263" s="120" t="s">
        <v>418</v>
      </c>
      <c r="G263" s="1046">
        <v>891501783</v>
      </c>
      <c r="H263" s="828" t="s">
        <v>1497</v>
      </c>
      <c r="I263" s="187">
        <v>187940000</v>
      </c>
      <c r="J263" s="821" t="s">
        <v>5703</v>
      </c>
      <c r="K263" s="269">
        <v>2014</v>
      </c>
      <c r="L263" s="519" t="s">
        <v>1087</v>
      </c>
      <c r="M263" s="835">
        <v>42023</v>
      </c>
      <c r="N263" s="835">
        <v>42102</v>
      </c>
      <c r="O263" s="1099" t="str">
        <f>IF(+Modificaciones!I263=0,"",VLOOKUP(E263,Modificaciones!$B$7:$I$2400,8,0))</f>
        <v/>
      </c>
      <c r="P263" s="115">
        <f>COUNTA(Modificaciones!J263,Modificaciones!L263,Modificaciones!N263,Modificaciones!P263)</f>
        <v>0</v>
      </c>
      <c r="Q263" s="116">
        <f>VLOOKUP(E263,Modificaciones!$B$7:$R$300,17,0)</f>
        <v>0</v>
      </c>
      <c r="R263" s="117">
        <f>COUNTA(Modificaciones!T263,Modificaciones!V263,Modificaciones!X263,Modificaciones!Z263)</f>
        <v>0</v>
      </c>
      <c r="S263" s="118" t="str">
        <f>IF(Modificaciones!AA263=0,"",VLOOKUP(E263,Modificaciones!$B$7:$AA$400,26,0))</f>
        <v/>
      </c>
      <c r="T263" s="119" t="str">
        <f>IF(Modificaciones!AB263=0,"",VLOOKUP(E263,Modificaciones!$B$7:$AB$400,27,0))</f>
        <v/>
      </c>
      <c r="U263" s="1080" t="str">
        <f>+Modificaciones!AC263</f>
        <v/>
      </c>
      <c r="V263" s="825" t="str">
        <f>+Modificaciones!AK263</f>
        <v/>
      </c>
      <c r="W263" s="825">
        <f t="shared" si="39"/>
        <v>42102</v>
      </c>
      <c r="X263" s="59">
        <f t="shared" ref="X263:X326" si="48">I263+Q263</f>
        <v>187940000</v>
      </c>
      <c r="Y263" s="151">
        <f>VLOOKUP(E263,Modificaciones!$B$7:$BE$300,56,0)</f>
        <v>187940000</v>
      </c>
      <c r="Z263" s="84">
        <f t="shared" ref="Z263:Z326" si="49">X263-Y263</f>
        <v>0</v>
      </c>
      <c r="AA263" s="283" t="s">
        <v>1106</v>
      </c>
      <c r="AB263" s="40">
        <f t="shared" ref="AB263:AB326" si="50">(Y263*100%)/X263</f>
        <v>1</v>
      </c>
      <c r="AC263" s="40">
        <f t="shared" ca="1" si="40"/>
        <v>1</v>
      </c>
      <c r="AD263" s="41">
        <f t="shared" ca="1" si="41"/>
        <v>0</v>
      </c>
      <c r="AE263" s="181" t="str">
        <f t="shared" ca="1" si="42"/>
        <v/>
      </c>
      <c r="AF263" s="42" t="str">
        <f t="shared" si="46"/>
        <v>SI</v>
      </c>
      <c r="AG263" s="42"/>
      <c r="AH263" s="152" t="s">
        <v>1256</v>
      </c>
      <c r="AI263" s="255" t="s">
        <v>1498</v>
      </c>
      <c r="AJ263" s="152" t="s">
        <v>1438</v>
      </c>
      <c r="AK263" s="255" t="s">
        <v>560</v>
      </c>
      <c r="AL263" s="279" t="s">
        <v>1508</v>
      </c>
      <c r="AM263" s="279" t="s">
        <v>954</v>
      </c>
      <c r="AN263" s="161" t="str">
        <f t="shared" ca="1" si="43"/>
        <v>TERMINO</v>
      </c>
      <c r="AO263" s="284" t="s">
        <v>575</v>
      </c>
      <c r="AP263" s="155" t="s">
        <v>390</v>
      </c>
      <c r="AQ263" s="819" t="str">
        <f>IFERROR(VLOOKUP(E263,'liquidaciones '!$B$2:$C$1048576,2,0),"NO")</f>
        <v>LIQUIDADO</v>
      </c>
      <c r="AR263" s="909">
        <f>IFERROR(VLOOKUP(E263,'liquidaciones '!$B$2:$I$1048576,8,0),"")</f>
        <v>0</v>
      </c>
      <c r="AS263" s="312"/>
      <c r="AT263" s="156" t="str">
        <f t="shared" ca="1" si="44"/>
        <v>NO</v>
      </c>
      <c r="AU263" s="156" t="s">
        <v>1991</v>
      </c>
      <c r="AV263" s="406"/>
      <c r="AW263" s="928"/>
      <c r="AX263" s="928"/>
      <c r="AY263" s="928"/>
    </row>
    <row r="264" spans="2:51" ht="47.25" customHeight="1" x14ac:dyDescent="0.3">
      <c r="B264" s="14">
        <v>258</v>
      </c>
      <c r="C264" s="410"/>
      <c r="D264" s="410" t="str">
        <f t="shared" si="47"/>
        <v>2014</v>
      </c>
      <c r="E264" s="120" t="s">
        <v>1490</v>
      </c>
      <c r="F264" s="834" t="s">
        <v>1491</v>
      </c>
      <c r="G264" s="998">
        <v>800085526</v>
      </c>
      <c r="H264" s="828" t="s">
        <v>1492</v>
      </c>
      <c r="I264" s="187">
        <v>300000000</v>
      </c>
      <c r="J264" s="821" t="s">
        <v>5705</v>
      </c>
      <c r="K264" s="269">
        <v>2014</v>
      </c>
      <c r="L264" s="519" t="s">
        <v>1087</v>
      </c>
      <c r="M264" s="835">
        <v>41989</v>
      </c>
      <c r="N264" s="835">
        <v>42140</v>
      </c>
      <c r="O264" s="1099" t="str">
        <f>IF(+Modificaciones!I264=0,"",VLOOKUP(E264,Modificaciones!$B$7:$I$2400,8,0))</f>
        <v/>
      </c>
      <c r="P264" s="115">
        <f>COUNTA(Modificaciones!J264,Modificaciones!L264,Modificaciones!N264,Modificaciones!P264)</f>
        <v>0</v>
      </c>
      <c r="Q264" s="116">
        <f>VLOOKUP(E264,Modificaciones!$B$7:$R$300,17,0)</f>
        <v>0</v>
      </c>
      <c r="R264" s="117">
        <f>COUNTA(Modificaciones!T264,Modificaciones!V264,Modificaciones!X264,Modificaciones!Z264)</f>
        <v>0</v>
      </c>
      <c r="S264" s="118" t="str">
        <f>IF(Modificaciones!AA264=0,"",VLOOKUP(E264,Modificaciones!$B$7:$AA$400,26,0))</f>
        <v/>
      </c>
      <c r="T264" s="119" t="str">
        <f>IF(Modificaciones!AB264=0,"",VLOOKUP(E264,Modificaciones!$B$7:$AB$400,27,0))</f>
        <v/>
      </c>
      <c r="U264" s="1080" t="str">
        <f>+Modificaciones!AC264</f>
        <v/>
      </c>
      <c r="V264" s="825" t="str">
        <f>+Modificaciones!AK264</f>
        <v/>
      </c>
      <c r="W264" s="825">
        <f t="shared" ref="W264:W327" si="51">MAX(N264,O264,T264,V264)</f>
        <v>42140</v>
      </c>
      <c r="X264" s="59">
        <f t="shared" si="48"/>
        <v>300000000</v>
      </c>
      <c r="Y264" s="151">
        <f>VLOOKUP(E264,Modificaciones!$B$7:$BE$300,56,0)</f>
        <v>238626484</v>
      </c>
      <c r="Z264" s="84">
        <f t="shared" si="49"/>
        <v>61373516</v>
      </c>
      <c r="AA264" s="283" t="s">
        <v>1094</v>
      </c>
      <c r="AB264" s="40">
        <f t="shared" si="50"/>
        <v>0.79542161333333339</v>
      </c>
      <c r="AC264" s="40">
        <f t="shared" ref="AC264:AC327" ca="1" si="52">IF((($F$3-M264)*100%/(W264-M264))&gt;100%,100%,(($F$3-M264)*100%/(W264-M264)))</f>
        <v>1</v>
      </c>
      <c r="AD264" s="41">
        <f t="shared" ref="AD264:AD327" ca="1" si="53">AC264-AB264</f>
        <v>0.20457838666666661</v>
      </c>
      <c r="AE264" s="181" t="str">
        <f t="shared" ref="AE264:AE327" ca="1" si="54">IF(AC264&lt;100%,W264-$F$3,"")</f>
        <v/>
      </c>
      <c r="AF264" s="42" t="str">
        <f t="shared" si="46"/>
        <v>NO</v>
      </c>
      <c r="AG264" s="42"/>
      <c r="AH264" s="152" t="s">
        <v>1255</v>
      </c>
      <c r="AI264" s="255" t="s">
        <v>1126</v>
      </c>
      <c r="AJ264" s="152"/>
      <c r="AK264" s="255" t="s">
        <v>560</v>
      </c>
      <c r="AL264" s="279"/>
      <c r="AM264" s="279" t="s">
        <v>954</v>
      </c>
      <c r="AN264" s="161" t="str">
        <f t="shared" ref="AN264:AN327" ca="1" si="55">IF(W264&gt;=$F$3,"EN EJECUCIÓN","TERMINO")</f>
        <v>TERMINO</v>
      </c>
      <c r="AO264" s="284" t="s">
        <v>575</v>
      </c>
      <c r="AP264" s="155" t="s">
        <v>390</v>
      </c>
      <c r="AQ264" s="819" t="str">
        <f>IFERROR(VLOOKUP(E264,'liquidaciones '!$B$2:$C$1048576,2,0),"NO")</f>
        <v>LIQUIDADO</v>
      </c>
      <c r="AR264" s="909">
        <f>IFERROR(VLOOKUP(E264,'liquidaciones '!$B$2:$I$1048576,8,0),"")</f>
        <v>0</v>
      </c>
      <c r="AS264" s="312"/>
      <c r="AT264" s="156" t="str">
        <f t="shared" ref="AT264:AT327" ca="1" si="56">IF((TODAY()-W264&lt;900),"SI","NO")</f>
        <v>NO</v>
      </c>
      <c r="AU264" s="156" t="s">
        <v>2075</v>
      </c>
      <c r="AV264" s="406"/>
      <c r="AW264" s="928"/>
      <c r="AX264" s="928"/>
      <c r="AY264" s="928"/>
    </row>
    <row r="265" spans="2:51" ht="51" x14ac:dyDescent="0.3">
      <c r="B265" s="14">
        <v>259</v>
      </c>
      <c r="C265" s="410"/>
      <c r="D265" s="410" t="str">
        <f t="shared" si="47"/>
        <v>2014</v>
      </c>
      <c r="E265" s="120" t="s">
        <v>1493</v>
      </c>
      <c r="F265" s="834" t="s">
        <v>1419</v>
      </c>
      <c r="G265" s="998">
        <v>830087030</v>
      </c>
      <c r="H265" s="828" t="s">
        <v>1494</v>
      </c>
      <c r="I265" s="187">
        <v>29997466</v>
      </c>
      <c r="J265" s="121" t="s">
        <v>1087</v>
      </c>
      <c r="K265" s="269">
        <v>2014</v>
      </c>
      <c r="L265" s="519" t="s">
        <v>1087</v>
      </c>
      <c r="M265" s="835">
        <v>41988</v>
      </c>
      <c r="N265" s="835">
        <v>42109</v>
      </c>
      <c r="O265" s="1099" t="str">
        <f>IF(+Modificaciones!I265=0,"",VLOOKUP(E265,Modificaciones!$B$7:$I$2400,8,0))</f>
        <v/>
      </c>
      <c r="P265" s="115">
        <f>COUNTA(Modificaciones!J265,Modificaciones!L265,Modificaciones!N265,Modificaciones!P265)</f>
        <v>0</v>
      </c>
      <c r="Q265" s="116">
        <f>VLOOKUP(E265,Modificaciones!$B$7:$R$300,17,0)</f>
        <v>0</v>
      </c>
      <c r="R265" s="117">
        <f>COUNTA(Modificaciones!T265,Modificaciones!V265,Modificaciones!X265,Modificaciones!Z265)</f>
        <v>0</v>
      </c>
      <c r="S265" s="118" t="str">
        <f>IF(Modificaciones!AA265=0,"",VLOOKUP(E265,Modificaciones!$B$7:$AA$400,26,0))</f>
        <v/>
      </c>
      <c r="T265" s="119" t="str">
        <f>IF(Modificaciones!AB265=0,"",VLOOKUP(E265,Modificaciones!$B$7:$AB$400,27,0))</f>
        <v/>
      </c>
      <c r="U265" s="1080" t="str">
        <f>+Modificaciones!AC265</f>
        <v/>
      </c>
      <c r="V265" s="825" t="str">
        <f>+Modificaciones!AK265</f>
        <v/>
      </c>
      <c r="W265" s="825">
        <f t="shared" si="51"/>
        <v>42109</v>
      </c>
      <c r="X265" s="59">
        <f t="shared" si="48"/>
        <v>29997466</v>
      </c>
      <c r="Y265" s="151">
        <f>VLOOKUP(E265,Modificaciones!$B$7:$BE$300,56,0)</f>
        <v>29997466</v>
      </c>
      <c r="Z265" s="84">
        <f t="shared" si="49"/>
        <v>0</v>
      </c>
      <c r="AA265" s="283" t="s">
        <v>1495</v>
      </c>
      <c r="AB265" s="40">
        <f t="shared" si="50"/>
        <v>1</v>
      </c>
      <c r="AC265" s="40">
        <f t="shared" ca="1" si="52"/>
        <v>1</v>
      </c>
      <c r="AD265" s="41">
        <f t="shared" ca="1" si="53"/>
        <v>0</v>
      </c>
      <c r="AE265" s="181" t="str">
        <f t="shared" ca="1" si="54"/>
        <v/>
      </c>
      <c r="AF265" s="42" t="str">
        <f t="shared" si="46"/>
        <v>SI</v>
      </c>
      <c r="AG265" s="42"/>
      <c r="AH265" s="152" t="s">
        <v>1255</v>
      </c>
      <c r="AI265" s="255" t="s">
        <v>1129</v>
      </c>
      <c r="AJ265" s="152" t="s">
        <v>1441</v>
      </c>
      <c r="AK265" s="255" t="s">
        <v>560</v>
      </c>
      <c r="AL265" s="279" t="s">
        <v>1378</v>
      </c>
      <c r="AM265" s="279" t="s">
        <v>954</v>
      </c>
      <c r="AN265" s="161" t="str">
        <f t="shared" ca="1" si="55"/>
        <v>TERMINO</v>
      </c>
      <c r="AO265" s="284" t="s">
        <v>574</v>
      </c>
      <c r="AP265" s="155" t="s">
        <v>390</v>
      </c>
      <c r="AQ265" s="819" t="str">
        <f>IFERROR(VLOOKUP(E265,'liquidaciones '!$B$2:$C$1048576,2,0),"NO")</f>
        <v>EN TRÁMITE</v>
      </c>
      <c r="AR265" s="909">
        <f>IFERROR(VLOOKUP(E265,'liquidaciones '!$B$2:$I$1048576,8,0),"")</f>
        <v>0</v>
      </c>
      <c r="AS265" s="312"/>
      <c r="AT265" s="156" t="str">
        <f t="shared" ca="1" si="56"/>
        <v>NO</v>
      </c>
      <c r="AU265" s="156" t="s">
        <v>1509</v>
      </c>
      <c r="AV265" s="406"/>
      <c r="AW265" s="928"/>
      <c r="AX265" s="928"/>
      <c r="AY265" s="928"/>
    </row>
    <row r="266" spans="2:51" ht="47.25" customHeight="1" x14ac:dyDescent="0.3">
      <c r="B266" s="14">
        <v>260</v>
      </c>
      <c r="C266" s="410"/>
      <c r="D266" s="410" t="str">
        <f t="shared" si="47"/>
        <v>2014</v>
      </c>
      <c r="E266" s="120" t="s">
        <v>1500</v>
      </c>
      <c r="F266" s="834" t="s">
        <v>1501</v>
      </c>
      <c r="G266" s="998">
        <v>830117370</v>
      </c>
      <c r="H266" s="828" t="s">
        <v>1502</v>
      </c>
      <c r="I266" s="187">
        <v>1624000</v>
      </c>
      <c r="J266" s="121" t="s">
        <v>1087</v>
      </c>
      <c r="K266" s="269">
        <v>2014</v>
      </c>
      <c r="L266" s="519" t="s">
        <v>1087</v>
      </c>
      <c r="M266" s="835">
        <v>42037</v>
      </c>
      <c r="N266" s="835">
        <v>42279</v>
      </c>
      <c r="O266" s="1099" t="str">
        <f>IF(+Modificaciones!I266=0,"",VLOOKUP(E266,Modificaciones!$B$7:$I$2400,8,0))</f>
        <v/>
      </c>
      <c r="P266" s="115">
        <f>COUNTA(Modificaciones!J266,Modificaciones!L266,Modificaciones!N266,Modificaciones!P266)</f>
        <v>0</v>
      </c>
      <c r="Q266" s="116">
        <f>VLOOKUP(E266,Modificaciones!$B$7:$R$300,17,0)</f>
        <v>0</v>
      </c>
      <c r="R266" s="117">
        <f>COUNTA(Modificaciones!T266,Modificaciones!V266,Modificaciones!X266,Modificaciones!Z266)</f>
        <v>0</v>
      </c>
      <c r="S266" s="118" t="str">
        <f>IF(Modificaciones!AA266=0,"",VLOOKUP(E266,Modificaciones!$B$7:$AA$400,26,0))</f>
        <v/>
      </c>
      <c r="T266" s="119" t="str">
        <f>IF(Modificaciones!AB266=0,"",VLOOKUP(E266,Modificaciones!$B$7:$AB$400,27,0))</f>
        <v/>
      </c>
      <c r="U266" s="1080" t="str">
        <f>+Modificaciones!AC266</f>
        <v/>
      </c>
      <c r="V266" s="825" t="str">
        <f>+Modificaciones!AK266</f>
        <v/>
      </c>
      <c r="W266" s="825">
        <f t="shared" si="51"/>
        <v>42279</v>
      </c>
      <c r="X266" s="59">
        <f t="shared" si="48"/>
        <v>1624000</v>
      </c>
      <c r="Y266" s="151">
        <f>VLOOKUP(E266,Modificaciones!$B$7:$BE$300,56,0)</f>
        <v>0</v>
      </c>
      <c r="Z266" s="84">
        <f t="shared" si="49"/>
        <v>1624000</v>
      </c>
      <c r="AA266" s="283" t="s">
        <v>1504</v>
      </c>
      <c r="AB266" s="40">
        <f t="shared" si="50"/>
        <v>0</v>
      </c>
      <c r="AC266" s="40">
        <f t="shared" ca="1" si="52"/>
        <v>1</v>
      </c>
      <c r="AD266" s="41">
        <f t="shared" ca="1" si="53"/>
        <v>1</v>
      </c>
      <c r="AE266" s="181" t="str">
        <f t="shared" ca="1" si="54"/>
        <v/>
      </c>
      <c r="AF266" s="42" t="str">
        <f t="shared" si="46"/>
        <v>NO</v>
      </c>
      <c r="AG266" s="42"/>
      <c r="AH266" s="152" t="s">
        <v>1255</v>
      </c>
      <c r="AI266" s="255" t="s">
        <v>1503</v>
      </c>
      <c r="AJ266" s="152" t="s">
        <v>1441</v>
      </c>
      <c r="AK266" s="255" t="s">
        <v>560</v>
      </c>
      <c r="AL266" s="279"/>
      <c r="AM266" s="279" t="s">
        <v>954</v>
      </c>
      <c r="AN266" s="161" t="str">
        <f t="shared" ca="1" si="55"/>
        <v>TERMINO</v>
      </c>
      <c r="AO266" s="284" t="s">
        <v>576</v>
      </c>
      <c r="AP266" s="155" t="s">
        <v>390</v>
      </c>
      <c r="AQ266" s="819" t="str">
        <f>IFERROR(VLOOKUP(E266,'liquidaciones '!$B$2:$C$1048576,2,0),"NO")</f>
        <v>EN TRÁMITE</v>
      </c>
      <c r="AR266" s="909">
        <f>IFERROR(VLOOKUP(E266,'liquidaciones '!$B$2:$I$1048576,8,0),"")</f>
        <v>0</v>
      </c>
      <c r="AS266" s="312"/>
      <c r="AT266" s="156" t="str">
        <f t="shared" ca="1" si="56"/>
        <v>NO</v>
      </c>
      <c r="AU266" s="156" t="s">
        <v>1509</v>
      </c>
      <c r="AV266" s="406"/>
      <c r="AW266" s="928"/>
      <c r="AX266" s="928"/>
      <c r="AY266" s="928"/>
    </row>
    <row r="267" spans="2:51" ht="47.25" customHeight="1" x14ac:dyDescent="0.3">
      <c r="B267" s="14">
        <v>261</v>
      </c>
      <c r="C267" s="410"/>
      <c r="D267" s="410" t="str">
        <f t="shared" si="47"/>
        <v>2014</v>
      </c>
      <c r="E267" s="120" t="s">
        <v>1515</v>
      </c>
      <c r="F267" s="834" t="s">
        <v>1516</v>
      </c>
      <c r="G267" s="998">
        <v>900335488</v>
      </c>
      <c r="H267" s="828" t="s">
        <v>1517</v>
      </c>
      <c r="I267" s="187">
        <v>64621280</v>
      </c>
      <c r="J267" s="821" t="s">
        <v>4676</v>
      </c>
      <c r="K267" s="269">
        <v>2014</v>
      </c>
      <c r="L267" s="519" t="s">
        <v>1087</v>
      </c>
      <c r="M267" s="835">
        <v>42045</v>
      </c>
      <c r="N267" s="835">
        <v>42165</v>
      </c>
      <c r="O267" s="1099" t="str">
        <f>IF(+Modificaciones!I267=0,"",VLOOKUP(E267,Modificaciones!$B$7:$I$2400,8,0))</f>
        <v/>
      </c>
      <c r="P267" s="115">
        <f>COUNTA(Modificaciones!J267,Modificaciones!L267,Modificaciones!N267,Modificaciones!P267)</f>
        <v>0</v>
      </c>
      <c r="Q267" s="116">
        <f>VLOOKUP(E267,Modificaciones!$B$7:$R$300,17,0)</f>
        <v>0</v>
      </c>
      <c r="R267" s="117">
        <f>COUNTA(Modificaciones!T267,Modificaciones!V267,Modificaciones!X267,Modificaciones!Z267)</f>
        <v>3</v>
      </c>
      <c r="S267" s="118" t="str">
        <f>IF(Modificaciones!AA267=0,"",VLOOKUP(E267,Modificaciones!$B$7:$AA$400,26,0))</f>
        <v>6 meses</v>
      </c>
      <c r="T267" s="119">
        <f>IF(Modificaciones!AB267=0,"",VLOOKUP(E267,Modificaciones!$B$7:$AB$400,27,0))</f>
        <v>42348</v>
      </c>
      <c r="U267" s="1080" t="str">
        <f>+Modificaciones!AC267</f>
        <v/>
      </c>
      <c r="V267" s="825" t="str">
        <f>+Modificaciones!AK267</f>
        <v/>
      </c>
      <c r="W267" s="825">
        <f t="shared" si="51"/>
        <v>42348</v>
      </c>
      <c r="X267" s="59">
        <f t="shared" si="48"/>
        <v>64621280</v>
      </c>
      <c r="Y267" s="151">
        <f>VLOOKUP(E267,Modificaciones!$B$7:$BE$300,56,0)</f>
        <v>64621280</v>
      </c>
      <c r="Z267" s="84">
        <f t="shared" si="49"/>
        <v>0</v>
      </c>
      <c r="AA267" s="283"/>
      <c r="AB267" s="40">
        <f t="shared" si="50"/>
        <v>1</v>
      </c>
      <c r="AC267" s="40">
        <f t="shared" ca="1" si="52"/>
        <v>1</v>
      </c>
      <c r="AD267" s="41">
        <f t="shared" ca="1" si="53"/>
        <v>0</v>
      </c>
      <c r="AE267" s="181" t="str">
        <f t="shared" ca="1" si="54"/>
        <v/>
      </c>
      <c r="AF267" s="42" t="str">
        <f t="shared" si="46"/>
        <v>SI</v>
      </c>
      <c r="AG267" s="42"/>
      <c r="AH267" s="152" t="s">
        <v>1256</v>
      </c>
      <c r="AI267" s="255" t="s">
        <v>1518</v>
      </c>
      <c r="AJ267" s="152" t="s">
        <v>1430</v>
      </c>
      <c r="AK267" s="255" t="s">
        <v>560</v>
      </c>
      <c r="AL267" s="279" t="s">
        <v>2161</v>
      </c>
      <c r="AM267" s="279" t="s">
        <v>954</v>
      </c>
      <c r="AN267" s="161" t="str">
        <f t="shared" ca="1" si="55"/>
        <v>TERMINO</v>
      </c>
      <c r="AO267" s="284" t="s">
        <v>574</v>
      </c>
      <c r="AP267" s="155" t="s">
        <v>390</v>
      </c>
      <c r="AQ267" s="819" t="str">
        <f>IFERROR(VLOOKUP(E267,'liquidaciones '!$B$2:$C$1048576,2,0),"NO")</f>
        <v>LIQUIDADO</v>
      </c>
      <c r="AR267" s="909">
        <f>IFERROR(VLOOKUP(E267,'liquidaciones '!$B$2:$I$1048576,8,0),"")</f>
        <v>0</v>
      </c>
      <c r="AS267" s="312"/>
      <c r="AT267" s="156" t="str">
        <f t="shared" ca="1" si="56"/>
        <v>NO</v>
      </c>
      <c r="AU267" s="156" t="s">
        <v>2388</v>
      </c>
      <c r="AV267" s="406"/>
      <c r="AW267" s="928"/>
      <c r="AX267" s="928"/>
      <c r="AY267" s="928"/>
    </row>
    <row r="268" spans="2:51" ht="78.75" customHeight="1" x14ac:dyDescent="0.3">
      <c r="B268" s="14">
        <v>262</v>
      </c>
      <c r="C268" s="410">
        <v>305</v>
      </c>
      <c r="D268" s="410" t="str">
        <f t="shared" si="47"/>
        <v>2014305</v>
      </c>
      <c r="E268" s="120" t="s">
        <v>1519</v>
      </c>
      <c r="F268" s="834" t="s">
        <v>1520</v>
      </c>
      <c r="G268" s="998">
        <v>899999035</v>
      </c>
      <c r="H268" s="828" t="s">
        <v>1521</v>
      </c>
      <c r="I268" s="187">
        <v>300000000</v>
      </c>
      <c r="J268" s="1005" t="s">
        <v>3773</v>
      </c>
      <c r="K268" s="269">
        <v>2014</v>
      </c>
      <c r="L268" s="519">
        <v>42002</v>
      </c>
      <c r="M268" s="835">
        <v>42002</v>
      </c>
      <c r="N268" s="835">
        <v>43828</v>
      </c>
      <c r="O268" s="1099" t="str">
        <f>IF(+Modificaciones!I268=0,"",VLOOKUP(E268,Modificaciones!$B$7:$I$2400,8,0))</f>
        <v/>
      </c>
      <c r="P268" s="115">
        <f>COUNTA(Modificaciones!J268,Modificaciones!L268,Modificaciones!N268,Modificaciones!P268)</f>
        <v>3</v>
      </c>
      <c r="Q268" s="116">
        <f>VLOOKUP(E268,Modificaciones!$B$7:$R$300,17,0)</f>
        <v>1200000000</v>
      </c>
      <c r="R268" s="117">
        <f>COUNTA(Modificaciones!T268,Modificaciones!V268,Modificaciones!X268,Modificaciones!Z268)</f>
        <v>1</v>
      </c>
      <c r="S268" s="118" t="str">
        <f>IF(Modificaciones!AA268=0,"",VLOOKUP(E268,Modificaciones!$B$7:$AA$400,26,0))</f>
        <v>5 años</v>
      </c>
      <c r="T268" s="119">
        <f>IF(Modificaciones!AB268=0,"",VLOOKUP(E268,Modificaciones!$B$7:$AB$400,27,0))</f>
        <v>45654</v>
      </c>
      <c r="U268" s="1080" t="str">
        <f>+Modificaciones!AC268</f>
        <v/>
      </c>
      <c r="V268" s="825" t="str">
        <f>+Modificaciones!AK268</f>
        <v/>
      </c>
      <c r="W268" s="825">
        <f t="shared" si="51"/>
        <v>45654</v>
      </c>
      <c r="X268" s="59">
        <f t="shared" si="48"/>
        <v>1500000000</v>
      </c>
      <c r="Y268" s="151">
        <f>VLOOKUP(E268,Modificaciones!$B$7:$BE$300,56,0)</f>
        <v>1500000000</v>
      </c>
      <c r="Z268" s="84">
        <f t="shared" si="49"/>
        <v>0</v>
      </c>
      <c r="AA268" s="316" t="s">
        <v>1522</v>
      </c>
      <c r="AB268" s="40">
        <f t="shared" si="50"/>
        <v>1</v>
      </c>
      <c r="AC268" s="40">
        <f t="shared" ca="1" si="52"/>
        <v>0.60952902519167584</v>
      </c>
      <c r="AD268" s="41">
        <f t="shared" ca="1" si="53"/>
        <v>-0.39047097480832416</v>
      </c>
      <c r="AE268" s="181">
        <f t="shared" ca="1" si="54"/>
        <v>1426</v>
      </c>
      <c r="AF268" s="42" t="str">
        <f t="shared" si="46"/>
        <v>SI</v>
      </c>
      <c r="AG268" s="414" t="s">
        <v>1717</v>
      </c>
      <c r="AH268" s="152" t="s">
        <v>1255</v>
      </c>
      <c r="AI268" s="255" t="s">
        <v>1523</v>
      </c>
      <c r="AJ268" s="152" t="s">
        <v>1434</v>
      </c>
      <c r="AK268" s="255" t="s">
        <v>560</v>
      </c>
      <c r="AL268" s="279"/>
      <c r="AM268" s="279" t="s">
        <v>954</v>
      </c>
      <c r="AN268" s="161" t="str">
        <f t="shared" ca="1" si="55"/>
        <v>EN EJECUCIÓN</v>
      </c>
      <c r="AO268" s="284" t="s">
        <v>582</v>
      </c>
      <c r="AP268" s="155" t="s">
        <v>390</v>
      </c>
      <c r="AQ268" s="819" t="str">
        <f>IFERROR(VLOOKUP(E268,'liquidaciones '!$B$2:$C$1048576,2,0),"NO")</f>
        <v>NO</v>
      </c>
      <c r="AR268" s="909" t="str">
        <f>IFERROR(VLOOKUP(E268,'liquidaciones '!$B$2:$I$1048576,8,0),"")</f>
        <v/>
      </c>
      <c r="AS268" s="312"/>
      <c r="AT268" s="156" t="str">
        <f t="shared" ca="1" si="56"/>
        <v>SI</v>
      </c>
      <c r="AU268" s="930" t="s">
        <v>5945</v>
      </c>
      <c r="AV268" s="406" t="s">
        <v>5048</v>
      </c>
      <c r="AW268" s="930" t="s">
        <v>3938</v>
      </c>
      <c r="AX268" s="930" t="s">
        <v>5521</v>
      </c>
      <c r="AY268" s="928"/>
    </row>
    <row r="269" spans="2:51" ht="47.25" customHeight="1" x14ac:dyDescent="0.3">
      <c r="B269" s="14">
        <v>263</v>
      </c>
      <c r="C269" s="410"/>
      <c r="D269" s="410" t="str">
        <f t="shared" si="47"/>
        <v>2014</v>
      </c>
      <c r="E269" s="120" t="s">
        <v>1524</v>
      </c>
      <c r="F269" s="910" t="s">
        <v>1359</v>
      </c>
      <c r="G269" s="998">
        <v>860353110</v>
      </c>
      <c r="H269" s="828" t="s">
        <v>1525</v>
      </c>
      <c r="I269" s="187">
        <v>137450000</v>
      </c>
      <c r="J269" s="121" t="s">
        <v>2253</v>
      </c>
      <c r="K269" s="269">
        <v>2014</v>
      </c>
      <c r="L269" s="519" t="s">
        <v>1087</v>
      </c>
      <c r="M269" s="835">
        <v>42018</v>
      </c>
      <c r="N269" s="835">
        <v>42383</v>
      </c>
      <c r="O269" s="1099" t="str">
        <f>IF(+Modificaciones!I269=0,"",VLOOKUP(E269,Modificaciones!$B$7:$I$2400,8,0))</f>
        <v/>
      </c>
      <c r="P269" s="115">
        <f>COUNTA(Modificaciones!J269,Modificaciones!L269,Modificaciones!N269,Modificaciones!P269)</f>
        <v>0</v>
      </c>
      <c r="Q269" s="116">
        <f>VLOOKUP(E269,Modificaciones!$B$7:$R$300,17,0)</f>
        <v>0</v>
      </c>
      <c r="R269" s="117">
        <f>COUNTA(Modificaciones!T269,Modificaciones!V269,Modificaciones!X269,Modificaciones!Z269)</f>
        <v>0</v>
      </c>
      <c r="S269" s="118" t="str">
        <f>IF(Modificaciones!AA269=0,"",VLOOKUP(E269,Modificaciones!$B$7:$AA$400,26,0))</f>
        <v/>
      </c>
      <c r="T269" s="119" t="str">
        <f>IF(Modificaciones!AB269=0,"",VLOOKUP(E269,Modificaciones!$B$7:$AB$400,27,0))</f>
        <v/>
      </c>
      <c r="U269" s="1080" t="str">
        <f>+Modificaciones!AC269</f>
        <v/>
      </c>
      <c r="V269" s="825" t="str">
        <f>+Modificaciones!AK269</f>
        <v/>
      </c>
      <c r="W269" s="825">
        <f t="shared" si="51"/>
        <v>42383</v>
      </c>
      <c r="X269" s="59">
        <f t="shared" si="48"/>
        <v>137450000</v>
      </c>
      <c r="Y269" s="151">
        <f>VLOOKUP(E269,Modificaciones!$B$7:$BE$300,56,0)</f>
        <v>137449999</v>
      </c>
      <c r="Z269" s="84">
        <f t="shared" si="49"/>
        <v>1</v>
      </c>
      <c r="AA269" s="283" t="s">
        <v>1526</v>
      </c>
      <c r="AB269" s="40">
        <f t="shared" si="50"/>
        <v>0.99999999272462714</v>
      </c>
      <c r="AC269" s="40">
        <f t="shared" ca="1" si="52"/>
        <v>1</v>
      </c>
      <c r="AD269" s="41">
        <f t="shared" ca="1" si="53"/>
        <v>7.2753728597163558E-9</v>
      </c>
      <c r="AE269" s="181" t="str">
        <f t="shared" ca="1" si="54"/>
        <v/>
      </c>
      <c r="AF269" s="42" t="str">
        <f t="shared" si="46"/>
        <v>SI</v>
      </c>
      <c r="AG269" s="42"/>
      <c r="AH269" s="152" t="s">
        <v>1256</v>
      </c>
      <c r="AI269" s="255" t="s">
        <v>1527</v>
      </c>
      <c r="AJ269" s="152" t="s">
        <v>1438</v>
      </c>
      <c r="AK269" s="255" t="s">
        <v>560</v>
      </c>
      <c r="AL269" s="279" t="s">
        <v>1508</v>
      </c>
      <c r="AM269" s="279" t="s">
        <v>954</v>
      </c>
      <c r="AN269" s="161" t="str">
        <f t="shared" ca="1" si="55"/>
        <v>TERMINO</v>
      </c>
      <c r="AO269" s="284" t="s">
        <v>575</v>
      </c>
      <c r="AP269" s="155" t="s">
        <v>390</v>
      </c>
      <c r="AQ269" s="819" t="str">
        <f>IFERROR(VLOOKUP(E269,'liquidaciones '!$B$2:$C$1048576,2,0),"NO")</f>
        <v>LIQUIDADO</v>
      </c>
      <c r="AR269" s="909">
        <f>IFERROR(VLOOKUP(E269,'liquidaciones '!$B$2:$I$1048576,8,0),"")</f>
        <v>0</v>
      </c>
      <c r="AS269" s="312"/>
      <c r="AT269" s="156" t="str">
        <f t="shared" ca="1" si="56"/>
        <v>NO</v>
      </c>
      <c r="AU269" s="156" t="s">
        <v>1991</v>
      </c>
      <c r="AV269" s="406"/>
      <c r="AW269" s="928"/>
      <c r="AX269" s="928"/>
      <c r="AY269" s="928"/>
    </row>
    <row r="270" spans="2:51" ht="47.25" customHeight="1" x14ac:dyDescent="0.3">
      <c r="B270" s="14">
        <v>264</v>
      </c>
      <c r="C270" s="410"/>
      <c r="D270" s="410" t="str">
        <f t="shared" si="47"/>
        <v>2014</v>
      </c>
      <c r="E270" s="120" t="s">
        <v>1528</v>
      </c>
      <c r="F270" s="834" t="s">
        <v>1529</v>
      </c>
      <c r="G270" s="998">
        <v>830075011</v>
      </c>
      <c r="H270" s="828" t="s">
        <v>1530</v>
      </c>
      <c r="I270" s="187">
        <v>249210000</v>
      </c>
      <c r="J270" s="821" t="s">
        <v>2272</v>
      </c>
      <c r="K270" s="269">
        <v>2014</v>
      </c>
      <c r="L270" s="519" t="s">
        <v>1087</v>
      </c>
      <c r="M270" s="835">
        <v>42017</v>
      </c>
      <c r="N270" s="835">
        <v>42198</v>
      </c>
      <c r="O270" s="1099" t="str">
        <f>IF(+Modificaciones!I270=0,"",VLOOKUP(E270,Modificaciones!$B$7:$I$2400,8,0))</f>
        <v/>
      </c>
      <c r="P270" s="115">
        <f>COUNTA(Modificaciones!J270,Modificaciones!L270,Modificaciones!N270,Modificaciones!P270)</f>
        <v>1</v>
      </c>
      <c r="Q270" s="116">
        <f>VLOOKUP(E270,Modificaciones!$B$7:$R$300,17,0)</f>
        <v>60000000</v>
      </c>
      <c r="R270" s="117">
        <f>COUNTA(Modificaciones!T270,Modificaciones!V270,Modificaciones!X270,Modificaciones!Z270)</f>
        <v>2</v>
      </c>
      <c r="S270" s="118" t="str">
        <f>IF(Modificaciones!AA270=0,"",VLOOKUP(E270,Modificaciones!$B$7:$AA$400,26,0))</f>
        <v>4 meses y 18 días</v>
      </c>
      <c r="T270" s="119">
        <f>IF(Modificaciones!AB270=0,"",VLOOKUP(E270,Modificaciones!$B$7:$AB$400,27,0))</f>
        <v>42338</v>
      </c>
      <c r="U270" s="1080" t="str">
        <f>+Modificaciones!AC270</f>
        <v/>
      </c>
      <c r="V270" s="825" t="str">
        <f>+Modificaciones!AK270</f>
        <v/>
      </c>
      <c r="W270" s="825">
        <f t="shared" si="51"/>
        <v>42338</v>
      </c>
      <c r="X270" s="59">
        <f t="shared" si="48"/>
        <v>309210000</v>
      </c>
      <c r="Y270" s="151">
        <f>VLOOKUP(E270,Modificaciones!$B$7:$BE$300,56,0)</f>
        <v>309210000</v>
      </c>
      <c r="Z270" s="84">
        <f t="shared" si="49"/>
        <v>0</v>
      </c>
      <c r="AA270" s="283" t="s">
        <v>1094</v>
      </c>
      <c r="AB270" s="40">
        <f t="shared" si="50"/>
        <v>1</v>
      </c>
      <c r="AC270" s="40">
        <f t="shared" ca="1" si="52"/>
        <v>1</v>
      </c>
      <c r="AD270" s="41">
        <f t="shared" ca="1" si="53"/>
        <v>0</v>
      </c>
      <c r="AE270" s="181" t="str">
        <f t="shared" ca="1" si="54"/>
        <v/>
      </c>
      <c r="AF270" s="42" t="str">
        <f t="shared" si="46"/>
        <v>SI</v>
      </c>
      <c r="AG270" s="42"/>
      <c r="AH270" s="152" t="s">
        <v>1255</v>
      </c>
      <c r="AI270" s="255" t="s">
        <v>1531</v>
      </c>
      <c r="AJ270" s="152" t="s">
        <v>1429</v>
      </c>
      <c r="AK270" s="255" t="s">
        <v>564</v>
      </c>
      <c r="AL270" s="153" t="s">
        <v>2166</v>
      </c>
      <c r="AM270" s="279" t="s">
        <v>954</v>
      </c>
      <c r="AN270" s="161" t="str">
        <f t="shared" ca="1" si="55"/>
        <v>TERMINO</v>
      </c>
      <c r="AO270" s="284" t="s">
        <v>575</v>
      </c>
      <c r="AP270" s="155" t="s">
        <v>390</v>
      </c>
      <c r="AQ270" s="819" t="str">
        <f>IFERROR(VLOOKUP(E270,'liquidaciones '!$B$2:$C$1048576,2,0),"NO")</f>
        <v>LIQUIDADO</v>
      </c>
      <c r="AR270" s="909">
        <f>IFERROR(VLOOKUP(E270,'liquidaciones '!$B$2:$I$1048576,8,0),"")</f>
        <v>0</v>
      </c>
      <c r="AS270" s="312"/>
      <c r="AT270" s="156" t="str">
        <f t="shared" ca="1" si="56"/>
        <v>NO</v>
      </c>
      <c r="AU270" s="156" t="s">
        <v>2075</v>
      </c>
      <c r="AV270" s="406"/>
      <c r="AW270" s="928"/>
      <c r="AX270" s="928"/>
      <c r="AY270" s="928"/>
    </row>
    <row r="271" spans="2:51" ht="47.25" customHeight="1" x14ac:dyDescent="0.3">
      <c r="B271" s="14">
        <v>265</v>
      </c>
      <c r="C271" s="410">
        <v>135</v>
      </c>
      <c r="D271" s="410" t="str">
        <f t="shared" si="47"/>
        <v>2015135</v>
      </c>
      <c r="E271" s="120" t="s">
        <v>1535</v>
      </c>
      <c r="F271" s="834" t="s">
        <v>2021</v>
      </c>
      <c r="G271" s="998">
        <v>19335623</v>
      </c>
      <c r="H271" s="828" t="s">
        <v>1003</v>
      </c>
      <c r="I271" s="187">
        <v>84000000</v>
      </c>
      <c r="J271" s="698" t="s">
        <v>1535</v>
      </c>
      <c r="K271" s="269">
        <v>2015</v>
      </c>
      <c r="L271" s="519">
        <v>42027</v>
      </c>
      <c r="M271" s="835">
        <v>42031</v>
      </c>
      <c r="N271" s="835">
        <v>42396</v>
      </c>
      <c r="O271" s="1099" t="str">
        <f>IF(+Modificaciones!I271=0,"",VLOOKUP(E271,Modificaciones!$B$7:$I$2400,8,0))</f>
        <v/>
      </c>
      <c r="P271" s="115">
        <f>COUNTA(Modificaciones!J271,Modificaciones!L271,Modificaciones!N271,Modificaciones!P271)</f>
        <v>0</v>
      </c>
      <c r="Q271" s="116">
        <f>VLOOKUP(E271,Modificaciones!$B$7:$R$300,17,0)</f>
        <v>0</v>
      </c>
      <c r="R271" s="117">
        <f>COUNTA(Modificaciones!T271,Modificaciones!V271,Modificaciones!X271,Modificaciones!Z271)</f>
        <v>0</v>
      </c>
      <c r="S271" s="118" t="str">
        <f>IF(Modificaciones!AA271=0,"",VLOOKUP(E271,Modificaciones!$B$7:$AA$400,26,0))</f>
        <v/>
      </c>
      <c r="T271" s="119" t="str">
        <f>IF(Modificaciones!AB271=0,"",VLOOKUP(E271,Modificaciones!$B$7:$AB$400,27,0))</f>
        <v/>
      </c>
      <c r="U271" s="1080" t="str">
        <f>+Modificaciones!AC271</f>
        <v/>
      </c>
      <c r="V271" s="825" t="str">
        <f>+Modificaciones!AK271</f>
        <v/>
      </c>
      <c r="W271" s="825">
        <f t="shared" si="51"/>
        <v>42396</v>
      </c>
      <c r="X271" s="59">
        <f t="shared" si="48"/>
        <v>84000000</v>
      </c>
      <c r="Y271" s="151">
        <f>VLOOKUP(E271,Modificaciones!$B$7:$BE$300,56,0)</f>
        <v>84000000</v>
      </c>
      <c r="Z271" s="84">
        <f t="shared" si="49"/>
        <v>0</v>
      </c>
      <c r="AA271" s="283" t="s">
        <v>1094</v>
      </c>
      <c r="AB271" s="40">
        <f t="shared" si="50"/>
        <v>1</v>
      </c>
      <c r="AC271" s="40">
        <f t="shared" ca="1" si="52"/>
        <v>1</v>
      </c>
      <c r="AD271" s="41">
        <f t="shared" ca="1" si="53"/>
        <v>0</v>
      </c>
      <c r="AE271" s="181" t="str">
        <f t="shared" ca="1" si="54"/>
        <v/>
      </c>
      <c r="AF271" s="42" t="str">
        <f t="shared" si="46"/>
        <v>SI</v>
      </c>
      <c r="AG271" s="732" t="s">
        <v>5773</v>
      </c>
      <c r="AH271" s="152" t="s">
        <v>1255</v>
      </c>
      <c r="AI271" s="152" t="s">
        <v>2168</v>
      </c>
      <c r="AJ271" s="152" t="s">
        <v>1176</v>
      </c>
      <c r="AK271" s="255" t="s">
        <v>559</v>
      </c>
      <c r="AL271" s="279"/>
      <c r="AM271" s="279" t="s">
        <v>954</v>
      </c>
      <c r="AN271" s="161" t="str">
        <f t="shared" ca="1" si="55"/>
        <v>TERMINO</v>
      </c>
      <c r="AO271" s="284" t="s">
        <v>582</v>
      </c>
      <c r="AP271" s="155" t="s">
        <v>391</v>
      </c>
      <c r="AQ271" s="819" t="str">
        <f>IFERROR(VLOOKUP(E271,'liquidaciones '!$B$2:$C$1048576,2,0),"NO")</f>
        <v>LIQUIDADO</v>
      </c>
      <c r="AR271" s="909">
        <f>IFERROR(VLOOKUP(E271,'liquidaciones '!$B$2:$I$1048576,8,0),"")</f>
        <v>0</v>
      </c>
      <c r="AS271" s="312"/>
      <c r="AT271" s="156" t="str">
        <f t="shared" ca="1" si="56"/>
        <v>NO</v>
      </c>
      <c r="AU271" s="156" t="s">
        <v>981</v>
      </c>
      <c r="AV271" s="406"/>
      <c r="AW271" s="928"/>
      <c r="AX271" s="928"/>
      <c r="AY271" s="928"/>
    </row>
    <row r="272" spans="2:51" ht="47.25" customHeight="1" x14ac:dyDescent="0.3">
      <c r="B272" s="39">
        <v>266</v>
      </c>
      <c r="C272" s="410"/>
      <c r="D272" s="410" t="str">
        <f t="shared" si="47"/>
        <v>2014</v>
      </c>
      <c r="E272" s="120" t="s">
        <v>1536</v>
      </c>
      <c r="F272" s="834" t="s">
        <v>1537</v>
      </c>
      <c r="G272" s="998">
        <v>860012336</v>
      </c>
      <c r="H272" s="828" t="s">
        <v>1538</v>
      </c>
      <c r="I272" s="187">
        <v>4961088</v>
      </c>
      <c r="J272" s="673" t="s">
        <v>2085</v>
      </c>
      <c r="K272" s="269">
        <v>2014</v>
      </c>
      <c r="L272" s="519">
        <v>41971</v>
      </c>
      <c r="M272" s="835">
        <v>42178</v>
      </c>
      <c r="N272" s="835">
        <v>42423</v>
      </c>
      <c r="O272" s="1099" t="str">
        <f>IF(+Modificaciones!I272=0,"",VLOOKUP(E272,Modificaciones!$B$7:$I$2400,8,0))</f>
        <v/>
      </c>
      <c r="P272" s="115">
        <f>COUNTA(Modificaciones!J272,Modificaciones!L272,Modificaciones!N272,Modificaciones!P272)</f>
        <v>0</v>
      </c>
      <c r="Q272" s="116">
        <f>VLOOKUP(E272,Modificaciones!$B$7:$R$300,17,0)</f>
        <v>0</v>
      </c>
      <c r="R272" s="117">
        <f>COUNTA(Modificaciones!T272,Modificaciones!V272,Modificaciones!X272,Modificaciones!Z272)</f>
        <v>0</v>
      </c>
      <c r="S272" s="118" t="str">
        <f>IF(Modificaciones!AA272=0,"",VLOOKUP(E272,Modificaciones!$B$7:$AA$400,26,0))</f>
        <v/>
      </c>
      <c r="T272" s="119" t="str">
        <f>IF(Modificaciones!AB272=0,"",VLOOKUP(E272,Modificaciones!$B$7:$AB$400,27,0))</f>
        <v/>
      </c>
      <c r="U272" s="1080" t="str">
        <f>+Modificaciones!AC272</f>
        <v/>
      </c>
      <c r="V272" s="825" t="str">
        <f>+Modificaciones!AK272</f>
        <v/>
      </c>
      <c r="W272" s="825">
        <f t="shared" si="51"/>
        <v>42423</v>
      </c>
      <c r="X272" s="59">
        <f t="shared" si="48"/>
        <v>4961088</v>
      </c>
      <c r="Y272" s="151">
        <f>VLOOKUP(E272,Modificaciones!$B$7:$BE$300,56,0)</f>
        <v>4961088</v>
      </c>
      <c r="Z272" s="84">
        <f t="shared" si="49"/>
        <v>0</v>
      </c>
      <c r="AA272" s="283" t="s">
        <v>1094</v>
      </c>
      <c r="AB272" s="40">
        <f t="shared" si="50"/>
        <v>1</v>
      </c>
      <c r="AC272" s="40">
        <f t="shared" ca="1" si="52"/>
        <v>1</v>
      </c>
      <c r="AD272" s="41">
        <f t="shared" ca="1" si="53"/>
        <v>0</v>
      </c>
      <c r="AE272" s="181" t="str">
        <f t="shared" ca="1" si="54"/>
        <v/>
      </c>
      <c r="AF272" s="42" t="str">
        <f t="shared" si="46"/>
        <v>SI</v>
      </c>
      <c r="AG272" s="42"/>
      <c r="AH272" s="152" t="s">
        <v>1255</v>
      </c>
      <c r="AI272" s="255" t="s">
        <v>1282</v>
      </c>
      <c r="AJ272" s="152" t="s">
        <v>1434</v>
      </c>
      <c r="AK272" s="255" t="s">
        <v>560</v>
      </c>
      <c r="AL272" s="279" t="s">
        <v>1385</v>
      </c>
      <c r="AM272" s="279" t="s">
        <v>954</v>
      </c>
      <c r="AN272" s="161" t="str">
        <f t="shared" ca="1" si="55"/>
        <v>TERMINO</v>
      </c>
      <c r="AO272" s="284" t="s">
        <v>573</v>
      </c>
      <c r="AP272" s="155" t="s">
        <v>390</v>
      </c>
      <c r="AQ272" s="819" t="str">
        <f>IFERROR(VLOOKUP(E272,'liquidaciones '!$B$2:$C$1048576,2,0),"NO")</f>
        <v>LIQUIDADO</v>
      </c>
      <c r="AR272" s="909">
        <f>IFERROR(VLOOKUP(E272,'liquidaciones '!$B$2:$I$1048576,8,0),"")</f>
        <v>0</v>
      </c>
      <c r="AS272" s="312"/>
      <c r="AT272" s="156" t="str">
        <f t="shared" ca="1" si="56"/>
        <v>NO</v>
      </c>
      <c r="AU272" s="156" t="s">
        <v>2075</v>
      </c>
      <c r="AV272" s="406"/>
      <c r="AW272" s="928"/>
      <c r="AX272" s="928"/>
      <c r="AY272" s="928"/>
    </row>
    <row r="273" spans="2:51" ht="47.25" customHeight="1" x14ac:dyDescent="0.3">
      <c r="B273" s="14">
        <v>267</v>
      </c>
      <c r="C273" s="410"/>
      <c r="D273" s="410" t="str">
        <f t="shared" si="47"/>
        <v>2014</v>
      </c>
      <c r="E273" s="120" t="s">
        <v>3098</v>
      </c>
      <c r="F273" s="834" t="s">
        <v>1540</v>
      </c>
      <c r="G273" s="998">
        <v>900801132</v>
      </c>
      <c r="H273" s="828" t="s">
        <v>1541</v>
      </c>
      <c r="I273" s="187">
        <v>10075000</v>
      </c>
      <c r="J273" s="821" t="s">
        <v>2621</v>
      </c>
      <c r="K273" s="269">
        <v>2014</v>
      </c>
      <c r="L273" s="519" t="s">
        <v>1087</v>
      </c>
      <c r="M273" s="835">
        <v>42020</v>
      </c>
      <c r="N273" s="835">
        <v>42079</v>
      </c>
      <c r="O273" s="1099" t="str">
        <f>IF(+Modificaciones!I273=0,"",VLOOKUP(E273,Modificaciones!$B$7:$I$2400,8,0))</f>
        <v/>
      </c>
      <c r="P273" s="115">
        <f>COUNTA(Modificaciones!J273,Modificaciones!L273,Modificaciones!N273,Modificaciones!P273)</f>
        <v>0</v>
      </c>
      <c r="Q273" s="116">
        <f>VLOOKUP(E273,Modificaciones!$B$7:$R$300,17,0)</f>
        <v>0</v>
      </c>
      <c r="R273" s="117">
        <f>COUNTA(Modificaciones!T273,Modificaciones!V273,Modificaciones!X273,Modificaciones!Z273)</f>
        <v>0</v>
      </c>
      <c r="S273" s="118" t="str">
        <f>IF(Modificaciones!AA273=0,"",VLOOKUP(E273,Modificaciones!$B$7:$AA$400,26,0))</f>
        <v/>
      </c>
      <c r="T273" s="119" t="str">
        <f>IF(Modificaciones!AB273=0,"",VLOOKUP(E273,Modificaciones!$B$7:$AB$400,27,0))</f>
        <v/>
      </c>
      <c r="U273" s="1080" t="str">
        <f>+Modificaciones!AC273</f>
        <v/>
      </c>
      <c r="V273" s="825" t="str">
        <f>+Modificaciones!AK273</f>
        <v/>
      </c>
      <c r="W273" s="825">
        <f t="shared" si="51"/>
        <v>42079</v>
      </c>
      <c r="X273" s="59">
        <f t="shared" si="48"/>
        <v>10075000</v>
      </c>
      <c r="Y273" s="151">
        <f>VLOOKUP(E273,Modificaciones!$B$7:$BE$300,56,0)</f>
        <v>10075000</v>
      </c>
      <c r="Z273" s="84">
        <f t="shared" si="49"/>
        <v>0</v>
      </c>
      <c r="AA273" s="283" t="s">
        <v>1894</v>
      </c>
      <c r="AB273" s="40">
        <f t="shared" si="50"/>
        <v>1</v>
      </c>
      <c r="AC273" s="40">
        <f t="shared" ca="1" si="52"/>
        <v>1</v>
      </c>
      <c r="AD273" s="41">
        <f t="shared" ca="1" si="53"/>
        <v>0</v>
      </c>
      <c r="AE273" s="181" t="str">
        <f t="shared" ca="1" si="54"/>
        <v/>
      </c>
      <c r="AF273" s="42" t="str">
        <f t="shared" si="46"/>
        <v>SI</v>
      </c>
      <c r="AG273" s="42"/>
      <c r="AH273" s="152" t="s">
        <v>1256</v>
      </c>
      <c r="AI273" s="255" t="s">
        <v>1544</v>
      </c>
      <c r="AJ273" s="152" t="s">
        <v>1438</v>
      </c>
      <c r="AK273" s="255" t="s">
        <v>560</v>
      </c>
      <c r="AL273" s="279" t="s">
        <v>1508</v>
      </c>
      <c r="AM273" s="279" t="s">
        <v>954</v>
      </c>
      <c r="AN273" s="161" t="str">
        <f t="shared" ca="1" si="55"/>
        <v>TERMINO</v>
      </c>
      <c r="AO273" s="284" t="s">
        <v>575</v>
      </c>
      <c r="AP273" s="155" t="s">
        <v>390</v>
      </c>
      <c r="AQ273" s="819" t="str">
        <f>IFERROR(VLOOKUP(E273,'liquidaciones '!$B$2:$C$1048576,2,0),"NO")</f>
        <v>LIQUIDADO</v>
      </c>
      <c r="AR273" s="909">
        <f>IFERROR(VLOOKUP(E273,'liquidaciones '!$B$2:$I$1048576,8,0),"")</f>
        <v>0</v>
      </c>
      <c r="AS273" s="312"/>
      <c r="AT273" s="156" t="str">
        <f t="shared" ca="1" si="56"/>
        <v>NO</v>
      </c>
      <c r="AU273" s="156" t="s">
        <v>1509</v>
      </c>
      <c r="AV273" s="406"/>
      <c r="AW273" s="928"/>
      <c r="AX273" s="928"/>
      <c r="AY273" s="928"/>
    </row>
    <row r="274" spans="2:51" ht="47.25" customHeight="1" x14ac:dyDescent="0.3">
      <c r="B274" s="14">
        <v>268</v>
      </c>
      <c r="C274" s="410">
        <v>129</v>
      </c>
      <c r="D274" s="410" t="str">
        <f t="shared" si="47"/>
        <v>2015129</v>
      </c>
      <c r="E274" s="120" t="s">
        <v>1542</v>
      </c>
      <c r="F274" s="834" t="s">
        <v>1034</v>
      </c>
      <c r="G274" s="998">
        <v>4098836</v>
      </c>
      <c r="H274" s="828" t="s">
        <v>1543</v>
      </c>
      <c r="I274" s="187">
        <v>46068000</v>
      </c>
      <c r="J274" s="821" t="s">
        <v>1766</v>
      </c>
      <c r="K274" s="269">
        <v>2015</v>
      </c>
      <c r="L274" s="519">
        <v>42033</v>
      </c>
      <c r="M274" s="835">
        <v>42037</v>
      </c>
      <c r="N274" s="835">
        <v>42402</v>
      </c>
      <c r="O274" s="1099" t="str">
        <f>IF(+Modificaciones!I274=0,"",VLOOKUP(E274,Modificaciones!$B$7:$I$2400,8,0))</f>
        <v/>
      </c>
      <c r="P274" s="115">
        <f>COUNTA(Modificaciones!J274,Modificaciones!L274,Modificaciones!N274,Modificaciones!P274)</f>
        <v>0</v>
      </c>
      <c r="Q274" s="116">
        <f>VLOOKUP(E274,Modificaciones!$B$7:$R$300,17,0)</f>
        <v>0</v>
      </c>
      <c r="R274" s="117">
        <f>COUNTA(Modificaciones!T274,Modificaciones!V274,Modificaciones!X274,Modificaciones!Z274)</f>
        <v>0</v>
      </c>
      <c r="S274" s="118" t="str">
        <f>IF(Modificaciones!AA274=0,"",VLOOKUP(E274,Modificaciones!$B$7:$AA$400,26,0))</f>
        <v/>
      </c>
      <c r="T274" s="119" t="str">
        <f>IF(Modificaciones!AB274=0,"",VLOOKUP(E274,Modificaciones!$B$7:$AB$400,27,0))</f>
        <v/>
      </c>
      <c r="U274" s="1080" t="str">
        <f>+Modificaciones!AC274</f>
        <v/>
      </c>
      <c r="V274" s="825" t="str">
        <f>+Modificaciones!AK274</f>
        <v/>
      </c>
      <c r="W274" s="825">
        <f t="shared" si="51"/>
        <v>42402</v>
      </c>
      <c r="X274" s="59">
        <f t="shared" si="48"/>
        <v>46068000</v>
      </c>
      <c r="Y274" s="151">
        <f>VLOOKUP(E274,Modificaciones!$B$7:$BE$300,56,0)</f>
        <v>46068000</v>
      </c>
      <c r="Z274" s="84">
        <f t="shared" si="49"/>
        <v>0</v>
      </c>
      <c r="AA274" s="283" t="s">
        <v>1094</v>
      </c>
      <c r="AB274" s="40">
        <f t="shared" si="50"/>
        <v>1</v>
      </c>
      <c r="AC274" s="40">
        <f t="shared" ca="1" si="52"/>
        <v>1</v>
      </c>
      <c r="AD274" s="41">
        <f t="shared" ca="1" si="53"/>
        <v>0</v>
      </c>
      <c r="AE274" s="181" t="str">
        <f t="shared" ca="1" si="54"/>
        <v/>
      </c>
      <c r="AF274" s="42" t="str">
        <f t="shared" si="46"/>
        <v>SI</v>
      </c>
      <c r="AG274" s="732" t="s">
        <v>5773</v>
      </c>
      <c r="AH274" s="152" t="s">
        <v>1255</v>
      </c>
      <c r="AI274" s="152" t="s">
        <v>2169</v>
      </c>
      <c r="AJ274" s="152" t="s">
        <v>1176</v>
      </c>
      <c r="AK274" s="255" t="s">
        <v>559</v>
      </c>
      <c r="AL274" s="279"/>
      <c r="AM274" s="279" t="s">
        <v>954</v>
      </c>
      <c r="AN274" s="161" t="str">
        <f t="shared" ca="1" si="55"/>
        <v>TERMINO</v>
      </c>
      <c r="AO274" s="284" t="s">
        <v>582</v>
      </c>
      <c r="AP274" s="155" t="s">
        <v>391</v>
      </c>
      <c r="AQ274" s="819" t="str">
        <f>IFERROR(VLOOKUP(E274,'liquidaciones '!$B$2:$C$1048576,2,0),"NO")</f>
        <v>LIQUIDADO</v>
      </c>
      <c r="AR274" s="909">
        <f>IFERROR(VLOOKUP(E274,'liquidaciones '!$B$2:$I$1048576,8,0),"")</f>
        <v>0</v>
      </c>
      <c r="AS274" s="312"/>
      <c r="AT274" s="156" t="str">
        <f t="shared" ca="1" si="56"/>
        <v>NO</v>
      </c>
      <c r="AU274" s="156" t="s">
        <v>981</v>
      </c>
      <c r="AV274" s="406"/>
      <c r="AW274" s="928"/>
      <c r="AX274" s="928"/>
      <c r="AY274" s="928"/>
    </row>
    <row r="275" spans="2:51" ht="47.25" customHeight="1" x14ac:dyDescent="0.3">
      <c r="B275" s="14">
        <v>269</v>
      </c>
      <c r="C275" s="410"/>
      <c r="D275" s="410" t="str">
        <f t="shared" si="47"/>
        <v>2014</v>
      </c>
      <c r="E275" s="120" t="s">
        <v>1545</v>
      </c>
      <c r="F275" s="834" t="s">
        <v>3666</v>
      </c>
      <c r="G275" s="998">
        <v>860506170</v>
      </c>
      <c r="H275" s="828" t="s">
        <v>1546</v>
      </c>
      <c r="I275" s="187">
        <v>0</v>
      </c>
      <c r="J275" s="121" t="s">
        <v>1087</v>
      </c>
      <c r="K275" s="269">
        <v>2014</v>
      </c>
      <c r="L275" s="519" t="s">
        <v>1087</v>
      </c>
      <c r="M275" s="835">
        <v>41984</v>
      </c>
      <c r="N275" s="835">
        <v>42046</v>
      </c>
      <c r="O275" s="1099" t="str">
        <f>IF(+Modificaciones!I275=0,"",VLOOKUP(E275,Modificaciones!$B$7:$I$2400,8,0))</f>
        <v/>
      </c>
      <c r="P275" s="115">
        <f>COUNTA(Modificaciones!J275,Modificaciones!L275,Modificaciones!N275,Modificaciones!P275)</f>
        <v>0</v>
      </c>
      <c r="Q275" s="116">
        <f>VLOOKUP(E275,Modificaciones!$B$7:$R$300,17,0)</f>
        <v>0</v>
      </c>
      <c r="R275" s="117">
        <f>COUNTA(Modificaciones!T275,Modificaciones!V275,Modificaciones!X275,Modificaciones!Z275)</f>
        <v>0</v>
      </c>
      <c r="S275" s="118" t="str">
        <f>IF(Modificaciones!AA275=0,"",VLOOKUP(E275,Modificaciones!$B$7:$AA$400,26,0))</f>
        <v/>
      </c>
      <c r="T275" s="119" t="str">
        <f>IF(Modificaciones!AB275=0,"",VLOOKUP(E275,Modificaciones!$B$7:$AB$400,27,0))</f>
        <v/>
      </c>
      <c r="U275" s="1080" t="str">
        <f>+Modificaciones!AC275</f>
        <v/>
      </c>
      <c r="V275" s="825" t="str">
        <f>+Modificaciones!AK275</f>
        <v/>
      </c>
      <c r="W275" s="825">
        <f t="shared" si="51"/>
        <v>42046</v>
      </c>
      <c r="X275" s="59">
        <f t="shared" si="48"/>
        <v>0</v>
      </c>
      <c r="Y275" s="151">
        <f>VLOOKUP(E275,Modificaciones!$B$7:$BE$300,56,0)</f>
        <v>0</v>
      </c>
      <c r="Z275" s="84">
        <f t="shared" si="49"/>
        <v>0</v>
      </c>
      <c r="AA275" s="283" t="s">
        <v>590</v>
      </c>
      <c r="AB275" s="40" t="e">
        <f t="shared" si="50"/>
        <v>#DIV/0!</v>
      </c>
      <c r="AC275" s="40">
        <f t="shared" ca="1" si="52"/>
        <v>1</v>
      </c>
      <c r="AD275" s="41" t="e">
        <f t="shared" ca="1" si="53"/>
        <v>#DIV/0!</v>
      </c>
      <c r="AE275" s="181" t="str">
        <f t="shared" ca="1" si="54"/>
        <v/>
      </c>
      <c r="AF275" s="42" t="e">
        <f t="shared" si="46"/>
        <v>#DIV/0!</v>
      </c>
      <c r="AG275" s="42"/>
      <c r="AH275" s="152"/>
      <c r="AI275" s="255" t="s">
        <v>1547</v>
      </c>
      <c r="AJ275" s="152"/>
      <c r="AL275" s="279"/>
      <c r="AM275" s="279" t="s">
        <v>1548</v>
      </c>
      <c r="AN275" s="161" t="str">
        <f t="shared" ca="1" si="55"/>
        <v>TERMINO</v>
      </c>
      <c r="AO275" s="284" t="s">
        <v>582</v>
      </c>
      <c r="AP275" s="155"/>
      <c r="AQ275" s="819" t="str">
        <f>IFERROR(VLOOKUP(E275,'liquidaciones '!$B$2:$C$1048576,2,0),"NO")</f>
        <v>EN TRÁMITE</v>
      </c>
      <c r="AR275" s="909">
        <f>IFERROR(VLOOKUP(E275,'liquidaciones '!$B$2:$I$1048576,8,0),"")</f>
        <v>0</v>
      </c>
      <c r="AS275" s="312"/>
      <c r="AT275" s="156" t="str">
        <f t="shared" ca="1" si="56"/>
        <v>NO</v>
      </c>
      <c r="AU275" s="156"/>
      <c r="AV275" s="406"/>
      <c r="AW275" s="928"/>
      <c r="AX275" s="928"/>
      <c r="AY275" s="928"/>
    </row>
    <row r="276" spans="2:51" ht="47.25" customHeight="1" x14ac:dyDescent="0.3">
      <c r="B276" s="14">
        <v>270</v>
      </c>
      <c r="C276" s="410">
        <v>124</v>
      </c>
      <c r="D276" s="410" t="str">
        <f t="shared" si="47"/>
        <v>2015124</v>
      </c>
      <c r="E276" s="120" t="s">
        <v>1549</v>
      </c>
      <c r="F276" s="834" t="s">
        <v>1032</v>
      </c>
      <c r="G276" s="998">
        <v>51931422</v>
      </c>
      <c r="H276" s="828" t="s">
        <v>1550</v>
      </c>
      <c r="I276" s="187">
        <v>60000000</v>
      </c>
      <c r="J276" s="698" t="s">
        <v>1549</v>
      </c>
      <c r="K276" s="269">
        <v>2015</v>
      </c>
      <c r="L276" s="519">
        <v>42044</v>
      </c>
      <c r="M276" s="835">
        <v>42045</v>
      </c>
      <c r="N276" s="835">
        <v>42410</v>
      </c>
      <c r="O276" s="1099" t="str">
        <f>IF(+Modificaciones!I276=0,"",VLOOKUP(E276,Modificaciones!$B$7:$I$2400,8,0))</f>
        <v/>
      </c>
      <c r="P276" s="115">
        <f>COUNTA(Modificaciones!J276,Modificaciones!L276,Modificaciones!N276,Modificaciones!P276)</f>
        <v>0</v>
      </c>
      <c r="Q276" s="116">
        <f>VLOOKUP(E276,Modificaciones!$B$7:$R$300,17,0)</f>
        <v>0</v>
      </c>
      <c r="R276" s="117">
        <f>COUNTA(Modificaciones!T276,Modificaciones!V276,Modificaciones!X276,Modificaciones!Z276)</f>
        <v>0</v>
      </c>
      <c r="S276" s="118" t="str">
        <f>IF(Modificaciones!AA276=0,"",VLOOKUP(E276,Modificaciones!$B$7:$AA$400,26,0))</f>
        <v/>
      </c>
      <c r="T276" s="119" t="str">
        <f>IF(Modificaciones!AB276=0,"",VLOOKUP(E276,Modificaciones!$B$7:$AB$400,27,0))</f>
        <v/>
      </c>
      <c r="U276" s="1080" t="str">
        <f>+Modificaciones!AC276</f>
        <v/>
      </c>
      <c r="V276" s="825" t="str">
        <f>+Modificaciones!AK276</f>
        <v/>
      </c>
      <c r="W276" s="825">
        <f t="shared" si="51"/>
        <v>42410</v>
      </c>
      <c r="X276" s="59">
        <f t="shared" si="48"/>
        <v>60000000</v>
      </c>
      <c r="Y276" s="151">
        <f>VLOOKUP(E276,Modificaciones!$B$7:$BE$300,56,0)</f>
        <v>60000000</v>
      </c>
      <c r="Z276" s="84">
        <f t="shared" si="49"/>
        <v>0</v>
      </c>
      <c r="AA276" s="283" t="s">
        <v>1094</v>
      </c>
      <c r="AB276" s="40">
        <f t="shared" si="50"/>
        <v>1</v>
      </c>
      <c r="AC276" s="40">
        <f t="shared" ca="1" si="52"/>
        <v>1</v>
      </c>
      <c r="AD276" s="41">
        <f t="shared" ca="1" si="53"/>
        <v>0</v>
      </c>
      <c r="AE276" s="181" t="str">
        <f t="shared" ca="1" si="54"/>
        <v/>
      </c>
      <c r="AF276" s="42" t="str">
        <f t="shared" si="46"/>
        <v>SI</v>
      </c>
      <c r="AG276" s="732" t="s">
        <v>5773</v>
      </c>
      <c r="AH276" s="152" t="s">
        <v>1255</v>
      </c>
      <c r="AI276" s="152" t="s">
        <v>2170</v>
      </c>
      <c r="AJ276" s="152" t="s">
        <v>1176</v>
      </c>
      <c r="AK276" s="255" t="s">
        <v>559</v>
      </c>
      <c r="AL276" s="153"/>
      <c r="AM276" s="279" t="s">
        <v>954</v>
      </c>
      <c r="AN276" s="161" t="str">
        <f t="shared" ca="1" si="55"/>
        <v>TERMINO</v>
      </c>
      <c r="AO276" s="160" t="s">
        <v>582</v>
      </c>
      <c r="AP276" s="155" t="s">
        <v>391</v>
      </c>
      <c r="AQ276" s="819" t="str">
        <f>IFERROR(VLOOKUP(E276,'liquidaciones '!$B$2:$C$1048576,2,0),"NO")</f>
        <v>LIQUIDADO</v>
      </c>
      <c r="AR276" s="909">
        <f>IFERROR(VLOOKUP(E276,'liquidaciones '!$B$2:$I$1048576,8,0),"")</f>
        <v>0</v>
      </c>
      <c r="AS276" s="312"/>
      <c r="AT276" s="156" t="str">
        <f t="shared" ca="1" si="56"/>
        <v>NO</v>
      </c>
      <c r="AU276" s="156" t="s">
        <v>981</v>
      </c>
      <c r="AV276" s="406"/>
      <c r="AW276" s="928"/>
      <c r="AX276" s="928"/>
      <c r="AY276" s="928"/>
    </row>
    <row r="277" spans="2:51" ht="47.25" customHeight="1" x14ac:dyDescent="0.3">
      <c r="B277" s="14">
        <v>271</v>
      </c>
      <c r="C277" s="410">
        <v>137</v>
      </c>
      <c r="D277" s="410" t="str">
        <f t="shared" si="47"/>
        <v>2015137</v>
      </c>
      <c r="E277" s="120" t="s">
        <v>1551</v>
      </c>
      <c r="F277" s="834" t="s">
        <v>2014</v>
      </c>
      <c r="G277" s="998">
        <v>79799184</v>
      </c>
      <c r="H277" s="828" t="s">
        <v>1552</v>
      </c>
      <c r="I277" s="187">
        <v>63654000</v>
      </c>
      <c r="J277" s="698" t="s">
        <v>1551</v>
      </c>
      <c r="K277" s="269">
        <v>2015</v>
      </c>
      <c r="L277" s="519">
        <v>42044</v>
      </c>
      <c r="M277" s="835">
        <v>42045</v>
      </c>
      <c r="N277" s="835">
        <v>42379</v>
      </c>
      <c r="O277" s="1099" t="str">
        <f>IF(+Modificaciones!I277=0,"",VLOOKUP(E277,Modificaciones!$B$7:$I$2400,8,0))</f>
        <v/>
      </c>
      <c r="P277" s="115">
        <f>COUNTA(Modificaciones!J277,Modificaciones!L277,Modificaciones!N277,Modificaciones!P277)</f>
        <v>0</v>
      </c>
      <c r="Q277" s="116">
        <f>VLOOKUP(E277,Modificaciones!$B$7:$R$300,17,0)</f>
        <v>0</v>
      </c>
      <c r="R277" s="117">
        <f>COUNTA(Modificaciones!T277,Modificaciones!V277,Modificaciones!X277,Modificaciones!Z277)</f>
        <v>1</v>
      </c>
      <c r="S277" s="118" t="str">
        <f>IF(Modificaciones!AA277=0,"",VLOOKUP(E277,Modificaciones!$B$7:$AA$400,26,0))</f>
        <v>1 mes</v>
      </c>
      <c r="T277" s="119">
        <f>IF(Modificaciones!AB277=0,"",VLOOKUP(E277,Modificaciones!$B$7:$AB$400,27,0))</f>
        <v>42410</v>
      </c>
      <c r="U277" s="1080" t="str">
        <f>+Modificaciones!AC277</f>
        <v/>
      </c>
      <c r="V277" s="825" t="str">
        <f>+Modificaciones!AK277</f>
        <v/>
      </c>
      <c r="W277" s="825">
        <f t="shared" si="51"/>
        <v>42410</v>
      </c>
      <c r="X277" s="59">
        <f t="shared" si="48"/>
        <v>63654000</v>
      </c>
      <c r="Y277" s="151">
        <f>VLOOKUP(E277,Modificaciones!$B$7:$BE$300,56,0)</f>
        <v>63654000</v>
      </c>
      <c r="Z277" s="84">
        <f t="shared" si="49"/>
        <v>0</v>
      </c>
      <c r="AA277" s="283" t="s">
        <v>1094</v>
      </c>
      <c r="AB277" s="40">
        <f t="shared" si="50"/>
        <v>1</v>
      </c>
      <c r="AC277" s="40">
        <f t="shared" ca="1" si="52"/>
        <v>1</v>
      </c>
      <c r="AD277" s="41">
        <f t="shared" ca="1" si="53"/>
        <v>0</v>
      </c>
      <c r="AE277" s="181" t="str">
        <f t="shared" ca="1" si="54"/>
        <v/>
      </c>
      <c r="AF277" s="42" t="str">
        <f t="shared" si="46"/>
        <v>SI</v>
      </c>
      <c r="AG277" s="732" t="s">
        <v>5773</v>
      </c>
      <c r="AH277" s="152" t="s">
        <v>1256</v>
      </c>
      <c r="AI277" s="152" t="s">
        <v>2171</v>
      </c>
      <c r="AJ277" s="152" t="s">
        <v>1176</v>
      </c>
      <c r="AK277" s="255" t="s">
        <v>559</v>
      </c>
      <c r="AL277" s="153"/>
      <c r="AM277" s="279" t="s">
        <v>954</v>
      </c>
      <c r="AN277" s="161" t="str">
        <f t="shared" ca="1" si="55"/>
        <v>TERMINO</v>
      </c>
      <c r="AO277" s="160" t="s">
        <v>582</v>
      </c>
      <c r="AP277" s="155" t="s">
        <v>391</v>
      </c>
      <c r="AQ277" s="819" t="str">
        <f>IFERROR(VLOOKUP(E277,'liquidaciones '!$B$2:$C$1048576,2,0),"NO")</f>
        <v>LIQUIDADO</v>
      </c>
      <c r="AR277" s="909">
        <f>IFERROR(VLOOKUP(E277,'liquidaciones '!$B$2:$I$1048576,8,0),"")</f>
        <v>0</v>
      </c>
      <c r="AS277" s="312"/>
      <c r="AT277" s="156" t="str">
        <f t="shared" ca="1" si="56"/>
        <v>NO</v>
      </c>
      <c r="AU277" s="156"/>
      <c r="AV277" s="406"/>
      <c r="AW277" s="928"/>
      <c r="AX277" s="928"/>
      <c r="AY277" s="928"/>
    </row>
    <row r="278" spans="2:51" ht="47.25" customHeight="1" x14ac:dyDescent="0.3">
      <c r="B278" s="14">
        <v>272</v>
      </c>
      <c r="C278" s="410">
        <v>126</v>
      </c>
      <c r="D278" s="410" t="str">
        <f t="shared" si="47"/>
        <v>2015126</v>
      </c>
      <c r="E278" s="120" t="s">
        <v>1553</v>
      </c>
      <c r="F278" s="834" t="s">
        <v>1514</v>
      </c>
      <c r="G278" s="1046">
        <v>80117116</v>
      </c>
      <c r="H278" s="828" t="s">
        <v>1574</v>
      </c>
      <c r="I278" s="187">
        <v>48000000</v>
      </c>
      <c r="J278" s="698" t="s">
        <v>1553</v>
      </c>
      <c r="K278" s="269">
        <v>2015</v>
      </c>
      <c r="L278" s="519">
        <v>42051</v>
      </c>
      <c r="M278" s="835">
        <v>42053</v>
      </c>
      <c r="N278" s="835">
        <v>42418</v>
      </c>
      <c r="O278" s="1099" t="str">
        <f>IF(+Modificaciones!I278=0,"",VLOOKUP(E278,Modificaciones!$B$7:$I$2400,8,0))</f>
        <v/>
      </c>
      <c r="P278" s="115">
        <f>COUNTA(Modificaciones!J278,Modificaciones!L278,Modificaciones!N278,Modificaciones!P278)</f>
        <v>0</v>
      </c>
      <c r="Q278" s="116">
        <f>VLOOKUP(E278,Modificaciones!$B$7:$R$300,17,0)</f>
        <v>0</v>
      </c>
      <c r="R278" s="117">
        <f>COUNTA(Modificaciones!T278,Modificaciones!V278,Modificaciones!X278,Modificaciones!Z278)</f>
        <v>0</v>
      </c>
      <c r="S278" s="118" t="str">
        <f>IF(Modificaciones!AA278=0,"",VLOOKUP(E278,Modificaciones!$B$7:$AA$400,26,0))</f>
        <v/>
      </c>
      <c r="T278" s="119" t="str">
        <f>IF(Modificaciones!AB278=0,"",VLOOKUP(E278,Modificaciones!$B$7:$AB$400,27,0))</f>
        <v/>
      </c>
      <c r="U278" s="1080" t="str">
        <f>+Modificaciones!AC278</f>
        <v/>
      </c>
      <c r="V278" s="825" t="str">
        <f>+Modificaciones!AK278</f>
        <v/>
      </c>
      <c r="W278" s="825">
        <f t="shared" si="51"/>
        <v>42418</v>
      </c>
      <c r="X278" s="59">
        <f t="shared" si="48"/>
        <v>48000000</v>
      </c>
      <c r="Y278" s="151">
        <f>VLOOKUP(E278,Modificaciones!$B$7:$BE$300,56,0)</f>
        <v>48000000</v>
      </c>
      <c r="Z278" s="84">
        <f t="shared" si="49"/>
        <v>0</v>
      </c>
      <c r="AA278" s="283" t="s">
        <v>1094</v>
      </c>
      <c r="AB278" s="40">
        <f t="shared" si="50"/>
        <v>1</v>
      </c>
      <c r="AC278" s="40">
        <f t="shared" ca="1" si="52"/>
        <v>1</v>
      </c>
      <c r="AD278" s="41">
        <f t="shared" ca="1" si="53"/>
        <v>0</v>
      </c>
      <c r="AE278" s="181" t="str">
        <f t="shared" ca="1" si="54"/>
        <v/>
      </c>
      <c r="AF278" s="42" t="str">
        <f t="shared" si="46"/>
        <v>SI</v>
      </c>
      <c r="AG278" s="732" t="s">
        <v>5773</v>
      </c>
      <c r="AH278" s="152" t="s">
        <v>1255</v>
      </c>
      <c r="AI278" s="152" t="s">
        <v>2172</v>
      </c>
      <c r="AJ278" s="152" t="s">
        <v>1429</v>
      </c>
      <c r="AK278" s="255" t="s">
        <v>564</v>
      </c>
      <c r="AL278" s="153" t="s">
        <v>2166</v>
      </c>
      <c r="AM278" s="279" t="s">
        <v>954</v>
      </c>
      <c r="AN278" s="161" t="str">
        <f t="shared" ca="1" si="55"/>
        <v>TERMINO</v>
      </c>
      <c r="AO278" s="160" t="s">
        <v>582</v>
      </c>
      <c r="AP278" s="155" t="s">
        <v>391</v>
      </c>
      <c r="AQ278" s="819" t="str">
        <f>IFERROR(VLOOKUP(E278,'liquidaciones '!$B$2:$C$1048576,2,0),"NO")</f>
        <v>LIQUIDADO</v>
      </c>
      <c r="AR278" s="909">
        <f>IFERROR(VLOOKUP(E278,'liquidaciones '!$B$2:$I$1048576,8,0),"")</f>
        <v>0</v>
      </c>
      <c r="AS278" s="312"/>
      <c r="AT278" s="156" t="str">
        <f t="shared" ca="1" si="56"/>
        <v>NO</v>
      </c>
      <c r="AU278" s="156" t="s">
        <v>981</v>
      </c>
      <c r="AV278" s="406"/>
      <c r="AW278" s="928"/>
      <c r="AX278" s="928"/>
      <c r="AY278" s="928"/>
    </row>
    <row r="279" spans="2:51" ht="47.25" customHeight="1" x14ac:dyDescent="0.3">
      <c r="B279" s="14">
        <v>273</v>
      </c>
      <c r="C279" s="410">
        <v>133</v>
      </c>
      <c r="D279" s="410" t="str">
        <f t="shared" si="47"/>
        <v>2015133</v>
      </c>
      <c r="E279" s="120" t="s">
        <v>1566</v>
      </c>
      <c r="F279" s="834" t="s">
        <v>1565</v>
      </c>
      <c r="G279" s="998">
        <v>41468417</v>
      </c>
      <c r="H279" s="828" t="s">
        <v>1559</v>
      </c>
      <c r="I279" s="187">
        <v>63654000</v>
      </c>
      <c r="J279" s="698" t="s">
        <v>1566</v>
      </c>
      <c r="K279" s="269">
        <v>2015</v>
      </c>
      <c r="L279" s="519">
        <v>42053</v>
      </c>
      <c r="M279" s="835">
        <v>42054</v>
      </c>
      <c r="N279" s="835">
        <v>42419</v>
      </c>
      <c r="O279" s="1099" t="str">
        <f>IF(+Modificaciones!I279=0,"",VLOOKUP(E279,Modificaciones!$B$7:$I$2400,8,0))</f>
        <v/>
      </c>
      <c r="P279" s="115">
        <f>COUNTA(Modificaciones!J279,Modificaciones!L279,Modificaciones!N279,Modificaciones!P279)</f>
        <v>0</v>
      </c>
      <c r="Q279" s="116">
        <f>VLOOKUP(E279,Modificaciones!$B$7:$R$300,17,0)</f>
        <v>0</v>
      </c>
      <c r="R279" s="117">
        <f>COUNTA(Modificaciones!T279,Modificaciones!V279,Modificaciones!X279,Modificaciones!Z279)</f>
        <v>0</v>
      </c>
      <c r="S279" s="118" t="str">
        <f>IF(Modificaciones!AA279=0,"",VLOOKUP(E279,Modificaciones!$B$7:$AA$400,26,0))</f>
        <v/>
      </c>
      <c r="T279" s="119" t="str">
        <f>IF(Modificaciones!AB279=0,"",VLOOKUP(E279,Modificaciones!$B$7:$AB$400,27,0))</f>
        <v/>
      </c>
      <c r="U279" s="1080" t="str">
        <f>+Modificaciones!AC279</f>
        <v/>
      </c>
      <c r="V279" s="825" t="str">
        <f>+Modificaciones!AK279</f>
        <v/>
      </c>
      <c r="W279" s="825">
        <f t="shared" si="51"/>
        <v>42419</v>
      </c>
      <c r="X279" s="59">
        <f t="shared" si="48"/>
        <v>63654000</v>
      </c>
      <c r="Y279" s="151">
        <f>VLOOKUP(E279,Modificaciones!$B$7:$BE$300,56,0)</f>
        <v>63654000</v>
      </c>
      <c r="Z279" s="84">
        <f t="shared" si="49"/>
        <v>0</v>
      </c>
      <c r="AA279" s="283" t="s">
        <v>1094</v>
      </c>
      <c r="AB279" s="40">
        <f t="shared" si="50"/>
        <v>1</v>
      </c>
      <c r="AC279" s="40">
        <f t="shared" ca="1" si="52"/>
        <v>1</v>
      </c>
      <c r="AD279" s="41">
        <f t="shared" ca="1" si="53"/>
        <v>0</v>
      </c>
      <c r="AE279" s="181" t="str">
        <f t="shared" ca="1" si="54"/>
        <v/>
      </c>
      <c r="AF279" s="42" t="str">
        <f t="shared" si="46"/>
        <v>SI</v>
      </c>
      <c r="AG279" s="732" t="s">
        <v>5773</v>
      </c>
      <c r="AH279" s="152" t="s">
        <v>1255</v>
      </c>
      <c r="AI279" s="152" t="s">
        <v>2173</v>
      </c>
      <c r="AJ279" s="152" t="s">
        <v>1176</v>
      </c>
      <c r="AK279" s="255" t="s">
        <v>559</v>
      </c>
      <c r="AL279" s="153"/>
      <c r="AM279" s="279" t="s">
        <v>954</v>
      </c>
      <c r="AN279" s="161" t="str">
        <f t="shared" ca="1" si="55"/>
        <v>TERMINO</v>
      </c>
      <c r="AO279" s="160" t="s">
        <v>582</v>
      </c>
      <c r="AP279" s="155" t="s">
        <v>391</v>
      </c>
      <c r="AQ279" s="819" t="str">
        <f>IFERROR(VLOOKUP(E279,'liquidaciones '!$B$2:$C$1048576,2,0),"NO")</f>
        <v>LIQUIDADO</v>
      </c>
      <c r="AR279" s="909">
        <f>IFERROR(VLOOKUP(E279,'liquidaciones '!$B$2:$I$1048576,8,0),"")</f>
        <v>0</v>
      </c>
      <c r="AS279" s="312"/>
      <c r="AT279" s="156" t="str">
        <f t="shared" ca="1" si="56"/>
        <v>NO</v>
      </c>
      <c r="AU279" s="156" t="s">
        <v>2075</v>
      </c>
      <c r="AV279" s="406"/>
      <c r="AW279" s="928"/>
      <c r="AX279" s="928"/>
      <c r="AY279" s="928"/>
    </row>
    <row r="280" spans="2:51" ht="47.25" customHeight="1" x14ac:dyDescent="0.3">
      <c r="B280" s="14">
        <v>274</v>
      </c>
      <c r="C280" s="410">
        <v>130</v>
      </c>
      <c r="D280" s="410" t="str">
        <f t="shared" si="47"/>
        <v>2015130</v>
      </c>
      <c r="E280" s="120" t="s">
        <v>1607</v>
      </c>
      <c r="F280" s="834" t="s">
        <v>2386</v>
      </c>
      <c r="G280" s="998">
        <v>74323767</v>
      </c>
      <c r="H280" s="828" t="s">
        <v>1554</v>
      </c>
      <c r="I280" s="187">
        <v>60000000</v>
      </c>
      <c r="J280" s="698" t="s">
        <v>1607</v>
      </c>
      <c r="K280" s="269">
        <v>2015</v>
      </c>
      <c r="L280" s="519">
        <v>42052</v>
      </c>
      <c r="M280" s="835">
        <v>42054</v>
      </c>
      <c r="N280" s="835">
        <v>42419</v>
      </c>
      <c r="O280" s="1099" t="str">
        <f>IF(+Modificaciones!I280=0,"",VLOOKUP(E280,Modificaciones!$B$7:$I$2400,8,0))</f>
        <v/>
      </c>
      <c r="P280" s="115">
        <f>COUNTA(Modificaciones!J280,Modificaciones!L280,Modificaciones!N280,Modificaciones!P280)</f>
        <v>0</v>
      </c>
      <c r="Q280" s="116">
        <f>VLOOKUP(E280,Modificaciones!$B$7:$R$300,17,0)</f>
        <v>0</v>
      </c>
      <c r="R280" s="117">
        <f>COUNTA(Modificaciones!T280,Modificaciones!V280,Modificaciones!X280,Modificaciones!Z280)</f>
        <v>0</v>
      </c>
      <c r="S280" s="118" t="str">
        <f>IF(Modificaciones!AA280=0,"",VLOOKUP(E280,Modificaciones!$B$7:$AA$400,26,0))</f>
        <v/>
      </c>
      <c r="T280" s="119" t="str">
        <f>IF(Modificaciones!AB280=0,"",VLOOKUP(E280,Modificaciones!$B$7:$AB$400,27,0))</f>
        <v/>
      </c>
      <c r="U280" s="1080" t="str">
        <f>+Modificaciones!AC280</f>
        <v/>
      </c>
      <c r="V280" s="825" t="str">
        <f>+Modificaciones!AK280</f>
        <v/>
      </c>
      <c r="W280" s="825">
        <f t="shared" si="51"/>
        <v>42419</v>
      </c>
      <c r="X280" s="59">
        <f t="shared" si="48"/>
        <v>60000000</v>
      </c>
      <c r="Y280" s="151">
        <f>VLOOKUP(E280,Modificaciones!$B$7:$BE$300,56,0)</f>
        <v>60000000</v>
      </c>
      <c r="Z280" s="84">
        <f t="shared" si="49"/>
        <v>0</v>
      </c>
      <c r="AA280" s="283" t="s">
        <v>1094</v>
      </c>
      <c r="AB280" s="40">
        <f t="shared" si="50"/>
        <v>1</v>
      </c>
      <c r="AC280" s="40">
        <f t="shared" ca="1" si="52"/>
        <v>1</v>
      </c>
      <c r="AD280" s="41">
        <f t="shared" ca="1" si="53"/>
        <v>0</v>
      </c>
      <c r="AE280" s="181" t="str">
        <f t="shared" ca="1" si="54"/>
        <v/>
      </c>
      <c r="AF280" s="42" t="str">
        <f t="shared" si="46"/>
        <v>SI</v>
      </c>
      <c r="AG280" s="732" t="s">
        <v>5773</v>
      </c>
      <c r="AH280" s="152" t="s">
        <v>1255</v>
      </c>
      <c r="AI280" s="152" t="s">
        <v>2174</v>
      </c>
      <c r="AJ280" s="152" t="s">
        <v>1176</v>
      </c>
      <c r="AK280" s="255" t="s">
        <v>559</v>
      </c>
      <c r="AL280" s="153"/>
      <c r="AM280" s="279" t="s">
        <v>954</v>
      </c>
      <c r="AN280" s="161" t="str">
        <f t="shared" ca="1" si="55"/>
        <v>TERMINO</v>
      </c>
      <c r="AO280" s="160" t="s">
        <v>582</v>
      </c>
      <c r="AP280" s="155" t="s">
        <v>391</v>
      </c>
      <c r="AQ280" s="819" t="str">
        <f>IFERROR(VLOOKUP(E280,'liquidaciones '!$B$2:$C$1048576,2,0),"NO")</f>
        <v>LIQUIDADO</v>
      </c>
      <c r="AR280" s="909">
        <f>IFERROR(VLOOKUP(E280,'liquidaciones '!$B$2:$I$1048576,8,0),"")</f>
        <v>0</v>
      </c>
      <c r="AS280" s="312"/>
      <c r="AT280" s="156" t="str">
        <f t="shared" ca="1" si="56"/>
        <v>NO</v>
      </c>
      <c r="AU280" s="156" t="s">
        <v>2075</v>
      </c>
      <c r="AV280" s="406"/>
      <c r="AW280" s="928"/>
      <c r="AX280" s="928"/>
      <c r="AY280" s="928"/>
    </row>
    <row r="281" spans="2:51" ht="47.25" customHeight="1" x14ac:dyDescent="0.3">
      <c r="B281" s="14">
        <v>275</v>
      </c>
      <c r="C281" s="410">
        <v>136</v>
      </c>
      <c r="D281" s="410" t="str">
        <f t="shared" si="47"/>
        <v>2015136</v>
      </c>
      <c r="E281" s="120" t="s">
        <v>1556</v>
      </c>
      <c r="F281" s="834" t="s">
        <v>1069</v>
      </c>
      <c r="G281" s="998">
        <v>1073156298</v>
      </c>
      <c r="H281" s="828" t="s">
        <v>1558</v>
      </c>
      <c r="I281" s="187">
        <v>43260000</v>
      </c>
      <c r="J281" s="698" t="s">
        <v>1556</v>
      </c>
      <c r="K281" s="269">
        <v>2015</v>
      </c>
      <c r="L281" s="519">
        <v>42054</v>
      </c>
      <c r="M281" s="835">
        <v>42060</v>
      </c>
      <c r="N281" s="835">
        <v>42425</v>
      </c>
      <c r="O281" s="1099" t="str">
        <f>IF(+Modificaciones!I281=0,"",VLOOKUP(E281,Modificaciones!$B$7:$I$2400,8,0))</f>
        <v/>
      </c>
      <c r="P281" s="115">
        <f>COUNTA(Modificaciones!J281,Modificaciones!L281,Modificaciones!N281,Modificaciones!P281)</f>
        <v>0</v>
      </c>
      <c r="Q281" s="116">
        <f>VLOOKUP(E281,Modificaciones!$B$7:$R$300,17,0)</f>
        <v>0</v>
      </c>
      <c r="R281" s="117">
        <f>COUNTA(Modificaciones!T281,Modificaciones!V281,Modificaciones!X281,Modificaciones!Z281)</f>
        <v>0</v>
      </c>
      <c r="S281" s="118" t="str">
        <f>IF(Modificaciones!AA281=0,"",VLOOKUP(E281,Modificaciones!$B$7:$AA$400,26,0))</f>
        <v/>
      </c>
      <c r="T281" s="119" t="str">
        <f>IF(Modificaciones!AB281=0,"",VLOOKUP(E281,Modificaciones!$B$7:$AB$400,27,0))</f>
        <v/>
      </c>
      <c r="U281" s="1080" t="str">
        <f>+Modificaciones!AC281</f>
        <v/>
      </c>
      <c r="V281" s="825" t="str">
        <f>+Modificaciones!AK281</f>
        <v/>
      </c>
      <c r="W281" s="825">
        <f t="shared" si="51"/>
        <v>42425</v>
      </c>
      <c r="X281" s="59">
        <f t="shared" si="48"/>
        <v>43260000</v>
      </c>
      <c r="Y281" s="151">
        <f>VLOOKUP(E281,Modificaciones!$B$7:$BE$300,56,0)</f>
        <v>43260000</v>
      </c>
      <c r="Z281" s="84">
        <f t="shared" si="49"/>
        <v>0</v>
      </c>
      <c r="AA281" s="283" t="s">
        <v>1094</v>
      </c>
      <c r="AB281" s="40">
        <f t="shared" si="50"/>
        <v>1</v>
      </c>
      <c r="AC281" s="40">
        <f t="shared" ca="1" si="52"/>
        <v>1</v>
      </c>
      <c r="AD281" s="41">
        <f t="shared" ca="1" si="53"/>
        <v>0</v>
      </c>
      <c r="AE281" s="181" t="str">
        <f t="shared" ca="1" si="54"/>
        <v/>
      </c>
      <c r="AF281" s="42" t="str">
        <f t="shared" si="46"/>
        <v>SI</v>
      </c>
      <c r="AG281" s="732" t="s">
        <v>5773</v>
      </c>
      <c r="AH281" s="152" t="s">
        <v>1255</v>
      </c>
      <c r="AI281" s="152" t="s">
        <v>2175</v>
      </c>
      <c r="AJ281" s="152" t="s">
        <v>1176</v>
      </c>
      <c r="AK281" s="255" t="s">
        <v>559</v>
      </c>
      <c r="AL281" s="153"/>
      <c r="AM281" s="279" t="s">
        <v>954</v>
      </c>
      <c r="AN281" s="161" t="str">
        <f t="shared" ca="1" si="55"/>
        <v>TERMINO</v>
      </c>
      <c r="AO281" s="160" t="s">
        <v>582</v>
      </c>
      <c r="AP281" s="155" t="s">
        <v>391</v>
      </c>
      <c r="AQ281" s="819" t="str">
        <f>IFERROR(VLOOKUP(E281,'liquidaciones '!$B$2:$C$1048576,2,0),"NO")</f>
        <v>LIQUIDADO</v>
      </c>
      <c r="AR281" s="909">
        <f>IFERROR(VLOOKUP(E281,'liquidaciones '!$B$2:$I$1048576,8,0),"")</f>
        <v>0</v>
      </c>
      <c r="AS281" s="312"/>
      <c r="AT281" s="156" t="str">
        <f t="shared" ca="1" si="56"/>
        <v>NO</v>
      </c>
      <c r="AU281" s="156" t="s">
        <v>2075</v>
      </c>
      <c r="AV281" s="406"/>
      <c r="AW281" s="928"/>
      <c r="AX281" s="928"/>
      <c r="AY281" s="928"/>
    </row>
    <row r="282" spans="2:51" ht="47.25" customHeight="1" x14ac:dyDescent="0.3">
      <c r="B282" s="14">
        <v>276</v>
      </c>
      <c r="C282" s="410">
        <v>125</v>
      </c>
      <c r="D282" s="410" t="str">
        <f t="shared" si="47"/>
        <v>2015125</v>
      </c>
      <c r="E282" s="120" t="s">
        <v>1557</v>
      </c>
      <c r="F282" s="834" t="s">
        <v>2435</v>
      </c>
      <c r="G282" s="998">
        <v>52967877</v>
      </c>
      <c r="H282" s="828" t="s">
        <v>1555</v>
      </c>
      <c r="I282" s="187">
        <v>63654000</v>
      </c>
      <c r="J282" s="698" t="s">
        <v>1557</v>
      </c>
      <c r="K282" s="269">
        <v>2015</v>
      </c>
      <c r="L282" s="519">
        <v>42054</v>
      </c>
      <c r="M282" s="835">
        <v>42060</v>
      </c>
      <c r="N282" s="835">
        <v>42425</v>
      </c>
      <c r="O282" s="1099" t="str">
        <f>IF(+Modificaciones!I282=0,"",VLOOKUP(E282,Modificaciones!$B$7:$I$2400,8,0))</f>
        <v/>
      </c>
      <c r="P282" s="115">
        <f>COUNTA(Modificaciones!J282,Modificaciones!L282,Modificaciones!N282,Modificaciones!P282)</f>
        <v>0</v>
      </c>
      <c r="Q282" s="116">
        <f>VLOOKUP(E282,Modificaciones!$B$7:$R$300,17,0)</f>
        <v>0</v>
      </c>
      <c r="R282" s="117">
        <f>COUNTA(Modificaciones!T282,Modificaciones!V282,Modificaciones!X282,Modificaciones!Z282)</f>
        <v>2</v>
      </c>
      <c r="S282" s="118" t="str">
        <f>IF(Modificaciones!AA282=0,"",VLOOKUP(E282,Modificaciones!$B$7:$AA$400,26,0))</f>
        <v>3 meses y 14 días</v>
      </c>
      <c r="T282" s="119">
        <f>IF(Modificaciones!AB282=0,"",VLOOKUP(E282,Modificaciones!$B$7:$AB$400,27,0))</f>
        <v>42530</v>
      </c>
      <c r="U282" s="1080" t="str">
        <f>+Modificaciones!AC282</f>
        <v/>
      </c>
      <c r="V282" s="825" t="str">
        <f>+Modificaciones!AK282</f>
        <v/>
      </c>
      <c r="W282" s="825">
        <f t="shared" si="51"/>
        <v>42530</v>
      </c>
      <c r="X282" s="59">
        <f t="shared" si="48"/>
        <v>63654000</v>
      </c>
      <c r="Y282" s="151">
        <f>VLOOKUP(E282,Modificaciones!$B$7:$BE$300,56,0)</f>
        <v>62769917</v>
      </c>
      <c r="Z282" s="84">
        <f t="shared" si="49"/>
        <v>884083</v>
      </c>
      <c r="AA282" s="283" t="s">
        <v>1094</v>
      </c>
      <c r="AB282" s="40">
        <f t="shared" si="50"/>
        <v>0.98611111634775506</v>
      </c>
      <c r="AC282" s="40">
        <f t="shared" ca="1" si="52"/>
        <v>1</v>
      </c>
      <c r="AD282" s="41">
        <f t="shared" ca="1" si="53"/>
        <v>1.3888883652244943E-2</v>
      </c>
      <c r="AE282" s="181" t="str">
        <f t="shared" ca="1" si="54"/>
        <v/>
      </c>
      <c r="AF282" s="42" t="str">
        <f t="shared" si="46"/>
        <v>NO</v>
      </c>
      <c r="AG282" s="732" t="s">
        <v>5773</v>
      </c>
      <c r="AH282" s="152" t="s">
        <v>1255</v>
      </c>
      <c r="AI282" s="152" t="s">
        <v>2174</v>
      </c>
      <c r="AJ282" s="152" t="s">
        <v>1176</v>
      </c>
      <c r="AK282" s="255" t="s">
        <v>559</v>
      </c>
      <c r="AL282" s="153"/>
      <c r="AM282" s="279" t="s">
        <v>954</v>
      </c>
      <c r="AN282" s="161" t="str">
        <f t="shared" ca="1" si="55"/>
        <v>TERMINO</v>
      </c>
      <c r="AO282" s="160" t="s">
        <v>582</v>
      </c>
      <c r="AP282" s="155" t="s">
        <v>391</v>
      </c>
      <c r="AQ282" s="819" t="str">
        <f>IFERROR(VLOOKUP(E282,'liquidaciones '!$B$2:$C$1048576,2,0),"NO")</f>
        <v>LIQUIDADO</v>
      </c>
      <c r="AR282" s="909">
        <f>IFERROR(VLOOKUP(E282,'liquidaciones '!$B$2:$I$1048576,8,0),"")</f>
        <v>0</v>
      </c>
      <c r="AS282" s="312"/>
      <c r="AT282" s="156" t="str">
        <f t="shared" ca="1" si="56"/>
        <v>NO</v>
      </c>
      <c r="AU282" s="156" t="s">
        <v>2075</v>
      </c>
      <c r="AV282" s="406"/>
      <c r="AW282" s="928"/>
      <c r="AX282" s="928"/>
      <c r="AY282" s="928"/>
    </row>
    <row r="283" spans="2:51" ht="47.25" customHeight="1" x14ac:dyDescent="0.3">
      <c r="B283" s="14">
        <v>277</v>
      </c>
      <c r="C283" s="410">
        <v>132</v>
      </c>
      <c r="D283" s="410" t="str">
        <f t="shared" si="47"/>
        <v>2015132</v>
      </c>
      <c r="E283" s="120" t="s">
        <v>1575</v>
      </c>
      <c r="F283" s="834" t="s">
        <v>1576</v>
      </c>
      <c r="G283" s="998">
        <v>28557652</v>
      </c>
      <c r="H283" s="828" t="s">
        <v>1577</v>
      </c>
      <c r="I283" s="187">
        <v>30900000</v>
      </c>
      <c r="J283" s="698" t="s">
        <v>1575</v>
      </c>
      <c r="K283" s="269">
        <v>2015</v>
      </c>
      <c r="L283" s="519">
        <v>42055</v>
      </c>
      <c r="M283" s="835">
        <v>42065</v>
      </c>
      <c r="N283" s="835">
        <v>42431</v>
      </c>
      <c r="O283" s="1099" t="str">
        <f>IF(+Modificaciones!I283=0,"",VLOOKUP(E283,Modificaciones!$B$7:$I$2400,8,0))</f>
        <v/>
      </c>
      <c r="P283" s="115">
        <f>COUNTA(Modificaciones!J283,Modificaciones!L283,Modificaciones!N283,Modificaciones!P283)</f>
        <v>0</v>
      </c>
      <c r="Q283" s="116">
        <f>VLOOKUP(E283,Modificaciones!$B$7:$R$300,17,0)</f>
        <v>0</v>
      </c>
      <c r="R283" s="117">
        <f>COUNTA(Modificaciones!T283,Modificaciones!V283,Modificaciones!X283,Modificaciones!Z283)</f>
        <v>0</v>
      </c>
      <c r="S283" s="118" t="str">
        <f>IF(Modificaciones!AA283=0,"",VLOOKUP(E283,Modificaciones!$B$7:$AA$400,26,0))</f>
        <v/>
      </c>
      <c r="T283" s="119" t="str">
        <f>IF(Modificaciones!AB283=0,"",VLOOKUP(E283,Modificaciones!$B$7:$AB$400,27,0))</f>
        <v/>
      </c>
      <c r="U283" s="1080" t="str">
        <f>+Modificaciones!AC283</f>
        <v/>
      </c>
      <c r="V283" s="825" t="str">
        <f>+Modificaciones!AK283</f>
        <v/>
      </c>
      <c r="W283" s="825">
        <f t="shared" si="51"/>
        <v>42431</v>
      </c>
      <c r="X283" s="59">
        <f t="shared" si="48"/>
        <v>30900000</v>
      </c>
      <c r="Y283" s="151">
        <f>VLOOKUP(E283,Modificaciones!$B$7:$BE$300,56,0)</f>
        <v>30900000</v>
      </c>
      <c r="Z283" s="84">
        <f t="shared" si="49"/>
        <v>0</v>
      </c>
      <c r="AA283" s="283" t="s">
        <v>1094</v>
      </c>
      <c r="AB283" s="40">
        <f t="shared" si="50"/>
        <v>1</v>
      </c>
      <c r="AC283" s="40">
        <f t="shared" ca="1" si="52"/>
        <v>1</v>
      </c>
      <c r="AD283" s="41">
        <f t="shared" ca="1" si="53"/>
        <v>0</v>
      </c>
      <c r="AE283" s="181" t="str">
        <f t="shared" ca="1" si="54"/>
        <v/>
      </c>
      <c r="AF283" s="42" t="str">
        <f t="shared" si="46"/>
        <v>SI</v>
      </c>
      <c r="AG283" s="732" t="s">
        <v>5773</v>
      </c>
      <c r="AH283" s="152" t="s">
        <v>1255</v>
      </c>
      <c r="AI283" s="152" t="s">
        <v>2176</v>
      </c>
      <c r="AJ283" s="152" t="s">
        <v>1429</v>
      </c>
      <c r="AK283" s="255" t="s">
        <v>564</v>
      </c>
      <c r="AL283" s="279"/>
      <c r="AM283" s="279" t="s">
        <v>954</v>
      </c>
      <c r="AN283" s="161" t="str">
        <f t="shared" ca="1" si="55"/>
        <v>TERMINO</v>
      </c>
      <c r="AO283" s="160" t="s">
        <v>582</v>
      </c>
      <c r="AP283" s="155" t="s">
        <v>391</v>
      </c>
      <c r="AQ283" s="819" t="str">
        <f>IFERROR(VLOOKUP(E283,'liquidaciones '!$B$2:$C$1048576,2,0),"NO")</f>
        <v>LIQUIDADO</v>
      </c>
      <c r="AR283" s="909">
        <f>IFERROR(VLOOKUP(E283,'liquidaciones '!$B$2:$I$1048576,8,0),"")</f>
        <v>0</v>
      </c>
      <c r="AS283" s="312"/>
      <c r="AT283" s="156" t="str">
        <f t="shared" ca="1" si="56"/>
        <v>NO</v>
      </c>
      <c r="AU283" s="156" t="s">
        <v>981</v>
      </c>
      <c r="AV283" s="406"/>
      <c r="AW283" s="928"/>
      <c r="AX283" s="928"/>
      <c r="AY283" s="928"/>
    </row>
    <row r="284" spans="2:51" ht="47.25" customHeight="1" x14ac:dyDescent="0.3">
      <c r="B284" s="14">
        <v>278</v>
      </c>
      <c r="C284" s="410">
        <v>162</v>
      </c>
      <c r="D284" s="410" t="str">
        <f t="shared" si="47"/>
        <v>2015162</v>
      </c>
      <c r="E284" s="120" t="s">
        <v>1578</v>
      </c>
      <c r="F284" s="834" t="s">
        <v>3</v>
      </c>
      <c r="G284" s="1046">
        <v>830095213</v>
      </c>
      <c r="H284" s="828" t="s">
        <v>402</v>
      </c>
      <c r="I284" s="187">
        <v>444600000</v>
      </c>
      <c r="J284" s="672"/>
      <c r="K284" s="269">
        <v>2015</v>
      </c>
      <c r="L284" s="519"/>
      <c r="M284" s="835">
        <v>42064</v>
      </c>
      <c r="N284" s="835">
        <v>42339</v>
      </c>
      <c r="O284" s="1099" t="str">
        <f>IF(+Modificaciones!I284=0,"",VLOOKUP(E284,Modificaciones!$B$7:$I$2400,8,0))</f>
        <v/>
      </c>
      <c r="P284" s="115">
        <f>COUNTA(Modificaciones!J284,Modificaciones!L284,Modificaciones!N284,Modificaciones!P284)</f>
        <v>0</v>
      </c>
      <c r="Q284" s="116">
        <f>VLOOKUP(E284,Modificaciones!$B$7:$R$300,17,0)</f>
        <v>0</v>
      </c>
      <c r="R284" s="117">
        <f>COUNTA(Modificaciones!T284,Modificaciones!V284,Modificaciones!X284,Modificaciones!Z284)</f>
        <v>0</v>
      </c>
      <c r="S284" s="118" t="str">
        <f>IF(Modificaciones!AA284=0,"",VLOOKUP(E284,Modificaciones!$B$7:$AA$400,26,0))</f>
        <v/>
      </c>
      <c r="T284" s="119" t="str">
        <f>IF(Modificaciones!AB284=0,"",VLOOKUP(E284,Modificaciones!$B$7:$AB$400,27,0))</f>
        <v/>
      </c>
      <c r="U284" s="1080" t="str">
        <f>+Modificaciones!AC284</f>
        <v/>
      </c>
      <c r="V284" s="825" t="str">
        <f>+Modificaciones!AK284</f>
        <v/>
      </c>
      <c r="W284" s="825">
        <f t="shared" si="51"/>
        <v>42339</v>
      </c>
      <c r="X284" s="59">
        <f t="shared" si="48"/>
        <v>444600000</v>
      </c>
      <c r="Y284" s="151">
        <f>VLOOKUP(E284,Modificaciones!$B$7:$BE$300,56,0)</f>
        <v>365337152</v>
      </c>
      <c r="Z284" s="84">
        <f t="shared" si="49"/>
        <v>79262848</v>
      </c>
      <c r="AA284" s="283"/>
      <c r="AB284" s="40">
        <f t="shared" si="50"/>
        <v>0.82172098965362128</v>
      </c>
      <c r="AC284" s="40">
        <f t="shared" ca="1" si="52"/>
        <v>1</v>
      </c>
      <c r="AD284" s="41">
        <f t="shared" ca="1" si="53"/>
        <v>0.17827901034637872</v>
      </c>
      <c r="AE284" s="181" t="str">
        <f t="shared" ca="1" si="54"/>
        <v/>
      </c>
      <c r="AF284" s="42" t="str">
        <f t="shared" si="46"/>
        <v>NO</v>
      </c>
      <c r="AG284" s="732" t="str">
        <f>VLOOKUP(C284,[2]Hoja4!$A$2:$E$116,5,0)</f>
        <v>SUMINISTRO</v>
      </c>
      <c r="AH284" s="152" t="s">
        <v>1255</v>
      </c>
      <c r="AI284" s="255" t="s">
        <v>1138</v>
      </c>
      <c r="AJ284" s="152" t="s">
        <v>1441</v>
      </c>
      <c r="AK284" s="255" t="s">
        <v>560</v>
      </c>
      <c r="AL284" s="279" t="s">
        <v>1318</v>
      </c>
      <c r="AM284" s="279" t="s">
        <v>954</v>
      </c>
      <c r="AN284" s="161" t="str">
        <f t="shared" ca="1" si="55"/>
        <v>TERMINO</v>
      </c>
      <c r="AO284" s="284"/>
      <c r="AP284" s="155"/>
      <c r="AQ284" s="819" t="str">
        <f>IFERROR(VLOOKUP(E284,'liquidaciones '!$B$2:$C$1048576,2,0),"NO")</f>
        <v>LIQUIDADO</v>
      </c>
      <c r="AR284" s="909" t="str">
        <f>IFERROR(VLOOKUP(E284,'liquidaciones '!$B$2:$I$1048576,8,0),"")</f>
        <v>JULIETH ANGARITA</v>
      </c>
      <c r="AS284" s="312"/>
      <c r="AT284" s="156" t="str">
        <f t="shared" ca="1" si="56"/>
        <v>NO</v>
      </c>
      <c r="AU284" s="156" t="s">
        <v>1509</v>
      </c>
      <c r="AV284" s="406"/>
      <c r="AW284" s="928"/>
      <c r="AX284" s="928"/>
      <c r="AY284" s="928"/>
    </row>
    <row r="285" spans="2:51" ht="47.25" customHeight="1" x14ac:dyDescent="0.3">
      <c r="B285" s="14">
        <v>279</v>
      </c>
      <c r="C285" s="410">
        <v>128</v>
      </c>
      <c r="D285" s="410" t="str">
        <f t="shared" si="47"/>
        <v>2015128</v>
      </c>
      <c r="E285" s="120" t="s">
        <v>1579</v>
      </c>
      <c r="F285" s="834" t="s">
        <v>1033</v>
      </c>
      <c r="G285" s="998">
        <v>79887061</v>
      </c>
      <c r="H285" s="828" t="s">
        <v>1608</v>
      </c>
      <c r="I285" s="187">
        <v>38400000</v>
      </c>
      <c r="J285" s="698" t="s">
        <v>1579</v>
      </c>
      <c r="K285" s="269">
        <v>2015</v>
      </c>
      <c r="L285" s="519">
        <v>42062</v>
      </c>
      <c r="M285" s="835">
        <v>42073</v>
      </c>
      <c r="N285" s="835">
        <v>42439</v>
      </c>
      <c r="O285" s="1099" t="str">
        <f>IF(+Modificaciones!I285=0,"",VLOOKUP(E285,Modificaciones!$B$7:$I$2400,8,0))</f>
        <v/>
      </c>
      <c r="P285" s="115">
        <f>COUNTA(Modificaciones!J285,Modificaciones!L285,Modificaciones!N285,Modificaciones!P285)</f>
        <v>0</v>
      </c>
      <c r="Q285" s="116">
        <f>VLOOKUP(E285,Modificaciones!$B$7:$R$300,17,0)</f>
        <v>0</v>
      </c>
      <c r="R285" s="117">
        <f>COUNTA(Modificaciones!T285,Modificaciones!V285,Modificaciones!X285,Modificaciones!Z285)</f>
        <v>0</v>
      </c>
      <c r="S285" s="118" t="str">
        <f>IF(Modificaciones!AA285=0,"",VLOOKUP(E285,Modificaciones!$B$7:$AA$400,26,0))</f>
        <v/>
      </c>
      <c r="T285" s="119" t="str">
        <f>IF(Modificaciones!AB285=0,"",VLOOKUP(E285,Modificaciones!$B$7:$AB$400,27,0))</f>
        <v/>
      </c>
      <c r="U285" s="1080" t="str">
        <f>+Modificaciones!AC285</f>
        <v/>
      </c>
      <c r="V285" s="825" t="str">
        <f>+Modificaciones!AK285</f>
        <v/>
      </c>
      <c r="W285" s="825">
        <f t="shared" si="51"/>
        <v>42439</v>
      </c>
      <c r="X285" s="59">
        <f t="shared" si="48"/>
        <v>38400000</v>
      </c>
      <c r="Y285" s="151">
        <f>VLOOKUP(E285,Modificaciones!$B$7:$BE$300,56,0)</f>
        <v>38400000</v>
      </c>
      <c r="Z285" s="84">
        <f t="shared" si="49"/>
        <v>0</v>
      </c>
      <c r="AA285" s="283" t="s">
        <v>1094</v>
      </c>
      <c r="AB285" s="40">
        <f t="shared" si="50"/>
        <v>1</v>
      </c>
      <c r="AC285" s="40">
        <f t="shared" ca="1" si="52"/>
        <v>1</v>
      </c>
      <c r="AD285" s="41">
        <f t="shared" ca="1" si="53"/>
        <v>0</v>
      </c>
      <c r="AE285" s="181" t="str">
        <f t="shared" ca="1" si="54"/>
        <v/>
      </c>
      <c r="AF285" s="42" t="str">
        <f t="shared" si="46"/>
        <v>SI</v>
      </c>
      <c r="AG285" s="732" t="s">
        <v>5773</v>
      </c>
      <c r="AH285" s="152" t="s">
        <v>1255</v>
      </c>
      <c r="AI285" s="152" t="s">
        <v>2177</v>
      </c>
      <c r="AJ285" s="152" t="s">
        <v>1438</v>
      </c>
      <c r="AK285" s="255" t="s">
        <v>560</v>
      </c>
      <c r="AL285" s="279" t="s">
        <v>1508</v>
      </c>
      <c r="AM285" s="279" t="s">
        <v>954</v>
      </c>
      <c r="AN285" s="161" t="str">
        <f t="shared" ca="1" si="55"/>
        <v>TERMINO</v>
      </c>
      <c r="AO285" s="160" t="s">
        <v>582</v>
      </c>
      <c r="AP285" s="155" t="s">
        <v>391</v>
      </c>
      <c r="AQ285" s="819" t="str">
        <f>IFERROR(VLOOKUP(E285,'liquidaciones '!$B$2:$C$1048576,2,0),"NO")</f>
        <v>LIQUIDADO</v>
      </c>
      <c r="AR285" s="909">
        <f>IFERROR(VLOOKUP(E285,'liquidaciones '!$B$2:$I$1048576,8,0),"")</f>
        <v>0</v>
      </c>
      <c r="AS285" s="312"/>
      <c r="AT285" s="156" t="str">
        <f t="shared" ca="1" si="56"/>
        <v>NO</v>
      </c>
      <c r="AU285" s="156" t="s">
        <v>981</v>
      </c>
      <c r="AV285" s="406"/>
      <c r="AW285" s="928"/>
      <c r="AX285" s="928"/>
      <c r="AY285" s="928"/>
    </row>
    <row r="286" spans="2:51" ht="47.25" customHeight="1" x14ac:dyDescent="0.3">
      <c r="B286" s="14">
        <v>280</v>
      </c>
      <c r="C286" s="410">
        <v>127</v>
      </c>
      <c r="D286" s="410" t="str">
        <f t="shared" si="47"/>
        <v>2015127</v>
      </c>
      <c r="E286" s="120" t="s">
        <v>1580</v>
      </c>
      <c r="F286" s="834" t="s">
        <v>1581</v>
      </c>
      <c r="G286" s="998">
        <v>53124369</v>
      </c>
      <c r="H286" s="828" t="s">
        <v>1582</v>
      </c>
      <c r="I286" s="187">
        <v>78000000</v>
      </c>
      <c r="J286" s="698" t="s">
        <v>1580</v>
      </c>
      <c r="K286" s="269">
        <v>2015</v>
      </c>
      <c r="L286" s="519">
        <v>42066</v>
      </c>
      <c r="M286" s="835">
        <v>42066</v>
      </c>
      <c r="N286" s="835">
        <v>42432</v>
      </c>
      <c r="O286" s="1099" t="str">
        <f>IF(+Modificaciones!I286=0,"",VLOOKUP(E286,Modificaciones!$B$7:$I$2400,8,0))</f>
        <v/>
      </c>
      <c r="P286" s="115">
        <f>COUNTA(Modificaciones!J286,Modificaciones!L286,Modificaciones!N286,Modificaciones!P286)</f>
        <v>0</v>
      </c>
      <c r="Q286" s="116">
        <f>VLOOKUP(E286,Modificaciones!$B$7:$R$300,17,0)</f>
        <v>0</v>
      </c>
      <c r="R286" s="117">
        <f>COUNTA(Modificaciones!T286,Modificaciones!V286,Modificaciones!X286,Modificaciones!Z286)</f>
        <v>0</v>
      </c>
      <c r="S286" s="118" t="str">
        <f>IF(Modificaciones!AA286=0,"",VLOOKUP(E286,Modificaciones!$B$7:$AA$400,26,0))</f>
        <v/>
      </c>
      <c r="T286" s="119" t="str">
        <f>IF(Modificaciones!AB286=0,"",VLOOKUP(E286,Modificaciones!$B$7:$AB$400,27,0))</f>
        <v/>
      </c>
      <c r="U286" s="1080" t="str">
        <f>+Modificaciones!AC286</f>
        <v/>
      </c>
      <c r="V286" s="825" t="str">
        <f>+Modificaciones!AK286</f>
        <v/>
      </c>
      <c r="W286" s="825">
        <f t="shared" si="51"/>
        <v>42432</v>
      </c>
      <c r="X286" s="59">
        <f t="shared" si="48"/>
        <v>78000000</v>
      </c>
      <c r="Y286" s="151">
        <f>VLOOKUP(E286,Modificaciones!$B$7:$BE$300,56,0)</f>
        <v>78000000</v>
      </c>
      <c r="Z286" s="84">
        <f t="shared" si="49"/>
        <v>0</v>
      </c>
      <c r="AA286" s="283" t="s">
        <v>1094</v>
      </c>
      <c r="AB286" s="40">
        <f t="shared" si="50"/>
        <v>1</v>
      </c>
      <c r="AC286" s="40">
        <f t="shared" ca="1" si="52"/>
        <v>1</v>
      </c>
      <c r="AD286" s="41">
        <f t="shared" ca="1" si="53"/>
        <v>0</v>
      </c>
      <c r="AE286" s="181" t="str">
        <f t="shared" ca="1" si="54"/>
        <v/>
      </c>
      <c r="AF286" s="42" t="str">
        <f t="shared" si="46"/>
        <v>SI</v>
      </c>
      <c r="AG286" s="732" t="s">
        <v>5773</v>
      </c>
      <c r="AH286" s="152" t="s">
        <v>1255</v>
      </c>
      <c r="AI286" s="152" t="s">
        <v>1968</v>
      </c>
      <c r="AJ286" s="152" t="s">
        <v>1436</v>
      </c>
      <c r="AK286" s="255" t="s">
        <v>561</v>
      </c>
      <c r="AL286" s="279"/>
      <c r="AM286" s="279" t="s">
        <v>954</v>
      </c>
      <c r="AN286" s="161" t="str">
        <f t="shared" ca="1" si="55"/>
        <v>TERMINO</v>
      </c>
      <c r="AO286" s="284" t="s">
        <v>582</v>
      </c>
      <c r="AP286" s="155" t="s">
        <v>391</v>
      </c>
      <c r="AQ286" s="819" t="str">
        <f>IFERROR(VLOOKUP(E286,'liquidaciones '!$B$2:$C$1048576,2,0),"NO")</f>
        <v>LIQUIDADO</v>
      </c>
      <c r="AR286" s="909">
        <f>IFERROR(VLOOKUP(E286,'liquidaciones '!$B$2:$I$1048576,8,0),"")</f>
        <v>0</v>
      </c>
      <c r="AS286" s="312"/>
      <c r="AT286" s="156" t="str">
        <f t="shared" ca="1" si="56"/>
        <v>NO</v>
      </c>
      <c r="AU286" s="156" t="s">
        <v>1509</v>
      </c>
      <c r="AV286" s="406"/>
      <c r="AW286" s="928"/>
      <c r="AX286" s="928"/>
      <c r="AY286" s="928"/>
    </row>
    <row r="287" spans="2:51" ht="47.25" customHeight="1" x14ac:dyDescent="0.3">
      <c r="B287" s="14">
        <v>281</v>
      </c>
      <c r="C287" s="410">
        <v>131</v>
      </c>
      <c r="D287" s="410" t="str">
        <f t="shared" si="47"/>
        <v>2015131</v>
      </c>
      <c r="E287" s="120" t="s">
        <v>1583</v>
      </c>
      <c r="F287" s="834" t="s">
        <v>1584</v>
      </c>
      <c r="G287" s="998">
        <v>51961125</v>
      </c>
      <c r="H287" s="828" t="s">
        <v>1074</v>
      </c>
      <c r="I287" s="187">
        <v>30900000</v>
      </c>
      <c r="J287" s="698" t="s">
        <v>1583</v>
      </c>
      <c r="K287" s="269">
        <v>2015</v>
      </c>
      <c r="L287" s="519">
        <v>42066</v>
      </c>
      <c r="M287" s="835">
        <v>42073</v>
      </c>
      <c r="N287" s="835">
        <v>42439</v>
      </c>
      <c r="O287" s="1099" t="str">
        <f>IF(+Modificaciones!I287=0,"",VLOOKUP(E287,Modificaciones!$B$7:$I$2400,8,0))</f>
        <v/>
      </c>
      <c r="P287" s="115">
        <f>COUNTA(Modificaciones!J287,Modificaciones!L287,Modificaciones!N287,Modificaciones!P287)</f>
        <v>0</v>
      </c>
      <c r="Q287" s="116">
        <f>VLOOKUP(E287,Modificaciones!$B$7:$R$300,17,0)</f>
        <v>0</v>
      </c>
      <c r="R287" s="117">
        <f>COUNTA(Modificaciones!T287,Modificaciones!V287,Modificaciones!X287,Modificaciones!Z287)</f>
        <v>0</v>
      </c>
      <c r="S287" s="118" t="str">
        <f>IF(Modificaciones!AA287=0,"",VLOOKUP(E287,Modificaciones!$B$7:$AA$400,26,0))</f>
        <v/>
      </c>
      <c r="T287" s="119" t="str">
        <f>IF(Modificaciones!AB287=0,"",VLOOKUP(E287,Modificaciones!$B$7:$AB$400,27,0))</f>
        <v/>
      </c>
      <c r="U287" s="1080" t="str">
        <f>+Modificaciones!AC287</f>
        <v/>
      </c>
      <c r="V287" s="825" t="str">
        <f>+Modificaciones!AK287</f>
        <v/>
      </c>
      <c r="W287" s="825">
        <f t="shared" si="51"/>
        <v>42439</v>
      </c>
      <c r="X287" s="59">
        <f t="shared" si="48"/>
        <v>30900000</v>
      </c>
      <c r="Y287" s="151">
        <f>VLOOKUP(E287,Modificaciones!$B$7:$BE$300,56,0)</f>
        <v>30900000</v>
      </c>
      <c r="Z287" s="84">
        <f t="shared" si="49"/>
        <v>0</v>
      </c>
      <c r="AA287" s="283" t="s">
        <v>1094</v>
      </c>
      <c r="AB287" s="40">
        <f t="shared" si="50"/>
        <v>1</v>
      </c>
      <c r="AC287" s="40">
        <f t="shared" ca="1" si="52"/>
        <v>1</v>
      </c>
      <c r="AD287" s="41">
        <f t="shared" ca="1" si="53"/>
        <v>0</v>
      </c>
      <c r="AE287" s="181" t="str">
        <f t="shared" ca="1" si="54"/>
        <v/>
      </c>
      <c r="AF287" s="42" t="str">
        <f t="shared" ref="AF287:AF318" si="57">IF(AB287&lt;=99.9%,"NO","SI")</f>
        <v>SI</v>
      </c>
      <c r="AG287" s="732" t="s">
        <v>5773</v>
      </c>
      <c r="AH287" s="152" t="s">
        <v>1255</v>
      </c>
      <c r="AI287" s="152" t="s">
        <v>2178</v>
      </c>
      <c r="AJ287" s="152" t="s">
        <v>1176</v>
      </c>
      <c r="AK287" s="255" t="s">
        <v>559</v>
      </c>
      <c r="AL287" s="279"/>
      <c r="AM287" s="279" t="s">
        <v>954</v>
      </c>
      <c r="AN287" s="161" t="str">
        <f t="shared" ca="1" si="55"/>
        <v>TERMINO</v>
      </c>
      <c r="AO287" s="284" t="s">
        <v>582</v>
      </c>
      <c r="AP287" s="155" t="s">
        <v>391</v>
      </c>
      <c r="AQ287" s="819" t="str">
        <f>IFERROR(VLOOKUP(E287,'liquidaciones '!$B$2:$C$1048576,2,0),"NO")</f>
        <v>LIQUIDADO</v>
      </c>
      <c r="AR287" s="909">
        <f>IFERROR(VLOOKUP(E287,'liquidaciones '!$B$2:$I$1048576,8,0),"")</f>
        <v>0</v>
      </c>
      <c r="AS287" s="312"/>
      <c r="AT287" s="156" t="str">
        <f t="shared" ca="1" si="56"/>
        <v>NO</v>
      </c>
      <c r="AU287" s="156" t="s">
        <v>2075</v>
      </c>
      <c r="AV287" s="406"/>
      <c r="AW287" s="928"/>
      <c r="AX287" s="928"/>
      <c r="AY287" s="928"/>
    </row>
    <row r="288" spans="2:51" ht="47.25" customHeight="1" x14ac:dyDescent="0.3">
      <c r="B288" s="14">
        <v>282</v>
      </c>
      <c r="C288" s="410">
        <v>68</v>
      </c>
      <c r="D288" s="410" t="str">
        <f t="shared" si="47"/>
        <v>201568</v>
      </c>
      <c r="E288" s="120" t="s">
        <v>1602</v>
      </c>
      <c r="F288" s="834" t="s">
        <v>1337</v>
      </c>
      <c r="G288" s="998">
        <v>899999115</v>
      </c>
      <c r="H288" s="828" t="s">
        <v>1603</v>
      </c>
      <c r="I288" s="187">
        <v>150000000</v>
      </c>
      <c r="J288" s="698" t="s">
        <v>1602</v>
      </c>
      <c r="K288" s="269">
        <v>2015</v>
      </c>
      <c r="L288" s="519">
        <v>42066</v>
      </c>
      <c r="M288" s="835">
        <v>42090</v>
      </c>
      <c r="N288" s="835">
        <v>42456</v>
      </c>
      <c r="O288" s="1099" t="str">
        <f>IF(+Modificaciones!I288=0,"",VLOOKUP(E288,Modificaciones!$B$7:$I$2400,8,0))</f>
        <v/>
      </c>
      <c r="P288" s="115">
        <f>COUNTA(Modificaciones!J288,Modificaciones!L288,Modificaciones!N288,Modificaciones!P288)</f>
        <v>0</v>
      </c>
      <c r="Q288" s="116">
        <f>VLOOKUP(E288,Modificaciones!$B$7:$R$300,17,0)</f>
        <v>0</v>
      </c>
      <c r="R288" s="117">
        <f>COUNTA(Modificaciones!T288,Modificaciones!V288,Modificaciones!X288,Modificaciones!Z288)</f>
        <v>0</v>
      </c>
      <c r="S288" s="118" t="str">
        <f>IF(Modificaciones!AA288=0,"",VLOOKUP(E288,Modificaciones!$B$7:$AA$400,26,0))</f>
        <v/>
      </c>
      <c r="T288" s="119" t="str">
        <f>IF(Modificaciones!AB288=0,"",VLOOKUP(E288,Modificaciones!$B$7:$AB$400,27,0))</f>
        <v/>
      </c>
      <c r="U288" s="1080" t="str">
        <f>+Modificaciones!AC288</f>
        <v/>
      </c>
      <c r="V288" s="825" t="str">
        <f>+Modificaciones!AK288</f>
        <v/>
      </c>
      <c r="W288" s="825">
        <f t="shared" si="51"/>
        <v>42456</v>
      </c>
      <c r="X288" s="59">
        <f t="shared" si="48"/>
        <v>150000000</v>
      </c>
      <c r="Y288" s="151">
        <f>VLOOKUP(E288,Modificaciones!$B$7:$BE$300,56,0)</f>
        <v>150000000</v>
      </c>
      <c r="Z288" s="84">
        <f t="shared" si="49"/>
        <v>0</v>
      </c>
      <c r="AA288" s="283" t="s">
        <v>1604</v>
      </c>
      <c r="AB288" s="40">
        <f t="shared" si="50"/>
        <v>1</v>
      </c>
      <c r="AC288" s="40">
        <f t="shared" ca="1" si="52"/>
        <v>1</v>
      </c>
      <c r="AD288" s="41">
        <f t="shared" ca="1" si="53"/>
        <v>0</v>
      </c>
      <c r="AE288" s="181" t="str">
        <f t="shared" ca="1" si="54"/>
        <v/>
      </c>
      <c r="AF288" s="42" t="str">
        <f t="shared" si="57"/>
        <v>SI</v>
      </c>
      <c r="AG288" s="732" t="str">
        <f>VLOOKUP(C288,[2]Hoja4!$A$2:$E$116,5,0)</f>
        <v>PRESTACION DE SERVICIOS</v>
      </c>
      <c r="AH288" s="152" t="s">
        <v>1256</v>
      </c>
      <c r="AI288" s="255" t="s">
        <v>1605</v>
      </c>
      <c r="AJ288" s="152" t="s">
        <v>1438</v>
      </c>
      <c r="AK288" s="255" t="s">
        <v>560</v>
      </c>
      <c r="AL288" s="279" t="s">
        <v>1508</v>
      </c>
      <c r="AM288" s="279" t="s">
        <v>954</v>
      </c>
      <c r="AN288" s="161" t="str">
        <f t="shared" ca="1" si="55"/>
        <v>TERMINO</v>
      </c>
      <c r="AO288" s="284" t="s">
        <v>582</v>
      </c>
      <c r="AP288" s="155" t="s">
        <v>390</v>
      </c>
      <c r="AQ288" s="819" t="str">
        <f>IFERROR(VLOOKUP(E288,'liquidaciones '!$B$2:$C$1048576,2,0),"NO")</f>
        <v>LIQUIDADO</v>
      </c>
      <c r="AR288" s="909">
        <f>IFERROR(VLOOKUP(E288,'liquidaciones '!$B$2:$I$1048576,8,0),"")</f>
        <v>0</v>
      </c>
      <c r="AS288" s="312"/>
      <c r="AT288" s="156" t="str">
        <f t="shared" ca="1" si="56"/>
        <v>NO</v>
      </c>
      <c r="AU288" s="156" t="s">
        <v>1991</v>
      </c>
      <c r="AV288" s="406"/>
      <c r="AW288" s="928"/>
      <c r="AX288" s="928"/>
      <c r="AY288" s="928"/>
    </row>
    <row r="289" spans="2:51" ht="73.5" customHeight="1" x14ac:dyDescent="0.3">
      <c r="B289" s="14">
        <v>283</v>
      </c>
      <c r="C289" s="410"/>
      <c r="D289" s="410" t="str">
        <f t="shared" si="47"/>
        <v>2015</v>
      </c>
      <c r="E289" s="120" t="s">
        <v>1585</v>
      </c>
      <c r="F289" s="834" t="s">
        <v>1586</v>
      </c>
      <c r="G289" s="998">
        <v>800018165</v>
      </c>
      <c r="H289" s="828" t="s">
        <v>1587</v>
      </c>
      <c r="I289" s="187">
        <v>0</v>
      </c>
      <c r="J289" s="673" t="s">
        <v>2086</v>
      </c>
      <c r="K289" s="269">
        <v>2015</v>
      </c>
      <c r="L289" s="519">
        <v>42068</v>
      </c>
      <c r="M289" s="835"/>
      <c r="N289" s="835"/>
      <c r="O289" s="1099" t="str">
        <f>IF(+Modificaciones!I289=0,"",VLOOKUP(E289,Modificaciones!$B$7:$I$2400,8,0))</f>
        <v/>
      </c>
      <c r="P289" s="115">
        <f>COUNTA(Modificaciones!J289,Modificaciones!L289,Modificaciones!N289,Modificaciones!P289)</f>
        <v>0</v>
      </c>
      <c r="Q289" s="116">
        <f>VLOOKUP(E289,Modificaciones!$B$7:$R$300,17,0)</f>
        <v>0</v>
      </c>
      <c r="R289" s="117">
        <f>COUNTA(Modificaciones!T289,Modificaciones!V289,Modificaciones!X289,Modificaciones!Z289)</f>
        <v>0</v>
      </c>
      <c r="S289" s="118" t="str">
        <f>IF(Modificaciones!AA289=0,"",VLOOKUP(E289,Modificaciones!$B$7:$AA$400,26,0))</f>
        <v/>
      </c>
      <c r="T289" s="119" t="str">
        <f>IF(Modificaciones!AB289=0,"",VLOOKUP(E289,Modificaciones!$B$7:$AB$400,27,0))</f>
        <v/>
      </c>
      <c r="U289" s="1080" t="str">
        <f>+Modificaciones!AC289</f>
        <v/>
      </c>
      <c r="V289" s="825" t="str">
        <f>+Modificaciones!AK289</f>
        <v/>
      </c>
      <c r="W289" s="825">
        <f t="shared" si="51"/>
        <v>0</v>
      </c>
      <c r="X289" s="59">
        <f t="shared" si="48"/>
        <v>0</v>
      </c>
      <c r="Y289" s="151">
        <f>VLOOKUP(E289,Modificaciones!$B$7:$BE$300,56,0)</f>
        <v>0</v>
      </c>
      <c r="Z289" s="84">
        <f t="shared" si="49"/>
        <v>0</v>
      </c>
      <c r="AA289" s="283" t="s">
        <v>590</v>
      </c>
      <c r="AB289" s="40" t="e">
        <f t="shared" si="50"/>
        <v>#DIV/0!</v>
      </c>
      <c r="AC289" s="40" t="e">
        <f t="shared" ca="1" si="52"/>
        <v>#DIV/0!</v>
      </c>
      <c r="AD289" s="41" t="e">
        <f t="shared" ca="1" si="53"/>
        <v>#DIV/0!</v>
      </c>
      <c r="AE289" s="181" t="e">
        <f t="shared" ca="1" si="54"/>
        <v>#DIV/0!</v>
      </c>
      <c r="AF289" s="42" t="e">
        <f t="shared" si="57"/>
        <v>#DIV/0!</v>
      </c>
      <c r="AG289" s="732" t="e">
        <f>VLOOKUP(C289,[2]Hoja4!$A$2:$E$116,5,0)</f>
        <v>#N/A</v>
      </c>
      <c r="AH289" s="152" t="s">
        <v>1255</v>
      </c>
      <c r="AI289" s="255" t="s">
        <v>1588</v>
      </c>
      <c r="AJ289" s="152"/>
      <c r="AL289" s="279"/>
      <c r="AM289" s="279" t="s">
        <v>1589</v>
      </c>
      <c r="AN289" s="161" t="str">
        <f t="shared" ca="1" si="55"/>
        <v>TERMINO</v>
      </c>
      <c r="AO289" s="284" t="s">
        <v>573</v>
      </c>
      <c r="AP289" s="155" t="s">
        <v>390</v>
      </c>
      <c r="AQ289" s="819" t="str">
        <f>IFERROR(VLOOKUP(E289,'liquidaciones '!$B$2:$C$1048576,2,0),"NO")</f>
        <v>LIQUIDADO</v>
      </c>
      <c r="AR289" s="909">
        <f>IFERROR(VLOOKUP(E289,'liquidaciones '!$B$2:$I$1048576,8,0),"")</f>
        <v>0</v>
      </c>
      <c r="AS289" s="312"/>
      <c r="AT289" s="156" t="str">
        <f t="shared" ca="1" si="56"/>
        <v>NO</v>
      </c>
      <c r="AU289" s="156"/>
      <c r="AV289" s="406"/>
      <c r="AW289" s="928"/>
      <c r="AX289" s="928"/>
      <c r="AY289" s="928"/>
    </row>
    <row r="290" spans="2:51" ht="47.25" customHeight="1" x14ac:dyDescent="0.3">
      <c r="B290" s="14">
        <v>284</v>
      </c>
      <c r="C290" s="410">
        <v>143</v>
      </c>
      <c r="D290" s="410" t="str">
        <f t="shared" si="47"/>
        <v>2015143</v>
      </c>
      <c r="E290" s="120" t="s">
        <v>1591</v>
      </c>
      <c r="F290" s="834" t="s">
        <v>1030</v>
      </c>
      <c r="G290" s="998">
        <v>800249557</v>
      </c>
      <c r="H290" s="828" t="s">
        <v>1592</v>
      </c>
      <c r="I290" s="187">
        <v>4100000</v>
      </c>
      <c r="J290" s="821" t="s">
        <v>1591</v>
      </c>
      <c r="K290" s="269">
        <v>2015</v>
      </c>
      <c r="L290" s="519">
        <v>42080</v>
      </c>
      <c r="M290" s="835">
        <v>42088</v>
      </c>
      <c r="N290" s="835">
        <v>42241</v>
      </c>
      <c r="O290" s="1099" t="str">
        <f>IF(+Modificaciones!I290=0,"",VLOOKUP(E290,Modificaciones!$B$7:$I$2400,8,0))</f>
        <v/>
      </c>
      <c r="P290" s="115">
        <f>COUNTA(Modificaciones!J290,Modificaciones!L290,Modificaciones!N290,Modificaciones!P290)</f>
        <v>0</v>
      </c>
      <c r="Q290" s="116">
        <f>VLOOKUP(E290,Modificaciones!$B$7:$R$300,17,0)</f>
        <v>0</v>
      </c>
      <c r="R290" s="117">
        <f>COUNTA(Modificaciones!T290,Modificaciones!V290,Modificaciones!X290,Modificaciones!Z290)</f>
        <v>0</v>
      </c>
      <c r="S290" s="118" t="str">
        <f>IF(Modificaciones!AA290=0,"",VLOOKUP(E290,Modificaciones!$B$7:$AA$400,26,0))</f>
        <v/>
      </c>
      <c r="T290" s="119" t="str">
        <f>IF(Modificaciones!AB290=0,"",VLOOKUP(E290,Modificaciones!$B$7:$AB$400,27,0))</f>
        <v/>
      </c>
      <c r="U290" s="1080" t="str">
        <f>+Modificaciones!AC290</f>
        <v/>
      </c>
      <c r="V290" s="825" t="str">
        <f>+Modificaciones!AK290</f>
        <v/>
      </c>
      <c r="W290" s="825">
        <f t="shared" si="51"/>
        <v>42241</v>
      </c>
      <c r="X290" s="59">
        <f t="shared" si="48"/>
        <v>4100000</v>
      </c>
      <c r="Y290" s="151">
        <f>VLOOKUP(E290,Modificaciones!$B$7:$BE$300,56,0)</f>
        <v>4100000</v>
      </c>
      <c r="Z290" s="84">
        <f t="shared" si="49"/>
        <v>0</v>
      </c>
      <c r="AA290" s="283" t="s">
        <v>1894</v>
      </c>
      <c r="AB290" s="40">
        <f t="shared" si="50"/>
        <v>1</v>
      </c>
      <c r="AC290" s="40">
        <f t="shared" ca="1" si="52"/>
        <v>1</v>
      </c>
      <c r="AD290" s="41">
        <f t="shared" ca="1" si="53"/>
        <v>0</v>
      </c>
      <c r="AE290" s="181" t="str">
        <f t="shared" ca="1" si="54"/>
        <v/>
      </c>
      <c r="AF290" s="42" t="str">
        <f t="shared" si="57"/>
        <v>SI</v>
      </c>
      <c r="AG290" s="732" t="str">
        <f>VLOOKUP(C290,[2]Hoja4!$A$2:$E$116,5,0)</f>
        <v>SUSCRIPCION</v>
      </c>
      <c r="AH290" s="152" t="s">
        <v>1255</v>
      </c>
      <c r="AI290" s="255" t="s">
        <v>1290</v>
      </c>
      <c r="AJ290" s="152" t="s">
        <v>1429</v>
      </c>
      <c r="AK290" s="255" t="s">
        <v>564</v>
      </c>
      <c r="AL290" s="279"/>
      <c r="AM290" s="279" t="s">
        <v>954</v>
      </c>
      <c r="AN290" s="161" t="str">
        <f t="shared" ca="1" si="55"/>
        <v>TERMINO</v>
      </c>
      <c r="AO290" s="160" t="s">
        <v>582</v>
      </c>
      <c r="AP290" s="155" t="s">
        <v>391</v>
      </c>
      <c r="AQ290" s="819" t="str">
        <f>IFERROR(VLOOKUP(E290,'liquidaciones '!$B$2:$C$1048576,2,0),"NO")</f>
        <v>LIQUIDADO</v>
      </c>
      <c r="AR290" s="909">
        <f>IFERROR(VLOOKUP(E290,'liquidaciones '!$B$2:$I$1048576,8,0),"")</f>
        <v>0</v>
      </c>
      <c r="AS290" s="312">
        <v>42304</v>
      </c>
      <c r="AT290" s="156" t="str">
        <f t="shared" ca="1" si="56"/>
        <v>NO</v>
      </c>
      <c r="AU290" s="156" t="s">
        <v>1509</v>
      </c>
      <c r="AV290" s="406"/>
      <c r="AW290" s="928"/>
      <c r="AX290" s="928"/>
      <c r="AY290" s="928"/>
    </row>
    <row r="291" spans="2:51" ht="47.25" customHeight="1" x14ac:dyDescent="0.3">
      <c r="B291" s="14">
        <v>285</v>
      </c>
      <c r="C291" s="410">
        <v>141</v>
      </c>
      <c r="D291" s="410" t="str">
        <f t="shared" si="47"/>
        <v>2015141</v>
      </c>
      <c r="E291" s="120" t="s">
        <v>1593</v>
      </c>
      <c r="F291" s="834" t="s">
        <v>86</v>
      </c>
      <c r="G291" s="998">
        <v>860001022</v>
      </c>
      <c r="H291" s="828" t="s">
        <v>511</v>
      </c>
      <c r="I291" s="187">
        <v>1226994</v>
      </c>
      <c r="J291" s="698" t="s">
        <v>1593</v>
      </c>
      <c r="K291" s="269">
        <v>2015</v>
      </c>
      <c r="L291" s="519">
        <v>42080</v>
      </c>
      <c r="M291" s="835">
        <v>42082</v>
      </c>
      <c r="N291" s="835">
        <v>42447</v>
      </c>
      <c r="O291" s="1099" t="str">
        <f>IF(+Modificaciones!I291=0,"",VLOOKUP(E291,Modificaciones!$B$7:$I$2400,8,0))</f>
        <v/>
      </c>
      <c r="P291" s="115">
        <f>COUNTA(Modificaciones!J291,Modificaciones!L291,Modificaciones!N291,Modificaciones!P291)</f>
        <v>0</v>
      </c>
      <c r="Q291" s="116">
        <f>VLOOKUP(E291,Modificaciones!$B$7:$R$300,17,0)</f>
        <v>0</v>
      </c>
      <c r="R291" s="117">
        <f>COUNTA(Modificaciones!T291,Modificaciones!V291,Modificaciones!X291,Modificaciones!Z291)</f>
        <v>0</v>
      </c>
      <c r="S291" s="118" t="str">
        <f>IF(Modificaciones!AA291=0,"",VLOOKUP(E291,Modificaciones!$B$7:$AA$400,26,0))</f>
        <v/>
      </c>
      <c r="T291" s="119" t="str">
        <f>IF(Modificaciones!AB291=0,"",VLOOKUP(E291,Modificaciones!$B$7:$AB$400,27,0))</f>
        <v/>
      </c>
      <c r="U291" s="1080" t="str">
        <f>+Modificaciones!AC291</f>
        <v/>
      </c>
      <c r="V291" s="825" t="str">
        <f>+Modificaciones!AK291</f>
        <v/>
      </c>
      <c r="W291" s="825">
        <f t="shared" si="51"/>
        <v>42447</v>
      </c>
      <c r="X291" s="59">
        <f t="shared" si="48"/>
        <v>1226994</v>
      </c>
      <c r="Y291" s="151">
        <f>VLOOKUP(E291,Modificaciones!$B$7:$BE$300,56,0)</f>
        <v>1226994</v>
      </c>
      <c r="Z291" s="84">
        <f t="shared" si="49"/>
        <v>0</v>
      </c>
      <c r="AA291" s="283" t="s">
        <v>1894</v>
      </c>
      <c r="AB291" s="40">
        <f t="shared" si="50"/>
        <v>1</v>
      </c>
      <c r="AC291" s="40">
        <f t="shared" ca="1" si="52"/>
        <v>1</v>
      </c>
      <c r="AD291" s="41">
        <f t="shared" ca="1" si="53"/>
        <v>0</v>
      </c>
      <c r="AE291" s="181" t="str">
        <f t="shared" ca="1" si="54"/>
        <v/>
      </c>
      <c r="AF291" s="42" t="str">
        <f t="shared" si="57"/>
        <v>SI</v>
      </c>
      <c r="AG291" s="732" t="str">
        <f>VLOOKUP(C291,[2]Hoja4!$A$2:$E$116,5,0)</f>
        <v>SUSCRIPCION</v>
      </c>
      <c r="AH291" s="152" t="s">
        <v>1255</v>
      </c>
      <c r="AI291" s="255" t="s">
        <v>1124</v>
      </c>
      <c r="AJ291" s="152" t="s">
        <v>1429</v>
      </c>
      <c r="AK291" s="255" t="s">
        <v>564</v>
      </c>
      <c r="AL291" s="279"/>
      <c r="AM291" s="279" t="s">
        <v>954</v>
      </c>
      <c r="AN291" s="161" t="str">
        <f t="shared" ca="1" si="55"/>
        <v>TERMINO</v>
      </c>
      <c r="AO291" s="284" t="s">
        <v>582</v>
      </c>
      <c r="AP291" s="155" t="s">
        <v>390</v>
      </c>
      <c r="AQ291" s="819" t="str">
        <f>IFERROR(VLOOKUP(E291,'liquidaciones '!$B$2:$C$1048576,2,0),"NO")</f>
        <v>LIQUIDADO</v>
      </c>
      <c r="AR291" s="909">
        <f>IFERROR(VLOOKUP(E291,'liquidaciones '!$B$2:$I$1048576,8,0),"")</f>
        <v>0</v>
      </c>
      <c r="AS291" s="312"/>
      <c r="AT291" s="156" t="str">
        <f t="shared" ca="1" si="56"/>
        <v>NO</v>
      </c>
      <c r="AU291" s="156" t="s">
        <v>1509</v>
      </c>
      <c r="AV291" s="406"/>
      <c r="AW291" s="928"/>
      <c r="AX291" s="928"/>
      <c r="AY291" s="928"/>
    </row>
    <row r="292" spans="2:51" ht="67.5" customHeight="1" x14ac:dyDescent="0.3">
      <c r="B292" s="14">
        <v>286</v>
      </c>
      <c r="C292" s="410"/>
      <c r="D292" s="410" t="str">
        <f t="shared" si="47"/>
        <v>2015</v>
      </c>
      <c r="E292" s="120" t="s">
        <v>1597</v>
      </c>
      <c r="F292" s="834" t="s">
        <v>1598</v>
      </c>
      <c r="G292" s="998">
        <v>900175316</v>
      </c>
      <c r="H292" s="828" t="s">
        <v>1599</v>
      </c>
      <c r="I292" s="187">
        <v>334080000</v>
      </c>
      <c r="J292" s="673" t="s">
        <v>1976</v>
      </c>
      <c r="K292" s="269">
        <v>2015</v>
      </c>
      <c r="L292" s="519">
        <v>42082</v>
      </c>
      <c r="M292" s="835">
        <v>42104</v>
      </c>
      <c r="N292" s="835">
        <v>42287</v>
      </c>
      <c r="O292" s="1099" t="str">
        <f>IF(+Modificaciones!I292=0,"",VLOOKUP(E292,Modificaciones!$B$7:$I$2400,8,0))</f>
        <v/>
      </c>
      <c r="P292" s="115">
        <f>COUNTA(Modificaciones!J292,Modificaciones!L292,Modificaciones!N292,Modificaciones!P292)</f>
        <v>0</v>
      </c>
      <c r="Q292" s="116">
        <f>VLOOKUP(E292,Modificaciones!$B$7:$R$300,17,0)</f>
        <v>0</v>
      </c>
      <c r="R292" s="117">
        <f>COUNTA(Modificaciones!T292,Modificaciones!V292,Modificaciones!X292,Modificaciones!Z292)</f>
        <v>1</v>
      </c>
      <c r="S292" s="118" t="str">
        <f>IF(Modificaciones!AA292=0,"",VLOOKUP(E292,Modificaciones!$B$7:$AA$400,26,0))</f>
        <v>2 meses</v>
      </c>
      <c r="T292" s="119">
        <f>IF(Modificaciones!AB292=0,"",VLOOKUP(E292,Modificaciones!$B$7:$AB$400,27,0))</f>
        <v>42348</v>
      </c>
      <c r="U292" s="1080" t="str">
        <f>+Modificaciones!AC292</f>
        <v/>
      </c>
      <c r="V292" s="825" t="str">
        <f>+Modificaciones!AK292</f>
        <v/>
      </c>
      <c r="W292" s="825">
        <f t="shared" si="51"/>
        <v>42348</v>
      </c>
      <c r="X292" s="59">
        <f t="shared" si="48"/>
        <v>334080000</v>
      </c>
      <c r="Y292" s="151">
        <f>VLOOKUP(E292,Modificaciones!$B$7:$BE$300,56,0)</f>
        <v>334080000</v>
      </c>
      <c r="Z292" s="84">
        <f t="shared" si="49"/>
        <v>0</v>
      </c>
      <c r="AA292" s="283" t="s">
        <v>1600</v>
      </c>
      <c r="AB292" s="40">
        <f t="shared" si="50"/>
        <v>1</v>
      </c>
      <c r="AC292" s="40">
        <f t="shared" ca="1" si="52"/>
        <v>1</v>
      </c>
      <c r="AD292" s="41">
        <f t="shared" ca="1" si="53"/>
        <v>0</v>
      </c>
      <c r="AE292" s="181" t="str">
        <f t="shared" ca="1" si="54"/>
        <v/>
      </c>
      <c r="AF292" s="42" t="str">
        <f t="shared" si="57"/>
        <v>SI</v>
      </c>
      <c r="AG292" s="732" t="e">
        <f>VLOOKUP(C292,[2]Hoja4!$A$2:$E$116,5,0)</f>
        <v>#N/A</v>
      </c>
      <c r="AH292" s="152" t="s">
        <v>1255</v>
      </c>
      <c r="AI292" s="255" t="s">
        <v>1601</v>
      </c>
      <c r="AJ292" s="152" t="s">
        <v>1438</v>
      </c>
      <c r="AK292" s="255" t="s">
        <v>560</v>
      </c>
      <c r="AL292" s="279" t="s">
        <v>1508</v>
      </c>
      <c r="AM292" s="279" t="s">
        <v>954</v>
      </c>
      <c r="AN292" s="161" t="str">
        <f t="shared" ca="1" si="55"/>
        <v>TERMINO</v>
      </c>
      <c r="AO292" s="284" t="s">
        <v>580</v>
      </c>
      <c r="AP292" s="155" t="s">
        <v>390</v>
      </c>
      <c r="AQ292" s="819" t="str">
        <f>IFERROR(VLOOKUP(E292,'liquidaciones '!$B$2:$C$1048576,2,0),"NO")</f>
        <v>EN TRÁMITE</v>
      </c>
      <c r="AR292" s="909">
        <f>IFERROR(VLOOKUP(E292,'liquidaciones '!$B$2:$I$1048576,8,0),"")</f>
        <v>0</v>
      </c>
      <c r="AS292" s="312"/>
      <c r="AT292" s="156" t="str">
        <f t="shared" ca="1" si="56"/>
        <v>NO</v>
      </c>
      <c r="AU292" s="156" t="s">
        <v>2388</v>
      </c>
      <c r="AV292" s="406"/>
      <c r="AW292" s="928"/>
      <c r="AX292" s="928"/>
      <c r="AY292" s="928"/>
    </row>
    <row r="293" spans="2:51" ht="47.25" customHeight="1" x14ac:dyDescent="0.3">
      <c r="B293" s="14">
        <v>287</v>
      </c>
      <c r="C293" s="410">
        <v>152</v>
      </c>
      <c r="D293" s="410" t="str">
        <f t="shared" si="47"/>
        <v>2015152</v>
      </c>
      <c r="E293" s="120" t="s">
        <v>1609</v>
      </c>
      <c r="F293" s="834" t="s">
        <v>1610</v>
      </c>
      <c r="G293" s="998">
        <v>80852726</v>
      </c>
      <c r="H293" s="828" t="s">
        <v>1611</v>
      </c>
      <c r="I293" s="187">
        <v>7442000</v>
      </c>
      <c r="J293" s="673" t="s">
        <v>1740</v>
      </c>
      <c r="K293" s="269">
        <v>2015</v>
      </c>
      <c r="L293" s="519">
        <v>42082</v>
      </c>
      <c r="M293" s="835">
        <v>42111</v>
      </c>
      <c r="N293" s="835">
        <v>42477</v>
      </c>
      <c r="O293" s="1099" t="str">
        <f>IF(+Modificaciones!I293=0,"",VLOOKUP(E293,Modificaciones!$B$7:$I$2400,8,0))</f>
        <v/>
      </c>
      <c r="P293" s="115">
        <f>COUNTA(Modificaciones!J293,Modificaciones!L293,Modificaciones!N293,Modificaciones!P293)</f>
        <v>0</v>
      </c>
      <c r="Q293" s="116">
        <f>VLOOKUP(E293,Modificaciones!$B$7:$R$300,17,0)</f>
        <v>0</v>
      </c>
      <c r="R293" s="117">
        <f>COUNTA(Modificaciones!T293,Modificaciones!V293,Modificaciones!X293,Modificaciones!Z293)</f>
        <v>0</v>
      </c>
      <c r="S293" s="118" t="str">
        <f>IF(Modificaciones!AA293=0,"",VLOOKUP(E293,Modificaciones!$B$7:$AA$400,26,0))</f>
        <v/>
      </c>
      <c r="T293" s="119" t="str">
        <f>IF(Modificaciones!AB293=0,"",VLOOKUP(E293,Modificaciones!$B$7:$AB$400,27,0))</f>
        <v/>
      </c>
      <c r="U293" s="1080" t="str">
        <f>+Modificaciones!AC293</f>
        <v/>
      </c>
      <c r="V293" s="825" t="str">
        <f>+Modificaciones!AK293</f>
        <v/>
      </c>
      <c r="W293" s="825">
        <f t="shared" si="51"/>
        <v>42477</v>
      </c>
      <c r="X293" s="59">
        <f t="shared" si="48"/>
        <v>7442000</v>
      </c>
      <c r="Y293" s="151">
        <f>VLOOKUP(E293,Modificaciones!$B$7:$BE$300,56,0)</f>
        <v>5249000</v>
      </c>
      <c r="Z293" s="84">
        <f t="shared" si="49"/>
        <v>2193000</v>
      </c>
      <c r="AA293" s="287" t="s">
        <v>1612</v>
      </c>
      <c r="AB293" s="40">
        <f t="shared" si="50"/>
        <v>0.70532115022843322</v>
      </c>
      <c r="AC293" s="40">
        <f t="shared" ca="1" si="52"/>
        <v>1</v>
      </c>
      <c r="AD293" s="41">
        <f t="shared" ca="1" si="53"/>
        <v>0.29467884977156678</v>
      </c>
      <c r="AE293" s="181" t="str">
        <f t="shared" ca="1" si="54"/>
        <v/>
      </c>
      <c r="AF293" s="42" t="str">
        <f t="shared" si="57"/>
        <v>NO</v>
      </c>
      <c r="AG293" s="732" t="str">
        <f>VLOOKUP(C293,[2]Hoja4!$A$2:$E$116,5,0)</f>
        <v>PRESTACION DE SERVICIOS</v>
      </c>
      <c r="AH293" s="152" t="s">
        <v>1255</v>
      </c>
      <c r="AI293" s="275" t="s">
        <v>1170</v>
      </c>
      <c r="AJ293" s="152" t="s">
        <v>1441</v>
      </c>
      <c r="AK293" s="255" t="s">
        <v>560</v>
      </c>
      <c r="AL293" s="153" t="s">
        <v>1379</v>
      </c>
      <c r="AM293" s="279" t="s">
        <v>954</v>
      </c>
      <c r="AN293" s="161" t="str">
        <f t="shared" ca="1" si="55"/>
        <v>TERMINO</v>
      </c>
      <c r="AO293" s="160" t="s">
        <v>576</v>
      </c>
      <c r="AP293" s="155" t="s">
        <v>390</v>
      </c>
      <c r="AQ293" s="819" t="str">
        <f>IFERROR(VLOOKUP(E293,'liquidaciones '!$B$2:$C$1048576,2,0),"NO")</f>
        <v>LIQUIDADO</v>
      </c>
      <c r="AR293" s="909">
        <f>IFERROR(VLOOKUP(E293,'liquidaciones '!$B$2:$I$1048576,8,0),"")</f>
        <v>0</v>
      </c>
      <c r="AS293" s="312"/>
      <c r="AT293" s="156" t="str">
        <f t="shared" ca="1" si="56"/>
        <v>NO</v>
      </c>
      <c r="AU293" s="156" t="s">
        <v>2388</v>
      </c>
      <c r="AV293" s="406"/>
      <c r="AW293" s="928"/>
      <c r="AX293" s="928"/>
      <c r="AY293" s="928"/>
    </row>
    <row r="294" spans="2:51" ht="47.25" customHeight="1" x14ac:dyDescent="0.3">
      <c r="B294" s="14">
        <v>288</v>
      </c>
      <c r="C294" s="410">
        <v>208</v>
      </c>
      <c r="D294" s="410" t="str">
        <f t="shared" si="47"/>
        <v>2015208</v>
      </c>
      <c r="E294" s="120" t="s">
        <v>1614</v>
      </c>
      <c r="F294" s="834" t="s">
        <v>144</v>
      </c>
      <c r="G294" s="998">
        <v>900450570</v>
      </c>
      <c r="H294" s="828" t="s">
        <v>1615</v>
      </c>
      <c r="I294" s="187">
        <v>379200000</v>
      </c>
      <c r="J294" s="698" t="s">
        <v>1614</v>
      </c>
      <c r="K294" s="269">
        <v>2015</v>
      </c>
      <c r="L294" s="519">
        <v>42109</v>
      </c>
      <c r="M294" s="835">
        <v>42109</v>
      </c>
      <c r="N294" s="835">
        <v>42429</v>
      </c>
      <c r="O294" s="1099" t="str">
        <f>IF(+Modificaciones!I294=0,"",VLOOKUP(E294,Modificaciones!$B$7:$I$2400,8,0))</f>
        <v/>
      </c>
      <c r="P294" s="115">
        <f>COUNTA(Modificaciones!J294,Modificaciones!L294,Modificaciones!N294,Modificaciones!P294)</f>
        <v>1</v>
      </c>
      <c r="Q294" s="116">
        <f>VLOOKUP(E294,Modificaciones!$B$7:$R$300,17,0)</f>
        <v>180000000</v>
      </c>
      <c r="R294" s="117">
        <f>COUNTA(Modificaciones!T294,Modificaciones!V294,Modificaciones!X294,Modificaciones!Z294)</f>
        <v>1</v>
      </c>
      <c r="S294" s="118" t="str">
        <f>IF(Modificaciones!AA294=0,"",VLOOKUP(E294,Modificaciones!$B$7:$AA$400,26,0))</f>
        <v>5 meses y 16 dias</v>
      </c>
      <c r="T294" s="119">
        <f>IF(Modificaciones!AB294=0,"",VLOOKUP(E294,Modificaciones!$B$7:$AB$400,27,0))</f>
        <v>42582</v>
      </c>
      <c r="U294" s="1080" t="str">
        <f>+Modificaciones!AC294</f>
        <v/>
      </c>
      <c r="V294" s="825" t="str">
        <f>+Modificaciones!AK294</f>
        <v/>
      </c>
      <c r="W294" s="825">
        <f t="shared" si="51"/>
        <v>42582</v>
      </c>
      <c r="X294" s="59">
        <f t="shared" si="48"/>
        <v>559200000</v>
      </c>
      <c r="Y294" s="151">
        <f>VLOOKUP(E294,Modificaciones!$B$7:$BE$300,56,0)</f>
        <v>559200000</v>
      </c>
      <c r="Z294" s="84">
        <f t="shared" si="49"/>
        <v>0</v>
      </c>
      <c r="AA294" s="316" t="s">
        <v>1616</v>
      </c>
      <c r="AB294" s="40">
        <f t="shared" si="50"/>
        <v>1</v>
      </c>
      <c r="AC294" s="40">
        <f t="shared" ca="1" si="52"/>
        <v>1</v>
      </c>
      <c r="AD294" s="41">
        <f t="shared" ca="1" si="53"/>
        <v>0</v>
      </c>
      <c r="AE294" s="181" t="str">
        <f t="shared" ca="1" si="54"/>
        <v/>
      </c>
      <c r="AF294" s="42" t="str">
        <f t="shared" si="57"/>
        <v>SI</v>
      </c>
      <c r="AG294" s="732" t="str">
        <f>VLOOKUP(C294,[2]Hoja4!$A$2:$E$116,5,0)</f>
        <v>ARRENDAMIENTO</v>
      </c>
      <c r="AH294" s="152" t="s">
        <v>1255</v>
      </c>
      <c r="AI294" s="255" t="s">
        <v>1145</v>
      </c>
      <c r="AJ294" s="152" t="s">
        <v>1441</v>
      </c>
      <c r="AK294" s="255" t="s">
        <v>560</v>
      </c>
      <c r="AL294" s="153" t="s">
        <v>1318</v>
      </c>
      <c r="AM294" s="279" t="s">
        <v>1617</v>
      </c>
      <c r="AN294" s="161" t="str">
        <f t="shared" ca="1" si="55"/>
        <v>TERMINO</v>
      </c>
      <c r="AO294" s="284" t="s">
        <v>582</v>
      </c>
      <c r="AP294" s="155" t="s">
        <v>390</v>
      </c>
      <c r="AQ294" s="819" t="str">
        <f>IFERROR(VLOOKUP(E294,'liquidaciones '!$B$2:$C$1048576,2,0),"NO")</f>
        <v>LIQUIDADO</v>
      </c>
      <c r="AR294" s="909">
        <f>IFERROR(VLOOKUP(E294,'liquidaciones '!$B$2:$I$1048576,8,0),"")</f>
        <v>0</v>
      </c>
      <c r="AS294" s="312"/>
      <c r="AT294" s="156" t="str">
        <f t="shared" ca="1" si="56"/>
        <v>NO</v>
      </c>
      <c r="AU294" s="156" t="s">
        <v>2597</v>
      </c>
      <c r="AV294" s="406"/>
      <c r="AW294" s="928"/>
      <c r="AX294" s="928"/>
      <c r="AY294" s="928"/>
    </row>
    <row r="295" spans="2:51" ht="47.25" customHeight="1" x14ac:dyDescent="0.3">
      <c r="B295" s="14">
        <v>289</v>
      </c>
      <c r="C295" s="410">
        <v>178</v>
      </c>
      <c r="D295" s="410" t="str">
        <f t="shared" si="47"/>
        <v>2015178</v>
      </c>
      <c r="E295" s="120" t="s">
        <v>1619</v>
      </c>
      <c r="F295" s="834" t="s">
        <v>1620</v>
      </c>
      <c r="G295" s="998" t="s">
        <v>1621</v>
      </c>
      <c r="H295" s="828" t="s">
        <v>1622</v>
      </c>
      <c r="I295" s="187">
        <v>3035520</v>
      </c>
      <c r="J295" s="673" t="s">
        <v>1738</v>
      </c>
      <c r="K295" s="269">
        <v>2015</v>
      </c>
      <c r="L295" s="519">
        <v>42100</v>
      </c>
      <c r="M295" s="835">
        <v>42121</v>
      </c>
      <c r="N295" s="835">
        <v>42487</v>
      </c>
      <c r="O295" s="1099" t="str">
        <f>IF(+Modificaciones!I295=0,"",VLOOKUP(E295,Modificaciones!$B$7:$I$2400,8,0))</f>
        <v/>
      </c>
      <c r="P295" s="115">
        <f>COUNTA(Modificaciones!J295,Modificaciones!L295,Modificaciones!N295,Modificaciones!P295)</f>
        <v>0</v>
      </c>
      <c r="Q295" s="116">
        <f>VLOOKUP(E295,Modificaciones!$B$7:$R$300,17,0)</f>
        <v>0</v>
      </c>
      <c r="R295" s="117">
        <f>COUNTA(Modificaciones!T295,Modificaciones!V295,Modificaciones!X295,Modificaciones!Z295)</f>
        <v>0</v>
      </c>
      <c r="S295" s="118" t="str">
        <f>IF(Modificaciones!AA295=0,"",VLOOKUP(E295,Modificaciones!$B$7:$AA$400,26,0))</f>
        <v/>
      </c>
      <c r="T295" s="119" t="str">
        <f>IF(Modificaciones!AB295=0,"",VLOOKUP(E295,Modificaciones!$B$7:$AB$400,27,0))</f>
        <v/>
      </c>
      <c r="U295" s="1080" t="str">
        <f>+Modificaciones!AC295</f>
        <v/>
      </c>
      <c r="V295" s="825" t="str">
        <f>+Modificaciones!AK295</f>
        <v/>
      </c>
      <c r="W295" s="825">
        <f t="shared" si="51"/>
        <v>42487</v>
      </c>
      <c r="X295" s="59">
        <f t="shared" si="48"/>
        <v>3035520</v>
      </c>
      <c r="Y295" s="151">
        <f>VLOOKUP(E295,Modificaciones!$B$7:$BE$300,56,0)</f>
        <v>2009011</v>
      </c>
      <c r="Z295" s="84">
        <f t="shared" si="49"/>
        <v>1026509</v>
      </c>
      <c r="AA295" s="287" t="s">
        <v>1623</v>
      </c>
      <c r="AB295" s="40">
        <f t="shared" si="50"/>
        <v>0.66183421621336702</v>
      </c>
      <c r="AC295" s="40">
        <f t="shared" ca="1" si="52"/>
        <v>1</v>
      </c>
      <c r="AD295" s="41">
        <f t="shared" ca="1" si="53"/>
        <v>0.33816578378663298</v>
      </c>
      <c r="AE295" s="181" t="str">
        <f t="shared" ca="1" si="54"/>
        <v/>
      </c>
      <c r="AF295" s="42" t="str">
        <f t="shared" si="57"/>
        <v>NO</v>
      </c>
      <c r="AG295" s="732" t="str">
        <f>VLOOKUP(C295,[2]Hoja4!$A$2:$E$116,5,0)</f>
        <v>PRESTACION DE SERVICIOS</v>
      </c>
      <c r="AH295" s="152" t="s">
        <v>1255</v>
      </c>
      <c r="AI295" s="255" t="s">
        <v>1167</v>
      </c>
      <c r="AJ295" s="152" t="s">
        <v>1441</v>
      </c>
      <c r="AK295" s="255" t="s">
        <v>560</v>
      </c>
      <c r="AL295" s="153" t="s">
        <v>1386</v>
      </c>
      <c r="AM295" s="279" t="s">
        <v>1617</v>
      </c>
      <c r="AN295" s="161" t="str">
        <f t="shared" ca="1" si="55"/>
        <v>TERMINO</v>
      </c>
      <c r="AO295" s="160" t="s">
        <v>576</v>
      </c>
      <c r="AP295" s="155" t="s">
        <v>390</v>
      </c>
      <c r="AQ295" s="819" t="str">
        <f>IFERROR(VLOOKUP(E295,'liquidaciones '!$B$2:$C$1048576,2,0),"NO")</f>
        <v>LIQUIDADO</v>
      </c>
      <c r="AR295" s="909" t="str">
        <f>IFERROR(VLOOKUP(E295,'liquidaciones '!$B$2:$I$1048576,8,0),"")</f>
        <v>MANUEL ROJAS</v>
      </c>
      <c r="AS295" s="312"/>
      <c r="AT295" s="156" t="str">
        <f t="shared" ca="1" si="56"/>
        <v>NO</v>
      </c>
      <c r="AU295" s="156" t="s">
        <v>1569</v>
      </c>
      <c r="AV295" s="406"/>
      <c r="AW295" s="928"/>
      <c r="AX295" s="928"/>
      <c r="AY295" s="928"/>
    </row>
    <row r="296" spans="2:51" ht="47.25" customHeight="1" x14ac:dyDescent="0.3">
      <c r="B296" s="14">
        <v>290</v>
      </c>
      <c r="C296" s="410">
        <v>150</v>
      </c>
      <c r="D296" s="410" t="str">
        <f t="shared" si="47"/>
        <v>2015150</v>
      </c>
      <c r="E296" s="120" t="s">
        <v>1624</v>
      </c>
      <c r="F296" s="551" t="s">
        <v>1625</v>
      </c>
      <c r="G296" s="998" t="s">
        <v>1626</v>
      </c>
      <c r="H296" s="828" t="s">
        <v>1627</v>
      </c>
      <c r="I296" s="187">
        <v>4721200</v>
      </c>
      <c r="J296" s="673" t="s">
        <v>1739</v>
      </c>
      <c r="K296" s="269">
        <v>2015</v>
      </c>
      <c r="L296" s="519">
        <v>42104</v>
      </c>
      <c r="M296" s="835">
        <v>42116</v>
      </c>
      <c r="N296" s="835">
        <v>42451</v>
      </c>
      <c r="O296" s="1099" t="str">
        <f>IF(+Modificaciones!I296=0,"",VLOOKUP(E296,Modificaciones!$B$7:$I$2400,8,0))</f>
        <v/>
      </c>
      <c r="P296" s="115">
        <f>COUNTA(Modificaciones!J296,Modificaciones!L296,Modificaciones!N296,Modificaciones!P296)</f>
        <v>0</v>
      </c>
      <c r="Q296" s="116">
        <f>VLOOKUP(E296,Modificaciones!$B$7:$R$300,17,0)</f>
        <v>0</v>
      </c>
      <c r="R296" s="117">
        <f>COUNTA(Modificaciones!T296,Modificaciones!V296,Modificaciones!X296,Modificaciones!Z296)</f>
        <v>0</v>
      </c>
      <c r="S296" s="118" t="str">
        <f>IF(Modificaciones!AA296=0,"",VLOOKUP(E296,Modificaciones!$B$7:$AA$400,26,0))</f>
        <v/>
      </c>
      <c r="T296" s="119" t="str">
        <f>IF(Modificaciones!AB296=0,"",VLOOKUP(E296,Modificaciones!$B$7:$AB$400,27,0))</f>
        <v/>
      </c>
      <c r="U296" s="1080" t="str">
        <f>+Modificaciones!AC296</f>
        <v/>
      </c>
      <c r="V296" s="825" t="str">
        <f>+Modificaciones!AK296</f>
        <v/>
      </c>
      <c r="W296" s="825">
        <f t="shared" si="51"/>
        <v>42451</v>
      </c>
      <c r="X296" s="59">
        <f t="shared" si="48"/>
        <v>4721200</v>
      </c>
      <c r="Y296" s="151">
        <f>VLOOKUP(E296,Modificaciones!$B$7:$BE$300,56,0)</f>
        <v>4721200</v>
      </c>
      <c r="Z296" s="84">
        <f t="shared" si="49"/>
        <v>0</v>
      </c>
      <c r="AA296" s="287" t="s">
        <v>1628</v>
      </c>
      <c r="AB296" s="40">
        <f t="shared" si="50"/>
        <v>1</v>
      </c>
      <c r="AC296" s="40">
        <f t="shared" ca="1" si="52"/>
        <v>1</v>
      </c>
      <c r="AD296" s="41">
        <f t="shared" ca="1" si="53"/>
        <v>0</v>
      </c>
      <c r="AE296" s="181" t="str">
        <f t="shared" ca="1" si="54"/>
        <v/>
      </c>
      <c r="AF296" s="42" t="str">
        <f t="shared" si="57"/>
        <v>SI</v>
      </c>
      <c r="AG296" s="732" t="str">
        <f>VLOOKUP(C296,[2]Hoja4!$A$2:$E$116,5,0)</f>
        <v>PRESTACION DE SERVICIOS</v>
      </c>
      <c r="AH296" s="152" t="s">
        <v>1255</v>
      </c>
      <c r="AI296" s="275" t="s">
        <v>1467</v>
      </c>
      <c r="AJ296" s="152" t="s">
        <v>1437</v>
      </c>
      <c r="AK296" s="255" t="s">
        <v>560</v>
      </c>
      <c r="AL296" s="279" t="s">
        <v>2162</v>
      </c>
      <c r="AM296" s="279" t="s">
        <v>1617</v>
      </c>
      <c r="AN296" s="161" t="str">
        <f t="shared" ca="1" si="55"/>
        <v>TERMINO</v>
      </c>
      <c r="AO296" s="160" t="s">
        <v>576</v>
      </c>
      <c r="AP296" s="155" t="s">
        <v>390</v>
      </c>
      <c r="AQ296" s="819" t="str">
        <f>IFERROR(VLOOKUP(E296,'liquidaciones '!$B$2:$C$1048576,2,0),"NO")</f>
        <v>LIQUIDADO</v>
      </c>
      <c r="AR296" s="909">
        <f>IFERROR(VLOOKUP(E296,'liquidaciones '!$B$2:$I$1048576,8,0),"")</f>
        <v>0</v>
      </c>
      <c r="AS296" s="312"/>
      <c r="AT296" s="156" t="str">
        <f t="shared" ca="1" si="56"/>
        <v>NO</v>
      </c>
      <c r="AU296" s="156" t="s">
        <v>1569</v>
      </c>
      <c r="AV296" s="406"/>
      <c r="AW296" s="928"/>
      <c r="AX296" s="928"/>
      <c r="AY296" s="928"/>
    </row>
    <row r="297" spans="2:51" ht="47.25" customHeight="1" x14ac:dyDescent="0.3">
      <c r="B297" s="14">
        <v>291</v>
      </c>
      <c r="C297" s="410">
        <v>176</v>
      </c>
      <c r="D297" s="410" t="str">
        <f t="shared" si="47"/>
        <v>2015176</v>
      </c>
      <c r="E297" s="120" t="s">
        <v>1629</v>
      </c>
      <c r="F297" s="834" t="s">
        <v>1024</v>
      </c>
      <c r="G297" s="998">
        <v>80199707</v>
      </c>
      <c r="H297" s="828" t="s">
        <v>1630</v>
      </c>
      <c r="I297" s="187">
        <v>28000000</v>
      </c>
      <c r="J297" s="673" t="s">
        <v>1741</v>
      </c>
      <c r="K297" s="269">
        <v>2015</v>
      </c>
      <c r="L297" s="519">
        <v>42093</v>
      </c>
      <c r="M297" s="835">
        <v>42116</v>
      </c>
      <c r="N297" s="835">
        <v>42482</v>
      </c>
      <c r="O297" s="1099" t="str">
        <f>IF(+Modificaciones!I297=0,"",VLOOKUP(E297,Modificaciones!$B$7:$I$2400,8,0))</f>
        <v/>
      </c>
      <c r="P297" s="115">
        <f>COUNTA(Modificaciones!J297,Modificaciones!L297,Modificaciones!N297,Modificaciones!P297)</f>
        <v>0</v>
      </c>
      <c r="Q297" s="116">
        <f>VLOOKUP(E297,Modificaciones!$B$7:$R$300,17,0)</f>
        <v>0</v>
      </c>
      <c r="R297" s="117">
        <f>COUNTA(Modificaciones!T297,Modificaciones!V297,Modificaciones!X297,Modificaciones!Z297)</f>
        <v>0</v>
      </c>
      <c r="S297" s="118" t="str">
        <f>IF(Modificaciones!AA297=0,"",VLOOKUP(E297,Modificaciones!$B$7:$AA$400,26,0))</f>
        <v/>
      </c>
      <c r="T297" s="119" t="str">
        <f>IF(Modificaciones!AB297=0,"",VLOOKUP(E297,Modificaciones!$B$7:$AB$400,27,0))</f>
        <v/>
      </c>
      <c r="U297" s="1080" t="str">
        <f>+Modificaciones!AC297</f>
        <v/>
      </c>
      <c r="V297" s="825" t="str">
        <f>+Modificaciones!AK297</f>
        <v/>
      </c>
      <c r="W297" s="825">
        <f t="shared" si="51"/>
        <v>42482</v>
      </c>
      <c r="X297" s="59">
        <f t="shared" si="48"/>
        <v>28000000</v>
      </c>
      <c r="Y297" s="151">
        <f>VLOOKUP(E297,Modificaciones!$B$7:$BE$300,56,0)</f>
        <v>27999658</v>
      </c>
      <c r="Z297" s="84">
        <f t="shared" si="49"/>
        <v>342</v>
      </c>
      <c r="AA297" s="283" t="s">
        <v>1631</v>
      </c>
      <c r="AB297" s="40">
        <f t="shared" si="50"/>
        <v>0.9999877857142857</v>
      </c>
      <c r="AC297" s="40">
        <f t="shared" ca="1" si="52"/>
        <v>1</v>
      </c>
      <c r="AD297" s="41">
        <f t="shared" ca="1" si="53"/>
        <v>1.2214285714295947E-5</v>
      </c>
      <c r="AE297" s="181" t="str">
        <f t="shared" ca="1" si="54"/>
        <v/>
      </c>
      <c r="AF297" s="42" t="str">
        <f t="shared" si="57"/>
        <v>SI</v>
      </c>
      <c r="AG297" s="732" t="str">
        <f>VLOOKUP(C297,[2]Hoja4!$A$2:$E$116,5,0)</f>
        <v>PRESTACION DE SERVICIOS</v>
      </c>
      <c r="AH297" s="152" t="s">
        <v>1255</v>
      </c>
      <c r="AI297" s="255" t="s">
        <v>1297</v>
      </c>
      <c r="AJ297" s="152" t="s">
        <v>1441</v>
      </c>
      <c r="AK297" s="255" t="s">
        <v>560</v>
      </c>
      <c r="AL297" s="153" t="s">
        <v>1379</v>
      </c>
      <c r="AM297" s="279" t="s">
        <v>1617</v>
      </c>
      <c r="AN297" s="161" t="str">
        <f t="shared" ca="1" si="55"/>
        <v>TERMINO</v>
      </c>
      <c r="AO297" s="160" t="s">
        <v>576</v>
      </c>
      <c r="AP297" s="155" t="s">
        <v>390</v>
      </c>
      <c r="AQ297" s="819" t="str">
        <f>IFERROR(VLOOKUP(E297,'liquidaciones '!$B$2:$C$1048576,2,0),"NO")</f>
        <v>LIQUIDADO</v>
      </c>
      <c r="AR297" s="909" t="str">
        <f>IFERROR(VLOOKUP(E297,'liquidaciones '!$B$2:$I$1048576,8,0),"")</f>
        <v>MANUEL ROJAS</v>
      </c>
      <c r="AS297" s="312"/>
      <c r="AT297" s="156" t="str">
        <f t="shared" ca="1" si="56"/>
        <v>NO</v>
      </c>
      <c r="AU297" s="156" t="s">
        <v>2388</v>
      </c>
      <c r="AV297" s="406"/>
      <c r="AW297" s="928"/>
      <c r="AX297" s="928"/>
      <c r="AY297" s="928"/>
    </row>
    <row r="298" spans="2:51" ht="63" customHeight="1" x14ac:dyDescent="0.3">
      <c r="B298" s="14">
        <v>292</v>
      </c>
      <c r="C298" s="410">
        <v>210</v>
      </c>
      <c r="D298" s="410" t="str">
        <f t="shared" si="47"/>
        <v>2015210</v>
      </c>
      <c r="E298" s="120" t="s">
        <v>1635</v>
      </c>
      <c r="F298" s="834" t="s">
        <v>1636</v>
      </c>
      <c r="G298" s="998">
        <v>900475780</v>
      </c>
      <c r="H298" s="828" t="s">
        <v>1637</v>
      </c>
      <c r="I298" s="187">
        <v>4174276985</v>
      </c>
      <c r="J298" s="698" t="s">
        <v>1635</v>
      </c>
      <c r="K298" s="269">
        <v>2015</v>
      </c>
      <c r="L298" s="519">
        <v>42117</v>
      </c>
      <c r="M298" s="835">
        <v>42117</v>
      </c>
      <c r="N298" s="835">
        <v>42468</v>
      </c>
      <c r="O298" s="1099" t="str">
        <f>IF(+Modificaciones!I298=0,"",VLOOKUP(E298,Modificaciones!$B$7:$I$2400,8,0))</f>
        <v/>
      </c>
      <c r="P298" s="115">
        <f>COUNTA(Modificaciones!J298,Modificaciones!L298,Modificaciones!N298,Modificaciones!P298)</f>
        <v>0</v>
      </c>
      <c r="Q298" s="116">
        <f>VLOOKUP(E298,Modificaciones!$B$7:$R$300,17,0)</f>
        <v>0</v>
      </c>
      <c r="R298" s="117">
        <f>COUNTA(Modificaciones!T298,Modificaciones!V298,Modificaciones!X298,Modificaciones!Z298)</f>
        <v>0</v>
      </c>
      <c r="S298" s="118" t="str">
        <f>IF(Modificaciones!AA298=0,"",VLOOKUP(E298,Modificaciones!$B$7:$AA$400,26,0))</f>
        <v/>
      </c>
      <c r="T298" s="119" t="str">
        <f>IF(Modificaciones!AB298=0,"",VLOOKUP(E298,Modificaciones!$B$7:$AB$400,27,0))</f>
        <v/>
      </c>
      <c r="U298" s="1080" t="str">
        <f>+Modificaciones!AC298</f>
        <v/>
      </c>
      <c r="V298" s="825" t="str">
        <f>+Modificaciones!AK298</f>
        <v/>
      </c>
      <c r="W298" s="825">
        <f t="shared" si="51"/>
        <v>42468</v>
      </c>
      <c r="X298" s="59">
        <f t="shared" si="48"/>
        <v>4174276985</v>
      </c>
      <c r="Y298" s="151">
        <f>VLOOKUP(E298,Modificaciones!$B$7:$BE$300,56,0)</f>
        <v>3756849288</v>
      </c>
      <c r="Z298" s="84">
        <f t="shared" si="49"/>
        <v>417427697</v>
      </c>
      <c r="AA298" s="283" t="s">
        <v>1106</v>
      </c>
      <c r="AB298" s="40">
        <f t="shared" si="50"/>
        <v>0.90000000035934369</v>
      </c>
      <c r="AC298" s="40">
        <f t="shared" ca="1" si="52"/>
        <v>1</v>
      </c>
      <c r="AD298" s="41">
        <f t="shared" ca="1" si="53"/>
        <v>9.9999999640656312E-2</v>
      </c>
      <c r="AE298" s="181" t="str">
        <f t="shared" ca="1" si="54"/>
        <v/>
      </c>
      <c r="AF298" s="42" t="str">
        <f t="shared" si="57"/>
        <v>NO</v>
      </c>
      <c r="AG298" s="732" t="str">
        <f>VLOOKUP(C298,[2]Hoja4!$A$2:$E$116,5,0)</f>
        <v>CONTRATO INTERADMINISTRATIVO</v>
      </c>
      <c r="AH298" s="152" t="s">
        <v>1255</v>
      </c>
      <c r="AI298" s="255" t="s">
        <v>1507</v>
      </c>
      <c r="AJ298" s="152" t="s">
        <v>1441</v>
      </c>
      <c r="AK298" s="255" t="s">
        <v>560</v>
      </c>
      <c r="AL298" s="153" t="s">
        <v>1318</v>
      </c>
      <c r="AM298" s="279" t="s">
        <v>1617</v>
      </c>
      <c r="AN298" s="161" t="str">
        <f t="shared" ca="1" si="55"/>
        <v>TERMINO</v>
      </c>
      <c r="AO298" s="160" t="s">
        <v>582</v>
      </c>
      <c r="AP298" s="155" t="s">
        <v>390</v>
      </c>
      <c r="AQ298" s="819" t="str">
        <f>IFERROR(VLOOKUP(E298,'liquidaciones '!$B$2:$C$1048576,2,0),"NO")</f>
        <v>LIQUIDADO</v>
      </c>
      <c r="AR298" s="909">
        <f>IFERROR(VLOOKUP(E298,'liquidaciones '!$B$2:$I$1048576,8,0),"")</f>
        <v>0</v>
      </c>
      <c r="AS298" s="312"/>
      <c r="AT298" s="156" t="str">
        <f t="shared" ca="1" si="56"/>
        <v>NO</v>
      </c>
      <c r="AU298" s="156" t="s">
        <v>1569</v>
      </c>
      <c r="AV298" s="406"/>
      <c r="AW298" s="928"/>
      <c r="AX298" s="928"/>
      <c r="AY298" s="928"/>
    </row>
    <row r="299" spans="2:51" ht="47.25" customHeight="1" x14ac:dyDescent="0.3">
      <c r="B299" s="14">
        <v>293</v>
      </c>
      <c r="C299" s="410">
        <v>175</v>
      </c>
      <c r="D299" s="410" t="str">
        <f t="shared" si="47"/>
        <v>2015175</v>
      </c>
      <c r="E299" s="120" t="s">
        <v>1638</v>
      </c>
      <c r="F299" s="834" t="s">
        <v>53</v>
      </c>
      <c r="G299" s="998">
        <v>4831</v>
      </c>
      <c r="H299" s="828" t="s">
        <v>1639</v>
      </c>
      <c r="I299" s="187">
        <v>27620000</v>
      </c>
      <c r="J299" s="673" t="s">
        <v>1752</v>
      </c>
      <c r="K299" s="269">
        <v>2015</v>
      </c>
      <c r="L299" s="519">
        <v>42109</v>
      </c>
      <c r="M299" s="835">
        <v>42137</v>
      </c>
      <c r="N299" s="835">
        <v>42503</v>
      </c>
      <c r="O299" s="1099" t="str">
        <f>IF(+Modificaciones!I299=0,"",VLOOKUP(E299,Modificaciones!$B$7:$I$2400,8,0))</f>
        <v/>
      </c>
      <c r="P299" s="115">
        <f>COUNTA(Modificaciones!J299,Modificaciones!L299,Modificaciones!N299,Modificaciones!P299)</f>
        <v>1</v>
      </c>
      <c r="Q299" s="116">
        <f>VLOOKUP(E299,Modificaciones!$B$7:$R$300,17,0)</f>
        <v>14000000</v>
      </c>
      <c r="R299" s="117">
        <f>COUNTA(Modificaciones!T299,Modificaciones!V299,Modificaciones!X299,Modificaciones!Z299)</f>
        <v>1</v>
      </c>
      <c r="S299" s="118" t="str">
        <f>IF(Modificaciones!AA299=0,"",VLOOKUP(E299,Modificaciones!$B$7:$AA$400,26,0))</f>
        <v>28 días calendario</v>
      </c>
      <c r="T299" s="119">
        <f>IF(Modificaciones!AB299=0,"",VLOOKUP(E299,Modificaciones!$B$7:$AB$400,27,0))</f>
        <v>42531</v>
      </c>
      <c r="U299" s="1080" t="str">
        <f>+Modificaciones!AC299</f>
        <v/>
      </c>
      <c r="V299" s="825" t="str">
        <f>+Modificaciones!AK299</f>
        <v/>
      </c>
      <c r="W299" s="825">
        <f t="shared" si="51"/>
        <v>42531</v>
      </c>
      <c r="X299" s="59">
        <f t="shared" si="48"/>
        <v>41620000</v>
      </c>
      <c r="Y299" s="151">
        <f>VLOOKUP(E299,Modificaciones!$B$7:$BE$300,56,0)</f>
        <v>40473799</v>
      </c>
      <c r="Z299" s="84">
        <f t="shared" si="49"/>
        <v>1146201</v>
      </c>
      <c r="AA299" s="283" t="s">
        <v>1640</v>
      </c>
      <c r="AB299" s="40">
        <f t="shared" si="50"/>
        <v>0.97246033157135991</v>
      </c>
      <c r="AC299" s="40">
        <f t="shared" ca="1" si="52"/>
        <v>1</v>
      </c>
      <c r="AD299" s="41">
        <f t="shared" ca="1" si="53"/>
        <v>2.7539668428640085E-2</v>
      </c>
      <c r="AE299" s="181" t="str">
        <f t="shared" ca="1" si="54"/>
        <v/>
      </c>
      <c r="AF299" s="42" t="str">
        <f t="shared" si="57"/>
        <v>NO</v>
      </c>
      <c r="AG299" s="732" t="str">
        <f>VLOOKUP(C299,[2]Hoja4!$A$2:$E$116,5,0)</f>
        <v>PRESTACION DE SERVICIOS</v>
      </c>
      <c r="AH299" s="152" t="s">
        <v>1255</v>
      </c>
      <c r="AI299" s="152" t="s">
        <v>1125</v>
      </c>
      <c r="AJ299" s="152" t="s">
        <v>1441</v>
      </c>
      <c r="AK299" s="255" t="s">
        <v>560</v>
      </c>
      <c r="AL299" s="153" t="s">
        <v>1318</v>
      </c>
      <c r="AM299" s="279" t="s">
        <v>1617</v>
      </c>
      <c r="AN299" s="161" t="str">
        <f t="shared" ca="1" si="55"/>
        <v>TERMINO</v>
      </c>
      <c r="AO299" s="160" t="s">
        <v>576</v>
      </c>
      <c r="AP299" s="155" t="s">
        <v>390</v>
      </c>
      <c r="AQ299" s="819" t="str">
        <f>IFERROR(VLOOKUP(E299,'liquidaciones '!$B$2:$C$1048576,2,0),"NO")</f>
        <v>LIQUIDADO</v>
      </c>
      <c r="AR299" s="909">
        <f>IFERROR(VLOOKUP(E299,'liquidaciones '!$B$2:$I$1048576,8,0),"")</f>
        <v>0</v>
      </c>
      <c r="AS299" s="312"/>
      <c r="AT299" s="156" t="str">
        <f t="shared" ca="1" si="56"/>
        <v>NO</v>
      </c>
      <c r="AU299" s="156" t="s">
        <v>2388</v>
      </c>
      <c r="AV299" s="406"/>
      <c r="AW299" s="928"/>
      <c r="AX299" s="928"/>
      <c r="AY299" s="928"/>
    </row>
    <row r="300" spans="2:51" ht="47.25" customHeight="1" x14ac:dyDescent="0.3">
      <c r="B300" s="14">
        <v>294</v>
      </c>
      <c r="C300" s="410">
        <v>168</v>
      </c>
      <c r="D300" s="410" t="str">
        <f t="shared" si="47"/>
        <v>2015168</v>
      </c>
      <c r="E300" s="120" t="s">
        <v>1742</v>
      </c>
      <c r="F300" s="834" t="s">
        <v>284</v>
      </c>
      <c r="G300" s="998">
        <v>830055842</v>
      </c>
      <c r="H300" s="828" t="s">
        <v>1770</v>
      </c>
      <c r="I300" s="187">
        <v>33500000</v>
      </c>
      <c r="J300" s="673" t="s">
        <v>1743</v>
      </c>
      <c r="K300" s="269">
        <v>2015</v>
      </c>
      <c r="L300" s="519">
        <v>42124</v>
      </c>
      <c r="M300" s="835">
        <v>42130</v>
      </c>
      <c r="N300" s="835">
        <v>42496</v>
      </c>
      <c r="O300" s="1099" t="str">
        <f>IF(+Modificaciones!I300=0,"",VLOOKUP(E300,Modificaciones!$B$7:$I$2400,8,0))</f>
        <v/>
      </c>
      <c r="P300" s="115">
        <f>COUNTA(Modificaciones!J300,Modificaciones!L300,Modificaciones!N300,Modificaciones!P300)</f>
        <v>0</v>
      </c>
      <c r="Q300" s="116">
        <f>VLOOKUP(E300,Modificaciones!$B$7:$R$2300,17,0)</f>
        <v>0</v>
      </c>
      <c r="R300" s="117">
        <f>COUNTA(Modificaciones!T300,Modificaciones!V300,Modificaciones!X300,Modificaciones!Z300)</f>
        <v>1</v>
      </c>
      <c r="S300" s="118" t="str">
        <f>IF(Modificaciones!AA300=0,"",VLOOKUP(E300,Modificaciones!$B$7:$AA$400,26,0))</f>
        <v>14 DIAS</v>
      </c>
      <c r="T300" s="119">
        <f>IF(Modificaciones!AB300=0,"",VLOOKUP(E300,Modificaciones!$B$7:$AB$400,27,0))</f>
        <v>42510</v>
      </c>
      <c r="U300" s="1080" t="str">
        <f>+Modificaciones!AC300</f>
        <v/>
      </c>
      <c r="V300" s="825" t="str">
        <f>+Modificaciones!AK300</f>
        <v/>
      </c>
      <c r="W300" s="825">
        <f t="shared" si="51"/>
        <v>42510</v>
      </c>
      <c r="X300" s="59">
        <f t="shared" si="48"/>
        <v>33500000</v>
      </c>
      <c r="Y300" s="151">
        <f>VLOOKUP(E300,Modificaciones!$B$7:$BE$2300,56,0)</f>
        <v>28680629</v>
      </c>
      <c r="Z300" s="84">
        <f t="shared" si="49"/>
        <v>4819371</v>
      </c>
      <c r="AA300" s="283" t="s">
        <v>1864</v>
      </c>
      <c r="AB300" s="40">
        <f t="shared" si="50"/>
        <v>0.85613817910447765</v>
      </c>
      <c r="AC300" s="40">
        <f t="shared" ca="1" si="52"/>
        <v>1</v>
      </c>
      <c r="AD300" s="41">
        <f t="shared" ca="1" si="53"/>
        <v>0.14386182089552235</v>
      </c>
      <c r="AE300" s="181" t="str">
        <f t="shared" ca="1" si="54"/>
        <v/>
      </c>
      <c r="AF300" s="42" t="str">
        <f t="shared" si="57"/>
        <v>NO</v>
      </c>
      <c r="AG300" s="732" t="str">
        <f>VLOOKUP(C300,[2]Hoja4!$A$2:$E$116,5,0)</f>
        <v>PRESTACION DE SERVICIOS</v>
      </c>
      <c r="AH300" s="152" t="s">
        <v>1255</v>
      </c>
      <c r="AI300" s="255" t="s">
        <v>1136</v>
      </c>
      <c r="AJ300" s="152" t="s">
        <v>1435</v>
      </c>
      <c r="AK300" s="255" t="s">
        <v>562</v>
      </c>
      <c r="AL300" s="153" t="s">
        <v>1384</v>
      </c>
      <c r="AM300" s="279" t="s">
        <v>1617</v>
      </c>
      <c r="AN300" s="161" t="str">
        <f t="shared" ca="1" si="55"/>
        <v>TERMINO</v>
      </c>
      <c r="AO300" s="284" t="s">
        <v>575</v>
      </c>
      <c r="AP300" s="155" t="s">
        <v>390</v>
      </c>
      <c r="AQ300" s="819" t="str">
        <f>IFERROR(VLOOKUP(E300,'liquidaciones '!$B$2:$C$1048576,2,0),"NO")</f>
        <v>LIQUIDADO</v>
      </c>
      <c r="AR300" s="909">
        <f>IFERROR(VLOOKUP(E300,'liquidaciones '!$B$2:$I$1048576,8,0),"")</f>
        <v>0</v>
      </c>
      <c r="AS300" s="312"/>
      <c r="AT300" s="156" t="str">
        <f t="shared" ca="1" si="56"/>
        <v>NO</v>
      </c>
      <c r="AU300" s="156" t="s">
        <v>1509</v>
      </c>
      <c r="AV300" s="406"/>
      <c r="AW300" s="928"/>
      <c r="AX300" s="928"/>
      <c r="AY300" s="928"/>
    </row>
    <row r="301" spans="2:51" ht="47.25" customHeight="1" x14ac:dyDescent="0.3">
      <c r="B301" s="14">
        <v>295</v>
      </c>
      <c r="C301" s="410">
        <v>277</v>
      </c>
      <c r="D301" s="410" t="str">
        <f t="shared" si="47"/>
        <v>2015277</v>
      </c>
      <c r="E301" s="120" t="s">
        <v>1747</v>
      </c>
      <c r="F301" s="834" t="s">
        <v>1748</v>
      </c>
      <c r="G301" s="998" t="s">
        <v>1771</v>
      </c>
      <c r="H301" s="828" t="s">
        <v>1772</v>
      </c>
      <c r="I301" s="187">
        <v>12975945</v>
      </c>
      <c r="J301" s="673" t="s">
        <v>1746</v>
      </c>
      <c r="K301" s="269">
        <v>2015</v>
      </c>
      <c r="L301" s="519">
        <v>42117</v>
      </c>
      <c r="M301" s="835">
        <v>42135</v>
      </c>
      <c r="N301" s="835">
        <v>42258</v>
      </c>
      <c r="O301" s="1099" t="str">
        <f>IF(+Modificaciones!I301=0,"",VLOOKUP(E301,Modificaciones!$B$7:$I$2400,8,0))</f>
        <v/>
      </c>
      <c r="P301" s="115">
        <f>COUNTA(Modificaciones!J301,Modificaciones!L301,Modificaciones!N301,Modificaciones!P301)</f>
        <v>0</v>
      </c>
      <c r="Q301" s="116">
        <f>VLOOKUP(E301,Modificaciones!$B$7:$R$2300,17,0)</f>
        <v>0</v>
      </c>
      <c r="R301" s="117">
        <f>COUNTA(Modificaciones!T301,Modificaciones!V301,Modificaciones!X301,Modificaciones!Z301)</f>
        <v>0</v>
      </c>
      <c r="S301" s="118" t="str">
        <f>IF(Modificaciones!AA301=0,"",VLOOKUP(E301,Modificaciones!$B$7:$AA$400,26,0))</f>
        <v/>
      </c>
      <c r="T301" s="119" t="str">
        <f>IF(Modificaciones!AB301=0,"",VLOOKUP(E301,Modificaciones!$B$7:$AB$400,27,0))</f>
        <v/>
      </c>
      <c r="U301" s="1080" t="str">
        <f>+Modificaciones!AC301</f>
        <v/>
      </c>
      <c r="V301" s="825" t="str">
        <f>+Modificaciones!AK301</f>
        <v/>
      </c>
      <c r="W301" s="825">
        <f t="shared" si="51"/>
        <v>42258</v>
      </c>
      <c r="X301" s="59">
        <f t="shared" si="48"/>
        <v>12975945</v>
      </c>
      <c r="Y301" s="151">
        <f>VLOOKUP(E301,Modificaciones!$B$7:$BE$2300,56,0)</f>
        <v>12975945</v>
      </c>
      <c r="Z301" s="84">
        <f t="shared" si="49"/>
        <v>0</v>
      </c>
      <c r="AA301" s="283"/>
      <c r="AB301" s="40">
        <f t="shared" si="50"/>
        <v>1</v>
      </c>
      <c r="AC301" s="40">
        <f t="shared" ca="1" si="52"/>
        <v>1</v>
      </c>
      <c r="AD301" s="41">
        <f t="shared" ca="1" si="53"/>
        <v>0</v>
      </c>
      <c r="AE301" s="181" t="str">
        <f t="shared" ca="1" si="54"/>
        <v/>
      </c>
      <c r="AF301" s="42" t="str">
        <f t="shared" si="57"/>
        <v>SI</v>
      </c>
      <c r="AG301" s="732" t="str">
        <f>VLOOKUP(C301,[2]Hoja4!$A$2:$E$116,5,0)</f>
        <v>PRESTACION DE SERVICIOS</v>
      </c>
      <c r="AH301" s="152" t="s">
        <v>1256</v>
      </c>
      <c r="AI301" s="152" t="s">
        <v>1572</v>
      </c>
      <c r="AJ301" s="152" t="s">
        <v>1438</v>
      </c>
      <c r="AK301" s="255" t="s">
        <v>560</v>
      </c>
      <c r="AL301" s="279" t="s">
        <v>1508</v>
      </c>
      <c r="AM301" s="279" t="s">
        <v>1866</v>
      </c>
      <c r="AN301" s="161" t="str">
        <f t="shared" ca="1" si="55"/>
        <v>TERMINO</v>
      </c>
      <c r="AO301" s="284" t="s">
        <v>576</v>
      </c>
      <c r="AP301" s="155" t="s">
        <v>391</v>
      </c>
      <c r="AQ301" s="819" t="str">
        <f>IFERROR(VLOOKUP(E301,'liquidaciones '!$B$2:$C$1048576,2,0),"NO")</f>
        <v>LIQUIDADO</v>
      </c>
      <c r="AR301" s="909">
        <f>IFERROR(VLOOKUP(E301,'liquidaciones '!$B$2:$I$1048576,8,0),"")</f>
        <v>0</v>
      </c>
      <c r="AS301" s="312"/>
      <c r="AT301" s="156" t="str">
        <f t="shared" ca="1" si="56"/>
        <v>NO</v>
      </c>
      <c r="AU301" s="156" t="s">
        <v>1991</v>
      </c>
      <c r="AV301" s="406"/>
      <c r="AW301" s="928"/>
      <c r="AX301" s="928"/>
      <c r="AY301" s="928"/>
    </row>
    <row r="302" spans="2:51" ht="63" customHeight="1" x14ac:dyDescent="0.3">
      <c r="B302" s="14">
        <v>296</v>
      </c>
      <c r="C302" s="410">
        <v>177</v>
      </c>
      <c r="D302" s="410" t="str">
        <f t="shared" si="47"/>
        <v>2015177</v>
      </c>
      <c r="E302" s="120" t="s">
        <v>1754</v>
      </c>
      <c r="F302" s="834" t="s">
        <v>1755</v>
      </c>
      <c r="G302" s="998" t="s">
        <v>1756</v>
      </c>
      <c r="H302" s="828" t="s">
        <v>1757</v>
      </c>
      <c r="I302" s="187">
        <v>11000000</v>
      </c>
      <c r="J302" s="673" t="s">
        <v>1753</v>
      </c>
      <c r="K302" s="269">
        <v>2015</v>
      </c>
      <c r="L302" s="519">
        <v>42109</v>
      </c>
      <c r="M302" s="835">
        <v>42135</v>
      </c>
      <c r="N302" s="835">
        <v>42501</v>
      </c>
      <c r="O302" s="1099" t="str">
        <f>IF(+Modificaciones!I302=0,"",VLOOKUP(E302,Modificaciones!$B$7:$I$2400,8,0))</f>
        <v/>
      </c>
      <c r="P302" s="115">
        <f>COUNTA(Modificaciones!J302,Modificaciones!L302,Modificaciones!N302,Modificaciones!P302)</f>
        <v>0</v>
      </c>
      <c r="Q302" s="116">
        <f>VLOOKUP(E302,Modificaciones!$B$7:$R$2300,17,0)</f>
        <v>0</v>
      </c>
      <c r="R302" s="117">
        <f>COUNTA(Modificaciones!T302,Modificaciones!V302,Modificaciones!X302,Modificaciones!Z302)</f>
        <v>1</v>
      </c>
      <c r="S302" s="118" t="str">
        <f>IF(Modificaciones!AA302=0,"",VLOOKUP(E302,Modificaciones!$B$7:$AA$400,26,0))</f>
        <v>1 mes</v>
      </c>
      <c r="T302" s="119">
        <f>IF(Modificaciones!AB302=0,"",VLOOKUP(E302,Modificaciones!$B$7:$AB$400,27,0))</f>
        <v>42532</v>
      </c>
      <c r="U302" s="1080" t="str">
        <f>+Modificaciones!AC302</f>
        <v/>
      </c>
      <c r="V302" s="825" t="str">
        <f>+Modificaciones!AK302</f>
        <v/>
      </c>
      <c r="W302" s="825">
        <f t="shared" si="51"/>
        <v>42532</v>
      </c>
      <c r="X302" s="59">
        <f t="shared" si="48"/>
        <v>11000000</v>
      </c>
      <c r="Y302" s="151">
        <f>VLOOKUP(E302,Modificaciones!$B$7:$BE$2300,56,0)</f>
        <v>7486074</v>
      </c>
      <c r="Z302" s="84">
        <f t="shared" si="49"/>
        <v>3513926</v>
      </c>
      <c r="AA302" s="283" t="s">
        <v>1867</v>
      </c>
      <c r="AB302" s="40">
        <f t="shared" si="50"/>
        <v>0.68055218181818178</v>
      </c>
      <c r="AC302" s="40">
        <f t="shared" ca="1" si="52"/>
        <v>1</v>
      </c>
      <c r="AD302" s="41">
        <f t="shared" ca="1" si="53"/>
        <v>0.31944781818181822</v>
      </c>
      <c r="AE302" s="181" t="str">
        <f t="shared" ca="1" si="54"/>
        <v/>
      </c>
      <c r="AF302" s="42" t="str">
        <f t="shared" si="57"/>
        <v>NO</v>
      </c>
      <c r="AG302" s="732" t="str">
        <f>VLOOKUP(C302,[2]Hoja4!$A$2:$E$116,5,0)</f>
        <v>PRESTACION DE SERVICIOS</v>
      </c>
      <c r="AH302" s="152" t="s">
        <v>1255</v>
      </c>
      <c r="AI302" s="275" t="s">
        <v>1143</v>
      </c>
      <c r="AJ302" s="152" t="s">
        <v>1441</v>
      </c>
      <c r="AK302" s="255" t="s">
        <v>560</v>
      </c>
      <c r="AL302" s="153" t="s">
        <v>1379</v>
      </c>
      <c r="AM302" s="279" t="s">
        <v>1866</v>
      </c>
      <c r="AN302" s="161" t="str">
        <f t="shared" ca="1" si="55"/>
        <v>TERMINO</v>
      </c>
      <c r="AO302" s="284" t="s">
        <v>576</v>
      </c>
      <c r="AP302" s="155" t="s">
        <v>390</v>
      </c>
      <c r="AQ302" s="819" t="str">
        <f>IFERROR(VLOOKUP(E302,'liquidaciones '!$B$2:$C$1048576,2,0),"NO")</f>
        <v>LIQUIDADO</v>
      </c>
      <c r="AR302" s="909" t="str">
        <f>IFERROR(VLOOKUP(E302,'liquidaciones '!$B$2:$I$1048576,8,0),"")</f>
        <v>CLAUDIA VANEGAS</v>
      </c>
      <c r="AS302" s="312"/>
      <c r="AT302" s="156" t="str">
        <f t="shared" ca="1" si="56"/>
        <v>NO</v>
      </c>
      <c r="AU302" s="156" t="s">
        <v>1569</v>
      </c>
      <c r="AV302" s="406"/>
      <c r="AW302" s="928"/>
      <c r="AX302" s="928"/>
      <c r="AY302" s="928"/>
    </row>
    <row r="303" spans="2:51" ht="47.25" customHeight="1" x14ac:dyDescent="0.3">
      <c r="B303" s="14">
        <v>297</v>
      </c>
      <c r="C303" s="410">
        <v>55</v>
      </c>
      <c r="D303" s="410" t="str">
        <f t="shared" si="47"/>
        <v>201555</v>
      </c>
      <c r="E303" s="120" t="s">
        <v>1760</v>
      </c>
      <c r="F303" s="834" t="s">
        <v>290</v>
      </c>
      <c r="G303" s="998" t="s">
        <v>1761</v>
      </c>
      <c r="H303" s="828" t="s">
        <v>1762</v>
      </c>
      <c r="I303" s="187">
        <v>10514762</v>
      </c>
      <c r="J303" s="673" t="s">
        <v>1759</v>
      </c>
      <c r="K303" s="269">
        <v>2015</v>
      </c>
      <c r="L303" s="519">
        <v>42108</v>
      </c>
      <c r="M303" s="835">
        <v>42117</v>
      </c>
      <c r="N303" s="835">
        <v>42147</v>
      </c>
      <c r="O303" s="1099" t="str">
        <f>IF(+Modificaciones!I303=0,"",VLOOKUP(E303,Modificaciones!$B$7:$I$2400,8,0))</f>
        <v/>
      </c>
      <c r="P303" s="115">
        <f>COUNTA(Modificaciones!J303,Modificaciones!L303,Modificaciones!N303,Modificaciones!P303)</f>
        <v>0</v>
      </c>
      <c r="Q303" s="116">
        <f>VLOOKUP(E303,Modificaciones!$B$7:$R$2300,17,0)</f>
        <v>0</v>
      </c>
      <c r="R303" s="117">
        <f>COUNTA(Modificaciones!T303,Modificaciones!V303,Modificaciones!X303,Modificaciones!Z303)</f>
        <v>0</v>
      </c>
      <c r="S303" s="118" t="str">
        <f>IF(Modificaciones!AA303=0,"",VLOOKUP(E303,Modificaciones!$B$7:$AA$400,26,0))</f>
        <v/>
      </c>
      <c r="T303" s="119" t="str">
        <f>IF(Modificaciones!AB303=0,"",VLOOKUP(E303,Modificaciones!$B$7:$AB$400,27,0))</f>
        <v/>
      </c>
      <c r="U303" s="1080" t="str">
        <f>+Modificaciones!AC303</f>
        <v/>
      </c>
      <c r="V303" s="825" t="str">
        <f>+Modificaciones!AK303</f>
        <v/>
      </c>
      <c r="W303" s="825">
        <f t="shared" si="51"/>
        <v>42147</v>
      </c>
      <c r="X303" s="59">
        <f t="shared" si="48"/>
        <v>10514762</v>
      </c>
      <c r="Y303" s="151">
        <f>VLOOKUP(E303,Modificaciones!$B$7:$BE$2300,56,0)</f>
        <v>10514762</v>
      </c>
      <c r="Z303" s="84">
        <f t="shared" si="49"/>
        <v>0</v>
      </c>
      <c r="AA303" s="283" t="s">
        <v>1819</v>
      </c>
      <c r="AB303" s="40">
        <f t="shared" si="50"/>
        <v>1</v>
      </c>
      <c r="AC303" s="40">
        <f t="shared" ca="1" si="52"/>
        <v>1</v>
      </c>
      <c r="AD303" s="41">
        <f t="shared" ca="1" si="53"/>
        <v>0</v>
      </c>
      <c r="AE303" s="181" t="str">
        <f t="shared" ca="1" si="54"/>
        <v/>
      </c>
      <c r="AF303" s="42" t="str">
        <f t="shared" si="57"/>
        <v>SI</v>
      </c>
      <c r="AG303" s="732" t="str">
        <f>VLOOKUP(C303,[2]Hoja4!$A$2:$E$116,5,0)</f>
        <v>COMPRAVENTA</v>
      </c>
      <c r="AH303" s="152" t="s">
        <v>1256</v>
      </c>
      <c r="AI303" s="255" t="s">
        <v>1310</v>
      </c>
      <c r="AJ303" s="152" t="s">
        <v>1438</v>
      </c>
      <c r="AK303" s="255" t="s">
        <v>560</v>
      </c>
      <c r="AL303" s="279" t="s">
        <v>1508</v>
      </c>
      <c r="AM303" s="279" t="s">
        <v>1617</v>
      </c>
      <c r="AN303" s="161" t="str">
        <f t="shared" ca="1" si="55"/>
        <v>TERMINO</v>
      </c>
      <c r="AO303" s="284" t="s">
        <v>576</v>
      </c>
      <c r="AP303" s="155" t="s">
        <v>391</v>
      </c>
      <c r="AQ303" s="819" t="str">
        <f>IFERROR(VLOOKUP(E303,'liquidaciones '!$B$2:$C$1048576,2,0),"NO")</f>
        <v>LIQUIDADO</v>
      </c>
      <c r="AR303" s="909">
        <f>IFERROR(VLOOKUP(E303,'liquidaciones '!$B$2:$I$1048576,8,0),"")</f>
        <v>0</v>
      </c>
      <c r="AS303" s="312"/>
      <c r="AT303" s="156" t="str">
        <f t="shared" ca="1" si="56"/>
        <v>NO</v>
      </c>
      <c r="AU303" s="156" t="s">
        <v>1991</v>
      </c>
      <c r="AV303" s="406"/>
      <c r="AW303" s="928"/>
      <c r="AX303" s="928"/>
      <c r="AY303" s="928"/>
    </row>
    <row r="304" spans="2:51" ht="47.25" customHeight="1" x14ac:dyDescent="0.3">
      <c r="B304" s="14">
        <v>298</v>
      </c>
      <c r="C304" s="410">
        <v>172</v>
      </c>
      <c r="D304" s="410" t="str">
        <f t="shared" si="47"/>
        <v>2015172</v>
      </c>
      <c r="E304" s="120" t="s">
        <v>1975</v>
      </c>
      <c r="F304" s="834" t="s">
        <v>272</v>
      </c>
      <c r="G304" s="1046">
        <v>900197284</v>
      </c>
      <c r="H304" s="828" t="s">
        <v>1843</v>
      </c>
      <c r="I304" s="187">
        <v>5874000</v>
      </c>
      <c r="J304" s="673" t="s">
        <v>1763</v>
      </c>
      <c r="K304" s="269">
        <v>2015</v>
      </c>
      <c r="L304" s="519">
        <v>42130</v>
      </c>
      <c r="M304" s="835">
        <v>42149</v>
      </c>
      <c r="N304" s="835">
        <v>42515</v>
      </c>
      <c r="O304" s="1099" t="str">
        <f>IF(+Modificaciones!I304=0,"",VLOOKUP(E304,Modificaciones!$B$7:$I$2400,8,0))</f>
        <v/>
      </c>
      <c r="P304" s="115">
        <f>COUNTA(Modificaciones!J304,Modificaciones!L304,Modificaciones!N304,Modificaciones!P304)</f>
        <v>0</v>
      </c>
      <c r="Q304" s="116">
        <f>VLOOKUP(E304,Modificaciones!$B$7:$R$2300,17,0)</f>
        <v>0</v>
      </c>
      <c r="R304" s="117">
        <f>COUNTA(Modificaciones!T304,Modificaciones!V304,Modificaciones!X304,Modificaciones!Z304)</f>
        <v>0</v>
      </c>
      <c r="S304" s="118" t="str">
        <f>IF(Modificaciones!AA304=0,"",VLOOKUP(E304,Modificaciones!$B$7:$AA$400,26,0))</f>
        <v/>
      </c>
      <c r="T304" s="119" t="str">
        <f>IF(Modificaciones!AB304=0,"",VLOOKUP(E304,Modificaciones!$B$7:$AB$400,27,0))</f>
        <v/>
      </c>
      <c r="U304" s="1080" t="str">
        <f>+Modificaciones!AC304</f>
        <v/>
      </c>
      <c r="V304" s="825" t="str">
        <f>+Modificaciones!AK304</f>
        <v/>
      </c>
      <c r="W304" s="825">
        <f t="shared" si="51"/>
        <v>42515</v>
      </c>
      <c r="X304" s="59">
        <f t="shared" si="48"/>
        <v>5874000</v>
      </c>
      <c r="Y304" s="151">
        <f>VLOOKUP(E304,Modificaciones!$B$7:$BE$2300,56,0)</f>
        <v>4940614</v>
      </c>
      <c r="Z304" s="84">
        <f t="shared" si="49"/>
        <v>933386</v>
      </c>
      <c r="AA304" s="283" t="s">
        <v>1631</v>
      </c>
      <c r="AB304" s="40">
        <f t="shared" si="50"/>
        <v>0.84109874021109976</v>
      </c>
      <c r="AC304" s="40">
        <f t="shared" ca="1" si="52"/>
        <v>1</v>
      </c>
      <c r="AD304" s="41">
        <f t="shared" ca="1" si="53"/>
        <v>0.15890125978890024</v>
      </c>
      <c r="AE304" s="181" t="str">
        <f t="shared" ca="1" si="54"/>
        <v/>
      </c>
      <c r="AF304" s="42" t="str">
        <f t="shared" si="57"/>
        <v>NO</v>
      </c>
      <c r="AG304" s="732" t="str">
        <f>VLOOKUP(C304,[2]Hoja4!$A$2:$E$116,5,0)</f>
        <v>PRESTACION DE SERVICIOS</v>
      </c>
      <c r="AH304" s="152" t="s">
        <v>1255</v>
      </c>
      <c r="AI304" s="152" t="s">
        <v>1510</v>
      </c>
      <c r="AJ304" s="152" t="s">
        <v>1441</v>
      </c>
      <c r="AK304" s="255" t="s">
        <v>560</v>
      </c>
      <c r="AL304" s="153" t="s">
        <v>1379</v>
      </c>
      <c r="AM304" s="279" t="s">
        <v>1617</v>
      </c>
      <c r="AN304" s="161" t="str">
        <f t="shared" ca="1" si="55"/>
        <v>TERMINO</v>
      </c>
      <c r="AO304" s="160" t="s">
        <v>576</v>
      </c>
      <c r="AP304" s="155" t="s">
        <v>390</v>
      </c>
      <c r="AQ304" s="819" t="str">
        <f>IFERROR(VLOOKUP(E304,'liquidaciones '!$B$2:$C$1048576,2,0),"NO")</f>
        <v>DEVUELTO</v>
      </c>
      <c r="AR304" s="909" t="str">
        <f>IFERROR(VLOOKUP(E304,'liquidaciones '!$B$2:$I$1048576,8,0),"")</f>
        <v>CLAUDIA VANEGAS</v>
      </c>
      <c r="AS304" s="312"/>
      <c r="AT304" s="156" t="str">
        <f t="shared" ca="1" si="56"/>
        <v>NO</v>
      </c>
      <c r="AU304" s="156" t="s">
        <v>1569</v>
      </c>
      <c r="AV304" s="406"/>
      <c r="AW304" s="928"/>
      <c r="AX304" s="928"/>
      <c r="AY304" s="928"/>
    </row>
    <row r="305" spans="2:51" ht="47.25" customHeight="1" x14ac:dyDescent="0.3">
      <c r="B305" s="14">
        <v>299</v>
      </c>
      <c r="C305" s="410">
        <v>171</v>
      </c>
      <c r="D305" s="410" t="str">
        <f t="shared" si="47"/>
        <v>2015171</v>
      </c>
      <c r="E305" s="120" t="s">
        <v>1855</v>
      </c>
      <c r="F305" s="834" t="s">
        <v>1856</v>
      </c>
      <c r="G305" s="998">
        <v>860025639</v>
      </c>
      <c r="H305" s="828" t="s">
        <v>1857</v>
      </c>
      <c r="I305" s="187">
        <v>14210000</v>
      </c>
      <c r="J305" s="698" t="s">
        <v>1855</v>
      </c>
      <c r="K305" s="269">
        <v>2015</v>
      </c>
      <c r="L305" s="519">
        <v>42132</v>
      </c>
      <c r="M305" s="835">
        <v>42149</v>
      </c>
      <c r="N305" s="835">
        <v>42454</v>
      </c>
      <c r="O305" s="1099" t="str">
        <f>IF(+Modificaciones!I305=0,"",VLOOKUP(E305,Modificaciones!$B$7:$I$2400,8,0))</f>
        <v/>
      </c>
      <c r="P305" s="115">
        <f>COUNTA(Modificaciones!J305,Modificaciones!L305,Modificaciones!N305,Modificaciones!P305)</f>
        <v>1</v>
      </c>
      <c r="Q305" s="116">
        <f>VLOOKUP(E305,Modificaciones!$B$7:$R$2300,17,0)</f>
        <v>4626508</v>
      </c>
      <c r="R305" s="117">
        <f>COUNTA(Modificaciones!T305,Modificaciones!V305,Modificaciones!X305,Modificaciones!Z305)</f>
        <v>0</v>
      </c>
      <c r="S305" s="118" t="str">
        <f>IF(Modificaciones!AA305=0,"",VLOOKUP(E305,Modificaciones!$B$7:$AA$400,26,0))</f>
        <v/>
      </c>
      <c r="T305" s="119" t="str">
        <f>IF(Modificaciones!AB305=0,"",VLOOKUP(E305,Modificaciones!$B$7:$AB$400,27,0))</f>
        <v/>
      </c>
      <c r="U305" s="1080" t="str">
        <f>+Modificaciones!AC305</f>
        <v/>
      </c>
      <c r="V305" s="825" t="str">
        <f>+Modificaciones!AK305</f>
        <v/>
      </c>
      <c r="W305" s="825">
        <f t="shared" si="51"/>
        <v>42454</v>
      </c>
      <c r="X305" s="59">
        <f t="shared" si="48"/>
        <v>18836508</v>
      </c>
      <c r="Y305" s="151">
        <f>VLOOKUP(E305,Modificaciones!$B$7:$BE$2300,56,0)</f>
        <v>18291633</v>
      </c>
      <c r="Z305" s="84">
        <f t="shared" si="49"/>
        <v>544875</v>
      </c>
      <c r="AA305" s="283" t="s">
        <v>1631</v>
      </c>
      <c r="AB305" s="40">
        <f t="shared" si="50"/>
        <v>0.97107346011267059</v>
      </c>
      <c r="AC305" s="40">
        <f t="shared" ca="1" si="52"/>
        <v>1</v>
      </c>
      <c r="AD305" s="41">
        <f t="shared" ca="1" si="53"/>
        <v>2.8926539887329406E-2</v>
      </c>
      <c r="AE305" s="181" t="str">
        <f t="shared" ca="1" si="54"/>
        <v/>
      </c>
      <c r="AF305" s="42" t="str">
        <f t="shared" si="57"/>
        <v>NO</v>
      </c>
      <c r="AG305" s="732" t="str">
        <f>VLOOKUP(C305,[2]Hoja4!$A$2:$E$116,5,0)</f>
        <v>PRESTACION DE SERVICIOS</v>
      </c>
      <c r="AH305" s="152" t="s">
        <v>1255</v>
      </c>
      <c r="AI305" s="255" t="s">
        <v>1169</v>
      </c>
      <c r="AJ305" s="152" t="s">
        <v>1441</v>
      </c>
      <c r="AK305" s="255" t="s">
        <v>560</v>
      </c>
      <c r="AL305" s="279"/>
      <c r="AM305" s="279" t="s">
        <v>1617</v>
      </c>
      <c r="AN305" s="161" t="str">
        <f t="shared" ca="1" si="55"/>
        <v>TERMINO</v>
      </c>
      <c r="AO305" s="160" t="s">
        <v>582</v>
      </c>
      <c r="AP305" s="155" t="s">
        <v>390</v>
      </c>
      <c r="AQ305" s="819" t="str">
        <f>IFERROR(VLOOKUP(E305,'liquidaciones '!$B$2:$C$1048576,2,0),"NO")</f>
        <v>LIQUIDADO</v>
      </c>
      <c r="AR305" s="909">
        <f>IFERROR(VLOOKUP(E305,'liquidaciones '!$B$2:$I$1048576,8,0),"")</f>
        <v>0</v>
      </c>
      <c r="AS305" s="312"/>
      <c r="AT305" s="156" t="str">
        <f t="shared" ca="1" si="56"/>
        <v>NO</v>
      </c>
      <c r="AU305" s="156" t="s">
        <v>1509</v>
      </c>
      <c r="AV305" s="406"/>
      <c r="AW305" s="928"/>
      <c r="AX305" s="928"/>
      <c r="AY305" s="928"/>
    </row>
    <row r="306" spans="2:51" ht="47.25" customHeight="1" x14ac:dyDescent="0.3">
      <c r="B306" s="14">
        <v>300</v>
      </c>
      <c r="C306" s="410">
        <v>123</v>
      </c>
      <c r="D306" s="410" t="str">
        <f t="shared" si="47"/>
        <v>2015123</v>
      </c>
      <c r="E306" s="120" t="s">
        <v>1858</v>
      </c>
      <c r="F306" s="834" t="s">
        <v>203</v>
      </c>
      <c r="G306" s="998">
        <v>860049921</v>
      </c>
      <c r="H306" s="828" t="s">
        <v>1859</v>
      </c>
      <c r="I306" s="187">
        <v>7714000</v>
      </c>
      <c r="J306" s="673" t="s">
        <v>1744</v>
      </c>
      <c r="K306" s="269">
        <v>2015</v>
      </c>
      <c r="L306" s="519">
        <v>42132</v>
      </c>
      <c r="M306" s="835">
        <v>42144</v>
      </c>
      <c r="N306" s="835">
        <v>42236</v>
      </c>
      <c r="O306" s="1099" t="str">
        <f>IF(+Modificaciones!I306=0,"",VLOOKUP(E306,Modificaciones!$B$7:$I$2400,8,0))</f>
        <v/>
      </c>
      <c r="P306" s="115">
        <f>COUNTA(Modificaciones!J306,Modificaciones!L306,Modificaciones!N306,Modificaciones!P306)</f>
        <v>0</v>
      </c>
      <c r="Q306" s="116">
        <f>VLOOKUP(E306,Modificaciones!$B$7:$R$2300,17,0)</f>
        <v>0</v>
      </c>
      <c r="R306" s="117">
        <f>COUNTA(Modificaciones!T306,Modificaciones!V306,Modificaciones!X306,Modificaciones!Z306)</f>
        <v>0</v>
      </c>
      <c r="S306" s="118" t="str">
        <f>IF(Modificaciones!AA306=0,"",VLOOKUP(E306,Modificaciones!$B$7:$AA$400,26,0))</f>
        <v/>
      </c>
      <c r="T306" s="119" t="str">
        <f>IF(Modificaciones!AB306=0,"",VLOOKUP(E306,Modificaciones!$B$7:$AB$400,27,0))</f>
        <v/>
      </c>
      <c r="U306" s="1080" t="str">
        <f>+Modificaciones!AC306</f>
        <v/>
      </c>
      <c r="V306" s="825" t="str">
        <f>+Modificaciones!AK306</f>
        <v/>
      </c>
      <c r="W306" s="825">
        <f t="shared" si="51"/>
        <v>42236</v>
      </c>
      <c r="X306" s="59">
        <f t="shared" si="48"/>
        <v>7714000</v>
      </c>
      <c r="Y306" s="151">
        <f>VLOOKUP(E306,Modificaciones!$B$7:$BE$2300,56,0)</f>
        <v>7714000</v>
      </c>
      <c r="Z306" s="84">
        <f t="shared" si="49"/>
        <v>0</v>
      </c>
      <c r="AA306" s="283" t="s">
        <v>1865</v>
      </c>
      <c r="AB306" s="40">
        <f t="shared" si="50"/>
        <v>1</v>
      </c>
      <c r="AC306" s="40">
        <f t="shared" ca="1" si="52"/>
        <v>1</v>
      </c>
      <c r="AD306" s="41">
        <f t="shared" ca="1" si="53"/>
        <v>0</v>
      </c>
      <c r="AE306" s="181" t="str">
        <f t="shared" ca="1" si="54"/>
        <v/>
      </c>
      <c r="AF306" s="42" t="str">
        <f t="shared" si="57"/>
        <v>SI</v>
      </c>
      <c r="AG306" s="732" t="str">
        <f>VLOOKUP(C306,[2]Hoja4!$A$2:$E$116,5,0)</f>
        <v>PRESTACION DE SERVICIOS</v>
      </c>
      <c r="AH306" s="152" t="s">
        <v>1255</v>
      </c>
      <c r="AI306" s="275" t="s">
        <v>1349</v>
      </c>
      <c r="AJ306" s="152" t="s">
        <v>1430</v>
      </c>
      <c r="AK306" s="255" t="s">
        <v>563</v>
      </c>
      <c r="AL306" s="279" t="s">
        <v>2161</v>
      </c>
      <c r="AM306" s="279" t="s">
        <v>1866</v>
      </c>
      <c r="AN306" s="161" t="str">
        <f t="shared" ca="1" si="55"/>
        <v>TERMINO</v>
      </c>
      <c r="AO306" s="160" t="s">
        <v>582</v>
      </c>
      <c r="AP306" s="155" t="s">
        <v>390</v>
      </c>
      <c r="AQ306" s="819" t="str">
        <f>IFERROR(VLOOKUP(E306,'liquidaciones '!$B$2:$C$1048576,2,0),"NO")</f>
        <v>LIQUIDADO</v>
      </c>
      <c r="AR306" s="909">
        <f>IFERROR(VLOOKUP(E306,'liquidaciones '!$B$2:$I$1048576,8,0),"")</f>
        <v>0</v>
      </c>
      <c r="AS306" s="312"/>
      <c r="AT306" s="156" t="str">
        <f t="shared" ca="1" si="56"/>
        <v>NO</v>
      </c>
      <c r="AU306" s="156" t="s">
        <v>2388</v>
      </c>
      <c r="AV306" s="406"/>
      <c r="AW306" s="928"/>
      <c r="AX306" s="928"/>
      <c r="AY306" s="928"/>
    </row>
    <row r="307" spans="2:51" ht="47.25" customHeight="1" x14ac:dyDescent="0.3">
      <c r="B307" s="14">
        <v>301</v>
      </c>
      <c r="C307" s="410">
        <v>54</v>
      </c>
      <c r="D307" s="410" t="str">
        <f t="shared" si="47"/>
        <v>201554</v>
      </c>
      <c r="E307" s="120" t="s">
        <v>1860</v>
      </c>
      <c r="F307" s="834" t="s">
        <v>1861</v>
      </c>
      <c r="G307" s="998">
        <v>830124848</v>
      </c>
      <c r="H307" s="828" t="s">
        <v>1862</v>
      </c>
      <c r="I307" s="187">
        <v>60000000</v>
      </c>
      <c r="J307" s="673" t="s">
        <v>1764</v>
      </c>
      <c r="K307" s="269">
        <v>2015</v>
      </c>
      <c r="L307" s="519">
        <v>42128</v>
      </c>
      <c r="M307" s="835">
        <v>42156</v>
      </c>
      <c r="N307" s="835">
        <v>42522</v>
      </c>
      <c r="O307" s="1099" t="str">
        <f>IF(+Modificaciones!I307=0,"",VLOOKUP(E307,Modificaciones!$B$7:$I$2400,8,0))</f>
        <v/>
      </c>
      <c r="P307" s="115">
        <f>COUNTA(Modificaciones!J307,Modificaciones!L307,Modificaciones!N307,Modificaciones!P307)</f>
        <v>1</v>
      </c>
      <c r="Q307" s="116">
        <f>VLOOKUP(E307,Modificaciones!$B$7:$R$2300,17,0)</f>
        <v>8000000</v>
      </c>
      <c r="R307" s="117">
        <f>COUNTA(Modificaciones!T307,Modificaciones!V307,Modificaciones!X307,Modificaciones!Z307)</f>
        <v>1</v>
      </c>
      <c r="S307" s="118" t="str">
        <f>IF(Modificaciones!AA307=0,"",VLOOKUP(E307,Modificaciones!$B$7:$AA$400,26,0))</f>
        <v>4 meses</v>
      </c>
      <c r="T307" s="119">
        <f>IF(Modificaciones!AB307=0,"",VLOOKUP(E307,Modificaciones!$B$7:$AB$400,27,0))</f>
        <v>42644</v>
      </c>
      <c r="U307" s="1080" t="str">
        <f>+Modificaciones!AC307</f>
        <v/>
      </c>
      <c r="V307" s="825" t="str">
        <f>+Modificaciones!AK307</f>
        <v/>
      </c>
      <c r="W307" s="825">
        <f t="shared" si="51"/>
        <v>42644</v>
      </c>
      <c r="X307" s="59">
        <f t="shared" si="48"/>
        <v>68000000</v>
      </c>
      <c r="Y307" s="151">
        <f>VLOOKUP(E307,Modificaciones!$B$7:$BE$2300,56,0)</f>
        <v>67544655</v>
      </c>
      <c r="Z307" s="84">
        <f t="shared" si="49"/>
        <v>455345</v>
      </c>
      <c r="AA307" s="283" t="s">
        <v>1863</v>
      </c>
      <c r="AB307" s="40">
        <f t="shared" si="50"/>
        <v>0.99330375000000004</v>
      </c>
      <c r="AC307" s="40">
        <f t="shared" ca="1" si="52"/>
        <v>1</v>
      </c>
      <c r="AD307" s="41">
        <f t="shared" ca="1" si="53"/>
        <v>6.6962499999999592E-3</v>
      </c>
      <c r="AE307" s="181" t="str">
        <f t="shared" ca="1" si="54"/>
        <v/>
      </c>
      <c r="AF307" s="42" t="str">
        <f t="shared" si="57"/>
        <v>NO</v>
      </c>
      <c r="AG307" s="732" t="str">
        <f>VLOOKUP(C307,[2]Hoja4!$A$2:$E$116,5,0)</f>
        <v>PRESTACION DE SERVICIOS</v>
      </c>
      <c r="AH307" s="152" t="s">
        <v>1256</v>
      </c>
      <c r="AI307" s="275" t="s">
        <v>1165</v>
      </c>
      <c r="AJ307" s="152" t="s">
        <v>1438</v>
      </c>
      <c r="AK307" s="255" t="s">
        <v>560</v>
      </c>
      <c r="AL307" s="279" t="s">
        <v>1508</v>
      </c>
      <c r="AM307" s="279" t="s">
        <v>1617</v>
      </c>
      <c r="AN307" s="161" t="str">
        <f t="shared" ca="1" si="55"/>
        <v>TERMINO</v>
      </c>
      <c r="AO307" s="284" t="s">
        <v>575</v>
      </c>
      <c r="AP307" s="155" t="s">
        <v>390</v>
      </c>
      <c r="AQ307" s="819" t="str">
        <f>IFERROR(VLOOKUP(E307,'liquidaciones '!$B$2:$C$1048576,2,0),"NO")</f>
        <v>LIQUIDADO</v>
      </c>
      <c r="AR307" s="909">
        <f>IFERROR(VLOOKUP(E307,'liquidaciones '!$B$2:$I$1048576,8,0),"")</f>
        <v>0</v>
      </c>
      <c r="AS307" s="312"/>
      <c r="AT307" s="156" t="str">
        <f t="shared" ca="1" si="56"/>
        <v>NO</v>
      </c>
      <c r="AU307" s="156" t="s">
        <v>2601</v>
      </c>
      <c r="AV307" s="406"/>
      <c r="AW307" s="928"/>
      <c r="AX307" s="928"/>
      <c r="AY307" s="928"/>
    </row>
    <row r="308" spans="2:51" ht="47.25" customHeight="1" x14ac:dyDescent="0.3">
      <c r="B308" s="14">
        <v>302</v>
      </c>
      <c r="C308" s="410">
        <v>149</v>
      </c>
      <c r="D308" s="410" t="str">
        <f t="shared" si="47"/>
        <v>2015149</v>
      </c>
      <c r="E308" s="120" t="s">
        <v>1868</v>
      </c>
      <c r="F308" s="834" t="s">
        <v>1869</v>
      </c>
      <c r="G308" s="998">
        <v>900587953</v>
      </c>
      <c r="H308" s="828" t="s">
        <v>1870</v>
      </c>
      <c r="I308" s="187">
        <v>2000000</v>
      </c>
      <c r="J308" s="673" t="s">
        <v>1749</v>
      </c>
      <c r="K308" s="269">
        <v>2015</v>
      </c>
      <c r="L308" s="519">
        <v>42135</v>
      </c>
      <c r="M308" s="835">
        <v>42150</v>
      </c>
      <c r="N308" s="835">
        <v>42455</v>
      </c>
      <c r="O308" s="1099" t="str">
        <f>IF(+Modificaciones!I308=0,"",VLOOKUP(E308,Modificaciones!$B$7:$I$2400,8,0))</f>
        <v/>
      </c>
      <c r="P308" s="115">
        <f>COUNTA(Modificaciones!J308,Modificaciones!L308,Modificaciones!N308,Modificaciones!P308)</f>
        <v>0</v>
      </c>
      <c r="Q308" s="116">
        <f>VLOOKUP(E308,Modificaciones!$B$7:$R$2300,17,0)</f>
        <v>0</v>
      </c>
      <c r="R308" s="117">
        <f>COUNTA(Modificaciones!T308,Modificaciones!V308,Modificaciones!X308,Modificaciones!Z308)</f>
        <v>0</v>
      </c>
      <c r="S308" s="118" t="str">
        <f>IF(Modificaciones!AA308=0,"",VLOOKUP(E308,Modificaciones!$B$7:$AA$400,26,0))</f>
        <v/>
      </c>
      <c r="T308" s="119" t="str">
        <f>IF(Modificaciones!AB308=0,"",VLOOKUP(E308,Modificaciones!$B$7:$AB$400,27,0))</f>
        <v/>
      </c>
      <c r="U308" s="1080" t="str">
        <f>+Modificaciones!AC308</f>
        <v/>
      </c>
      <c r="V308" s="825" t="str">
        <f>+Modificaciones!AK308</f>
        <v/>
      </c>
      <c r="W308" s="825">
        <f t="shared" si="51"/>
        <v>42455</v>
      </c>
      <c r="X308" s="59">
        <f t="shared" si="48"/>
        <v>2000000</v>
      </c>
      <c r="Y308" s="151">
        <f>VLOOKUP(E308,Modificaciones!$B$7:$BE$2300,56,0)</f>
        <v>824760</v>
      </c>
      <c r="Z308" s="84">
        <f t="shared" si="49"/>
        <v>1175240</v>
      </c>
      <c r="AA308" s="283" t="s">
        <v>1612</v>
      </c>
      <c r="AB308" s="40">
        <f t="shared" si="50"/>
        <v>0.41238000000000002</v>
      </c>
      <c r="AC308" s="40">
        <f t="shared" ca="1" si="52"/>
        <v>1</v>
      </c>
      <c r="AD308" s="41">
        <f t="shared" ca="1" si="53"/>
        <v>0.58762000000000003</v>
      </c>
      <c r="AE308" s="181" t="str">
        <f t="shared" ca="1" si="54"/>
        <v/>
      </c>
      <c r="AF308" s="42" t="str">
        <f t="shared" si="57"/>
        <v>NO</v>
      </c>
      <c r="AG308" s="732" t="str">
        <f>VLOOKUP(C308,[2]Hoja4!$A$2:$E$116,5,0)</f>
        <v>PRESTACION DE SERVICIOS</v>
      </c>
      <c r="AH308" s="152" t="s">
        <v>1255</v>
      </c>
      <c r="AI308" s="255" t="s">
        <v>1382</v>
      </c>
      <c r="AJ308" s="152" t="s">
        <v>1441</v>
      </c>
      <c r="AK308" s="255" t="s">
        <v>560</v>
      </c>
      <c r="AL308" s="153" t="s">
        <v>1379</v>
      </c>
      <c r="AM308" s="279" t="s">
        <v>1866</v>
      </c>
      <c r="AN308" s="161" t="str">
        <f t="shared" ca="1" si="55"/>
        <v>TERMINO</v>
      </c>
      <c r="AO308" s="160" t="s">
        <v>576</v>
      </c>
      <c r="AP308" s="155" t="s">
        <v>390</v>
      </c>
      <c r="AQ308" s="819" t="str">
        <f>IFERROR(VLOOKUP(E308,'liquidaciones '!$B$2:$C$1048576,2,0),"NO")</f>
        <v>LIQUIDADO</v>
      </c>
      <c r="AR308" s="909" t="str">
        <f>IFERROR(VLOOKUP(E308,'liquidaciones '!$B$2:$I$1048576,8,0),"")</f>
        <v>GIOVANNI SUAREZ</v>
      </c>
      <c r="AS308" s="312"/>
      <c r="AT308" s="156" t="str">
        <f t="shared" ca="1" si="56"/>
        <v>NO</v>
      </c>
      <c r="AU308" s="156" t="s">
        <v>2388</v>
      </c>
      <c r="AV308" s="406"/>
      <c r="AW308" s="928"/>
      <c r="AX308" s="928"/>
      <c r="AY308" s="928"/>
    </row>
    <row r="309" spans="2:51" ht="62.25" customHeight="1" x14ac:dyDescent="0.3">
      <c r="B309" s="14">
        <v>303</v>
      </c>
      <c r="C309" s="410">
        <v>174</v>
      </c>
      <c r="D309" s="410" t="str">
        <f t="shared" si="47"/>
        <v>2015174</v>
      </c>
      <c r="E309" s="120" t="s">
        <v>1874</v>
      </c>
      <c r="F309" s="834" t="s">
        <v>1875</v>
      </c>
      <c r="G309" s="998">
        <v>830101476</v>
      </c>
      <c r="H309" s="828" t="s">
        <v>1876</v>
      </c>
      <c r="I309" s="187">
        <v>566000000</v>
      </c>
      <c r="J309" s="673" t="s">
        <v>1765</v>
      </c>
      <c r="K309" s="269">
        <v>2015</v>
      </c>
      <c r="L309" s="519">
        <v>42136</v>
      </c>
      <c r="M309" s="835">
        <v>42141</v>
      </c>
      <c r="N309" s="835">
        <v>42507</v>
      </c>
      <c r="O309" s="1099" t="str">
        <f>IF(+Modificaciones!I309=0,"",VLOOKUP(E309,Modificaciones!$B$7:$I$2400,8,0))</f>
        <v/>
      </c>
      <c r="P309" s="115">
        <f>COUNTA(Modificaciones!J309,Modificaciones!L309,Modificaciones!N309,Modificaciones!P309)</f>
        <v>0</v>
      </c>
      <c r="Q309" s="116">
        <f>VLOOKUP(E309,Modificaciones!$B$7:$R$2300,17,0)</f>
        <v>0</v>
      </c>
      <c r="R309" s="117">
        <f>COUNTA(Modificaciones!T309,Modificaciones!V309,Modificaciones!X309,Modificaciones!Z309)</f>
        <v>0</v>
      </c>
      <c r="S309" s="118" t="str">
        <f>IF(Modificaciones!AA309=0,"",VLOOKUP(E309,Modificaciones!$B$7:$AA$400,26,0))</f>
        <v>2 meses y 14 días calendario</v>
      </c>
      <c r="T309" s="119" t="str">
        <f>IF(Modificaciones!AB309=0,"",VLOOKUP(E309,Modificaciones!$B$7:$AB$400,27,0))</f>
        <v/>
      </c>
      <c r="U309" s="1080" t="str">
        <f>+Modificaciones!AC309</f>
        <v/>
      </c>
      <c r="V309" s="825" t="str">
        <f>+Modificaciones!AK309</f>
        <v/>
      </c>
      <c r="W309" s="825">
        <f t="shared" si="51"/>
        <v>42507</v>
      </c>
      <c r="X309" s="59">
        <f t="shared" si="48"/>
        <v>566000000</v>
      </c>
      <c r="Y309" s="151">
        <f>VLOOKUP(E309,Modificaciones!$B$7:$BE$2300,56,0)</f>
        <v>549713874</v>
      </c>
      <c r="Z309" s="84">
        <f t="shared" si="49"/>
        <v>16286126</v>
      </c>
      <c r="AA309" s="283" t="s">
        <v>1877</v>
      </c>
      <c r="AB309" s="40">
        <f t="shared" si="50"/>
        <v>0.97122592579505296</v>
      </c>
      <c r="AC309" s="40">
        <f t="shared" ca="1" si="52"/>
        <v>1</v>
      </c>
      <c r="AD309" s="41">
        <f t="shared" ca="1" si="53"/>
        <v>2.8774074204947042E-2</v>
      </c>
      <c r="AE309" s="181" t="str">
        <f t="shared" ca="1" si="54"/>
        <v/>
      </c>
      <c r="AF309" s="42" t="str">
        <f t="shared" si="57"/>
        <v>NO</v>
      </c>
      <c r="AG309" s="732" t="str">
        <f>VLOOKUP(C309,[2]Hoja4!$A$2:$E$116,5,0)</f>
        <v>PRESTACION DE SERVICIOS</v>
      </c>
      <c r="AH309" s="152" t="s">
        <v>1255</v>
      </c>
      <c r="AI309" s="255" t="s">
        <v>1126</v>
      </c>
      <c r="AJ309" s="152"/>
      <c r="AK309" s="255" t="s">
        <v>560</v>
      </c>
      <c r="AL309" s="279"/>
      <c r="AM309" s="279" t="s">
        <v>1866</v>
      </c>
      <c r="AN309" s="161" t="str">
        <f t="shared" ca="1" si="55"/>
        <v>TERMINO</v>
      </c>
      <c r="AO309" s="284" t="s">
        <v>575</v>
      </c>
      <c r="AP309" s="155" t="s">
        <v>390</v>
      </c>
      <c r="AQ309" s="819" t="str">
        <f>IFERROR(VLOOKUP(E309,'liquidaciones '!$B$2:$C$1048576,2,0),"NO")</f>
        <v>LIQUIDADO</v>
      </c>
      <c r="AR309" s="909" t="str">
        <f>IFERROR(VLOOKUP(E309,'liquidaciones '!$B$2:$I$1048576,8,0),"")</f>
        <v>JULIETH ANGARITA</v>
      </c>
      <c r="AS309" s="312"/>
      <c r="AT309" s="156" t="str">
        <f t="shared" ca="1" si="56"/>
        <v>NO</v>
      </c>
      <c r="AU309" s="156" t="s">
        <v>981</v>
      </c>
      <c r="AV309" s="406"/>
      <c r="AW309" s="928"/>
      <c r="AX309" s="928"/>
      <c r="AY309" s="928"/>
    </row>
    <row r="310" spans="2:51" ht="47.25" customHeight="1" x14ac:dyDescent="0.3">
      <c r="B310" s="14">
        <v>304</v>
      </c>
      <c r="C310" s="410">
        <v>274</v>
      </c>
      <c r="D310" s="410" t="str">
        <f t="shared" si="47"/>
        <v>2015274</v>
      </c>
      <c r="E310" s="120" t="s">
        <v>1879</v>
      </c>
      <c r="F310" s="834" t="s">
        <v>1880</v>
      </c>
      <c r="G310" s="998">
        <v>1085916707</v>
      </c>
      <c r="H310" s="828" t="s">
        <v>1881</v>
      </c>
      <c r="I310" s="187">
        <v>18000000</v>
      </c>
      <c r="J310" s="698" t="s">
        <v>1879</v>
      </c>
      <c r="K310" s="269">
        <v>2015</v>
      </c>
      <c r="L310" s="519">
        <v>42130</v>
      </c>
      <c r="M310" s="835">
        <v>42137</v>
      </c>
      <c r="N310" s="835">
        <v>42413</v>
      </c>
      <c r="O310" s="1099" t="str">
        <f>IF(+Modificaciones!I310=0,"",VLOOKUP(E310,Modificaciones!$B$7:$I$2400,8,0))</f>
        <v/>
      </c>
      <c r="P310" s="115">
        <f>COUNTA(Modificaciones!J310,Modificaciones!L310,Modificaciones!N310,Modificaciones!P310)</f>
        <v>0</v>
      </c>
      <c r="Q310" s="116">
        <f>VLOOKUP(E310,Modificaciones!$B$7:$R$2300,17,0)</f>
        <v>0</v>
      </c>
      <c r="R310" s="117">
        <f>COUNTA(Modificaciones!T310,Modificaciones!V310,Modificaciones!X310,Modificaciones!Z310)</f>
        <v>0</v>
      </c>
      <c r="S310" s="118" t="str">
        <f>IF(Modificaciones!AA310=0,"",VLOOKUP(E310,Modificaciones!$B$7:$AA$400,26,0))</f>
        <v/>
      </c>
      <c r="T310" s="119" t="str">
        <f>IF(Modificaciones!AB310=0,"",VLOOKUP(E310,Modificaciones!$B$7:$AB$400,27,0))</f>
        <v/>
      </c>
      <c r="U310" s="1080" t="str">
        <f>+Modificaciones!AC310</f>
        <v/>
      </c>
      <c r="V310" s="825" t="str">
        <f>+Modificaciones!AK310</f>
        <v/>
      </c>
      <c r="W310" s="825">
        <f t="shared" si="51"/>
        <v>42413</v>
      </c>
      <c r="X310" s="59">
        <f t="shared" si="48"/>
        <v>18000000</v>
      </c>
      <c r="Y310" s="151">
        <f>VLOOKUP(E310,Modificaciones!$B$7:$BE$2300,56,0)</f>
        <v>18000000</v>
      </c>
      <c r="Z310" s="84">
        <f t="shared" si="49"/>
        <v>0</v>
      </c>
      <c r="AA310" s="283" t="s">
        <v>1094</v>
      </c>
      <c r="AB310" s="40">
        <f t="shared" si="50"/>
        <v>1</v>
      </c>
      <c r="AC310" s="40">
        <f t="shared" ca="1" si="52"/>
        <v>1</v>
      </c>
      <c r="AD310" s="41">
        <f t="shared" ca="1" si="53"/>
        <v>0</v>
      </c>
      <c r="AE310" s="181" t="str">
        <f t="shared" ca="1" si="54"/>
        <v/>
      </c>
      <c r="AF310" s="42" t="str">
        <f t="shared" si="57"/>
        <v>SI</v>
      </c>
      <c r="AG310" s="732" t="str">
        <f>VLOOKUP(C310,[2]Hoja4!$A$2:$E$116,5,0)</f>
        <v>PRESTACION DE SERVICIOS</v>
      </c>
      <c r="AH310" s="152" t="s">
        <v>1255</v>
      </c>
      <c r="AI310" s="152" t="s">
        <v>1968</v>
      </c>
      <c r="AJ310" s="152" t="s">
        <v>1436</v>
      </c>
      <c r="AK310" s="255" t="s">
        <v>561</v>
      </c>
      <c r="AL310" s="279"/>
      <c r="AM310" s="279" t="s">
        <v>1866</v>
      </c>
      <c r="AN310" s="161" t="str">
        <f t="shared" ca="1" si="55"/>
        <v>TERMINO</v>
      </c>
      <c r="AO310" s="284" t="s">
        <v>582</v>
      </c>
      <c r="AP310" s="155" t="s">
        <v>391</v>
      </c>
      <c r="AQ310" s="819" t="str">
        <f>IFERROR(VLOOKUP(E310,'liquidaciones '!$B$2:$C$1048576,2,0),"NO")</f>
        <v>LIQUIDADO</v>
      </c>
      <c r="AR310" s="909">
        <f>IFERROR(VLOOKUP(E310,'liquidaciones '!$B$2:$I$1048576,8,0),"")</f>
        <v>0</v>
      </c>
      <c r="AS310" s="312"/>
      <c r="AT310" s="156" t="str">
        <f t="shared" ca="1" si="56"/>
        <v>NO</v>
      </c>
      <c r="AU310" s="156" t="s">
        <v>1509</v>
      </c>
      <c r="AV310" s="406"/>
      <c r="AW310" s="928"/>
      <c r="AX310" s="928"/>
      <c r="AY310" s="928"/>
    </row>
    <row r="311" spans="2:51" ht="47.25" customHeight="1" x14ac:dyDescent="0.3">
      <c r="B311" s="14">
        <v>305</v>
      </c>
      <c r="C311" s="410">
        <v>161</v>
      </c>
      <c r="D311" s="410" t="str">
        <f t="shared" si="47"/>
        <v>2015161</v>
      </c>
      <c r="E311" s="120" t="s">
        <v>1887</v>
      </c>
      <c r="F311" s="834" t="s">
        <v>1110</v>
      </c>
      <c r="G311" s="1053">
        <v>830005370</v>
      </c>
      <c r="H311" s="828" t="s">
        <v>1888</v>
      </c>
      <c r="I311" s="187">
        <v>1291938453</v>
      </c>
      <c r="J311" s="698" t="s">
        <v>1887</v>
      </c>
      <c r="K311" s="269">
        <v>2015</v>
      </c>
      <c r="L311" s="519">
        <v>42135</v>
      </c>
      <c r="M311" s="835">
        <v>42139</v>
      </c>
      <c r="N311" s="835">
        <v>42421</v>
      </c>
      <c r="O311" s="1099" t="str">
        <f>IF(+Modificaciones!I311=0,"",VLOOKUP(E311,Modificaciones!$B$7:$I$2400,8,0))</f>
        <v/>
      </c>
      <c r="P311" s="115">
        <f>COUNTA(Modificaciones!J311,Modificaciones!L311,Modificaciones!N311,Modificaciones!P311)</f>
        <v>1</v>
      </c>
      <c r="Q311" s="116">
        <f>VLOOKUP(E311,Modificaciones!$B$7:$R$2300,17,0)</f>
        <v>141414324</v>
      </c>
      <c r="R311" s="117">
        <f>COUNTA(Modificaciones!T311,Modificaciones!V311,Modificaciones!X311,Modificaciones!Z311)</f>
        <v>1</v>
      </c>
      <c r="S311" s="118" t="str">
        <f>IF(Modificaciones!AA311=0,"",VLOOKUP(E311,Modificaciones!$B$7:$AA$400,26,0))</f>
        <v>2 meses</v>
      </c>
      <c r="T311" s="119">
        <f>IF(Modificaciones!AB311=0,"",VLOOKUP(E311,Modificaciones!$B$7:$AB$400,27,0))</f>
        <v>42450</v>
      </c>
      <c r="U311" s="1080" t="str">
        <f>+Modificaciones!AC311</f>
        <v/>
      </c>
      <c r="V311" s="825" t="str">
        <f>+Modificaciones!AK311</f>
        <v/>
      </c>
      <c r="W311" s="825">
        <f t="shared" si="51"/>
        <v>42450</v>
      </c>
      <c r="X311" s="59">
        <f t="shared" si="48"/>
        <v>1433352777</v>
      </c>
      <c r="Y311" s="151">
        <f>VLOOKUP(E311,Modificaciones!$B$7:$BE$2300,56,0)</f>
        <v>1433352777</v>
      </c>
      <c r="Z311" s="84">
        <f t="shared" si="49"/>
        <v>0</v>
      </c>
      <c r="AA311" s="283" t="s">
        <v>1889</v>
      </c>
      <c r="AB311" s="40">
        <f t="shared" si="50"/>
        <v>1</v>
      </c>
      <c r="AC311" s="40">
        <f t="shared" ca="1" si="52"/>
        <v>1</v>
      </c>
      <c r="AD311" s="41">
        <f t="shared" ca="1" si="53"/>
        <v>0</v>
      </c>
      <c r="AE311" s="181" t="str">
        <f t="shared" ca="1" si="54"/>
        <v/>
      </c>
      <c r="AF311" s="42" t="str">
        <f t="shared" si="57"/>
        <v>SI</v>
      </c>
      <c r="AG311" s="732" t="str">
        <f>VLOOKUP(C311,[2]Hoja4!$A$2:$E$116,5,0)</f>
        <v>CONTRATO INTERADMINISTRATIVO</v>
      </c>
      <c r="AH311" s="152" t="s">
        <v>1255</v>
      </c>
      <c r="AI311" s="152" t="s">
        <v>1291</v>
      </c>
      <c r="AJ311" s="152" t="s">
        <v>1429</v>
      </c>
      <c r="AK311" s="255" t="s">
        <v>564</v>
      </c>
      <c r="AL311" s="279"/>
      <c r="AM311" s="279" t="s">
        <v>1866</v>
      </c>
      <c r="AN311" s="161" t="str">
        <f t="shared" ca="1" si="55"/>
        <v>TERMINO</v>
      </c>
      <c r="AO311" s="284" t="s">
        <v>582</v>
      </c>
      <c r="AP311" s="155" t="s">
        <v>390</v>
      </c>
      <c r="AQ311" s="819" t="str">
        <f>IFERROR(VLOOKUP(E311,'liquidaciones '!$B$2:$C$1048576,2,0),"NO")</f>
        <v>LIQUIDADO</v>
      </c>
      <c r="AR311" s="909" t="str">
        <f>IFERROR(VLOOKUP(E311,'liquidaciones '!$B$2:$I$1048576,8,0),"")</f>
        <v>DORA PINILLA</v>
      </c>
      <c r="AS311" s="312"/>
      <c r="AT311" s="156" t="str">
        <f t="shared" ca="1" si="56"/>
        <v>NO</v>
      </c>
      <c r="AU311" s="156" t="s">
        <v>981</v>
      </c>
      <c r="AV311" s="406"/>
      <c r="AW311" s="928"/>
      <c r="AX311" s="928"/>
      <c r="AY311" s="928"/>
    </row>
    <row r="312" spans="2:51" ht="47.25" customHeight="1" x14ac:dyDescent="0.3">
      <c r="B312" s="14">
        <v>306</v>
      </c>
      <c r="C312" s="410">
        <v>142</v>
      </c>
      <c r="D312" s="410" t="str">
        <f t="shared" si="47"/>
        <v>2015142</v>
      </c>
      <c r="E312" s="120" t="s">
        <v>1891</v>
      </c>
      <c r="F312" s="834" t="s">
        <v>1892</v>
      </c>
      <c r="G312" s="998">
        <v>830067096</v>
      </c>
      <c r="H312" s="828" t="s">
        <v>1893</v>
      </c>
      <c r="I312" s="187">
        <v>7800000</v>
      </c>
      <c r="J312" s="698" t="s">
        <v>1891</v>
      </c>
      <c r="K312" s="269">
        <v>2015</v>
      </c>
      <c r="L312" s="519">
        <v>42139</v>
      </c>
      <c r="M312" s="835">
        <v>42145</v>
      </c>
      <c r="N312" s="835">
        <v>42511</v>
      </c>
      <c r="O312" s="1099" t="str">
        <f>IF(+Modificaciones!I312=0,"",VLOOKUP(E312,Modificaciones!$B$7:$I$2400,8,0))</f>
        <v/>
      </c>
      <c r="P312" s="115">
        <f>COUNTA(Modificaciones!J312,Modificaciones!L312,Modificaciones!N312,Modificaciones!P312)</f>
        <v>0</v>
      </c>
      <c r="Q312" s="116">
        <f>VLOOKUP(E312,Modificaciones!$B$7:$R$2300,17,0)</f>
        <v>0</v>
      </c>
      <c r="R312" s="117">
        <f>COUNTA(Modificaciones!T312,Modificaciones!V312,Modificaciones!X312,Modificaciones!Z312)</f>
        <v>0</v>
      </c>
      <c r="S312" s="118" t="str">
        <f>IF(Modificaciones!AA312=0,"",VLOOKUP(E312,Modificaciones!$B$7:$AA$400,26,0))</f>
        <v/>
      </c>
      <c r="T312" s="119" t="str">
        <f>IF(Modificaciones!AB312=0,"",VLOOKUP(E312,Modificaciones!$B$7:$AB$400,27,0))</f>
        <v/>
      </c>
      <c r="U312" s="1080" t="str">
        <f>+Modificaciones!AC312</f>
        <v/>
      </c>
      <c r="V312" s="825" t="str">
        <f>+Modificaciones!AK312</f>
        <v/>
      </c>
      <c r="W312" s="825">
        <f t="shared" si="51"/>
        <v>42511</v>
      </c>
      <c r="X312" s="59">
        <f t="shared" si="48"/>
        <v>7800000</v>
      </c>
      <c r="Y312" s="151">
        <f>VLOOKUP(E312,Modificaciones!$B$7:$BE$2300,56,0)</f>
        <v>7800000</v>
      </c>
      <c r="Z312" s="84">
        <f t="shared" si="49"/>
        <v>0</v>
      </c>
      <c r="AA312" s="283" t="s">
        <v>1894</v>
      </c>
      <c r="AB312" s="40">
        <f t="shared" si="50"/>
        <v>1</v>
      </c>
      <c r="AC312" s="40">
        <f t="shared" ca="1" si="52"/>
        <v>1</v>
      </c>
      <c r="AD312" s="41">
        <f t="shared" ca="1" si="53"/>
        <v>0</v>
      </c>
      <c r="AE312" s="181" t="str">
        <f t="shared" ca="1" si="54"/>
        <v/>
      </c>
      <c r="AF312" s="42" t="str">
        <f t="shared" si="57"/>
        <v>SI</v>
      </c>
      <c r="AG312" s="732" t="str">
        <f>VLOOKUP(C312,[2]Hoja4!$A$2:$E$116,5,0)</f>
        <v>SUSCRIPCION</v>
      </c>
      <c r="AH312" s="152"/>
      <c r="AI312" s="275" t="s">
        <v>1124</v>
      </c>
      <c r="AJ312" s="152" t="s">
        <v>1429</v>
      </c>
      <c r="AK312" s="255" t="s">
        <v>564</v>
      </c>
      <c r="AL312" s="279"/>
      <c r="AM312" s="279" t="s">
        <v>1866</v>
      </c>
      <c r="AN312" s="161" t="str">
        <f t="shared" ca="1" si="55"/>
        <v>TERMINO</v>
      </c>
      <c r="AO312" s="284" t="s">
        <v>582</v>
      </c>
      <c r="AP312" s="155" t="s">
        <v>390</v>
      </c>
      <c r="AQ312" s="819" t="str">
        <f>IFERROR(VLOOKUP(E312,'liquidaciones '!$B$2:$C$1048576,2,0),"NO")</f>
        <v>LIQUIDADO</v>
      </c>
      <c r="AR312" s="909">
        <f>IFERROR(VLOOKUP(E312,'liquidaciones '!$B$2:$I$1048576,8,0),"")</f>
        <v>0</v>
      </c>
      <c r="AS312" s="312"/>
      <c r="AT312" s="156" t="str">
        <f t="shared" ca="1" si="56"/>
        <v>NO</v>
      </c>
      <c r="AU312" s="156" t="s">
        <v>1509</v>
      </c>
      <c r="AV312" s="406"/>
      <c r="AW312" s="928"/>
      <c r="AX312" s="928"/>
      <c r="AY312" s="928"/>
    </row>
    <row r="313" spans="2:51" ht="47.25" customHeight="1" x14ac:dyDescent="0.3">
      <c r="B313" s="14">
        <v>307</v>
      </c>
      <c r="C313" s="410">
        <v>154</v>
      </c>
      <c r="D313" s="410" t="str">
        <f t="shared" si="47"/>
        <v>2015154</v>
      </c>
      <c r="E313" s="120" t="s">
        <v>1904</v>
      </c>
      <c r="F313" s="834" t="s">
        <v>1905</v>
      </c>
      <c r="G313" s="998" t="s">
        <v>1907</v>
      </c>
      <c r="H313" s="828" t="s">
        <v>1906</v>
      </c>
      <c r="I313" s="187">
        <v>28000000</v>
      </c>
      <c r="J313" s="698" t="s">
        <v>1904</v>
      </c>
      <c r="K313" s="269">
        <v>2015</v>
      </c>
      <c r="L313" s="519">
        <v>42144</v>
      </c>
      <c r="M313" s="835">
        <v>42180</v>
      </c>
      <c r="N313" s="835">
        <v>42546</v>
      </c>
      <c r="O313" s="1099" t="str">
        <f>IF(+Modificaciones!I313=0,"",VLOOKUP(E313,Modificaciones!$B$7:$I$2400,8,0))</f>
        <v/>
      </c>
      <c r="P313" s="115">
        <f>COUNTA(Modificaciones!J313,Modificaciones!L313,Modificaciones!N313,Modificaciones!P313)</f>
        <v>0</v>
      </c>
      <c r="Q313" s="116">
        <f>VLOOKUP(E313,Modificaciones!$B$7:$R$2300,17,0)</f>
        <v>0</v>
      </c>
      <c r="R313" s="117">
        <f>COUNTA(Modificaciones!T313,Modificaciones!V313,Modificaciones!X313,Modificaciones!Z313)</f>
        <v>0</v>
      </c>
      <c r="S313" s="118" t="str">
        <f>IF(Modificaciones!AA313=0,"",VLOOKUP(E313,Modificaciones!$B$7:$AA$400,26,0))</f>
        <v/>
      </c>
      <c r="T313" s="119" t="str">
        <f>IF(Modificaciones!AB313=0,"",VLOOKUP(E313,Modificaciones!$B$7:$AB$400,27,0))</f>
        <v/>
      </c>
      <c r="U313" s="1080" t="str">
        <f>+Modificaciones!AC313</f>
        <v/>
      </c>
      <c r="V313" s="825" t="str">
        <f>+Modificaciones!AK313</f>
        <v/>
      </c>
      <c r="W313" s="825">
        <f t="shared" si="51"/>
        <v>42546</v>
      </c>
      <c r="X313" s="59">
        <f t="shared" si="48"/>
        <v>28000000</v>
      </c>
      <c r="Y313" s="151">
        <f>VLOOKUP(E313,Modificaciones!$B$7:$BE$2300,56,0)</f>
        <v>26596777</v>
      </c>
      <c r="Z313" s="84">
        <f t="shared" si="49"/>
        <v>1403223</v>
      </c>
      <c r="AA313" s="283" t="s">
        <v>1908</v>
      </c>
      <c r="AB313" s="40">
        <f t="shared" si="50"/>
        <v>0.94988489285714284</v>
      </c>
      <c r="AC313" s="40">
        <f t="shared" ca="1" si="52"/>
        <v>1</v>
      </c>
      <c r="AD313" s="41">
        <f t="shared" ca="1" si="53"/>
        <v>5.0115107142857163E-2</v>
      </c>
      <c r="AE313" s="181" t="str">
        <f t="shared" ca="1" si="54"/>
        <v/>
      </c>
      <c r="AF313" s="42" t="str">
        <f t="shared" si="57"/>
        <v>NO</v>
      </c>
      <c r="AG313" s="732" t="str">
        <f>VLOOKUP(C313,[2]Hoja4!$A$2:$E$116,5,0)</f>
        <v>PRESTACION DE SERVICIOS</v>
      </c>
      <c r="AH313" s="152" t="s">
        <v>1255</v>
      </c>
      <c r="AI313" s="152" t="s">
        <v>1125</v>
      </c>
      <c r="AJ313" s="152" t="s">
        <v>1441</v>
      </c>
      <c r="AK313" s="255" t="s">
        <v>560</v>
      </c>
      <c r="AL313" s="153" t="s">
        <v>1318</v>
      </c>
      <c r="AM313" s="279" t="s">
        <v>1866</v>
      </c>
      <c r="AN313" s="161" t="str">
        <f t="shared" ca="1" si="55"/>
        <v>TERMINO</v>
      </c>
      <c r="AO313" s="284" t="s">
        <v>582</v>
      </c>
      <c r="AP313" s="155" t="s">
        <v>390</v>
      </c>
      <c r="AQ313" s="819" t="str">
        <f>IFERROR(VLOOKUP(E313,'liquidaciones '!$B$2:$C$1048576,2,0),"NO")</f>
        <v>LIQUIDADO</v>
      </c>
      <c r="AR313" s="909" t="str">
        <f>IFERROR(VLOOKUP(E313,'liquidaciones '!$B$2:$I$1048576,8,0),"")</f>
        <v>GIOVANNI SUAREZ</v>
      </c>
      <c r="AS313" s="312"/>
      <c r="AT313" s="156" t="str">
        <f t="shared" ca="1" si="56"/>
        <v>NO</v>
      </c>
      <c r="AU313" s="156" t="s">
        <v>1569</v>
      </c>
      <c r="AV313" s="406"/>
      <c r="AW313" s="928"/>
      <c r="AX313" s="928"/>
      <c r="AY313" s="928"/>
    </row>
    <row r="314" spans="2:51" ht="47.25" customHeight="1" x14ac:dyDescent="0.3">
      <c r="B314" s="14">
        <v>308</v>
      </c>
      <c r="C314" s="410">
        <v>75</v>
      </c>
      <c r="D314" s="410" t="str">
        <f t="shared" si="47"/>
        <v>201575</v>
      </c>
      <c r="E314" s="120" t="s">
        <v>1948</v>
      </c>
      <c r="F314" s="834" t="s">
        <v>1949</v>
      </c>
      <c r="G314" s="998" t="s">
        <v>1950</v>
      </c>
      <c r="H314" s="828" t="s">
        <v>1777</v>
      </c>
      <c r="I314" s="187">
        <v>8086410</v>
      </c>
      <c r="J314" s="676" t="s">
        <v>1878</v>
      </c>
      <c r="K314" s="269">
        <v>2015</v>
      </c>
      <c r="L314" s="519">
        <v>42152</v>
      </c>
      <c r="M314" s="835">
        <v>42165</v>
      </c>
      <c r="N314" s="835">
        <v>42226</v>
      </c>
      <c r="O314" s="1099" t="str">
        <f>IF(+Modificaciones!I314=0,"",VLOOKUP(E314,Modificaciones!$B$7:$I$2400,8,0))</f>
        <v/>
      </c>
      <c r="P314" s="115">
        <f>COUNTA(Modificaciones!J314,Modificaciones!L314,Modificaciones!N314,Modificaciones!P314)</f>
        <v>0</v>
      </c>
      <c r="Q314" s="116">
        <f>VLOOKUP(E314,Modificaciones!$B$7:$R$2300,17,0)</f>
        <v>0</v>
      </c>
      <c r="R314" s="117">
        <f>COUNTA(Modificaciones!T314,Modificaciones!V314,Modificaciones!X314,Modificaciones!Z314)</f>
        <v>0</v>
      </c>
      <c r="S314" s="118" t="str">
        <f>IF(Modificaciones!AA314=0,"",VLOOKUP(E314,Modificaciones!$B$7:$AA$400,26,0))</f>
        <v/>
      </c>
      <c r="T314" s="119" t="str">
        <f>IF(Modificaciones!AB314=0,"",VLOOKUP(E314,Modificaciones!$B$7:$AB$400,27,0))</f>
        <v/>
      </c>
      <c r="U314" s="1080" t="str">
        <f>+Modificaciones!AC314</f>
        <v/>
      </c>
      <c r="V314" s="825" t="str">
        <f>+Modificaciones!AK314</f>
        <v/>
      </c>
      <c r="W314" s="825">
        <f t="shared" si="51"/>
        <v>42226</v>
      </c>
      <c r="X314" s="59">
        <f t="shared" si="48"/>
        <v>8086410</v>
      </c>
      <c r="Y314" s="151">
        <f>VLOOKUP(E314,Modificaciones!$B$7:$BE$2300,56,0)</f>
        <v>8086406</v>
      </c>
      <c r="Z314" s="84">
        <f t="shared" si="49"/>
        <v>4</v>
      </c>
      <c r="AA314" s="283" t="s">
        <v>1894</v>
      </c>
      <c r="AB314" s="40">
        <f t="shared" si="50"/>
        <v>0.99999950534291482</v>
      </c>
      <c r="AC314" s="40">
        <f t="shared" ca="1" si="52"/>
        <v>1</v>
      </c>
      <c r="AD314" s="41">
        <f t="shared" ca="1" si="53"/>
        <v>4.9465708518159346E-7</v>
      </c>
      <c r="AE314" s="181" t="str">
        <f t="shared" ca="1" si="54"/>
        <v/>
      </c>
      <c r="AF314" s="42" t="str">
        <f t="shared" si="57"/>
        <v>SI</v>
      </c>
      <c r="AG314" s="732" t="str">
        <f>VLOOKUP(C314,[2]Hoja4!$A$2:$E$116,5,0)</f>
        <v>COMPRAVENTA</v>
      </c>
      <c r="AH314" s="152" t="s">
        <v>1256</v>
      </c>
      <c r="AI314" s="255" t="s">
        <v>1951</v>
      </c>
      <c r="AJ314" s="152" t="s">
        <v>1438</v>
      </c>
      <c r="AK314" s="255" t="s">
        <v>560</v>
      </c>
      <c r="AL314" s="279" t="s">
        <v>1508</v>
      </c>
      <c r="AM314" s="279" t="s">
        <v>1866</v>
      </c>
      <c r="AN314" s="161" t="str">
        <f t="shared" ca="1" si="55"/>
        <v>TERMINO</v>
      </c>
      <c r="AO314" s="284" t="s">
        <v>576</v>
      </c>
      <c r="AP314" s="155" t="s">
        <v>391</v>
      </c>
      <c r="AQ314" s="819" t="str">
        <f>IFERROR(VLOOKUP(E314,'liquidaciones '!$B$2:$C$1048576,2,0),"NO")</f>
        <v>EN TRÁMITE</v>
      </c>
      <c r="AR314" s="909">
        <f>IFERROR(VLOOKUP(E314,'liquidaciones '!$B$2:$I$1048576,8,0),"")</f>
        <v>0</v>
      </c>
      <c r="AS314" s="312"/>
      <c r="AT314" s="156" t="str">
        <f t="shared" ca="1" si="56"/>
        <v>NO</v>
      </c>
      <c r="AU314" s="156" t="s">
        <v>1991</v>
      </c>
      <c r="AV314" s="406"/>
      <c r="AW314" s="928"/>
      <c r="AX314" s="928"/>
      <c r="AY314" s="928"/>
    </row>
    <row r="315" spans="2:51" ht="47.25" customHeight="1" x14ac:dyDescent="0.3">
      <c r="B315" s="14">
        <v>309</v>
      </c>
      <c r="C315" s="410">
        <v>166</v>
      </c>
      <c r="D315" s="410" t="str">
        <f t="shared" si="47"/>
        <v>2015166</v>
      </c>
      <c r="E315" s="120" t="s">
        <v>1953</v>
      </c>
      <c r="F315" s="834" t="s">
        <v>1954</v>
      </c>
      <c r="G315" s="998" t="s">
        <v>1955</v>
      </c>
      <c r="H315" s="828" t="s">
        <v>1956</v>
      </c>
      <c r="I315" s="187">
        <v>5000000</v>
      </c>
      <c r="J315" s="675" t="s">
        <v>1842</v>
      </c>
      <c r="K315" s="269">
        <v>2015</v>
      </c>
      <c r="L315" s="519">
        <v>42149</v>
      </c>
      <c r="M315" s="835">
        <v>42160</v>
      </c>
      <c r="N315" s="835">
        <v>42252</v>
      </c>
      <c r="O315" s="1099" t="str">
        <f>IF(+Modificaciones!I315=0,"",VLOOKUP(E315,Modificaciones!$B$7:$I$2400,8,0))</f>
        <v/>
      </c>
      <c r="P315" s="115">
        <f>COUNTA(Modificaciones!J315,Modificaciones!L315,Modificaciones!N315,Modificaciones!P315)</f>
        <v>0</v>
      </c>
      <c r="Q315" s="116">
        <f>VLOOKUP(E315,Modificaciones!$B$7:$R$2300,17,0)</f>
        <v>0</v>
      </c>
      <c r="R315" s="117">
        <f>COUNTA(Modificaciones!T315,Modificaciones!V315,Modificaciones!X315,Modificaciones!Z315)</f>
        <v>0</v>
      </c>
      <c r="S315" s="118" t="str">
        <f>IF(Modificaciones!AA315=0,"",VLOOKUP(E315,Modificaciones!$B$7:$AA$400,26,0))</f>
        <v/>
      </c>
      <c r="T315" s="119" t="str">
        <f>IF(Modificaciones!AB315=0,"",VLOOKUP(E315,Modificaciones!$B$7:$AB$400,27,0))</f>
        <v/>
      </c>
      <c r="U315" s="1080" t="str">
        <f>+Modificaciones!AC315</f>
        <v/>
      </c>
      <c r="V315" s="825" t="str">
        <f>+Modificaciones!AK315</f>
        <v/>
      </c>
      <c r="W315" s="825">
        <f t="shared" si="51"/>
        <v>42252</v>
      </c>
      <c r="X315" s="59">
        <f t="shared" si="48"/>
        <v>5000000</v>
      </c>
      <c r="Y315" s="151">
        <f>VLOOKUP(E315,Modificaciones!$B$7:$BE$2300,56,0)</f>
        <v>3489976</v>
      </c>
      <c r="Z315" s="84">
        <f t="shared" si="49"/>
        <v>1510024</v>
      </c>
      <c r="AA315" s="283" t="s">
        <v>1957</v>
      </c>
      <c r="AB315" s="40">
        <f t="shared" si="50"/>
        <v>0.69799520000000004</v>
      </c>
      <c r="AC315" s="40">
        <f t="shared" ca="1" si="52"/>
        <v>1</v>
      </c>
      <c r="AD315" s="41">
        <f t="shared" ca="1" si="53"/>
        <v>0.30200479999999996</v>
      </c>
      <c r="AE315" s="181" t="str">
        <f t="shared" ca="1" si="54"/>
        <v/>
      </c>
      <c r="AF315" s="42" t="str">
        <f t="shared" si="57"/>
        <v>NO</v>
      </c>
      <c r="AG315" s="732" t="str">
        <f>VLOOKUP(C315,[2]Hoja4!$A$2:$E$116,5,0)</f>
        <v>SUMINISTRO</v>
      </c>
      <c r="AH315" s="152" t="s">
        <v>1255</v>
      </c>
      <c r="AI315" s="255" t="s">
        <v>1958</v>
      </c>
      <c r="AJ315" s="152" t="s">
        <v>1441</v>
      </c>
      <c r="AK315" s="255" t="s">
        <v>560</v>
      </c>
      <c r="AL315" s="279" t="s">
        <v>1472</v>
      </c>
      <c r="AM315" s="279" t="s">
        <v>1866</v>
      </c>
      <c r="AN315" s="161" t="str">
        <f t="shared" ca="1" si="55"/>
        <v>TERMINO</v>
      </c>
      <c r="AO315" s="284" t="s">
        <v>576</v>
      </c>
      <c r="AP315" s="155" t="s">
        <v>390</v>
      </c>
      <c r="AQ315" s="819" t="str">
        <f>IFERROR(VLOOKUP(E315,'liquidaciones '!$B$2:$C$1048576,2,0),"NO")</f>
        <v>LIQUIDADO</v>
      </c>
      <c r="AR315" s="909">
        <f>IFERROR(VLOOKUP(E315,'liquidaciones '!$B$2:$I$1048576,8,0),"")</f>
        <v>0</v>
      </c>
      <c r="AS315" s="312"/>
      <c r="AT315" s="156" t="str">
        <f t="shared" ca="1" si="56"/>
        <v>NO</v>
      </c>
      <c r="AU315" s="156" t="s">
        <v>1569</v>
      </c>
      <c r="AV315" s="406"/>
      <c r="AW315" s="928"/>
      <c r="AX315" s="928"/>
      <c r="AY315" s="928"/>
    </row>
    <row r="316" spans="2:51" ht="47.25" customHeight="1" x14ac:dyDescent="0.3">
      <c r="B316" s="14">
        <v>310</v>
      </c>
      <c r="C316" s="410">
        <v>170</v>
      </c>
      <c r="D316" s="410" t="str">
        <f t="shared" si="47"/>
        <v>2015170</v>
      </c>
      <c r="E316" s="120" t="s">
        <v>1960</v>
      </c>
      <c r="F316" s="834" t="s">
        <v>38</v>
      </c>
      <c r="G316" s="998">
        <v>830053669</v>
      </c>
      <c r="H316" s="828" t="s">
        <v>1961</v>
      </c>
      <c r="I316" s="187">
        <v>30552000</v>
      </c>
      <c r="J316" s="676" t="s">
        <v>1745</v>
      </c>
      <c r="K316" s="269">
        <v>2015</v>
      </c>
      <c r="L316" s="519">
        <v>42157</v>
      </c>
      <c r="M316" s="835">
        <v>42187</v>
      </c>
      <c r="N316" s="835">
        <v>42431</v>
      </c>
      <c r="O316" s="1099" t="str">
        <f>IF(+Modificaciones!I316=0,"",VLOOKUP(E316,Modificaciones!$B$7:$I$2400,8,0))</f>
        <v/>
      </c>
      <c r="P316" s="115">
        <f>COUNTA(Modificaciones!J316,Modificaciones!L316,Modificaciones!N316,Modificaciones!P316)</f>
        <v>1</v>
      </c>
      <c r="Q316" s="116">
        <f>VLOOKUP(E316,Modificaciones!$B$7:$R$2300,17,0)</f>
        <v>11000000</v>
      </c>
      <c r="R316" s="117">
        <f>COUNTA(Modificaciones!T316,Modificaciones!V316,Modificaciones!X316,Modificaciones!Z316)</f>
        <v>3</v>
      </c>
      <c r="S316" s="118" t="str">
        <f>IF(Modificaciones!AA316=0,"",VLOOKUP(E316,Modificaciones!$B$7:$AA$400,26,0))</f>
        <v>4 meses y 29 dias</v>
      </c>
      <c r="T316" s="119">
        <f>IF(Modificaciones!AB316=0,"",VLOOKUP(E316,Modificaciones!$B$7:$AB$400,27,0))</f>
        <v>42582</v>
      </c>
      <c r="U316" s="1080" t="str">
        <f>+Modificaciones!AC316</f>
        <v/>
      </c>
      <c r="V316" s="825" t="str">
        <f>+Modificaciones!AK316</f>
        <v/>
      </c>
      <c r="W316" s="825">
        <f t="shared" si="51"/>
        <v>42582</v>
      </c>
      <c r="X316" s="59">
        <f t="shared" si="48"/>
        <v>41552000</v>
      </c>
      <c r="Y316" s="151">
        <f>VLOOKUP(E316,Modificaciones!$B$7:$BE$2300,56,0)</f>
        <v>39465611</v>
      </c>
      <c r="Z316" s="84">
        <f t="shared" si="49"/>
        <v>2086389</v>
      </c>
      <c r="AA316" s="283" t="s">
        <v>1962</v>
      </c>
      <c r="AB316" s="40">
        <f t="shared" si="50"/>
        <v>0.94978848190219489</v>
      </c>
      <c r="AC316" s="40">
        <f t="shared" ca="1" si="52"/>
        <v>1</v>
      </c>
      <c r="AD316" s="41">
        <f t="shared" ca="1" si="53"/>
        <v>5.0211518097805108E-2</v>
      </c>
      <c r="AE316" s="181" t="str">
        <f t="shared" ca="1" si="54"/>
        <v/>
      </c>
      <c r="AF316" s="42" t="str">
        <f t="shared" si="57"/>
        <v>NO</v>
      </c>
      <c r="AG316" s="732" t="str">
        <f>VLOOKUP(C316,[2]Hoja4!$A$2:$E$116,5,0)</f>
        <v>PRESTACION DE SERVICIOS</v>
      </c>
      <c r="AH316" s="152" t="s">
        <v>1255</v>
      </c>
      <c r="AI316" s="255" t="s">
        <v>1139</v>
      </c>
      <c r="AJ316" s="152" t="s">
        <v>1441</v>
      </c>
      <c r="AK316" s="255" t="s">
        <v>560</v>
      </c>
      <c r="AL316" s="153" t="s">
        <v>1378</v>
      </c>
      <c r="AM316" s="279" t="s">
        <v>1866</v>
      </c>
      <c r="AN316" s="161" t="str">
        <f t="shared" ca="1" si="55"/>
        <v>TERMINO</v>
      </c>
      <c r="AO316" s="284" t="s">
        <v>575</v>
      </c>
      <c r="AP316" s="155" t="s">
        <v>390</v>
      </c>
      <c r="AQ316" s="819" t="str">
        <f>IFERROR(VLOOKUP(E316,'liquidaciones '!$B$2:$C$1048576,2,0),"NO")</f>
        <v>LIQUIDADO</v>
      </c>
      <c r="AR316" s="909">
        <f>IFERROR(VLOOKUP(E316,'liquidaciones '!$B$2:$I$1048576,8,0),"")</f>
        <v>0</v>
      </c>
      <c r="AS316" s="312"/>
      <c r="AT316" s="156" t="str">
        <f t="shared" ca="1" si="56"/>
        <v>NO</v>
      </c>
      <c r="AU316" s="156" t="s">
        <v>981</v>
      </c>
      <c r="AV316" s="406"/>
      <c r="AW316" s="928"/>
      <c r="AX316" s="928"/>
      <c r="AY316" s="928"/>
    </row>
    <row r="317" spans="2:51" ht="47.25" customHeight="1" x14ac:dyDescent="0.3">
      <c r="B317" s="14">
        <v>311</v>
      </c>
      <c r="C317" s="410">
        <v>298</v>
      </c>
      <c r="D317" s="410" t="str">
        <f t="shared" si="47"/>
        <v>2015298</v>
      </c>
      <c r="E317" s="120" t="s">
        <v>1963</v>
      </c>
      <c r="F317" s="834" t="s">
        <v>1964</v>
      </c>
      <c r="G317" s="998">
        <v>51647190</v>
      </c>
      <c r="H317" s="828" t="s">
        <v>1965</v>
      </c>
      <c r="I317" s="187">
        <v>40800000</v>
      </c>
      <c r="J317" s="675" t="s">
        <v>1963</v>
      </c>
      <c r="K317" s="269">
        <v>2015</v>
      </c>
      <c r="L317" s="519">
        <v>42158</v>
      </c>
      <c r="M317" s="835">
        <v>42160</v>
      </c>
      <c r="N317" s="835">
        <v>42343</v>
      </c>
      <c r="O317" s="1099" t="str">
        <f>IF(+Modificaciones!I317=0,"",VLOOKUP(E317,Modificaciones!$B$7:$I$2400,8,0))</f>
        <v/>
      </c>
      <c r="P317" s="115">
        <f>COUNTA(Modificaciones!J317,Modificaciones!L317,Modificaciones!N317,Modificaciones!P317)</f>
        <v>1</v>
      </c>
      <c r="Q317" s="116">
        <f>VLOOKUP(E317,Modificaciones!$B$7:$R$2300,17,0)</f>
        <v>20400000</v>
      </c>
      <c r="R317" s="117">
        <f>COUNTA(Modificaciones!T317,Modificaciones!V317,Modificaciones!X317,Modificaciones!Z317)</f>
        <v>2</v>
      </c>
      <c r="S317" s="118" t="str">
        <f>IF(Modificaciones!AA317=0,"",VLOOKUP(E317,Modificaciones!$B$7:$AA$400,26,0))</f>
        <v>3 meses y 9 días</v>
      </c>
      <c r="T317" s="119">
        <f>IF(Modificaciones!AB317=0,"",VLOOKUP(E317,Modificaciones!$B$7:$AB$400,27,0))</f>
        <v>42443</v>
      </c>
      <c r="U317" s="1080" t="str">
        <f>+Modificaciones!AC317</f>
        <v/>
      </c>
      <c r="V317" s="825" t="str">
        <f>+Modificaciones!AK317</f>
        <v/>
      </c>
      <c r="W317" s="825">
        <f t="shared" si="51"/>
        <v>42443</v>
      </c>
      <c r="X317" s="59">
        <f t="shared" si="48"/>
        <v>61200000</v>
      </c>
      <c r="Y317" s="151">
        <f>VLOOKUP(E317,Modificaciones!$B$7:$BE$2300,56,0)</f>
        <v>61200000</v>
      </c>
      <c r="Z317" s="84">
        <f t="shared" si="49"/>
        <v>0</v>
      </c>
      <c r="AA317" s="283" t="s">
        <v>1966</v>
      </c>
      <c r="AB317" s="40">
        <f t="shared" si="50"/>
        <v>1</v>
      </c>
      <c r="AC317" s="40">
        <f t="shared" ca="1" si="52"/>
        <v>1</v>
      </c>
      <c r="AD317" s="41">
        <f t="shared" ca="1" si="53"/>
        <v>0</v>
      </c>
      <c r="AE317" s="181" t="str">
        <f t="shared" ca="1" si="54"/>
        <v/>
      </c>
      <c r="AF317" s="42" t="str">
        <f t="shared" si="57"/>
        <v>SI</v>
      </c>
      <c r="AG317" s="732" t="s">
        <v>5773</v>
      </c>
      <c r="AH317" s="152" t="s">
        <v>1255</v>
      </c>
      <c r="AI317" s="255" t="s">
        <v>1967</v>
      </c>
      <c r="AJ317" s="152" t="s">
        <v>1428</v>
      </c>
      <c r="AK317" s="255" t="s">
        <v>563</v>
      </c>
      <c r="AL317" s="279" t="s">
        <v>2161</v>
      </c>
      <c r="AM317" s="279" t="s">
        <v>1866</v>
      </c>
      <c r="AN317" s="161" t="str">
        <f t="shared" ca="1" si="55"/>
        <v>TERMINO</v>
      </c>
      <c r="AO317" s="284" t="s">
        <v>582</v>
      </c>
      <c r="AP317" s="155" t="s">
        <v>391</v>
      </c>
      <c r="AQ317" s="819" t="str">
        <f>IFERROR(VLOOKUP(E317,'liquidaciones '!$B$2:$C$1048576,2,0),"NO")</f>
        <v>LIQUIDADO</v>
      </c>
      <c r="AR317" s="909">
        <f>IFERROR(VLOOKUP(E317,'liquidaciones '!$B$2:$I$1048576,8,0),"")</f>
        <v>0</v>
      </c>
      <c r="AS317" s="312"/>
      <c r="AT317" s="156" t="str">
        <f t="shared" ca="1" si="56"/>
        <v>NO</v>
      </c>
      <c r="AU317" s="156" t="s">
        <v>2388</v>
      </c>
      <c r="AV317" s="406"/>
      <c r="AW317" s="928"/>
      <c r="AX317" s="928"/>
      <c r="AY317" s="928"/>
    </row>
    <row r="318" spans="2:51" ht="47.25" customHeight="1" x14ac:dyDescent="0.3">
      <c r="B318" s="14">
        <v>312</v>
      </c>
      <c r="C318" s="410">
        <v>122</v>
      </c>
      <c r="D318" s="410" t="str">
        <f t="shared" si="47"/>
        <v>2015122</v>
      </c>
      <c r="E318" s="120" t="s">
        <v>1969</v>
      </c>
      <c r="F318" s="834" t="s">
        <v>1970</v>
      </c>
      <c r="G318" s="998">
        <v>830040274</v>
      </c>
      <c r="H318" s="828" t="s">
        <v>1971</v>
      </c>
      <c r="I318" s="187">
        <v>2365972</v>
      </c>
      <c r="J318" s="698" t="s">
        <v>1969</v>
      </c>
      <c r="K318" s="269">
        <v>2015</v>
      </c>
      <c r="L318" s="519">
        <v>42158</v>
      </c>
      <c r="M318" s="835">
        <v>42174</v>
      </c>
      <c r="N318" s="835">
        <v>42296</v>
      </c>
      <c r="O318" s="1099" t="str">
        <f>IF(+Modificaciones!I318=0,"",VLOOKUP(E318,Modificaciones!$B$7:$I$2400,8,0))</f>
        <v/>
      </c>
      <c r="P318" s="115">
        <f>COUNTA(Modificaciones!J318,Modificaciones!L318,Modificaciones!N318,Modificaciones!P318)</f>
        <v>0</v>
      </c>
      <c r="Q318" s="116">
        <f>VLOOKUP(E318,Modificaciones!$B$7:$R$2300,17,0)</f>
        <v>0</v>
      </c>
      <c r="R318" s="117">
        <f>COUNTA(Modificaciones!T318,Modificaciones!V318,Modificaciones!X318,Modificaciones!Z318)</f>
        <v>0</v>
      </c>
      <c r="S318" s="118" t="str">
        <f>IF(Modificaciones!AA318=0,"",VLOOKUP(E318,Modificaciones!$B$7:$AA$400,26,0))</f>
        <v/>
      </c>
      <c r="T318" s="119" t="str">
        <f>IF(Modificaciones!AB318=0,"",VLOOKUP(E318,Modificaciones!$B$7:$AB$400,27,0))</f>
        <v/>
      </c>
      <c r="U318" s="1080" t="str">
        <f>+Modificaciones!AC318</f>
        <v/>
      </c>
      <c r="V318" s="825" t="str">
        <f>+Modificaciones!AK318</f>
        <v/>
      </c>
      <c r="W318" s="825">
        <f t="shared" si="51"/>
        <v>42296</v>
      </c>
      <c r="X318" s="59">
        <f t="shared" si="48"/>
        <v>2365972</v>
      </c>
      <c r="Y318" s="151">
        <f>VLOOKUP(E318,Modificaciones!$B$7:$BE$2300,56,0)</f>
        <v>2365972</v>
      </c>
      <c r="Z318" s="84">
        <f t="shared" si="49"/>
        <v>0</v>
      </c>
      <c r="AA318" s="283" t="s">
        <v>1972</v>
      </c>
      <c r="AB318" s="40">
        <f t="shared" si="50"/>
        <v>1</v>
      </c>
      <c r="AC318" s="40">
        <f t="shared" ca="1" si="52"/>
        <v>1</v>
      </c>
      <c r="AD318" s="41">
        <f t="shared" ca="1" si="53"/>
        <v>0</v>
      </c>
      <c r="AE318" s="181" t="str">
        <f t="shared" ca="1" si="54"/>
        <v/>
      </c>
      <c r="AF318" s="42" t="str">
        <f t="shared" si="57"/>
        <v>SI</v>
      </c>
      <c r="AG318" s="732" t="str">
        <f>VLOOKUP(C318,[2]Hoja4!$A$2:$E$116,5,0)</f>
        <v>PRESTACION DE SERVICIOS</v>
      </c>
      <c r="AH318" s="152" t="s">
        <v>1255</v>
      </c>
      <c r="AI318" s="255" t="s">
        <v>1973</v>
      </c>
      <c r="AJ318" s="152"/>
      <c r="AK318" s="255" t="s">
        <v>563</v>
      </c>
      <c r="AL318" s="279" t="s">
        <v>1974</v>
      </c>
      <c r="AM318" s="279" t="s">
        <v>1866</v>
      </c>
      <c r="AN318" s="161" t="str">
        <f t="shared" ca="1" si="55"/>
        <v>TERMINO</v>
      </c>
      <c r="AO318" s="284" t="s">
        <v>582</v>
      </c>
      <c r="AP318" s="155" t="s">
        <v>390</v>
      </c>
      <c r="AQ318" s="819" t="str">
        <f>IFERROR(VLOOKUP(E318,'liquidaciones '!$B$2:$C$1048576,2,0),"NO")</f>
        <v>LIQUIDADO</v>
      </c>
      <c r="AR318" s="909" t="str">
        <f>IFERROR(VLOOKUP(E318,'liquidaciones '!$B$2:$I$1048576,8,0),"")</f>
        <v>CLAUDIA VANEGAS</v>
      </c>
      <c r="AS318" s="312"/>
      <c r="AT318" s="156" t="str">
        <f t="shared" ca="1" si="56"/>
        <v>NO</v>
      </c>
      <c r="AU318" s="156" t="s">
        <v>2388</v>
      </c>
      <c r="AV318" s="406"/>
      <c r="AW318" s="928"/>
      <c r="AX318" s="928"/>
      <c r="AY318" s="928"/>
    </row>
    <row r="319" spans="2:51" ht="47.25" customHeight="1" x14ac:dyDescent="0.3">
      <c r="B319" s="14">
        <v>313</v>
      </c>
      <c r="C319" s="410">
        <v>299</v>
      </c>
      <c r="D319" s="410" t="str">
        <f t="shared" si="47"/>
        <v>2015299</v>
      </c>
      <c r="E319" s="120" t="s">
        <v>1983</v>
      </c>
      <c r="F319" s="834" t="s">
        <v>1984</v>
      </c>
      <c r="G319" s="998">
        <v>1016042559</v>
      </c>
      <c r="H319" s="828" t="s">
        <v>1985</v>
      </c>
      <c r="I319" s="187">
        <v>12000000</v>
      </c>
      <c r="J319" s="675" t="s">
        <v>1983</v>
      </c>
      <c r="K319" s="269">
        <v>2015</v>
      </c>
      <c r="L319" s="519">
        <v>42166</v>
      </c>
      <c r="M319" s="835">
        <v>42173</v>
      </c>
      <c r="N319" s="835">
        <v>42356</v>
      </c>
      <c r="O319" s="1099" t="str">
        <f>IF(+Modificaciones!I319=0,"",VLOOKUP(E319,Modificaciones!$B$7:$I$2400,8,0))</f>
        <v/>
      </c>
      <c r="P319" s="115">
        <f>COUNTA(Modificaciones!J319,Modificaciones!L319,Modificaciones!N319,Modificaciones!P319)</f>
        <v>1</v>
      </c>
      <c r="Q319" s="116">
        <f>VLOOKUP(E319,Modificaciones!$B$7:$R$2300,17,0)</f>
        <v>6000000</v>
      </c>
      <c r="R319" s="117">
        <f>COUNTA(Modificaciones!T319,Modificaciones!V319,Modificaciones!X319,Modificaciones!Z319)</f>
        <v>1</v>
      </c>
      <c r="S319" s="118" t="str">
        <f>IF(Modificaciones!AA319=0,"",VLOOKUP(E319,Modificaciones!$B$7:$AA$400,26,0))</f>
        <v>3 meses</v>
      </c>
      <c r="T319" s="119">
        <f>IF(Modificaciones!AB319=0,"",VLOOKUP(E319,Modificaciones!$B$7:$AB$400,27,0))</f>
        <v>42447</v>
      </c>
      <c r="U319" s="1080" t="str">
        <f>+Modificaciones!AC319</f>
        <v/>
      </c>
      <c r="V319" s="825" t="str">
        <f>+Modificaciones!AK319</f>
        <v/>
      </c>
      <c r="W319" s="825">
        <f t="shared" si="51"/>
        <v>42447</v>
      </c>
      <c r="X319" s="59">
        <f t="shared" si="48"/>
        <v>18000000</v>
      </c>
      <c r="Y319" s="151">
        <f>VLOOKUP(E319,Modificaciones!$B$7:$BE$2300,56,0)</f>
        <v>18000000</v>
      </c>
      <c r="Z319" s="84">
        <f t="shared" si="49"/>
        <v>0</v>
      </c>
      <c r="AA319" s="283" t="s">
        <v>1094</v>
      </c>
      <c r="AB319" s="40">
        <f t="shared" si="50"/>
        <v>1</v>
      </c>
      <c r="AC319" s="40">
        <f t="shared" ca="1" si="52"/>
        <v>1</v>
      </c>
      <c r="AD319" s="41">
        <f t="shared" ca="1" si="53"/>
        <v>0</v>
      </c>
      <c r="AE319" s="181" t="str">
        <f t="shared" ca="1" si="54"/>
        <v/>
      </c>
      <c r="AF319" s="42" t="str">
        <f t="shared" ref="AF319:AF350" si="58">IF(AB319&lt;=99.9%,"NO","SI")</f>
        <v>SI</v>
      </c>
      <c r="AG319" s="732" t="str">
        <f>VLOOKUP(C319,[2]Hoja4!$A$2:$E$116,5,0)</f>
        <v>PRESTACION DE SERVICIOS</v>
      </c>
      <c r="AH319" s="152" t="s">
        <v>1255</v>
      </c>
      <c r="AI319" s="255" t="s">
        <v>1967</v>
      </c>
      <c r="AJ319" s="152" t="s">
        <v>1428</v>
      </c>
      <c r="AK319" s="255" t="s">
        <v>563</v>
      </c>
      <c r="AL319" s="279" t="s">
        <v>2161</v>
      </c>
      <c r="AM319" s="279" t="s">
        <v>1866</v>
      </c>
      <c r="AN319" s="161" t="str">
        <f t="shared" ca="1" si="55"/>
        <v>TERMINO</v>
      </c>
      <c r="AO319" s="284" t="s">
        <v>582</v>
      </c>
      <c r="AP319" s="155" t="s">
        <v>391</v>
      </c>
      <c r="AQ319" s="819" t="str">
        <f>IFERROR(VLOOKUP(E319,'liquidaciones '!$B$2:$C$1048576,2,0),"NO")</f>
        <v>LIQUIDADO</v>
      </c>
      <c r="AR319" s="909">
        <f>IFERROR(VLOOKUP(E319,'liquidaciones '!$B$2:$I$1048576,8,0),"")</f>
        <v>0</v>
      </c>
      <c r="AS319" s="312"/>
      <c r="AT319" s="156" t="str">
        <f t="shared" ca="1" si="56"/>
        <v>NO</v>
      </c>
      <c r="AU319" s="156" t="s">
        <v>2388</v>
      </c>
      <c r="AV319" s="406"/>
      <c r="AW319" s="928"/>
      <c r="AX319" s="928"/>
      <c r="AY319" s="928"/>
    </row>
    <row r="320" spans="2:51" ht="47.25" customHeight="1" x14ac:dyDescent="0.3">
      <c r="B320" s="14">
        <v>314</v>
      </c>
      <c r="C320" s="410">
        <v>71</v>
      </c>
      <c r="D320" s="410" t="str">
        <f t="shared" si="47"/>
        <v>201571</v>
      </c>
      <c r="E320" s="120" t="s">
        <v>1986</v>
      </c>
      <c r="F320" s="834" t="s">
        <v>1987</v>
      </c>
      <c r="G320" s="998" t="s">
        <v>1988</v>
      </c>
      <c r="H320" s="828" t="s">
        <v>1989</v>
      </c>
      <c r="I320" s="187">
        <v>11167296</v>
      </c>
      <c r="J320" s="675" t="s">
        <v>1895</v>
      </c>
      <c r="K320" s="269">
        <v>2015</v>
      </c>
      <c r="L320" s="519">
        <v>42167</v>
      </c>
      <c r="M320" s="835">
        <v>42188</v>
      </c>
      <c r="N320" s="835">
        <v>42250</v>
      </c>
      <c r="O320" s="1099" t="str">
        <f>IF(+Modificaciones!I320=0,"",VLOOKUP(E320,Modificaciones!$B$7:$I$2400,8,0))</f>
        <v/>
      </c>
      <c r="P320" s="115">
        <f>COUNTA(Modificaciones!J320,Modificaciones!L320,Modificaciones!N320,Modificaciones!P320)</f>
        <v>0</v>
      </c>
      <c r="Q320" s="116">
        <f>VLOOKUP(E320,Modificaciones!$B$7:$R$2300,17,0)</f>
        <v>0</v>
      </c>
      <c r="R320" s="117">
        <f>COUNTA(Modificaciones!T320,Modificaciones!V320,Modificaciones!X320,Modificaciones!Z320)</f>
        <v>0</v>
      </c>
      <c r="S320" s="118" t="str">
        <f>IF(Modificaciones!AA320=0,"",VLOOKUP(E320,Modificaciones!$B$7:$AA$400,26,0))</f>
        <v/>
      </c>
      <c r="T320" s="119" t="str">
        <f>IF(Modificaciones!AB320=0,"",VLOOKUP(E320,Modificaciones!$B$7:$AB$400,27,0))</f>
        <v/>
      </c>
      <c r="U320" s="1080" t="str">
        <f>+Modificaciones!AC320</f>
        <v/>
      </c>
      <c r="V320" s="825" t="str">
        <f>+Modificaciones!AK320</f>
        <v/>
      </c>
      <c r="W320" s="825">
        <f t="shared" si="51"/>
        <v>42250</v>
      </c>
      <c r="X320" s="59">
        <f t="shared" si="48"/>
        <v>11167296</v>
      </c>
      <c r="Y320" s="151">
        <f>VLOOKUP(E320,Modificaciones!$B$7:$BE$2300,56,0)</f>
        <v>11167296</v>
      </c>
      <c r="Z320" s="84">
        <f t="shared" si="49"/>
        <v>0</v>
      </c>
      <c r="AA320" s="283" t="s">
        <v>1894</v>
      </c>
      <c r="AB320" s="40">
        <f t="shared" si="50"/>
        <v>1</v>
      </c>
      <c r="AC320" s="40">
        <f t="shared" ca="1" si="52"/>
        <v>1</v>
      </c>
      <c r="AD320" s="41">
        <f t="shared" ca="1" si="53"/>
        <v>0</v>
      </c>
      <c r="AE320" s="181" t="str">
        <f t="shared" ca="1" si="54"/>
        <v/>
      </c>
      <c r="AF320" s="42" t="str">
        <f t="shared" si="58"/>
        <v>SI</v>
      </c>
      <c r="AG320" s="732" t="str">
        <f>VLOOKUP(C320,[2]Hoja4!$A$2:$E$116,5,0)</f>
        <v>COMPRAVENTA</v>
      </c>
      <c r="AH320" s="152" t="s">
        <v>1256</v>
      </c>
      <c r="AI320" s="255" t="s">
        <v>1990</v>
      </c>
      <c r="AJ320" s="152" t="s">
        <v>1438</v>
      </c>
      <c r="AK320" s="255" t="s">
        <v>560</v>
      </c>
      <c r="AL320" s="279" t="s">
        <v>1508</v>
      </c>
      <c r="AM320" s="279" t="s">
        <v>1866</v>
      </c>
      <c r="AN320" s="161" t="str">
        <f t="shared" ca="1" si="55"/>
        <v>TERMINO</v>
      </c>
      <c r="AO320" s="160" t="s">
        <v>576</v>
      </c>
      <c r="AP320" s="155" t="s">
        <v>391</v>
      </c>
      <c r="AQ320" s="819" t="str">
        <f>IFERROR(VLOOKUP(E320,'liquidaciones '!$B$2:$C$1048576,2,0),"NO")</f>
        <v>LIQUIDADO</v>
      </c>
      <c r="AR320" s="909">
        <f>IFERROR(VLOOKUP(E320,'liquidaciones '!$B$2:$I$1048576,8,0),"")</f>
        <v>0</v>
      </c>
      <c r="AS320" s="312"/>
      <c r="AT320" s="156" t="str">
        <f t="shared" ca="1" si="56"/>
        <v>NO</v>
      </c>
      <c r="AU320" s="156" t="s">
        <v>1991</v>
      </c>
      <c r="AV320" s="406"/>
      <c r="AW320" s="928"/>
      <c r="AX320" s="928"/>
      <c r="AY320" s="928"/>
    </row>
    <row r="321" spans="2:51" ht="47.25" customHeight="1" x14ac:dyDescent="0.3">
      <c r="B321" s="14">
        <v>315</v>
      </c>
      <c r="C321" s="410">
        <v>157</v>
      </c>
      <c r="D321" s="410" t="str">
        <f t="shared" si="47"/>
        <v>2015157</v>
      </c>
      <c r="E321" s="120" t="s">
        <v>1992</v>
      </c>
      <c r="F321" s="828" t="s">
        <v>1993</v>
      </c>
      <c r="G321" s="998">
        <v>860053195</v>
      </c>
      <c r="H321" s="828" t="s">
        <v>1994</v>
      </c>
      <c r="I321" s="187">
        <v>29000000</v>
      </c>
      <c r="J321" s="675" t="s">
        <v>1942</v>
      </c>
      <c r="K321" s="269">
        <v>2015</v>
      </c>
      <c r="L321" s="519">
        <v>42167</v>
      </c>
      <c r="M321" s="835">
        <v>42179</v>
      </c>
      <c r="N321" s="835">
        <v>42484</v>
      </c>
      <c r="O321" s="1099" t="str">
        <f>IF(+Modificaciones!I321=0,"",VLOOKUP(E321,Modificaciones!$B$7:$I$2400,8,0))</f>
        <v/>
      </c>
      <c r="P321" s="115">
        <f>COUNTA(Modificaciones!J321,Modificaciones!L321,Modificaciones!N321,Modificaciones!P321)</f>
        <v>1</v>
      </c>
      <c r="Q321" s="116">
        <f>VLOOKUP(E321,Modificaciones!$B$7:$R$2300,17,0)</f>
        <v>14417333</v>
      </c>
      <c r="R321" s="117">
        <f>COUNTA(Modificaciones!T321,Modificaciones!V321,Modificaciones!X321,Modificaciones!Z321)</f>
        <v>2</v>
      </c>
      <c r="S321" s="118" t="str">
        <f>IF(Modificaciones!AA321=0,"",VLOOKUP(E321,Modificaciones!$B$7:$AA$400,26,0))</f>
        <v>2 meses</v>
      </c>
      <c r="T321" s="119">
        <f>IF(Modificaciones!AB321=0,"",VLOOKUP(E321,Modificaciones!$B$7:$AB$400,27,0))</f>
        <v>42545</v>
      </c>
      <c r="U321" s="1080" t="str">
        <f>+Modificaciones!AC321</f>
        <v/>
      </c>
      <c r="V321" s="825" t="str">
        <f>+Modificaciones!AK321</f>
        <v/>
      </c>
      <c r="W321" s="825">
        <f t="shared" si="51"/>
        <v>42545</v>
      </c>
      <c r="X321" s="59">
        <f t="shared" si="48"/>
        <v>43417333</v>
      </c>
      <c r="Y321" s="151">
        <f>VLOOKUP(E321,Modificaciones!$B$7:$BE$2300,56,0)</f>
        <v>43376678</v>
      </c>
      <c r="Z321" s="84">
        <f t="shared" si="49"/>
        <v>40655</v>
      </c>
      <c r="AA321" s="283" t="s">
        <v>1966</v>
      </c>
      <c r="AB321" s="40">
        <f t="shared" si="50"/>
        <v>0.99906362281626093</v>
      </c>
      <c r="AC321" s="40">
        <f t="shared" ca="1" si="52"/>
        <v>1</v>
      </c>
      <c r="AD321" s="41">
        <f t="shared" ca="1" si="53"/>
        <v>9.3637718373906775E-4</v>
      </c>
      <c r="AE321" s="181" t="str">
        <f t="shared" ca="1" si="54"/>
        <v/>
      </c>
      <c r="AF321" s="42" t="str">
        <f t="shared" si="58"/>
        <v>SI</v>
      </c>
      <c r="AG321" s="732" t="str">
        <f>VLOOKUP(C321,[2]Hoja4!$A$2:$E$116,5,0)</f>
        <v>SUMINISTRO</v>
      </c>
      <c r="AH321" s="152" t="s">
        <v>1255</v>
      </c>
      <c r="AI321" s="255" t="s">
        <v>1134</v>
      </c>
      <c r="AJ321" s="152"/>
      <c r="AK321" s="255" t="s">
        <v>562</v>
      </c>
      <c r="AL321" s="279" t="s">
        <v>1383</v>
      </c>
      <c r="AM321" s="279" t="s">
        <v>1866</v>
      </c>
      <c r="AN321" s="161" t="str">
        <f t="shared" ca="1" si="55"/>
        <v>TERMINO</v>
      </c>
      <c r="AO321" s="160" t="s">
        <v>576</v>
      </c>
      <c r="AP321" s="155" t="s">
        <v>390</v>
      </c>
      <c r="AQ321" s="819" t="str">
        <f>IFERROR(VLOOKUP(E321,'liquidaciones '!$B$2:$C$1048576,2,0),"NO")</f>
        <v>LIQUIDADO</v>
      </c>
      <c r="AR321" s="909" t="str">
        <f>IFERROR(VLOOKUP(E321,'liquidaciones '!$B$2:$I$1048576,8,0),"")</f>
        <v>LEIDY RIVERA</v>
      </c>
      <c r="AS321" s="312"/>
      <c r="AT321" s="156" t="str">
        <f t="shared" ca="1" si="56"/>
        <v>NO</v>
      </c>
      <c r="AU321" s="156" t="s">
        <v>1569</v>
      </c>
      <c r="AV321" s="406"/>
      <c r="AW321" s="928"/>
      <c r="AX321" s="928"/>
      <c r="AY321" s="928"/>
    </row>
    <row r="322" spans="2:51" ht="47.25" customHeight="1" x14ac:dyDescent="0.3">
      <c r="B322" s="14">
        <v>316</v>
      </c>
      <c r="C322" s="410">
        <v>300</v>
      </c>
      <c r="D322" s="410" t="str">
        <f t="shared" si="47"/>
        <v>2015300</v>
      </c>
      <c r="E322" s="120" t="s">
        <v>1995</v>
      </c>
      <c r="F322" s="834" t="s">
        <v>1996</v>
      </c>
      <c r="G322" s="998">
        <v>1015452774</v>
      </c>
      <c r="H322" s="828" t="s">
        <v>1997</v>
      </c>
      <c r="I322" s="187">
        <v>12000000</v>
      </c>
      <c r="J322" s="698" t="s">
        <v>1995</v>
      </c>
      <c r="K322" s="269">
        <v>2015</v>
      </c>
      <c r="L322" s="519">
        <v>42171</v>
      </c>
      <c r="M322" s="835">
        <v>42174</v>
      </c>
      <c r="N322" s="835">
        <v>42357</v>
      </c>
      <c r="O322" s="1099" t="str">
        <f>IF(+Modificaciones!I322=0,"",VLOOKUP(E322,Modificaciones!$B$7:$I$2400,8,0))</f>
        <v/>
      </c>
      <c r="P322" s="115">
        <f>COUNTA(Modificaciones!J322,Modificaciones!L322,Modificaciones!N322,Modificaciones!P322)</f>
        <v>0</v>
      </c>
      <c r="Q322" s="116">
        <f>VLOOKUP(E322,Modificaciones!$B$7:$R$2300,17,0)</f>
        <v>0</v>
      </c>
      <c r="R322" s="117">
        <f>COUNTA(Modificaciones!T322,Modificaciones!V322,Modificaciones!X322,Modificaciones!Z322)</f>
        <v>0</v>
      </c>
      <c r="S322" s="118" t="str">
        <f>IF(Modificaciones!AA322=0,"",VLOOKUP(E322,Modificaciones!$B$7:$AA$400,26,0))</f>
        <v/>
      </c>
      <c r="T322" s="119" t="str">
        <f>IF(Modificaciones!AB322=0,"",VLOOKUP(E322,Modificaciones!$B$7:$AB$400,27,0))</f>
        <v/>
      </c>
      <c r="U322" s="1080" t="str">
        <f>+Modificaciones!AC322</f>
        <v/>
      </c>
      <c r="V322" s="825" t="str">
        <f>+Modificaciones!AK322</f>
        <v/>
      </c>
      <c r="W322" s="825">
        <f t="shared" si="51"/>
        <v>42357</v>
      </c>
      <c r="X322" s="59">
        <f t="shared" si="48"/>
        <v>12000000</v>
      </c>
      <c r="Y322" s="151">
        <f>VLOOKUP(E322,Modificaciones!$B$7:$BE$2300,56,0)</f>
        <v>12000000</v>
      </c>
      <c r="Z322" s="84">
        <f t="shared" si="49"/>
        <v>0</v>
      </c>
      <c r="AA322" s="283" t="s">
        <v>1094</v>
      </c>
      <c r="AB322" s="40">
        <f t="shared" si="50"/>
        <v>1</v>
      </c>
      <c r="AC322" s="40">
        <f t="shared" ca="1" si="52"/>
        <v>1</v>
      </c>
      <c r="AD322" s="41">
        <f t="shared" ca="1" si="53"/>
        <v>0</v>
      </c>
      <c r="AE322" s="181" t="str">
        <f t="shared" ca="1" si="54"/>
        <v/>
      </c>
      <c r="AF322" s="42" t="str">
        <f t="shared" si="58"/>
        <v>SI</v>
      </c>
      <c r="AG322" s="732" t="str">
        <f>VLOOKUP(C322,[2]Hoja4!$A$2:$E$116,5,0)</f>
        <v>PRESTACION DE SERVICIOS</v>
      </c>
      <c r="AH322" s="152" t="s">
        <v>1255</v>
      </c>
      <c r="AI322" s="255" t="s">
        <v>1967</v>
      </c>
      <c r="AJ322" s="152" t="s">
        <v>1428</v>
      </c>
      <c r="AK322" s="255" t="s">
        <v>563</v>
      </c>
      <c r="AL322" s="279" t="s">
        <v>2161</v>
      </c>
      <c r="AM322" s="279" t="s">
        <v>1866</v>
      </c>
      <c r="AN322" s="161" t="str">
        <f t="shared" ca="1" si="55"/>
        <v>TERMINO</v>
      </c>
      <c r="AO322" s="284" t="s">
        <v>582</v>
      </c>
      <c r="AP322" s="155" t="s">
        <v>391</v>
      </c>
      <c r="AQ322" s="819" t="str">
        <f>IFERROR(VLOOKUP(E322,'liquidaciones '!$B$2:$C$1048576,2,0),"NO")</f>
        <v>LIQUIDADO</v>
      </c>
      <c r="AR322" s="909">
        <f>IFERROR(VLOOKUP(E322,'liquidaciones '!$B$2:$I$1048576,8,0),"")</f>
        <v>0</v>
      </c>
      <c r="AS322" s="312"/>
      <c r="AT322" s="156" t="str">
        <f t="shared" ca="1" si="56"/>
        <v>NO</v>
      </c>
      <c r="AU322" s="156" t="s">
        <v>2388</v>
      </c>
      <c r="AV322" s="406"/>
      <c r="AW322" s="928"/>
      <c r="AX322" s="928"/>
      <c r="AY322" s="928"/>
    </row>
    <row r="323" spans="2:51" ht="47.25" customHeight="1" x14ac:dyDescent="0.3">
      <c r="B323" s="14">
        <v>317</v>
      </c>
      <c r="C323" s="410">
        <v>167</v>
      </c>
      <c r="D323" s="410" t="str">
        <f t="shared" si="47"/>
        <v>2015167</v>
      </c>
      <c r="E323" s="120" t="s">
        <v>1998</v>
      </c>
      <c r="F323" s="834" t="s">
        <v>1999</v>
      </c>
      <c r="G323" s="998">
        <v>830113914</v>
      </c>
      <c r="H323" s="828" t="s">
        <v>2004</v>
      </c>
      <c r="I323" s="187">
        <v>69400000</v>
      </c>
      <c r="J323" s="676" t="s">
        <v>1751</v>
      </c>
      <c r="K323" s="269">
        <v>2015</v>
      </c>
      <c r="L323" s="519">
        <v>42167</v>
      </c>
      <c r="M323" s="835">
        <v>42186</v>
      </c>
      <c r="N323" s="835">
        <v>42491</v>
      </c>
      <c r="O323" s="1099" t="str">
        <f>IF(+Modificaciones!I323=0,"",VLOOKUP(E323,Modificaciones!$B$7:$I$2400,8,0))</f>
        <v/>
      </c>
      <c r="P323" s="115">
        <f>COUNTA(Modificaciones!J323,Modificaciones!L323,Modificaciones!N323,Modificaciones!P323)</f>
        <v>0</v>
      </c>
      <c r="Q323" s="116">
        <f>VLOOKUP(E323,Modificaciones!$B$7:$R$2300,17,0)</f>
        <v>0</v>
      </c>
      <c r="R323" s="117">
        <f>COUNTA(Modificaciones!T323,Modificaciones!V323,Modificaciones!X323,Modificaciones!Z323)</f>
        <v>2</v>
      </c>
      <c r="S323" s="118" t="str">
        <f>IF(Modificaciones!AA323=0,"",VLOOKUP(E323,Modificaciones!$B$7:$AA$400,26,0))</f>
        <v>4 meses y 15 días</v>
      </c>
      <c r="T323" s="119">
        <f>IF(Modificaciones!AB323=0,"",VLOOKUP(E323,Modificaciones!$B$7:$AB$400,27,0))</f>
        <v>42629</v>
      </c>
      <c r="U323" s="1080" t="str">
        <f>+Modificaciones!AC323</f>
        <v/>
      </c>
      <c r="V323" s="825" t="str">
        <f>+Modificaciones!AK323</f>
        <v/>
      </c>
      <c r="W323" s="825">
        <f t="shared" si="51"/>
        <v>42629</v>
      </c>
      <c r="X323" s="59">
        <f t="shared" si="48"/>
        <v>69400000</v>
      </c>
      <c r="Y323" s="151">
        <f>VLOOKUP(E323,Modificaciones!$B$7:$BE$2300,56,0)</f>
        <v>69399898</v>
      </c>
      <c r="Z323" s="84">
        <f t="shared" si="49"/>
        <v>102</v>
      </c>
      <c r="AA323" s="283" t="s">
        <v>2005</v>
      </c>
      <c r="AB323" s="40">
        <f t="shared" si="50"/>
        <v>0.99999853025936603</v>
      </c>
      <c r="AC323" s="40">
        <f t="shared" ca="1" si="52"/>
        <v>1</v>
      </c>
      <c r="AD323" s="41">
        <f t="shared" ca="1" si="53"/>
        <v>1.4697406339747587E-6</v>
      </c>
      <c r="AE323" s="181" t="str">
        <f t="shared" ca="1" si="54"/>
        <v/>
      </c>
      <c r="AF323" s="42" t="str">
        <f t="shared" si="58"/>
        <v>SI</v>
      </c>
      <c r="AG323" s="732" t="str">
        <f>VLOOKUP(C323,[2]Hoja4!$A$2:$E$116,5,0)</f>
        <v>SUMINISTRO</v>
      </c>
      <c r="AH323" s="152" t="s">
        <v>1255</v>
      </c>
      <c r="AI323" s="278" t="s">
        <v>1129</v>
      </c>
      <c r="AJ323" s="152" t="s">
        <v>1441</v>
      </c>
      <c r="AK323" s="255" t="s">
        <v>560</v>
      </c>
      <c r="AL323" s="158" t="s">
        <v>1378</v>
      </c>
      <c r="AM323" s="279" t="s">
        <v>1866</v>
      </c>
      <c r="AN323" s="161" t="str">
        <f t="shared" ca="1" si="55"/>
        <v>TERMINO</v>
      </c>
      <c r="AO323" s="284" t="s">
        <v>575</v>
      </c>
      <c r="AP323" s="155" t="s">
        <v>390</v>
      </c>
      <c r="AQ323" s="819" t="str">
        <f>IFERROR(VLOOKUP(E323,'liquidaciones '!$B$2:$C$1048576,2,0),"NO")</f>
        <v>LIQUIDADO</v>
      </c>
      <c r="AR323" s="909">
        <f>IFERROR(VLOOKUP(E323,'liquidaciones '!$B$2:$I$1048576,8,0),"")</f>
        <v>0</v>
      </c>
      <c r="AS323" s="312"/>
      <c r="AT323" s="156" t="str">
        <f t="shared" ca="1" si="56"/>
        <v>NO</v>
      </c>
      <c r="AU323" s="156" t="s">
        <v>1509</v>
      </c>
      <c r="AV323" s="406"/>
      <c r="AW323" s="928"/>
      <c r="AX323" s="928"/>
      <c r="AY323" s="928"/>
    </row>
    <row r="324" spans="2:51" ht="47.25" customHeight="1" x14ac:dyDescent="0.3">
      <c r="B324" s="14">
        <v>318</v>
      </c>
      <c r="C324" s="410">
        <v>139</v>
      </c>
      <c r="D324" s="410" t="str">
        <f t="shared" si="47"/>
        <v>2015139</v>
      </c>
      <c r="E324" s="120" t="s">
        <v>3323</v>
      </c>
      <c r="F324" s="834" t="s">
        <v>2003</v>
      </c>
      <c r="G324" s="998" t="s">
        <v>2013</v>
      </c>
      <c r="H324" s="828" t="s">
        <v>2012</v>
      </c>
      <c r="I324" s="187">
        <v>1607400</v>
      </c>
      <c r="J324" s="1065" t="s">
        <v>5253</v>
      </c>
      <c r="K324" s="269">
        <v>2015</v>
      </c>
      <c r="L324" s="519">
        <v>42172</v>
      </c>
      <c r="M324" s="835">
        <v>42202</v>
      </c>
      <c r="N324" s="835">
        <v>42567</v>
      </c>
      <c r="O324" s="1099" t="str">
        <f>IF(+Modificaciones!I324=0,"",VLOOKUP(E324,Modificaciones!$B$7:$I$2400,8,0))</f>
        <v/>
      </c>
      <c r="P324" s="115">
        <f>COUNTA(Modificaciones!J324,Modificaciones!L324,Modificaciones!N324,Modificaciones!P324)</f>
        <v>0</v>
      </c>
      <c r="Q324" s="116">
        <f>VLOOKUP(E324,Modificaciones!$B$7:$R$2300,17,0)</f>
        <v>0</v>
      </c>
      <c r="R324" s="117">
        <f>COUNTA(Modificaciones!T324,Modificaciones!V324,Modificaciones!X324,Modificaciones!Z324)</f>
        <v>0</v>
      </c>
      <c r="S324" s="118" t="str">
        <f>IF(Modificaciones!AA324=0,"",VLOOKUP(E324,Modificaciones!$B$7:$AA$400,26,0))</f>
        <v/>
      </c>
      <c r="T324" s="119" t="str">
        <f>IF(Modificaciones!AB324=0,"",VLOOKUP(E324,Modificaciones!$B$7:$AB$400,27,0))</f>
        <v/>
      </c>
      <c r="U324" s="1080" t="str">
        <f>+Modificaciones!AC324</f>
        <v/>
      </c>
      <c r="V324" s="825" t="str">
        <f>+Modificaciones!AK324</f>
        <v/>
      </c>
      <c r="W324" s="825">
        <f t="shared" si="51"/>
        <v>42567</v>
      </c>
      <c r="X324" s="59">
        <f t="shared" si="48"/>
        <v>1607400</v>
      </c>
      <c r="Y324" s="151">
        <f>VLOOKUP(E324,Modificaciones!$B$7:$BE$2300,56,0)</f>
        <v>1586586</v>
      </c>
      <c r="Z324" s="84">
        <f t="shared" si="49"/>
        <v>20814</v>
      </c>
      <c r="AA324" s="283" t="s">
        <v>1894</v>
      </c>
      <c r="AB324" s="40">
        <f t="shared" si="50"/>
        <v>0.98705113848450909</v>
      </c>
      <c r="AC324" s="40">
        <f t="shared" ca="1" si="52"/>
        <v>1</v>
      </c>
      <c r="AD324" s="41">
        <f t="shared" ca="1" si="53"/>
        <v>1.2948861515490906E-2</v>
      </c>
      <c r="AE324" s="181" t="str">
        <f t="shared" ca="1" si="54"/>
        <v/>
      </c>
      <c r="AF324" s="42" t="str">
        <f t="shared" si="58"/>
        <v>NO</v>
      </c>
      <c r="AG324" s="732" t="str">
        <f>VLOOKUP(C324,[2]Hoja4!$A$2:$E$116,5,0)</f>
        <v>SUSCRIPCION</v>
      </c>
      <c r="AH324" s="152" t="s">
        <v>1255</v>
      </c>
      <c r="AI324" s="255" t="s">
        <v>1132</v>
      </c>
      <c r="AJ324" s="152" t="s">
        <v>1441</v>
      </c>
      <c r="AK324" s="255" t="s">
        <v>560</v>
      </c>
      <c r="AL324" s="279"/>
      <c r="AM324" s="279" t="s">
        <v>1866</v>
      </c>
      <c r="AN324" s="161" t="str">
        <f t="shared" ca="1" si="55"/>
        <v>TERMINO</v>
      </c>
      <c r="AO324" s="160" t="s">
        <v>576</v>
      </c>
      <c r="AP324" s="155" t="s">
        <v>390</v>
      </c>
      <c r="AQ324" s="819" t="str">
        <f>IFERROR(VLOOKUP(E324,'liquidaciones '!$B$2:$C$1048576,2,0),"NO")</f>
        <v>DEVUELTO</v>
      </c>
      <c r="AR324" s="909" t="str">
        <f>IFERROR(VLOOKUP(E324,'liquidaciones '!$B$2:$I$1048576,8,0),"")</f>
        <v>JULIETH ANGARITA</v>
      </c>
      <c r="AS324" s="312"/>
      <c r="AT324" s="156" t="str">
        <f t="shared" ca="1" si="56"/>
        <v>NO</v>
      </c>
      <c r="AU324" s="156" t="s">
        <v>1509</v>
      </c>
      <c r="AV324" s="406" t="s">
        <v>3509</v>
      </c>
      <c r="AW324" s="928"/>
      <c r="AX324" s="928"/>
      <c r="AY324" s="928"/>
    </row>
    <row r="325" spans="2:51" ht="66.75" customHeight="1" x14ac:dyDescent="0.3">
      <c r="B325" s="14">
        <v>319</v>
      </c>
      <c r="C325" s="410">
        <v>182</v>
      </c>
      <c r="D325" s="410" t="str">
        <f t="shared" si="47"/>
        <v>2015182</v>
      </c>
      <c r="E325" s="120" t="s">
        <v>2006</v>
      </c>
      <c r="F325" s="834" t="s">
        <v>2007</v>
      </c>
      <c r="G325" s="998" t="s">
        <v>2008</v>
      </c>
      <c r="H325" s="828" t="s">
        <v>2009</v>
      </c>
      <c r="I325" s="187">
        <v>102000000</v>
      </c>
      <c r="J325" s="676" t="s">
        <v>1750</v>
      </c>
      <c r="K325" s="269">
        <v>2015</v>
      </c>
      <c r="L325" s="519">
        <v>42171</v>
      </c>
      <c r="M325" s="835">
        <v>42186</v>
      </c>
      <c r="N325" s="835">
        <v>42519</v>
      </c>
      <c r="O325" s="1099" t="str">
        <f>IF(+Modificaciones!I325=0,"",VLOOKUP(E325,Modificaciones!$B$7:$I$2400,8,0))</f>
        <v/>
      </c>
      <c r="P325" s="115">
        <f>COUNTA(Modificaciones!J325,Modificaciones!L325,Modificaciones!N325,Modificaciones!P325)</f>
        <v>1</v>
      </c>
      <c r="Q325" s="116">
        <f>VLOOKUP(E325,Modificaciones!$B$7:$R$2300,17,0)</f>
        <v>22930204</v>
      </c>
      <c r="R325" s="117">
        <f>COUNTA(Modificaciones!T325,Modificaciones!V325,Modificaciones!X325,Modificaciones!Z325)</f>
        <v>1</v>
      </c>
      <c r="S325" s="118" t="str">
        <f>IF(Modificaciones!AA325=0,"",VLOOKUP(E325,Modificaciones!$B$7:$AA$400,26,0))</f>
        <v>1 mes</v>
      </c>
      <c r="T325" s="119">
        <f>IF(Modificaciones!AB325=0,"",VLOOKUP(E325,Modificaciones!$B$7:$AB$400,27,0))</f>
        <v>42522</v>
      </c>
      <c r="U325" s="1080" t="str">
        <f>+Modificaciones!AC325</f>
        <v/>
      </c>
      <c r="V325" s="825" t="str">
        <f>+Modificaciones!AK325</f>
        <v/>
      </c>
      <c r="W325" s="825">
        <f t="shared" si="51"/>
        <v>42522</v>
      </c>
      <c r="X325" s="59">
        <f t="shared" si="48"/>
        <v>124930204</v>
      </c>
      <c r="Y325" s="151">
        <f>VLOOKUP(E325,Modificaciones!$B$7:$BE$2300,56,0)</f>
        <v>124874187</v>
      </c>
      <c r="Z325" s="84">
        <f t="shared" si="49"/>
        <v>56017</v>
      </c>
      <c r="AA325" s="283" t="s">
        <v>2010</v>
      </c>
      <c r="AB325" s="40">
        <f t="shared" si="50"/>
        <v>0.99955161363540235</v>
      </c>
      <c r="AC325" s="40">
        <f t="shared" ca="1" si="52"/>
        <v>1</v>
      </c>
      <c r="AD325" s="41">
        <f t="shared" ca="1" si="53"/>
        <v>4.4838636459765269E-4</v>
      </c>
      <c r="AE325" s="181" t="str">
        <f t="shared" ca="1" si="54"/>
        <v/>
      </c>
      <c r="AF325" s="42" t="str">
        <f t="shared" si="58"/>
        <v>SI</v>
      </c>
      <c r="AG325" s="732" t="str">
        <f>VLOOKUP(C325,[2]Hoja4!$A$2:$E$116,5,0)</f>
        <v>PRESTACION DE SERVICIOS</v>
      </c>
      <c r="AH325" s="152" t="s">
        <v>1255</v>
      </c>
      <c r="AI325" s="255" t="s">
        <v>1300</v>
      </c>
      <c r="AJ325" s="152" t="s">
        <v>1434</v>
      </c>
      <c r="AK325" s="255" t="s">
        <v>560</v>
      </c>
      <c r="AL325" s="153" t="s">
        <v>1385</v>
      </c>
      <c r="AM325" s="279" t="s">
        <v>1866</v>
      </c>
      <c r="AN325" s="161" t="str">
        <f t="shared" ca="1" si="55"/>
        <v>TERMINO</v>
      </c>
      <c r="AO325" s="284" t="s">
        <v>574</v>
      </c>
      <c r="AP325" s="155" t="s">
        <v>390</v>
      </c>
      <c r="AQ325" s="819" t="str">
        <f>IFERROR(VLOOKUP(E325,'liquidaciones '!$B$2:$C$1048576,2,0),"NO")</f>
        <v>LIQUIDADO</v>
      </c>
      <c r="AR325" s="909">
        <f>IFERROR(VLOOKUP(E325,'liquidaciones '!$B$2:$I$1048576,8,0),"")</f>
        <v>0</v>
      </c>
      <c r="AS325" s="312"/>
      <c r="AT325" s="156" t="str">
        <f t="shared" ca="1" si="56"/>
        <v>NO</v>
      </c>
      <c r="AU325" s="156" t="s">
        <v>2075</v>
      </c>
      <c r="AV325" s="406"/>
      <c r="AW325" s="928"/>
      <c r="AX325" s="928"/>
      <c r="AY325" s="928"/>
    </row>
    <row r="326" spans="2:51" ht="66" customHeight="1" x14ac:dyDescent="0.3">
      <c r="B326" s="14">
        <v>320</v>
      </c>
      <c r="C326" s="410">
        <v>165</v>
      </c>
      <c r="D326" s="410" t="str">
        <f t="shared" si="47"/>
        <v>2015165</v>
      </c>
      <c r="E326" s="120" t="s">
        <v>2015</v>
      </c>
      <c r="F326" s="834" t="s">
        <v>2016</v>
      </c>
      <c r="G326" s="998">
        <v>807003866</v>
      </c>
      <c r="H326" s="828" t="s">
        <v>2017</v>
      </c>
      <c r="I326" s="187">
        <v>342000000</v>
      </c>
      <c r="J326" s="676" t="s">
        <v>1758</v>
      </c>
      <c r="K326" s="269">
        <v>2015</v>
      </c>
      <c r="L326" s="519">
        <v>42174</v>
      </c>
      <c r="M326" s="835">
        <v>42187</v>
      </c>
      <c r="N326" s="835">
        <v>42492</v>
      </c>
      <c r="O326" s="1099" t="str">
        <f>IF(+Modificaciones!I326=0,"",VLOOKUP(E326,Modificaciones!$B$7:$I$2400,8,0))</f>
        <v/>
      </c>
      <c r="P326" s="115">
        <f>COUNTA(Modificaciones!J326,Modificaciones!L326,Modificaciones!N326,Modificaciones!P326)</f>
        <v>2</v>
      </c>
      <c r="Q326" s="116">
        <f>VLOOKUP(E326,Modificaciones!$B$7:$R$2300,17,0)</f>
        <v>92000000</v>
      </c>
      <c r="R326" s="117">
        <f>COUNTA(Modificaciones!T326,Modificaciones!V326,Modificaciones!X326,Modificaciones!Z326)</f>
        <v>4</v>
      </c>
      <c r="S326" s="118" t="str">
        <f>IF(Modificaciones!AA326=0,"",VLOOKUP(E326,Modificaciones!$B$7:$AA$400,26,0))</f>
        <v>7 meses          23 días</v>
      </c>
      <c r="T326" s="119">
        <f>IF(Modificaciones!AB326=0,"",VLOOKUP(E326,Modificaciones!$B$7:$AB$400,27,0))</f>
        <v>42728</v>
      </c>
      <c r="U326" s="1080" t="str">
        <f>+Modificaciones!AC326</f>
        <v/>
      </c>
      <c r="V326" s="825" t="str">
        <f>+Modificaciones!AK326</f>
        <v/>
      </c>
      <c r="W326" s="825">
        <f t="shared" si="51"/>
        <v>42728</v>
      </c>
      <c r="X326" s="59">
        <f t="shared" si="48"/>
        <v>434000000</v>
      </c>
      <c r="Y326" s="151">
        <f>VLOOKUP(E326,Modificaciones!$B$7:$BE$2300,56,0)</f>
        <v>374724848</v>
      </c>
      <c r="Z326" s="84">
        <f t="shared" si="49"/>
        <v>59275152</v>
      </c>
      <c r="AA326" s="283"/>
      <c r="AB326" s="40">
        <f t="shared" si="50"/>
        <v>0.8634213087557604</v>
      </c>
      <c r="AC326" s="40">
        <f t="shared" ca="1" si="52"/>
        <v>1</v>
      </c>
      <c r="AD326" s="41">
        <f t="shared" ca="1" si="53"/>
        <v>0.1365786912442396</v>
      </c>
      <c r="AE326" s="181" t="str">
        <f t="shared" ca="1" si="54"/>
        <v/>
      </c>
      <c r="AF326" s="42" t="str">
        <f t="shared" si="58"/>
        <v>NO</v>
      </c>
      <c r="AG326" s="732" t="str">
        <f>VLOOKUP(C326,[2]Hoja4!$A$2:$E$116,5,0)</f>
        <v>PRESTACION DE SERVICIOS</v>
      </c>
      <c r="AH326" s="152" t="s">
        <v>1255</v>
      </c>
      <c r="AI326" s="255" t="s">
        <v>1137</v>
      </c>
      <c r="AJ326" s="152" t="s">
        <v>1441</v>
      </c>
      <c r="AK326" s="255" t="s">
        <v>560</v>
      </c>
      <c r="AL326" s="153" t="s">
        <v>1378</v>
      </c>
      <c r="AM326" s="279" t="s">
        <v>1866</v>
      </c>
      <c r="AN326" s="161" t="str">
        <f t="shared" ca="1" si="55"/>
        <v>TERMINO</v>
      </c>
      <c r="AO326" s="284" t="s">
        <v>575</v>
      </c>
      <c r="AP326" s="155" t="s">
        <v>390</v>
      </c>
      <c r="AQ326" s="819" t="str">
        <f>IFERROR(VLOOKUP(E326,'liquidaciones '!$B$2:$C$1048576,2,0),"NO")</f>
        <v>EN TRÁMITE</v>
      </c>
      <c r="AR326" s="909" t="str">
        <f>IFERROR(VLOOKUP(E326,'liquidaciones '!$B$2:$I$1048576,8,0),"")</f>
        <v>MANUEL ROJAS</v>
      </c>
      <c r="AS326" s="312"/>
      <c r="AT326" s="156" t="str">
        <f t="shared" ca="1" si="56"/>
        <v>NO</v>
      </c>
      <c r="AU326" s="156" t="s">
        <v>1509</v>
      </c>
      <c r="AV326" s="406"/>
      <c r="AW326" s="928"/>
      <c r="AX326" s="928"/>
      <c r="AY326" s="928"/>
    </row>
    <row r="327" spans="2:51" ht="64.5" customHeight="1" x14ac:dyDescent="0.3">
      <c r="B327" s="14">
        <v>321</v>
      </c>
      <c r="C327" s="410">
        <v>158</v>
      </c>
      <c r="D327" s="410" t="str">
        <f t="shared" ref="D327:D379" si="59">K327&amp;C327</f>
        <v>2015158</v>
      </c>
      <c r="E327" s="120" t="s">
        <v>2018</v>
      </c>
      <c r="F327" s="834" t="s">
        <v>3666</v>
      </c>
      <c r="G327" s="998" t="s">
        <v>2019</v>
      </c>
      <c r="H327" s="828" t="s">
        <v>2020</v>
      </c>
      <c r="I327" s="187">
        <v>180000000</v>
      </c>
      <c r="J327" s="698" t="s">
        <v>2018</v>
      </c>
      <c r="K327" s="269">
        <v>2015</v>
      </c>
      <c r="L327" s="519">
        <v>42179</v>
      </c>
      <c r="M327" s="835">
        <v>42219</v>
      </c>
      <c r="N327" s="835">
        <v>42492</v>
      </c>
      <c r="O327" s="1099" t="str">
        <f>IF(+Modificaciones!I327=0,"",VLOOKUP(E327,Modificaciones!$B$7:$I$2400,8,0))</f>
        <v/>
      </c>
      <c r="P327" s="115">
        <f>COUNTA(Modificaciones!J327,Modificaciones!L327,Modificaciones!N327,Modificaciones!P327)</f>
        <v>0</v>
      </c>
      <c r="Q327" s="116">
        <f>VLOOKUP(E327,Modificaciones!$B$7:$R$2300,17,0)</f>
        <v>0</v>
      </c>
      <c r="R327" s="117">
        <f>COUNTA(Modificaciones!T327,Modificaciones!V327,Modificaciones!X327,Modificaciones!Z327)</f>
        <v>2</v>
      </c>
      <c r="S327" s="118" t="str">
        <f>IF(Modificaciones!AA327=0,"",VLOOKUP(E327,Modificaciones!$B$7:$AA$400,26,0))</f>
        <v>9 meses</v>
      </c>
      <c r="T327" s="119">
        <f>IF(Modificaciones!AB327=0,"",VLOOKUP(E327,Modificaciones!$B$7:$AB$400,27,0))</f>
        <v>42949</v>
      </c>
      <c r="U327" s="1080" t="str">
        <f>+Modificaciones!AC327</f>
        <v/>
      </c>
      <c r="V327" s="825" t="str">
        <f>+Modificaciones!AK327</f>
        <v/>
      </c>
      <c r="W327" s="825">
        <f t="shared" si="51"/>
        <v>42949</v>
      </c>
      <c r="X327" s="59">
        <f t="shared" ref="X327:X390" si="60">I327+Q327</f>
        <v>180000000</v>
      </c>
      <c r="Y327" s="151">
        <f>VLOOKUP(E327,Modificaciones!$B$7:$BE$2300,56,0)</f>
        <v>180000000</v>
      </c>
      <c r="Z327" s="84">
        <f t="shared" ref="Z327:Z376" si="61">X327-Y327</f>
        <v>0</v>
      </c>
      <c r="AA327" s="283"/>
      <c r="AB327" s="40">
        <f t="shared" ref="AB327:AB390" si="62">(Y327*100%)/X327</f>
        <v>1</v>
      </c>
      <c r="AC327" s="40">
        <f t="shared" ca="1" si="52"/>
        <v>1</v>
      </c>
      <c r="AD327" s="41">
        <f t="shared" ca="1" si="53"/>
        <v>0</v>
      </c>
      <c r="AE327" s="181" t="str">
        <f t="shared" ca="1" si="54"/>
        <v/>
      </c>
      <c r="AF327" s="42" t="str">
        <f t="shared" si="58"/>
        <v>SI</v>
      </c>
      <c r="AG327" s="732" t="str">
        <f>VLOOKUP(C327,[2]Hoja4!$A$2:$E$116,5,0)</f>
        <v>CONVENIO INTERADMINISTRATIVO</v>
      </c>
      <c r="AH327" s="152" t="s">
        <v>1255</v>
      </c>
      <c r="AI327" s="255"/>
      <c r="AJ327" s="152"/>
      <c r="AL327" s="279" t="s">
        <v>2025</v>
      </c>
      <c r="AM327" s="279"/>
      <c r="AN327" s="161" t="str">
        <f t="shared" ca="1" si="55"/>
        <v>TERMINO</v>
      </c>
      <c r="AO327" s="284"/>
      <c r="AP327" s="155"/>
      <c r="AQ327" s="819" t="str">
        <f>IFERROR(VLOOKUP(E327,'liquidaciones '!$B$2:$C$1048576,2,0),"NO")</f>
        <v>LIQUIDADO</v>
      </c>
      <c r="AR327" s="909">
        <f>IFERROR(VLOOKUP(E327,'liquidaciones '!$B$2:$I$1048576,8,0),"")</f>
        <v>0</v>
      </c>
      <c r="AS327" s="312"/>
      <c r="AT327" s="156" t="str">
        <f t="shared" ca="1" si="56"/>
        <v>NO</v>
      </c>
      <c r="AU327" s="156" t="s">
        <v>2960</v>
      </c>
      <c r="AV327" s="406"/>
      <c r="AW327" s="928"/>
      <c r="AX327" s="928"/>
      <c r="AY327" s="928"/>
    </row>
    <row r="328" spans="2:51" ht="47.25" customHeight="1" x14ac:dyDescent="0.3">
      <c r="B328" s="14">
        <v>322</v>
      </c>
      <c r="C328" s="410">
        <v>63</v>
      </c>
      <c r="D328" s="410" t="str">
        <f t="shared" si="59"/>
        <v>201563</v>
      </c>
      <c r="E328" s="120" t="s">
        <v>2022</v>
      </c>
      <c r="F328" s="834" t="s">
        <v>2023</v>
      </c>
      <c r="G328" s="998">
        <v>800198591</v>
      </c>
      <c r="H328" s="828" t="s">
        <v>2024</v>
      </c>
      <c r="I328" s="187">
        <v>213397762</v>
      </c>
      <c r="J328" s="685" t="s">
        <v>2022</v>
      </c>
      <c r="K328" s="269">
        <v>2015</v>
      </c>
      <c r="L328" s="519">
        <v>42165</v>
      </c>
      <c r="M328" s="835">
        <v>42181</v>
      </c>
      <c r="N328" s="835">
        <v>42537</v>
      </c>
      <c r="O328" s="1099" t="str">
        <f>IF(+Modificaciones!I328=0,"",VLOOKUP(E328,Modificaciones!$B$7:$I$2400,8,0))</f>
        <v/>
      </c>
      <c r="P328" s="115">
        <f>COUNTA(Modificaciones!J328,Modificaciones!L328,Modificaciones!N328,Modificaciones!P328)</f>
        <v>0</v>
      </c>
      <c r="Q328" s="116">
        <f>VLOOKUP(E328,Modificaciones!$B$7:$R$2300,17,0)</f>
        <v>0</v>
      </c>
      <c r="R328" s="117">
        <f>COUNTA(Modificaciones!T328,Modificaciones!V328,Modificaciones!X328,Modificaciones!Z328)</f>
        <v>0</v>
      </c>
      <c r="S328" s="118" t="str">
        <f>IF(Modificaciones!AA328=0,"",VLOOKUP(E328,Modificaciones!$B$7:$AA$400,26,0))</f>
        <v/>
      </c>
      <c r="T328" s="119" t="str">
        <f>IF(Modificaciones!AB328=0,"",VLOOKUP(E328,Modificaciones!$B$7:$AB$400,27,0))</f>
        <v/>
      </c>
      <c r="U328" s="1080" t="str">
        <f>+Modificaciones!AC328</f>
        <v/>
      </c>
      <c r="V328" s="825" t="str">
        <f>+Modificaciones!AK328</f>
        <v/>
      </c>
      <c r="W328" s="825">
        <f t="shared" ref="W328:W391" si="63">MAX(N328,O328,T328,V328)</f>
        <v>42537</v>
      </c>
      <c r="X328" s="59">
        <f t="shared" si="60"/>
        <v>213397762</v>
      </c>
      <c r="Y328" s="151">
        <f>VLOOKUP(E328,Modificaciones!$B$7:$BE$2300,56,0)</f>
        <v>213397758</v>
      </c>
      <c r="Z328" s="84">
        <f t="shared" si="61"/>
        <v>4</v>
      </c>
      <c r="AA328" s="283"/>
      <c r="AB328" s="40">
        <f t="shared" si="62"/>
        <v>0.99999998125566092</v>
      </c>
      <c r="AC328" s="40">
        <f t="shared" ref="AC328:AC391" ca="1" si="64">IF((($F$3-M328)*100%/(W328-M328))&gt;100%,100%,(($F$3-M328)*100%/(W328-M328)))</f>
        <v>1</v>
      </c>
      <c r="AD328" s="41">
        <f t="shared" ref="AD328:AD391" ca="1" si="65">AC328-AB328</f>
        <v>1.8744339080889461E-8</v>
      </c>
      <c r="AE328" s="181" t="str">
        <f t="shared" ref="AE328:AE391" ca="1" si="66">IF(AC328&lt;100%,W328-$F$3,"")</f>
        <v/>
      </c>
      <c r="AF328" s="42" t="str">
        <f t="shared" si="58"/>
        <v>SI</v>
      </c>
      <c r="AG328" s="732" t="str">
        <f>VLOOKUP(C328,[2]Hoja4!$A$2:$E$116,5,0)</f>
        <v>PRESTACION DE SERVICIOS</v>
      </c>
      <c r="AH328" s="152" t="s">
        <v>1256</v>
      </c>
      <c r="AI328" s="152" t="s">
        <v>1173</v>
      </c>
      <c r="AJ328" s="152" t="s">
        <v>1438</v>
      </c>
      <c r="AK328" s="255" t="s">
        <v>560</v>
      </c>
      <c r="AL328" s="279" t="s">
        <v>1508</v>
      </c>
      <c r="AM328" s="279" t="s">
        <v>1866</v>
      </c>
      <c r="AN328" s="161" t="str">
        <f t="shared" ref="AN328:AN391" ca="1" si="67">IF(W328&gt;=$F$3,"EN EJECUCIÓN","TERMINO")</f>
        <v>TERMINO</v>
      </c>
      <c r="AO328" s="284" t="s">
        <v>582</v>
      </c>
      <c r="AP328" s="155" t="s">
        <v>390</v>
      </c>
      <c r="AQ328" s="819" t="str">
        <f>IFERROR(VLOOKUP(E328,'liquidaciones '!$B$2:$C$1048576,2,0),"NO")</f>
        <v>LIQUIDADO</v>
      </c>
      <c r="AR328" s="909">
        <f>IFERROR(VLOOKUP(E328,'liquidaciones '!$B$2:$I$1048576,8,0),"")</f>
        <v>0</v>
      </c>
      <c r="AS328" s="312"/>
      <c r="AT328" s="156" t="str">
        <f t="shared" ref="AT328:AT391" ca="1" si="68">IF((TODAY()-W328&lt;900),"SI","NO")</f>
        <v>NO</v>
      </c>
      <c r="AU328" s="156" t="s">
        <v>1991</v>
      </c>
      <c r="AV328" s="406"/>
      <c r="AW328" s="928"/>
      <c r="AX328" s="928"/>
      <c r="AY328" s="928"/>
    </row>
    <row r="329" spans="2:51" ht="47.25" customHeight="1" x14ac:dyDescent="0.3">
      <c r="B329" s="14">
        <v>323</v>
      </c>
      <c r="C329" s="410">
        <v>321</v>
      </c>
      <c r="D329" s="410" t="str">
        <f t="shared" si="59"/>
        <v>2015321</v>
      </c>
      <c r="E329" s="120" t="s">
        <v>2026</v>
      </c>
      <c r="F329" s="834" t="s">
        <v>2027</v>
      </c>
      <c r="G329" s="998">
        <v>80854911</v>
      </c>
      <c r="H329" s="828" t="s">
        <v>2028</v>
      </c>
      <c r="I329" s="187">
        <v>10800000</v>
      </c>
      <c r="J329" s="698" t="s">
        <v>2026</v>
      </c>
      <c r="K329" s="269">
        <v>2015</v>
      </c>
      <c r="L329" s="519">
        <v>42179</v>
      </c>
      <c r="M329" s="835">
        <v>42186</v>
      </c>
      <c r="N329" s="835">
        <v>42370</v>
      </c>
      <c r="O329" s="1099" t="str">
        <f>IF(+Modificaciones!I329=0,"",VLOOKUP(E329,Modificaciones!$B$7:$I$2400,8,0))</f>
        <v/>
      </c>
      <c r="P329" s="115">
        <f>COUNTA(Modificaciones!J329,Modificaciones!L329,Modificaciones!N329,Modificaciones!P329)</f>
        <v>0</v>
      </c>
      <c r="Q329" s="116">
        <f>VLOOKUP(E329,Modificaciones!$B$7:$R$2300,17,0)</f>
        <v>0</v>
      </c>
      <c r="R329" s="117">
        <f>COUNTA(Modificaciones!T329,Modificaciones!V329,Modificaciones!X329,Modificaciones!Z329)</f>
        <v>0</v>
      </c>
      <c r="S329" s="118" t="str">
        <f>IF(Modificaciones!AA329=0,"",VLOOKUP(E329,Modificaciones!$B$7:$AA$400,26,0))</f>
        <v/>
      </c>
      <c r="T329" s="119" t="str">
        <f>IF(Modificaciones!AB329=0,"",VLOOKUP(E329,Modificaciones!$B$7:$AB$400,27,0))</f>
        <v/>
      </c>
      <c r="U329" s="1080" t="str">
        <f>+Modificaciones!AC329</f>
        <v/>
      </c>
      <c r="V329" s="825" t="str">
        <f>+Modificaciones!AK329</f>
        <v/>
      </c>
      <c r="W329" s="825">
        <f t="shared" si="63"/>
        <v>42370</v>
      </c>
      <c r="X329" s="59">
        <f t="shared" si="60"/>
        <v>10800000</v>
      </c>
      <c r="Y329" s="151">
        <f>VLOOKUP(E329,Modificaciones!$B$7:$BE$2300,56,0)</f>
        <v>10800000</v>
      </c>
      <c r="Z329" s="84">
        <f t="shared" si="61"/>
        <v>0</v>
      </c>
      <c r="AA329" s="283" t="s">
        <v>1094</v>
      </c>
      <c r="AB329" s="40">
        <f t="shared" si="62"/>
        <v>1</v>
      </c>
      <c r="AC329" s="40">
        <f t="shared" ca="1" si="64"/>
        <v>1</v>
      </c>
      <c r="AD329" s="41">
        <f t="shared" ca="1" si="65"/>
        <v>0</v>
      </c>
      <c r="AE329" s="181" t="str">
        <f t="shared" ca="1" si="66"/>
        <v/>
      </c>
      <c r="AF329" s="42" t="str">
        <f t="shared" si="58"/>
        <v>SI</v>
      </c>
      <c r="AG329" s="732" t="str">
        <f>VLOOKUP(C329,[2]Hoja4!$A$2:$E$116,5,0)</f>
        <v>PRESTACION DE SERVICIOS</v>
      </c>
      <c r="AH329" s="152" t="s">
        <v>1255</v>
      </c>
      <c r="AI329" s="255" t="s">
        <v>2057</v>
      </c>
      <c r="AJ329" s="152" t="s">
        <v>1437</v>
      </c>
      <c r="AK329" s="255" t="s">
        <v>562</v>
      </c>
      <c r="AL329" s="279" t="s">
        <v>2164</v>
      </c>
      <c r="AM329" s="279" t="s">
        <v>1866</v>
      </c>
      <c r="AN329" s="161" t="str">
        <f t="shared" ca="1" si="67"/>
        <v>TERMINO</v>
      </c>
      <c r="AO329" s="284" t="s">
        <v>582</v>
      </c>
      <c r="AP329" s="155" t="s">
        <v>391</v>
      </c>
      <c r="AQ329" s="819" t="str">
        <f>IFERROR(VLOOKUP(E329,'liquidaciones '!$B$2:$C$1048576,2,0),"NO")</f>
        <v>LIQUIDADO</v>
      </c>
      <c r="AR329" s="909" t="str">
        <f>IFERROR(VLOOKUP(E329,'liquidaciones '!$B$2:$I$1048576,8,0),"")</f>
        <v>MANUEL ROJAS</v>
      </c>
      <c r="AS329" s="312"/>
      <c r="AT329" s="156" t="str">
        <f t="shared" ca="1" si="68"/>
        <v>NO</v>
      </c>
      <c r="AU329" s="156" t="s">
        <v>1569</v>
      </c>
      <c r="AV329" s="406"/>
      <c r="AW329" s="928"/>
      <c r="AX329" s="928"/>
      <c r="AY329" s="928"/>
    </row>
    <row r="330" spans="2:51" ht="47.25" customHeight="1" x14ac:dyDescent="0.3">
      <c r="B330" s="14">
        <v>324</v>
      </c>
      <c r="C330" s="410">
        <v>320</v>
      </c>
      <c r="D330" s="410" t="str">
        <f t="shared" si="59"/>
        <v>2015320</v>
      </c>
      <c r="E330" s="120" t="s">
        <v>2029</v>
      </c>
      <c r="F330" s="834" t="s">
        <v>2030</v>
      </c>
      <c r="G330" s="998">
        <v>79246871</v>
      </c>
      <c r="H330" s="828" t="s">
        <v>2031</v>
      </c>
      <c r="I330" s="187">
        <v>21600000</v>
      </c>
      <c r="J330" s="698" t="s">
        <v>2029</v>
      </c>
      <c r="K330" s="269">
        <v>2015</v>
      </c>
      <c r="L330" s="519">
        <v>42179</v>
      </c>
      <c r="M330" s="835">
        <v>42186</v>
      </c>
      <c r="N330" s="835">
        <v>42370</v>
      </c>
      <c r="O330" s="1099" t="str">
        <f>IF(+Modificaciones!I330=0,"",VLOOKUP(E330,Modificaciones!$B$7:$I$2400,8,0))</f>
        <v/>
      </c>
      <c r="P330" s="115">
        <f>COUNTA(Modificaciones!J330,Modificaciones!L330,Modificaciones!N330,Modificaciones!P330)</f>
        <v>1</v>
      </c>
      <c r="Q330" s="116">
        <f>VLOOKUP(E330,Modificaciones!$B$7:$R$2300,17,0)</f>
        <v>10800000</v>
      </c>
      <c r="R330" s="117">
        <f>COUNTA(Modificaciones!T330,Modificaciones!V330,Modificaciones!X330,Modificaciones!Z330)</f>
        <v>1</v>
      </c>
      <c r="S330" s="118" t="str">
        <f>IF(Modificaciones!AA330=0,"",VLOOKUP(E330,Modificaciones!$B$7:$AA$400,26,0))</f>
        <v/>
      </c>
      <c r="T330" s="119">
        <f>IF(Modificaciones!AB330=0,"",VLOOKUP(E330,Modificaciones!$B$7:$AB$400,27,0))</f>
        <v>42461</v>
      </c>
      <c r="U330" s="1080" t="str">
        <f>+Modificaciones!AC330</f>
        <v/>
      </c>
      <c r="V330" s="825" t="str">
        <f>+Modificaciones!AK330</f>
        <v/>
      </c>
      <c r="W330" s="825">
        <f t="shared" si="63"/>
        <v>42461</v>
      </c>
      <c r="X330" s="59">
        <f t="shared" si="60"/>
        <v>32400000</v>
      </c>
      <c r="Y330" s="151">
        <f>VLOOKUP(E330,Modificaciones!$B$7:$BE$2300,56,0)</f>
        <v>32400000</v>
      </c>
      <c r="Z330" s="84">
        <f t="shared" si="61"/>
        <v>0</v>
      </c>
      <c r="AA330" s="283" t="s">
        <v>1094</v>
      </c>
      <c r="AB330" s="40">
        <f t="shared" si="62"/>
        <v>1</v>
      </c>
      <c r="AC330" s="40">
        <f t="shared" ca="1" si="64"/>
        <v>1</v>
      </c>
      <c r="AD330" s="41">
        <f t="shared" ca="1" si="65"/>
        <v>0</v>
      </c>
      <c r="AE330" s="181" t="str">
        <f t="shared" ca="1" si="66"/>
        <v/>
      </c>
      <c r="AF330" s="42" t="str">
        <f t="shared" si="58"/>
        <v>SI</v>
      </c>
      <c r="AG330" s="732" t="s">
        <v>5773</v>
      </c>
      <c r="AH330" s="152" t="s">
        <v>1255</v>
      </c>
      <c r="AI330" s="255" t="s">
        <v>2059</v>
      </c>
      <c r="AJ330" s="152" t="s">
        <v>1436</v>
      </c>
      <c r="AK330" s="255" t="s">
        <v>561</v>
      </c>
      <c r="AL330" s="279" t="s">
        <v>2165</v>
      </c>
      <c r="AM330" s="279" t="s">
        <v>1866</v>
      </c>
      <c r="AN330" s="161" t="str">
        <f t="shared" ca="1" si="67"/>
        <v>TERMINO</v>
      </c>
      <c r="AO330" s="284" t="s">
        <v>582</v>
      </c>
      <c r="AP330" s="155" t="s">
        <v>391</v>
      </c>
      <c r="AQ330" s="819" t="str">
        <f>IFERROR(VLOOKUP(E330,'liquidaciones '!$B$2:$C$1048576,2,0),"NO")</f>
        <v>LIQUIDADO</v>
      </c>
      <c r="AR330" s="909">
        <f>IFERROR(VLOOKUP(E330,'liquidaciones '!$B$2:$I$1048576,8,0),"")</f>
        <v>0</v>
      </c>
      <c r="AS330" s="312"/>
      <c r="AT330" s="156" t="str">
        <f t="shared" ca="1" si="68"/>
        <v>NO</v>
      </c>
      <c r="AU330" s="156" t="s">
        <v>2075</v>
      </c>
      <c r="AV330" s="406"/>
      <c r="AW330" s="928"/>
      <c r="AX330" s="928"/>
      <c r="AY330" s="928"/>
    </row>
    <row r="331" spans="2:51" ht="47.25" customHeight="1" x14ac:dyDescent="0.3">
      <c r="B331" s="14">
        <v>325</v>
      </c>
      <c r="C331" s="410">
        <v>321</v>
      </c>
      <c r="D331" s="410" t="str">
        <f t="shared" si="59"/>
        <v>2015321</v>
      </c>
      <c r="E331" s="120" t="s">
        <v>2032</v>
      </c>
      <c r="F331" s="834" t="s">
        <v>2033</v>
      </c>
      <c r="G331" s="998">
        <v>80170782</v>
      </c>
      <c r="H331" s="828" t="s">
        <v>2028</v>
      </c>
      <c r="I331" s="187">
        <v>10800000</v>
      </c>
      <c r="J331" s="698" t="s">
        <v>2032</v>
      </c>
      <c r="K331" s="269">
        <v>2015</v>
      </c>
      <c r="L331" s="519">
        <v>42179</v>
      </c>
      <c r="M331" s="835">
        <v>42186</v>
      </c>
      <c r="N331" s="835">
        <v>42370</v>
      </c>
      <c r="O331" s="1099" t="str">
        <f>IF(+Modificaciones!I331=0,"",VLOOKUP(E331,Modificaciones!$B$7:$I$2400,8,0))</f>
        <v/>
      </c>
      <c r="P331" s="115">
        <f>COUNTA(Modificaciones!J331,Modificaciones!L331,Modificaciones!N331,Modificaciones!P331)</f>
        <v>0</v>
      </c>
      <c r="Q331" s="116">
        <f>VLOOKUP(E331,Modificaciones!$B$7:$R$2300,17,0)</f>
        <v>0</v>
      </c>
      <c r="R331" s="117">
        <f>COUNTA(Modificaciones!T331,Modificaciones!V331,Modificaciones!X331,Modificaciones!Z331)</f>
        <v>0</v>
      </c>
      <c r="S331" s="118" t="str">
        <f>IF(Modificaciones!AA331=0,"",VLOOKUP(E331,Modificaciones!$B$7:$AA$400,26,0))</f>
        <v/>
      </c>
      <c r="T331" s="119" t="str">
        <f>IF(Modificaciones!AB331=0,"",VLOOKUP(E331,Modificaciones!$B$7:$AB$400,27,0))</f>
        <v/>
      </c>
      <c r="U331" s="1080" t="str">
        <f>+Modificaciones!AC331</f>
        <v/>
      </c>
      <c r="V331" s="825" t="str">
        <f>+Modificaciones!AK331</f>
        <v/>
      </c>
      <c r="W331" s="825">
        <f t="shared" si="63"/>
        <v>42370</v>
      </c>
      <c r="X331" s="59">
        <f t="shared" si="60"/>
        <v>10800000</v>
      </c>
      <c r="Y331" s="151">
        <f>VLOOKUP(E331,Modificaciones!$B$7:$BE$2300,56,0)</f>
        <v>9000000</v>
      </c>
      <c r="Z331" s="84">
        <f t="shared" si="61"/>
        <v>1800000</v>
      </c>
      <c r="AA331" s="283" t="s">
        <v>1094</v>
      </c>
      <c r="AB331" s="40">
        <f t="shared" si="62"/>
        <v>0.83333333333333337</v>
      </c>
      <c r="AC331" s="40">
        <f t="shared" ca="1" si="64"/>
        <v>1</v>
      </c>
      <c r="AD331" s="41">
        <f t="shared" ca="1" si="65"/>
        <v>0.16666666666666663</v>
      </c>
      <c r="AE331" s="181" t="str">
        <f t="shared" ca="1" si="66"/>
        <v/>
      </c>
      <c r="AF331" s="42" t="str">
        <f t="shared" si="58"/>
        <v>NO</v>
      </c>
      <c r="AG331" s="732" t="str">
        <f>VLOOKUP(C331,[2]Hoja4!$A$2:$E$116,5,0)</f>
        <v>PRESTACION DE SERVICIOS</v>
      </c>
      <c r="AH331" s="152" t="s">
        <v>1255</v>
      </c>
      <c r="AI331" s="255" t="s">
        <v>2057</v>
      </c>
      <c r="AJ331" s="152" t="s">
        <v>1437</v>
      </c>
      <c r="AK331" s="255" t="s">
        <v>562</v>
      </c>
      <c r="AL331" s="279" t="s">
        <v>2164</v>
      </c>
      <c r="AM331" s="279" t="s">
        <v>1866</v>
      </c>
      <c r="AN331" s="161" t="str">
        <f t="shared" ca="1" si="67"/>
        <v>TERMINO</v>
      </c>
      <c r="AO331" s="284" t="s">
        <v>582</v>
      </c>
      <c r="AP331" s="155" t="s">
        <v>391</v>
      </c>
      <c r="AQ331" s="819" t="str">
        <f>IFERROR(VLOOKUP(E331,'liquidaciones '!$B$2:$C$1048576,2,0),"NO")</f>
        <v>LIQUIDADO</v>
      </c>
      <c r="AR331" s="909" t="str">
        <f>IFERROR(VLOOKUP(E331,'liquidaciones '!$B$2:$I$1048576,8,0),"")</f>
        <v>MANUEL ROJAS</v>
      </c>
      <c r="AS331" s="312"/>
      <c r="AT331" s="156" t="str">
        <f t="shared" ca="1" si="68"/>
        <v>NO</v>
      </c>
      <c r="AU331" s="156" t="s">
        <v>1569</v>
      </c>
      <c r="AV331" s="406"/>
      <c r="AW331" s="928"/>
      <c r="AX331" s="928"/>
      <c r="AY331" s="928"/>
    </row>
    <row r="332" spans="2:51" ht="47.25" customHeight="1" x14ac:dyDescent="0.3">
      <c r="B332" s="14">
        <v>326</v>
      </c>
      <c r="C332" s="410">
        <v>322</v>
      </c>
      <c r="D332" s="410" t="str">
        <f t="shared" si="59"/>
        <v>2015322</v>
      </c>
      <c r="E332" s="120" t="s">
        <v>2034</v>
      </c>
      <c r="F332" s="834" t="s">
        <v>2035</v>
      </c>
      <c r="G332" s="998">
        <v>1032369925</v>
      </c>
      <c r="H332" s="828" t="s">
        <v>2036</v>
      </c>
      <c r="I332" s="187">
        <v>10800000</v>
      </c>
      <c r="J332" s="698" t="s">
        <v>2034</v>
      </c>
      <c r="K332" s="269">
        <v>2015</v>
      </c>
      <c r="L332" s="519">
        <v>42179</v>
      </c>
      <c r="M332" s="835">
        <v>42186</v>
      </c>
      <c r="N332" s="835">
        <v>42370</v>
      </c>
      <c r="O332" s="1099" t="str">
        <f>IF(+Modificaciones!I332=0,"",VLOOKUP(E332,Modificaciones!$B$7:$I$2400,8,0))</f>
        <v/>
      </c>
      <c r="P332" s="115">
        <f>COUNTA(Modificaciones!J332,Modificaciones!L332,Modificaciones!N332,Modificaciones!P332)</f>
        <v>0</v>
      </c>
      <c r="Q332" s="116">
        <f>VLOOKUP(E332,Modificaciones!$B$7:$R$2300,17,0)</f>
        <v>0</v>
      </c>
      <c r="R332" s="117">
        <f>COUNTA(Modificaciones!T332,Modificaciones!V332,Modificaciones!X332,Modificaciones!Z332)</f>
        <v>0</v>
      </c>
      <c r="S332" s="118" t="str">
        <f>IF(Modificaciones!AA332=0,"",VLOOKUP(E332,Modificaciones!$B$7:$AA$400,26,0))</f>
        <v/>
      </c>
      <c r="T332" s="119" t="str">
        <f>IF(Modificaciones!AB332=0,"",VLOOKUP(E332,Modificaciones!$B$7:$AB$400,27,0))</f>
        <v/>
      </c>
      <c r="U332" s="1080" t="str">
        <f>+Modificaciones!AC332</f>
        <v/>
      </c>
      <c r="V332" s="825" t="str">
        <f>+Modificaciones!AK332</f>
        <v/>
      </c>
      <c r="W332" s="825">
        <f t="shared" si="63"/>
        <v>42370</v>
      </c>
      <c r="X332" s="59">
        <f t="shared" si="60"/>
        <v>10800000</v>
      </c>
      <c r="Y332" s="151">
        <f>VLOOKUP(E332,Modificaciones!$B$7:$BE$2300,56,0)</f>
        <v>10800000</v>
      </c>
      <c r="Z332" s="84">
        <f t="shared" si="61"/>
        <v>0</v>
      </c>
      <c r="AA332" s="283" t="s">
        <v>1094</v>
      </c>
      <c r="AB332" s="40">
        <f t="shared" si="62"/>
        <v>1</v>
      </c>
      <c r="AC332" s="40">
        <f t="shared" ca="1" si="64"/>
        <v>1</v>
      </c>
      <c r="AD332" s="41">
        <f t="shared" ca="1" si="65"/>
        <v>0</v>
      </c>
      <c r="AE332" s="181" t="str">
        <f t="shared" ca="1" si="66"/>
        <v/>
      </c>
      <c r="AF332" s="42" t="str">
        <f t="shared" si="58"/>
        <v>SI</v>
      </c>
      <c r="AG332" s="732" t="str">
        <f>VLOOKUP(C332,[2]Hoja4!$A$2:$E$116,5,0)</f>
        <v>PRESTACION DE SERVICIOS</v>
      </c>
      <c r="AH332" s="152" t="s">
        <v>1255</v>
      </c>
      <c r="AI332" s="255" t="s">
        <v>2060</v>
      </c>
      <c r="AJ332" s="152" t="s">
        <v>1176</v>
      </c>
      <c r="AK332" s="255" t="s">
        <v>559</v>
      </c>
      <c r="AL332" s="279" t="s">
        <v>2167</v>
      </c>
      <c r="AM332" s="279" t="s">
        <v>1866</v>
      </c>
      <c r="AN332" s="161" t="str">
        <f t="shared" ca="1" si="67"/>
        <v>TERMINO</v>
      </c>
      <c r="AO332" s="284" t="s">
        <v>582</v>
      </c>
      <c r="AP332" s="155" t="s">
        <v>391</v>
      </c>
      <c r="AQ332" s="819" t="str">
        <f>IFERROR(VLOOKUP(E332,'liquidaciones '!$B$2:$C$1048576,2,0),"NO")</f>
        <v>LIQUIDADO</v>
      </c>
      <c r="AR332" s="909" t="str">
        <f>IFERROR(VLOOKUP(E332,'liquidaciones '!$B$2:$I$1048576,8,0),"")</f>
        <v>DORA PINILLA</v>
      </c>
      <c r="AS332" s="312"/>
      <c r="AT332" s="156" t="str">
        <f t="shared" ca="1" si="68"/>
        <v>NO</v>
      </c>
      <c r="AU332" s="156" t="s">
        <v>2075</v>
      </c>
      <c r="AV332" s="406"/>
      <c r="AW332" s="928"/>
      <c r="AX332" s="928"/>
      <c r="AY332" s="928"/>
    </row>
    <row r="333" spans="2:51" ht="47.25" customHeight="1" x14ac:dyDescent="0.3">
      <c r="B333" s="14">
        <v>327</v>
      </c>
      <c r="C333" s="410">
        <v>321</v>
      </c>
      <c r="D333" s="410" t="str">
        <f t="shared" si="59"/>
        <v>2015321</v>
      </c>
      <c r="E333" s="120" t="s">
        <v>2037</v>
      </c>
      <c r="F333" s="834" t="s">
        <v>2038</v>
      </c>
      <c r="G333" s="998">
        <v>1019064265</v>
      </c>
      <c r="H333" s="828" t="s">
        <v>2028</v>
      </c>
      <c r="I333" s="187">
        <v>10800000</v>
      </c>
      <c r="J333" s="698" t="s">
        <v>2037</v>
      </c>
      <c r="K333" s="269">
        <v>2015</v>
      </c>
      <c r="L333" s="519">
        <v>42179</v>
      </c>
      <c r="M333" s="835">
        <v>42186</v>
      </c>
      <c r="N333" s="835">
        <v>42370</v>
      </c>
      <c r="O333" s="1099" t="str">
        <f>IF(+Modificaciones!I333=0,"",VLOOKUP(E333,Modificaciones!$B$7:$I$2400,8,0))</f>
        <v/>
      </c>
      <c r="P333" s="115">
        <f>COUNTA(Modificaciones!J333,Modificaciones!L333,Modificaciones!N333,Modificaciones!P333)</f>
        <v>0</v>
      </c>
      <c r="Q333" s="116">
        <f>VLOOKUP(E333,Modificaciones!$B$7:$R$2300,17,0)</f>
        <v>0</v>
      </c>
      <c r="R333" s="117">
        <f>COUNTA(Modificaciones!T333,Modificaciones!V333,Modificaciones!X333,Modificaciones!Z333)</f>
        <v>0</v>
      </c>
      <c r="S333" s="118" t="str">
        <f>IF(Modificaciones!AA333=0,"",VLOOKUP(E333,Modificaciones!$B$7:$AA$400,26,0))</f>
        <v/>
      </c>
      <c r="T333" s="119" t="str">
        <f>IF(Modificaciones!AB333=0,"",VLOOKUP(E333,Modificaciones!$B$7:$AB$400,27,0))</f>
        <v/>
      </c>
      <c r="U333" s="1080" t="str">
        <f>+Modificaciones!AC333</f>
        <v/>
      </c>
      <c r="V333" s="825" t="str">
        <f>+Modificaciones!AK333</f>
        <v/>
      </c>
      <c r="W333" s="825">
        <f t="shared" si="63"/>
        <v>42370</v>
      </c>
      <c r="X333" s="59">
        <f t="shared" si="60"/>
        <v>10800000</v>
      </c>
      <c r="Y333" s="151">
        <f>VLOOKUP(E333,Modificaciones!$B$7:$BE$2300,56,0)</f>
        <v>10800000</v>
      </c>
      <c r="Z333" s="84">
        <f t="shared" si="61"/>
        <v>0</v>
      </c>
      <c r="AA333" s="283" t="s">
        <v>1094</v>
      </c>
      <c r="AB333" s="40">
        <f t="shared" si="62"/>
        <v>1</v>
      </c>
      <c r="AC333" s="40">
        <f t="shared" ca="1" si="64"/>
        <v>1</v>
      </c>
      <c r="AD333" s="41">
        <f t="shared" ca="1" si="65"/>
        <v>0</v>
      </c>
      <c r="AE333" s="181" t="str">
        <f t="shared" ca="1" si="66"/>
        <v/>
      </c>
      <c r="AF333" s="42" t="str">
        <f t="shared" si="58"/>
        <v>SI</v>
      </c>
      <c r="AG333" s="732" t="str">
        <f>VLOOKUP(C333,[2]Hoja4!$A$2:$E$116,5,0)</f>
        <v>PRESTACION DE SERVICIOS</v>
      </c>
      <c r="AH333" s="152" t="s">
        <v>1255</v>
      </c>
      <c r="AI333" s="255" t="s">
        <v>2057</v>
      </c>
      <c r="AJ333" s="152" t="s">
        <v>1437</v>
      </c>
      <c r="AK333" s="255" t="s">
        <v>562</v>
      </c>
      <c r="AL333" s="279" t="s">
        <v>2164</v>
      </c>
      <c r="AM333" s="279" t="s">
        <v>1866</v>
      </c>
      <c r="AN333" s="161" t="str">
        <f t="shared" ca="1" si="67"/>
        <v>TERMINO</v>
      </c>
      <c r="AO333" s="284" t="s">
        <v>582</v>
      </c>
      <c r="AP333" s="155" t="s">
        <v>391</v>
      </c>
      <c r="AQ333" s="819" t="str">
        <f>IFERROR(VLOOKUP(E333,'liquidaciones '!$B$2:$C$1048576,2,0),"NO")</f>
        <v>LIQUIDADO</v>
      </c>
      <c r="AR333" s="909">
        <f>IFERROR(VLOOKUP(E333,'liquidaciones '!$B$2:$I$1048576,8,0),"")</f>
        <v>0</v>
      </c>
      <c r="AS333" s="312"/>
      <c r="AT333" s="156" t="str">
        <f t="shared" ca="1" si="68"/>
        <v>NO</v>
      </c>
      <c r="AU333" s="156" t="s">
        <v>1569</v>
      </c>
      <c r="AV333" s="406"/>
      <c r="AW333" s="928"/>
      <c r="AX333" s="928"/>
      <c r="AY333" s="928"/>
    </row>
    <row r="334" spans="2:51" ht="47.25" customHeight="1" x14ac:dyDescent="0.3">
      <c r="B334" s="14">
        <v>328</v>
      </c>
      <c r="C334" s="410">
        <v>321</v>
      </c>
      <c r="D334" s="410" t="str">
        <f t="shared" si="59"/>
        <v>2015321</v>
      </c>
      <c r="E334" s="120" t="s">
        <v>2039</v>
      </c>
      <c r="F334" s="834" t="s">
        <v>2040</v>
      </c>
      <c r="G334" s="998">
        <v>36547458</v>
      </c>
      <c r="H334" s="828" t="s">
        <v>2041</v>
      </c>
      <c r="I334" s="187">
        <v>10800000</v>
      </c>
      <c r="J334" s="698" t="s">
        <v>2039</v>
      </c>
      <c r="K334" s="269">
        <v>2015</v>
      </c>
      <c r="L334" s="519">
        <v>42179</v>
      </c>
      <c r="M334" s="835">
        <v>42186</v>
      </c>
      <c r="N334" s="835">
        <v>42370</v>
      </c>
      <c r="O334" s="1099" t="str">
        <f>IF(+Modificaciones!I334=0,"",VLOOKUP(E334,Modificaciones!$B$7:$I$2400,8,0))</f>
        <v/>
      </c>
      <c r="P334" s="115">
        <f>COUNTA(Modificaciones!J334,Modificaciones!L334,Modificaciones!N334,Modificaciones!P334)</f>
        <v>0</v>
      </c>
      <c r="Q334" s="116">
        <f>VLOOKUP(E334,Modificaciones!$B$7:$R$2300,17,0)</f>
        <v>0</v>
      </c>
      <c r="R334" s="117">
        <f>COUNTA(Modificaciones!T334,Modificaciones!V334,Modificaciones!X334,Modificaciones!Z334)</f>
        <v>0</v>
      </c>
      <c r="S334" s="118" t="str">
        <f>IF(Modificaciones!AA334=0,"",VLOOKUP(E334,Modificaciones!$B$7:$AA$400,26,0))</f>
        <v/>
      </c>
      <c r="T334" s="119" t="str">
        <f>IF(Modificaciones!AB334=0,"",VLOOKUP(E334,Modificaciones!$B$7:$AB$400,27,0))</f>
        <v/>
      </c>
      <c r="U334" s="1080" t="str">
        <f>+Modificaciones!AC334</f>
        <v/>
      </c>
      <c r="V334" s="825" t="str">
        <f>+Modificaciones!AK334</f>
        <v/>
      </c>
      <c r="W334" s="825">
        <f t="shared" si="63"/>
        <v>42370</v>
      </c>
      <c r="X334" s="59">
        <f t="shared" si="60"/>
        <v>10800000</v>
      </c>
      <c r="Y334" s="151">
        <f>VLOOKUP(E334,Modificaciones!$B$7:$BE$2300,56,0)</f>
        <v>10800000</v>
      </c>
      <c r="Z334" s="84">
        <f t="shared" si="61"/>
        <v>0</v>
      </c>
      <c r="AA334" s="283" t="s">
        <v>1094</v>
      </c>
      <c r="AB334" s="40">
        <f t="shared" si="62"/>
        <v>1</v>
      </c>
      <c r="AC334" s="40">
        <f t="shared" ca="1" si="64"/>
        <v>1</v>
      </c>
      <c r="AD334" s="41">
        <f t="shared" ca="1" si="65"/>
        <v>0</v>
      </c>
      <c r="AE334" s="181" t="str">
        <f t="shared" ca="1" si="66"/>
        <v/>
      </c>
      <c r="AF334" s="42" t="str">
        <f t="shared" si="58"/>
        <v>SI</v>
      </c>
      <c r="AG334" s="732" t="str">
        <f>VLOOKUP(C334,[2]Hoja4!$A$2:$E$116,5,0)</f>
        <v>PRESTACION DE SERVICIOS</v>
      </c>
      <c r="AH334" s="152" t="s">
        <v>1255</v>
      </c>
      <c r="AI334" s="255" t="s">
        <v>2057</v>
      </c>
      <c r="AJ334" s="152" t="s">
        <v>1437</v>
      </c>
      <c r="AK334" s="255" t="s">
        <v>562</v>
      </c>
      <c r="AL334" s="279" t="s">
        <v>2164</v>
      </c>
      <c r="AM334" s="279" t="s">
        <v>1866</v>
      </c>
      <c r="AN334" s="161" t="str">
        <f t="shared" ca="1" si="67"/>
        <v>TERMINO</v>
      </c>
      <c r="AO334" s="284" t="s">
        <v>582</v>
      </c>
      <c r="AP334" s="155" t="s">
        <v>391</v>
      </c>
      <c r="AQ334" s="819" t="str">
        <f>IFERROR(VLOOKUP(E334,'liquidaciones '!$B$2:$C$1048576,2,0),"NO")</f>
        <v>LIQUIDADO</v>
      </c>
      <c r="AR334" s="909">
        <f>IFERROR(VLOOKUP(E334,'liquidaciones '!$B$2:$I$1048576,8,0),"")</f>
        <v>0</v>
      </c>
      <c r="AS334" s="312"/>
      <c r="AT334" s="156" t="str">
        <f t="shared" ca="1" si="68"/>
        <v>NO</v>
      </c>
      <c r="AU334" s="156" t="s">
        <v>1569</v>
      </c>
      <c r="AV334" s="406"/>
      <c r="AW334" s="928"/>
      <c r="AX334" s="928"/>
      <c r="AY334" s="928"/>
    </row>
    <row r="335" spans="2:51" ht="47.25" customHeight="1" x14ac:dyDescent="0.3">
      <c r="B335" s="14">
        <v>329</v>
      </c>
      <c r="C335" s="410">
        <v>324</v>
      </c>
      <c r="D335" s="410" t="str">
        <f t="shared" si="59"/>
        <v>2015324</v>
      </c>
      <c r="E335" s="120" t="s">
        <v>2042</v>
      </c>
      <c r="F335" s="834" t="s">
        <v>2043</v>
      </c>
      <c r="G335" s="998">
        <v>35493364</v>
      </c>
      <c r="H335" s="828" t="s">
        <v>2044</v>
      </c>
      <c r="I335" s="187">
        <v>31800000</v>
      </c>
      <c r="J335" s="698" t="s">
        <v>2042</v>
      </c>
      <c r="K335" s="269">
        <v>2015</v>
      </c>
      <c r="L335" s="519">
        <v>42179</v>
      </c>
      <c r="M335" s="835">
        <v>42186</v>
      </c>
      <c r="N335" s="835">
        <v>42370</v>
      </c>
      <c r="O335" s="1099" t="str">
        <f>IF(+Modificaciones!I335=0,"",VLOOKUP(E335,Modificaciones!$B$7:$I$2400,8,0))</f>
        <v/>
      </c>
      <c r="P335" s="115">
        <f>COUNTA(Modificaciones!J335,Modificaciones!L335,Modificaciones!N335,Modificaciones!P335)</f>
        <v>1</v>
      </c>
      <c r="Q335" s="116">
        <f>VLOOKUP(E335,Modificaciones!$B$7:$R$2300,17,0)</f>
        <v>15900000</v>
      </c>
      <c r="R335" s="117">
        <f>COUNTA(Modificaciones!T335,Modificaciones!V335,Modificaciones!X335,Modificaciones!Z335)</f>
        <v>1</v>
      </c>
      <c r="S335" s="118" t="str">
        <f>IF(Modificaciones!AA335=0,"",VLOOKUP(E335,Modificaciones!$B$7:$AA$400,26,0))</f>
        <v/>
      </c>
      <c r="T335" s="119">
        <f>IF(Modificaciones!AB335=0,"",VLOOKUP(E335,Modificaciones!$B$7:$AB$400,27,0))</f>
        <v>42461</v>
      </c>
      <c r="U335" s="1080" t="str">
        <f>+Modificaciones!AC335</f>
        <v/>
      </c>
      <c r="V335" s="825" t="str">
        <f>+Modificaciones!AK335</f>
        <v/>
      </c>
      <c r="W335" s="825">
        <f t="shared" si="63"/>
        <v>42461</v>
      </c>
      <c r="X335" s="59">
        <f t="shared" si="60"/>
        <v>47700000</v>
      </c>
      <c r="Y335" s="151">
        <f>VLOOKUP(E335,Modificaciones!$B$7:$BE$2300,56,0)</f>
        <v>47700000</v>
      </c>
      <c r="Z335" s="84">
        <f t="shared" si="61"/>
        <v>0</v>
      </c>
      <c r="AA335" s="283" t="s">
        <v>1094</v>
      </c>
      <c r="AB335" s="40">
        <f t="shared" si="62"/>
        <v>1</v>
      </c>
      <c r="AC335" s="40">
        <f t="shared" ca="1" si="64"/>
        <v>1</v>
      </c>
      <c r="AD335" s="41">
        <f t="shared" ca="1" si="65"/>
        <v>0</v>
      </c>
      <c r="AE335" s="181" t="str">
        <f t="shared" ca="1" si="66"/>
        <v/>
      </c>
      <c r="AF335" s="42" t="str">
        <f t="shared" si="58"/>
        <v>SI</v>
      </c>
      <c r="AG335" s="732" t="s">
        <v>5773</v>
      </c>
      <c r="AH335" s="152" t="s">
        <v>1255</v>
      </c>
      <c r="AI335" s="255" t="s">
        <v>2058</v>
      </c>
      <c r="AJ335" s="152" t="s">
        <v>1428</v>
      </c>
      <c r="AK335" s="255" t="s">
        <v>563</v>
      </c>
      <c r="AL335" s="279"/>
      <c r="AM335" s="279" t="s">
        <v>1866</v>
      </c>
      <c r="AN335" s="161" t="str">
        <f t="shared" ca="1" si="67"/>
        <v>TERMINO</v>
      </c>
      <c r="AO335" s="284" t="s">
        <v>582</v>
      </c>
      <c r="AP335" s="155" t="s">
        <v>391</v>
      </c>
      <c r="AQ335" s="819" t="str">
        <f>IFERROR(VLOOKUP(E335,'liquidaciones '!$B$2:$C$1048576,2,0),"NO")</f>
        <v>LIQUIDADO</v>
      </c>
      <c r="AR335" s="909">
        <f>IFERROR(VLOOKUP(E335,'liquidaciones '!$B$2:$I$1048576,8,0),"")</f>
        <v>0</v>
      </c>
      <c r="AS335" s="312"/>
      <c r="AT335" s="156" t="str">
        <f t="shared" ca="1" si="68"/>
        <v>NO</v>
      </c>
      <c r="AU335" s="156" t="s">
        <v>2075</v>
      </c>
      <c r="AV335" s="406"/>
      <c r="AW335" s="928"/>
      <c r="AX335" s="928"/>
      <c r="AY335" s="928"/>
    </row>
    <row r="336" spans="2:51" ht="47.25" customHeight="1" x14ac:dyDescent="0.3">
      <c r="B336" s="14">
        <v>330</v>
      </c>
      <c r="C336" s="410">
        <v>321</v>
      </c>
      <c r="D336" s="410" t="str">
        <f t="shared" si="59"/>
        <v>2015321</v>
      </c>
      <c r="E336" s="120" t="s">
        <v>2045</v>
      </c>
      <c r="F336" s="834" t="s">
        <v>2046</v>
      </c>
      <c r="G336" s="998">
        <v>52289212</v>
      </c>
      <c r="H336" s="828" t="s">
        <v>2041</v>
      </c>
      <c r="I336" s="187">
        <v>10800000</v>
      </c>
      <c r="J336" s="698" t="s">
        <v>2045</v>
      </c>
      <c r="K336" s="269">
        <v>2015</v>
      </c>
      <c r="L336" s="519">
        <v>42179</v>
      </c>
      <c r="M336" s="835">
        <v>42186</v>
      </c>
      <c r="N336" s="835">
        <v>42370</v>
      </c>
      <c r="O336" s="1099" t="str">
        <f>IF(+Modificaciones!I336=0,"",VLOOKUP(E336,Modificaciones!$B$7:$I$2400,8,0))</f>
        <v/>
      </c>
      <c r="P336" s="115">
        <f>COUNTA(Modificaciones!J336,Modificaciones!L336,Modificaciones!N336,Modificaciones!P336)</f>
        <v>0</v>
      </c>
      <c r="Q336" s="116">
        <f>VLOOKUP(E336,Modificaciones!$B$7:$R$2300,17,0)</f>
        <v>0</v>
      </c>
      <c r="R336" s="117">
        <f>COUNTA(Modificaciones!T336,Modificaciones!V336,Modificaciones!X336,Modificaciones!Z336)</f>
        <v>0</v>
      </c>
      <c r="S336" s="118" t="str">
        <f>IF(Modificaciones!AA336=0,"",VLOOKUP(E336,Modificaciones!$B$7:$AA$400,26,0))</f>
        <v/>
      </c>
      <c r="T336" s="119" t="str">
        <f>IF(Modificaciones!AB336=0,"",VLOOKUP(E336,Modificaciones!$B$7:$AB$400,27,0))</f>
        <v/>
      </c>
      <c r="U336" s="1080" t="str">
        <f>+Modificaciones!AC336</f>
        <v/>
      </c>
      <c r="V336" s="825" t="str">
        <f>+Modificaciones!AK336</f>
        <v/>
      </c>
      <c r="W336" s="825">
        <f t="shared" si="63"/>
        <v>42370</v>
      </c>
      <c r="X336" s="59">
        <f t="shared" si="60"/>
        <v>10800000</v>
      </c>
      <c r="Y336" s="151">
        <f>VLOOKUP(E336,Modificaciones!$B$7:$BE$2300,56,0)</f>
        <v>10800000</v>
      </c>
      <c r="Z336" s="84">
        <f t="shared" si="61"/>
        <v>0</v>
      </c>
      <c r="AA336" s="283" t="s">
        <v>1094</v>
      </c>
      <c r="AB336" s="40">
        <f t="shared" si="62"/>
        <v>1</v>
      </c>
      <c r="AC336" s="40">
        <f t="shared" ca="1" si="64"/>
        <v>1</v>
      </c>
      <c r="AD336" s="41">
        <f t="shared" ca="1" si="65"/>
        <v>0</v>
      </c>
      <c r="AE336" s="181" t="str">
        <f t="shared" ca="1" si="66"/>
        <v/>
      </c>
      <c r="AF336" s="42" t="str">
        <f t="shared" si="58"/>
        <v>SI</v>
      </c>
      <c r="AG336" s="732" t="str">
        <f>VLOOKUP(C336,[2]Hoja4!$A$2:$E$116,5,0)</f>
        <v>PRESTACION DE SERVICIOS</v>
      </c>
      <c r="AH336" s="152" t="s">
        <v>1255</v>
      </c>
      <c r="AI336" s="255" t="s">
        <v>2057</v>
      </c>
      <c r="AJ336" s="152" t="s">
        <v>1437</v>
      </c>
      <c r="AK336" s="255" t="s">
        <v>562</v>
      </c>
      <c r="AL336" s="279" t="s">
        <v>2164</v>
      </c>
      <c r="AM336" s="279" t="s">
        <v>1866</v>
      </c>
      <c r="AN336" s="161" t="str">
        <f t="shared" ca="1" si="67"/>
        <v>TERMINO</v>
      </c>
      <c r="AO336" s="284" t="s">
        <v>582</v>
      </c>
      <c r="AP336" s="155" t="s">
        <v>391</v>
      </c>
      <c r="AQ336" s="819" t="str">
        <f>IFERROR(VLOOKUP(E336,'liquidaciones '!$B$2:$C$1048576,2,0),"NO")</f>
        <v>LIQUIDADO</v>
      </c>
      <c r="AR336" s="909">
        <f>IFERROR(VLOOKUP(E336,'liquidaciones '!$B$2:$I$1048576,8,0),"")</f>
        <v>0</v>
      </c>
      <c r="AS336" s="312"/>
      <c r="AT336" s="156" t="str">
        <f t="shared" ca="1" si="68"/>
        <v>NO</v>
      </c>
      <c r="AU336" s="156" t="s">
        <v>1569</v>
      </c>
      <c r="AV336" s="406"/>
      <c r="AW336" s="928"/>
      <c r="AX336" s="928"/>
      <c r="AY336" s="928"/>
    </row>
    <row r="337" spans="2:51" ht="47.25" customHeight="1" x14ac:dyDescent="0.3">
      <c r="B337" s="14">
        <v>331</v>
      </c>
      <c r="C337" s="410">
        <v>319</v>
      </c>
      <c r="D337" s="410" t="str">
        <f t="shared" si="59"/>
        <v>2015319</v>
      </c>
      <c r="E337" s="120" t="s">
        <v>2047</v>
      </c>
      <c r="F337" s="834" t="s">
        <v>2048</v>
      </c>
      <c r="G337" s="998">
        <v>19465430</v>
      </c>
      <c r="H337" s="828" t="s">
        <v>2049</v>
      </c>
      <c r="I337" s="187">
        <v>31800000</v>
      </c>
      <c r="J337" s="698" t="s">
        <v>2047</v>
      </c>
      <c r="K337" s="269">
        <v>2015</v>
      </c>
      <c r="L337" s="519">
        <v>42179</v>
      </c>
      <c r="M337" s="835">
        <v>42186</v>
      </c>
      <c r="N337" s="835">
        <v>42370</v>
      </c>
      <c r="O337" s="1099" t="str">
        <f>IF(+Modificaciones!I337=0,"",VLOOKUP(E337,Modificaciones!$B$7:$I$2400,8,0))</f>
        <v/>
      </c>
      <c r="P337" s="115">
        <f>COUNTA(Modificaciones!J337,Modificaciones!L337,Modificaciones!N337,Modificaciones!P337)</f>
        <v>0</v>
      </c>
      <c r="Q337" s="116">
        <f>VLOOKUP(E337,Modificaciones!$B$7:$R$2300,17,0)</f>
        <v>0</v>
      </c>
      <c r="R337" s="117">
        <f>COUNTA(Modificaciones!T337,Modificaciones!V337,Modificaciones!X337,Modificaciones!Z337)</f>
        <v>0</v>
      </c>
      <c r="S337" s="118" t="str">
        <f>IF(Modificaciones!AA337=0,"",VLOOKUP(E337,Modificaciones!$B$7:$AA$400,26,0))</f>
        <v/>
      </c>
      <c r="T337" s="119" t="str">
        <f>IF(Modificaciones!AB337=0,"",VLOOKUP(E337,Modificaciones!$B$7:$AB$400,27,0))</f>
        <v/>
      </c>
      <c r="U337" s="1080" t="str">
        <f>+Modificaciones!AC337</f>
        <v/>
      </c>
      <c r="V337" s="825" t="str">
        <f>+Modificaciones!AK337</f>
        <v/>
      </c>
      <c r="W337" s="825">
        <f t="shared" si="63"/>
        <v>42370</v>
      </c>
      <c r="X337" s="59">
        <f t="shared" si="60"/>
        <v>31800000</v>
      </c>
      <c r="Y337" s="151">
        <f>VLOOKUP(E337,Modificaciones!$B$7:$BE$2300,56,0)</f>
        <v>31800000</v>
      </c>
      <c r="Z337" s="84">
        <f t="shared" si="61"/>
        <v>0</v>
      </c>
      <c r="AA337" s="283" t="s">
        <v>1094</v>
      </c>
      <c r="AB337" s="40">
        <f t="shared" si="62"/>
        <v>1</v>
      </c>
      <c r="AC337" s="40">
        <f t="shared" ca="1" si="64"/>
        <v>1</v>
      </c>
      <c r="AD337" s="41">
        <f t="shared" ca="1" si="65"/>
        <v>0</v>
      </c>
      <c r="AE337" s="181" t="str">
        <f t="shared" ca="1" si="66"/>
        <v/>
      </c>
      <c r="AF337" s="42" t="str">
        <f t="shared" si="58"/>
        <v>SI</v>
      </c>
      <c r="AG337" s="732" t="s">
        <v>5773</v>
      </c>
      <c r="AH337" s="152" t="s">
        <v>1255</v>
      </c>
      <c r="AI337" s="255" t="s">
        <v>2056</v>
      </c>
      <c r="AJ337" s="152" t="s">
        <v>1176</v>
      </c>
      <c r="AK337" s="255" t="s">
        <v>559</v>
      </c>
      <c r="AL337" s="279" t="s">
        <v>2167</v>
      </c>
      <c r="AM337" s="279" t="s">
        <v>1866</v>
      </c>
      <c r="AN337" s="161" t="str">
        <f t="shared" ca="1" si="67"/>
        <v>TERMINO</v>
      </c>
      <c r="AO337" s="284" t="s">
        <v>582</v>
      </c>
      <c r="AP337" s="155" t="s">
        <v>391</v>
      </c>
      <c r="AQ337" s="819" t="str">
        <f>IFERROR(VLOOKUP(E337,'liquidaciones '!$B$2:$C$1048576,2,0),"NO")</f>
        <v>LIQUIDADO</v>
      </c>
      <c r="AR337" s="909" t="str">
        <f>IFERROR(VLOOKUP(E337,'liquidaciones '!$B$2:$I$1048576,8,0),"")</f>
        <v>CLAUDIA VANEGAS</v>
      </c>
      <c r="AS337" s="312"/>
      <c r="AT337" s="156" t="str">
        <f t="shared" ca="1" si="68"/>
        <v>NO</v>
      </c>
      <c r="AU337" s="156" t="s">
        <v>2075</v>
      </c>
      <c r="AV337" s="406"/>
      <c r="AW337" s="928"/>
      <c r="AX337" s="928"/>
      <c r="AY337" s="928"/>
    </row>
    <row r="338" spans="2:51" ht="47.25" customHeight="1" x14ac:dyDescent="0.3">
      <c r="B338" s="14">
        <v>332</v>
      </c>
      <c r="C338" s="410">
        <v>188</v>
      </c>
      <c r="D338" s="410" t="str">
        <f t="shared" si="59"/>
        <v>2015188</v>
      </c>
      <c r="E338" s="120" t="s">
        <v>2053</v>
      </c>
      <c r="F338" s="834" t="s">
        <v>2054</v>
      </c>
      <c r="G338" s="998">
        <v>900409217</v>
      </c>
      <c r="H338" s="828" t="s">
        <v>2055</v>
      </c>
      <c r="I338" s="187">
        <v>52390000</v>
      </c>
      <c r="J338" s="676" t="s">
        <v>1872</v>
      </c>
      <c r="K338" s="269">
        <v>2015</v>
      </c>
      <c r="L338" s="519">
        <v>42181</v>
      </c>
      <c r="M338" s="835">
        <v>42200</v>
      </c>
      <c r="N338" s="835">
        <v>42475</v>
      </c>
      <c r="O338" s="1099" t="str">
        <f>IF(+Modificaciones!I338=0,"",VLOOKUP(E338,Modificaciones!$B$7:$I$2400,8,0))</f>
        <v/>
      </c>
      <c r="P338" s="115">
        <f>COUNTA(Modificaciones!J338,Modificaciones!L338,Modificaciones!N338,Modificaciones!P338)</f>
        <v>0</v>
      </c>
      <c r="Q338" s="116">
        <f>VLOOKUP(E338,Modificaciones!$B$7:$R$2300,17,0)</f>
        <v>0</v>
      </c>
      <c r="R338" s="117">
        <f>COUNTA(Modificaciones!T338,Modificaciones!V338,Modificaciones!X338,Modificaciones!Z338)</f>
        <v>0</v>
      </c>
      <c r="S338" s="118" t="str">
        <f>IF(Modificaciones!AA338=0,"",VLOOKUP(E338,Modificaciones!$B$7:$AA$400,26,0))</f>
        <v/>
      </c>
      <c r="T338" s="119" t="str">
        <f>IF(Modificaciones!AB338=0,"",VLOOKUP(E338,Modificaciones!$B$7:$AB$400,27,0))</f>
        <v/>
      </c>
      <c r="U338" s="1080" t="str">
        <f>+Modificaciones!AC338</f>
        <v/>
      </c>
      <c r="V338" s="825" t="str">
        <f>+Modificaciones!AK338</f>
        <v/>
      </c>
      <c r="W338" s="825">
        <f t="shared" si="63"/>
        <v>42475</v>
      </c>
      <c r="X338" s="59">
        <f t="shared" si="60"/>
        <v>52390000</v>
      </c>
      <c r="Y338" s="151">
        <f>VLOOKUP(E338,Modificaciones!$B$7:$BE$2300,56,0)</f>
        <v>49166000</v>
      </c>
      <c r="Z338" s="84">
        <f t="shared" si="61"/>
        <v>3224000</v>
      </c>
      <c r="AA338" s="283" t="s">
        <v>1877</v>
      </c>
      <c r="AB338" s="40">
        <f t="shared" si="62"/>
        <v>0.93846153846153846</v>
      </c>
      <c r="AC338" s="40">
        <f t="shared" ca="1" si="64"/>
        <v>1</v>
      </c>
      <c r="AD338" s="41">
        <f t="shared" ca="1" si="65"/>
        <v>6.1538461538461542E-2</v>
      </c>
      <c r="AE338" s="181" t="str">
        <f t="shared" ca="1" si="66"/>
        <v/>
      </c>
      <c r="AF338" s="42" t="str">
        <f t="shared" si="58"/>
        <v>NO</v>
      </c>
      <c r="AG338" s="732" t="str">
        <f>VLOOKUP(C338,[2]Hoja4!$A$2:$E$116,5,0)</f>
        <v>PRESTACION DE SERVICIOS</v>
      </c>
      <c r="AH338" s="152" t="s">
        <v>1255</v>
      </c>
      <c r="AI338" s="255" t="s">
        <v>1174</v>
      </c>
      <c r="AJ338" s="152" t="s">
        <v>1434</v>
      </c>
      <c r="AK338" s="255" t="s">
        <v>560</v>
      </c>
      <c r="AL338" s="153" t="s">
        <v>1388</v>
      </c>
      <c r="AM338" s="279" t="s">
        <v>1866</v>
      </c>
      <c r="AN338" s="161" t="str">
        <f t="shared" ca="1" si="67"/>
        <v>TERMINO</v>
      </c>
      <c r="AO338" s="284" t="s">
        <v>574</v>
      </c>
      <c r="AP338" s="155" t="s">
        <v>390</v>
      </c>
      <c r="AQ338" s="819" t="str">
        <f>IFERROR(VLOOKUP(E338,'liquidaciones '!$B$2:$C$1048576,2,0),"NO")</f>
        <v>LIQUIDADO</v>
      </c>
      <c r="AR338" s="909">
        <f>IFERROR(VLOOKUP(E338,'liquidaciones '!$B$2:$I$1048576,8,0),"")</f>
        <v>0</v>
      </c>
      <c r="AS338" s="312"/>
      <c r="AT338" s="156" t="str">
        <f t="shared" ca="1" si="68"/>
        <v>NO</v>
      </c>
      <c r="AU338" s="156" t="s">
        <v>2388</v>
      </c>
      <c r="AV338" s="406"/>
      <c r="AW338" s="928"/>
      <c r="AX338" s="928"/>
      <c r="AY338" s="928"/>
    </row>
    <row r="339" spans="2:51" ht="47.25" customHeight="1" x14ac:dyDescent="0.3">
      <c r="B339" s="14">
        <v>333</v>
      </c>
      <c r="C339" s="410">
        <v>321</v>
      </c>
      <c r="D339" s="410" t="str">
        <f t="shared" si="59"/>
        <v>2015321</v>
      </c>
      <c r="E339" s="120" t="s">
        <v>2065</v>
      </c>
      <c r="F339" s="834" t="s">
        <v>2064</v>
      </c>
      <c r="G339" s="998">
        <v>1030580992</v>
      </c>
      <c r="H339" s="828" t="s">
        <v>2041</v>
      </c>
      <c r="I339" s="187">
        <v>10800000</v>
      </c>
      <c r="J339" s="698" t="s">
        <v>2065</v>
      </c>
      <c r="K339" s="269">
        <v>2015</v>
      </c>
      <c r="L339" s="519">
        <v>42193</v>
      </c>
      <c r="M339" s="835">
        <v>42198</v>
      </c>
      <c r="N339" s="835">
        <v>42382</v>
      </c>
      <c r="O339" s="1099" t="str">
        <f>IF(+Modificaciones!I339=0,"",VLOOKUP(E339,Modificaciones!$B$7:$I$2400,8,0))</f>
        <v/>
      </c>
      <c r="P339" s="115">
        <f>COUNTA(Modificaciones!J339,Modificaciones!L339,Modificaciones!N339,Modificaciones!P339)</f>
        <v>0</v>
      </c>
      <c r="Q339" s="116">
        <f>VLOOKUP(E339,Modificaciones!$B$7:$R$2300,17,0)</f>
        <v>0</v>
      </c>
      <c r="R339" s="117">
        <f>COUNTA(Modificaciones!T339,Modificaciones!V339,Modificaciones!X339,Modificaciones!Z339)</f>
        <v>0</v>
      </c>
      <c r="S339" s="118" t="str">
        <f>IF(Modificaciones!AA339=0,"",VLOOKUP(E339,Modificaciones!$B$7:$AA$400,26,0))</f>
        <v/>
      </c>
      <c r="T339" s="119" t="str">
        <f>IF(Modificaciones!AB339=0,"",VLOOKUP(E339,Modificaciones!$B$7:$AB$400,27,0))</f>
        <v/>
      </c>
      <c r="U339" s="1080" t="str">
        <f>+Modificaciones!AC339</f>
        <v/>
      </c>
      <c r="V339" s="825" t="str">
        <f>+Modificaciones!AK339</f>
        <v/>
      </c>
      <c r="W339" s="825">
        <f t="shared" si="63"/>
        <v>42382</v>
      </c>
      <c r="X339" s="59">
        <f t="shared" si="60"/>
        <v>10800000</v>
      </c>
      <c r="Y339" s="151">
        <f>VLOOKUP(E339,Modificaciones!$B$7:$BE$2300,56,0)</f>
        <v>4680000</v>
      </c>
      <c r="Z339" s="84">
        <f t="shared" si="61"/>
        <v>6120000</v>
      </c>
      <c r="AA339" s="283" t="s">
        <v>1094</v>
      </c>
      <c r="AB339" s="40">
        <f t="shared" si="62"/>
        <v>0.43333333333333335</v>
      </c>
      <c r="AC339" s="40">
        <f t="shared" ca="1" si="64"/>
        <v>1</v>
      </c>
      <c r="AD339" s="41">
        <f t="shared" ca="1" si="65"/>
        <v>0.56666666666666665</v>
      </c>
      <c r="AE339" s="181" t="str">
        <f t="shared" ca="1" si="66"/>
        <v/>
      </c>
      <c r="AF339" s="42" t="str">
        <f t="shared" si="58"/>
        <v>NO</v>
      </c>
      <c r="AG339" s="732" t="str">
        <f>VLOOKUP(C339,[2]Hoja4!$A$2:$E$116,5,0)</f>
        <v>PRESTACION DE SERVICIOS</v>
      </c>
      <c r="AH339" s="152" t="s">
        <v>1255</v>
      </c>
      <c r="AI339" s="255" t="s">
        <v>2057</v>
      </c>
      <c r="AJ339" s="152" t="s">
        <v>1437</v>
      </c>
      <c r="AK339" s="255" t="s">
        <v>562</v>
      </c>
      <c r="AL339" s="279" t="s">
        <v>2164</v>
      </c>
      <c r="AM339" s="279" t="s">
        <v>1866</v>
      </c>
      <c r="AN339" s="161" t="str">
        <f t="shared" ca="1" si="67"/>
        <v>TERMINO</v>
      </c>
      <c r="AO339" s="284" t="s">
        <v>582</v>
      </c>
      <c r="AP339" s="155" t="s">
        <v>391</v>
      </c>
      <c r="AQ339" s="819" t="str">
        <f>IFERROR(VLOOKUP(E339,'liquidaciones '!$B$2:$C$1048576,2,0),"NO")</f>
        <v>LIQUIDADO</v>
      </c>
      <c r="AR339" s="909" t="str">
        <f>IFERROR(VLOOKUP(E339,'liquidaciones '!$B$2:$I$1048576,8,0),"")</f>
        <v>MANUEL ROJAS</v>
      </c>
      <c r="AS339" s="312"/>
      <c r="AT339" s="156" t="str">
        <f t="shared" ca="1" si="68"/>
        <v>NO</v>
      </c>
      <c r="AU339" s="156" t="s">
        <v>1569</v>
      </c>
      <c r="AV339" s="406"/>
      <c r="AW339" s="928"/>
      <c r="AX339" s="928"/>
      <c r="AY339" s="928"/>
    </row>
    <row r="340" spans="2:51" ht="47.25" customHeight="1" x14ac:dyDescent="0.3">
      <c r="B340" s="14">
        <v>334</v>
      </c>
      <c r="C340" s="410">
        <v>58</v>
      </c>
      <c r="D340" s="410" t="str">
        <f t="shared" si="59"/>
        <v>201558</v>
      </c>
      <c r="E340" s="120" t="s">
        <v>2066</v>
      </c>
      <c r="F340" s="834" t="s">
        <v>2067</v>
      </c>
      <c r="G340" s="998">
        <v>830048145</v>
      </c>
      <c r="H340" s="828" t="s">
        <v>2068</v>
      </c>
      <c r="I340" s="187">
        <v>450880</v>
      </c>
      <c r="J340" s="675" t="s">
        <v>2066</v>
      </c>
      <c r="K340" s="269">
        <v>2015</v>
      </c>
      <c r="L340" s="519">
        <v>42194</v>
      </c>
      <c r="M340" s="835">
        <v>42219</v>
      </c>
      <c r="N340" s="835">
        <v>42311</v>
      </c>
      <c r="O340" s="1099" t="str">
        <f>IF(+Modificaciones!I340=0,"",VLOOKUP(E340,Modificaciones!$B$7:$I$2400,8,0))</f>
        <v/>
      </c>
      <c r="P340" s="115">
        <f>COUNTA(Modificaciones!J340,Modificaciones!L340,Modificaciones!N340,Modificaciones!P340)</f>
        <v>0</v>
      </c>
      <c r="Q340" s="116">
        <f>VLOOKUP(E340,Modificaciones!$B$7:$R$2300,17,0)</f>
        <v>0</v>
      </c>
      <c r="R340" s="117">
        <f>COUNTA(Modificaciones!T340,Modificaciones!V340,Modificaciones!X340,Modificaciones!Z340)</f>
        <v>0</v>
      </c>
      <c r="S340" s="118" t="str">
        <f>IF(Modificaciones!AA340=0,"",VLOOKUP(E340,Modificaciones!$B$7:$AA$400,26,0))</f>
        <v/>
      </c>
      <c r="T340" s="119" t="str">
        <f>IF(Modificaciones!AB340=0,"",VLOOKUP(E340,Modificaciones!$B$7:$AB$400,27,0))</f>
        <v/>
      </c>
      <c r="U340" s="1080" t="str">
        <f>+Modificaciones!AC340</f>
        <v/>
      </c>
      <c r="V340" s="825" t="str">
        <f>+Modificaciones!AK340</f>
        <v/>
      </c>
      <c r="W340" s="825">
        <f t="shared" si="63"/>
        <v>42311</v>
      </c>
      <c r="X340" s="59">
        <f t="shared" si="60"/>
        <v>450880</v>
      </c>
      <c r="Y340" s="151">
        <f>VLOOKUP(E340,Modificaciones!$B$7:$BE$2300,56,0)</f>
        <v>450880</v>
      </c>
      <c r="Z340" s="84">
        <f t="shared" si="61"/>
        <v>0</v>
      </c>
      <c r="AA340" s="283" t="s">
        <v>1894</v>
      </c>
      <c r="AB340" s="40">
        <f t="shared" si="62"/>
        <v>1</v>
      </c>
      <c r="AC340" s="40">
        <f t="shared" ca="1" si="64"/>
        <v>1</v>
      </c>
      <c r="AD340" s="41">
        <f t="shared" ca="1" si="65"/>
        <v>0</v>
      </c>
      <c r="AE340" s="181" t="str">
        <f t="shared" ca="1" si="66"/>
        <v/>
      </c>
      <c r="AF340" s="42" t="str">
        <f t="shared" si="58"/>
        <v>SI</v>
      </c>
      <c r="AG340" s="732" t="str">
        <f>VLOOKUP(C340,[2]Hoja4!$A$2:$E$116,5,0)</f>
        <v>PRESTACION DE SERVICIOS</v>
      </c>
      <c r="AH340" s="152" t="s">
        <v>1256</v>
      </c>
      <c r="AI340" s="275" t="s">
        <v>1470</v>
      </c>
      <c r="AJ340" s="152" t="s">
        <v>1438</v>
      </c>
      <c r="AK340" s="255" t="s">
        <v>560</v>
      </c>
      <c r="AL340" s="153" t="s">
        <v>1508</v>
      </c>
      <c r="AM340" s="279" t="s">
        <v>1866</v>
      </c>
      <c r="AN340" s="161" t="str">
        <f t="shared" ca="1" si="67"/>
        <v>TERMINO</v>
      </c>
      <c r="AO340" s="284" t="s">
        <v>582</v>
      </c>
      <c r="AP340" s="155" t="s">
        <v>390</v>
      </c>
      <c r="AQ340" s="819" t="str">
        <f>IFERROR(VLOOKUP(E340,'liquidaciones '!$B$2:$C$1048576,2,0),"NO")</f>
        <v>LIQUIDADO</v>
      </c>
      <c r="AR340" s="909">
        <f>IFERROR(VLOOKUP(E340,'liquidaciones '!$B$2:$I$1048576,8,0),"")</f>
        <v>0</v>
      </c>
      <c r="AS340" s="312"/>
      <c r="AT340" s="156" t="str">
        <f t="shared" ca="1" si="68"/>
        <v>NO</v>
      </c>
      <c r="AU340" s="156" t="s">
        <v>1991</v>
      </c>
      <c r="AV340" s="406"/>
      <c r="AW340" s="928"/>
      <c r="AX340" s="928"/>
      <c r="AY340" s="928"/>
    </row>
    <row r="341" spans="2:51" ht="58.5" customHeight="1" x14ac:dyDescent="0.3">
      <c r="B341" s="14">
        <v>335</v>
      </c>
      <c r="C341" s="410">
        <v>179</v>
      </c>
      <c r="D341" s="410" t="str">
        <f t="shared" si="59"/>
        <v>2015179</v>
      </c>
      <c r="E341" s="120" t="s">
        <v>4282</v>
      </c>
      <c r="F341" s="834" t="s">
        <v>2069</v>
      </c>
      <c r="G341" s="1054">
        <v>860002184</v>
      </c>
      <c r="H341" s="828" t="s">
        <v>2070</v>
      </c>
      <c r="I341" s="187">
        <v>186482674</v>
      </c>
      <c r="J341" s="675" t="s">
        <v>2071</v>
      </c>
      <c r="K341" s="269">
        <v>2015</v>
      </c>
      <c r="L341" s="519">
        <v>42187</v>
      </c>
      <c r="M341" s="835"/>
      <c r="N341" s="835"/>
      <c r="O341" s="1099" t="str">
        <f>IF(+Modificaciones!I341=0,"",VLOOKUP(E341,Modificaciones!$B$7:$I$2400,8,0))</f>
        <v/>
      </c>
      <c r="P341" s="115">
        <f>COUNTA(Modificaciones!J341,Modificaciones!L341,Modificaciones!N341,Modificaciones!P341)</f>
        <v>1</v>
      </c>
      <c r="Q341" s="116">
        <f>VLOOKUP(E341,Modificaciones!$B$7:$R$2300,17,0)</f>
        <v>18223304</v>
      </c>
      <c r="R341" s="117">
        <f>COUNTA(Modificaciones!T341,Modificaciones!V341,Modificaciones!X341,Modificaciones!Z341)</f>
        <v>0</v>
      </c>
      <c r="S341" s="118" t="str">
        <f>IF(Modificaciones!AA341=0,"",VLOOKUP(E341,Modificaciones!$B$7:$AA$400,26,0))</f>
        <v/>
      </c>
      <c r="T341" s="119" t="str">
        <f>IF(Modificaciones!AB341=0,"",VLOOKUP(E341,Modificaciones!$B$7:$AB$400,27,0))</f>
        <v/>
      </c>
      <c r="U341" s="1080" t="str">
        <f>+Modificaciones!AC341</f>
        <v/>
      </c>
      <c r="V341" s="825" t="str">
        <f>+Modificaciones!AK341</f>
        <v/>
      </c>
      <c r="W341" s="825">
        <f t="shared" si="63"/>
        <v>0</v>
      </c>
      <c r="X341" s="59">
        <f t="shared" si="60"/>
        <v>204705978</v>
      </c>
      <c r="Y341" s="151">
        <f>VLOOKUP(E341,Modificaciones!$B$7:$BE$2300,56,0)</f>
        <v>204705978</v>
      </c>
      <c r="Z341" s="84">
        <f t="shared" si="61"/>
        <v>0</v>
      </c>
      <c r="AA341" s="283" t="s">
        <v>2072</v>
      </c>
      <c r="AB341" s="40">
        <f t="shared" si="62"/>
        <v>1</v>
      </c>
      <c r="AC341" s="40" t="e">
        <f t="shared" ca="1" si="64"/>
        <v>#DIV/0!</v>
      </c>
      <c r="AD341" s="41" t="e">
        <f t="shared" ca="1" si="65"/>
        <v>#DIV/0!</v>
      </c>
      <c r="AE341" s="181" t="e">
        <f t="shared" ca="1" si="66"/>
        <v>#DIV/0!</v>
      </c>
      <c r="AF341" s="42" t="str">
        <f t="shared" si="58"/>
        <v>SI</v>
      </c>
      <c r="AG341" s="732" t="str">
        <f>VLOOKUP(C341,[2]Hoja4!$A$2:$E$116,5,0)</f>
        <v>PRESTACION DE SERVICIOS</v>
      </c>
      <c r="AH341" s="152" t="s">
        <v>1255</v>
      </c>
      <c r="AI341" s="255" t="s">
        <v>2073</v>
      </c>
      <c r="AJ341" s="152"/>
      <c r="AK341" s="255" t="s">
        <v>560</v>
      </c>
      <c r="AL341" s="279"/>
      <c r="AM341" s="279" t="s">
        <v>2074</v>
      </c>
      <c r="AN341" s="161" t="str">
        <f t="shared" ca="1" si="67"/>
        <v>TERMINO</v>
      </c>
      <c r="AO341" s="284" t="s">
        <v>574</v>
      </c>
      <c r="AP341" s="155" t="s">
        <v>390</v>
      </c>
      <c r="AQ341" s="819" t="str">
        <f>IFERROR(VLOOKUP(E341,'liquidaciones '!$B$2:$C$1048576,2,0),"NO")</f>
        <v>LIQUIDADO</v>
      </c>
      <c r="AR341" s="909">
        <f>IFERROR(VLOOKUP(E341,'liquidaciones '!$B$2:$I$1048576,8,0),"")</f>
        <v>0</v>
      </c>
      <c r="AS341" s="312"/>
      <c r="AT341" s="156" t="str">
        <f t="shared" ca="1" si="68"/>
        <v>NO</v>
      </c>
      <c r="AU341" s="156"/>
      <c r="AV341" s="406"/>
      <c r="AW341" s="928"/>
      <c r="AX341" s="928"/>
      <c r="AY341" s="928"/>
    </row>
    <row r="342" spans="2:51" ht="47.25" customHeight="1" x14ac:dyDescent="0.3">
      <c r="B342" s="14">
        <v>336</v>
      </c>
      <c r="C342" s="410">
        <v>60</v>
      </c>
      <c r="D342" s="410" t="str">
        <f t="shared" si="59"/>
        <v>201560</v>
      </c>
      <c r="E342" s="120" t="s">
        <v>2076</v>
      </c>
      <c r="F342" s="834" t="s">
        <v>186</v>
      </c>
      <c r="G342" s="998">
        <v>800039398</v>
      </c>
      <c r="H342" s="828" t="s">
        <v>2077</v>
      </c>
      <c r="I342" s="187">
        <v>85933385</v>
      </c>
      <c r="J342" s="675" t="s">
        <v>2078</v>
      </c>
      <c r="K342" s="269">
        <v>2015</v>
      </c>
      <c r="L342" s="519">
        <v>42200</v>
      </c>
      <c r="M342" s="835">
        <v>42209</v>
      </c>
      <c r="N342" s="835">
        <v>42575</v>
      </c>
      <c r="O342" s="1099" t="str">
        <f>IF(+Modificaciones!I342=0,"",VLOOKUP(E342,Modificaciones!$B$7:$I$2400,8,0))</f>
        <v/>
      </c>
      <c r="P342" s="115">
        <f>COUNTA(Modificaciones!J342,Modificaciones!L342,Modificaciones!N342,Modificaciones!P342)</f>
        <v>0</v>
      </c>
      <c r="Q342" s="116">
        <f>VLOOKUP(E342,Modificaciones!$B$7:$R$2300,17,0)</f>
        <v>0</v>
      </c>
      <c r="R342" s="117">
        <f>COUNTA(Modificaciones!T342,Modificaciones!V342,Modificaciones!X342,Modificaciones!Z342)</f>
        <v>0</v>
      </c>
      <c r="S342" s="118" t="str">
        <f>IF(Modificaciones!AA342=0,"",VLOOKUP(E342,Modificaciones!$B$7:$AA$400,26,0))</f>
        <v/>
      </c>
      <c r="T342" s="119" t="str">
        <f>IF(Modificaciones!AB342=0,"",VLOOKUP(E342,Modificaciones!$B$7:$AB$400,27,0))</f>
        <v/>
      </c>
      <c r="U342" s="1080" t="str">
        <f>+Modificaciones!AC342</f>
        <v/>
      </c>
      <c r="V342" s="825" t="str">
        <f>+Modificaciones!AK342</f>
        <v/>
      </c>
      <c r="W342" s="825">
        <f t="shared" si="63"/>
        <v>42575</v>
      </c>
      <c r="X342" s="59">
        <f t="shared" si="60"/>
        <v>85933385</v>
      </c>
      <c r="Y342" s="151">
        <f>VLOOKUP(E342,Modificaciones!$B$7:$BE$2300,56,0)</f>
        <v>80837232</v>
      </c>
      <c r="Z342" s="84">
        <f t="shared" si="61"/>
        <v>5096153</v>
      </c>
      <c r="AA342" s="283"/>
      <c r="AB342" s="40">
        <f t="shared" si="62"/>
        <v>0.94069647087683095</v>
      </c>
      <c r="AC342" s="40">
        <f t="shared" ca="1" si="64"/>
        <v>1</v>
      </c>
      <c r="AD342" s="41">
        <f t="shared" ca="1" si="65"/>
        <v>5.9303529123169052E-2</v>
      </c>
      <c r="AE342" s="181" t="str">
        <f t="shared" ca="1" si="66"/>
        <v/>
      </c>
      <c r="AF342" s="42" t="str">
        <f t="shared" si="58"/>
        <v>NO</v>
      </c>
      <c r="AG342" s="732" t="str">
        <f>VLOOKUP(C342,[2]Hoja4!$A$2:$E$116,5,0)</f>
        <v>PRESTACION DE SERVICIOS</v>
      </c>
      <c r="AH342" s="152" t="s">
        <v>1256</v>
      </c>
      <c r="AI342" s="255" t="s">
        <v>2079</v>
      </c>
      <c r="AJ342" s="152" t="s">
        <v>1438</v>
      </c>
      <c r="AK342" s="255" t="s">
        <v>560</v>
      </c>
      <c r="AL342" s="279" t="s">
        <v>1508</v>
      </c>
      <c r="AM342" s="279" t="s">
        <v>1866</v>
      </c>
      <c r="AN342" s="161" t="str">
        <f t="shared" ca="1" si="67"/>
        <v>TERMINO</v>
      </c>
      <c r="AO342" s="284" t="s">
        <v>575</v>
      </c>
      <c r="AP342" s="155" t="s">
        <v>390</v>
      </c>
      <c r="AQ342" s="819" t="str">
        <f>IFERROR(VLOOKUP(E342,'liquidaciones '!$B$2:$C$1048576,2,0),"NO")</f>
        <v>LIQUIDADO</v>
      </c>
      <c r="AR342" s="909" t="str">
        <f>IFERROR(VLOOKUP(E342,'liquidaciones '!$B$2:$I$1048576,8,0),"")</f>
        <v>JULIETH ANGARITA</v>
      </c>
      <c r="AS342" s="312"/>
      <c r="AT342" s="156" t="str">
        <f t="shared" ca="1" si="68"/>
        <v>NO</v>
      </c>
      <c r="AU342" s="156" t="s">
        <v>2601</v>
      </c>
      <c r="AV342" s="406"/>
      <c r="AW342" s="928"/>
      <c r="AX342" s="928"/>
      <c r="AY342" s="928"/>
    </row>
    <row r="343" spans="2:51" ht="47.25" customHeight="1" x14ac:dyDescent="0.3">
      <c r="B343" s="14">
        <v>337</v>
      </c>
      <c r="C343" s="410">
        <v>189</v>
      </c>
      <c r="D343" s="410" t="str">
        <f t="shared" si="59"/>
        <v>2015189</v>
      </c>
      <c r="E343" s="120" t="s">
        <v>2080</v>
      </c>
      <c r="F343" s="834" t="s">
        <v>2081</v>
      </c>
      <c r="G343" s="998">
        <v>800105847</v>
      </c>
      <c r="H343" s="828" t="s">
        <v>2082</v>
      </c>
      <c r="I343" s="187">
        <v>3608000</v>
      </c>
      <c r="J343" s="675" t="s">
        <v>2011</v>
      </c>
      <c r="K343" s="269">
        <v>2015</v>
      </c>
      <c r="L343" s="519">
        <v>42201</v>
      </c>
      <c r="M343" s="835">
        <v>42295</v>
      </c>
      <c r="N343" s="835">
        <v>42387</v>
      </c>
      <c r="O343" s="1099" t="str">
        <f>IF(+Modificaciones!I343=0,"",VLOOKUP(E343,Modificaciones!$B$7:$I$2400,8,0))</f>
        <v/>
      </c>
      <c r="P343" s="115">
        <f>COUNTA(Modificaciones!J343,Modificaciones!L343,Modificaciones!N343,Modificaciones!P343)</f>
        <v>0</v>
      </c>
      <c r="Q343" s="116">
        <f>VLOOKUP(E343,Modificaciones!$B$7:$R$2300,17,0)</f>
        <v>0</v>
      </c>
      <c r="R343" s="117">
        <f>COUNTA(Modificaciones!T343,Modificaciones!V343,Modificaciones!X343,Modificaciones!Z343)</f>
        <v>0</v>
      </c>
      <c r="S343" s="118" t="str">
        <f>IF(Modificaciones!AA343=0,"",VLOOKUP(E343,Modificaciones!$B$7:$AA$400,26,0))</f>
        <v/>
      </c>
      <c r="T343" s="119" t="str">
        <f>IF(Modificaciones!AB343=0,"",VLOOKUP(E343,Modificaciones!$B$7:$AB$400,27,0))</f>
        <v/>
      </c>
      <c r="U343" s="1080" t="str">
        <f>+Modificaciones!AC343</f>
        <v/>
      </c>
      <c r="V343" s="825" t="str">
        <f>+Modificaciones!AK343</f>
        <v/>
      </c>
      <c r="W343" s="825">
        <f t="shared" si="63"/>
        <v>42387</v>
      </c>
      <c r="X343" s="59">
        <f t="shared" si="60"/>
        <v>3608000</v>
      </c>
      <c r="Y343" s="151">
        <f>VLOOKUP(E343,Modificaciones!$B$7:$BE$2300,56,0)</f>
        <v>3608000</v>
      </c>
      <c r="Z343" s="84">
        <f t="shared" si="61"/>
        <v>0</v>
      </c>
      <c r="AA343" s="283" t="s">
        <v>2083</v>
      </c>
      <c r="AB343" s="40">
        <f t="shared" si="62"/>
        <v>1</v>
      </c>
      <c r="AC343" s="40">
        <f t="shared" ca="1" si="64"/>
        <v>1</v>
      </c>
      <c r="AD343" s="41">
        <f t="shared" ca="1" si="65"/>
        <v>0</v>
      </c>
      <c r="AE343" s="181" t="str">
        <f t="shared" ca="1" si="66"/>
        <v/>
      </c>
      <c r="AF343" s="42" t="str">
        <f t="shared" si="58"/>
        <v>SI</v>
      </c>
      <c r="AG343" s="732" t="str">
        <f>VLOOKUP(C343,[2]Hoja4!$A$2:$E$116,5,0)</f>
        <v>PRESTACION DE SERVICIOS</v>
      </c>
      <c r="AH343" s="152" t="s">
        <v>1255</v>
      </c>
      <c r="AI343" s="255" t="s">
        <v>1299</v>
      </c>
      <c r="AJ343" s="152" t="s">
        <v>1441</v>
      </c>
      <c r="AK343" s="255" t="s">
        <v>560</v>
      </c>
      <c r="AL343" s="153" t="s">
        <v>1379</v>
      </c>
      <c r="AM343" s="279" t="s">
        <v>1866</v>
      </c>
      <c r="AN343" s="161" t="str">
        <f t="shared" ca="1" si="67"/>
        <v>TERMINO</v>
      </c>
      <c r="AO343" s="284" t="s">
        <v>576</v>
      </c>
      <c r="AP343" s="155" t="s">
        <v>390</v>
      </c>
      <c r="AQ343" s="819" t="str">
        <f>IFERROR(VLOOKUP(E343,'liquidaciones '!$B$2:$C$1048576,2,0),"NO")</f>
        <v>LIQUIDADO</v>
      </c>
      <c r="AR343" s="909" t="str">
        <f>IFERROR(VLOOKUP(E343,'liquidaciones '!$B$2:$I$1048576,8,0),"")</f>
        <v>GIOVANNI SUAREZ</v>
      </c>
      <c r="AS343" s="312"/>
      <c r="AT343" s="156" t="str">
        <f t="shared" ca="1" si="68"/>
        <v>NO</v>
      </c>
      <c r="AU343" s="156" t="s">
        <v>2388</v>
      </c>
      <c r="AV343" s="406"/>
      <c r="AW343" s="928"/>
      <c r="AX343" s="928"/>
      <c r="AY343" s="928"/>
    </row>
    <row r="344" spans="2:51" ht="47.25" customHeight="1" x14ac:dyDescent="0.3">
      <c r="B344" s="14">
        <v>338</v>
      </c>
      <c r="C344" s="410">
        <v>140</v>
      </c>
      <c r="D344" s="410" t="str">
        <f t="shared" si="59"/>
        <v>2015140</v>
      </c>
      <c r="E344" s="120" t="s">
        <v>2089</v>
      </c>
      <c r="F344" s="834" t="s">
        <v>2090</v>
      </c>
      <c r="G344" s="998">
        <v>900631629</v>
      </c>
      <c r="H344" s="828" t="s">
        <v>2091</v>
      </c>
      <c r="I344" s="187">
        <v>715000</v>
      </c>
      <c r="J344" s="675" t="s">
        <v>2052</v>
      </c>
      <c r="K344" s="269">
        <v>2015</v>
      </c>
      <c r="L344" s="519">
        <v>42207</v>
      </c>
      <c r="M344" s="835">
        <v>42221</v>
      </c>
      <c r="N344" s="835">
        <v>42587</v>
      </c>
      <c r="O344" s="1099" t="str">
        <f>IF(+Modificaciones!I344=0,"",VLOOKUP(E344,Modificaciones!$B$7:$I$2400,8,0))</f>
        <v/>
      </c>
      <c r="P344" s="115">
        <f>COUNTA(Modificaciones!J344,Modificaciones!L344,Modificaciones!N344,Modificaciones!P344)</f>
        <v>0</v>
      </c>
      <c r="Q344" s="116">
        <f>VLOOKUP(E344,Modificaciones!$B$7:$R$2300,17,0)</f>
        <v>0</v>
      </c>
      <c r="R344" s="117">
        <f>COUNTA(Modificaciones!T344,Modificaciones!V344,Modificaciones!X344,Modificaciones!Z344)</f>
        <v>0</v>
      </c>
      <c r="S344" s="118" t="str">
        <f>IF(Modificaciones!AA344=0,"",VLOOKUP(E344,Modificaciones!$B$7:$AA$400,26,0))</f>
        <v/>
      </c>
      <c r="T344" s="119" t="str">
        <f>IF(Modificaciones!AB344=0,"",VLOOKUP(E344,Modificaciones!$B$7:$AB$400,27,0))</f>
        <v/>
      </c>
      <c r="U344" s="1080" t="str">
        <f>+Modificaciones!AC344</f>
        <v/>
      </c>
      <c r="V344" s="825" t="str">
        <f>+Modificaciones!AK344</f>
        <v/>
      </c>
      <c r="W344" s="825">
        <f t="shared" si="63"/>
        <v>42587</v>
      </c>
      <c r="X344" s="59">
        <f t="shared" si="60"/>
        <v>715000</v>
      </c>
      <c r="Y344" s="151">
        <f>VLOOKUP(E344,Modificaciones!$B$7:$BE$2300,56,0)</f>
        <v>715000</v>
      </c>
      <c r="Z344" s="84">
        <f t="shared" si="61"/>
        <v>0</v>
      </c>
      <c r="AA344" s="283" t="s">
        <v>1894</v>
      </c>
      <c r="AB344" s="40">
        <f t="shared" si="62"/>
        <v>1</v>
      </c>
      <c r="AC344" s="40">
        <f t="shared" ca="1" si="64"/>
        <v>1</v>
      </c>
      <c r="AD344" s="41">
        <f t="shared" ca="1" si="65"/>
        <v>0</v>
      </c>
      <c r="AE344" s="181" t="str">
        <f t="shared" ca="1" si="66"/>
        <v/>
      </c>
      <c r="AF344" s="42" t="str">
        <f t="shared" si="58"/>
        <v>SI</v>
      </c>
      <c r="AG344" s="732" t="str">
        <f>VLOOKUP(C344,[2]Hoja4!$A$2:$E$116,5,0)</f>
        <v>SUSCRIPCION</v>
      </c>
      <c r="AH344" s="152" t="s">
        <v>1255</v>
      </c>
      <c r="AI344" s="255" t="s">
        <v>1141</v>
      </c>
      <c r="AJ344" s="152" t="s">
        <v>1429</v>
      </c>
      <c r="AK344" s="255" t="s">
        <v>564</v>
      </c>
      <c r="AL344" s="279"/>
      <c r="AM344" s="279" t="s">
        <v>1866</v>
      </c>
      <c r="AN344" s="161" t="str">
        <f t="shared" ca="1" si="67"/>
        <v>TERMINO</v>
      </c>
      <c r="AO344" s="160" t="s">
        <v>576</v>
      </c>
      <c r="AP344" s="155" t="s">
        <v>390</v>
      </c>
      <c r="AQ344" s="819" t="str">
        <f>IFERROR(VLOOKUP(E344,'liquidaciones '!$B$2:$C$1048576,2,0),"NO")</f>
        <v>LIQUIDADO</v>
      </c>
      <c r="AR344" s="909" t="str">
        <f>IFERROR(VLOOKUP(E344,'liquidaciones '!$B$2:$I$1048576,8,0),"")</f>
        <v>GIOVANNI SUAREZ</v>
      </c>
      <c r="AS344" s="312"/>
      <c r="AT344" s="156" t="str">
        <f t="shared" ca="1" si="68"/>
        <v>NO</v>
      </c>
      <c r="AU344" s="156" t="s">
        <v>2598</v>
      </c>
      <c r="AV344" s="406"/>
      <c r="AW344" s="928"/>
      <c r="AX344" s="928"/>
      <c r="AY344" s="928"/>
    </row>
    <row r="345" spans="2:51" ht="47.25" customHeight="1" x14ac:dyDescent="0.3">
      <c r="B345" s="14">
        <v>339</v>
      </c>
      <c r="C345" s="410">
        <v>314</v>
      </c>
      <c r="D345" s="410" t="str">
        <f t="shared" si="59"/>
        <v>2015314</v>
      </c>
      <c r="E345" s="120" t="s">
        <v>2096</v>
      </c>
      <c r="F345" s="834" t="s">
        <v>2094</v>
      </c>
      <c r="G345" s="998">
        <v>830099766</v>
      </c>
      <c r="H345" s="828" t="s">
        <v>2095</v>
      </c>
      <c r="I345" s="187">
        <v>80041097</v>
      </c>
      <c r="J345" s="675" t="s">
        <v>2096</v>
      </c>
      <c r="K345" s="269">
        <v>2015</v>
      </c>
      <c r="L345" s="519">
        <v>42193</v>
      </c>
      <c r="M345" s="835">
        <v>42199</v>
      </c>
      <c r="N345" s="835">
        <v>42565</v>
      </c>
      <c r="O345" s="1099" t="str">
        <f>IF(+Modificaciones!I345=0,"",VLOOKUP(E345,Modificaciones!$B$7:$I$2400,8,0))</f>
        <v/>
      </c>
      <c r="P345" s="115">
        <f>COUNTA(Modificaciones!J345,Modificaciones!L345,Modificaciones!N345,Modificaciones!P345)</f>
        <v>0</v>
      </c>
      <c r="Q345" s="116">
        <f>VLOOKUP(E345,Modificaciones!$B$7:$R$2300,17,0)</f>
        <v>0</v>
      </c>
      <c r="R345" s="117">
        <f>COUNTA(Modificaciones!T345,Modificaciones!V345,Modificaciones!X345,Modificaciones!Z345)</f>
        <v>0</v>
      </c>
      <c r="S345" s="118" t="str">
        <f>IF(Modificaciones!AA345=0,"",VLOOKUP(E345,Modificaciones!$B$7:$AA$400,26,0))</f>
        <v/>
      </c>
      <c r="T345" s="119" t="str">
        <f>IF(Modificaciones!AB345=0,"",VLOOKUP(E345,Modificaciones!$B$7:$AB$400,27,0))</f>
        <v/>
      </c>
      <c r="U345" s="1080" t="str">
        <f>+Modificaciones!AC345</f>
        <v/>
      </c>
      <c r="V345" s="825" t="str">
        <f>+Modificaciones!AK345</f>
        <v/>
      </c>
      <c r="W345" s="825">
        <f t="shared" si="63"/>
        <v>42565</v>
      </c>
      <c r="X345" s="59">
        <f t="shared" si="60"/>
        <v>80041097</v>
      </c>
      <c r="Y345" s="151">
        <f>VLOOKUP(E345,Modificaciones!$B$7:$BE$2300,56,0)</f>
        <v>80041097</v>
      </c>
      <c r="Z345" s="84">
        <f t="shared" si="61"/>
        <v>0</v>
      </c>
      <c r="AA345" s="283" t="s">
        <v>1526</v>
      </c>
      <c r="AB345" s="40">
        <f t="shared" si="62"/>
        <v>1</v>
      </c>
      <c r="AC345" s="40">
        <f t="shared" ca="1" si="64"/>
        <v>1</v>
      </c>
      <c r="AD345" s="41">
        <f t="shared" ca="1" si="65"/>
        <v>0</v>
      </c>
      <c r="AE345" s="181" t="str">
        <f t="shared" ca="1" si="66"/>
        <v/>
      </c>
      <c r="AF345" s="42" t="str">
        <f t="shared" si="58"/>
        <v>SI</v>
      </c>
      <c r="AG345" s="732" t="str">
        <f>VLOOKUP(C345,[2]Hoja4!$A$2:$E$116,5,0)</f>
        <v>PRESTACION DE SERVICIOS</v>
      </c>
      <c r="AH345" s="152" t="s">
        <v>1256</v>
      </c>
      <c r="AI345" s="255" t="s">
        <v>2097</v>
      </c>
      <c r="AJ345" s="152" t="s">
        <v>1438</v>
      </c>
      <c r="AK345" s="255" t="s">
        <v>560</v>
      </c>
      <c r="AL345" s="279" t="s">
        <v>1508</v>
      </c>
      <c r="AM345" s="279" t="s">
        <v>1866</v>
      </c>
      <c r="AN345" s="161" t="str">
        <f t="shared" ca="1" si="67"/>
        <v>TERMINO</v>
      </c>
      <c r="AO345" s="284" t="s">
        <v>582</v>
      </c>
      <c r="AP345" s="155" t="s">
        <v>390</v>
      </c>
      <c r="AQ345" s="819" t="str">
        <f>IFERROR(VLOOKUP(E345,'liquidaciones '!$B$2:$C$1048576,2,0),"NO")</f>
        <v>LIQUIDADO</v>
      </c>
      <c r="AR345" s="909" t="str">
        <f>IFERROR(VLOOKUP(E345,'liquidaciones '!$B$2:$I$1048576,8,0),"")</f>
        <v>GIOVANNI SUAREZ</v>
      </c>
      <c r="AS345" s="312"/>
      <c r="AT345" s="156" t="str">
        <f t="shared" ca="1" si="68"/>
        <v>NO</v>
      </c>
      <c r="AU345" s="156" t="s">
        <v>2601</v>
      </c>
      <c r="AV345" s="406"/>
      <c r="AW345" s="928"/>
      <c r="AX345" s="928"/>
      <c r="AY345" s="928"/>
    </row>
    <row r="346" spans="2:51" ht="30.6" x14ac:dyDescent="0.3">
      <c r="B346" s="14">
        <v>340</v>
      </c>
      <c r="C346" s="410">
        <v>59</v>
      </c>
      <c r="D346" s="410" t="str">
        <f t="shared" si="59"/>
        <v>201559</v>
      </c>
      <c r="E346" s="120" t="s">
        <v>2098</v>
      </c>
      <c r="F346" s="834" t="s">
        <v>2100</v>
      </c>
      <c r="G346" s="998" t="s">
        <v>2101</v>
      </c>
      <c r="H346" s="828" t="s">
        <v>2099</v>
      </c>
      <c r="I346" s="187">
        <v>20136071</v>
      </c>
      <c r="J346" s="675" t="s">
        <v>2051</v>
      </c>
      <c r="K346" s="269">
        <v>2015</v>
      </c>
      <c r="L346" s="519">
        <v>42209</v>
      </c>
      <c r="M346" s="835">
        <v>42221</v>
      </c>
      <c r="N346" s="835">
        <v>42587</v>
      </c>
      <c r="O346" s="1099" t="str">
        <f>IF(+Modificaciones!I346=0,"",VLOOKUP(E346,Modificaciones!$B$7:$I$2400,8,0))</f>
        <v/>
      </c>
      <c r="P346" s="115">
        <f>COUNTA(Modificaciones!J346,Modificaciones!L346,Modificaciones!N346,Modificaciones!P346)</f>
        <v>0</v>
      </c>
      <c r="Q346" s="116">
        <f>VLOOKUP(E346,Modificaciones!$B$7:$R$2300,17,0)</f>
        <v>0</v>
      </c>
      <c r="R346" s="117">
        <f>COUNTA(Modificaciones!T346,Modificaciones!V346,Modificaciones!X346,Modificaciones!Z346)</f>
        <v>0</v>
      </c>
      <c r="S346" s="118" t="str">
        <f>IF(Modificaciones!AA346=0,"",VLOOKUP(E346,Modificaciones!$B$7:$AA$400,26,0))</f>
        <v/>
      </c>
      <c r="T346" s="119" t="str">
        <f>IF(Modificaciones!AB346=0,"",VLOOKUP(E346,Modificaciones!$B$7:$AB$400,27,0))</f>
        <v/>
      </c>
      <c r="U346" s="1080" t="str">
        <f>+Modificaciones!AC346</f>
        <v/>
      </c>
      <c r="V346" s="825" t="str">
        <f>+Modificaciones!AK346</f>
        <v/>
      </c>
      <c r="W346" s="825">
        <f t="shared" si="63"/>
        <v>42587</v>
      </c>
      <c r="X346" s="59">
        <f t="shared" si="60"/>
        <v>20136071</v>
      </c>
      <c r="Y346" s="151">
        <f>VLOOKUP(E346,Modificaciones!$B$7:$BE$2300,56,0)</f>
        <v>10939929</v>
      </c>
      <c r="Z346" s="84">
        <f t="shared" si="61"/>
        <v>9196142</v>
      </c>
      <c r="AA346" s="283" t="s">
        <v>1526</v>
      </c>
      <c r="AB346" s="40">
        <f t="shared" si="62"/>
        <v>0.54330008073571057</v>
      </c>
      <c r="AC346" s="40">
        <f t="shared" ca="1" si="64"/>
        <v>1</v>
      </c>
      <c r="AD346" s="41">
        <f t="shared" ca="1" si="65"/>
        <v>0.45669991926428943</v>
      </c>
      <c r="AE346" s="181" t="str">
        <f t="shared" ca="1" si="66"/>
        <v/>
      </c>
      <c r="AF346" s="42" t="str">
        <f t="shared" si="58"/>
        <v>NO</v>
      </c>
      <c r="AG346" s="732" t="str">
        <f>VLOOKUP(C346,[2]Hoja4!$A$2:$E$116,5,0)</f>
        <v>PRESTACION DE SERVICIOS</v>
      </c>
      <c r="AH346" s="152" t="s">
        <v>1256</v>
      </c>
      <c r="AI346" s="255" t="s">
        <v>1823</v>
      </c>
      <c r="AJ346" s="152" t="s">
        <v>1438</v>
      </c>
      <c r="AK346" s="255" t="s">
        <v>560</v>
      </c>
      <c r="AL346" s="279" t="s">
        <v>1508</v>
      </c>
      <c r="AM346" s="279" t="s">
        <v>1866</v>
      </c>
      <c r="AN346" s="161" t="str">
        <f t="shared" ca="1" si="67"/>
        <v>TERMINO</v>
      </c>
      <c r="AO346" s="284" t="s">
        <v>576</v>
      </c>
      <c r="AP346" s="155" t="s">
        <v>390</v>
      </c>
      <c r="AQ346" s="819" t="str">
        <f>IFERROR(VLOOKUP(E346,'liquidaciones '!$B$2:$C$1048576,2,0),"NO")</f>
        <v>LIQUIDADO</v>
      </c>
      <c r="AR346" s="909" t="str">
        <f>IFERROR(VLOOKUP(E346,'liquidaciones '!$B$2:$I$1048576,8,0),"")</f>
        <v>DORA PINILLA</v>
      </c>
      <c r="AS346" s="312"/>
      <c r="AT346" s="156" t="str">
        <f t="shared" ca="1" si="68"/>
        <v>NO</v>
      </c>
      <c r="AU346" s="156" t="s">
        <v>2601</v>
      </c>
      <c r="AV346" s="406"/>
      <c r="AW346" s="928"/>
      <c r="AX346" s="928"/>
      <c r="AY346" s="928"/>
    </row>
    <row r="347" spans="2:51" ht="61.2" x14ac:dyDescent="0.3">
      <c r="B347" s="14">
        <v>341</v>
      </c>
      <c r="C347" s="410">
        <v>173</v>
      </c>
      <c r="D347" s="410" t="str">
        <f t="shared" si="59"/>
        <v>2015173</v>
      </c>
      <c r="E347" s="120" t="s">
        <v>2102</v>
      </c>
      <c r="F347" s="834" t="s">
        <v>2434</v>
      </c>
      <c r="G347" s="998">
        <v>9002141080</v>
      </c>
      <c r="H347" s="828" t="s">
        <v>2103</v>
      </c>
      <c r="I347" s="187">
        <v>213921490</v>
      </c>
      <c r="J347" s="675" t="s">
        <v>1981</v>
      </c>
      <c r="K347" s="269">
        <v>2015</v>
      </c>
      <c r="L347" s="519">
        <v>42213</v>
      </c>
      <c r="M347" s="835">
        <v>42250</v>
      </c>
      <c r="N347" s="835">
        <v>42524</v>
      </c>
      <c r="O347" s="1099" t="str">
        <f>IF(+Modificaciones!I347=0,"",VLOOKUP(E347,Modificaciones!$B$7:$I$2400,8,0))</f>
        <v/>
      </c>
      <c r="P347" s="115">
        <f>COUNTA(Modificaciones!J347,Modificaciones!L347,Modificaciones!N347,Modificaciones!P347)</f>
        <v>1</v>
      </c>
      <c r="Q347" s="116">
        <f>VLOOKUP(E347,Modificaciones!$B$7:$R$2300,17,0)</f>
        <v>41500000</v>
      </c>
      <c r="R347" s="117">
        <f>COUNTA(Modificaciones!T347,Modificaciones!V347,Modificaciones!X347,Modificaciones!Z347)</f>
        <v>0</v>
      </c>
      <c r="S347" s="118" t="str">
        <f>IF(Modificaciones!AA347=0,"",VLOOKUP(E347,Modificaciones!$B$7:$AA$400,26,0))</f>
        <v/>
      </c>
      <c r="T347" s="119" t="str">
        <f>IF(Modificaciones!AB347=0,"",VLOOKUP(E347,Modificaciones!$B$7:$AB$400,27,0))</f>
        <v/>
      </c>
      <c r="U347" s="1080" t="str">
        <f>+Modificaciones!AC347</f>
        <v/>
      </c>
      <c r="V347" s="825" t="str">
        <f>+Modificaciones!AK347</f>
        <v/>
      </c>
      <c r="W347" s="825">
        <f t="shared" si="63"/>
        <v>42524</v>
      </c>
      <c r="X347" s="59">
        <f t="shared" si="60"/>
        <v>255421490</v>
      </c>
      <c r="Y347" s="151">
        <f>VLOOKUP(E347,Modificaciones!$B$7:$BE$2300,56,0)</f>
        <v>225994030</v>
      </c>
      <c r="Z347" s="84">
        <f t="shared" si="61"/>
        <v>29427460</v>
      </c>
      <c r="AA347" s="283" t="s">
        <v>1966</v>
      </c>
      <c r="AB347" s="40">
        <f t="shared" si="62"/>
        <v>0.88478862917916579</v>
      </c>
      <c r="AC347" s="40">
        <f t="shared" ca="1" si="64"/>
        <v>1</v>
      </c>
      <c r="AD347" s="41">
        <f t="shared" ca="1" si="65"/>
        <v>0.11521137082083421</v>
      </c>
      <c r="AE347" s="181" t="str">
        <f t="shared" ca="1" si="66"/>
        <v/>
      </c>
      <c r="AF347" s="42" t="str">
        <f t="shared" si="58"/>
        <v>NO</v>
      </c>
      <c r="AG347" s="732" t="str">
        <f>VLOOKUP(C347,[2]Hoja4!$A$2:$E$116,5,0)</f>
        <v>OBRA</v>
      </c>
      <c r="AH347" s="152" t="s">
        <v>1255</v>
      </c>
      <c r="AI347" s="255" t="s">
        <v>1285</v>
      </c>
      <c r="AJ347" s="152"/>
      <c r="AL347" s="279" t="s">
        <v>1379</v>
      </c>
      <c r="AM347" s="279"/>
      <c r="AN347" s="161" t="str">
        <f t="shared" ca="1" si="67"/>
        <v>TERMINO</v>
      </c>
      <c r="AO347" s="284" t="s">
        <v>574</v>
      </c>
      <c r="AP347" s="155" t="s">
        <v>390</v>
      </c>
      <c r="AQ347" s="819" t="str">
        <f>IFERROR(VLOOKUP(E347,'liquidaciones '!$B$2:$C$1048576,2,0),"NO")</f>
        <v>LIQUIDADO</v>
      </c>
      <c r="AR347" s="909" t="str">
        <f>IFERROR(VLOOKUP(E347,'liquidaciones '!$B$2:$I$1048576,8,0),"")</f>
        <v>JULIETH ANGARITA</v>
      </c>
      <c r="AS347" s="312"/>
      <c r="AT347" s="156" t="str">
        <f t="shared" ca="1" si="68"/>
        <v>NO</v>
      </c>
      <c r="AU347" s="156" t="s">
        <v>981</v>
      </c>
      <c r="AV347" s="406"/>
      <c r="AW347" s="928"/>
      <c r="AX347" s="928"/>
      <c r="AY347" s="928"/>
    </row>
    <row r="348" spans="2:51" ht="20.399999999999999" x14ac:dyDescent="0.3">
      <c r="B348" s="14">
        <v>342</v>
      </c>
      <c r="C348" s="410">
        <v>307</v>
      </c>
      <c r="D348" s="410" t="str">
        <f t="shared" si="59"/>
        <v>2015307</v>
      </c>
      <c r="E348" s="120" t="s">
        <v>2107</v>
      </c>
      <c r="F348" s="834" t="s">
        <v>2124</v>
      </c>
      <c r="G348" s="998">
        <v>830083523</v>
      </c>
      <c r="H348" s="828" t="s">
        <v>2106</v>
      </c>
      <c r="I348" s="187">
        <v>20880000</v>
      </c>
      <c r="J348" s="675" t="s">
        <v>2107</v>
      </c>
      <c r="K348" s="269">
        <v>2015</v>
      </c>
      <c r="L348" s="519">
        <v>42219</v>
      </c>
      <c r="M348" s="835">
        <v>42226</v>
      </c>
      <c r="N348" s="835">
        <v>42592</v>
      </c>
      <c r="O348" s="1099" t="str">
        <f>IF(+Modificaciones!I348=0,"",VLOOKUP(E348,Modificaciones!$B$7:$I$2400,8,0))</f>
        <v/>
      </c>
      <c r="P348" s="115">
        <f>COUNTA(Modificaciones!J348,Modificaciones!L348,Modificaciones!N348,Modificaciones!P348)</f>
        <v>0</v>
      </c>
      <c r="Q348" s="116">
        <f>VLOOKUP(E348,Modificaciones!$B$7:$R$2300,17,0)</f>
        <v>0</v>
      </c>
      <c r="R348" s="117">
        <f>COUNTA(Modificaciones!T348,Modificaciones!V348,Modificaciones!X348,Modificaciones!Z348)</f>
        <v>0</v>
      </c>
      <c r="S348" s="118" t="str">
        <f>IF(Modificaciones!AA348=0,"",VLOOKUP(E348,Modificaciones!$B$7:$AA$400,26,0))</f>
        <v/>
      </c>
      <c r="T348" s="119" t="str">
        <f>IF(Modificaciones!AB348=0,"",VLOOKUP(E348,Modificaciones!$B$7:$AB$400,27,0))</f>
        <v/>
      </c>
      <c r="U348" s="1080" t="str">
        <f>+Modificaciones!AC348</f>
        <v/>
      </c>
      <c r="V348" s="825" t="str">
        <f>+Modificaciones!AK348</f>
        <v/>
      </c>
      <c r="W348" s="825">
        <f t="shared" si="63"/>
        <v>42592</v>
      </c>
      <c r="X348" s="59">
        <f t="shared" si="60"/>
        <v>20880000</v>
      </c>
      <c r="Y348" s="151">
        <f>VLOOKUP(E348,Modificaciones!$B$7:$BE$2300,56,0)</f>
        <v>20880000</v>
      </c>
      <c r="Z348" s="84">
        <f t="shared" si="61"/>
        <v>0</v>
      </c>
      <c r="AA348" s="283" t="s">
        <v>1600</v>
      </c>
      <c r="AB348" s="40">
        <f t="shared" si="62"/>
        <v>1</v>
      </c>
      <c r="AC348" s="40">
        <f t="shared" ca="1" si="64"/>
        <v>1</v>
      </c>
      <c r="AD348" s="41">
        <f t="shared" ca="1" si="65"/>
        <v>0</v>
      </c>
      <c r="AE348" s="181" t="str">
        <f t="shared" ca="1" si="66"/>
        <v/>
      </c>
      <c r="AF348" s="42" t="str">
        <f t="shared" si="58"/>
        <v>SI</v>
      </c>
      <c r="AG348" s="732" t="str">
        <f>VLOOKUP(C348,[2]Hoja4!$A$2:$E$116,5,0)</f>
        <v>NA</v>
      </c>
      <c r="AH348" s="152" t="s">
        <v>1256</v>
      </c>
      <c r="AI348" s="255" t="s">
        <v>2108</v>
      </c>
      <c r="AJ348" s="152" t="s">
        <v>1438</v>
      </c>
      <c r="AK348" s="255" t="s">
        <v>560</v>
      </c>
      <c r="AL348" s="279" t="s">
        <v>1508</v>
      </c>
      <c r="AM348" s="279"/>
      <c r="AN348" s="161" t="str">
        <f t="shared" ca="1" si="67"/>
        <v>TERMINO</v>
      </c>
      <c r="AO348" s="284" t="s">
        <v>582</v>
      </c>
      <c r="AP348" s="155" t="s">
        <v>390</v>
      </c>
      <c r="AQ348" s="819" t="str">
        <f>IFERROR(VLOOKUP(E348,'liquidaciones '!$B$2:$C$1048576,2,0),"NO")</f>
        <v>LIQUIDADO</v>
      </c>
      <c r="AR348" s="909">
        <f>IFERROR(VLOOKUP(E348,'liquidaciones '!$B$2:$I$1048576,8,0),"")</f>
        <v>0</v>
      </c>
      <c r="AS348" s="312"/>
      <c r="AT348" s="156" t="str">
        <f t="shared" ca="1" si="68"/>
        <v>NO</v>
      </c>
      <c r="AU348" s="156" t="s">
        <v>2601</v>
      </c>
      <c r="AV348" s="406"/>
      <c r="AW348" s="928"/>
      <c r="AX348" s="928"/>
      <c r="AY348" s="928"/>
    </row>
    <row r="349" spans="2:51" ht="20.399999999999999" x14ac:dyDescent="0.3">
      <c r="B349" s="14">
        <v>343</v>
      </c>
      <c r="C349" s="410">
        <v>266</v>
      </c>
      <c r="D349" s="410" t="str">
        <f t="shared" si="59"/>
        <v>2015266</v>
      </c>
      <c r="E349" s="120" t="s">
        <v>3107</v>
      </c>
      <c r="F349" s="834" t="s">
        <v>2110</v>
      </c>
      <c r="G349" s="998" t="s">
        <v>2111</v>
      </c>
      <c r="H349" s="828" t="s">
        <v>2112</v>
      </c>
      <c r="I349" s="187">
        <v>812000</v>
      </c>
      <c r="J349" s="675" t="s">
        <v>2084</v>
      </c>
      <c r="K349" s="269">
        <v>2015</v>
      </c>
      <c r="L349" s="519">
        <v>42220</v>
      </c>
      <c r="M349" s="835">
        <v>42235</v>
      </c>
      <c r="N349" s="835">
        <v>42265</v>
      </c>
      <c r="O349" s="1099" t="str">
        <f>IF(+Modificaciones!I349=0,"",VLOOKUP(E349,Modificaciones!$B$7:$I$2400,8,0))</f>
        <v/>
      </c>
      <c r="P349" s="115">
        <f>COUNTA(Modificaciones!J349,Modificaciones!L349,Modificaciones!N349,Modificaciones!P349)</f>
        <v>0</v>
      </c>
      <c r="Q349" s="116">
        <f>VLOOKUP(E349,Modificaciones!$B$7:$R$2300,17,0)</f>
        <v>0</v>
      </c>
      <c r="R349" s="117">
        <f>COUNTA(Modificaciones!T349,Modificaciones!V349,Modificaciones!X349,Modificaciones!Z349)</f>
        <v>0</v>
      </c>
      <c r="S349" s="118" t="str">
        <f>IF(Modificaciones!AA349=0,"",VLOOKUP(E349,Modificaciones!$B$7:$AA$400,26,0))</f>
        <v/>
      </c>
      <c r="T349" s="119" t="str">
        <f>IF(Modificaciones!AB349=0,"",VLOOKUP(E349,Modificaciones!$B$7:$AB$400,27,0))</f>
        <v/>
      </c>
      <c r="U349" s="1080" t="str">
        <f>+Modificaciones!AC349</f>
        <v/>
      </c>
      <c r="V349" s="825" t="str">
        <f>+Modificaciones!AK349</f>
        <v/>
      </c>
      <c r="W349" s="825">
        <f t="shared" si="63"/>
        <v>42265</v>
      </c>
      <c r="X349" s="59">
        <f t="shared" si="60"/>
        <v>812000</v>
      </c>
      <c r="Y349" s="151">
        <f>VLOOKUP(E349,Modificaciones!$B$7:$BE$2300,56,0)</f>
        <v>812000</v>
      </c>
      <c r="Z349" s="84">
        <f t="shared" si="61"/>
        <v>0</v>
      </c>
      <c r="AA349" s="283" t="s">
        <v>2113</v>
      </c>
      <c r="AB349" s="40">
        <f t="shared" si="62"/>
        <v>1</v>
      </c>
      <c r="AC349" s="40">
        <f t="shared" ca="1" si="64"/>
        <v>1</v>
      </c>
      <c r="AD349" s="41">
        <f t="shared" ca="1" si="65"/>
        <v>0</v>
      </c>
      <c r="AE349" s="181" t="str">
        <f t="shared" ca="1" si="66"/>
        <v/>
      </c>
      <c r="AF349" s="42" t="str">
        <f t="shared" si="58"/>
        <v>SI</v>
      </c>
      <c r="AG349" s="732" t="str">
        <f>VLOOKUP(C349,[2]Hoja4!$A$2:$E$116,5,0)</f>
        <v>COMPRAVENTA</v>
      </c>
      <c r="AH349" s="152" t="s">
        <v>1255</v>
      </c>
      <c r="AI349" s="255" t="s">
        <v>1312</v>
      </c>
      <c r="AJ349" s="152" t="s">
        <v>1437</v>
      </c>
      <c r="AK349" s="255" t="s">
        <v>562</v>
      </c>
      <c r="AL349" s="279" t="s">
        <v>2163</v>
      </c>
      <c r="AM349" s="279" t="s">
        <v>1866</v>
      </c>
      <c r="AN349" s="161" t="str">
        <f t="shared" ca="1" si="67"/>
        <v>TERMINO</v>
      </c>
      <c r="AO349" s="284" t="s">
        <v>576</v>
      </c>
      <c r="AP349" s="155" t="s">
        <v>391</v>
      </c>
      <c r="AQ349" s="819" t="str">
        <f>IFERROR(VLOOKUP(E349,'liquidaciones '!$B$2:$C$1048576,2,0),"NO")</f>
        <v>LIQUIDADO</v>
      </c>
      <c r="AR349" s="909">
        <f>IFERROR(VLOOKUP(E349,'liquidaciones '!$B$2:$I$1048576,8,0),"")</f>
        <v>0</v>
      </c>
      <c r="AS349" s="312"/>
      <c r="AT349" s="156" t="str">
        <f t="shared" ca="1" si="68"/>
        <v>NO</v>
      </c>
      <c r="AU349" s="156" t="s">
        <v>2075</v>
      </c>
      <c r="AV349" s="406"/>
      <c r="AW349" s="928"/>
      <c r="AX349" s="928"/>
      <c r="AY349" s="928"/>
    </row>
    <row r="350" spans="2:51" ht="20.399999999999999" x14ac:dyDescent="0.3">
      <c r="B350" s="14">
        <v>344</v>
      </c>
      <c r="C350" s="410">
        <v>144</v>
      </c>
      <c r="D350" s="410" t="str">
        <f t="shared" si="59"/>
        <v>2015144</v>
      </c>
      <c r="E350" s="120" t="s">
        <v>2114</v>
      </c>
      <c r="F350" s="834" t="s">
        <v>2115</v>
      </c>
      <c r="G350" s="998">
        <v>860007590</v>
      </c>
      <c r="H350" s="828" t="s">
        <v>2116</v>
      </c>
      <c r="I350" s="187">
        <v>936000</v>
      </c>
      <c r="J350" s="675" t="s">
        <v>2114</v>
      </c>
      <c r="K350" s="269">
        <v>2015</v>
      </c>
      <c r="L350" s="519">
        <v>42220</v>
      </c>
      <c r="M350" s="835">
        <v>42261</v>
      </c>
      <c r="N350" s="835">
        <v>42627</v>
      </c>
      <c r="O350" s="1099" t="str">
        <f>IF(+Modificaciones!I350=0,"",VLOOKUP(E350,Modificaciones!$B$7:$I$2400,8,0))</f>
        <v/>
      </c>
      <c r="P350" s="115">
        <f>COUNTA(Modificaciones!J350,Modificaciones!L350,Modificaciones!N350,Modificaciones!P350)</f>
        <v>0</v>
      </c>
      <c r="Q350" s="116">
        <f>VLOOKUP(E350,Modificaciones!$B$7:$R$2300,17,0)</f>
        <v>0</v>
      </c>
      <c r="R350" s="117">
        <f>COUNTA(Modificaciones!T350,Modificaciones!V350,Modificaciones!X350,Modificaciones!Z350)</f>
        <v>0</v>
      </c>
      <c r="S350" s="118" t="str">
        <f>IF(Modificaciones!AA350=0,"",VLOOKUP(E350,Modificaciones!$B$7:$AA$400,26,0))</f>
        <v/>
      </c>
      <c r="T350" s="119" t="str">
        <f>IF(Modificaciones!AB350=0,"",VLOOKUP(E350,Modificaciones!$B$7:$AB$400,27,0))</f>
        <v/>
      </c>
      <c r="U350" s="1080" t="str">
        <f>+Modificaciones!AC350</f>
        <v/>
      </c>
      <c r="V350" s="825" t="str">
        <f>+Modificaciones!AK350</f>
        <v/>
      </c>
      <c r="W350" s="825">
        <f t="shared" si="63"/>
        <v>42627</v>
      </c>
      <c r="X350" s="59">
        <f t="shared" si="60"/>
        <v>936000</v>
      </c>
      <c r="Y350" s="151">
        <f>VLOOKUP(E350,Modificaciones!$B$7:$BE$2300,56,0)</f>
        <v>936000</v>
      </c>
      <c r="Z350" s="84">
        <f t="shared" si="61"/>
        <v>0</v>
      </c>
      <c r="AA350" s="283" t="s">
        <v>1894</v>
      </c>
      <c r="AB350" s="40">
        <f t="shared" si="62"/>
        <v>1</v>
      </c>
      <c r="AC350" s="40">
        <f t="shared" ca="1" si="64"/>
        <v>1</v>
      </c>
      <c r="AD350" s="41">
        <f t="shared" ca="1" si="65"/>
        <v>0</v>
      </c>
      <c r="AE350" s="181" t="str">
        <f t="shared" ca="1" si="66"/>
        <v/>
      </c>
      <c r="AF350" s="42" t="str">
        <f t="shared" si="58"/>
        <v>SI</v>
      </c>
      <c r="AG350" s="732" t="str">
        <f>VLOOKUP(C350,[2]Hoja4!$A$2:$E$116,5,0)</f>
        <v>SUSCRIPCION</v>
      </c>
      <c r="AH350" s="152" t="s">
        <v>1255</v>
      </c>
      <c r="AI350" s="255" t="s">
        <v>1124</v>
      </c>
      <c r="AJ350" s="152" t="s">
        <v>1429</v>
      </c>
      <c r="AK350" s="255" t="s">
        <v>564</v>
      </c>
      <c r="AL350" s="279"/>
      <c r="AM350" s="279"/>
      <c r="AN350" s="161" t="str">
        <f t="shared" ca="1" si="67"/>
        <v>TERMINO</v>
      </c>
      <c r="AO350" s="284" t="s">
        <v>582</v>
      </c>
      <c r="AP350" s="155" t="s">
        <v>390</v>
      </c>
      <c r="AQ350" s="819" t="str">
        <f>IFERROR(VLOOKUP(E350,'liquidaciones '!$B$2:$C$1048576,2,0),"NO")</f>
        <v>LIQUIDADO</v>
      </c>
      <c r="AR350" s="909">
        <f>IFERROR(VLOOKUP(E350,'liquidaciones '!$B$2:$I$1048576,8,0),"")</f>
        <v>0</v>
      </c>
      <c r="AS350" s="312"/>
      <c r="AT350" s="156" t="str">
        <f t="shared" ca="1" si="68"/>
        <v>NO</v>
      </c>
      <c r="AU350" s="156" t="s">
        <v>2600</v>
      </c>
      <c r="AV350" s="406"/>
      <c r="AW350" s="928"/>
      <c r="AX350" s="928"/>
      <c r="AY350" s="928"/>
    </row>
    <row r="351" spans="2:51" ht="28.8" x14ac:dyDescent="0.3">
      <c r="B351" s="692">
        <v>345</v>
      </c>
      <c r="C351" s="410">
        <v>70</v>
      </c>
      <c r="D351" s="410" t="str">
        <f t="shared" si="59"/>
        <v>201570</v>
      </c>
      <c r="E351" s="120" t="s">
        <v>3171</v>
      </c>
      <c r="F351" s="834" t="s">
        <v>2120</v>
      </c>
      <c r="G351" s="998" t="s">
        <v>2121</v>
      </c>
      <c r="H351" s="828" t="s">
        <v>2122</v>
      </c>
      <c r="I351" s="187">
        <v>31577404</v>
      </c>
      <c r="J351" s="685" t="s">
        <v>2062</v>
      </c>
      <c r="K351" s="269">
        <v>2015</v>
      </c>
      <c r="L351" s="519">
        <v>42208</v>
      </c>
      <c r="M351" s="835">
        <v>42221</v>
      </c>
      <c r="N351" s="835">
        <v>42282</v>
      </c>
      <c r="O351" s="1099" t="str">
        <f>IF(+Modificaciones!I351=0,"",VLOOKUP(E351,Modificaciones!$B$7:$I$2400,8,0))</f>
        <v/>
      </c>
      <c r="P351" s="115">
        <f>COUNTA(Modificaciones!J351,Modificaciones!L351,Modificaciones!N351,Modificaciones!P351)</f>
        <v>0</v>
      </c>
      <c r="Q351" s="116">
        <f>VLOOKUP(E351,Modificaciones!$B$7:$R$2300,17,0)</f>
        <v>0</v>
      </c>
      <c r="R351" s="117">
        <f>COUNTA(Modificaciones!T351,Modificaciones!V351,Modificaciones!X351,Modificaciones!Z351)</f>
        <v>0</v>
      </c>
      <c r="S351" s="118" t="str">
        <f>IF(Modificaciones!AA351=0,"",VLOOKUP(E351,Modificaciones!$B$7:$AA$400,26,0))</f>
        <v/>
      </c>
      <c r="T351" s="119" t="str">
        <f>IF(Modificaciones!AB351=0,"",VLOOKUP(E351,Modificaciones!$B$7:$AB$400,27,0))</f>
        <v/>
      </c>
      <c r="U351" s="1080" t="str">
        <f>+Modificaciones!AC351</f>
        <v/>
      </c>
      <c r="V351" s="825" t="str">
        <f>+Modificaciones!AK351</f>
        <v/>
      </c>
      <c r="W351" s="825">
        <f t="shared" si="63"/>
        <v>42282</v>
      </c>
      <c r="X351" s="59">
        <f t="shared" si="60"/>
        <v>31577404</v>
      </c>
      <c r="Y351" s="151">
        <f>VLOOKUP(E351,Modificaciones!$B$7:$BE$2300,56,0)</f>
        <v>31577404</v>
      </c>
      <c r="Z351" s="84">
        <f t="shared" si="61"/>
        <v>0</v>
      </c>
      <c r="AA351" s="283" t="s">
        <v>1894</v>
      </c>
      <c r="AB351" s="40">
        <f t="shared" si="62"/>
        <v>1</v>
      </c>
      <c r="AC351" s="40">
        <f t="shared" ca="1" si="64"/>
        <v>1</v>
      </c>
      <c r="AD351" s="41">
        <f t="shared" ca="1" si="65"/>
        <v>0</v>
      </c>
      <c r="AE351" s="181" t="str">
        <f t="shared" ca="1" si="66"/>
        <v/>
      </c>
      <c r="AF351" s="42" t="str">
        <f t="shared" ref="AF351:AF382" si="69">IF(AB351&lt;=99.9%,"NO","SI")</f>
        <v>SI</v>
      </c>
      <c r="AG351" s="732" t="str">
        <f>VLOOKUP(C351,[2]Hoja4!$A$2:$E$116,5,0)</f>
        <v>COMPRAVENTA</v>
      </c>
      <c r="AH351" s="152" t="s">
        <v>1256</v>
      </c>
      <c r="AI351" s="255" t="s">
        <v>2123</v>
      </c>
      <c r="AJ351" s="152" t="s">
        <v>1438</v>
      </c>
      <c r="AK351" s="255" t="s">
        <v>560</v>
      </c>
      <c r="AL351" s="279" t="s">
        <v>1508</v>
      </c>
      <c r="AM351" s="279" t="s">
        <v>1866</v>
      </c>
      <c r="AN351" s="161" t="str">
        <f t="shared" ca="1" si="67"/>
        <v>TERMINO</v>
      </c>
      <c r="AO351" s="284" t="s">
        <v>576</v>
      </c>
      <c r="AP351" s="155" t="s">
        <v>391</v>
      </c>
      <c r="AQ351" s="819" t="str">
        <f>IFERROR(VLOOKUP(E351,'liquidaciones '!$B$2:$C$1048576,2,0),"NO")</f>
        <v>LIQUIDADO</v>
      </c>
      <c r="AR351" s="909">
        <f>IFERROR(VLOOKUP(E351,'liquidaciones '!$B$2:$I$1048576,8,0),"")</f>
        <v>0</v>
      </c>
      <c r="AS351" s="312"/>
      <c r="AT351" s="156" t="str">
        <f t="shared" ca="1" si="68"/>
        <v>NO</v>
      </c>
      <c r="AU351" s="156" t="s">
        <v>1991</v>
      </c>
      <c r="AV351" s="406"/>
      <c r="AW351" s="928"/>
      <c r="AX351" s="928"/>
      <c r="AY351" s="928"/>
    </row>
    <row r="352" spans="2:51" ht="40.799999999999997" x14ac:dyDescent="0.3">
      <c r="B352" s="692">
        <v>346</v>
      </c>
      <c r="C352" s="410">
        <v>151</v>
      </c>
      <c r="D352" s="410" t="str">
        <f t="shared" si="59"/>
        <v>2015151</v>
      </c>
      <c r="E352" s="120" t="s">
        <v>2139</v>
      </c>
      <c r="F352" s="834" t="s">
        <v>2142</v>
      </c>
      <c r="G352" s="998" t="s">
        <v>2140</v>
      </c>
      <c r="H352" s="828" t="s">
        <v>2141</v>
      </c>
      <c r="I352" s="187">
        <v>14917500</v>
      </c>
      <c r="J352" s="675" t="s">
        <v>2061</v>
      </c>
      <c r="K352" s="269">
        <v>2015</v>
      </c>
      <c r="L352" s="519">
        <v>42228</v>
      </c>
      <c r="M352" s="835">
        <v>42247</v>
      </c>
      <c r="N352" s="835">
        <v>42551</v>
      </c>
      <c r="O352" s="1099" t="str">
        <f>IF(+Modificaciones!I352=0,"",VLOOKUP(E352,Modificaciones!$B$7:$I$2400,8,0))</f>
        <v/>
      </c>
      <c r="P352" s="115">
        <f>COUNTA(Modificaciones!J352,Modificaciones!L352,Modificaciones!N352,Modificaciones!P352)</f>
        <v>0</v>
      </c>
      <c r="Q352" s="116">
        <f>VLOOKUP(E352,Modificaciones!$B$7:$R$2300,17,0)</f>
        <v>0</v>
      </c>
      <c r="R352" s="117">
        <f>COUNTA(Modificaciones!T352,Modificaciones!V352,Modificaciones!X352,Modificaciones!Z352)</f>
        <v>4</v>
      </c>
      <c r="S352" s="118" t="str">
        <f>IF(Modificaciones!AA352=0,"",VLOOKUP(E352,Modificaciones!$B$7:$AA$400,26,0))</f>
        <v xml:space="preserve">5 meses y 15 días </v>
      </c>
      <c r="T352" s="119">
        <f>IF(Modificaciones!AB352=0,"",VLOOKUP(E352,Modificaciones!$B$7:$AB$400,27,0))</f>
        <v>42689</v>
      </c>
      <c r="U352" s="1080" t="str">
        <f>+Modificaciones!AC352</f>
        <v/>
      </c>
      <c r="V352" s="825" t="str">
        <f>+Modificaciones!AK352</f>
        <v/>
      </c>
      <c r="W352" s="825">
        <f t="shared" si="63"/>
        <v>42689</v>
      </c>
      <c r="X352" s="59">
        <f t="shared" si="60"/>
        <v>14917500</v>
      </c>
      <c r="Y352" s="151">
        <f>VLOOKUP(E352,Modificaciones!$B$7:$BE$2300,56,0)</f>
        <v>14917500</v>
      </c>
      <c r="Z352" s="84">
        <f t="shared" si="61"/>
        <v>0</v>
      </c>
      <c r="AA352" s="283" t="s">
        <v>2143</v>
      </c>
      <c r="AB352" s="40">
        <f t="shared" si="62"/>
        <v>1</v>
      </c>
      <c r="AC352" s="40">
        <f t="shared" ca="1" si="64"/>
        <v>1</v>
      </c>
      <c r="AD352" s="41">
        <f t="shared" ca="1" si="65"/>
        <v>0</v>
      </c>
      <c r="AE352" s="181" t="str">
        <f t="shared" ca="1" si="66"/>
        <v/>
      </c>
      <c r="AF352" s="42" t="str">
        <f t="shared" si="69"/>
        <v>SI</v>
      </c>
      <c r="AG352" s="1023" t="s">
        <v>3673</v>
      </c>
      <c r="AH352" s="152" t="s">
        <v>1255</v>
      </c>
      <c r="AI352" s="255" t="s">
        <v>1140</v>
      </c>
      <c r="AJ352" s="152" t="s">
        <v>1441</v>
      </c>
      <c r="AK352" s="255" t="s">
        <v>560</v>
      </c>
      <c r="AL352" s="153" t="s">
        <v>1379</v>
      </c>
      <c r="AM352" s="279" t="s">
        <v>1866</v>
      </c>
      <c r="AN352" s="161" t="str">
        <f t="shared" ca="1" si="67"/>
        <v>TERMINO</v>
      </c>
      <c r="AO352" s="160" t="s">
        <v>576</v>
      </c>
      <c r="AP352" s="155" t="s">
        <v>390</v>
      </c>
      <c r="AQ352" s="819" t="str">
        <f>IFERROR(VLOOKUP(E352,'liquidaciones '!$B$2:$C$1048576,2,0),"NO")</f>
        <v>LIQUIDADO</v>
      </c>
      <c r="AR352" s="909">
        <f>IFERROR(VLOOKUP(E352,'liquidaciones '!$B$2:$I$1048576,8,0),"")</f>
        <v>0</v>
      </c>
      <c r="AS352" s="312"/>
      <c r="AT352" s="156" t="str">
        <f t="shared" ca="1" si="68"/>
        <v>NO</v>
      </c>
      <c r="AU352" s="406" t="s">
        <v>2960</v>
      </c>
      <c r="AV352" s="406"/>
      <c r="AW352" s="928"/>
      <c r="AX352" s="928"/>
      <c r="AY352" s="928"/>
    </row>
    <row r="353" spans="2:51" ht="30.6" x14ac:dyDescent="0.3">
      <c r="B353" s="692">
        <v>347</v>
      </c>
      <c r="C353" s="410">
        <v>148</v>
      </c>
      <c r="D353" s="410" t="str">
        <f t="shared" si="59"/>
        <v>2015148</v>
      </c>
      <c r="E353" s="120" t="s">
        <v>2144</v>
      </c>
      <c r="F353" s="834" t="s">
        <v>2145</v>
      </c>
      <c r="G353" s="998">
        <v>860536029</v>
      </c>
      <c r="H353" s="828" t="s">
        <v>2146</v>
      </c>
      <c r="I353" s="187">
        <v>880500</v>
      </c>
      <c r="J353" s="675" t="s">
        <v>2144</v>
      </c>
      <c r="K353" s="269">
        <v>2015</v>
      </c>
      <c r="L353" s="519">
        <v>42230</v>
      </c>
      <c r="M353" s="835">
        <v>42262</v>
      </c>
      <c r="N353" s="835">
        <v>42628</v>
      </c>
      <c r="O353" s="1099" t="str">
        <f>IF(+Modificaciones!I353=0,"",VLOOKUP(E353,Modificaciones!$B$7:$I$2400,8,0))</f>
        <v/>
      </c>
      <c r="P353" s="115">
        <f>COUNTA(Modificaciones!J353,Modificaciones!L353,Modificaciones!N353,Modificaciones!P353)</f>
        <v>0</v>
      </c>
      <c r="Q353" s="116">
        <f>VLOOKUP(E353,Modificaciones!$B$7:$R$2300,17,0)</f>
        <v>0</v>
      </c>
      <c r="R353" s="117">
        <f>COUNTA(Modificaciones!T353,Modificaciones!V353,Modificaciones!X353,Modificaciones!Z353)</f>
        <v>0</v>
      </c>
      <c r="S353" s="118" t="str">
        <f>IF(Modificaciones!AA353=0,"",VLOOKUP(E353,Modificaciones!$B$7:$AA$400,26,0))</f>
        <v/>
      </c>
      <c r="T353" s="119" t="str">
        <f>IF(Modificaciones!AB353=0,"",VLOOKUP(E353,Modificaciones!$B$7:$AB$400,27,0))</f>
        <v/>
      </c>
      <c r="U353" s="1080" t="str">
        <f>+Modificaciones!AC353</f>
        <v/>
      </c>
      <c r="V353" s="825" t="str">
        <f>+Modificaciones!AK353</f>
        <v/>
      </c>
      <c r="W353" s="825">
        <f t="shared" si="63"/>
        <v>42628</v>
      </c>
      <c r="X353" s="59">
        <f t="shared" si="60"/>
        <v>880500</v>
      </c>
      <c r="Y353" s="151">
        <f>VLOOKUP(E353,Modificaciones!$B$7:$BE$2300,56,0)</f>
        <v>880500</v>
      </c>
      <c r="Z353" s="84">
        <f t="shared" si="61"/>
        <v>0</v>
      </c>
      <c r="AA353" s="283" t="s">
        <v>1894</v>
      </c>
      <c r="AB353" s="40">
        <f t="shared" si="62"/>
        <v>1</v>
      </c>
      <c r="AC353" s="40">
        <f t="shared" ca="1" si="64"/>
        <v>1</v>
      </c>
      <c r="AD353" s="41">
        <f t="shared" ca="1" si="65"/>
        <v>0</v>
      </c>
      <c r="AE353" s="181" t="str">
        <f t="shared" ca="1" si="66"/>
        <v/>
      </c>
      <c r="AF353" s="42" t="str">
        <f t="shared" si="69"/>
        <v>SI</v>
      </c>
      <c r="AG353" s="732" t="str">
        <f>VLOOKUP(C353,[2]Hoja4!$A$2:$E$116,5,0)</f>
        <v>SUSCRIPCION</v>
      </c>
      <c r="AH353" s="152" t="s">
        <v>1255</v>
      </c>
      <c r="AI353" s="255" t="s">
        <v>1124</v>
      </c>
      <c r="AJ353" s="152" t="s">
        <v>1429</v>
      </c>
      <c r="AK353" s="255" t="s">
        <v>564</v>
      </c>
      <c r="AL353" s="279"/>
      <c r="AM353" s="279"/>
      <c r="AN353" s="161" t="str">
        <f t="shared" ca="1" si="67"/>
        <v>TERMINO</v>
      </c>
      <c r="AO353" s="284" t="s">
        <v>582</v>
      </c>
      <c r="AP353" s="155" t="s">
        <v>390</v>
      </c>
      <c r="AQ353" s="819" t="str">
        <f>IFERROR(VLOOKUP(E353,'liquidaciones '!$B$2:$C$1048576,2,0),"NO")</f>
        <v>LIQUIDADO</v>
      </c>
      <c r="AR353" s="909">
        <f>IFERROR(VLOOKUP(E353,'liquidaciones '!$B$2:$I$1048576,8,0),"")</f>
        <v>0</v>
      </c>
      <c r="AS353" s="312"/>
      <c r="AT353" s="156" t="str">
        <f t="shared" ca="1" si="68"/>
        <v>NO</v>
      </c>
      <c r="AU353" s="156" t="s">
        <v>2598</v>
      </c>
      <c r="AV353" s="406"/>
      <c r="AW353" s="928"/>
      <c r="AX353" s="928"/>
      <c r="AY353" s="928"/>
    </row>
    <row r="354" spans="2:51" ht="40.799999999999997" x14ac:dyDescent="0.3">
      <c r="B354" s="692">
        <v>348</v>
      </c>
      <c r="C354" s="410">
        <v>155</v>
      </c>
      <c r="D354" s="410" t="str">
        <f t="shared" si="59"/>
        <v>2015155</v>
      </c>
      <c r="E354" s="120" t="s">
        <v>2151</v>
      </c>
      <c r="F354" s="834" t="s">
        <v>2152</v>
      </c>
      <c r="G354" s="998" t="s">
        <v>2153</v>
      </c>
      <c r="H354" s="828" t="s">
        <v>2154</v>
      </c>
      <c r="I354" s="187">
        <v>5000000</v>
      </c>
      <c r="J354" s="675" t="s">
        <v>2104</v>
      </c>
      <c r="K354" s="269">
        <v>2015</v>
      </c>
      <c r="L354" s="519">
        <v>42236</v>
      </c>
      <c r="M354" s="835">
        <v>42244</v>
      </c>
      <c r="N354" s="835">
        <v>42549</v>
      </c>
      <c r="O354" s="1099" t="str">
        <f>IF(+Modificaciones!I354=0,"",VLOOKUP(E354,Modificaciones!$B$7:$I$2400,8,0))</f>
        <v/>
      </c>
      <c r="P354" s="115">
        <f>COUNTA(Modificaciones!J354,Modificaciones!L354,Modificaciones!N354,Modificaciones!P354)</f>
        <v>0</v>
      </c>
      <c r="Q354" s="116">
        <f>VLOOKUP(E354,Modificaciones!$B$7:$R$2300,17,0)</f>
        <v>0</v>
      </c>
      <c r="R354" s="117">
        <f>COUNTA(Modificaciones!T354,Modificaciones!V354,Modificaciones!X354,Modificaciones!Z354)</f>
        <v>1</v>
      </c>
      <c r="S354" s="118" t="str">
        <f>IF(Modificaciones!AA354=0,"",VLOOKUP(E354,Modificaciones!$B$7:$AA$400,26,0))</f>
        <v>2 meses</v>
      </c>
      <c r="T354" s="119">
        <f>IF(Modificaciones!AB354=0,"",VLOOKUP(E354,Modificaciones!$B$7:$AB$400,27,0))</f>
        <v>42610</v>
      </c>
      <c r="U354" s="1080" t="str">
        <f>+Modificaciones!AC354</f>
        <v/>
      </c>
      <c r="V354" s="825" t="str">
        <f>+Modificaciones!AK354</f>
        <v/>
      </c>
      <c r="W354" s="825">
        <f t="shared" si="63"/>
        <v>42610</v>
      </c>
      <c r="X354" s="59">
        <f t="shared" si="60"/>
        <v>5000000</v>
      </c>
      <c r="Y354" s="151">
        <f>VLOOKUP(E354,Modificaciones!$B$7:$BE$2300,56,0)</f>
        <v>3448399</v>
      </c>
      <c r="Z354" s="84">
        <f t="shared" si="61"/>
        <v>1551601</v>
      </c>
      <c r="AA354" s="283" t="s">
        <v>2155</v>
      </c>
      <c r="AB354" s="40">
        <f t="shared" si="62"/>
        <v>0.68967979999999995</v>
      </c>
      <c r="AC354" s="40">
        <f t="shared" ca="1" si="64"/>
        <v>1</v>
      </c>
      <c r="AD354" s="41">
        <f t="shared" ca="1" si="65"/>
        <v>0.31032020000000005</v>
      </c>
      <c r="AE354" s="181" t="str">
        <f t="shared" ca="1" si="66"/>
        <v/>
      </c>
      <c r="AF354" s="42" t="str">
        <f t="shared" si="69"/>
        <v>NO</v>
      </c>
      <c r="AG354" s="732" t="str">
        <f>VLOOKUP(C354,[2]Hoja4!$A$2:$E$116,5,0)</f>
        <v>PRESTACION DE SERVICIOS</v>
      </c>
      <c r="AH354" s="152" t="s">
        <v>1255</v>
      </c>
      <c r="AI354" s="255" t="s">
        <v>1171</v>
      </c>
      <c r="AJ354" s="152" t="s">
        <v>1441</v>
      </c>
      <c r="AK354" s="255" t="s">
        <v>560</v>
      </c>
      <c r="AL354" s="153" t="s">
        <v>1379</v>
      </c>
      <c r="AM354" s="279" t="s">
        <v>1866</v>
      </c>
      <c r="AN354" s="161" t="str">
        <f t="shared" ca="1" si="67"/>
        <v>TERMINO</v>
      </c>
      <c r="AO354" s="160" t="s">
        <v>576</v>
      </c>
      <c r="AP354" s="155" t="s">
        <v>390</v>
      </c>
      <c r="AQ354" s="819" t="str">
        <f>IFERROR(VLOOKUP(E354,'liquidaciones '!$B$2:$C$1048576,2,0),"NO")</f>
        <v>DEVUELTO</v>
      </c>
      <c r="AR354" s="909" t="str">
        <f>IFERROR(VLOOKUP(E354,'liquidaciones '!$B$2:$I$1048576,8,0),"")</f>
        <v>JULIETH ANGARITA</v>
      </c>
      <c r="AS354" s="312"/>
      <c r="AT354" s="156" t="str">
        <f t="shared" ca="1" si="68"/>
        <v>NO</v>
      </c>
      <c r="AU354" s="156" t="s">
        <v>2599</v>
      </c>
      <c r="AV354" s="406"/>
      <c r="AW354" s="928"/>
      <c r="AX354" s="928"/>
      <c r="AY354" s="928"/>
    </row>
    <row r="355" spans="2:51" ht="20.399999999999999" x14ac:dyDescent="0.3">
      <c r="B355" s="692">
        <v>349</v>
      </c>
      <c r="C355" s="410">
        <v>146</v>
      </c>
      <c r="D355" s="410" t="str">
        <f t="shared" si="59"/>
        <v>2015146</v>
      </c>
      <c r="E355" s="120" t="s">
        <v>2159</v>
      </c>
      <c r="F355" s="834" t="s">
        <v>33</v>
      </c>
      <c r="G355" s="998">
        <v>860509265</v>
      </c>
      <c r="H355" s="828" t="s">
        <v>2160</v>
      </c>
      <c r="I355" s="187">
        <v>825000</v>
      </c>
      <c r="J355" s="675" t="s">
        <v>2159</v>
      </c>
      <c r="K355" s="269">
        <v>2015</v>
      </c>
      <c r="L355" s="519">
        <v>42237</v>
      </c>
      <c r="M355" s="835">
        <v>42278</v>
      </c>
      <c r="N355" s="835">
        <v>42644</v>
      </c>
      <c r="O355" s="1099" t="str">
        <f>IF(+Modificaciones!I355=0,"",VLOOKUP(E355,Modificaciones!$B$7:$I$2400,8,0))</f>
        <v/>
      </c>
      <c r="P355" s="115">
        <f>COUNTA(Modificaciones!J355,Modificaciones!L355,Modificaciones!N355,Modificaciones!P355)</f>
        <v>0</v>
      </c>
      <c r="Q355" s="116">
        <f>VLOOKUP(E355,Modificaciones!$B$7:$R$2300,17,0)</f>
        <v>0</v>
      </c>
      <c r="R355" s="117">
        <f>COUNTA(Modificaciones!T355,Modificaciones!V355,Modificaciones!X355,Modificaciones!Z355)</f>
        <v>0</v>
      </c>
      <c r="S355" s="118" t="str">
        <f>IF(Modificaciones!AA355=0,"",VLOOKUP(E355,Modificaciones!$B$7:$AA$400,26,0))</f>
        <v/>
      </c>
      <c r="T355" s="119" t="str">
        <f>IF(Modificaciones!AB355=0,"",VLOOKUP(E355,Modificaciones!$B$7:$AB$400,27,0))</f>
        <v/>
      </c>
      <c r="U355" s="1080" t="str">
        <f>+Modificaciones!AC355</f>
        <v/>
      </c>
      <c r="V355" s="825" t="str">
        <f>+Modificaciones!AK355</f>
        <v/>
      </c>
      <c r="W355" s="825">
        <f t="shared" si="63"/>
        <v>42644</v>
      </c>
      <c r="X355" s="59">
        <f t="shared" si="60"/>
        <v>825000</v>
      </c>
      <c r="Y355" s="151">
        <f>VLOOKUP(E355,Modificaciones!$B$7:$BE$2300,56,0)</f>
        <v>825000</v>
      </c>
      <c r="Z355" s="84">
        <f t="shared" si="61"/>
        <v>0</v>
      </c>
      <c r="AA355" s="283" t="s">
        <v>1894</v>
      </c>
      <c r="AB355" s="40">
        <f t="shared" si="62"/>
        <v>1</v>
      </c>
      <c r="AC355" s="40">
        <f t="shared" ca="1" si="64"/>
        <v>1</v>
      </c>
      <c r="AD355" s="41">
        <f t="shared" ca="1" si="65"/>
        <v>0</v>
      </c>
      <c r="AE355" s="181" t="str">
        <f t="shared" ca="1" si="66"/>
        <v/>
      </c>
      <c r="AF355" s="42" t="str">
        <f t="shared" si="69"/>
        <v>SI</v>
      </c>
      <c r="AG355" s="732" t="str">
        <f>VLOOKUP(C355,[2]Hoja4!$A$2:$E$116,5,0)</f>
        <v>SUSCRIPCION</v>
      </c>
      <c r="AH355" s="152" t="s">
        <v>1255</v>
      </c>
      <c r="AI355" s="275" t="s">
        <v>1468</v>
      </c>
      <c r="AJ355" s="152" t="s">
        <v>1429</v>
      </c>
      <c r="AK355" s="255" t="s">
        <v>564</v>
      </c>
      <c r="AL355" s="279"/>
      <c r="AM355" s="279" t="s">
        <v>1866</v>
      </c>
      <c r="AN355" s="161" t="str">
        <f t="shared" ca="1" si="67"/>
        <v>TERMINO</v>
      </c>
      <c r="AO355" s="160" t="s">
        <v>582</v>
      </c>
      <c r="AP355" s="155" t="s">
        <v>390</v>
      </c>
      <c r="AQ355" s="819" t="str">
        <f>IFERROR(VLOOKUP(E355,'liquidaciones '!$B$2:$C$1048576,2,0),"NO")</f>
        <v>LIQUIDADO</v>
      </c>
      <c r="AR355" s="909">
        <f>IFERROR(VLOOKUP(E355,'liquidaciones '!$B$2:$I$1048576,8,0),"")</f>
        <v>0</v>
      </c>
      <c r="AS355" s="312"/>
      <c r="AT355" s="156" t="str">
        <f t="shared" ca="1" si="68"/>
        <v>NO</v>
      </c>
      <c r="AU355" s="156" t="s">
        <v>2600</v>
      </c>
      <c r="AV355" s="406"/>
      <c r="AW355" s="928"/>
      <c r="AX355" s="928"/>
      <c r="AY355" s="928"/>
    </row>
    <row r="356" spans="2:51" ht="51" x14ac:dyDescent="0.3">
      <c r="B356" s="692">
        <v>350</v>
      </c>
      <c r="C356" s="410">
        <v>282</v>
      </c>
      <c r="D356" s="410" t="str">
        <f t="shared" si="59"/>
        <v>2015282</v>
      </c>
      <c r="E356" s="120" t="s">
        <v>2179</v>
      </c>
      <c r="F356" s="834" t="s">
        <v>2180</v>
      </c>
      <c r="G356" s="998">
        <v>900879521</v>
      </c>
      <c r="H356" s="828" t="s">
        <v>2181</v>
      </c>
      <c r="I356" s="187">
        <v>382091582</v>
      </c>
      <c r="J356" s="675" t="s">
        <v>1982</v>
      </c>
      <c r="K356" s="269">
        <v>2015</v>
      </c>
      <c r="L356" s="519">
        <v>42240</v>
      </c>
      <c r="M356" s="835">
        <v>42261</v>
      </c>
      <c r="N356" s="835">
        <v>42565</v>
      </c>
      <c r="O356" s="1099" t="str">
        <f>IF(+Modificaciones!I356=0,"",VLOOKUP(E356,Modificaciones!$B$7:$I$2400,8,0))</f>
        <v/>
      </c>
      <c r="P356" s="115">
        <f>COUNTA(Modificaciones!J356,Modificaciones!L356,Modificaciones!N356,Modificaciones!P356)</f>
        <v>2</v>
      </c>
      <c r="Q356" s="116">
        <f>VLOOKUP(E356,Modificaciones!$B$7:$R$2300,17,0)</f>
        <v>136483034</v>
      </c>
      <c r="R356" s="117">
        <f>COUNTA(Modificaciones!T356,Modificaciones!V356,Modificaciones!X356,Modificaciones!Z356)</f>
        <v>2</v>
      </c>
      <c r="S356" s="118" t="str">
        <f>IF(Modificaciones!AA356=0,"",VLOOKUP(E356,Modificaciones!$B$7:$AA$400,26,0))</f>
        <v>4 meses</v>
      </c>
      <c r="T356" s="119">
        <f>IF(Modificaciones!AB356=0,"",VLOOKUP(E356,Modificaciones!$B$7:$AB$400,27,0))</f>
        <v>42688</v>
      </c>
      <c r="U356" s="1080" t="str">
        <f>+Modificaciones!AC356</f>
        <v/>
      </c>
      <c r="V356" s="825" t="str">
        <f>+Modificaciones!AK356</f>
        <v/>
      </c>
      <c r="W356" s="825">
        <f t="shared" si="63"/>
        <v>42688</v>
      </c>
      <c r="X356" s="59">
        <f t="shared" si="60"/>
        <v>518574616</v>
      </c>
      <c r="Y356" s="151">
        <f>VLOOKUP(E356,Modificaciones!$B$7:$BE$2300,56,0)</f>
        <v>448431545</v>
      </c>
      <c r="Z356" s="84">
        <f t="shared" si="61"/>
        <v>70143071</v>
      </c>
      <c r="AA356" s="283" t="s">
        <v>2182</v>
      </c>
      <c r="AB356" s="40">
        <f t="shared" si="62"/>
        <v>0.86473871100547661</v>
      </c>
      <c r="AC356" s="40">
        <f t="shared" ca="1" si="64"/>
        <v>1</v>
      </c>
      <c r="AD356" s="41">
        <f t="shared" ca="1" si="65"/>
        <v>0.13526128899452339</v>
      </c>
      <c r="AE356" s="181" t="str">
        <f t="shared" ca="1" si="66"/>
        <v/>
      </c>
      <c r="AF356" s="42" t="str">
        <f t="shared" si="69"/>
        <v>NO</v>
      </c>
      <c r="AG356" s="732" t="str">
        <f>VLOOKUP(C356,[2]Hoja4!$A$2:$E$116,5,0)</f>
        <v>PRESTACION DE SERVICIOS</v>
      </c>
      <c r="AH356" s="152" t="s">
        <v>1256</v>
      </c>
      <c r="AI356" s="255" t="s">
        <v>2183</v>
      </c>
      <c r="AJ356" s="152" t="s">
        <v>1438</v>
      </c>
      <c r="AK356" s="255" t="s">
        <v>560</v>
      </c>
      <c r="AL356" s="279" t="s">
        <v>1508</v>
      </c>
      <c r="AM356" s="279" t="s">
        <v>1866</v>
      </c>
      <c r="AN356" s="161" t="str">
        <f t="shared" ca="1" si="67"/>
        <v>TERMINO</v>
      </c>
      <c r="AO356" s="284" t="s">
        <v>573</v>
      </c>
      <c r="AP356" s="155" t="s">
        <v>390</v>
      </c>
      <c r="AQ356" s="819" t="str">
        <f>IFERROR(VLOOKUP(E356,'liquidaciones '!$B$2:$C$1048576,2,0),"NO")</f>
        <v>LIQUIDADO</v>
      </c>
      <c r="AR356" s="909" t="str">
        <f>IFERROR(VLOOKUP(E356,'liquidaciones '!$B$2:$I$1048576,8,0),"")</f>
        <v>JULIETH ANGARITA</v>
      </c>
      <c r="AS356" s="312"/>
      <c r="AT356" s="156" t="str">
        <f t="shared" ca="1" si="68"/>
        <v>NO</v>
      </c>
      <c r="AU356" s="156" t="s">
        <v>2601</v>
      </c>
      <c r="AV356" s="406"/>
      <c r="AW356" s="928"/>
      <c r="AX356" s="928"/>
      <c r="AY356" s="928"/>
    </row>
    <row r="357" spans="2:51" ht="30.6" x14ac:dyDescent="0.3">
      <c r="B357" s="692">
        <v>351</v>
      </c>
      <c r="C357" s="410">
        <v>325</v>
      </c>
      <c r="D357" s="410" t="str">
        <f t="shared" si="59"/>
        <v>2015325</v>
      </c>
      <c r="E357" s="120" t="s">
        <v>2186</v>
      </c>
      <c r="F357" s="834" t="s">
        <v>1534</v>
      </c>
      <c r="G357" s="998">
        <v>80100229</v>
      </c>
      <c r="H357" s="828" t="s">
        <v>2187</v>
      </c>
      <c r="I357" s="187">
        <v>33000000</v>
      </c>
      <c r="J357" s="675" t="s">
        <v>2186</v>
      </c>
      <c r="K357" s="269">
        <v>2015</v>
      </c>
      <c r="L357" s="519">
        <v>42244</v>
      </c>
      <c r="M357" s="835">
        <v>42249</v>
      </c>
      <c r="N357" s="835">
        <v>42431</v>
      </c>
      <c r="O357" s="1099" t="str">
        <f>IF(+Modificaciones!I357=0,"",VLOOKUP(E357,Modificaciones!$B$7:$I$2400,8,0))</f>
        <v/>
      </c>
      <c r="P357" s="115">
        <f>COUNTA(Modificaciones!J357,Modificaciones!L357,Modificaciones!N357,Modificaciones!P357)</f>
        <v>0</v>
      </c>
      <c r="Q357" s="116">
        <f>VLOOKUP(E357,Modificaciones!$B$7:$R$2300,17,0)</f>
        <v>0</v>
      </c>
      <c r="R357" s="117">
        <f>COUNTA(Modificaciones!T357,Modificaciones!V357,Modificaciones!X357,Modificaciones!Z357)</f>
        <v>0</v>
      </c>
      <c r="S357" s="118" t="str">
        <f>IF(Modificaciones!AA357=0,"",VLOOKUP(E357,Modificaciones!$B$7:$AA$400,26,0))</f>
        <v/>
      </c>
      <c r="T357" s="119" t="str">
        <f>IF(Modificaciones!AB357=0,"",VLOOKUP(E357,Modificaciones!$B$7:$AB$400,27,0))</f>
        <v/>
      </c>
      <c r="U357" s="1080" t="str">
        <f>+Modificaciones!AC357</f>
        <v/>
      </c>
      <c r="V357" s="825" t="str">
        <f>+Modificaciones!AK357</f>
        <v/>
      </c>
      <c r="W357" s="825">
        <f t="shared" si="63"/>
        <v>42431</v>
      </c>
      <c r="X357" s="59">
        <f t="shared" si="60"/>
        <v>33000000</v>
      </c>
      <c r="Y357" s="151">
        <f>VLOOKUP(E357,Modificaciones!$B$7:$BE$2300,56,0)</f>
        <v>33000000</v>
      </c>
      <c r="Z357" s="84">
        <f t="shared" si="61"/>
        <v>0</v>
      </c>
      <c r="AA357" s="283" t="s">
        <v>1094</v>
      </c>
      <c r="AB357" s="40">
        <f t="shared" si="62"/>
        <v>1</v>
      </c>
      <c r="AC357" s="40">
        <f t="shared" ca="1" si="64"/>
        <v>1</v>
      </c>
      <c r="AD357" s="41">
        <f t="shared" ca="1" si="65"/>
        <v>0</v>
      </c>
      <c r="AE357" s="181" t="str">
        <f t="shared" ca="1" si="66"/>
        <v/>
      </c>
      <c r="AF357" s="42" t="str">
        <f t="shared" si="69"/>
        <v>SI</v>
      </c>
      <c r="AG357" s="732" t="s">
        <v>5773</v>
      </c>
      <c r="AH357" s="152" t="s">
        <v>1256</v>
      </c>
      <c r="AI357" s="152" t="s">
        <v>2189</v>
      </c>
      <c r="AJ357" s="152" t="s">
        <v>1176</v>
      </c>
      <c r="AK357" s="255" t="s">
        <v>559</v>
      </c>
      <c r="AL357" s="279" t="s">
        <v>2188</v>
      </c>
      <c r="AM357" s="279" t="s">
        <v>1866</v>
      </c>
      <c r="AN357" s="161" t="str">
        <f t="shared" ca="1" si="67"/>
        <v>TERMINO</v>
      </c>
      <c r="AO357" s="284" t="s">
        <v>582</v>
      </c>
      <c r="AP357" s="155" t="s">
        <v>391</v>
      </c>
      <c r="AQ357" s="819" t="str">
        <f>IFERROR(VLOOKUP(E357,'liquidaciones '!$B$2:$C$1048576,2,0),"NO")</f>
        <v>LIQUIDADO</v>
      </c>
      <c r="AR357" s="909">
        <f>IFERROR(VLOOKUP(E357,'liquidaciones '!$B$2:$I$1048576,8,0),"")</f>
        <v>0</v>
      </c>
      <c r="AS357" s="312"/>
      <c r="AT357" s="156" t="str">
        <f t="shared" ca="1" si="68"/>
        <v>NO</v>
      </c>
      <c r="AU357" s="156"/>
      <c r="AV357" s="406"/>
      <c r="AW357" s="928"/>
      <c r="AX357" s="928"/>
      <c r="AY357" s="928"/>
    </row>
    <row r="358" spans="2:51" ht="20.399999999999999" x14ac:dyDescent="0.3">
      <c r="B358" s="692">
        <v>352</v>
      </c>
      <c r="C358" s="410">
        <v>187</v>
      </c>
      <c r="D358" s="410" t="str">
        <f t="shared" si="59"/>
        <v>2015187</v>
      </c>
      <c r="E358" s="120" t="s">
        <v>2191</v>
      </c>
      <c r="F358" s="834" t="s">
        <v>2192</v>
      </c>
      <c r="G358" s="998" t="s">
        <v>2193</v>
      </c>
      <c r="H358" s="828" t="s">
        <v>2194</v>
      </c>
      <c r="I358" s="187">
        <v>19141000</v>
      </c>
      <c r="J358" s="675" t="s">
        <v>2117</v>
      </c>
      <c r="K358" s="269">
        <v>2015</v>
      </c>
      <c r="L358" s="519">
        <v>42248</v>
      </c>
      <c r="M358" s="835">
        <v>42262</v>
      </c>
      <c r="N358" s="835">
        <v>42384</v>
      </c>
      <c r="O358" s="1099" t="str">
        <f>IF(+Modificaciones!I358=0,"",VLOOKUP(E358,Modificaciones!$B$7:$I$2400,8,0))</f>
        <v/>
      </c>
      <c r="P358" s="115">
        <f>COUNTA(Modificaciones!J358,Modificaciones!L358,Modificaciones!N358,Modificaciones!P358)</f>
        <v>0</v>
      </c>
      <c r="Q358" s="116">
        <f>VLOOKUP(E358,Modificaciones!$B$7:$R$2300,17,0)</f>
        <v>0</v>
      </c>
      <c r="R358" s="117">
        <f>COUNTA(Modificaciones!T358,Modificaciones!V358,Modificaciones!X358,Modificaciones!Z358)</f>
        <v>0</v>
      </c>
      <c r="S358" s="118" t="str">
        <f>IF(Modificaciones!AA358=0,"",VLOOKUP(E358,Modificaciones!$B$7:$AA$400,26,0))</f>
        <v/>
      </c>
      <c r="T358" s="119" t="str">
        <f>IF(Modificaciones!AB358=0,"",VLOOKUP(E358,Modificaciones!$B$7:$AB$400,27,0))</f>
        <v/>
      </c>
      <c r="U358" s="1080" t="str">
        <f>+Modificaciones!AC358</f>
        <v/>
      </c>
      <c r="V358" s="825" t="str">
        <f>+Modificaciones!AK358</f>
        <v/>
      </c>
      <c r="W358" s="825">
        <f t="shared" si="63"/>
        <v>42384</v>
      </c>
      <c r="X358" s="59">
        <f t="shared" si="60"/>
        <v>19141000</v>
      </c>
      <c r="Y358" s="151">
        <f>VLOOKUP(E358,Modificaciones!$B$7:$BE$2300,56,0)</f>
        <v>19140398</v>
      </c>
      <c r="Z358" s="84">
        <f t="shared" si="61"/>
        <v>602</v>
      </c>
      <c r="AA358" s="283" t="s">
        <v>2195</v>
      </c>
      <c r="AB358" s="40">
        <f t="shared" si="62"/>
        <v>0.9999685491876078</v>
      </c>
      <c r="AC358" s="40">
        <f t="shared" ca="1" si="64"/>
        <v>1</v>
      </c>
      <c r="AD358" s="41">
        <f t="shared" ca="1" si="65"/>
        <v>3.1450812392197491E-5</v>
      </c>
      <c r="AE358" s="181" t="str">
        <f t="shared" ca="1" si="66"/>
        <v/>
      </c>
      <c r="AF358" s="42" t="str">
        <f t="shared" si="69"/>
        <v>SI</v>
      </c>
      <c r="AG358" s="732" t="str">
        <f>VLOOKUP(C358,[2]Hoja4!$A$2:$E$116,5,0)</f>
        <v>COMPRAVENTA</v>
      </c>
      <c r="AH358" s="152" t="s">
        <v>1255</v>
      </c>
      <c r="AI358" s="255" t="s">
        <v>1303</v>
      </c>
      <c r="AJ358" s="152" t="s">
        <v>1434</v>
      </c>
      <c r="AK358" s="255" t="s">
        <v>560</v>
      </c>
      <c r="AL358" s="153" t="s">
        <v>1387</v>
      </c>
      <c r="AM358" s="279" t="s">
        <v>1866</v>
      </c>
      <c r="AN358" s="161" t="str">
        <f t="shared" ca="1" si="67"/>
        <v>TERMINO</v>
      </c>
      <c r="AO358" s="284" t="s">
        <v>576</v>
      </c>
      <c r="AP358" s="155" t="s">
        <v>390</v>
      </c>
      <c r="AQ358" s="819" t="str">
        <f>IFERROR(VLOOKUP(E358,'liquidaciones '!$B$2:$C$1048576,2,0),"NO")</f>
        <v>LIQUIDADO</v>
      </c>
      <c r="AR358" s="909">
        <f>IFERROR(VLOOKUP(E358,'liquidaciones '!$B$2:$I$1048576,8,0),"")</f>
        <v>0</v>
      </c>
      <c r="AS358" s="312"/>
      <c r="AT358" s="156" t="str">
        <f t="shared" ca="1" si="68"/>
        <v>NO</v>
      </c>
      <c r="AU358" s="156" t="s">
        <v>1569</v>
      </c>
      <c r="AV358" s="406"/>
      <c r="AW358" s="928"/>
      <c r="AX358" s="928"/>
      <c r="AY358" s="928"/>
    </row>
    <row r="359" spans="2:51" ht="20.399999999999999" x14ac:dyDescent="0.3">
      <c r="B359" s="692">
        <v>353</v>
      </c>
      <c r="C359" s="410">
        <v>326</v>
      </c>
      <c r="D359" s="410" t="str">
        <f t="shared" si="59"/>
        <v>2015326</v>
      </c>
      <c r="E359" s="120" t="s">
        <v>2196</v>
      </c>
      <c r="F359" s="834" t="s">
        <v>142</v>
      </c>
      <c r="G359" s="998">
        <v>800026212</v>
      </c>
      <c r="H359" s="828" t="s">
        <v>2197</v>
      </c>
      <c r="I359" s="187">
        <v>72727824</v>
      </c>
      <c r="J359" s="675" t="s">
        <v>2196</v>
      </c>
      <c r="K359" s="269">
        <v>2015</v>
      </c>
      <c r="L359" s="519">
        <v>42236</v>
      </c>
      <c r="M359" s="835">
        <v>42244</v>
      </c>
      <c r="N359" s="835">
        <v>42305</v>
      </c>
      <c r="O359" s="1099" t="str">
        <f>IF(+Modificaciones!I359=0,"",VLOOKUP(E359,Modificaciones!$B$7:$I$2400,8,0))</f>
        <v/>
      </c>
      <c r="P359" s="115">
        <f>COUNTA(Modificaciones!J359,Modificaciones!L359,Modificaciones!N359,Modificaciones!P359)</f>
        <v>0</v>
      </c>
      <c r="Q359" s="116">
        <f>VLOOKUP(E359,Modificaciones!$B$7:$R$2300,17,0)</f>
        <v>0</v>
      </c>
      <c r="R359" s="117">
        <f>COUNTA(Modificaciones!T359,Modificaciones!V359,Modificaciones!X359,Modificaciones!Z359)</f>
        <v>0</v>
      </c>
      <c r="S359" s="118" t="str">
        <f>IF(Modificaciones!AA359=0,"",VLOOKUP(E359,Modificaciones!$B$7:$AA$400,26,0))</f>
        <v/>
      </c>
      <c r="T359" s="119" t="str">
        <f>IF(Modificaciones!AB359=0,"",VLOOKUP(E359,Modificaciones!$B$7:$AB$400,27,0))</f>
        <v/>
      </c>
      <c r="U359" s="1080" t="str">
        <f>+Modificaciones!AC359</f>
        <v/>
      </c>
      <c r="V359" s="825" t="str">
        <f>+Modificaciones!AK359</f>
        <v/>
      </c>
      <c r="W359" s="825">
        <f t="shared" si="63"/>
        <v>42305</v>
      </c>
      <c r="X359" s="59">
        <f t="shared" si="60"/>
        <v>72727824</v>
      </c>
      <c r="Y359" s="151">
        <f>VLOOKUP(E359,Modificaciones!$B$7:$BE$2300,56,0)</f>
        <v>72727824</v>
      </c>
      <c r="Z359" s="84">
        <f t="shared" si="61"/>
        <v>0</v>
      </c>
      <c r="AA359" s="283" t="s">
        <v>2113</v>
      </c>
      <c r="AB359" s="40">
        <f t="shared" si="62"/>
        <v>1</v>
      </c>
      <c r="AC359" s="40">
        <f t="shared" ca="1" si="64"/>
        <v>1</v>
      </c>
      <c r="AD359" s="41">
        <f t="shared" ca="1" si="65"/>
        <v>0</v>
      </c>
      <c r="AE359" s="181" t="str">
        <f t="shared" ca="1" si="66"/>
        <v/>
      </c>
      <c r="AF359" s="42" t="str">
        <f t="shared" si="69"/>
        <v>SI</v>
      </c>
      <c r="AG359" s="732" t="str">
        <f>VLOOKUP(C359,[2]Hoja4!$A$2:$E$116,5,0)</f>
        <v>NA</v>
      </c>
      <c r="AH359" s="152" t="s">
        <v>1256</v>
      </c>
      <c r="AI359" s="255" t="s">
        <v>2198</v>
      </c>
      <c r="AJ359" s="152" t="s">
        <v>1438</v>
      </c>
      <c r="AK359" s="255" t="s">
        <v>560</v>
      </c>
      <c r="AL359" s="279" t="s">
        <v>1508</v>
      </c>
      <c r="AM359" s="279" t="s">
        <v>1866</v>
      </c>
      <c r="AN359" s="161" t="str">
        <f t="shared" ca="1" si="67"/>
        <v>TERMINO</v>
      </c>
      <c r="AO359" s="284" t="s">
        <v>582</v>
      </c>
      <c r="AP359" s="155" t="s">
        <v>390</v>
      </c>
      <c r="AQ359" s="819" t="str">
        <f>IFERROR(VLOOKUP(E359,'liquidaciones '!$B$2:$C$1048576,2,0),"NO")</f>
        <v>LIQUIDADO</v>
      </c>
      <c r="AR359" s="909" t="str">
        <f>IFERROR(VLOOKUP(E359,'liquidaciones '!$B$2:$I$1048576,8,0),"")</f>
        <v>GIOVANNI SUAREZ</v>
      </c>
      <c r="AS359" s="312"/>
      <c r="AT359" s="156" t="str">
        <f t="shared" ca="1" si="68"/>
        <v>NO</v>
      </c>
      <c r="AU359" s="156" t="s">
        <v>1991</v>
      </c>
      <c r="AV359" s="406"/>
      <c r="AW359" s="928"/>
      <c r="AX359" s="928"/>
      <c r="AY359" s="928"/>
    </row>
    <row r="360" spans="2:51" ht="61.2" x14ac:dyDescent="0.3">
      <c r="B360" s="692">
        <v>354</v>
      </c>
      <c r="C360" s="410">
        <v>57</v>
      </c>
      <c r="D360" s="410" t="str">
        <f t="shared" si="59"/>
        <v>201557</v>
      </c>
      <c r="E360" s="120" t="s">
        <v>2202</v>
      </c>
      <c r="F360" s="254" t="s">
        <v>2203</v>
      </c>
      <c r="G360" s="998">
        <v>9008873661</v>
      </c>
      <c r="H360" s="828" t="s">
        <v>2204</v>
      </c>
      <c r="I360" s="187">
        <v>154954934</v>
      </c>
      <c r="J360" s="675" t="s">
        <v>2156</v>
      </c>
      <c r="K360" s="269">
        <v>2015</v>
      </c>
      <c r="L360" s="519">
        <v>42258</v>
      </c>
      <c r="M360" s="270">
        <v>42293</v>
      </c>
      <c r="N360" s="270">
        <v>42659</v>
      </c>
      <c r="O360" s="1099" t="str">
        <f>IF(+Modificaciones!I360=0,"",VLOOKUP(E360,Modificaciones!$B$7:$I$2400,8,0))</f>
        <v/>
      </c>
      <c r="P360" s="115">
        <f>COUNTA(Modificaciones!J360,Modificaciones!L360,Modificaciones!N360,Modificaciones!P360)</f>
        <v>1</v>
      </c>
      <c r="Q360" s="116">
        <f>VLOOKUP(E360,Modificaciones!$B$7:$R$2300,17,0)</f>
        <v>77477467</v>
      </c>
      <c r="R360" s="117">
        <f>COUNTA(Modificaciones!T360,Modificaciones!V360,Modificaciones!X360,Modificaciones!Z360)</f>
        <v>1</v>
      </c>
      <c r="S360" s="118" t="str">
        <f>IF(Modificaciones!AA360=0,"",VLOOKUP(E360,Modificaciones!$B$7:$AA$400,26,0))</f>
        <v>6 meses</v>
      </c>
      <c r="T360" s="119">
        <f>IF(Modificaciones!AB360=0,"",VLOOKUP(E360,Modificaciones!$B$7:$AB$400,27,0))</f>
        <v>42841</v>
      </c>
      <c r="U360" s="1080" t="str">
        <f>+Modificaciones!AC360</f>
        <v/>
      </c>
      <c r="V360" s="825" t="str">
        <f>+Modificaciones!AK360</f>
        <v/>
      </c>
      <c r="W360" s="825">
        <f t="shared" si="63"/>
        <v>42841</v>
      </c>
      <c r="X360" s="59">
        <f t="shared" si="60"/>
        <v>232432401</v>
      </c>
      <c r="Y360" s="151">
        <f>VLOOKUP(E360,Modificaciones!$B$7:$BE$2300,56,0)</f>
        <v>232432398</v>
      </c>
      <c r="Z360" s="84">
        <f t="shared" si="61"/>
        <v>3</v>
      </c>
      <c r="AA360" s="283" t="s">
        <v>2205</v>
      </c>
      <c r="AB360" s="40">
        <f t="shared" si="62"/>
        <v>0.99999998709302151</v>
      </c>
      <c r="AC360" s="40">
        <f t="shared" ca="1" si="64"/>
        <v>1</v>
      </c>
      <c r="AD360" s="41">
        <f t="shared" ca="1" si="65"/>
        <v>1.2906978485993648E-8</v>
      </c>
      <c r="AE360" s="181" t="str">
        <f t="shared" ca="1" si="66"/>
        <v/>
      </c>
      <c r="AF360" s="42" t="str">
        <f t="shared" si="69"/>
        <v>SI</v>
      </c>
      <c r="AG360" s="732" t="str">
        <f>VLOOKUP(C360,[2]Hoja4!$A$2:$E$116,5,0)</f>
        <v>PRESTACION DE SERVICIOS</v>
      </c>
      <c r="AH360" s="152" t="s">
        <v>1256</v>
      </c>
      <c r="AI360" s="255" t="s">
        <v>1935</v>
      </c>
      <c r="AJ360" s="152" t="s">
        <v>1438</v>
      </c>
      <c r="AK360" s="255" t="s">
        <v>560</v>
      </c>
      <c r="AL360" s="279" t="s">
        <v>1508</v>
      </c>
      <c r="AM360" s="279" t="s">
        <v>1866</v>
      </c>
      <c r="AN360" s="161" t="str">
        <f t="shared" ca="1" si="67"/>
        <v>TERMINO</v>
      </c>
      <c r="AO360" s="284" t="s">
        <v>575</v>
      </c>
      <c r="AP360" s="155" t="s">
        <v>390</v>
      </c>
      <c r="AQ360" s="819" t="str">
        <f>IFERROR(VLOOKUP(E360,'liquidaciones '!$B$2:$C$1048576,2,0),"NO")</f>
        <v>LIQUIDADO</v>
      </c>
      <c r="AR360" s="909" t="str">
        <f>IFERROR(VLOOKUP(E360,'liquidaciones '!$B$2:$I$1048576,8,0),"")</f>
        <v>MANUEL ROJAS</v>
      </c>
      <c r="AS360" s="312"/>
      <c r="AT360" s="156" t="str">
        <f t="shared" ca="1" si="68"/>
        <v>NO</v>
      </c>
      <c r="AU360" s="156" t="s">
        <v>2902</v>
      </c>
      <c r="AV360" s="406"/>
      <c r="AW360" s="928"/>
      <c r="AX360" s="928"/>
      <c r="AY360" s="928"/>
    </row>
    <row r="361" spans="2:51" ht="30.6" x14ac:dyDescent="0.3">
      <c r="B361" s="692">
        <v>355</v>
      </c>
      <c r="C361" s="410">
        <v>164</v>
      </c>
      <c r="D361" s="410" t="str">
        <f t="shared" si="59"/>
        <v>2015164</v>
      </c>
      <c r="E361" s="120" t="s">
        <v>2208</v>
      </c>
      <c r="F361" s="254" t="s">
        <v>2209</v>
      </c>
      <c r="G361" s="998" t="s">
        <v>2210</v>
      </c>
      <c r="H361" s="828" t="s">
        <v>2211</v>
      </c>
      <c r="I361" s="187">
        <v>28805000</v>
      </c>
      <c r="J361" s="675" t="s">
        <v>2212</v>
      </c>
      <c r="K361" s="269">
        <v>2015</v>
      </c>
      <c r="L361" s="519">
        <v>42268</v>
      </c>
      <c r="M361" s="270">
        <v>42296</v>
      </c>
      <c r="N361" s="270">
        <v>42662</v>
      </c>
      <c r="O361" s="1099" t="str">
        <f>IF(+Modificaciones!I361=0,"",VLOOKUP(E361,Modificaciones!$B$7:$I$2400,8,0))</f>
        <v/>
      </c>
      <c r="P361" s="115">
        <f>COUNTA(Modificaciones!J361,Modificaciones!L361,Modificaciones!N361,Modificaciones!P361)</f>
        <v>0</v>
      </c>
      <c r="Q361" s="116">
        <f>VLOOKUP(E361,Modificaciones!$B$7:$R$2300,17,0)</f>
        <v>0</v>
      </c>
      <c r="R361" s="117">
        <f>COUNTA(Modificaciones!T361,Modificaciones!V361,Modificaciones!X361,Modificaciones!Z361)</f>
        <v>1</v>
      </c>
      <c r="S361" s="118" t="str">
        <f>IF(Modificaciones!AA361=0,"",VLOOKUP(E361,Modificaciones!$B$7:$AA$400,26,0))</f>
        <v>2 meses     12 días calendario</v>
      </c>
      <c r="T361" s="119">
        <f>IF(Modificaciones!AB361=0,"",VLOOKUP(E361,Modificaciones!$B$7:$AB$400,27,0))</f>
        <v>42735</v>
      </c>
      <c r="U361" s="1080" t="str">
        <f>+Modificaciones!AC361</f>
        <v/>
      </c>
      <c r="V361" s="825" t="str">
        <f>+Modificaciones!AK361</f>
        <v/>
      </c>
      <c r="W361" s="825">
        <f t="shared" si="63"/>
        <v>42735</v>
      </c>
      <c r="X361" s="59">
        <f t="shared" si="60"/>
        <v>28805000</v>
      </c>
      <c r="Y361" s="151">
        <f>VLOOKUP(E361,Modificaciones!$B$7:$BE$2300,56,0)</f>
        <v>12294749</v>
      </c>
      <c r="Z361" s="84">
        <f t="shared" si="61"/>
        <v>16510251</v>
      </c>
      <c r="AA361" s="283" t="s">
        <v>2213</v>
      </c>
      <c r="AB361" s="40">
        <f t="shared" si="62"/>
        <v>0.42682690505120641</v>
      </c>
      <c r="AC361" s="40">
        <f t="shared" ca="1" si="64"/>
        <v>1</v>
      </c>
      <c r="AD361" s="41">
        <f t="shared" ca="1" si="65"/>
        <v>0.57317309494879365</v>
      </c>
      <c r="AE361" s="181" t="str">
        <f t="shared" ca="1" si="66"/>
        <v/>
      </c>
      <c r="AF361" s="42" t="str">
        <f t="shared" si="69"/>
        <v>NO</v>
      </c>
      <c r="AG361" s="732" t="str">
        <f>VLOOKUP(C361,[2]Hoja4!$A$2:$E$116,5,0)</f>
        <v>PRESTACION DE SERVICIOS</v>
      </c>
      <c r="AH361" s="152" t="s">
        <v>1255</v>
      </c>
      <c r="AI361" s="255" t="s">
        <v>1125</v>
      </c>
      <c r="AJ361" s="152" t="s">
        <v>1441</v>
      </c>
      <c r="AK361" s="255" t="s">
        <v>560</v>
      </c>
      <c r="AL361" s="153" t="s">
        <v>1318</v>
      </c>
      <c r="AM361" s="279" t="s">
        <v>1866</v>
      </c>
      <c r="AN361" s="161" t="str">
        <f t="shared" ca="1" si="67"/>
        <v>TERMINO</v>
      </c>
      <c r="AO361" s="284" t="s">
        <v>576</v>
      </c>
      <c r="AP361" s="155" t="s">
        <v>390</v>
      </c>
      <c r="AQ361" s="819" t="str">
        <f>IFERROR(VLOOKUP(E361,'liquidaciones '!$B$2:$C$1048576,2,0),"NO")</f>
        <v>LIQUIDADO</v>
      </c>
      <c r="AR361" s="909" t="str">
        <f>IFERROR(VLOOKUP(E361,'liquidaciones '!$B$2:$I$1048576,8,0),"")</f>
        <v>GIOVANNI SUAREZ</v>
      </c>
      <c r="AS361" s="312"/>
      <c r="AT361" s="156" t="str">
        <f t="shared" ca="1" si="68"/>
        <v>NO</v>
      </c>
      <c r="AU361" s="156" t="s">
        <v>2597</v>
      </c>
      <c r="AV361" s="406"/>
      <c r="AW361" s="928"/>
      <c r="AX361" s="928"/>
      <c r="AY361" s="928"/>
    </row>
    <row r="362" spans="2:51" ht="30.6" x14ac:dyDescent="0.3">
      <c r="B362" s="692">
        <v>356</v>
      </c>
      <c r="C362" s="410">
        <v>186</v>
      </c>
      <c r="D362" s="410" t="str">
        <f t="shared" si="59"/>
        <v>2015186</v>
      </c>
      <c r="E362" s="120" t="s">
        <v>2214</v>
      </c>
      <c r="F362" s="834" t="s">
        <v>2215</v>
      </c>
      <c r="G362" s="998" t="s">
        <v>2216</v>
      </c>
      <c r="H362" s="828" t="s">
        <v>2217</v>
      </c>
      <c r="I362" s="187">
        <v>6000000</v>
      </c>
      <c r="J362" s="675" t="s">
        <v>2157</v>
      </c>
      <c r="K362" s="269">
        <v>2015</v>
      </c>
      <c r="L362" s="519">
        <v>42261</v>
      </c>
      <c r="M362" s="270">
        <v>42291</v>
      </c>
      <c r="N362" s="270">
        <v>42352</v>
      </c>
      <c r="O362" s="1099" t="str">
        <f>IF(+Modificaciones!I362=0,"",VLOOKUP(E362,Modificaciones!$B$7:$I$2400,8,0))</f>
        <v/>
      </c>
      <c r="P362" s="115">
        <f>COUNTA(Modificaciones!J362,Modificaciones!L362,Modificaciones!N362,Modificaciones!P362)</f>
        <v>0</v>
      </c>
      <c r="Q362" s="116">
        <f>VLOOKUP(E362,Modificaciones!$B$7:$R$2300,17,0)</f>
        <v>0</v>
      </c>
      <c r="R362" s="117">
        <f>COUNTA(Modificaciones!T362,Modificaciones!V362,Modificaciones!X362,Modificaciones!Z362)</f>
        <v>0</v>
      </c>
      <c r="S362" s="118" t="str">
        <f>IF(Modificaciones!AA362=0,"",VLOOKUP(E362,Modificaciones!$B$7:$AA$400,26,0))</f>
        <v/>
      </c>
      <c r="T362" s="119" t="str">
        <f>IF(Modificaciones!AB362=0,"",VLOOKUP(E362,Modificaciones!$B$7:$AB$400,27,0))</f>
        <v/>
      </c>
      <c r="U362" s="1080" t="str">
        <f>+Modificaciones!AC362</f>
        <v/>
      </c>
      <c r="V362" s="825" t="str">
        <f>+Modificaciones!AK362</f>
        <v/>
      </c>
      <c r="W362" s="825">
        <f t="shared" si="63"/>
        <v>42352</v>
      </c>
      <c r="X362" s="59">
        <f t="shared" si="60"/>
        <v>6000000</v>
      </c>
      <c r="Y362" s="151">
        <f>VLOOKUP(E362,Modificaciones!$B$7:$BE$2300,56,0)</f>
        <v>5999890</v>
      </c>
      <c r="Z362" s="84">
        <f t="shared" si="61"/>
        <v>110</v>
      </c>
      <c r="AA362" s="283" t="s">
        <v>2218</v>
      </c>
      <c r="AB362" s="40">
        <f t="shared" si="62"/>
        <v>0.99998166666666666</v>
      </c>
      <c r="AC362" s="40">
        <f t="shared" ca="1" si="64"/>
        <v>1</v>
      </c>
      <c r="AD362" s="41">
        <f t="shared" ca="1" si="65"/>
        <v>1.8333333333342416E-5</v>
      </c>
      <c r="AE362" s="181" t="str">
        <f t="shared" ca="1" si="66"/>
        <v/>
      </c>
      <c r="AF362" s="42" t="str">
        <f t="shared" si="69"/>
        <v>SI</v>
      </c>
      <c r="AG362" s="732" t="str">
        <f>VLOOKUP(C362,[2]Hoja4!$A$2:$E$116,5,0)</f>
        <v>COMPRAVENTA</v>
      </c>
      <c r="AH362" s="152" t="s">
        <v>1255</v>
      </c>
      <c r="AI362" s="255" t="s">
        <v>1301</v>
      </c>
      <c r="AJ362" s="152" t="s">
        <v>1434</v>
      </c>
      <c r="AK362" s="255" t="s">
        <v>560</v>
      </c>
      <c r="AL362" s="279" t="s">
        <v>1388</v>
      </c>
      <c r="AM362" s="279" t="s">
        <v>1866</v>
      </c>
      <c r="AN362" s="161" t="str">
        <f t="shared" ca="1" si="67"/>
        <v>TERMINO</v>
      </c>
      <c r="AO362" s="284" t="s">
        <v>576</v>
      </c>
      <c r="AP362" s="155" t="s">
        <v>391</v>
      </c>
      <c r="AQ362" s="819" t="str">
        <f>IFERROR(VLOOKUP(E362,'liquidaciones '!$B$2:$C$1048576,2,0),"NO")</f>
        <v>LIQUIDADO</v>
      </c>
      <c r="AR362" s="909">
        <f>IFERROR(VLOOKUP(E362,'liquidaciones '!$B$2:$I$1048576,8,0),"")</f>
        <v>0</v>
      </c>
      <c r="AS362" s="312"/>
      <c r="AT362" s="156" t="str">
        <f t="shared" ca="1" si="68"/>
        <v>NO</v>
      </c>
      <c r="AU362" s="156" t="s">
        <v>1569</v>
      </c>
      <c r="AV362" s="406"/>
      <c r="AW362" s="928"/>
      <c r="AX362" s="928"/>
      <c r="AY362" s="928"/>
    </row>
    <row r="363" spans="2:51" ht="20.399999999999999" x14ac:dyDescent="0.3">
      <c r="B363" s="692">
        <v>357</v>
      </c>
      <c r="C363" s="410">
        <v>145</v>
      </c>
      <c r="D363" s="410" t="str">
        <f t="shared" si="59"/>
        <v>2015145</v>
      </c>
      <c r="E363" s="120" t="s">
        <v>2219</v>
      </c>
      <c r="F363" s="254" t="s">
        <v>2220</v>
      </c>
      <c r="G363" s="998">
        <v>860009759</v>
      </c>
      <c r="H363" s="828" t="s">
        <v>2221</v>
      </c>
      <c r="I363" s="187">
        <v>764100</v>
      </c>
      <c r="J363" s="675" t="s">
        <v>2219</v>
      </c>
      <c r="K363" s="269">
        <v>2015</v>
      </c>
      <c r="L363" s="519">
        <v>42272</v>
      </c>
      <c r="M363" s="270">
        <v>42336</v>
      </c>
      <c r="N363" s="270">
        <v>42702</v>
      </c>
      <c r="O363" s="1099" t="str">
        <f>IF(+Modificaciones!I363=0,"",VLOOKUP(E363,Modificaciones!$B$7:$I$2400,8,0))</f>
        <v/>
      </c>
      <c r="P363" s="115">
        <f>COUNTA(Modificaciones!J363,Modificaciones!L363,Modificaciones!N363,Modificaciones!P363)</f>
        <v>0</v>
      </c>
      <c r="Q363" s="116">
        <f>VLOOKUP(E363,Modificaciones!$B$7:$R$2300,17,0)</f>
        <v>0</v>
      </c>
      <c r="R363" s="117">
        <f>COUNTA(Modificaciones!T363,Modificaciones!V363,Modificaciones!X363,Modificaciones!Z363)</f>
        <v>0</v>
      </c>
      <c r="S363" s="118" t="str">
        <f>IF(Modificaciones!AA363=0,"",VLOOKUP(E363,Modificaciones!$B$7:$AA$400,26,0))</f>
        <v/>
      </c>
      <c r="T363" s="119" t="str">
        <f>IF(Modificaciones!AB363=0,"",VLOOKUP(E363,Modificaciones!$B$7:$AB$400,27,0))</f>
        <v/>
      </c>
      <c r="U363" s="1080" t="str">
        <f>+Modificaciones!AC363</f>
        <v/>
      </c>
      <c r="V363" s="825" t="str">
        <f>+Modificaciones!AK363</f>
        <v/>
      </c>
      <c r="W363" s="825">
        <f t="shared" si="63"/>
        <v>42702</v>
      </c>
      <c r="X363" s="59">
        <f t="shared" si="60"/>
        <v>764100</v>
      </c>
      <c r="Y363" s="151">
        <f>VLOOKUP(E363,Modificaciones!$B$7:$BE$2300,56,0)</f>
        <v>764100</v>
      </c>
      <c r="Z363" s="84">
        <f t="shared" si="61"/>
        <v>0</v>
      </c>
      <c r="AA363" s="283" t="s">
        <v>2113</v>
      </c>
      <c r="AB363" s="40">
        <f t="shared" si="62"/>
        <v>1</v>
      </c>
      <c r="AC363" s="40">
        <f t="shared" ca="1" si="64"/>
        <v>1</v>
      </c>
      <c r="AD363" s="41">
        <f t="shared" ca="1" si="65"/>
        <v>0</v>
      </c>
      <c r="AE363" s="181" t="str">
        <f t="shared" ca="1" si="66"/>
        <v/>
      </c>
      <c r="AF363" s="42" t="str">
        <f t="shared" si="69"/>
        <v>SI</v>
      </c>
      <c r="AG363" s="732" t="str">
        <f>VLOOKUP(C363,[2]Hoja4!$A$2:$E$116,5,0)</f>
        <v>SUSCRIPCION</v>
      </c>
      <c r="AH363" s="152" t="s">
        <v>1255</v>
      </c>
      <c r="AI363" s="255" t="s">
        <v>1124</v>
      </c>
      <c r="AJ363" s="152" t="s">
        <v>1429</v>
      </c>
      <c r="AK363" s="255" t="s">
        <v>564</v>
      </c>
      <c r="AL363" s="279"/>
      <c r="AM363" s="279" t="s">
        <v>1866</v>
      </c>
      <c r="AN363" s="161" t="str">
        <f t="shared" ca="1" si="67"/>
        <v>TERMINO</v>
      </c>
      <c r="AO363" s="284" t="s">
        <v>582</v>
      </c>
      <c r="AP363" s="155" t="s">
        <v>390</v>
      </c>
      <c r="AQ363" s="819" t="str">
        <f>IFERROR(VLOOKUP(E363,'liquidaciones '!$B$2:$C$1048576,2,0),"NO")</f>
        <v>LIQUIDADO</v>
      </c>
      <c r="AR363" s="909">
        <f>IFERROR(VLOOKUP(E363,'liquidaciones '!$B$2:$I$1048576,8,0),"")</f>
        <v>0</v>
      </c>
      <c r="AS363" s="312"/>
      <c r="AT363" s="156" t="str">
        <f t="shared" ca="1" si="68"/>
        <v>NO</v>
      </c>
      <c r="AU363" s="156" t="s">
        <v>2598</v>
      </c>
      <c r="AV363" s="406"/>
      <c r="AW363" s="928"/>
      <c r="AX363" s="928"/>
      <c r="AY363" s="928"/>
    </row>
    <row r="364" spans="2:51" ht="30.6" x14ac:dyDescent="0.3">
      <c r="B364" s="692">
        <v>358</v>
      </c>
      <c r="C364" s="410">
        <v>134</v>
      </c>
      <c r="D364" s="410" t="str">
        <f t="shared" si="59"/>
        <v>2015134</v>
      </c>
      <c r="E364" s="120" t="s">
        <v>2223</v>
      </c>
      <c r="F364" s="254" t="s">
        <v>2224</v>
      </c>
      <c r="G364" s="998">
        <v>17024109</v>
      </c>
      <c r="H364" s="828" t="s">
        <v>2225</v>
      </c>
      <c r="I364" s="187">
        <v>6660000</v>
      </c>
      <c r="J364" s="675" t="s">
        <v>2223</v>
      </c>
      <c r="K364" s="269">
        <v>2015</v>
      </c>
      <c r="L364" s="519">
        <v>42284</v>
      </c>
      <c r="M364" s="270">
        <v>42303</v>
      </c>
      <c r="N364" s="270">
        <v>42364</v>
      </c>
      <c r="O364" s="1099" t="str">
        <f>IF(+Modificaciones!I364=0,"",VLOOKUP(E364,Modificaciones!$B$7:$I$2400,8,0))</f>
        <v/>
      </c>
      <c r="P364" s="115">
        <f>COUNTA(Modificaciones!J364,Modificaciones!L364,Modificaciones!N364,Modificaciones!P364)</f>
        <v>0</v>
      </c>
      <c r="Q364" s="116">
        <f>VLOOKUP(E364,Modificaciones!$B$7:$R$2300,17,0)</f>
        <v>0</v>
      </c>
      <c r="R364" s="117">
        <f>COUNTA(Modificaciones!T364,Modificaciones!V364,Modificaciones!X364,Modificaciones!Z364)</f>
        <v>0</v>
      </c>
      <c r="S364" s="118" t="str">
        <f>IF(Modificaciones!AA364=0,"",VLOOKUP(E364,Modificaciones!$B$7:$AA$400,26,0))</f>
        <v/>
      </c>
      <c r="T364" s="119" t="str">
        <f>IF(Modificaciones!AB364=0,"",VLOOKUP(E364,Modificaciones!$B$7:$AB$400,27,0))</f>
        <v/>
      </c>
      <c r="U364" s="1080" t="str">
        <f>+Modificaciones!AC364</f>
        <v/>
      </c>
      <c r="V364" s="825" t="str">
        <f>+Modificaciones!AK364</f>
        <v/>
      </c>
      <c r="W364" s="825">
        <f t="shared" si="63"/>
        <v>42364</v>
      </c>
      <c r="X364" s="59">
        <f t="shared" si="60"/>
        <v>6660000</v>
      </c>
      <c r="Y364" s="151">
        <f>VLOOKUP(E364,Modificaciones!$B$7:$BE$2300,56,0)</f>
        <v>6600000</v>
      </c>
      <c r="Z364" s="84">
        <f t="shared" si="61"/>
        <v>60000</v>
      </c>
      <c r="AA364" s="283" t="s">
        <v>2113</v>
      </c>
      <c r="AB364" s="40">
        <f t="shared" si="62"/>
        <v>0.99099099099099097</v>
      </c>
      <c r="AC364" s="40">
        <f t="shared" ca="1" si="64"/>
        <v>1</v>
      </c>
      <c r="AD364" s="41">
        <f t="shared" ca="1" si="65"/>
        <v>9.009009009009028E-3</v>
      </c>
      <c r="AE364" s="181" t="str">
        <f t="shared" ca="1" si="66"/>
        <v/>
      </c>
      <c r="AF364" s="42" t="str">
        <f t="shared" si="69"/>
        <v>NO</v>
      </c>
      <c r="AG364" s="732" t="str">
        <f>VLOOKUP(C364,[2]Hoja4!$A$2:$E$116,5,0)</f>
        <v>PRESTACION DE SERVICIOS</v>
      </c>
      <c r="AH364" s="152" t="s">
        <v>1255</v>
      </c>
      <c r="AI364" s="255" t="s">
        <v>1306</v>
      </c>
      <c r="AJ364" s="152"/>
      <c r="AL364" s="279"/>
      <c r="AM364" s="279" t="s">
        <v>1866</v>
      </c>
      <c r="AN364" s="161" t="str">
        <f t="shared" ca="1" si="67"/>
        <v>TERMINO</v>
      </c>
      <c r="AO364" s="284" t="s">
        <v>582</v>
      </c>
      <c r="AP364" s="155" t="s">
        <v>391</v>
      </c>
      <c r="AQ364" s="819" t="str">
        <f>IFERROR(VLOOKUP(E364,'liquidaciones '!$B$2:$C$1048576,2,0),"NO")</f>
        <v>LIQUIDADO</v>
      </c>
      <c r="AR364" s="909">
        <f>IFERROR(VLOOKUP(E364,'liquidaciones '!$B$2:$I$1048576,8,0),"")</f>
        <v>0</v>
      </c>
      <c r="AS364" s="312"/>
      <c r="AT364" s="156" t="str">
        <f t="shared" ca="1" si="68"/>
        <v>NO</v>
      </c>
      <c r="AU364" s="156" t="s">
        <v>1509</v>
      </c>
      <c r="AV364" s="406"/>
      <c r="AW364" s="928"/>
      <c r="AX364" s="928"/>
      <c r="AY364" s="928"/>
    </row>
    <row r="365" spans="2:51" ht="40.799999999999997" x14ac:dyDescent="0.3">
      <c r="B365" s="692">
        <v>359</v>
      </c>
      <c r="C365" s="410">
        <v>181</v>
      </c>
      <c r="D365" s="410" t="str">
        <f t="shared" si="59"/>
        <v>2015181</v>
      </c>
      <c r="E365" s="120" t="s">
        <v>2227</v>
      </c>
      <c r="F365" s="254" t="s">
        <v>2228</v>
      </c>
      <c r="G365" s="998">
        <v>830143378</v>
      </c>
      <c r="H365" s="828" t="s">
        <v>2229</v>
      </c>
      <c r="I365" s="187">
        <v>436914000</v>
      </c>
      <c r="J365" s="675" t="s">
        <v>2190</v>
      </c>
      <c r="K365" s="269">
        <v>2015</v>
      </c>
      <c r="L365" s="519">
        <v>42293</v>
      </c>
      <c r="M365" s="270">
        <v>42362</v>
      </c>
      <c r="N365" s="270">
        <v>42605</v>
      </c>
      <c r="O365" s="1099" t="str">
        <f>IF(+Modificaciones!I365=0,"",VLOOKUP(E365,Modificaciones!$B$7:$I$2400,8,0))</f>
        <v/>
      </c>
      <c r="P365" s="115">
        <f>COUNTA(Modificaciones!J365,Modificaciones!L365,Modificaciones!N365,Modificaciones!P365)</f>
        <v>0</v>
      </c>
      <c r="Q365" s="116">
        <f>VLOOKUP(E365,Modificaciones!$B$7:$R$2300,17,0)</f>
        <v>0</v>
      </c>
      <c r="R365" s="117">
        <f>COUNTA(Modificaciones!T365,Modificaciones!V365,Modificaciones!X365,Modificaciones!Z365)</f>
        <v>2</v>
      </c>
      <c r="S365" s="118" t="str">
        <f>IF(Modificaciones!AA365=0,"",VLOOKUP(E365,Modificaciones!$B$7:$AA$400,26,0))</f>
        <v>3 meses y 7 días</v>
      </c>
      <c r="T365" s="119">
        <f>IF(Modificaciones!AB365=0,"",VLOOKUP(E365,Modificaciones!$B$7:$AB$400,27,0))</f>
        <v>42704</v>
      </c>
      <c r="U365" s="1080" t="str">
        <f>+Modificaciones!AC365</f>
        <v/>
      </c>
      <c r="V365" s="825" t="str">
        <f>+Modificaciones!AK365</f>
        <v/>
      </c>
      <c r="W365" s="825">
        <f t="shared" si="63"/>
        <v>42704</v>
      </c>
      <c r="X365" s="59">
        <f t="shared" si="60"/>
        <v>436914000</v>
      </c>
      <c r="Y365" s="151">
        <f>VLOOKUP(E365,Modificaciones!$B$7:$BE$2300,56,0)</f>
        <v>436914000</v>
      </c>
      <c r="Z365" s="84">
        <f t="shared" si="61"/>
        <v>0</v>
      </c>
      <c r="AA365" s="283" t="s">
        <v>2230</v>
      </c>
      <c r="AB365" s="40">
        <f t="shared" si="62"/>
        <v>1</v>
      </c>
      <c r="AC365" s="40">
        <f t="shared" ca="1" si="64"/>
        <v>1</v>
      </c>
      <c r="AD365" s="41">
        <f t="shared" ca="1" si="65"/>
        <v>0</v>
      </c>
      <c r="AE365" s="181" t="str">
        <f t="shared" ca="1" si="66"/>
        <v/>
      </c>
      <c r="AF365" s="42" t="str">
        <f t="shared" si="69"/>
        <v>SI</v>
      </c>
      <c r="AG365" s="732" t="str">
        <f>VLOOKUP(C365,[2]Hoja4!$A$2:$E$116,5,0)</f>
        <v>PRESTACION DE SERVICIOS</v>
      </c>
      <c r="AH365" s="152" t="s">
        <v>1255</v>
      </c>
      <c r="AI365" s="255" t="s">
        <v>1282</v>
      </c>
      <c r="AJ365" s="152" t="s">
        <v>1434</v>
      </c>
      <c r="AK365" s="255" t="s">
        <v>560</v>
      </c>
      <c r="AL365" s="279" t="s">
        <v>1385</v>
      </c>
      <c r="AM365" s="279" t="s">
        <v>1866</v>
      </c>
      <c r="AN365" s="161" t="str">
        <f t="shared" ca="1" si="67"/>
        <v>TERMINO</v>
      </c>
      <c r="AO365" s="284" t="s">
        <v>573</v>
      </c>
      <c r="AP365" s="155" t="s">
        <v>390</v>
      </c>
      <c r="AQ365" s="819" t="str">
        <f>IFERROR(VLOOKUP(E365,'liquidaciones '!$B$2:$C$1048576,2,0),"NO")</f>
        <v>LIQUIDADO</v>
      </c>
      <c r="AR365" s="909" t="str">
        <f>IFERROR(VLOOKUP(E365,'liquidaciones '!$B$2:$I$1048576,8,0),"")</f>
        <v>DORA PINILLA</v>
      </c>
      <c r="AS365" s="312"/>
      <c r="AT365" s="156" t="str">
        <f t="shared" ca="1" si="68"/>
        <v>NO</v>
      </c>
      <c r="AU365" s="156" t="s">
        <v>1509</v>
      </c>
      <c r="AV365" s="406"/>
      <c r="AW365" s="928"/>
      <c r="AX365" s="928"/>
      <c r="AY365" s="928"/>
    </row>
    <row r="366" spans="2:51" ht="51" x14ac:dyDescent="0.3">
      <c r="B366" s="692">
        <v>360</v>
      </c>
      <c r="C366" s="410">
        <v>185</v>
      </c>
      <c r="D366" s="410" t="str">
        <f t="shared" si="59"/>
        <v>2015185</v>
      </c>
      <c r="E366" s="120" t="s">
        <v>2231</v>
      </c>
      <c r="F366" s="834" t="s">
        <v>2007</v>
      </c>
      <c r="G366" s="998">
        <v>8600669427</v>
      </c>
      <c r="H366" s="828" t="s">
        <v>2232</v>
      </c>
      <c r="I366" s="187">
        <v>550762000</v>
      </c>
      <c r="J366" s="675" t="s">
        <v>2233</v>
      </c>
      <c r="K366" s="269">
        <v>2015</v>
      </c>
      <c r="L366" s="519">
        <v>42297</v>
      </c>
      <c r="M366" s="270">
        <v>42305</v>
      </c>
      <c r="N366" s="270">
        <v>42579</v>
      </c>
      <c r="O366" s="1099" t="str">
        <f>IF(+Modificaciones!I366=0,"",VLOOKUP(E366,Modificaciones!$B$7:$I$2400,8,0))</f>
        <v/>
      </c>
      <c r="P366" s="115">
        <f>COUNTA(Modificaciones!J366,Modificaciones!L366,Modificaciones!N366,Modificaciones!P366)</f>
        <v>2</v>
      </c>
      <c r="Q366" s="116">
        <f>VLOOKUP(E366,Modificaciones!$B$7:$R$2300,17,0)</f>
        <v>256744000</v>
      </c>
      <c r="R366" s="117">
        <f>COUNTA(Modificaciones!T366,Modificaciones!V366,Modificaciones!X366,Modificaciones!Z366)</f>
        <v>2</v>
      </c>
      <c r="S366" s="118" t="str">
        <f>IF(Modificaciones!AA366=0,"",VLOOKUP(E366,Modificaciones!$B$7:$AA$400,26,0))</f>
        <v>1 mes y 23 días</v>
      </c>
      <c r="T366" s="119">
        <f>IF(Modificaciones!AB366=0,"",VLOOKUP(E366,Modificaciones!$B$7:$AB$400,27,0))</f>
        <v>42633</v>
      </c>
      <c r="U366" s="1080" t="str">
        <f>+Modificaciones!AC366</f>
        <v/>
      </c>
      <c r="V366" s="825" t="str">
        <f>+Modificaciones!AK366</f>
        <v/>
      </c>
      <c r="W366" s="825">
        <f t="shared" si="63"/>
        <v>42633</v>
      </c>
      <c r="X366" s="59">
        <f t="shared" si="60"/>
        <v>807506000</v>
      </c>
      <c r="Y366" s="151">
        <f>VLOOKUP(E366,Modificaciones!$B$7:$BE$2300,56,0)</f>
        <v>755178713</v>
      </c>
      <c r="Z366" s="84">
        <f t="shared" si="61"/>
        <v>52327287</v>
      </c>
      <c r="AA366" s="283" t="s">
        <v>2234</v>
      </c>
      <c r="AB366" s="40">
        <f t="shared" si="62"/>
        <v>0.93519888768628345</v>
      </c>
      <c r="AC366" s="40">
        <f t="shared" ca="1" si="64"/>
        <v>1</v>
      </c>
      <c r="AD366" s="41">
        <f t="shared" ca="1" si="65"/>
        <v>6.4801112313716547E-2</v>
      </c>
      <c r="AE366" s="181" t="str">
        <f t="shared" ca="1" si="66"/>
        <v/>
      </c>
      <c r="AF366" s="42" t="str">
        <f t="shared" si="69"/>
        <v>NO</v>
      </c>
      <c r="AG366" s="732" t="str">
        <f>VLOOKUP(C366,[2]Hoja4!$A$2:$E$116,5,0)</f>
        <v>PRESTACION DE SERVICIOS</v>
      </c>
      <c r="AH366" s="152" t="s">
        <v>1255</v>
      </c>
      <c r="AI366" s="255" t="s">
        <v>1279</v>
      </c>
      <c r="AJ366" s="152" t="s">
        <v>1434</v>
      </c>
      <c r="AK366" s="255" t="s">
        <v>560</v>
      </c>
      <c r="AL366" s="279" t="s">
        <v>1385</v>
      </c>
      <c r="AM366" s="279" t="s">
        <v>1866</v>
      </c>
      <c r="AN366" s="161" t="str">
        <f t="shared" ca="1" si="67"/>
        <v>TERMINO</v>
      </c>
      <c r="AO366" s="284" t="s">
        <v>573</v>
      </c>
      <c r="AP366" s="155" t="s">
        <v>390</v>
      </c>
      <c r="AQ366" s="819" t="str">
        <f>IFERROR(VLOOKUP(E366,'liquidaciones '!$B$2:$C$1048576,2,0),"NO")</f>
        <v>LIQUIDADO</v>
      </c>
      <c r="AR366" s="909" t="str">
        <f>IFERROR(VLOOKUP(E366,'liquidaciones '!$B$2:$I$1048576,8,0),"")</f>
        <v>DORA PINILLA</v>
      </c>
      <c r="AS366" s="312"/>
      <c r="AT366" s="156" t="str">
        <f t="shared" ca="1" si="68"/>
        <v>NO</v>
      </c>
      <c r="AU366" s="156" t="s">
        <v>981</v>
      </c>
      <c r="AV366" s="406"/>
      <c r="AW366" s="928"/>
      <c r="AX366" s="928"/>
      <c r="AY366" s="928"/>
    </row>
    <row r="367" spans="2:51" ht="30.6" x14ac:dyDescent="0.3">
      <c r="B367" s="692">
        <v>361</v>
      </c>
      <c r="C367" s="410">
        <v>335</v>
      </c>
      <c r="D367" s="410" t="str">
        <f t="shared" si="59"/>
        <v>2015335</v>
      </c>
      <c r="E367" s="120" t="s">
        <v>2235</v>
      </c>
      <c r="F367" s="254" t="s">
        <v>1344</v>
      </c>
      <c r="G367" s="998" t="s">
        <v>2236</v>
      </c>
      <c r="H367" s="828" t="s">
        <v>2237</v>
      </c>
      <c r="I367" s="187">
        <v>2742000</v>
      </c>
      <c r="J367" s="675" t="s">
        <v>2238</v>
      </c>
      <c r="K367" s="269">
        <v>2015</v>
      </c>
      <c r="L367" s="519">
        <v>42305</v>
      </c>
      <c r="M367" s="270">
        <v>42321</v>
      </c>
      <c r="N367" s="270">
        <v>42534</v>
      </c>
      <c r="O367" s="1099" t="str">
        <f>IF(+Modificaciones!I367=0,"",VLOOKUP(E367,Modificaciones!$B$7:$I$2400,8,0))</f>
        <v/>
      </c>
      <c r="P367" s="115">
        <f>COUNTA(Modificaciones!J367,Modificaciones!L367,Modificaciones!N367,Modificaciones!P367)</f>
        <v>0</v>
      </c>
      <c r="Q367" s="116">
        <f>VLOOKUP(E367,Modificaciones!$B$7:$R$2300,17,0)</f>
        <v>0</v>
      </c>
      <c r="R367" s="117">
        <f>COUNTA(Modificaciones!T367,Modificaciones!V367,Modificaciones!X367,Modificaciones!Z367)</f>
        <v>0</v>
      </c>
      <c r="S367" s="118" t="str">
        <f>IF(Modificaciones!AA367=0,"",VLOOKUP(E367,Modificaciones!$B$7:$AA$400,26,0))</f>
        <v/>
      </c>
      <c r="T367" s="119" t="str">
        <f>IF(Modificaciones!AB367=0,"",VLOOKUP(E367,Modificaciones!$B$7:$AB$400,27,0))</f>
        <v/>
      </c>
      <c r="U367" s="1080" t="str">
        <f>+Modificaciones!AC367</f>
        <v/>
      </c>
      <c r="V367" s="825" t="str">
        <f>+Modificaciones!AK367</f>
        <v/>
      </c>
      <c r="W367" s="825">
        <f t="shared" si="63"/>
        <v>42534</v>
      </c>
      <c r="X367" s="59">
        <f t="shared" si="60"/>
        <v>2742000</v>
      </c>
      <c r="Y367" s="151">
        <f>VLOOKUP(E367,Modificaciones!$B$7:$BE$2300,56,0)</f>
        <v>2741204</v>
      </c>
      <c r="Z367" s="84">
        <f t="shared" si="61"/>
        <v>796</v>
      </c>
      <c r="AA367" s="283" t="s">
        <v>2239</v>
      </c>
      <c r="AB367" s="40">
        <f t="shared" si="62"/>
        <v>0.99970970094821299</v>
      </c>
      <c r="AC367" s="40">
        <f t="shared" ca="1" si="64"/>
        <v>1</v>
      </c>
      <c r="AD367" s="41">
        <f t="shared" ca="1" si="65"/>
        <v>2.9029905178701298E-4</v>
      </c>
      <c r="AE367" s="181" t="str">
        <f t="shared" ca="1" si="66"/>
        <v/>
      </c>
      <c r="AF367" s="42" t="str">
        <f t="shared" si="69"/>
        <v>SI</v>
      </c>
      <c r="AG367" s="732" t="e">
        <f>VLOOKUP(C367,[2]Hoja4!$A$2:$E$116,5,0)</f>
        <v>#N/A</v>
      </c>
      <c r="AH367" s="152" t="s">
        <v>1255</v>
      </c>
      <c r="AI367" s="255" t="s">
        <v>1298</v>
      </c>
      <c r="AJ367" s="152" t="s">
        <v>1439</v>
      </c>
      <c r="AK367" s="255" t="s">
        <v>562</v>
      </c>
      <c r="AL367" s="279" t="s">
        <v>1472</v>
      </c>
      <c r="AM367" s="279" t="s">
        <v>1866</v>
      </c>
      <c r="AN367" s="161" t="str">
        <f t="shared" ca="1" si="67"/>
        <v>TERMINO</v>
      </c>
      <c r="AO367" s="284" t="s">
        <v>576</v>
      </c>
      <c r="AP367" s="155" t="s">
        <v>390</v>
      </c>
      <c r="AQ367" s="819" t="str">
        <f>IFERROR(VLOOKUP(E367,'liquidaciones '!$B$2:$C$1048576,2,0),"NO")</f>
        <v>LIQUIDADO</v>
      </c>
      <c r="AR367" s="909" t="str">
        <f>IFERROR(VLOOKUP(E367,'liquidaciones '!$B$2:$I$1048576,8,0),"")</f>
        <v>JULIETH ANGARITA</v>
      </c>
      <c r="AS367" s="312"/>
      <c r="AT367" s="156" t="str">
        <f t="shared" ca="1" si="68"/>
        <v>NO</v>
      </c>
      <c r="AU367" s="156" t="s">
        <v>1569</v>
      </c>
      <c r="AV367" s="406"/>
      <c r="AW367" s="928"/>
      <c r="AX367" s="928"/>
      <c r="AY367" s="928"/>
    </row>
    <row r="368" spans="2:51" ht="40.799999999999997" x14ac:dyDescent="0.3">
      <c r="B368" s="692">
        <v>362</v>
      </c>
      <c r="C368" s="410">
        <v>74</v>
      </c>
      <c r="D368" s="410" t="str">
        <f t="shared" si="59"/>
        <v>201574</v>
      </c>
      <c r="E368" s="120" t="s">
        <v>2242</v>
      </c>
      <c r="F368" s="254" t="s">
        <v>2243</v>
      </c>
      <c r="G368" s="998">
        <v>900254691</v>
      </c>
      <c r="H368" s="828" t="s">
        <v>2244</v>
      </c>
      <c r="I368" s="187">
        <v>1512217703</v>
      </c>
      <c r="J368" s="675" t="s">
        <v>2245</v>
      </c>
      <c r="K368" s="269">
        <v>2015</v>
      </c>
      <c r="L368" s="519">
        <v>42311</v>
      </c>
      <c r="M368" s="270">
        <v>42333</v>
      </c>
      <c r="N368" s="270">
        <v>42515</v>
      </c>
      <c r="O368" s="1099" t="str">
        <f>IF(+Modificaciones!I368=0,"",VLOOKUP(E368,Modificaciones!$B$7:$I$2400,8,0))</f>
        <v/>
      </c>
      <c r="P368" s="115">
        <f>COUNTA(Modificaciones!J368,Modificaciones!L368,Modificaciones!N368,Modificaciones!P368)</f>
        <v>0</v>
      </c>
      <c r="Q368" s="116">
        <f>VLOOKUP(E368,Modificaciones!$B$7:$R$2300,17,0)</f>
        <v>0</v>
      </c>
      <c r="R368" s="117">
        <f>COUNTA(Modificaciones!T368,Modificaciones!V368,Modificaciones!X368,Modificaciones!Z368)</f>
        <v>0</v>
      </c>
      <c r="S368" s="118" t="str">
        <f>IF(Modificaciones!AA368=0,"",VLOOKUP(E368,Modificaciones!$B$7:$AA$400,26,0))</f>
        <v/>
      </c>
      <c r="T368" s="119" t="str">
        <f>IF(Modificaciones!AB368=0,"",VLOOKUP(E368,Modificaciones!$B$7:$AB$400,27,0))</f>
        <v/>
      </c>
      <c r="U368" s="1080" t="str">
        <f>+Modificaciones!AC368</f>
        <v/>
      </c>
      <c r="V368" s="825" t="str">
        <f>+Modificaciones!AK368</f>
        <v/>
      </c>
      <c r="W368" s="825">
        <f t="shared" si="63"/>
        <v>42515</v>
      </c>
      <c r="X368" s="59">
        <f t="shared" si="60"/>
        <v>1512217703</v>
      </c>
      <c r="Y368" s="151">
        <f>VLOOKUP(E368,Modificaciones!$B$7:$BE$2300,56,0)</f>
        <v>1512217703</v>
      </c>
      <c r="Z368" s="84">
        <f t="shared" si="61"/>
        <v>0</v>
      </c>
      <c r="AA368" s="283" t="s">
        <v>2246</v>
      </c>
      <c r="AB368" s="40">
        <f t="shared" si="62"/>
        <v>1</v>
      </c>
      <c r="AC368" s="40">
        <f t="shared" ca="1" si="64"/>
        <v>1</v>
      </c>
      <c r="AD368" s="41">
        <f t="shared" ca="1" si="65"/>
        <v>0</v>
      </c>
      <c r="AE368" s="181" t="str">
        <f t="shared" ca="1" si="66"/>
        <v/>
      </c>
      <c r="AF368" s="42" t="str">
        <f t="shared" si="69"/>
        <v>SI</v>
      </c>
      <c r="AG368" s="732" t="str">
        <f>VLOOKUP(C368,[2]Hoja4!$A$2:$E$116,5,0)</f>
        <v>COMPRAVENTA</v>
      </c>
      <c r="AH368" s="152" t="s">
        <v>1256</v>
      </c>
      <c r="AI368" s="255" t="s">
        <v>2247</v>
      </c>
      <c r="AJ368" s="152" t="s">
        <v>1438</v>
      </c>
      <c r="AK368" s="255" t="s">
        <v>560</v>
      </c>
      <c r="AL368" s="279" t="s">
        <v>1508</v>
      </c>
      <c r="AM368" s="279" t="s">
        <v>1866</v>
      </c>
      <c r="AN368" s="161" t="str">
        <f t="shared" ca="1" si="67"/>
        <v>TERMINO</v>
      </c>
      <c r="AO368" s="284" t="s">
        <v>575</v>
      </c>
      <c r="AP368" s="155" t="s">
        <v>390</v>
      </c>
      <c r="AQ368" s="819" t="str">
        <f>IFERROR(VLOOKUP(E368,'liquidaciones '!$B$2:$C$1048576,2,0),"NO")</f>
        <v>LIQUIDADO</v>
      </c>
      <c r="AR368" s="909" t="str">
        <f>IFERROR(VLOOKUP(E368,'liquidaciones '!$B$2:$I$1048576,8,0),"")</f>
        <v>DORA PINILLA</v>
      </c>
      <c r="AS368" s="312"/>
      <c r="AT368" s="156" t="str">
        <f t="shared" ca="1" si="68"/>
        <v>NO</v>
      </c>
      <c r="AU368" s="156" t="s">
        <v>1991</v>
      </c>
      <c r="AV368" s="406"/>
      <c r="AW368" s="928"/>
      <c r="AX368" s="928"/>
      <c r="AY368" s="928"/>
    </row>
    <row r="369" spans="1:56" ht="61.2" x14ac:dyDescent="0.3">
      <c r="B369" s="692">
        <v>363</v>
      </c>
      <c r="C369" s="410">
        <v>184</v>
      </c>
      <c r="D369" s="410" t="str">
        <f t="shared" si="59"/>
        <v>2015184</v>
      </c>
      <c r="E369" s="120" t="s">
        <v>2248</v>
      </c>
      <c r="F369" s="834" t="s">
        <v>2249</v>
      </c>
      <c r="G369" s="998">
        <v>890900608</v>
      </c>
      <c r="H369" s="828" t="s">
        <v>2250</v>
      </c>
      <c r="I369" s="187">
        <v>37372300</v>
      </c>
      <c r="J369" s="675" t="s">
        <v>2200</v>
      </c>
      <c r="K369" s="269">
        <v>2015</v>
      </c>
      <c r="L369" s="519">
        <v>42314</v>
      </c>
      <c r="M369" s="270">
        <v>42331</v>
      </c>
      <c r="N369" s="270">
        <v>42392</v>
      </c>
      <c r="O369" s="1099" t="str">
        <f>IF(+Modificaciones!I369=0,"",VLOOKUP(E369,Modificaciones!$B$7:$I$2400,8,0))</f>
        <v/>
      </c>
      <c r="P369" s="115">
        <f>COUNTA(Modificaciones!J369,Modificaciones!L369,Modificaciones!N369,Modificaciones!P369)</f>
        <v>0</v>
      </c>
      <c r="Q369" s="116">
        <f>VLOOKUP(E369,Modificaciones!$B$7:$R$2300,17,0)</f>
        <v>0</v>
      </c>
      <c r="R369" s="117" t="s">
        <v>2443</v>
      </c>
      <c r="S369" s="118" t="str">
        <f>IF(Modificaciones!AA369=0,"",VLOOKUP(E369,Modificaciones!$B$7:$AA$400,26,0))</f>
        <v>5 meses</v>
      </c>
      <c r="T369" s="119">
        <f>IF(Modificaciones!AB369=0,"",VLOOKUP(E369,Modificaciones!$B$7:$AB$400,27,0))</f>
        <v>42544</v>
      </c>
      <c r="U369" s="1080" t="str">
        <f>+Modificaciones!AC369</f>
        <v/>
      </c>
      <c r="V369" s="825" t="str">
        <f>+Modificaciones!AK369</f>
        <v/>
      </c>
      <c r="W369" s="825">
        <f t="shared" si="63"/>
        <v>42544</v>
      </c>
      <c r="X369" s="59">
        <f t="shared" si="60"/>
        <v>37372300</v>
      </c>
      <c r="Y369" s="151">
        <f>VLOOKUP(E369,Modificaciones!$B$7:$BE$2300,56,0)</f>
        <v>29897835</v>
      </c>
      <c r="Z369" s="84">
        <f t="shared" si="61"/>
        <v>7474465</v>
      </c>
      <c r="AA369" s="283" t="s">
        <v>2251</v>
      </c>
      <c r="AB369" s="40">
        <f t="shared" si="62"/>
        <v>0.79999986621107078</v>
      </c>
      <c r="AC369" s="40">
        <f t="shared" ca="1" si="64"/>
        <v>1</v>
      </c>
      <c r="AD369" s="41">
        <f t="shared" ca="1" si="65"/>
        <v>0.20000013378892922</v>
      </c>
      <c r="AE369" s="181" t="str">
        <f t="shared" ca="1" si="66"/>
        <v/>
      </c>
      <c r="AF369" s="42" t="str">
        <f t="shared" si="69"/>
        <v>NO</v>
      </c>
      <c r="AG369" s="732" t="str">
        <f>VLOOKUP(C369,[2]Hoja4!$A$2:$E$116,5,0)</f>
        <v>COMPRAVENTA</v>
      </c>
      <c r="AH369" s="152" t="s">
        <v>1255</v>
      </c>
      <c r="AI369" s="255" t="s">
        <v>1483</v>
      </c>
      <c r="AJ369" s="152" t="s">
        <v>1434</v>
      </c>
      <c r="AK369" s="255" t="s">
        <v>560</v>
      </c>
      <c r="AL369" s="279" t="s">
        <v>1385</v>
      </c>
      <c r="AM369" s="279" t="s">
        <v>1866</v>
      </c>
      <c r="AN369" s="161" t="str">
        <f t="shared" ca="1" si="67"/>
        <v>TERMINO</v>
      </c>
      <c r="AO369" s="284" t="s">
        <v>574</v>
      </c>
      <c r="AP369" s="155" t="s">
        <v>391</v>
      </c>
      <c r="AQ369" s="819" t="str">
        <f>IFERROR(VLOOKUP(E369,'liquidaciones '!$B$2:$C$1048576,2,0),"NO")</f>
        <v>LIQUIDADO</v>
      </c>
      <c r="AR369" s="909" t="str">
        <f>IFERROR(VLOOKUP(E369,'liquidaciones '!$B$2:$I$1048576,8,0),"")</f>
        <v>JULIETH ANGARITA</v>
      </c>
      <c r="AS369" s="312"/>
      <c r="AT369" s="156" t="str">
        <f t="shared" ca="1" si="68"/>
        <v>NO</v>
      </c>
      <c r="AU369" s="156" t="s">
        <v>981</v>
      </c>
      <c r="AV369" s="406"/>
      <c r="AW369" s="928"/>
      <c r="AX369" s="928"/>
      <c r="AY369" s="928"/>
    </row>
    <row r="370" spans="1:56" ht="30.6" x14ac:dyDescent="0.3">
      <c r="B370" s="692">
        <v>364</v>
      </c>
      <c r="C370" s="410">
        <v>308</v>
      </c>
      <c r="D370" s="410" t="str">
        <f t="shared" si="59"/>
        <v>2015308</v>
      </c>
      <c r="E370" s="120" t="s">
        <v>2255</v>
      </c>
      <c r="F370" s="254" t="s">
        <v>2256</v>
      </c>
      <c r="G370" s="998">
        <v>900908963</v>
      </c>
      <c r="H370" s="828" t="s">
        <v>2257</v>
      </c>
      <c r="I370" s="187">
        <v>96032643</v>
      </c>
      <c r="J370" s="675" t="s">
        <v>2258</v>
      </c>
      <c r="K370" s="269">
        <v>2015</v>
      </c>
      <c r="L370" s="519">
        <v>42325</v>
      </c>
      <c r="M370" s="270">
        <v>42345</v>
      </c>
      <c r="N370" s="270">
        <v>42620</v>
      </c>
      <c r="O370" s="1099" t="str">
        <f>IF(+Modificaciones!I370=0,"",VLOOKUP(E370,Modificaciones!$B$7:$I$2400,8,0))</f>
        <v/>
      </c>
      <c r="P370" s="115">
        <f>COUNTA(Modificaciones!J370,Modificaciones!L370,Modificaciones!N370,Modificaciones!P370)</f>
        <v>0</v>
      </c>
      <c r="Q370" s="116">
        <f>VLOOKUP(E370,Modificaciones!$B$7:$R$2300,17,0)</f>
        <v>0</v>
      </c>
      <c r="R370" s="117">
        <f>COUNTA(Modificaciones!T370,Modificaciones!V370,Modificaciones!X370,Modificaciones!Z370)</f>
        <v>0</v>
      </c>
      <c r="S370" s="118" t="str">
        <f>IF(Modificaciones!AA370=0,"",VLOOKUP(E370,Modificaciones!$B$7:$AA$400,26,0))</f>
        <v/>
      </c>
      <c r="T370" s="119" t="str">
        <f>IF(Modificaciones!AB370=0,"",VLOOKUP(E370,Modificaciones!$B$7:$AB$400,27,0))</f>
        <v/>
      </c>
      <c r="U370" s="1080" t="str">
        <f>+Modificaciones!AC370</f>
        <v/>
      </c>
      <c r="V370" s="825" t="str">
        <f>+Modificaciones!AK370</f>
        <v/>
      </c>
      <c r="W370" s="825">
        <f t="shared" si="63"/>
        <v>42620</v>
      </c>
      <c r="X370" s="59">
        <f t="shared" si="60"/>
        <v>96032643</v>
      </c>
      <c r="Y370" s="151">
        <f>VLOOKUP(E370,Modificaciones!$B$7:$BE$2300,56,0)</f>
        <v>96032643</v>
      </c>
      <c r="Z370" s="84">
        <f t="shared" si="61"/>
        <v>0</v>
      </c>
      <c r="AA370" s="283" t="s">
        <v>2259</v>
      </c>
      <c r="AB370" s="40">
        <f t="shared" si="62"/>
        <v>1</v>
      </c>
      <c r="AC370" s="40">
        <f t="shared" ca="1" si="64"/>
        <v>1</v>
      </c>
      <c r="AD370" s="41">
        <f t="shared" ca="1" si="65"/>
        <v>0</v>
      </c>
      <c r="AE370" s="181" t="str">
        <f t="shared" ca="1" si="66"/>
        <v/>
      </c>
      <c r="AF370" s="42" t="str">
        <f t="shared" si="69"/>
        <v>SI</v>
      </c>
      <c r="AG370" s="732" t="str">
        <f>VLOOKUP(C370,[2]Hoja4!$A$2:$E$116,5,0)</f>
        <v>PRESTACION DE SERVICIOS</v>
      </c>
      <c r="AH370" s="152" t="s">
        <v>1256</v>
      </c>
      <c r="AI370" s="255" t="s">
        <v>2260</v>
      </c>
      <c r="AJ370" s="152" t="s">
        <v>1438</v>
      </c>
      <c r="AK370" s="255" t="s">
        <v>560</v>
      </c>
      <c r="AL370" s="279" t="s">
        <v>1508</v>
      </c>
      <c r="AM370" s="279" t="s">
        <v>1866</v>
      </c>
      <c r="AN370" s="161" t="str">
        <f t="shared" ca="1" si="67"/>
        <v>TERMINO</v>
      </c>
      <c r="AO370" s="284" t="s">
        <v>574</v>
      </c>
      <c r="AP370" s="155" t="s">
        <v>390</v>
      </c>
      <c r="AQ370" s="819" t="str">
        <f>IFERROR(VLOOKUP(E370,'liquidaciones '!$B$2:$C$1048576,2,0),"NO")</f>
        <v>LIQUIDADO</v>
      </c>
      <c r="AR370" s="909">
        <f>IFERROR(VLOOKUP(E370,'liquidaciones '!$B$2:$I$1048576,8,0),"")</f>
        <v>0</v>
      </c>
      <c r="AS370" s="312"/>
      <c r="AT370" s="156" t="str">
        <f t="shared" ca="1" si="68"/>
        <v>NO</v>
      </c>
      <c r="AU370" s="156" t="s">
        <v>2601</v>
      </c>
      <c r="AV370" s="406"/>
      <c r="AW370" s="928"/>
      <c r="AX370" s="928"/>
      <c r="AY370" s="928"/>
    </row>
    <row r="371" spans="1:56" ht="51" x14ac:dyDescent="0.3">
      <c r="B371" s="692">
        <v>365</v>
      </c>
      <c r="C371" s="410">
        <v>367</v>
      </c>
      <c r="D371" s="410" t="str">
        <f t="shared" si="59"/>
        <v>2015367</v>
      </c>
      <c r="E371" s="120" t="s">
        <v>2266</v>
      </c>
      <c r="F371" s="254" t="s">
        <v>2265</v>
      </c>
      <c r="G371" s="998" t="s">
        <v>2267</v>
      </c>
      <c r="H371" s="828" t="s">
        <v>2268</v>
      </c>
      <c r="I371" s="187">
        <v>17340258</v>
      </c>
      <c r="J371" s="675" t="s">
        <v>2269</v>
      </c>
      <c r="K371" s="269">
        <v>2015</v>
      </c>
      <c r="L371" s="519">
        <v>42332</v>
      </c>
      <c r="M371" s="270">
        <v>42338</v>
      </c>
      <c r="N371" s="270">
        <v>42399</v>
      </c>
      <c r="O371" s="1099" t="str">
        <f>IF(+Modificaciones!I371=0,"",VLOOKUP(E371,Modificaciones!$B$7:$I$2400,8,0))</f>
        <v/>
      </c>
      <c r="P371" s="115">
        <f>COUNTA(Modificaciones!J371,Modificaciones!L371,Modificaciones!N371,Modificaciones!P371)</f>
        <v>0</v>
      </c>
      <c r="Q371" s="116">
        <f>VLOOKUP(E371,Modificaciones!$B$7:$R$2300,17,0)</f>
        <v>0</v>
      </c>
      <c r="R371" s="117">
        <f>COUNTA(Modificaciones!T371,Modificaciones!V371,Modificaciones!X371,Modificaciones!Z371)</f>
        <v>0</v>
      </c>
      <c r="S371" s="118" t="str">
        <f>IF(Modificaciones!AA371=0,"",VLOOKUP(E371,Modificaciones!$B$7:$AA$400,26,0))</f>
        <v/>
      </c>
      <c r="T371" s="119" t="str">
        <f>IF(Modificaciones!AB371=0,"",VLOOKUP(E371,Modificaciones!$B$7:$AB$400,27,0))</f>
        <v/>
      </c>
      <c r="U371" s="1080" t="str">
        <f>+Modificaciones!AC371</f>
        <v/>
      </c>
      <c r="V371" s="825" t="str">
        <f>+Modificaciones!AK371</f>
        <v/>
      </c>
      <c r="W371" s="825">
        <f t="shared" si="63"/>
        <v>42399</v>
      </c>
      <c r="X371" s="59">
        <f t="shared" si="60"/>
        <v>17340258</v>
      </c>
      <c r="Y371" s="151">
        <f>VLOOKUP(E371,Modificaciones!$B$7:$BE$2300,56,0)</f>
        <v>17340258</v>
      </c>
      <c r="Z371" s="84">
        <f t="shared" si="61"/>
        <v>0</v>
      </c>
      <c r="AA371" s="283" t="s">
        <v>2270</v>
      </c>
      <c r="AB371" s="40">
        <f t="shared" si="62"/>
        <v>1</v>
      </c>
      <c r="AC371" s="40">
        <f t="shared" ca="1" si="64"/>
        <v>1</v>
      </c>
      <c r="AD371" s="41">
        <f t="shared" ca="1" si="65"/>
        <v>0</v>
      </c>
      <c r="AE371" s="181" t="str">
        <f t="shared" ca="1" si="66"/>
        <v/>
      </c>
      <c r="AF371" s="42" t="str">
        <f t="shared" si="69"/>
        <v>SI</v>
      </c>
      <c r="AG371" s="732" t="e">
        <f>VLOOKUP(C371,[2]Hoja4!$A$2:$E$116,5,0)</f>
        <v>#N/A</v>
      </c>
      <c r="AH371" s="152" t="s">
        <v>1255</v>
      </c>
      <c r="AI371" s="255" t="s">
        <v>1487</v>
      </c>
      <c r="AJ371" s="152" t="s">
        <v>1441</v>
      </c>
      <c r="AK371" s="255" t="s">
        <v>560</v>
      </c>
      <c r="AL371" s="279" t="s">
        <v>1379</v>
      </c>
      <c r="AM371" s="279" t="s">
        <v>1866</v>
      </c>
      <c r="AN371" s="161" t="str">
        <f t="shared" ca="1" si="67"/>
        <v>TERMINO</v>
      </c>
      <c r="AO371" s="284" t="s">
        <v>576</v>
      </c>
      <c r="AP371" s="155" t="s">
        <v>390</v>
      </c>
      <c r="AQ371" s="819" t="str">
        <f>IFERROR(VLOOKUP(E371,'liquidaciones '!$B$2:$C$1048576,2,0),"NO")</f>
        <v>LIQUIDADO</v>
      </c>
      <c r="AR371" s="909" t="str">
        <f>IFERROR(VLOOKUP(E371,'liquidaciones '!$B$2:$I$1048576,8,0),"")</f>
        <v>JULIETH ANGARITA</v>
      </c>
      <c r="AS371" s="312"/>
      <c r="AT371" s="156" t="str">
        <f t="shared" ca="1" si="68"/>
        <v>NO</v>
      </c>
      <c r="AU371" s="156" t="s">
        <v>981</v>
      </c>
      <c r="AV371" s="406"/>
      <c r="AW371" s="928"/>
      <c r="AX371" s="928"/>
      <c r="AY371" s="928"/>
    </row>
    <row r="372" spans="1:56" ht="40.799999999999997" x14ac:dyDescent="0.3">
      <c r="B372" s="692">
        <v>366</v>
      </c>
      <c r="C372" s="410">
        <v>366</v>
      </c>
      <c r="D372" s="410" t="str">
        <f t="shared" si="59"/>
        <v>2015366</v>
      </c>
      <c r="E372" s="120" t="s">
        <v>2344</v>
      </c>
      <c r="F372" s="834" t="s">
        <v>2346</v>
      </c>
      <c r="G372" s="998">
        <v>72007383</v>
      </c>
      <c r="H372" s="828" t="s">
        <v>2345</v>
      </c>
      <c r="I372" s="187">
        <v>27500000</v>
      </c>
      <c r="J372" s="675" t="s">
        <v>2344</v>
      </c>
      <c r="K372" s="269">
        <v>2015</v>
      </c>
      <c r="L372" s="519">
        <v>42342</v>
      </c>
      <c r="M372" s="270">
        <v>42349</v>
      </c>
      <c r="N372" s="270">
        <v>42501</v>
      </c>
      <c r="O372" s="1099" t="str">
        <f>IF(+Modificaciones!I372=0,"",VLOOKUP(E372,Modificaciones!$B$7:$I$2400,8,0))</f>
        <v/>
      </c>
      <c r="P372" s="115">
        <f>COUNTA(Modificaciones!J372,Modificaciones!L372,Modificaciones!N372,Modificaciones!P372)</f>
        <v>0</v>
      </c>
      <c r="Q372" s="116">
        <f>VLOOKUP(E372,Modificaciones!$B$7:$R$2300,17,0)</f>
        <v>0</v>
      </c>
      <c r="R372" s="117">
        <f>COUNTA(Modificaciones!T372,Modificaciones!V372,Modificaciones!X372,Modificaciones!Z372)</f>
        <v>0</v>
      </c>
      <c r="S372" s="118" t="str">
        <f>IF(Modificaciones!AA372=0,"",VLOOKUP(E372,Modificaciones!$B$7:$AA$400,26,0))</f>
        <v/>
      </c>
      <c r="T372" s="119" t="str">
        <f>IF(Modificaciones!AB372=0,"",VLOOKUP(E372,Modificaciones!$B$7:$AB$400,27,0))</f>
        <v/>
      </c>
      <c r="U372" s="1080" t="str">
        <f>+Modificaciones!AC372</f>
        <v/>
      </c>
      <c r="V372" s="825" t="str">
        <f>+Modificaciones!AK372</f>
        <v/>
      </c>
      <c r="W372" s="825">
        <f t="shared" si="63"/>
        <v>42501</v>
      </c>
      <c r="X372" s="59">
        <f t="shared" si="60"/>
        <v>27500000</v>
      </c>
      <c r="Y372" s="151">
        <f>VLOOKUP(E372,Modificaciones!$B$7:$BE$2300,56,0)</f>
        <v>27500000</v>
      </c>
      <c r="Z372" s="84">
        <f t="shared" si="61"/>
        <v>0</v>
      </c>
      <c r="AA372" s="283" t="s">
        <v>1966</v>
      </c>
      <c r="AB372" s="40">
        <f t="shared" si="62"/>
        <v>1</v>
      </c>
      <c r="AC372" s="40">
        <f t="shared" ca="1" si="64"/>
        <v>1</v>
      </c>
      <c r="AD372" s="41">
        <f t="shared" ca="1" si="65"/>
        <v>0</v>
      </c>
      <c r="AE372" s="181" t="str">
        <f t="shared" ca="1" si="66"/>
        <v/>
      </c>
      <c r="AF372" s="42" t="str">
        <f t="shared" si="69"/>
        <v>SI</v>
      </c>
      <c r="AG372" s="732" t="s">
        <v>5773</v>
      </c>
      <c r="AH372" s="152" t="s">
        <v>1256</v>
      </c>
      <c r="AI372" s="255" t="s">
        <v>2387</v>
      </c>
      <c r="AJ372" s="152" t="s">
        <v>1176</v>
      </c>
      <c r="AK372" s="255" t="s">
        <v>559</v>
      </c>
      <c r="AL372" s="279"/>
      <c r="AM372" s="279" t="s">
        <v>1866</v>
      </c>
      <c r="AN372" s="161" t="str">
        <f t="shared" ca="1" si="67"/>
        <v>TERMINO</v>
      </c>
      <c r="AO372" s="284" t="s">
        <v>582</v>
      </c>
      <c r="AP372" s="155" t="s">
        <v>390</v>
      </c>
      <c r="AQ372" s="819" t="str">
        <f>IFERROR(VLOOKUP(E372,'liquidaciones '!$B$2:$C$1048576,2,0),"NO")</f>
        <v>LIQUIDADO</v>
      </c>
      <c r="AR372" s="909">
        <f>IFERROR(VLOOKUP(E372,'liquidaciones '!$B$2:$I$1048576,8,0),"")</f>
        <v>0</v>
      </c>
      <c r="AS372" s="312"/>
      <c r="AT372" s="156" t="str">
        <f t="shared" ca="1" si="68"/>
        <v>NO</v>
      </c>
      <c r="AU372" s="156" t="s">
        <v>981</v>
      </c>
      <c r="AV372" s="406"/>
      <c r="AW372" s="928"/>
      <c r="AX372" s="928"/>
      <c r="AY372" s="928"/>
    </row>
    <row r="373" spans="1:56" ht="30.6" x14ac:dyDescent="0.3">
      <c r="B373" s="692">
        <v>367</v>
      </c>
      <c r="C373" s="410">
        <v>365</v>
      </c>
      <c r="D373" s="410" t="str">
        <f t="shared" si="59"/>
        <v>2015365</v>
      </c>
      <c r="E373" s="120" t="s">
        <v>2359</v>
      </c>
      <c r="F373" s="254" t="s">
        <v>2360</v>
      </c>
      <c r="G373" s="998">
        <v>79634149</v>
      </c>
      <c r="H373" s="828" t="s">
        <v>2372</v>
      </c>
      <c r="I373" s="807">
        <v>910786703.20000005</v>
      </c>
      <c r="J373" s="675" t="s">
        <v>2361</v>
      </c>
      <c r="K373" s="269">
        <v>2015</v>
      </c>
      <c r="L373" s="519">
        <v>42341</v>
      </c>
      <c r="M373" s="270">
        <v>42341</v>
      </c>
      <c r="N373" s="270">
        <v>42524</v>
      </c>
      <c r="O373" s="1099" t="str">
        <f>IF(+Modificaciones!I373=0,"",VLOOKUP(E373,Modificaciones!$B$7:$I$2400,8,0))</f>
        <v/>
      </c>
      <c r="P373" s="115">
        <f>COUNTA(Modificaciones!J373,Modificaciones!L373,Modificaciones!N373,Modificaciones!P373)</f>
        <v>0</v>
      </c>
      <c r="Q373" s="116">
        <f>VLOOKUP(E373,Modificaciones!$B$7:$R$2300,17,0)</f>
        <v>0</v>
      </c>
      <c r="R373" s="117">
        <f>COUNTA(Modificaciones!T373,Modificaciones!V373,Modificaciones!X373,Modificaciones!Z373)</f>
        <v>0</v>
      </c>
      <c r="S373" s="118" t="str">
        <f>IF(Modificaciones!AA373=0,"",VLOOKUP(E373,Modificaciones!$B$7:$AA$400,26,0))</f>
        <v/>
      </c>
      <c r="T373" s="119" t="str">
        <f>IF(Modificaciones!AB373=0,"",VLOOKUP(E373,Modificaciones!$B$7:$AB$400,27,0))</f>
        <v/>
      </c>
      <c r="U373" s="1080" t="str">
        <f>+Modificaciones!AC373</f>
        <v/>
      </c>
      <c r="V373" s="825" t="str">
        <f>+Modificaciones!AK373</f>
        <v/>
      </c>
      <c r="W373" s="825">
        <f t="shared" si="63"/>
        <v>42524</v>
      </c>
      <c r="X373" s="59">
        <f t="shared" si="60"/>
        <v>910786703.20000005</v>
      </c>
      <c r="Y373" s="151">
        <f>VLOOKUP(E373,Modificaciones!$B$7:$BE$2300,56,0)</f>
        <v>910786703</v>
      </c>
      <c r="Z373" s="84">
        <f t="shared" si="61"/>
        <v>0.20000004768371582</v>
      </c>
      <c r="AA373" s="283" t="s">
        <v>2362</v>
      </c>
      <c r="AB373" s="40">
        <f t="shared" si="62"/>
        <v>0.99999999978040954</v>
      </c>
      <c r="AC373" s="40">
        <f t="shared" ca="1" si="64"/>
        <v>1</v>
      </c>
      <c r="AD373" s="41">
        <f t="shared" ca="1" si="65"/>
        <v>2.195904569290974E-10</v>
      </c>
      <c r="AE373" s="181" t="str">
        <f t="shared" ca="1" si="66"/>
        <v/>
      </c>
      <c r="AF373" s="42" t="str">
        <f t="shared" si="69"/>
        <v>SI</v>
      </c>
      <c r="AG373" s="732" t="e">
        <f>VLOOKUP(C373,[2]Hoja4!$A$2:$E$116,5,0)</f>
        <v>#N/A</v>
      </c>
      <c r="AH373" s="152" t="s">
        <v>1256</v>
      </c>
      <c r="AI373" s="255" t="s">
        <v>2363</v>
      </c>
      <c r="AJ373" s="152" t="s">
        <v>1438</v>
      </c>
      <c r="AK373" s="255" t="s">
        <v>560</v>
      </c>
      <c r="AL373" s="279" t="s">
        <v>1508</v>
      </c>
      <c r="AM373" s="279" t="s">
        <v>1866</v>
      </c>
      <c r="AN373" s="161" t="str">
        <f t="shared" ca="1" si="67"/>
        <v>TERMINO</v>
      </c>
      <c r="AO373" s="284" t="s">
        <v>582</v>
      </c>
      <c r="AP373" s="155"/>
      <c r="AQ373" s="819" t="str">
        <f>IFERROR(VLOOKUP(E373,'liquidaciones '!$B$2:$C$1048576,2,0),"NO")</f>
        <v>DEVUELTO</v>
      </c>
      <c r="AR373" s="909" t="str">
        <f>IFERROR(VLOOKUP(E373,'liquidaciones '!$B$2:$I$1048576,8,0),"")</f>
        <v>JULIETH ANGARITA</v>
      </c>
      <c r="AS373" s="312"/>
      <c r="AT373" s="156" t="str">
        <f t="shared" ca="1" si="68"/>
        <v>NO</v>
      </c>
      <c r="AU373" s="156" t="s">
        <v>1991</v>
      </c>
      <c r="AV373" s="406"/>
      <c r="AW373" s="928"/>
      <c r="AX373" s="928"/>
      <c r="AY373" s="928"/>
    </row>
    <row r="374" spans="1:56" ht="20.399999999999999" x14ac:dyDescent="0.3">
      <c r="B374" s="692">
        <v>368</v>
      </c>
      <c r="C374" s="410">
        <v>368</v>
      </c>
      <c r="D374" s="410" t="str">
        <f t="shared" si="59"/>
        <v>2015368</v>
      </c>
      <c r="E374" s="120" t="s">
        <v>2353</v>
      </c>
      <c r="F374" s="254" t="s">
        <v>2355</v>
      </c>
      <c r="G374" s="998" t="s">
        <v>2356</v>
      </c>
      <c r="H374" s="828" t="s">
        <v>2354</v>
      </c>
      <c r="I374" s="187">
        <v>8404200</v>
      </c>
      <c r="J374" s="675" t="s">
        <v>2357</v>
      </c>
      <c r="K374" s="269">
        <v>2015</v>
      </c>
      <c r="L374" s="519">
        <v>42352</v>
      </c>
      <c r="M374" s="270">
        <v>42383</v>
      </c>
      <c r="N374" s="270">
        <v>42443</v>
      </c>
      <c r="O374" s="1099" t="str">
        <f>IF(+Modificaciones!I374=0,"",VLOOKUP(E374,Modificaciones!$B$7:$I$2400,8,0))</f>
        <v/>
      </c>
      <c r="P374" s="115">
        <f>COUNTA(Modificaciones!J374,Modificaciones!L374,Modificaciones!N374,Modificaciones!P374)</f>
        <v>0</v>
      </c>
      <c r="Q374" s="116">
        <f>VLOOKUP(E374,Modificaciones!$B$7:$R$2300,17,0)</f>
        <v>0</v>
      </c>
      <c r="R374" s="117">
        <f>COUNTA(Modificaciones!T374,Modificaciones!V374,Modificaciones!X374,Modificaciones!Z374)</f>
        <v>0</v>
      </c>
      <c r="S374" s="118" t="str">
        <f>IF(Modificaciones!AA374=0,"",VLOOKUP(E374,Modificaciones!$B$7:$AA$400,26,0))</f>
        <v/>
      </c>
      <c r="T374" s="119" t="str">
        <f>IF(Modificaciones!AB374=0,"",VLOOKUP(E374,Modificaciones!$B$7:$AB$400,27,0))</f>
        <v/>
      </c>
      <c r="U374" s="1080" t="str">
        <f>+Modificaciones!AC374</f>
        <v/>
      </c>
      <c r="V374" s="825" t="str">
        <f>+Modificaciones!AK374</f>
        <v/>
      </c>
      <c r="W374" s="825">
        <f t="shared" si="63"/>
        <v>42443</v>
      </c>
      <c r="X374" s="59">
        <f t="shared" si="60"/>
        <v>8404200</v>
      </c>
      <c r="Y374" s="151">
        <f>VLOOKUP(E374,Modificaciones!$B$7:$BE$2300,56,0)</f>
        <v>8404200</v>
      </c>
      <c r="Z374" s="84">
        <f t="shared" si="61"/>
        <v>0</v>
      </c>
      <c r="AA374" s="283" t="s">
        <v>2358</v>
      </c>
      <c r="AB374" s="40">
        <f t="shared" si="62"/>
        <v>1</v>
      </c>
      <c r="AC374" s="40">
        <f t="shared" ca="1" si="64"/>
        <v>1</v>
      </c>
      <c r="AD374" s="41">
        <f t="shared" ca="1" si="65"/>
        <v>0</v>
      </c>
      <c r="AE374" s="181" t="str">
        <f t="shared" ca="1" si="66"/>
        <v/>
      </c>
      <c r="AF374" s="42" t="str">
        <f t="shared" si="69"/>
        <v>SI</v>
      </c>
      <c r="AG374" s="732" t="e">
        <f>VLOOKUP(C374,[2]Hoja4!$A$2:$E$116,5,0)</f>
        <v>#N/A</v>
      </c>
      <c r="AH374" s="152" t="s">
        <v>1255</v>
      </c>
      <c r="AI374" s="255" t="s">
        <v>2261</v>
      </c>
      <c r="AJ374" s="152" t="s">
        <v>1441</v>
      </c>
      <c r="AK374" s="255" t="s">
        <v>560</v>
      </c>
      <c r="AL374" s="279"/>
      <c r="AM374" s="279" t="s">
        <v>1866</v>
      </c>
      <c r="AN374" s="161" t="str">
        <f t="shared" ca="1" si="67"/>
        <v>TERMINO</v>
      </c>
      <c r="AO374" s="284" t="s">
        <v>576</v>
      </c>
      <c r="AP374" s="155" t="s">
        <v>391</v>
      </c>
      <c r="AQ374" s="819" t="str">
        <f>IFERROR(VLOOKUP(E374,'liquidaciones '!$B$2:$C$1048576,2,0),"NO")</f>
        <v>LIQUIDADO</v>
      </c>
      <c r="AR374" s="909">
        <f>IFERROR(VLOOKUP(E374,'liquidaciones '!$B$2:$I$1048576,8,0),"")</f>
        <v>0</v>
      </c>
      <c r="AS374" s="312"/>
      <c r="AT374" s="156" t="str">
        <f t="shared" ca="1" si="68"/>
        <v>NO</v>
      </c>
      <c r="AU374" s="156" t="s">
        <v>981</v>
      </c>
      <c r="AV374" s="406"/>
      <c r="AW374" s="928"/>
      <c r="AX374" s="928"/>
      <c r="AY374" s="928"/>
    </row>
    <row r="375" spans="1:56" ht="51" x14ac:dyDescent="0.3">
      <c r="B375" s="692">
        <v>369</v>
      </c>
      <c r="C375" s="410">
        <v>160</v>
      </c>
      <c r="D375" s="410" t="str">
        <f t="shared" si="59"/>
        <v>2015160</v>
      </c>
      <c r="E375" s="120" t="s">
        <v>2364</v>
      </c>
      <c r="F375" s="834" t="s">
        <v>2365</v>
      </c>
      <c r="G375" s="998" t="s">
        <v>2366</v>
      </c>
      <c r="H375" s="828" t="s">
        <v>2367</v>
      </c>
      <c r="I375" s="187">
        <v>345000000</v>
      </c>
      <c r="J375" s="675" t="s">
        <v>2368</v>
      </c>
      <c r="K375" s="269">
        <v>2015</v>
      </c>
      <c r="L375" s="519">
        <v>42349</v>
      </c>
      <c r="M375" s="270">
        <v>42383</v>
      </c>
      <c r="N375" s="270">
        <v>42627</v>
      </c>
      <c r="O375" s="1099" t="str">
        <f>IF(+Modificaciones!I375=0,"",VLOOKUP(E375,Modificaciones!$B$7:$I$2400,8,0))</f>
        <v/>
      </c>
      <c r="P375" s="115">
        <f>COUNTA(Modificaciones!J375,Modificaciones!L375,Modificaciones!N375,Modificaciones!P375)</f>
        <v>1</v>
      </c>
      <c r="Q375" s="116">
        <f>VLOOKUP(E375,Modificaciones!$B$7:$R$2300,17,0)</f>
        <v>172500000</v>
      </c>
      <c r="R375" s="117">
        <f>COUNTA(Modificaciones!T375,Modificaciones!V375,Modificaciones!X375,Modificaciones!Z375)</f>
        <v>1</v>
      </c>
      <c r="S375" s="118" t="str">
        <f>IF(Modificaciones!AA375=0,"",VLOOKUP(E375,Modificaciones!$B$7:$AA$400,26,0))</f>
        <v>4 meses             17 días</v>
      </c>
      <c r="T375" s="119">
        <f>IF(Modificaciones!AB375=0,"",VLOOKUP(E375,Modificaciones!$B$7:$AB$400,27,0))</f>
        <v>42766</v>
      </c>
      <c r="U375" s="1080" t="str">
        <f>+Modificaciones!AC375</f>
        <v/>
      </c>
      <c r="V375" s="825" t="str">
        <f>+Modificaciones!AK375</f>
        <v/>
      </c>
      <c r="W375" s="825">
        <f t="shared" si="63"/>
        <v>42766</v>
      </c>
      <c r="X375" s="59">
        <f t="shared" si="60"/>
        <v>517500000</v>
      </c>
      <c r="Y375" s="151">
        <f>VLOOKUP(E375,Modificaciones!$B$7:$BE$2300,56,0)</f>
        <v>516394215</v>
      </c>
      <c r="Z375" s="84">
        <f t="shared" si="61"/>
        <v>1105785</v>
      </c>
      <c r="AA375" s="283" t="s">
        <v>2369</v>
      </c>
      <c r="AB375" s="40">
        <f t="shared" si="62"/>
        <v>0.99786321739130435</v>
      </c>
      <c r="AC375" s="40">
        <f t="shared" ca="1" si="64"/>
        <v>1</v>
      </c>
      <c r="AD375" s="41">
        <f t="shared" ca="1" si="65"/>
        <v>2.1367826086956532E-3</v>
      </c>
      <c r="AE375" s="181" t="str">
        <f t="shared" ca="1" si="66"/>
        <v/>
      </c>
      <c r="AF375" s="42" t="str">
        <f t="shared" si="69"/>
        <v>NO</v>
      </c>
      <c r="AG375" s="732" t="str">
        <f>VLOOKUP(C375,[2]Hoja4!$A$2:$E$116,5,0)</f>
        <v>CONTRATO INTERADMINISTRATIVO</v>
      </c>
      <c r="AH375" s="152" t="s">
        <v>1255</v>
      </c>
      <c r="AI375" s="255" t="s">
        <v>1531</v>
      </c>
      <c r="AJ375" s="152" t="s">
        <v>1429</v>
      </c>
      <c r="AK375" s="255" t="s">
        <v>564</v>
      </c>
      <c r="AL375" s="279"/>
      <c r="AM375" s="279" t="s">
        <v>1866</v>
      </c>
      <c r="AN375" s="161" t="str">
        <f t="shared" ca="1" si="67"/>
        <v>TERMINO</v>
      </c>
      <c r="AO375" s="284" t="s">
        <v>575</v>
      </c>
      <c r="AP375" s="155" t="s">
        <v>390</v>
      </c>
      <c r="AQ375" s="819" t="str">
        <f>IFERROR(VLOOKUP(E375,'liquidaciones '!$B$2:$C$1048576,2,0),"NO")</f>
        <v>LIQUIDADO</v>
      </c>
      <c r="AR375" s="909" t="str">
        <f>IFERROR(VLOOKUP(E375,'liquidaciones '!$B$2:$I$1048576,8,0),"")</f>
        <v>MANUEL ROJAS</v>
      </c>
      <c r="AS375" s="312"/>
      <c r="AT375" s="156" t="str">
        <f t="shared" ca="1" si="68"/>
        <v>NO</v>
      </c>
      <c r="AU375" s="156" t="s">
        <v>981</v>
      </c>
      <c r="AV375" s="406"/>
      <c r="AW375" s="928"/>
      <c r="AX375" s="928"/>
      <c r="AY375" s="928"/>
    </row>
    <row r="376" spans="1:56" ht="30.6" x14ac:dyDescent="0.3">
      <c r="B376" s="692">
        <v>370</v>
      </c>
      <c r="C376" s="410">
        <v>365</v>
      </c>
      <c r="D376" s="410" t="str">
        <f t="shared" si="59"/>
        <v>2015365</v>
      </c>
      <c r="E376" s="120" t="s">
        <v>2373</v>
      </c>
      <c r="F376" s="254" t="s">
        <v>2360</v>
      </c>
      <c r="G376" s="998">
        <v>79634149</v>
      </c>
      <c r="H376" s="828" t="s">
        <v>2372</v>
      </c>
      <c r="I376" s="807">
        <v>295840339</v>
      </c>
      <c r="J376" s="675" t="s">
        <v>2361</v>
      </c>
      <c r="K376" s="269">
        <v>2015</v>
      </c>
      <c r="L376" s="519">
        <v>42349</v>
      </c>
      <c r="M376" s="270">
        <v>42349</v>
      </c>
      <c r="N376" s="270">
        <v>42532</v>
      </c>
      <c r="O376" s="1099" t="str">
        <f>IF(+Modificaciones!I376=0,"",VLOOKUP(E376,Modificaciones!$B$7:$I$2400,8,0))</f>
        <v/>
      </c>
      <c r="P376" s="115">
        <f>COUNTA(Modificaciones!J376,Modificaciones!L376,Modificaciones!N376,Modificaciones!P376)</f>
        <v>0</v>
      </c>
      <c r="Q376" s="116">
        <f>VLOOKUP(E376,Modificaciones!$B$7:$R$2300,17,0)</f>
        <v>0</v>
      </c>
      <c r="R376" s="117">
        <f>COUNTA(Modificaciones!T376,Modificaciones!V376,Modificaciones!X376,Modificaciones!Z376)</f>
        <v>0</v>
      </c>
      <c r="S376" s="118" t="str">
        <f>IF(Modificaciones!AA376=0,"",VLOOKUP(E376,Modificaciones!$B$7:$AA$400,26,0))</f>
        <v/>
      </c>
      <c r="T376" s="119" t="str">
        <f>IF(Modificaciones!AB376=0,"",VLOOKUP(E376,Modificaciones!$B$7:$AB$400,27,0))</f>
        <v/>
      </c>
      <c r="U376" s="1080" t="str">
        <f>+Modificaciones!AC376</f>
        <v/>
      </c>
      <c r="V376" s="825" t="str">
        <f>+Modificaciones!AK376</f>
        <v/>
      </c>
      <c r="W376" s="825">
        <f t="shared" si="63"/>
        <v>42532</v>
      </c>
      <c r="X376" s="59">
        <f t="shared" si="60"/>
        <v>295840339</v>
      </c>
      <c r="Y376" s="151">
        <f>VLOOKUP(E376,Modificaciones!$B$7:$BE$2300,56,0)</f>
        <v>295840339</v>
      </c>
      <c r="Z376" s="84">
        <f t="shared" si="61"/>
        <v>0</v>
      </c>
      <c r="AA376" s="283" t="s">
        <v>2362</v>
      </c>
      <c r="AB376" s="40">
        <f t="shared" si="62"/>
        <v>1</v>
      </c>
      <c r="AC376" s="40">
        <f t="shared" ca="1" si="64"/>
        <v>1</v>
      </c>
      <c r="AD376" s="41">
        <f t="shared" ca="1" si="65"/>
        <v>0</v>
      </c>
      <c r="AE376" s="181" t="str">
        <f t="shared" ca="1" si="66"/>
        <v/>
      </c>
      <c r="AF376" s="42" t="str">
        <f t="shared" si="69"/>
        <v>SI</v>
      </c>
      <c r="AG376" s="732" t="e">
        <f>VLOOKUP(C376,[2]Hoja4!$A$2:$E$116,5,0)</f>
        <v>#N/A</v>
      </c>
      <c r="AH376" s="152" t="s">
        <v>1256</v>
      </c>
      <c r="AI376" s="255" t="s">
        <v>2363</v>
      </c>
      <c r="AJ376" s="152" t="s">
        <v>1438</v>
      </c>
      <c r="AK376" s="255" t="s">
        <v>560</v>
      </c>
      <c r="AL376" s="279" t="s">
        <v>1508</v>
      </c>
      <c r="AM376" s="279" t="s">
        <v>1866</v>
      </c>
      <c r="AN376" s="161" t="str">
        <f t="shared" ca="1" si="67"/>
        <v>TERMINO</v>
      </c>
      <c r="AO376" s="284" t="s">
        <v>582</v>
      </c>
      <c r="AP376" s="155"/>
      <c r="AQ376" s="819" t="str">
        <f>IFERROR(VLOOKUP(E376,'liquidaciones '!$B$2:$C$1048576,2,0),"NO")</f>
        <v>EN TRÁMITE</v>
      </c>
      <c r="AR376" s="909">
        <f>IFERROR(VLOOKUP(E376,'liquidaciones '!$B$2:$I$1048576,8,0),"")</f>
        <v>0</v>
      </c>
      <c r="AS376" s="312"/>
      <c r="AT376" s="156" t="str">
        <f t="shared" ca="1" si="68"/>
        <v>NO</v>
      </c>
      <c r="AU376" s="156" t="s">
        <v>1991</v>
      </c>
      <c r="AV376" s="406"/>
      <c r="AW376" s="928"/>
      <c r="AX376" s="928"/>
      <c r="AY376" s="928"/>
    </row>
    <row r="377" spans="1:56" ht="30.6" x14ac:dyDescent="0.3">
      <c r="B377" s="692">
        <v>371</v>
      </c>
      <c r="C377" s="410">
        <v>365</v>
      </c>
      <c r="D377" s="410" t="str">
        <f t="shared" si="59"/>
        <v>2015365</v>
      </c>
      <c r="E377" s="120" t="s">
        <v>2371</v>
      </c>
      <c r="F377" s="254" t="s">
        <v>2360</v>
      </c>
      <c r="G377" s="998">
        <v>79634149</v>
      </c>
      <c r="H377" s="828" t="s">
        <v>2372</v>
      </c>
      <c r="I377" s="807">
        <v>188315358.83000001</v>
      </c>
      <c r="J377" s="675" t="s">
        <v>2361</v>
      </c>
      <c r="K377" s="269">
        <v>2015</v>
      </c>
      <c r="L377" s="519">
        <v>42349</v>
      </c>
      <c r="M377" s="270">
        <v>42349</v>
      </c>
      <c r="N377" s="270">
        <v>42532</v>
      </c>
      <c r="O377" s="1099" t="str">
        <f>IF(+Modificaciones!I377=0,"",VLOOKUP(E377,Modificaciones!$B$7:$I$2400,8,0))</f>
        <v/>
      </c>
      <c r="P377" s="115">
        <f>COUNTA(Modificaciones!J377,Modificaciones!L377,Modificaciones!N377,Modificaciones!P377)</f>
        <v>0</v>
      </c>
      <c r="Q377" s="116">
        <f>VLOOKUP(E377,Modificaciones!$B$7:$R$2300,17,0)</f>
        <v>0</v>
      </c>
      <c r="R377" s="117">
        <f>COUNTA(Modificaciones!T377,Modificaciones!V377,Modificaciones!X377,Modificaciones!Z377)</f>
        <v>0</v>
      </c>
      <c r="S377" s="118" t="str">
        <f>IF(Modificaciones!AA377=0,"",VLOOKUP(E377,Modificaciones!$B$7:$AA$400,26,0))</f>
        <v/>
      </c>
      <c r="T377" s="119" t="str">
        <f>IF(Modificaciones!AB377=0,"",VLOOKUP(E377,Modificaciones!$B$7:$AB$400,27,0))</f>
        <v/>
      </c>
      <c r="U377" s="1080" t="str">
        <f>+Modificaciones!AC377</f>
        <v/>
      </c>
      <c r="V377" s="825" t="str">
        <f>+Modificaciones!AK377</f>
        <v/>
      </c>
      <c r="W377" s="825">
        <f t="shared" si="63"/>
        <v>42532</v>
      </c>
      <c r="X377" s="59">
        <f t="shared" si="60"/>
        <v>188315358.83000001</v>
      </c>
      <c r="Y377" s="151">
        <f>VLOOKUP(E377,Modificaciones!$B$7:$BE$2300,56,0)</f>
        <v>188315359</v>
      </c>
      <c r="Z377" s="84">
        <f>+X377-Y377</f>
        <v>-0.16999998688697815</v>
      </c>
      <c r="AA377" s="283" t="s">
        <v>2362</v>
      </c>
      <c r="AB377" s="40">
        <f t="shared" si="62"/>
        <v>1.000000000902741</v>
      </c>
      <c r="AC377" s="40">
        <f t="shared" ca="1" si="64"/>
        <v>1</v>
      </c>
      <c r="AD377" s="41">
        <f t="shared" ca="1" si="65"/>
        <v>-9.0274099306952849E-10</v>
      </c>
      <c r="AE377" s="181" t="str">
        <f t="shared" ca="1" si="66"/>
        <v/>
      </c>
      <c r="AF377" s="42" t="str">
        <f t="shared" si="69"/>
        <v>SI</v>
      </c>
      <c r="AG377" s="732" t="e">
        <f>VLOOKUP(C377,[2]Hoja4!$A$2:$E$116,5,0)</f>
        <v>#N/A</v>
      </c>
      <c r="AH377" s="152" t="s">
        <v>1256</v>
      </c>
      <c r="AI377" s="255" t="s">
        <v>2363</v>
      </c>
      <c r="AJ377" s="152" t="s">
        <v>1438</v>
      </c>
      <c r="AK377" s="255" t="s">
        <v>560</v>
      </c>
      <c r="AL377" s="279" t="s">
        <v>1508</v>
      </c>
      <c r="AM377" s="279" t="s">
        <v>1866</v>
      </c>
      <c r="AN377" s="161" t="str">
        <f t="shared" ca="1" si="67"/>
        <v>TERMINO</v>
      </c>
      <c r="AO377" s="284" t="s">
        <v>582</v>
      </c>
      <c r="AP377" s="155"/>
      <c r="AQ377" s="819" t="str">
        <f>IFERROR(VLOOKUP(E377,'liquidaciones '!$B$2:$C$1048576,2,0),"NO")</f>
        <v>DEVUELTO</v>
      </c>
      <c r="AR377" s="909" t="str">
        <f>IFERROR(VLOOKUP(E377,'liquidaciones '!$B$2:$I$1048576,8,0),"")</f>
        <v>JULIETH ANGARITA</v>
      </c>
      <c r="AS377" s="312"/>
      <c r="AT377" s="156" t="str">
        <f t="shared" ca="1" si="68"/>
        <v>NO</v>
      </c>
      <c r="AU377" s="156" t="s">
        <v>1991</v>
      </c>
      <c r="AV377" s="406"/>
      <c r="AW377" s="928"/>
      <c r="AX377" s="928"/>
      <c r="AY377" s="928"/>
    </row>
    <row r="378" spans="1:56" ht="51" x14ac:dyDescent="0.3">
      <c r="B378" s="692">
        <v>372</v>
      </c>
      <c r="C378" s="410">
        <v>62</v>
      </c>
      <c r="D378" s="410" t="str">
        <f t="shared" si="59"/>
        <v>201562</v>
      </c>
      <c r="E378" s="120" t="s">
        <v>2375</v>
      </c>
      <c r="F378" s="254" t="s">
        <v>2376</v>
      </c>
      <c r="G378" s="998">
        <v>830025104</v>
      </c>
      <c r="H378" s="828" t="s">
        <v>2377</v>
      </c>
      <c r="I378" s="187">
        <v>64250000</v>
      </c>
      <c r="J378" s="675" t="s">
        <v>2378</v>
      </c>
      <c r="K378" s="269">
        <v>2015</v>
      </c>
      <c r="L378" s="519">
        <v>42359</v>
      </c>
      <c r="M378" s="270">
        <v>42384</v>
      </c>
      <c r="N378" s="270">
        <v>42505</v>
      </c>
      <c r="O378" s="1099" t="str">
        <f>IF(+Modificaciones!I378=0,"",VLOOKUP(E378,Modificaciones!$B$7:$I$2400,8,0))</f>
        <v/>
      </c>
      <c r="P378" s="115">
        <f>COUNTA(Modificaciones!J378,Modificaciones!L378,Modificaciones!N378,Modificaciones!P378)</f>
        <v>0</v>
      </c>
      <c r="Q378" s="116">
        <f>VLOOKUP(E378,Modificaciones!$B$7:$R$2300,17,0)</f>
        <v>0</v>
      </c>
      <c r="R378" s="117">
        <f>COUNTA(Modificaciones!T378,Modificaciones!V378,Modificaciones!X378,Modificaciones!Z378)</f>
        <v>1</v>
      </c>
      <c r="S378" s="118" t="str">
        <f>IF(Modificaciones!AA378=0,"",VLOOKUP(E378,Modificaciones!$B$7:$AA$400,26,0))</f>
        <v>1 mes</v>
      </c>
      <c r="T378" s="119">
        <f>IF(Modificaciones!AB378=0,"",VLOOKUP(E378,Modificaciones!$B$7:$AB$400,27,0))</f>
        <v>42536</v>
      </c>
      <c r="U378" s="1080" t="str">
        <f>+Modificaciones!AC378</f>
        <v/>
      </c>
      <c r="V378" s="825" t="str">
        <f>+Modificaciones!AK378</f>
        <v/>
      </c>
      <c r="W378" s="825">
        <f t="shared" si="63"/>
        <v>42536</v>
      </c>
      <c r="X378" s="59">
        <f t="shared" si="60"/>
        <v>64250000</v>
      </c>
      <c r="Y378" s="151">
        <f>VLOOKUP(E378,Modificaciones!$B$7:$BE$2300,56,0)</f>
        <v>64250000</v>
      </c>
      <c r="Z378" s="84">
        <f t="shared" ref="Z378:Z441" si="70">X378-Y378</f>
        <v>0</v>
      </c>
      <c r="AA378" s="283" t="s">
        <v>2379</v>
      </c>
      <c r="AB378" s="40">
        <f t="shared" si="62"/>
        <v>1</v>
      </c>
      <c r="AC378" s="40">
        <f t="shared" ca="1" si="64"/>
        <v>1</v>
      </c>
      <c r="AD378" s="41">
        <f t="shared" ca="1" si="65"/>
        <v>0</v>
      </c>
      <c r="AE378" s="181" t="str">
        <f t="shared" ca="1" si="66"/>
        <v/>
      </c>
      <c r="AF378" s="42" t="str">
        <f t="shared" si="69"/>
        <v>SI</v>
      </c>
      <c r="AG378" s="732" t="str">
        <f>VLOOKUP(C378,[2]Hoja4!$A$2:$E$116,5,0)</f>
        <v>PRESTACION DE SERVICIOS</v>
      </c>
      <c r="AH378" s="152" t="s">
        <v>1256</v>
      </c>
      <c r="AI378" s="255" t="s">
        <v>1572</v>
      </c>
      <c r="AJ378" s="152" t="s">
        <v>1438</v>
      </c>
      <c r="AK378" s="255" t="s">
        <v>560</v>
      </c>
      <c r="AL378" s="279" t="s">
        <v>1508</v>
      </c>
      <c r="AM378" s="279" t="s">
        <v>1866</v>
      </c>
      <c r="AN378" s="161" t="str">
        <f t="shared" ca="1" si="67"/>
        <v>TERMINO</v>
      </c>
      <c r="AO378" s="284" t="s">
        <v>576</v>
      </c>
      <c r="AP378" s="155" t="s">
        <v>390</v>
      </c>
      <c r="AQ378" s="819" t="str">
        <f>IFERROR(VLOOKUP(E378,'liquidaciones '!$B$2:$C$1048576,2,0),"NO")</f>
        <v>LIQUIDADO</v>
      </c>
      <c r="AR378" s="909" t="str">
        <f>IFERROR(VLOOKUP(E378,'liquidaciones '!$B$2:$I$1048576,8,0),"")</f>
        <v>JULIETH ANGARITA</v>
      </c>
      <c r="AS378" s="312"/>
      <c r="AT378" s="156" t="str">
        <f t="shared" ca="1" si="68"/>
        <v>NO</v>
      </c>
      <c r="AU378" s="156" t="s">
        <v>1991</v>
      </c>
      <c r="AV378" s="406"/>
      <c r="AW378" s="928"/>
      <c r="AX378" s="928"/>
      <c r="AY378" s="928"/>
    </row>
    <row r="379" spans="1:56" ht="43.5" customHeight="1" x14ac:dyDescent="0.3">
      <c r="B379" s="692">
        <v>373</v>
      </c>
      <c r="C379" s="410"/>
      <c r="D379" s="410" t="str">
        <f t="shared" si="59"/>
        <v>2015</v>
      </c>
      <c r="E379" s="120" t="s">
        <v>2380</v>
      </c>
      <c r="F379" s="254" t="s">
        <v>2381</v>
      </c>
      <c r="G379" s="998" t="s">
        <v>2382</v>
      </c>
      <c r="H379" s="828" t="s">
        <v>2383</v>
      </c>
      <c r="I379" s="187">
        <v>64000000</v>
      </c>
      <c r="J379" s="675" t="s">
        <v>2384</v>
      </c>
      <c r="K379" s="269">
        <v>2015</v>
      </c>
      <c r="L379" s="519">
        <v>42362</v>
      </c>
      <c r="M379" s="270">
        <v>42384</v>
      </c>
      <c r="N379" s="270">
        <v>42750</v>
      </c>
      <c r="O379" s="1099" t="str">
        <f>IF(+Modificaciones!I379=0,"",VLOOKUP(E379,Modificaciones!$B$7:$I$2400,8,0))</f>
        <v/>
      </c>
      <c r="P379" s="115">
        <f>COUNTA(Modificaciones!J379,Modificaciones!L379,Modificaciones!N379,Modificaciones!P379)</f>
        <v>0</v>
      </c>
      <c r="Q379" s="116">
        <f>VLOOKUP(E379,Modificaciones!$B$7:$R$2300,17,0)</f>
        <v>0</v>
      </c>
      <c r="R379" s="117">
        <f>COUNTA(Modificaciones!T379,Modificaciones!V379,Modificaciones!X379,Modificaciones!Z379)</f>
        <v>0</v>
      </c>
      <c r="S379" s="118" t="str">
        <f>IF(Modificaciones!AA379=0,"",VLOOKUP(E379,Modificaciones!$B$7:$AA$400,26,0))</f>
        <v/>
      </c>
      <c r="T379" s="119" t="str">
        <f>IF(Modificaciones!AB379=0,"",VLOOKUP(E379,Modificaciones!$B$7:$AB$400,27,0))</f>
        <v/>
      </c>
      <c r="U379" s="1080" t="str">
        <f>+Modificaciones!AC379</f>
        <v/>
      </c>
      <c r="V379" s="825" t="str">
        <f>+Modificaciones!AK379</f>
        <v/>
      </c>
      <c r="W379" s="825">
        <f t="shared" si="63"/>
        <v>42750</v>
      </c>
      <c r="X379" s="59">
        <f t="shared" si="60"/>
        <v>64000000</v>
      </c>
      <c r="Y379" s="151">
        <f>VLOOKUP(E379,Modificaciones!$B$7:$BE$2300,56,0)</f>
        <v>64000000</v>
      </c>
      <c r="Z379" s="84">
        <f t="shared" si="70"/>
        <v>0</v>
      </c>
      <c r="AA379" s="316" t="s">
        <v>2385</v>
      </c>
      <c r="AB379" s="40">
        <f t="shared" si="62"/>
        <v>1</v>
      </c>
      <c r="AC379" s="40">
        <f t="shared" ca="1" si="64"/>
        <v>1</v>
      </c>
      <c r="AD379" s="41">
        <f t="shared" ca="1" si="65"/>
        <v>0</v>
      </c>
      <c r="AE379" s="181" t="str">
        <f t="shared" ca="1" si="66"/>
        <v/>
      </c>
      <c r="AF379" s="42" t="str">
        <f t="shared" si="69"/>
        <v>SI</v>
      </c>
      <c r="AG379" s="732" t="e">
        <f>VLOOKUP(C379,[2]Hoja4!$A$2:$E$116,5,0)</f>
        <v>#N/A</v>
      </c>
      <c r="AH379" s="152" t="s">
        <v>1256</v>
      </c>
      <c r="AI379" s="255" t="s">
        <v>1466</v>
      </c>
      <c r="AJ379" s="152" t="s">
        <v>1438</v>
      </c>
      <c r="AK379" s="255" t="s">
        <v>560</v>
      </c>
      <c r="AL379" s="279" t="s">
        <v>1508</v>
      </c>
      <c r="AM379" s="279" t="s">
        <v>1866</v>
      </c>
      <c r="AN379" s="161" t="str">
        <f t="shared" ca="1" si="67"/>
        <v>TERMINO</v>
      </c>
      <c r="AO379" s="284" t="s">
        <v>576</v>
      </c>
      <c r="AP379" s="155" t="s">
        <v>390</v>
      </c>
      <c r="AQ379" s="819" t="str">
        <f>IFERROR(VLOOKUP(E379,'liquidaciones '!$B$2:$C$1048576,2,0),"NO")</f>
        <v>LIQUIDADO</v>
      </c>
      <c r="AR379" s="909" t="str">
        <f>IFERROR(VLOOKUP(E379,'liquidaciones '!$B$2:$I$1048576,8,0),"")</f>
        <v>DORA PINILLA</v>
      </c>
      <c r="AS379" s="312"/>
      <c r="AT379" s="156" t="str">
        <f t="shared" ca="1" si="68"/>
        <v>NO</v>
      </c>
      <c r="AU379" s="156" t="s">
        <v>2601</v>
      </c>
      <c r="AV379" s="406"/>
      <c r="AW379" s="928"/>
      <c r="AX379" s="928"/>
      <c r="AY379" s="928"/>
    </row>
    <row r="380" spans="1:56" s="818" customFormat="1" ht="20.399999999999999" x14ac:dyDescent="0.3">
      <c r="A380" s="260"/>
      <c r="B380" s="1011">
        <v>375</v>
      </c>
      <c r="C380" s="411">
        <v>135</v>
      </c>
      <c r="D380" s="817" t="str">
        <f>+K380&amp;C380</f>
        <v>2016135</v>
      </c>
      <c r="E380" s="120" t="s">
        <v>2412</v>
      </c>
      <c r="F380" s="551" t="s">
        <v>86</v>
      </c>
      <c r="G380" s="1055">
        <v>860001022</v>
      </c>
      <c r="H380" s="1012" t="s">
        <v>2413</v>
      </c>
      <c r="I380" s="1013">
        <v>1226994</v>
      </c>
      <c r="J380" s="1014" t="s">
        <v>2412</v>
      </c>
      <c r="K380" s="1015">
        <v>2016</v>
      </c>
      <c r="L380" s="519">
        <v>42429</v>
      </c>
      <c r="M380" s="1016">
        <v>42451</v>
      </c>
      <c r="N380" s="1016">
        <v>42816</v>
      </c>
      <c r="O380" s="1099" t="str">
        <f>IF(+Modificaciones!I380=0,"",VLOOKUP(E380,Modificaciones!$B$7:$I$2400,8,0))</f>
        <v/>
      </c>
      <c r="P380" s="115">
        <f>COUNTA(Modificaciones!J380,Modificaciones!L380,Modificaciones!N380,Modificaciones!P380)</f>
        <v>0</v>
      </c>
      <c r="Q380" s="116">
        <f>VLOOKUP(E380,Modificaciones!$B$7:$R$2300,17,0)</f>
        <v>0</v>
      </c>
      <c r="R380" s="117">
        <f>COUNTA(Modificaciones!T380,Modificaciones!V380,Modificaciones!X380,Modificaciones!Z380)</f>
        <v>0</v>
      </c>
      <c r="S380" s="118" t="str">
        <f>IF(Modificaciones!AA380=0,"",VLOOKUP(E380,Modificaciones!$B$7:$AA$400,26,0))</f>
        <v/>
      </c>
      <c r="T380" s="119" t="str">
        <f>IF(Modificaciones!AB380=0,"",VLOOKUP(E380,Modificaciones!$B$7:$AB$400,27,0))</f>
        <v/>
      </c>
      <c r="U380" s="1080" t="str">
        <f>+Modificaciones!AC380</f>
        <v/>
      </c>
      <c r="V380" s="825" t="str">
        <f>+Modificaciones!AK380</f>
        <v/>
      </c>
      <c r="W380" s="825">
        <f t="shared" si="63"/>
        <v>42816</v>
      </c>
      <c r="X380" s="58">
        <f t="shared" si="60"/>
        <v>1226994</v>
      </c>
      <c r="Y380" s="151">
        <f>VLOOKUP(E380,Modificaciones!$B$7:$BE$2300,56,0)</f>
        <v>1226994</v>
      </c>
      <c r="Z380" s="88">
        <f t="shared" si="70"/>
        <v>0</v>
      </c>
      <c r="AA380" s="283" t="s">
        <v>1894</v>
      </c>
      <c r="AB380" s="85">
        <f t="shared" si="62"/>
        <v>1</v>
      </c>
      <c r="AC380" s="40">
        <f t="shared" ca="1" si="64"/>
        <v>1</v>
      </c>
      <c r="AD380" s="41">
        <f t="shared" ca="1" si="65"/>
        <v>0</v>
      </c>
      <c r="AE380" s="181" t="str">
        <f t="shared" ca="1" si="66"/>
        <v/>
      </c>
      <c r="AF380" s="86" t="str">
        <f t="shared" si="69"/>
        <v>SI</v>
      </c>
      <c r="AG380" s="1017" t="s">
        <v>4920</v>
      </c>
      <c r="AH380" s="157" t="s">
        <v>1255</v>
      </c>
      <c r="AI380" s="551" t="s">
        <v>1124</v>
      </c>
      <c r="AJ380" s="157"/>
      <c r="AK380" s="551" t="s">
        <v>564</v>
      </c>
      <c r="AL380" s="733"/>
      <c r="AM380" s="733" t="s">
        <v>600</v>
      </c>
      <c r="AN380" s="161" t="str">
        <f t="shared" ca="1" si="67"/>
        <v>TERMINO</v>
      </c>
      <c r="AO380" s="864" t="s">
        <v>582</v>
      </c>
      <c r="AP380" s="159" t="s">
        <v>390</v>
      </c>
      <c r="AQ380" s="819" t="str">
        <f>IFERROR(VLOOKUP(E380,'liquidaciones '!$B$2:$C$1048576,2,0),"NO")</f>
        <v>LIQUIDADO</v>
      </c>
      <c r="AR380" s="909" t="str">
        <f>IFERROR(VLOOKUP(E380,'liquidaciones '!$B$2:$I$1048576,8,0),"")</f>
        <v>MANUEL ROJAS</v>
      </c>
      <c r="AS380" s="314"/>
      <c r="AT380" s="156" t="str">
        <f t="shared" ca="1" si="68"/>
        <v>NO</v>
      </c>
      <c r="AU380" s="1018" t="s">
        <v>2597</v>
      </c>
      <c r="AV380" s="1019"/>
      <c r="AW380" s="1010"/>
      <c r="AX380" s="1010"/>
      <c r="AY380" s="1010"/>
      <c r="AZ380" s="260"/>
      <c r="BA380" s="260"/>
      <c r="BB380" s="260"/>
      <c r="BD380" s="260"/>
    </row>
    <row r="381" spans="1:56" ht="29.25" customHeight="1" x14ac:dyDescent="0.3">
      <c r="B381" s="692">
        <v>376</v>
      </c>
      <c r="C381" s="410"/>
      <c r="D381" s="410" t="str">
        <f t="shared" ref="D381:D406" si="71">K381&amp;C381</f>
        <v>2016</v>
      </c>
      <c r="E381" s="120" t="s">
        <v>2414</v>
      </c>
      <c r="F381" s="254" t="s">
        <v>2415</v>
      </c>
      <c r="G381" s="874">
        <v>900459737</v>
      </c>
      <c r="H381" s="965" t="s">
        <v>402</v>
      </c>
      <c r="I381" s="875">
        <v>287600000</v>
      </c>
      <c r="J381" s="685" t="s">
        <v>4385</v>
      </c>
      <c r="K381" s="269">
        <v>2016</v>
      </c>
      <c r="L381" s="519"/>
      <c r="M381" s="270">
        <v>42375</v>
      </c>
      <c r="N381" s="270">
        <v>42558</v>
      </c>
      <c r="O381" s="1099" t="str">
        <f>IF(+Modificaciones!I381=0,"",VLOOKUP(E381,Modificaciones!$B$7:$I$2400,8,0))</f>
        <v/>
      </c>
      <c r="P381" s="115">
        <f>COUNTA(Modificaciones!J381,Modificaciones!L381,Modificaciones!N381,Modificaciones!P381)</f>
        <v>2</v>
      </c>
      <c r="Q381" s="116">
        <f>VLOOKUP(E381,Modificaciones!$B$7:$R$2300,17,0)</f>
        <v>125000000</v>
      </c>
      <c r="R381" s="117">
        <f>COUNTA(Modificaciones!T381,Modificaciones!V381,Modificaciones!X381,Modificaciones!Z381)</f>
        <v>1</v>
      </c>
      <c r="S381" s="118" t="str">
        <f>IF(Modificaciones!AA381=0,"",VLOOKUP(E381,Modificaciones!$B$7:$AA$400,26,0))</f>
        <v>6 meses 24 días</v>
      </c>
      <c r="T381" s="119">
        <f>IF(Modificaciones!AB381=0,"",VLOOKUP(E381,Modificaciones!$B$7:$AB$400,27,0))</f>
        <v>42650</v>
      </c>
      <c r="U381" s="1080" t="str">
        <f>+Modificaciones!AC381</f>
        <v/>
      </c>
      <c r="V381" s="825" t="str">
        <f>+Modificaciones!AK381</f>
        <v/>
      </c>
      <c r="W381" s="825">
        <f t="shared" si="63"/>
        <v>42650</v>
      </c>
      <c r="X381" s="59">
        <f t="shared" si="60"/>
        <v>412600000</v>
      </c>
      <c r="Y381" s="151">
        <f>VLOOKUP(E381,Modificaciones!$B$7:$BE$2300,56,0)</f>
        <v>410092645</v>
      </c>
      <c r="Z381" s="84">
        <f t="shared" si="70"/>
        <v>2507355</v>
      </c>
      <c r="AA381" s="283"/>
      <c r="AB381" s="40">
        <f t="shared" si="62"/>
        <v>0.99392303683955407</v>
      </c>
      <c r="AC381" s="40">
        <f t="shared" ca="1" si="64"/>
        <v>1</v>
      </c>
      <c r="AD381" s="41">
        <f t="shared" ca="1" si="65"/>
        <v>6.0769631604459251E-3</v>
      </c>
      <c r="AE381" s="181" t="str">
        <f t="shared" ca="1" si="66"/>
        <v/>
      </c>
      <c r="AF381" s="42" t="str">
        <f t="shared" si="69"/>
        <v>NO</v>
      </c>
      <c r="AG381" s="732" t="s">
        <v>1712</v>
      </c>
      <c r="AH381" s="152" t="s">
        <v>1255</v>
      </c>
      <c r="AI381" s="255" t="s">
        <v>1138</v>
      </c>
      <c r="AJ381" s="152"/>
      <c r="AK381" s="255" t="s">
        <v>560</v>
      </c>
      <c r="AL381" s="279" t="s">
        <v>1318</v>
      </c>
      <c r="AM381" s="279" t="s">
        <v>600</v>
      </c>
      <c r="AN381" s="161" t="str">
        <f t="shared" ca="1" si="67"/>
        <v>TERMINO</v>
      </c>
      <c r="AO381" s="284"/>
      <c r="AP381" s="155"/>
      <c r="AQ381" s="819" t="str">
        <f>IFERROR(VLOOKUP(E381,'liquidaciones '!$B$2:$C$1048576,2,0),"NO")</f>
        <v>EN TRÁMITE</v>
      </c>
      <c r="AR381" s="909" t="str">
        <f>IFERROR(VLOOKUP(E381,'liquidaciones '!$B$2:$I$1048576,8,0),"")</f>
        <v>MANUEL ROJAS</v>
      </c>
      <c r="AS381" s="312"/>
      <c r="AT381" s="156" t="str">
        <f t="shared" ca="1" si="68"/>
        <v>NO</v>
      </c>
      <c r="AU381" s="156" t="s">
        <v>1509</v>
      </c>
      <c r="AV381" s="406"/>
      <c r="AW381" s="928"/>
      <c r="AX381" s="928"/>
      <c r="AY381" s="928"/>
    </row>
    <row r="382" spans="1:56" ht="71.400000000000006" x14ac:dyDescent="0.3">
      <c r="B382" s="692">
        <v>377</v>
      </c>
      <c r="C382" s="410"/>
      <c r="D382" s="410" t="str">
        <f t="shared" si="71"/>
        <v>2016</v>
      </c>
      <c r="E382" s="120" t="s">
        <v>2416</v>
      </c>
      <c r="F382" s="254" t="s">
        <v>2417</v>
      </c>
      <c r="G382" s="874"/>
      <c r="H382" s="965" t="s">
        <v>3002</v>
      </c>
      <c r="I382" s="875">
        <v>601948308</v>
      </c>
      <c r="J382" s="821" t="s">
        <v>2416</v>
      </c>
      <c r="K382" s="269">
        <v>2016</v>
      </c>
      <c r="L382" s="519">
        <v>42447</v>
      </c>
      <c r="M382" s="270">
        <v>42447</v>
      </c>
      <c r="N382" s="270">
        <v>42539</v>
      </c>
      <c r="O382" s="1099" t="str">
        <f>IF(+Modificaciones!I382=0,"",VLOOKUP(E382,Modificaciones!$B$7:$I$2400,8,0))</f>
        <v/>
      </c>
      <c r="P382" s="115">
        <f>COUNTA(Modificaciones!J382,Modificaciones!L382,Modificaciones!N382,Modificaciones!P382)</f>
        <v>0</v>
      </c>
      <c r="Q382" s="116">
        <f>VLOOKUP(E382,Modificaciones!$B$7:$R$2300,17,0)</f>
        <v>0</v>
      </c>
      <c r="R382" s="117">
        <f>COUNTA(Modificaciones!T382,Modificaciones!V382,Modificaciones!X382,Modificaciones!Z382)</f>
        <v>0</v>
      </c>
      <c r="S382" s="118" t="str">
        <f>IF(Modificaciones!AA382=0,"",VLOOKUP(E382,Modificaciones!$B$7:$AA$400,26,0))</f>
        <v/>
      </c>
      <c r="T382" s="119" t="str">
        <f>IF(Modificaciones!AB382=0,"",VLOOKUP(E382,Modificaciones!$B$7:$AB$400,27,0))</f>
        <v/>
      </c>
      <c r="U382" s="1080" t="str">
        <f>+Modificaciones!AC382</f>
        <v/>
      </c>
      <c r="V382" s="825" t="str">
        <f>+Modificaciones!AK382</f>
        <v/>
      </c>
      <c r="W382" s="825">
        <f t="shared" si="63"/>
        <v>42539</v>
      </c>
      <c r="X382" s="59">
        <f t="shared" si="60"/>
        <v>601948308</v>
      </c>
      <c r="Y382" s="151">
        <f>VLOOKUP(E382,Modificaciones!$B$7:$BE$2300,56,0)</f>
        <v>601948308</v>
      </c>
      <c r="Z382" s="84">
        <f t="shared" si="70"/>
        <v>0</v>
      </c>
      <c r="AA382" s="283"/>
      <c r="AB382" s="40">
        <f t="shared" si="62"/>
        <v>1</v>
      </c>
      <c r="AC382" s="40">
        <f t="shared" ca="1" si="64"/>
        <v>1</v>
      </c>
      <c r="AD382" s="41">
        <f t="shared" ca="1" si="65"/>
        <v>0</v>
      </c>
      <c r="AE382" s="181" t="str">
        <f t="shared" ca="1" si="66"/>
        <v/>
      </c>
      <c r="AF382" s="42" t="str">
        <f t="shared" si="69"/>
        <v>SI</v>
      </c>
      <c r="AG382" s="732" t="e">
        <f>VLOOKUP(C382,[2]Hoja4!$A$2:$E$116,5,0)</f>
        <v>#N/A</v>
      </c>
      <c r="AH382" s="152"/>
      <c r="AI382" s="255"/>
      <c r="AJ382" s="152"/>
      <c r="AL382" s="279"/>
      <c r="AM382" s="279"/>
      <c r="AN382" s="161" t="str">
        <f t="shared" ca="1" si="67"/>
        <v>TERMINO</v>
      </c>
      <c r="AO382" s="284"/>
      <c r="AP382" s="155"/>
      <c r="AQ382" s="819" t="str">
        <f>IFERROR(VLOOKUP(E382,'liquidaciones '!$B$2:$C$1048576,2,0),"NO")</f>
        <v>LIQUIDADO</v>
      </c>
      <c r="AR382" s="909" t="str">
        <f>IFERROR(VLOOKUP(E382,'liquidaciones '!$B$2:$I$1048576,8,0),"")</f>
        <v>JULIETH ANGARITA</v>
      </c>
      <c r="AS382" s="312"/>
      <c r="AT382" s="156" t="str">
        <f t="shared" ca="1" si="68"/>
        <v>NO</v>
      </c>
      <c r="AU382" s="156" t="s">
        <v>2597</v>
      </c>
      <c r="AV382" s="406"/>
      <c r="AW382" s="928"/>
      <c r="AX382" s="928"/>
      <c r="AY382" s="928"/>
    </row>
    <row r="383" spans="1:56" ht="40.799999999999997" x14ac:dyDescent="0.3">
      <c r="B383" s="692">
        <v>378</v>
      </c>
      <c r="C383" s="972"/>
      <c r="D383" s="410" t="str">
        <f t="shared" si="71"/>
        <v>2016</v>
      </c>
      <c r="E383" s="120" t="s">
        <v>3535</v>
      </c>
      <c r="F383" s="254" t="s">
        <v>126</v>
      </c>
      <c r="G383" s="874">
        <v>900333228</v>
      </c>
      <c r="H383" s="965" t="s">
        <v>2418</v>
      </c>
      <c r="I383" s="875">
        <v>4640000</v>
      </c>
      <c r="J383" s="911" t="s">
        <v>2426</v>
      </c>
      <c r="K383" s="269">
        <v>2016</v>
      </c>
      <c r="L383" s="519">
        <v>42459</v>
      </c>
      <c r="M383" s="270">
        <v>42473</v>
      </c>
      <c r="N383" s="270">
        <v>42807</v>
      </c>
      <c r="O383" s="1099" t="str">
        <f>IF(+Modificaciones!I383=0,"",VLOOKUP(E383,Modificaciones!$B$7:$I$2400,8,0))</f>
        <v/>
      </c>
      <c r="P383" s="115">
        <f>COUNTA(Modificaciones!J383,Modificaciones!L383,Modificaciones!N383,Modificaciones!P383)</f>
        <v>0</v>
      </c>
      <c r="Q383" s="116">
        <f>VLOOKUP(E383,Modificaciones!$B$7:$R$2300,17,0)</f>
        <v>0</v>
      </c>
      <c r="R383" s="117">
        <f>COUNTA(Modificaciones!T383,Modificaciones!V383,Modificaciones!X383,Modificaciones!Z383)</f>
        <v>0</v>
      </c>
      <c r="S383" s="118" t="str">
        <f>IF(Modificaciones!AA383=0,"",VLOOKUP(E383,Modificaciones!$B$7:$AA$400,26,0))</f>
        <v/>
      </c>
      <c r="T383" s="119" t="str">
        <f>IF(Modificaciones!AB383=0,"",VLOOKUP(E383,Modificaciones!$B$7:$AB$400,27,0))</f>
        <v/>
      </c>
      <c r="U383" s="1080" t="str">
        <f>+Modificaciones!AC383</f>
        <v/>
      </c>
      <c r="V383" s="825" t="str">
        <f>+Modificaciones!AK383</f>
        <v/>
      </c>
      <c r="W383" s="825">
        <f t="shared" si="63"/>
        <v>42807</v>
      </c>
      <c r="X383" s="59">
        <f t="shared" si="60"/>
        <v>4640000</v>
      </c>
      <c r="Y383" s="151">
        <f>VLOOKUP(E383,Modificaciones!$B$7:$BE$2300,56,0)</f>
        <v>4640000</v>
      </c>
      <c r="Z383" s="84">
        <f t="shared" si="70"/>
        <v>0</v>
      </c>
      <c r="AA383" s="283"/>
      <c r="AB383" s="40">
        <f t="shared" si="62"/>
        <v>1</v>
      </c>
      <c r="AC383" s="40">
        <f t="shared" ca="1" si="64"/>
        <v>1</v>
      </c>
      <c r="AD383" s="41">
        <f t="shared" ca="1" si="65"/>
        <v>0</v>
      </c>
      <c r="AE383" s="181" t="str">
        <f t="shared" ca="1" si="66"/>
        <v/>
      </c>
      <c r="AF383" s="42" t="str">
        <f t="shared" ref="AF383:AF400" si="72">IF(AB383&lt;=99.9%,"NO","SI")</f>
        <v>SI</v>
      </c>
      <c r="AG383" s="732" t="e">
        <f>VLOOKUP(C383,[2]Hoja4!$A$2:$E$116,5,0)</f>
        <v>#N/A</v>
      </c>
      <c r="AH383" s="152" t="s">
        <v>1255</v>
      </c>
      <c r="AI383" s="255" t="s">
        <v>1281</v>
      </c>
      <c r="AJ383" s="152"/>
      <c r="AK383" s="255" t="s">
        <v>560</v>
      </c>
      <c r="AL383" s="279" t="s">
        <v>1379</v>
      </c>
      <c r="AM383" s="279" t="s">
        <v>600</v>
      </c>
      <c r="AN383" s="161" t="str">
        <f t="shared" ca="1" si="67"/>
        <v>TERMINO</v>
      </c>
      <c r="AO383" s="284" t="s">
        <v>576</v>
      </c>
      <c r="AP383" s="155" t="s">
        <v>390</v>
      </c>
      <c r="AQ383" s="819" t="str">
        <f>IFERROR(VLOOKUP(E383,'liquidaciones '!$B$2:$C$1048576,2,0),"NO")</f>
        <v>LIQUIDADO</v>
      </c>
      <c r="AR383" s="909">
        <f>IFERROR(VLOOKUP(E383,'liquidaciones '!$B$2:$I$1048576,8,0),"")</f>
        <v>0</v>
      </c>
      <c r="AS383" s="312"/>
      <c r="AT383" s="156" t="str">
        <f t="shared" ca="1" si="68"/>
        <v>NO</v>
      </c>
      <c r="AU383" s="156" t="s">
        <v>1509</v>
      </c>
      <c r="AV383" s="406"/>
      <c r="AW383" s="928"/>
      <c r="AX383" s="928"/>
      <c r="AY383" s="928"/>
    </row>
    <row r="384" spans="1:56" ht="30.6" x14ac:dyDescent="0.3">
      <c r="B384" s="692">
        <v>379</v>
      </c>
      <c r="C384" s="410"/>
      <c r="D384" s="410" t="str">
        <f t="shared" si="71"/>
        <v>2016</v>
      </c>
      <c r="E384" s="120" t="s">
        <v>2419</v>
      </c>
      <c r="F384" s="254" t="s">
        <v>2421</v>
      </c>
      <c r="G384" s="874">
        <v>800249557</v>
      </c>
      <c r="H384" s="965" t="s">
        <v>2420</v>
      </c>
      <c r="I384" s="875">
        <v>4200000</v>
      </c>
      <c r="J384" s="822" t="s">
        <v>2419</v>
      </c>
      <c r="K384" s="269">
        <v>2016</v>
      </c>
      <c r="L384" s="519">
        <v>42444</v>
      </c>
      <c r="M384" s="270">
        <v>42467</v>
      </c>
      <c r="N384" s="270">
        <v>42620</v>
      </c>
      <c r="O384" s="1099" t="str">
        <f>IF(+Modificaciones!I384=0,"",VLOOKUP(E384,Modificaciones!$B$7:$I$2400,8,0))</f>
        <v/>
      </c>
      <c r="P384" s="115">
        <f>COUNTA(Modificaciones!J384,Modificaciones!L384,Modificaciones!N384,Modificaciones!P384)</f>
        <v>0</v>
      </c>
      <c r="Q384" s="116">
        <f>VLOOKUP(E384,Modificaciones!$B$7:$R$2300,17,0)</f>
        <v>0</v>
      </c>
      <c r="R384" s="117">
        <f>COUNTA(Modificaciones!T384,Modificaciones!V384,Modificaciones!X384,Modificaciones!Z384)</f>
        <v>0</v>
      </c>
      <c r="S384" s="118" t="str">
        <f>IF(Modificaciones!AA384=0,"",VLOOKUP(E384,Modificaciones!$B$7:$AA$400,26,0))</f>
        <v/>
      </c>
      <c r="T384" s="119" t="str">
        <f>IF(Modificaciones!AB384=0,"",VLOOKUP(E384,Modificaciones!$B$7:$AB$400,27,0))</f>
        <v/>
      </c>
      <c r="U384" s="1080" t="str">
        <f>+Modificaciones!AC384</f>
        <v/>
      </c>
      <c r="V384" s="825" t="str">
        <f>+Modificaciones!AK384</f>
        <v/>
      </c>
      <c r="W384" s="825">
        <f t="shared" si="63"/>
        <v>42620</v>
      </c>
      <c r="X384" s="59">
        <f t="shared" si="60"/>
        <v>4200000</v>
      </c>
      <c r="Y384" s="151">
        <f>VLOOKUP(E384,Modificaciones!$B$7:$BE$2300,56,0)</f>
        <v>4200000</v>
      </c>
      <c r="Z384" s="84">
        <f t="shared" si="70"/>
        <v>0</v>
      </c>
      <c r="AA384" s="283" t="s">
        <v>1894</v>
      </c>
      <c r="AB384" s="40">
        <f t="shared" si="62"/>
        <v>1</v>
      </c>
      <c r="AC384" s="40">
        <f t="shared" ca="1" si="64"/>
        <v>1</v>
      </c>
      <c r="AD384" s="41">
        <f t="shared" ca="1" si="65"/>
        <v>0</v>
      </c>
      <c r="AE384" s="181" t="str">
        <f t="shared" ca="1" si="66"/>
        <v/>
      </c>
      <c r="AF384" s="42" t="str">
        <f t="shared" si="72"/>
        <v>SI</v>
      </c>
      <c r="AG384" s="732" t="e">
        <f>VLOOKUP(C384,[2]Hoja4!$A$2:$E$116,5,0)</f>
        <v>#N/A</v>
      </c>
      <c r="AH384" s="152" t="s">
        <v>1255</v>
      </c>
      <c r="AI384" s="255" t="s">
        <v>1290</v>
      </c>
      <c r="AJ384" s="152"/>
      <c r="AK384" s="255" t="s">
        <v>564</v>
      </c>
      <c r="AL384" s="279"/>
      <c r="AM384" s="279" t="s">
        <v>600</v>
      </c>
      <c r="AN384" s="161" t="str">
        <f t="shared" ca="1" si="67"/>
        <v>TERMINO</v>
      </c>
      <c r="AO384" s="284" t="s">
        <v>582</v>
      </c>
      <c r="AP384" s="155" t="s">
        <v>390</v>
      </c>
      <c r="AQ384" s="819" t="str">
        <f>IFERROR(VLOOKUP(E384,'liquidaciones '!$B$2:$C$1048576,2,0),"NO")</f>
        <v>LIQUIDADO</v>
      </c>
      <c r="AR384" s="909">
        <f>IFERROR(VLOOKUP(E384,'liquidaciones '!$B$2:$I$1048576,8,0),"")</f>
        <v>0</v>
      </c>
      <c r="AS384" s="312"/>
      <c r="AT384" s="156" t="str">
        <f t="shared" ca="1" si="68"/>
        <v>NO</v>
      </c>
      <c r="AU384" s="156" t="s">
        <v>1509</v>
      </c>
      <c r="AV384" s="406"/>
      <c r="AW384" s="928"/>
      <c r="AX384" s="928"/>
      <c r="AY384" s="928"/>
    </row>
    <row r="385" spans="2:51" ht="51" x14ac:dyDescent="0.3">
      <c r="B385" s="692">
        <v>380</v>
      </c>
      <c r="C385" s="410"/>
      <c r="D385" s="410" t="str">
        <f t="shared" si="71"/>
        <v>2016</v>
      </c>
      <c r="E385" s="120" t="s">
        <v>2422</v>
      </c>
      <c r="F385" s="254" t="s">
        <v>2423</v>
      </c>
      <c r="G385" s="874">
        <v>900583252</v>
      </c>
      <c r="H385" s="965" t="s">
        <v>3003</v>
      </c>
      <c r="I385" s="875">
        <v>92800000</v>
      </c>
      <c r="J385" s="822" t="s">
        <v>2422</v>
      </c>
      <c r="K385" s="269">
        <v>2016</v>
      </c>
      <c r="L385" s="519">
        <v>42445</v>
      </c>
      <c r="M385" s="270">
        <v>42461</v>
      </c>
      <c r="N385" s="270">
        <v>42767</v>
      </c>
      <c r="O385" s="1099" t="str">
        <f>IF(+Modificaciones!I385=0,"",VLOOKUP(E385,Modificaciones!$B$7:$I$2400,8,0))</f>
        <v/>
      </c>
      <c r="P385" s="115">
        <f>COUNTA(Modificaciones!J385,Modificaciones!L385,Modificaciones!N385,Modificaciones!P385)</f>
        <v>0</v>
      </c>
      <c r="Q385" s="116">
        <f>VLOOKUP(E385,Modificaciones!$B$7:$R$2300,17,0)</f>
        <v>0</v>
      </c>
      <c r="R385" s="117">
        <f>COUNTA(Modificaciones!T385,Modificaciones!V385,Modificaciones!X385,Modificaciones!Z385)</f>
        <v>0</v>
      </c>
      <c r="S385" s="118" t="str">
        <f>IF(Modificaciones!AA385=0,"",VLOOKUP(E385,Modificaciones!$B$7:$AA$400,26,0))</f>
        <v/>
      </c>
      <c r="T385" s="119" t="str">
        <f>IF(Modificaciones!AB385=0,"",VLOOKUP(E385,Modificaciones!$B$7:$AB$400,27,0))</f>
        <v/>
      </c>
      <c r="U385" s="1080" t="str">
        <f>+Modificaciones!AC385</f>
        <v/>
      </c>
      <c r="V385" s="825" t="str">
        <f>+Modificaciones!AK385</f>
        <v/>
      </c>
      <c r="W385" s="825">
        <f t="shared" si="63"/>
        <v>42767</v>
      </c>
      <c r="X385" s="59">
        <f t="shared" si="60"/>
        <v>92800000</v>
      </c>
      <c r="Y385" s="151">
        <f>VLOOKUP(E385,Modificaciones!$B$7:$BE$2300,56,0)</f>
        <v>83520000</v>
      </c>
      <c r="Z385" s="84">
        <f t="shared" si="70"/>
        <v>9280000</v>
      </c>
      <c r="AA385" s="283" t="s">
        <v>1094</v>
      </c>
      <c r="AB385" s="40">
        <f t="shared" si="62"/>
        <v>0.9</v>
      </c>
      <c r="AC385" s="40">
        <f t="shared" ca="1" si="64"/>
        <v>1</v>
      </c>
      <c r="AD385" s="41">
        <f t="shared" ca="1" si="65"/>
        <v>9.9999999999999978E-2</v>
      </c>
      <c r="AE385" s="181" t="str">
        <f t="shared" ca="1" si="66"/>
        <v/>
      </c>
      <c r="AF385" s="42" t="str">
        <f t="shared" si="72"/>
        <v>NO</v>
      </c>
      <c r="AG385" s="732" t="e">
        <f>VLOOKUP(C385,[2]Hoja4!$A$2:$E$116,5,0)</f>
        <v>#N/A</v>
      </c>
      <c r="AH385" s="152" t="s">
        <v>1255</v>
      </c>
      <c r="AI385" s="255" t="s">
        <v>2441</v>
      </c>
      <c r="AJ385" s="152"/>
      <c r="AK385" s="255" t="s">
        <v>561</v>
      </c>
      <c r="AL385" s="279"/>
      <c r="AM385" s="279" t="s">
        <v>600</v>
      </c>
      <c r="AN385" s="161" t="str">
        <f t="shared" ca="1" si="67"/>
        <v>TERMINO</v>
      </c>
      <c r="AO385" s="284" t="s">
        <v>582</v>
      </c>
      <c r="AP385" s="155" t="s">
        <v>391</v>
      </c>
      <c r="AQ385" s="819" t="str">
        <f>IFERROR(VLOOKUP(E385,'liquidaciones '!$B$2:$C$1048576,2,0),"NO")</f>
        <v>LIQUIDADO</v>
      </c>
      <c r="AR385" s="909" t="str">
        <f>IFERROR(VLOOKUP(E385,'liquidaciones '!$B$2:$I$1048576,8,0),"")</f>
        <v>MANUEL ROJAS</v>
      </c>
      <c r="AS385" s="312"/>
      <c r="AT385" s="156" t="str">
        <f t="shared" ca="1" si="68"/>
        <v>NO</v>
      </c>
      <c r="AU385" s="406" t="s">
        <v>2972</v>
      </c>
      <c r="AV385" s="406"/>
      <c r="AW385" s="928"/>
      <c r="AX385" s="928"/>
      <c r="AY385" s="928"/>
    </row>
    <row r="386" spans="2:51" ht="30.6" x14ac:dyDescent="0.3">
      <c r="C386" s="410">
        <v>153</v>
      </c>
      <c r="D386" s="410" t="str">
        <f t="shared" si="71"/>
        <v>2016153</v>
      </c>
      <c r="E386" s="120" t="s">
        <v>2424</v>
      </c>
      <c r="F386" s="254" t="s">
        <v>1032</v>
      </c>
      <c r="G386" s="874">
        <v>51931422</v>
      </c>
      <c r="H386" s="965" t="s">
        <v>3004</v>
      </c>
      <c r="I386" s="875">
        <v>61800000</v>
      </c>
      <c r="J386" s="822" t="s">
        <v>2424</v>
      </c>
      <c r="K386" s="269">
        <v>2016</v>
      </c>
      <c r="L386" s="519">
        <v>42446</v>
      </c>
      <c r="M386" s="270">
        <v>42451</v>
      </c>
      <c r="N386" s="270">
        <v>42816</v>
      </c>
      <c r="O386" s="1099" t="str">
        <f>IF(+Modificaciones!I386=0,"",VLOOKUP(E386,Modificaciones!$B$7:$I$2400,8,0))</f>
        <v/>
      </c>
      <c r="P386" s="115">
        <f>COUNTA(Modificaciones!J386,Modificaciones!L386,Modificaciones!N386,Modificaciones!P386)</f>
        <v>0</v>
      </c>
      <c r="Q386" s="116">
        <f>VLOOKUP(E386,Modificaciones!$B$7:$R$2300,17,0)</f>
        <v>0</v>
      </c>
      <c r="R386" s="117">
        <f>COUNTA(Modificaciones!T386,Modificaciones!V386,Modificaciones!X386,Modificaciones!Z386)</f>
        <v>0</v>
      </c>
      <c r="S386" s="118" t="str">
        <f>IF(Modificaciones!AA386=0,"",VLOOKUP(E386,Modificaciones!$B$7:$AA$400,26,0))</f>
        <v/>
      </c>
      <c r="T386" s="119" t="str">
        <f>IF(Modificaciones!AB386=0,"",VLOOKUP(E386,Modificaciones!$B$7:$AB$400,27,0))</f>
        <v/>
      </c>
      <c r="U386" s="1080" t="str">
        <f>+Modificaciones!AC386</f>
        <v/>
      </c>
      <c r="V386" s="825" t="str">
        <f>+Modificaciones!AK386</f>
        <v/>
      </c>
      <c r="W386" s="825">
        <f t="shared" si="63"/>
        <v>42816</v>
      </c>
      <c r="X386" s="59">
        <f t="shared" si="60"/>
        <v>61800000</v>
      </c>
      <c r="Y386" s="151">
        <f>VLOOKUP(E386,Modificaciones!$B$7:$BE$2300,56,0)</f>
        <v>61800000</v>
      </c>
      <c r="Z386" s="84">
        <f t="shared" si="70"/>
        <v>0</v>
      </c>
      <c r="AA386" s="283" t="s">
        <v>1094</v>
      </c>
      <c r="AB386" s="40">
        <f t="shared" si="62"/>
        <v>1</v>
      </c>
      <c r="AC386" s="40">
        <f t="shared" ca="1" si="64"/>
        <v>1</v>
      </c>
      <c r="AD386" s="41">
        <f t="shared" ca="1" si="65"/>
        <v>0</v>
      </c>
      <c r="AE386" s="181" t="str">
        <f t="shared" ca="1" si="66"/>
        <v/>
      </c>
      <c r="AF386" s="42" t="str">
        <f t="shared" si="72"/>
        <v>SI</v>
      </c>
      <c r="AG386" s="732" t="s">
        <v>5773</v>
      </c>
      <c r="AH386" s="152" t="s">
        <v>1255</v>
      </c>
      <c r="AI386" s="255" t="s">
        <v>2170</v>
      </c>
      <c r="AJ386" s="152"/>
      <c r="AK386" s="255" t="s">
        <v>559</v>
      </c>
      <c r="AL386" s="279"/>
      <c r="AM386" s="279" t="s">
        <v>600</v>
      </c>
      <c r="AN386" s="161" t="str">
        <f t="shared" ca="1" si="67"/>
        <v>TERMINO</v>
      </c>
      <c r="AO386" s="284" t="s">
        <v>582</v>
      </c>
      <c r="AP386" s="155" t="s">
        <v>391</v>
      </c>
      <c r="AQ386" s="819" t="str">
        <f>IFERROR(VLOOKUP(E386,'liquidaciones '!$B$2:$C$1048576,2,0),"NO")</f>
        <v>LIQUIDADO</v>
      </c>
      <c r="AR386" s="909" t="str">
        <f>IFERROR(VLOOKUP(E386,'liquidaciones '!$B$2:$I$1048576,8,0),"")</f>
        <v>ANDREA CASAS</v>
      </c>
      <c r="AS386" s="312"/>
      <c r="AT386" s="156" t="str">
        <f t="shared" ca="1" si="68"/>
        <v>NO</v>
      </c>
      <c r="AU386" s="156" t="s">
        <v>981</v>
      </c>
      <c r="AV386" s="406"/>
      <c r="AW386" s="928"/>
      <c r="AX386" s="928"/>
      <c r="AY386" s="928"/>
    </row>
    <row r="387" spans="2:51" ht="40.799999999999997" x14ac:dyDescent="0.3">
      <c r="C387" s="410">
        <v>98</v>
      </c>
      <c r="D387" s="410" t="str">
        <f t="shared" si="71"/>
        <v>201698</v>
      </c>
      <c r="E387" s="120" t="s">
        <v>2425</v>
      </c>
      <c r="F387" s="254" t="s">
        <v>1534</v>
      </c>
      <c r="G387" s="874">
        <v>80100229</v>
      </c>
      <c r="H387" s="965" t="s">
        <v>3005</v>
      </c>
      <c r="I387" s="875">
        <v>56650000</v>
      </c>
      <c r="J387" s="911" t="s">
        <v>2425</v>
      </c>
      <c r="K387" s="269">
        <v>2016</v>
      </c>
      <c r="L387" s="519">
        <v>42466</v>
      </c>
      <c r="M387" s="270">
        <v>42466</v>
      </c>
      <c r="N387" s="270">
        <v>42772</v>
      </c>
      <c r="O387" s="1099" t="str">
        <f>IF(+Modificaciones!I387=0,"",VLOOKUP(E387,Modificaciones!$B$7:$I$2400,8,0))</f>
        <v/>
      </c>
      <c r="P387" s="115">
        <f>COUNTA(Modificaciones!J387,Modificaciones!L387,Modificaciones!N387,Modificaciones!P387)</f>
        <v>0</v>
      </c>
      <c r="Q387" s="116">
        <f>VLOOKUP(E387,Modificaciones!$B$7:$R$2300,17,0)</f>
        <v>0</v>
      </c>
      <c r="R387" s="117">
        <f>COUNTA(Modificaciones!T387,Modificaciones!V387,Modificaciones!X387,Modificaciones!Z387)</f>
        <v>0</v>
      </c>
      <c r="S387" s="118" t="str">
        <f>IF(Modificaciones!AA387=0,"",VLOOKUP(E387,Modificaciones!$B$7:$AA$400,26,0))</f>
        <v/>
      </c>
      <c r="T387" s="119" t="str">
        <f>IF(Modificaciones!AB387=0,"",VLOOKUP(E387,Modificaciones!$B$7:$AB$400,27,0))</f>
        <v/>
      </c>
      <c r="U387" s="1080" t="str">
        <f>+Modificaciones!AC387</f>
        <v/>
      </c>
      <c r="V387" s="825" t="str">
        <f>+Modificaciones!AK387</f>
        <v/>
      </c>
      <c r="W387" s="825">
        <f t="shared" si="63"/>
        <v>42772</v>
      </c>
      <c r="X387" s="59">
        <f t="shared" si="60"/>
        <v>56650000</v>
      </c>
      <c r="Y387" s="151">
        <f>VLOOKUP(E387,Modificaciones!$B$7:$BE$2300,56,0)</f>
        <v>56650000</v>
      </c>
      <c r="Z387" s="84">
        <f t="shared" si="70"/>
        <v>0</v>
      </c>
      <c r="AA387" s="283" t="s">
        <v>1094</v>
      </c>
      <c r="AB387" s="40">
        <f t="shared" si="62"/>
        <v>1</v>
      </c>
      <c r="AC387" s="40">
        <f t="shared" ca="1" si="64"/>
        <v>1</v>
      </c>
      <c r="AD387" s="41">
        <f t="shared" ca="1" si="65"/>
        <v>0</v>
      </c>
      <c r="AE387" s="181" t="str">
        <f t="shared" ca="1" si="66"/>
        <v/>
      </c>
      <c r="AF387" s="42" t="str">
        <f t="shared" si="72"/>
        <v>SI</v>
      </c>
      <c r="AG387" s="732" t="s">
        <v>5773</v>
      </c>
      <c r="AH387" s="152" t="s">
        <v>1256</v>
      </c>
      <c r="AI387" s="255" t="s">
        <v>2189</v>
      </c>
      <c r="AJ387" s="152"/>
      <c r="AK387" s="255" t="s">
        <v>559</v>
      </c>
      <c r="AL387" s="279" t="s">
        <v>2188</v>
      </c>
      <c r="AM387" s="279" t="s">
        <v>600</v>
      </c>
      <c r="AN387" s="161" t="str">
        <f t="shared" ca="1" si="67"/>
        <v>TERMINO</v>
      </c>
      <c r="AO387" s="284" t="s">
        <v>582</v>
      </c>
      <c r="AP387" s="155" t="s">
        <v>391</v>
      </c>
      <c r="AQ387" s="819" t="str">
        <f>IFERROR(VLOOKUP(E387,'liquidaciones '!$B$2:$C$1048576,2,0),"NO")</f>
        <v>LIQUIDADO</v>
      </c>
      <c r="AR387" s="909" t="str">
        <f>IFERROR(VLOOKUP(E387,'liquidaciones '!$B$2:$I$1048576,8,0),"")</f>
        <v>JAVIER QUINTERO</v>
      </c>
      <c r="AS387" s="312"/>
      <c r="AT387" s="156" t="str">
        <f t="shared" ca="1" si="68"/>
        <v>NO</v>
      </c>
      <c r="AU387" s="156" t="s">
        <v>2597</v>
      </c>
      <c r="AV387" s="406"/>
      <c r="AW387" s="928"/>
      <c r="AX387" s="928"/>
      <c r="AY387" s="928"/>
    </row>
    <row r="388" spans="2:51" ht="30.6" x14ac:dyDescent="0.3">
      <c r="C388" s="410">
        <v>119</v>
      </c>
      <c r="D388" s="410" t="str">
        <f t="shared" si="71"/>
        <v>2016119</v>
      </c>
      <c r="E388" s="120" t="s">
        <v>2427</v>
      </c>
      <c r="F388" s="254" t="s">
        <v>2428</v>
      </c>
      <c r="G388" s="874">
        <v>35457601</v>
      </c>
      <c r="H388" s="965" t="s">
        <v>1577</v>
      </c>
      <c r="I388" s="875">
        <v>23872500</v>
      </c>
      <c r="J388" s="685" t="s">
        <v>2427</v>
      </c>
      <c r="K388" s="269">
        <v>2016</v>
      </c>
      <c r="L388" s="519">
        <v>42473</v>
      </c>
      <c r="M388" s="270">
        <v>42479</v>
      </c>
      <c r="N388" s="270">
        <v>42754</v>
      </c>
      <c r="O388" s="1099" t="str">
        <f>IF(+Modificaciones!I388=0,"",VLOOKUP(E388,Modificaciones!$B$7:$I$2400,8,0))</f>
        <v/>
      </c>
      <c r="P388" s="115">
        <f>COUNTA(Modificaciones!J388,Modificaciones!L388,Modificaciones!N388,Modificaciones!P388)</f>
        <v>0</v>
      </c>
      <c r="Q388" s="116">
        <f>VLOOKUP(E388,Modificaciones!$B$7:$R$2300,17,0)</f>
        <v>0</v>
      </c>
      <c r="R388" s="117">
        <f>COUNTA(Modificaciones!T388,Modificaciones!V388,Modificaciones!X388,Modificaciones!Z388)</f>
        <v>0</v>
      </c>
      <c r="S388" s="118" t="str">
        <f>IF(Modificaciones!AA388=0,"",VLOOKUP(E388,Modificaciones!$B$7:$AA$400,26,0))</f>
        <v/>
      </c>
      <c r="T388" s="119" t="str">
        <f>IF(Modificaciones!AB388=0,"",VLOOKUP(E388,Modificaciones!$B$7:$AB$400,27,0))</f>
        <v/>
      </c>
      <c r="U388" s="1080" t="str">
        <f>+Modificaciones!AC388</f>
        <v/>
      </c>
      <c r="V388" s="825" t="str">
        <f>+Modificaciones!AK388</f>
        <v/>
      </c>
      <c r="W388" s="825">
        <f t="shared" si="63"/>
        <v>42754</v>
      </c>
      <c r="X388" s="59">
        <f t="shared" si="60"/>
        <v>23872500</v>
      </c>
      <c r="Y388" s="151">
        <f>VLOOKUP(E388,Modificaciones!$B$7:$BE$2300,56,0)</f>
        <v>23872500</v>
      </c>
      <c r="Z388" s="84">
        <f t="shared" si="70"/>
        <v>0</v>
      </c>
      <c r="AA388" s="283" t="s">
        <v>1094</v>
      </c>
      <c r="AB388" s="40">
        <f t="shared" si="62"/>
        <v>1</v>
      </c>
      <c r="AC388" s="40">
        <f t="shared" ca="1" si="64"/>
        <v>1</v>
      </c>
      <c r="AD388" s="41">
        <f t="shared" ca="1" si="65"/>
        <v>0</v>
      </c>
      <c r="AE388" s="181" t="str">
        <f t="shared" ca="1" si="66"/>
        <v/>
      </c>
      <c r="AF388" s="42" t="str">
        <f t="shared" si="72"/>
        <v>SI</v>
      </c>
      <c r="AG388" s="732" t="s">
        <v>5773</v>
      </c>
      <c r="AH388" s="152" t="s">
        <v>1255</v>
      </c>
      <c r="AI388" s="255" t="s">
        <v>2176</v>
      </c>
      <c r="AJ388" s="152" t="s">
        <v>1429</v>
      </c>
      <c r="AK388" s="255" t="s">
        <v>564</v>
      </c>
      <c r="AL388" s="279"/>
      <c r="AM388" s="279" t="s">
        <v>600</v>
      </c>
      <c r="AN388" s="161" t="str">
        <f t="shared" ca="1" si="67"/>
        <v>TERMINO</v>
      </c>
      <c r="AO388" s="160" t="s">
        <v>582</v>
      </c>
      <c r="AP388" s="155" t="s">
        <v>391</v>
      </c>
      <c r="AQ388" s="819" t="str">
        <f>IFERROR(VLOOKUP(E388,'liquidaciones '!$B$2:$C$1048576,2,0),"NO")</f>
        <v>LIQUIDADO</v>
      </c>
      <c r="AR388" s="909" t="str">
        <f>IFERROR(VLOOKUP(E388,'liquidaciones '!$B$2:$I$1048576,8,0),"")</f>
        <v>JAVIER QUINTERO</v>
      </c>
      <c r="AS388" s="312"/>
      <c r="AT388" s="156" t="str">
        <f t="shared" ca="1" si="68"/>
        <v>NO</v>
      </c>
      <c r="AU388" s="156" t="s">
        <v>2597</v>
      </c>
      <c r="AV388" s="406"/>
      <c r="AW388" s="928"/>
      <c r="AX388" s="928"/>
      <c r="AY388" s="928"/>
    </row>
    <row r="389" spans="2:51" ht="51" x14ac:dyDescent="0.3">
      <c r="C389" s="410">
        <v>117</v>
      </c>
      <c r="D389" s="410" t="str">
        <f t="shared" si="71"/>
        <v>2016117</v>
      </c>
      <c r="E389" s="120" t="s">
        <v>2429</v>
      </c>
      <c r="F389" s="254" t="s">
        <v>1034</v>
      </c>
      <c r="G389" s="874">
        <v>4098836</v>
      </c>
      <c r="H389" s="965" t="s">
        <v>3006</v>
      </c>
      <c r="I389" s="875">
        <v>35595000</v>
      </c>
      <c r="J389" s="685" t="s">
        <v>2429</v>
      </c>
      <c r="K389" s="269">
        <v>2016</v>
      </c>
      <c r="L389" s="519">
        <v>42479</v>
      </c>
      <c r="M389" s="270">
        <v>42485</v>
      </c>
      <c r="N389" s="270">
        <v>42760</v>
      </c>
      <c r="O389" s="1099" t="str">
        <f>IF(+Modificaciones!I389=0,"",VLOOKUP(E389,Modificaciones!$B$7:$I$2400,8,0))</f>
        <v/>
      </c>
      <c r="P389" s="115">
        <f>COUNTA(Modificaciones!J389,Modificaciones!L389,Modificaciones!N389,Modificaciones!P389)</f>
        <v>0</v>
      </c>
      <c r="Q389" s="116">
        <f>VLOOKUP(E389,Modificaciones!$B$7:$R$2300,17,0)</f>
        <v>0</v>
      </c>
      <c r="R389" s="117">
        <f>COUNTA(Modificaciones!T389,Modificaciones!V389,Modificaciones!X389,Modificaciones!Z389)</f>
        <v>0</v>
      </c>
      <c r="S389" s="118" t="str">
        <f>IF(Modificaciones!AA389=0,"",VLOOKUP(E389,Modificaciones!$B$7:$AA$400,26,0))</f>
        <v/>
      </c>
      <c r="T389" s="119" t="str">
        <f>IF(Modificaciones!AB389=0,"",VLOOKUP(E389,Modificaciones!$B$7:$AB$400,27,0))</f>
        <v/>
      </c>
      <c r="U389" s="1080" t="str">
        <f>+Modificaciones!AC389</f>
        <v/>
      </c>
      <c r="V389" s="825" t="str">
        <f>+Modificaciones!AK389</f>
        <v/>
      </c>
      <c r="W389" s="825">
        <f t="shared" si="63"/>
        <v>42760</v>
      </c>
      <c r="X389" s="59">
        <f t="shared" si="60"/>
        <v>35595000</v>
      </c>
      <c r="Y389" s="151">
        <f>VLOOKUP(E389,Modificaciones!$B$7:$BE$2300,56,0)</f>
        <v>35595000</v>
      </c>
      <c r="Z389" s="84">
        <f t="shared" si="70"/>
        <v>0</v>
      </c>
      <c r="AA389" s="283" t="s">
        <v>1094</v>
      </c>
      <c r="AB389" s="40">
        <f t="shared" si="62"/>
        <v>1</v>
      </c>
      <c r="AC389" s="40">
        <f t="shared" ca="1" si="64"/>
        <v>1</v>
      </c>
      <c r="AD389" s="41">
        <f t="shared" ca="1" si="65"/>
        <v>0</v>
      </c>
      <c r="AE389" s="181" t="str">
        <f t="shared" ca="1" si="66"/>
        <v/>
      </c>
      <c r="AF389" s="42" t="str">
        <f t="shared" si="72"/>
        <v>SI</v>
      </c>
      <c r="AG389" s="732" t="s">
        <v>5773</v>
      </c>
      <c r="AH389" s="152" t="s">
        <v>1255</v>
      </c>
      <c r="AI389" s="152" t="s">
        <v>2169</v>
      </c>
      <c r="AJ389" s="152" t="s">
        <v>1176</v>
      </c>
      <c r="AK389" s="255" t="s">
        <v>559</v>
      </c>
      <c r="AL389" s="279"/>
      <c r="AM389" s="279" t="s">
        <v>600</v>
      </c>
      <c r="AN389" s="161" t="str">
        <f t="shared" ca="1" si="67"/>
        <v>TERMINO</v>
      </c>
      <c r="AO389" s="284" t="s">
        <v>582</v>
      </c>
      <c r="AP389" s="155" t="s">
        <v>391</v>
      </c>
      <c r="AQ389" s="819" t="str">
        <f>IFERROR(VLOOKUP(E389,'liquidaciones '!$B$2:$C$1048576,2,0),"NO")</f>
        <v>LIQUIDADO</v>
      </c>
      <c r="AR389" s="909" t="str">
        <f>IFERROR(VLOOKUP(E389,'liquidaciones '!$B$2:$I$1048576,8,0),"")</f>
        <v>GIOVANNI SUAREZ</v>
      </c>
      <c r="AS389" s="312"/>
      <c r="AT389" s="156" t="str">
        <f t="shared" ca="1" si="68"/>
        <v>NO</v>
      </c>
      <c r="AU389" s="156" t="s">
        <v>981</v>
      </c>
      <c r="AV389" s="406"/>
      <c r="AW389" s="928"/>
      <c r="AX389" s="928"/>
      <c r="AY389" s="928"/>
    </row>
    <row r="390" spans="2:51" ht="40.799999999999997" x14ac:dyDescent="0.3">
      <c r="C390" s="410"/>
      <c r="D390" s="410" t="str">
        <f t="shared" si="71"/>
        <v>2016</v>
      </c>
      <c r="E390" s="120" t="s">
        <v>2430</v>
      </c>
      <c r="F390" s="254" t="s">
        <v>1337</v>
      </c>
      <c r="G390" s="874" t="s">
        <v>2431</v>
      </c>
      <c r="H390" s="965" t="s">
        <v>3007</v>
      </c>
      <c r="I390" s="875">
        <v>154000000</v>
      </c>
      <c r="J390" s="685" t="s">
        <v>2430</v>
      </c>
      <c r="K390" s="269">
        <v>2016</v>
      </c>
      <c r="L390" s="519">
        <v>42452</v>
      </c>
      <c r="M390" s="270">
        <v>42466</v>
      </c>
      <c r="N390" s="270">
        <v>42741</v>
      </c>
      <c r="O390" s="1099" t="str">
        <f>IF(+Modificaciones!I390=0,"",VLOOKUP(E390,Modificaciones!$B$7:$I$2400,8,0))</f>
        <v/>
      </c>
      <c r="P390" s="115">
        <f>COUNTA(Modificaciones!J390,Modificaciones!L390,Modificaciones!N390,Modificaciones!P390)</f>
        <v>1</v>
      </c>
      <c r="Q390" s="116">
        <f>VLOOKUP(E390,Modificaciones!$B$7:$R$2300,17,0)</f>
        <v>40418052</v>
      </c>
      <c r="R390" s="117">
        <f>COUNTA(Modificaciones!T390,Modificaciones!V390,Modificaciones!X390,Modificaciones!Z390)</f>
        <v>1</v>
      </c>
      <c r="S390" s="118" t="str">
        <f>IF(Modificaciones!AA390=0,"",VLOOKUP(E390,Modificaciones!$B$7:$AA$400,26,0))</f>
        <v>2 meses</v>
      </c>
      <c r="T390" s="119">
        <f>IF(Modificaciones!AB390=0,"",VLOOKUP(E390,Modificaciones!$B$7:$AB$400,27,0))</f>
        <v>42800</v>
      </c>
      <c r="U390" s="1080" t="str">
        <f>+Modificaciones!AC390</f>
        <v/>
      </c>
      <c r="V390" s="825" t="str">
        <f>+Modificaciones!AK390</f>
        <v/>
      </c>
      <c r="W390" s="825">
        <f t="shared" si="63"/>
        <v>42800</v>
      </c>
      <c r="X390" s="59">
        <f t="shared" si="60"/>
        <v>194418052</v>
      </c>
      <c r="Y390" s="151">
        <f>VLOOKUP(E390,Modificaciones!$B$7:$BE$2300,56,0)</f>
        <v>182935406</v>
      </c>
      <c r="Z390" s="84">
        <f t="shared" si="70"/>
        <v>11482646</v>
      </c>
      <c r="AA390" s="283" t="s">
        <v>1094</v>
      </c>
      <c r="AB390" s="40">
        <f t="shared" si="62"/>
        <v>0.94093837541382219</v>
      </c>
      <c r="AC390" s="40">
        <f t="shared" ca="1" si="64"/>
        <v>1</v>
      </c>
      <c r="AD390" s="41">
        <f t="shared" ca="1" si="65"/>
        <v>5.9061624586177808E-2</v>
      </c>
      <c r="AE390" s="181" t="str">
        <f t="shared" ca="1" si="66"/>
        <v/>
      </c>
      <c r="AF390" s="42" t="str">
        <f t="shared" si="72"/>
        <v>NO</v>
      </c>
      <c r="AG390" s="1017" t="s">
        <v>4920</v>
      </c>
      <c r="AH390" s="152" t="s">
        <v>1256</v>
      </c>
      <c r="AI390" s="255" t="s">
        <v>1605</v>
      </c>
      <c r="AJ390" s="152" t="s">
        <v>1438</v>
      </c>
      <c r="AK390" s="255" t="s">
        <v>560</v>
      </c>
      <c r="AL390" s="279" t="s">
        <v>1508</v>
      </c>
      <c r="AM390" s="279" t="s">
        <v>600</v>
      </c>
      <c r="AN390" s="161" t="str">
        <f t="shared" ca="1" si="67"/>
        <v>TERMINO</v>
      </c>
      <c r="AO390" s="284" t="s">
        <v>582</v>
      </c>
      <c r="AP390" s="155" t="s">
        <v>390</v>
      </c>
      <c r="AQ390" s="819" t="str">
        <f>IFERROR(VLOOKUP(E390,'liquidaciones '!$B$2:$C$1048576,2,0),"NO")</f>
        <v>LIQUIDADO</v>
      </c>
      <c r="AR390" s="909">
        <f>IFERROR(VLOOKUP(E390,'liquidaciones '!$B$2:$I$1048576,8,0),"")</f>
        <v>0</v>
      </c>
      <c r="AS390" s="312"/>
      <c r="AT390" s="156" t="str">
        <f t="shared" ca="1" si="68"/>
        <v>NO</v>
      </c>
      <c r="AU390" s="406" t="s">
        <v>3777</v>
      </c>
      <c r="AV390" s="406"/>
      <c r="AW390" s="928"/>
      <c r="AX390" s="928"/>
      <c r="AY390" s="928"/>
    </row>
    <row r="391" spans="2:51" ht="51" x14ac:dyDescent="0.3">
      <c r="C391" s="410">
        <v>152</v>
      </c>
      <c r="D391" s="410" t="str">
        <f t="shared" si="71"/>
        <v>2016152</v>
      </c>
      <c r="E391" s="120" t="s">
        <v>2432</v>
      </c>
      <c r="F391" s="254" t="s">
        <v>2433</v>
      </c>
      <c r="G391" s="874">
        <v>900475780</v>
      </c>
      <c r="H391" s="965" t="s">
        <v>1637</v>
      </c>
      <c r="I391" s="875">
        <v>3454655000</v>
      </c>
      <c r="J391" s="685" t="s">
        <v>2432</v>
      </c>
      <c r="K391" s="269">
        <v>2016</v>
      </c>
      <c r="L391" s="519">
        <v>42468</v>
      </c>
      <c r="M391" s="270">
        <v>42468</v>
      </c>
      <c r="N391" s="270">
        <v>42735</v>
      </c>
      <c r="O391" s="1099" t="str">
        <f>IF(+Modificaciones!I391=0,"",VLOOKUP(E391,Modificaciones!$B$7:$I$2400,8,0))</f>
        <v/>
      </c>
      <c r="P391" s="115">
        <f>COUNTA(Modificaciones!J391,Modificaciones!L391,Modificaciones!N391,Modificaciones!P391)</f>
        <v>0</v>
      </c>
      <c r="Q391" s="116">
        <f>VLOOKUP(E391,Modificaciones!$B$7:$R$2300,17,0)</f>
        <v>0</v>
      </c>
      <c r="R391" s="117">
        <f>COUNTA(Modificaciones!T391,Modificaciones!V391,Modificaciones!X391,Modificaciones!Z391)</f>
        <v>1</v>
      </c>
      <c r="S391" s="118" t="str">
        <f>IF(Modificaciones!AA391=0,"",VLOOKUP(E391,Modificaciones!$B$7:$AA$400,26,0))</f>
        <v>15 días</v>
      </c>
      <c r="T391" s="119">
        <f>IF(Modificaciones!AB391=0,"",VLOOKUP(E391,Modificaciones!$B$7:$AB$400,27,0))</f>
        <v>42750</v>
      </c>
      <c r="U391" s="1080" t="str">
        <f>+Modificaciones!AC391</f>
        <v/>
      </c>
      <c r="V391" s="825" t="str">
        <f>+Modificaciones!AK391</f>
        <v/>
      </c>
      <c r="W391" s="825">
        <f t="shared" si="63"/>
        <v>42750</v>
      </c>
      <c r="X391" s="59">
        <f t="shared" ref="X391:X454" si="73">I391+Q391</f>
        <v>3454655000</v>
      </c>
      <c r="Y391" s="151">
        <f>VLOOKUP(E391,Modificaciones!$B$7:$BE$2300,56,0)</f>
        <v>3424693254</v>
      </c>
      <c r="Z391" s="84">
        <f t="shared" si="70"/>
        <v>29961746</v>
      </c>
      <c r="AA391" s="283" t="s">
        <v>1106</v>
      </c>
      <c r="AB391" s="40">
        <f t="shared" ref="AB391:AB454" si="74">(Y391*100%)/X391</f>
        <v>0.99132713802101802</v>
      </c>
      <c r="AC391" s="40">
        <f t="shared" ca="1" si="64"/>
        <v>1</v>
      </c>
      <c r="AD391" s="41">
        <f t="shared" ca="1" si="65"/>
        <v>8.6728619789819827E-3</v>
      </c>
      <c r="AE391" s="181" t="str">
        <f t="shared" ca="1" si="66"/>
        <v/>
      </c>
      <c r="AF391" s="42" t="str">
        <f t="shared" si="72"/>
        <v>NO</v>
      </c>
      <c r="AG391" s="732" t="s">
        <v>1718</v>
      </c>
      <c r="AH391" s="152" t="s">
        <v>1255</v>
      </c>
      <c r="AI391" s="255" t="s">
        <v>1507</v>
      </c>
      <c r="AJ391" s="152" t="s">
        <v>1441</v>
      </c>
      <c r="AK391" s="255" t="s">
        <v>560</v>
      </c>
      <c r="AL391" s="279" t="s">
        <v>1318</v>
      </c>
      <c r="AM391" s="279" t="s">
        <v>600</v>
      </c>
      <c r="AN391" s="161" t="str">
        <f t="shared" ca="1" si="67"/>
        <v>TERMINO</v>
      </c>
      <c r="AO391" s="160" t="s">
        <v>582</v>
      </c>
      <c r="AP391" s="155" t="s">
        <v>390</v>
      </c>
      <c r="AQ391" s="819" t="str">
        <f>IFERROR(VLOOKUP(E391,'liquidaciones '!$B$2:$C$1048576,2,0),"NO")</f>
        <v>LIQUIDADO</v>
      </c>
      <c r="AR391" s="909" t="str">
        <f>IFERROR(VLOOKUP(E391,'liquidaciones '!$B$2:$I$1048576,8,0),"")</f>
        <v>MANUEL ROJAS</v>
      </c>
      <c r="AS391" s="312"/>
      <c r="AT391" s="156" t="str">
        <f t="shared" ca="1" si="68"/>
        <v>NO</v>
      </c>
      <c r="AU391" s="406" t="s">
        <v>2972</v>
      </c>
      <c r="AV391" s="406"/>
      <c r="AW391" s="928"/>
      <c r="AX391" s="928"/>
      <c r="AY391" s="928"/>
    </row>
    <row r="392" spans="2:51" ht="40.799999999999997" x14ac:dyDescent="0.3">
      <c r="C392" s="410">
        <v>125</v>
      </c>
      <c r="D392" s="410" t="str">
        <f t="shared" si="71"/>
        <v>2016125</v>
      </c>
      <c r="E392" s="120" t="s">
        <v>2436</v>
      </c>
      <c r="F392" s="254" t="s">
        <v>2030</v>
      </c>
      <c r="G392" s="874">
        <v>79246871</v>
      </c>
      <c r="H392" s="965" t="s">
        <v>2437</v>
      </c>
      <c r="I392" s="875">
        <v>29664000</v>
      </c>
      <c r="J392" s="685" t="s">
        <v>2446</v>
      </c>
      <c r="K392" s="269">
        <v>2016</v>
      </c>
      <c r="L392" s="519">
        <v>42493</v>
      </c>
      <c r="M392" s="270">
        <v>42494</v>
      </c>
      <c r="N392" s="270">
        <v>42739</v>
      </c>
      <c r="O392" s="1099" t="str">
        <f>IF(+Modificaciones!I392=0,"",VLOOKUP(E392,Modificaciones!$B$7:$I$2400,8,0))</f>
        <v/>
      </c>
      <c r="P392" s="115">
        <f>COUNTA(Modificaciones!J392,Modificaciones!L392,Modificaciones!N392,Modificaciones!P392)</f>
        <v>0</v>
      </c>
      <c r="Q392" s="116">
        <f>VLOOKUP(E392,Modificaciones!$B$7:$R$2300,17,0)</f>
        <v>0</v>
      </c>
      <c r="R392" s="117">
        <f>COUNTA(Modificaciones!T392,Modificaciones!V392,Modificaciones!X392,Modificaciones!Z392)</f>
        <v>0</v>
      </c>
      <c r="S392" s="118" t="str">
        <f>IF(Modificaciones!AA392=0,"",VLOOKUP(E392,Modificaciones!$B$7:$AA$2400,26,0))</f>
        <v/>
      </c>
      <c r="T392" s="119" t="str">
        <f>IF(Modificaciones!AB392=0,"",VLOOKUP(E392,Modificaciones!$B$7:$AB$400,27,0))</f>
        <v/>
      </c>
      <c r="U392" s="1080" t="str">
        <f>+Modificaciones!AC392</f>
        <v/>
      </c>
      <c r="V392" s="825" t="str">
        <f>+Modificaciones!AK392</f>
        <v/>
      </c>
      <c r="W392" s="825">
        <f t="shared" ref="W392:W455" si="75">MAX(N392,O392,T392,V392)</f>
        <v>42739</v>
      </c>
      <c r="X392" s="59">
        <f t="shared" si="73"/>
        <v>29664000</v>
      </c>
      <c r="Y392" s="151">
        <f>VLOOKUP(E392,Modificaciones!$B$7:$BE$2300,56,0)</f>
        <v>29664000</v>
      </c>
      <c r="Z392" s="84">
        <f t="shared" si="70"/>
        <v>0</v>
      </c>
      <c r="AA392" s="283" t="s">
        <v>1094</v>
      </c>
      <c r="AB392" s="40">
        <f t="shared" si="74"/>
        <v>1</v>
      </c>
      <c r="AC392" s="40">
        <f t="shared" ref="AC392:AC455" ca="1" si="76">IF((($F$3-M392)*100%/(W392-M392))&gt;100%,100%,(($F$3-M392)*100%/(W392-M392)))</f>
        <v>1</v>
      </c>
      <c r="AD392" s="41">
        <f t="shared" ref="AD392:AD455" ca="1" si="77">AC392-AB392</f>
        <v>0</v>
      </c>
      <c r="AE392" s="181" t="str">
        <f t="shared" ref="AE392:AE455" ca="1" si="78">IF(AC392&lt;100%,W392-$F$3,"")</f>
        <v/>
      </c>
      <c r="AF392" s="42" t="str">
        <f t="shared" si="72"/>
        <v>SI</v>
      </c>
      <c r="AG392" s="732" t="s">
        <v>5773</v>
      </c>
      <c r="AH392" s="152" t="s">
        <v>1255</v>
      </c>
      <c r="AI392" s="255" t="s">
        <v>2059</v>
      </c>
      <c r="AJ392" s="152" t="s">
        <v>1436</v>
      </c>
      <c r="AK392" s="255" t="s">
        <v>561</v>
      </c>
      <c r="AL392" s="279"/>
      <c r="AM392" s="279" t="s">
        <v>600</v>
      </c>
      <c r="AN392" s="161" t="str">
        <f t="shared" ref="AN392:AN455" ca="1" si="79">IF(W392&gt;=$F$3,"EN EJECUCIÓN","TERMINO")</f>
        <v>TERMINO</v>
      </c>
      <c r="AO392" s="284" t="s">
        <v>582</v>
      </c>
      <c r="AP392" s="155" t="s">
        <v>391</v>
      </c>
      <c r="AQ392" s="819" t="str">
        <f>IFERROR(VLOOKUP(E392,'liquidaciones '!$B$2:$C$1048576,2,0),"NO")</f>
        <v>LIQUIDADO</v>
      </c>
      <c r="AR392" s="909" t="str">
        <f>IFERROR(VLOOKUP(E392,'liquidaciones '!$B$2:$I$1048576,8,0),"")</f>
        <v>JAVIER QUINTERO</v>
      </c>
      <c r="AS392" s="312"/>
      <c r="AT392" s="156" t="str">
        <f t="shared" ref="AT392:AT455" ca="1" si="80">IF((TODAY()-W392&lt;900),"SI","NO")</f>
        <v>NO</v>
      </c>
      <c r="AU392" s="156" t="s">
        <v>2597</v>
      </c>
      <c r="AV392" s="406"/>
      <c r="AW392" s="928"/>
      <c r="AX392" s="928"/>
      <c r="AY392" s="928"/>
    </row>
    <row r="393" spans="2:51" ht="30.6" x14ac:dyDescent="0.3">
      <c r="C393" s="410">
        <v>149</v>
      </c>
      <c r="D393" s="410" t="str">
        <f t="shared" si="71"/>
        <v>2016149</v>
      </c>
      <c r="E393" s="120" t="s">
        <v>2440</v>
      </c>
      <c r="F393" s="254" t="s">
        <v>1110</v>
      </c>
      <c r="G393" s="874">
        <v>830005370</v>
      </c>
      <c r="H393" s="965" t="s">
        <v>4880</v>
      </c>
      <c r="I393" s="875">
        <v>1148500000</v>
      </c>
      <c r="J393" s="685" t="s">
        <v>2440</v>
      </c>
      <c r="K393" s="269">
        <v>2016</v>
      </c>
      <c r="L393" s="519">
        <v>42480</v>
      </c>
      <c r="M393" s="270">
        <v>42481</v>
      </c>
      <c r="N393" s="270">
        <v>42787</v>
      </c>
      <c r="O393" s="1099" t="str">
        <f>IF(+Modificaciones!I393=0,"",VLOOKUP(E393,Modificaciones!$B$7:$I$2400,8,0))</f>
        <v/>
      </c>
      <c r="P393" s="115">
        <f>COUNTA(Modificaciones!J393,Modificaciones!L393,Modificaciones!N393,Modificaciones!P393)</f>
        <v>0</v>
      </c>
      <c r="Q393" s="116">
        <f>VLOOKUP(E393,Modificaciones!$B$7:$R$2300,17,0)</f>
        <v>0</v>
      </c>
      <c r="R393" s="117">
        <f>COUNTA(Modificaciones!T393,Modificaciones!V393,Modificaciones!X393,Modificaciones!Z393)</f>
        <v>0</v>
      </c>
      <c r="S393" s="118" t="str">
        <f>IF(Modificaciones!AA393=0,"",VLOOKUP(E393,Modificaciones!$B$7:$AA$2400,26,0))</f>
        <v/>
      </c>
      <c r="T393" s="119" t="str">
        <f>IF(Modificaciones!AB393=0,"",VLOOKUP(E393,Modificaciones!$B$7:$AB$400,27,0))</f>
        <v/>
      </c>
      <c r="U393" s="1080" t="str">
        <f>+Modificaciones!AC393</f>
        <v/>
      </c>
      <c r="V393" s="825" t="str">
        <f>+Modificaciones!AK393</f>
        <v/>
      </c>
      <c r="W393" s="825">
        <f t="shared" si="75"/>
        <v>42787</v>
      </c>
      <c r="X393" s="59">
        <f t="shared" si="73"/>
        <v>1148500000</v>
      </c>
      <c r="Y393" s="151">
        <f>VLOOKUP(E393,Modificaciones!$B$7:$BE$2300,56,0)</f>
        <v>1148499968</v>
      </c>
      <c r="Z393" s="84">
        <f t="shared" si="70"/>
        <v>32</v>
      </c>
      <c r="AA393" s="283" t="s">
        <v>1889</v>
      </c>
      <c r="AB393" s="40">
        <f t="shared" si="74"/>
        <v>0.99999997213757075</v>
      </c>
      <c r="AC393" s="40">
        <f t="shared" ca="1" si="76"/>
        <v>1</v>
      </c>
      <c r="AD393" s="41">
        <f t="shared" ca="1" si="77"/>
        <v>2.7862429252678567E-8</v>
      </c>
      <c r="AE393" s="181" t="str">
        <f t="shared" ca="1" si="78"/>
        <v/>
      </c>
      <c r="AF393" s="42" t="str">
        <f t="shared" si="72"/>
        <v>SI</v>
      </c>
      <c r="AG393" s="732" t="s">
        <v>1718</v>
      </c>
      <c r="AH393" s="152" t="s">
        <v>1255</v>
      </c>
      <c r="AI393" s="152" t="s">
        <v>1291</v>
      </c>
      <c r="AJ393" s="152" t="s">
        <v>1429</v>
      </c>
      <c r="AK393" s="255" t="s">
        <v>564</v>
      </c>
      <c r="AL393" s="279"/>
      <c r="AM393" s="279" t="s">
        <v>600</v>
      </c>
      <c r="AN393" s="161" t="str">
        <f t="shared" ca="1" si="79"/>
        <v>TERMINO</v>
      </c>
      <c r="AO393" s="284" t="s">
        <v>582</v>
      </c>
      <c r="AP393" s="155" t="s">
        <v>390</v>
      </c>
      <c r="AQ393" s="819" t="str">
        <f>IFERROR(VLOOKUP(E393,'liquidaciones '!$B$2:$C$1048576,2,0),"NO")</f>
        <v>LIQUIDADO</v>
      </c>
      <c r="AR393" s="909" t="str">
        <f>IFERROR(VLOOKUP(E393,'liquidaciones '!$B$2:$I$1048576,8,0),"")</f>
        <v>MANUEL ROJAS</v>
      </c>
      <c r="AS393" s="312"/>
      <c r="AT393" s="156" t="str">
        <f t="shared" ca="1" si="80"/>
        <v>NO</v>
      </c>
      <c r="AU393" s="156" t="s">
        <v>981</v>
      </c>
      <c r="AV393" s="406"/>
      <c r="AW393" s="928"/>
      <c r="AX393" s="928"/>
      <c r="AY393" s="928"/>
    </row>
    <row r="394" spans="2:51" ht="20.399999999999999" x14ac:dyDescent="0.3">
      <c r="C394" s="410">
        <v>136</v>
      </c>
      <c r="D394" s="410" t="str">
        <f t="shared" si="71"/>
        <v>2016136</v>
      </c>
      <c r="E394" s="120" t="s">
        <v>2445</v>
      </c>
      <c r="F394" s="254" t="s">
        <v>15</v>
      </c>
      <c r="G394" s="874">
        <v>830067096</v>
      </c>
      <c r="H394" s="965" t="s">
        <v>353</v>
      </c>
      <c r="I394" s="875">
        <v>8010000</v>
      </c>
      <c r="J394" s="685" t="s">
        <v>2445</v>
      </c>
      <c r="K394" s="269">
        <v>2016</v>
      </c>
      <c r="L394" s="519">
        <v>42508</v>
      </c>
      <c r="M394" s="270">
        <v>42513</v>
      </c>
      <c r="N394" s="270">
        <v>42878</v>
      </c>
      <c r="O394" s="1099" t="str">
        <f>IF(+Modificaciones!I394=0,"",VLOOKUP(E394,Modificaciones!$B$7:$I$2400,8,0))</f>
        <v/>
      </c>
      <c r="P394" s="115">
        <f>COUNTA(Modificaciones!J394,Modificaciones!L394,Modificaciones!N394,Modificaciones!P394)</f>
        <v>0</v>
      </c>
      <c r="Q394" s="116">
        <f>VLOOKUP(E394,Modificaciones!$B$7:$R$2300,17,0)</f>
        <v>0</v>
      </c>
      <c r="R394" s="117">
        <f>COUNTA(Modificaciones!T394,Modificaciones!V394,Modificaciones!X394,Modificaciones!Z394)</f>
        <v>0</v>
      </c>
      <c r="S394" s="118" t="str">
        <f>IF(Modificaciones!AA394=0,"",VLOOKUP(E394,Modificaciones!$B$7:$AA$2400,26,0))</f>
        <v/>
      </c>
      <c r="T394" s="119" t="str">
        <f>IF(Modificaciones!AB394=0,"",VLOOKUP(E394,Modificaciones!$B$7:$AB$400,27,0))</f>
        <v/>
      </c>
      <c r="U394" s="1080" t="str">
        <f>+Modificaciones!AC394</f>
        <v/>
      </c>
      <c r="V394" s="825" t="str">
        <f>+Modificaciones!AK394</f>
        <v/>
      </c>
      <c r="W394" s="825">
        <f t="shared" si="75"/>
        <v>42878</v>
      </c>
      <c r="X394" s="59">
        <f t="shared" si="73"/>
        <v>8010000</v>
      </c>
      <c r="Y394" s="151">
        <f>VLOOKUP(E394,Modificaciones!$B$7:$BE$2300,56,0)</f>
        <v>8010000</v>
      </c>
      <c r="Z394" s="84">
        <f t="shared" si="70"/>
        <v>0</v>
      </c>
      <c r="AA394" s="283" t="s">
        <v>1894</v>
      </c>
      <c r="AB394" s="40">
        <f t="shared" si="74"/>
        <v>1</v>
      </c>
      <c r="AC394" s="40">
        <f t="shared" ca="1" si="76"/>
        <v>1</v>
      </c>
      <c r="AD394" s="41">
        <f t="shared" ca="1" si="77"/>
        <v>0</v>
      </c>
      <c r="AE394" s="181" t="str">
        <f t="shared" ca="1" si="78"/>
        <v/>
      </c>
      <c r="AF394" s="42" t="str">
        <f t="shared" si="72"/>
        <v>SI</v>
      </c>
      <c r="AG394" s="732" t="s">
        <v>1713</v>
      </c>
      <c r="AH394" s="152"/>
      <c r="AI394" s="275" t="s">
        <v>1124</v>
      </c>
      <c r="AJ394" s="152" t="s">
        <v>1429</v>
      </c>
      <c r="AK394" s="255" t="s">
        <v>564</v>
      </c>
      <c r="AL394" s="279"/>
      <c r="AM394" s="279" t="s">
        <v>600</v>
      </c>
      <c r="AN394" s="161" t="str">
        <f t="shared" ca="1" si="79"/>
        <v>TERMINO</v>
      </c>
      <c r="AO394" s="284" t="s">
        <v>582</v>
      </c>
      <c r="AP394" s="155" t="s">
        <v>390</v>
      </c>
      <c r="AQ394" s="819" t="str">
        <f>IFERROR(VLOOKUP(E394,'liquidaciones '!$B$2:$C$1048576,2,0),"NO")</f>
        <v>LIQUIDADO</v>
      </c>
      <c r="AR394" s="909" t="str">
        <f>IFERROR(VLOOKUP(E394,'liquidaciones '!$B$2:$I$1048576,8,0),"")</f>
        <v>MANUEL ROJAS</v>
      </c>
      <c r="AS394" s="312"/>
      <c r="AT394" s="156" t="str">
        <f t="shared" ca="1" si="80"/>
        <v>NO</v>
      </c>
      <c r="AU394" s="156" t="s">
        <v>981</v>
      </c>
      <c r="AV394" s="406"/>
      <c r="AW394" s="928"/>
      <c r="AX394" s="928"/>
      <c r="AY394" s="928"/>
    </row>
    <row r="395" spans="2:51" ht="20.399999999999999" x14ac:dyDescent="0.3">
      <c r="C395" s="410">
        <v>217</v>
      </c>
      <c r="D395" s="410" t="str">
        <f t="shared" si="71"/>
        <v>2016217</v>
      </c>
      <c r="E395" s="120" t="s">
        <v>2447</v>
      </c>
      <c r="F395" s="254" t="s">
        <v>1856</v>
      </c>
      <c r="G395" s="874">
        <v>860025639</v>
      </c>
      <c r="H395" s="965" t="s">
        <v>2448</v>
      </c>
      <c r="I395" s="875">
        <v>14640000</v>
      </c>
      <c r="J395" s="685" t="s">
        <v>2447</v>
      </c>
      <c r="K395" s="269">
        <v>2016</v>
      </c>
      <c r="L395" s="519">
        <v>42496</v>
      </c>
      <c r="M395" s="270">
        <v>42514</v>
      </c>
      <c r="N395" s="270">
        <v>42818</v>
      </c>
      <c r="O395" s="1099" t="str">
        <f>IF(+Modificaciones!I395=0,"",VLOOKUP(E395,Modificaciones!$B$7:$I$2400,8,0))</f>
        <v/>
      </c>
      <c r="P395" s="115">
        <f>COUNTA(Modificaciones!J395,Modificaciones!L395,Modificaciones!N395,Modificaciones!P395)</f>
        <v>0</v>
      </c>
      <c r="Q395" s="116">
        <f>VLOOKUP(E395,Modificaciones!$B$7:$R$2300,17,0)</f>
        <v>0</v>
      </c>
      <c r="R395" s="117">
        <f>COUNTA(Modificaciones!T395,Modificaciones!V395,Modificaciones!X395,Modificaciones!Z395)</f>
        <v>0</v>
      </c>
      <c r="S395" s="118" t="str">
        <f>IF(Modificaciones!AA395=0,"",VLOOKUP(E395,Modificaciones!$B$7:$AA$2400,26,0))</f>
        <v/>
      </c>
      <c r="T395" s="119" t="str">
        <f>IF(Modificaciones!AB395=0,"",VLOOKUP(E395,Modificaciones!$B$7:$AB$400,27,0))</f>
        <v/>
      </c>
      <c r="U395" s="1080" t="str">
        <f>+Modificaciones!AC395</f>
        <v/>
      </c>
      <c r="V395" s="825" t="str">
        <f>+Modificaciones!AK395</f>
        <v/>
      </c>
      <c r="W395" s="825">
        <f t="shared" si="75"/>
        <v>42818</v>
      </c>
      <c r="X395" s="59">
        <f t="shared" si="73"/>
        <v>14640000</v>
      </c>
      <c r="Y395" s="151">
        <f>VLOOKUP(E395,Modificaciones!$B$7:$BE$2300,56,0)</f>
        <v>13931660</v>
      </c>
      <c r="Z395" s="84">
        <f t="shared" si="70"/>
        <v>708340</v>
      </c>
      <c r="AA395" s="283" t="s">
        <v>2989</v>
      </c>
      <c r="AB395" s="40">
        <f t="shared" si="74"/>
        <v>0.95161612021857922</v>
      </c>
      <c r="AC395" s="40">
        <f t="shared" ca="1" si="76"/>
        <v>1</v>
      </c>
      <c r="AD395" s="41">
        <f t="shared" ca="1" si="77"/>
        <v>4.838387978142078E-2</v>
      </c>
      <c r="AE395" s="181" t="str">
        <f t="shared" ca="1" si="78"/>
        <v/>
      </c>
      <c r="AF395" s="42" t="str">
        <f t="shared" si="72"/>
        <v>NO</v>
      </c>
      <c r="AG395" s="1017" t="s">
        <v>4920</v>
      </c>
      <c r="AH395" s="152" t="s">
        <v>1255</v>
      </c>
      <c r="AI395" s="255" t="s">
        <v>1169</v>
      </c>
      <c r="AJ395" s="152" t="s">
        <v>1441</v>
      </c>
      <c r="AK395" s="255" t="s">
        <v>560</v>
      </c>
      <c r="AL395" s="279"/>
      <c r="AM395" s="279" t="s">
        <v>600</v>
      </c>
      <c r="AN395" s="161" t="str">
        <f t="shared" ca="1" si="79"/>
        <v>TERMINO</v>
      </c>
      <c r="AO395" s="160" t="s">
        <v>582</v>
      </c>
      <c r="AP395" s="155" t="s">
        <v>390</v>
      </c>
      <c r="AQ395" s="819" t="str">
        <f>IFERROR(VLOOKUP(E395,'liquidaciones '!$B$2:$C$1048576,2,0),"NO")</f>
        <v>LIQUIDADO</v>
      </c>
      <c r="AR395" s="909" t="str">
        <f>IFERROR(VLOOKUP(E395,'liquidaciones '!$B$2:$I$1048576,8,0),"")</f>
        <v>JULIETH ANGARITA</v>
      </c>
      <c r="AS395" s="312"/>
      <c r="AT395" s="156" t="str">
        <f t="shared" ca="1" si="80"/>
        <v>NO</v>
      </c>
      <c r="AU395" s="156" t="s">
        <v>1509</v>
      </c>
      <c r="AV395" s="406"/>
      <c r="AW395" s="928"/>
      <c r="AX395" s="928"/>
      <c r="AY395" s="928"/>
    </row>
    <row r="396" spans="2:51" ht="30.6" x14ac:dyDescent="0.3">
      <c r="C396" s="410">
        <v>126</v>
      </c>
      <c r="D396" s="410" t="str">
        <f t="shared" si="71"/>
        <v>2016126</v>
      </c>
      <c r="E396" s="120" t="s">
        <v>2449</v>
      </c>
      <c r="F396" s="834" t="s">
        <v>2450</v>
      </c>
      <c r="G396" s="874">
        <v>41758887</v>
      </c>
      <c r="H396" s="965" t="s">
        <v>2451</v>
      </c>
      <c r="I396" s="875">
        <v>44000000</v>
      </c>
      <c r="J396" s="685" t="s">
        <v>2449</v>
      </c>
      <c r="K396" s="269">
        <v>2016</v>
      </c>
      <c r="L396" s="519">
        <v>42506</v>
      </c>
      <c r="M396" s="270">
        <v>42510</v>
      </c>
      <c r="N396" s="270">
        <v>42755</v>
      </c>
      <c r="O396" s="1099" t="str">
        <f>IF(+Modificaciones!I396=0,"",VLOOKUP(E396,Modificaciones!$B$7:$I$2400,8,0))</f>
        <v/>
      </c>
      <c r="P396" s="115">
        <f>COUNTA(Modificaciones!J396,Modificaciones!L396,Modificaciones!N396,Modificaciones!P396)</f>
        <v>0</v>
      </c>
      <c r="Q396" s="116">
        <f>VLOOKUP(E396,Modificaciones!$B$7:$R$2300,17,0)</f>
        <v>0</v>
      </c>
      <c r="R396" s="117">
        <f>COUNTA(Modificaciones!T396,Modificaciones!V396,Modificaciones!X396,Modificaciones!Z396)</f>
        <v>0</v>
      </c>
      <c r="S396" s="118" t="str">
        <f>IF(Modificaciones!AA396=0,"",VLOOKUP(E396,Modificaciones!$B$7:$AA$2400,26,0))</f>
        <v/>
      </c>
      <c r="T396" s="119" t="str">
        <f>IF(Modificaciones!AB396=0,"",VLOOKUP(E396,Modificaciones!$B$7:$AB$400,27,0))</f>
        <v/>
      </c>
      <c r="U396" s="1080" t="str">
        <f>+Modificaciones!AC396</f>
        <v/>
      </c>
      <c r="V396" s="825" t="str">
        <f>+Modificaciones!AK396</f>
        <v/>
      </c>
      <c r="W396" s="825">
        <f t="shared" si="75"/>
        <v>42755</v>
      </c>
      <c r="X396" s="59">
        <f t="shared" si="73"/>
        <v>44000000</v>
      </c>
      <c r="Y396" s="151">
        <f>VLOOKUP(E396,Modificaciones!$B$7:$BE$2300,56,0)</f>
        <v>44000000</v>
      </c>
      <c r="Z396" s="84">
        <f t="shared" si="70"/>
        <v>0</v>
      </c>
      <c r="AA396" s="283" t="s">
        <v>1094</v>
      </c>
      <c r="AB396" s="40">
        <f t="shared" si="74"/>
        <v>1</v>
      </c>
      <c r="AC396" s="40">
        <f t="shared" ca="1" si="76"/>
        <v>1</v>
      </c>
      <c r="AD396" s="41">
        <f t="shared" ca="1" si="77"/>
        <v>0</v>
      </c>
      <c r="AE396" s="181" t="str">
        <f t="shared" ca="1" si="78"/>
        <v/>
      </c>
      <c r="AF396" s="42" t="str">
        <f t="shared" si="72"/>
        <v>SI</v>
      </c>
      <c r="AG396" s="732" t="s">
        <v>5773</v>
      </c>
      <c r="AH396" s="152" t="s">
        <v>1255</v>
      </c>
      <c r="AI396" s="255" t="s">
        <v>2056</v>
      </c>
      <c r="AJ396" s="152" t="s">
        <v>1176</v>
      </c>
      <c r="AK396" s="255" t="s">
        <v>559</v>
      </c>
      <c r="AL396" s="279" t="s">
        <v>2167</v>
      </c>
      <c r="AM396" s="279" t="s">
        <v>600</v>
      </c>
      <c r="AN396" s="161" t="str">
        <f t="shared" ca="1" si="79"/>
        <v>TERMINO</v>
      </c>
      <c r="AO396" s="284" t="s">
        <v>582</v>
      </c>
      <c r="AP396" s="155" t="s">
        <v>391</v>
      </c>
      <c r="AQ396" s="819" t="str">
        <f>IFERROR(VLOOKUP(E396,'liquidaciones '!$B$2:$C$1048576,2,0),"NO")</f>
        <v>LIQUIDADO</v>
      </c>
      <c r="AR396" s="909" t="str">
        <f>IFERROR(VLOOKUP(E396,'liquidaciones '!$B$2:$I$1048576,8,0),"")</f>
        <v>JAVIER QUINTERO</v>
      </c>
      <c r="AS396" s="312"/>
      <c r="AT396" s="156" t="str">
        <f t="shared" ca="1" si="80"/>
        <v>NO</v>
      </c>
      <c r="AU396" s="156" t="s">
        <v>2597</v>
      </c>
      <c r="AV396" s="406"/>
      <c r="AW396" s="928"/>
      <c r="AX396" s="928"/>
      <c r="AY396" s="928"/>
    </row>
    <row r="397" spans="2:51" ht="28.8" x14ac:dyDescent="0.3">
      <c r="C397" s="410">
        <v>210</v>
      </c>
      <c r="D397" s="410" t="str">
        <f t="shared" si="71"/>
        <v>2016210</v>
      </c>
      <c r="E397" s="120" t="s">
        <v>2455</v>
      </c>
      <c r="F397" s="254" t="s">
        <v>284</v>
      </c>
      <c r="G397" s="874">
        <v>830055842</v>
      </c>
      <c r="H397" s="965" t="s">
        <v>3008</v>
      </c>
      <c r="I397" s="875">
        <v>33009000</v>
      </c>
      <c r="J397" s="685" t="s">
        <v>2649</v>
      </c>
      <c r="K397" s="269">
        <v>2016</v>
      </c>
      <c r="L397" s="519">
        <v>42508</v>
      </c>
      <c r="M397" s="270">
        <v>42513</v>
      </c>
      <c r="N397" s="270">
        <v>42878</v>
      </c>
      <c r="O397" s="1099" t="str">
        <f>IF(+Modificaciones!I397=0,"",VLOOKUP(E397,Modificaciones!$B$7:$I$2400,8,0))</f>
        <v/>
      </c>
      <c r="P397" s="115">
        <f>COUNTA(Modificaciones!J397,Modificaciones!L397,Modificaciones!N397,Modificaciones!P397)</f>
        <v>0</v>
      </c>
      <c r="Q397" s="116">
        <f>VLOOKUP(E397,Modificaciones!$B$7:$R$2300,17,0)</f>
        <v>0</v>
      </c>
      <c r="R397" s="117">
        <f>COUNTA(Modificaciones!T397,Modificaciones!V397,Modificaciones!X397,Modificaciones!Z397)</f>
        <v>1</v>
      </c>
      <c r="S397" s="118" t="str">
        <f>IF(Modificaciones!AA397=0,"",VLOOKUP(E397,Modificaciones!$B$7:$AA$2400,26,0))</f>
        <v>20 días calendario</v>
      </c>
      <c r="T397" s="119">
        <f>IF(Modificaciones!AB397=0,"",VLOOKUP(E397,Modificaciones!$B$7:$AB$400,27,0))</f>
        <v>42898</v>
      </c>
      <c r="U397" s="1080" t="str">
        <f>+Modificaciones!AC397</f>
        <v/>
      </c>
      <c r="V397" s="825" t="str">
        <f>+Modificaciones!AK397</f>
        <v/>
      </c>
      <c r="W397" s="825">
        <f t="shared" si="75"/>
        <v>42898</v>
      </c>
      <c r="X397" s="59">
        <f t="shared" si="73"/>
        <v>33009000</v>
      </c>
      <c r="Y397" s="151">
        <f>VLOOKUP(E397,Modificaciones!$B$7:$BE$2300,56,0)</f>
        <v>31960796</v>
      </c>
      <c r="Z397" s="84">
        <f t="shared" si="70"/>
        <v>1048204</v>
      </c>
      <c r="AA397" s="283" t="s">
        <v>1864</v>
      </c>
      <c r="AB397" s="40">
        <f t="shared" si="74"/>
        <v>0.96824490290526821</v>
      </c>
      <c r="AC397" s="40">
        <f t="shared" ca="1" si="76"/>
        <v>1</v>
      </c>
      <c r="AD397" s="41">
        <f t="shared" ca="1" si="77"/>
        <v>3.1755097094731788E-2</v>
      </c>
      <c r="AE397" s="181" t="str">
        <f t="shared" ca="1" si="78"/>
        <v/>
      </c>
      <c r="AF397" s="42" t="str">
        <f t="shared" si="72"/>
        <v>NO</v>
      </c>
      <c r="AG397" s="1017" t="s">
        <v>4920</v>
      </c>
      <c r="AH397" s="152" t="s">
        <v>1255</v>
      </c>
      <c r="AI397" s="255" t="s">
        <v>1136</v>
      </c>
      <c r="AJ397" s="152" t="s">
        <v>1435</v>
      </c>
      <c r="AK397" s="255" t="s">
        <v>562</v>
      </c>
      <c r="AL397" s="153" t="s">
        <v>1384</v>
      </c>
      <c r="AM397" s="279" t="s">
        <v>600</v>
      </c>
      <c r="AN397" s="161" t="str">
        <f t="shared" ca="1" si="79"/>
        <v>TERMINO</v>
      </c>
      <c r="AO397" s="284" t="s">
        <v>575</v>
      </c>
      <c r="AP397" s="155" t="s">
        <v>390</v>
      </c>
      <c r="AQ397" s="819" t="str">
        <f>IFERROR(VLOOKUP(E397,'liquidaciones '!$B$2:$C$1048576,2,0),"NO")</f>
        <v>LIQUIDADO</v>
      </c>
      <c r="AR397" s="909" t="str">
        <f>IFERROR(VLOOKUP(E397,'liquidaciones '!$B$2:$I$1048576,8,0),"")</f>
        <v>MANUEL ROJAS</v>
      </c>
      <c r="AS397" s="312"/>
      <c r="AT397" s="156" t="str">
        <f t="shared" ca="1" si="80"/>
        <v>NO</v>
      </c>
      <c r="AU397" s="156" t="s">
        <v>2960</v>
      </c>
      <c r="AV397" s="406"/>
      <c r="AW397" s="928"/>
      <c r="AX397" s="928"/>
      <c r="AY397" s="928"/>
    </row>
    <row r="398" spans="2:51" ht="30.6" x14ac:dyDescent="0.3">
      <c r="C398" s="410">
        <v>82</v>
      </c>
      <c r="D398" s="410" t="str">
        <f t="shared" si="71"/>
        <v>201682</v>
      </c>
      <c r="E398" s="120" t="s">
        <v>2457</v>
      </c>
      <c r="F398" s="254" t="s">
        <v>1514</v>
      </c>
      <c r="G398" s="874">
        <v>80117116</v>
      </c>
      <c r="H398" s="965" t="s">
        <v>3009</v>
      </c>
      <c r="I398" s="875">
        <v>37080000</v>
      </c>
      <c r="J398" s="685" t="s">
        <v>2457</v>
      </c>
      <c r="K398" s="269">
        <v>2016</v>
      </c>
      <c r="L398" s="519">
        <v>42514</v>
      </c>
      <c r="M398" s="270">
        <v>42522</v>
      </c>
      <c r="N398" s="270">
        <v>42795</v>
      </c>
      <c r="O398" s="1099" t="str">
        <f>IF(+Modificaciones!I398=0,"",VLOOKUP(E398,Modificaciones!$B$7:$I$2400,8,0))</f>
        <v/>
      </c>
      <c r="P398" s="115">
        <f>COUNTA(Modificaciones!J398,Modificaciones!L398,Modificaciones!N398,Modificaciones!P398)</f>
        <v>0</v>
      </c>
      <c r="Q398" s="116">
        <f>VLOOKUP(E398,Modificaciones!$B$7:$R$2300,17,0)</f>
        <v>0</v>
      </c>
      <c r="R398" s="117">
        <f>COUNTA(Modificaciones!T398,Modificaciones!V398,Modificaciones!X398,Modificaciones!Z398)</f>
        <v>0</v>
      </c>
      <c r="S398" s="118" t="str">
        <f>IF(Modificaciones!AA398=0,"",VLOOKUP(E398,Modificaciones!$B$7:$AA$2400,26,0))</f>
        <v/>
      </c>
      <c r="T398" s="119" t="str">
        <f>IF(Modificaciones!AB398=0,"",VLOOKUP(E398,Modificaciones!$B$7:$AB$400,27,0))</f>
        <v/>
      </c>
      <c r="U398" s="1080" t="str">
        <f>+Modificaciones!AC398</f>
        <v/>
      </c>
      <c r="V398" s="825" t="str">
        <f>+Modificaciones!AK398</f>
        <v/>
      </c>
      <c r="W398" s="825">
        <f t="shared" si="75"/>
        <v>42795</v>
      </c>
      <c r="X398" s="59">
        <f t="shared" si="73"/>
        <v>37080000</v>
      </c>
      <c r="Y398" s="151">
        <f>VLOOKUP(E398,Modificaciones!$B$7:$BE$2300,56,0)</f>
        <v>37080000</v>
      </c>
      <c r="Z398" s="84">
        <f t="shared" si="70"/>
        <v>0</v>
      </c>
      <c r="AA398" s="283" t="s">
        <v>1094</v>
      </c>
      <c r="AB398" s="40">
        <f t="shared" si="74"/>
        <v>1</v>
      </c>
      <c r="AC398" s="40">
        <f t="shared" ca="1" si="76"/>
        <v>1</v>
      </c>
      <c r="AD398" s="41">
        <f t="shared" ca="1" si="77"/>
        <v>0</v>
      </c>
      <c r="AE398" s="181" t="str">
        <f t="shared" ca="1" si="78"/>
        <v/>
      </c>
      <c r="AF398" s="42" t="str">
        <f t="shared" si="72"/>
        <v>SI</v>
      </c>
      <c r="AG398" s="732" t="s">
        <v>5773</v>
      </c>
      <c r="AH398" s="152" t="s">
        <v>1255</v>
      </c>
      <c r="AI398" s="152" t="s">
        <v>2172</v>
      </c>
      <c r="AJ398" s="152" t="s">
        <v>1429</v>
      </c>
      <c r="AK398" s="255" t="s">
        <v>564</v>
      </c>
      <c r="AL398" s="279"/>
      <c r="AM398" s="279" t="s">
        <v>600</v>
      </c>
      <c r="AN398" s="161" t="str">
        <f t="shared" ca="1" si="79"/>
        <v>TERMINO</v>
      </c>
      <c r="AO398" s="160" t="s">
        <v>582</v>
      </c>
      <c r="AP398" s="155" t="s">
        <v>391</v>
      </c>
      <c r="AQ398" s="819" t="str">
        <f>IFERROR(VLOOKUP(E398,'liquidaciones '!$B$2:$C$1048576,2,0),"NO")</f>
        <v>LIQUIDADO</v>
      </c>
      <c r="AR398" s="909" t="str">
        <f>IFERROR(VLOOKUP(E398,'liquidaciones '!$B$2:$I$1048576,8,0),"")</f>
        <v>ANDREA CASAS</v>
      </c>
      <c r="AS398" s="312"/>
      <c r="AT398" s="156" t="str">
        <f t="shared" ca="1" si="80"/>
        <v>NO</v>
      </c>
      <c r="AU398" s="156" t="s">
        <v>981</v>
      </c>
      <c r="AV398" s="406"/>
      <c r="AW398" s="928"/>
      <c r="AX398" s="928"/>
      <c r="AY398" s="928"/>
    </row>
    <row r="399" spans="2:51" ht="40.799999999999997" x14ac:dyDescent="0.3">
      <c r="C399" s="410"/>
      <c r="D399" s="410" t="str">
        <f t="shared" si="71"/>
        <v>2016</v>
      </c>
      <c r="E399" s="120" t="s">
        <v>2459</v>
      </c>
      <c r="F399" s="834" t="s">
        <v>2460</v>
      </c>
      <c r="G399" s="874">
        <v>52963023</v>
      </c>
      <c r="H399" s="965" t="s">
        <v>2467</v>
      </c>
      <c r="I399" s="875">
        <v>43712000</v>
      </c>
      <c r="J399" s="685" t="s">
        <v>2462</v>
      </c>
      <c r="K399" s="269">
        <v>2016</v>
      </c>
      <c r="L399" s="519">
        <v>42521</v>
      </c>
      <c r="M399" s="270">
        <v>42523</v>
      </c>
      <c r="N399" s="270">
        <v>42768</v>
      </c>
      <c r="O399" s="1099" t="str">
        <f>IF(+Modificaciones!I399=0,"",VLOOKUP(E399,Modificaciones!$B$7:$I$2400,8,0))</f>
        <v/>
      </c>
      <c r="P399" s="115">
        <f>COUNTA(Modificaciones!J399,Modificaciones!L399,Modificaciones!N399,Modificaciones!P399)</f>
        <v>0</v>
      </c>
      <c r="Q399" s="116">
        <f>VLOOKUP(E399,Modificaciones!$B$7:$R$2300,17,0)</f>
        <v>0</v>
      </c>
      <c r="R399" s="117">
        <f>COUNTA(Modificaciones!T399,Modificaciones!V399,Modificaciones!X399,Modificaciones!Z399)</f>
        <v>0</v>
      </c>
      <c r="S399" s="118" t="str">
        <f>IF(Modificaciones!AA399=0,"",VLOOKUP(E399,Modificaciones!$B$7:$AA$2400,26,0))</f>
        <v/>
      </c>
      <c r="T399" s="119" t="str">
        <f>IF(Modificaciones!AB399=0,"",VLOOKUP(E399,Modificaciones!$B$7:$AB$2400,27,0))</f>
        <v/>
      </c>
      <c r="U399" s="1080" t="str">
        <f>+Modificaciones!AC399</f>
        <v/>
      </c>
      <c r="V399" s="825" t="str">
        <f>+Modificaciones!AK399</f>
        <v/>
      </c>
      <c r="W399" s="825">
        <f t="shared" si="75"/>
        <v>42768</v>
      </c>
      <c r="X399" s="59">
        <f t="shared" si="73"/>
        <v>43712000</v>
      </c>
      <c r="Y399" s="151">
        <f>VLOOKUP(E399,Modificaciones!$B$7:$BE$2300,56,0)</f>
        <v>43712000</v>
      </c>
      <c r="Z399" s="84">
        <f t="shared" si="70"/>
        <v>0</v>
      </c>
      <c r="AA399" s="283" t="s">
        <v>1094</v>
      </c>
      <c r="AB399" s="40">
        <f t="shared" si="74"/>
        <v>1</v>
      </c>
      <c r="AC399" s="40">
        <f t="shared" ca="1" si="76"/>
        <v>1</v>
      </c>
      <c r="AD399" s="41">
        <f t="shared" ca="1" si="77"/>
        <v>0</v>
      </c>
      <c r="AE399" s="181" t="str">
        <f t="shared" ca="1" si="78"/>
        <v/>
      </c>
      <c r="AF399" s="42" t="str">
        <f t="shared" si="72"/>
        <v>SI</v>
      </c>
      <c r="AG399" s="732" t="s">
        <v>5773</v>
      </c>
      <c r="AH399" s="152" t="s">
        <v>1255</v>
      </c>
      <c r="AI399" s="255" t="s">
        <v>2461</v>
      </c>
      <c r="AJ399" s="152" t="s">
        <v>1436</v>
      </c>
      <c r="AK399" s="255" t="s">
        <v>561</v>
      </c>
      <c r="AL399" s="279"/>
      <c r="AM399" s="279" t="s">
        <v>600</v>
      </c>
      <c r="AN399" s="161" t="str">
        <f t="shared" ca="1" si="79"/>
        <v>TERMINO</v>
      </c>
      <c r="AO399" s="160" t="s">
        <v>582</v>
      </c>
      <c r="AP399" s="155" t="s">
        <v>391</v>
      </c>
      <c r="AQ399" s="819" t="str">
        <f>IFERROR(VLOOKUP(E399,'liquidaciones '!$B$2:$C$1048576,2,0),"NO")</f>
        <v>LIQUIDADO</v>
      </c>
      <c r="AR399" s="909" t="str">
        <f>IFERROR(VLOOKUP(E399,'liquidaciones '!$B$2:$I$1048576,8,0),"")</f>
        <v>JAVIER QUINTERO</v>
      </c>
      <c r="AS399" s="312"/>
      <c r="AT399" s="156" t="str">
        <f t="shared" ca="1" si="80"/>
        <v>NO</v>
      </c>
      <c r="AU399" s="156" t="s">
        <v>2597</v>
      </c>
      <c r="AV399" s="406"/>
      <c r="AW399" s="928"/>
      <c r="AX399" s="928"/>
      <c r="AY399" s="928"/>
    </row>
    <row r="400" spans="2:51" ht="30.6" x14ac:dyDescent="0.3">
      <c r="C400" s="410">
        <v>83</v>
      </c>
      <c r="D400" s="410" t="str">
        <f t="shared" si="71"/>
        <v>201683</v>
      </c>
      <c r="E400" s="120" t="s">
        <v>2463</v>
      </c>
      <c r="F400" s="254" t="s">
        <v>1033</v>
      </c>
      <c r="G400" s="874">
        <v>79887061</v>
      </c>
      <c r="H400" s="965" t="s">
        <v>2464</v>
      </c>
      <c r="I400" s="875">
        <v>29664000</v>
      </c>
      <c r="J400" s="685" t="s">
        <v>2466</v>
      </c>
      <c r="K400" s="269">
        <v>2016</v>
      </c>
      <c r="L400" s="519">
        <v>42514</v>
      </c>
      <c r="M400" s="270">
        <v>42524</v>
      </c>
      <c r="N400" s="270">
        <v>42797</v>
      </c>
      <c r="O400" s="1099" t="str">
        <f>IF(+Modificaciones!I400=0,"",VLOOKUP(E400,Modificaciones!$B$7:$I$2400,8,0))</f>
        <v/>
      </c>
      <c r="P400" s="115">
        <f>COUNTA(Modificaciones!J400,Modificaciones!L400,Modificaciones!N400,Modificaciones!P400)</f>
        <v>0</v>
      </c>
      <c r="Q400" s="116">
        <f>VLOOKUP(E400,Modificaciones!$B$7:$R$2300,17,0)</f>
        <v>0</v>
      </c>
      <c r="R400" s="117">
        <f>COUNTA(Modificaciones!T400,Modificaciones!V400,Modificaciones!X400,Modificaciones!Z400)</f>
        <v>0</v>
      </c>
      <c r="S400" s="118" t="str">
        <f>IF(Modificaciones!AA400=0,"",VLOOKUP(E400,Modificaciones!$B$7:$AA$2400,26,0))</f>
        <v/>
      </c>
      <c r="T400" s="119" t="str">
        <f>IF(Modificaciones!AB400=0,"",VLOOKUP(E400,Modificaciones!$B$7:$AB$2400,27,0))</f>
        <v/>
      </c>
      <c r="U400" s="1080" t="str">
        <f>+Modificaciones!AC400</f>
        <v/>
      </c>
      <c r="V400" s="825" t="str">
        <f>+Modificaciones!AK400</f>
        <v/>
      </c>
      <c r="W400" s="825">
        <f t="shared" si="75"/>
        <v>42797</v>
      </c>
      <c r="X400" s="59">
        <f t="shared" si="73"/>
        <v>29664000</v>
      </c>
      <c r="Y400" s="151">
        <f>VLOOKUP(E400,Modificaciones!$B$7:$BE$2300,56,0)</f>
        <v>29664000</v>
      </c>
      <c r="Z400" s="84">
        <f t="shared" si="70"/>
        <v>0</v>
      </c>
      <c r="AA400" s="283" t="s">
        <v>1094</v>
      </c>
      <c r="AB400" s="40">
        <f t="shared" si="74"/>
        <v>1</v>
      </c>
      <c r="AC400" s="40">
        <f t="shared" ca="1" si="76"/>
        <v>1</v>
      </c>
      <c r="AD400" s="41">
        <f t="shared" ca="1" si="77"/>
        <v>0</v>
      </c>
      <c r="AE400" s="181" t="str">
        <f t="shared" ca="1" si="78"/>
        <v/>
      </c>
      <c r="AF400" s="42" t="str">
        <f t="shared" si="72"/>
        <v>SI</v>
      </c>
      <c r="AG400" s="732" t="s">
        <v>5773</v>
      </c>
      <c r="AH400" s="152" t="s">
        <v>1255</v>
      </c>
      <c r="AI400" s="152" t="s">
        <v>2177</v>
      </c>
      <c r="AJ400" s="152" t="s">
        <v>1438</v>
      </c>
      <c r="AK400" s="255" t="s">
        <v>560</v>
      </c>
      <c r="AL400" s="279" t="s">
        <v>1508</v>
      </c>
      <c r="AM400" s="279" t="s">
        <v>600</v>
      </c>
      <c r="AN400" s="161" t="str">
        <f t="shared" ca="1" si="79"/>
        <v>TERMINO</v>
      </c>
      <c r="AO400" s="160" t="s">
        <v>582</v>
      </c>
      <c r="AP400" s="155" t="s">
        <v>391</v>
      </c>
      <c r="AQ400" s="819" t="str">
        <f>IFERROR(VLOOKUP(E400,'liquidaciones '!$B$2:$C$1048576,2,0),"NO")</f>
        <v>LIQUIDADO</v>
      </c>
      <c r="AR400" s="909" t="str">
        <f>IFERROR(VLOOKUP(E400,'liquidaciones '!$B$2:$I$1048576,8,0),"")</f>
        <v>GIOVANNI SUAREZ</v>
      </c>
      <c r="AS400" s="312"/>
      <c r="AT400" s="156" t="str">
        <f t="shared" ca="1" si="80"/>
        <v>NO</v>
      </c>
      <c r="AU400" s="156" t="s">
        <v>981</v>
      </c>
      <c r="AV400" s="406"/>
      <c r="AW400" s="928"/>
      <c r="AX400" s="928"/>
      <c r="AY400" s="928"/>
    </row>
    <row r="401" spans="3:51" ht="28.8" x14ac:dyDescent="0.3">
      <c r="C401" s="410"/>
      <c r="D401" s="410" t="str">
        <f t="shared" si="71"/>
        <v>2016</v>
      </c>
      <c r="E401" s="120" t="s">
        <v>2465</v>
      </c>
      <c r="F401" s="254" t="s">
        <v>290</v>
      </c>
      <c r="G401" s="874">
        <v>811021363</v>
      </c>
      <c r="H401" s="965" t="s">
        <v>3010</v>
      </c>
      <c r="I401" s="875">
        <v>6239000</v>
      </c>
      <c r="J401" s="685" t="s">
        <v>2469</v>
      </c>
      <c r="K401" s="269">
        <v>2016</v>
      </c>
      <c r="L401" s="519">
        <v>42489</v>
      </c>
      <c r="M401" s="270">
        <v>42508</v>
      </c>
      <c r="N401" s="270">
        <v>42569</v>
      </c>
      <c r="O401" s="1099" t="str">
        <f>IF(+Modificaciones!I401=0,"",VLOOKUP(E401,Modificaciones!$B$7:$I$2400,8,0))</f>
        <v/>
      </c>
      <c r="P401" s="115">
        <f>COUNTA(Modificaciones!J401,Modificaciones!L401,Modificaciones!N401,Modificaciones!P401)</f>
        <v>0</v>
      </c>
      <c r="Q401" s="116">
        <f>VLOOKUP(E401,Modificaciones!$B$7:$R$2300,17,0)</f>
        <v>0</v>
      </c>
      <c r="R401" s="117">
        <f>COUNTA(Modificaciones!T401,Modificaciones!V401,Modificaciones!X401,Modificaciones!Z401)</f>
        <v>0</v>
      </c>
      <c r="S401" s="118" t="str">
        <f>IF(Modificaciones!AA401=0,"",VLOOKUP(E401,Modificaciones!$B$7:$AA$2400,26,0))</f>
        <v/>
      </c>
      <c r="T401" s="119" t="str">
        <f>IF(Modificaciones!AB401=0,"",VLOOKUP(E401,Modificaciones!$B$7:$AB$2400,27,0))</f>
        <v/>
      </c>
      <c r="U401" s="1080" t="str">
        <f>+Modificaciones!AC401</f>
        <v/>
      </c>
      <c r="V401" s="825" t="str">
        <f>+Modificaciones!AK401</f>
        <v/>
      </c>
      <c r="W401" s="825">
        <f t="shared" si="75"/>
        <v>42569</v>
      </c>
      <c r="X401" s="59">
        <f t="shared" si="73"/>
        <v>6239000</v>
      </c>
      <c r="Y401" s="151">
        <f>VLOOKUP(E401,Modificaciones!$B$7:$BE$2300,56,0)</f>
        <v>6238990</v>
      </c>
      <c r="Z401" s="84">
        <f t="shared" si="70"/>
        <v>10</v>
      </c>
      <c r="AA401" s="283" t="s">
        <v>1819</v>
      </c>
      <c r="AB401" s="40">
        <f t="shared" si="74"/>
        <v>0.99999839717903505</v>
      </c>
      <c r="AC401" s="40">
        <f t="shared" ca="1" si="76"/>
        <v>1</v>
      </c>
      <c r="AD401" s="41">
        <f t="shared" ca="1" si="77"/>
        <v>1.602820964952123E-6</v>
      </c>
      <c r="AE401" s="181" t="str">
        <f t="shared" ca="1" si="78"/>
        <v/>
      </c>
      <c r="AF401" s="42" t="s">
        <v>390</v>
      </c>
      <c r="AG401" s="732" t="s">
        <v>1711</v>
      </c>
      <c r="AH401" s="152" t="s">
        <v>1256</v>
      </c>
      <c r="AI401" s="255" t="s">
        <v>1310</v>
      </c>
      <c r="AJ401" s="152" t="s">
        <v>1438</v>
      </c>
      <c r="AK401" s="255" t="s">
        <v>560</v>
      </c>
      <c r="AL401" s="279" t="s">
        <v>1508</v>
      </c>
      <c r="AM401" s="279" t="s">
        <v>600</v>
      </c>
      <c r="AN401" s="161" t="str">
        <f t="shared" ca="1" si="79"/>
        <v>TERMINO</v>
      </c>
      <c r="AO401" s="284" t="s">
        <v>576</v>
      </c>
      <c r="AP401" s="155" t="s">
        <v>391</v>
      </c>
      <c r="AQ401" s="819" t="str">
        <f>IFERROR(VLOOKUP(E401,'liquidaciones '!$B$2:$C$1048576,2,0),"NO")</f>
        <v>LIQUIDADO</v>
      </c>
      <c r="AR401" s="909">
        <f>IFERROR(VLOOKUP(E401,'liquidaciones '!$B$2:$I$1048576,8,0),"")</f>
        <v>0</v>
      </c>
      <c r="AS401" s="312"/>
      <c r="AT401" s="156" t="str">
        <f t="shared" ca="1" si="80"/>
        <v>NO</v>
      </c>
      <c r="AU401" s="156" t="s">
        <v>2601</v>
      </c>
      <c r="AV401" s="406"/>
      <c r="AW401" s="928"/>
      <c r="AX401" s="928"/>
      <c r="AY401" s="928"/>
    </row>
    <row r="402" spans="3:51" ht="30.6" x14ac:dyDescent="0.3">
      <c r="C402" s="410">
        <v>143</v>
      </c>
      <c r="D402" s="410" t="str">
        <f t="shared" si="71"/>
        <v>2016143</v>
      </c>
      <c r="E402" s="120" t="s">
        <v>2468</v>
      </c>
      <c r="F402" s="254" t="s">
        <v>1869</v>
      </c>
      <c r="G402" s="874">
        <v>900587953</v>
      </c>
      <c r="H402" s="965" t="s">
        <v>3011</v>
      </c>
      <c r="I402" s="875">
        <v>2060000</v>
      </c>
      <c r="J402" s="685" t="s">
        <v>2470</v>
      </c>
      <c r="K402" s="269">
        <v>2016</v>
      </c>
      <c r="L402" s="519">
        <v>42528</v>
      </c>
      <c r="M402" s="270">
        <v>42541</v>
      </c>
      <c r="N402" s="270">
        <v>42786</v>
      </c>
      <c r="O402" s="1099" t="str">
        <f>IF(+Modificaciones!I402=0,"",VLOOKUP(E402,Modificaciones!$B$7:$I$2400,8,0))</f>
        <v/>
      </c>
      <c r="P402" s="115">
        <f>COUNTA(Modificaciones!J402,Modificaciones!L402,Modificaciones!N402,Modificaciones!P402)</f>
        <v>0</v>
      </c>
      <c r="Q402" s="116">
        <f>VLOOKUP(E402,Modificaciones!$B$7:$R$2300,17,0)</f>
        <v>0</v>
      </c>
      <c r="R402" s="117">
        <f>COUNTA(Modificaciones!T402,Modificaciones!V402,Modificaciones!X402,Modificaciones!Z402)</f>
        <v>1</v>
      </c>
      <c r="S402" s="118" t="str">
        <f>IF(Modificaciones!AA402=0,"",VLOOKUP(E402,Modificaciones!$B$7:$AA$2400,26,0))</f>
        <v>2 meses</v>
      </c>
      <c r="T402" s="119">
        <f>IF(Modificaciones!AB402=0,"",VLOOKUP(E402,Modificaciones!$B$7:$AB$2400,27,0))</f>
        <v>42845</v>
      </c>
      <c r="U402" s="1080" t="str">
        <f>+Modificaciones!AC402</f>
        <v/>
      </c>
      <c r="V402" s="825" t="str">
        <f>+Modificaciones!AK402</f>
        <v/>
      </c>
      <c r="W402" s="825">
        <f t="shared" si="75"/>
        <v>42845</v>
      </c>
      <c r="X402" s="59">
        <f t="shared" si="73"/>
        <v>2060000</v>
      </c>
      <c r="Y402" s="151">
        <f>VLOOKUP(E402,Modificaciones!$B$7:$BE$2300,56,0)</f>
        <v>1783200</v>
      </c>
      <c r="Z402" s="84">
        <f t="shared" si="70"/>
        <v>276800</v>
      </c>
      <c r="AA402" s="283" t="s">
        <v>1612</v>
      </c>
      <c r="AB402" s="40">
        <f t="shared" si="74"/>
        <v>0.86563106796116507</v>
      </c>
      <c r="AC402" s="40">
        <f t="shared" ca="1" si="76"/>
        <v>1</v>
      </c>
      <c r="AD402" s="41">
        <f t="shared" ca="1" si="77"/>
        <v>0.13436893203883493</v>
      </c>
      <c r="AE402" s="181" t="str">
        <f t="shared" ca="1" si="78"/>
        <v/>
      </c>
      <c r="AF402" s="42" t="str">
        <f t="shared" ref="AF402:AF433" si="81">IF(AB402&lt;=99.9%,"NO","SI")</f>
        <v>NO</v>
      </c>
      <c r="AG402" s="1017" t="s">
        <v>4920</v>
      </c>
      <c r="AH402" s="152" t="s">
        <v>1255</v>
      </c>
      <c r="AI402" s="255" t="s">
        <v>1382</v>
      </c>
      <c r="AJ402" s="152" t="s">
        <v>1441</v>
      </c>
      <c r="AK402" s="255" t="s">
        <v>560</v>
      </c>
      <c r="AL402" s="153" t="s">
        <v>1379</v>
      </c>
      <c r="AM402" s="279" t="s">
        <v>600</v>
      </c>
      <c r="AN402" s="161" t="str">
        <f t="shared" ca="1" si="79"/>
        <v>TERMINO</v>
      </c>
      <c r="AO402" s="160" t="s">
        <v>576</v>
      </c>
      <c r="AP402" s="155" t="s">
        <v>390</v>
      </c>
      <c r="AQ402" s="819" t="str">
        <f>IFERROR(VLOOKUP(E402,'liquidaciones '!$B$2:$C$1048576,2,0),"NO")</f>
        <v>LIQUIDADO</v>
      </c>
      <c r="AR402" s="909" t="str">
        <f>IFERROR(VLOOKUP(E402,'liquidaciones '!$B$2:$I$1048576,8,0),"")</f>
        <v>JUAN DIEGO ESPITIA</v>
      </c>
      <c r="AS402" s="312"/>
      <c r="AT402" s="156" t="str">
        <f t="shared" ca="1" si="80"/>
        <v>NO</v>
      </c>
      <c r="AU402" s="156" t="s">
        <v>2973</v>
      </c>
      <c r="AV402" s="406"/>
      <c r="AW402" s="928"/>
      <c r="AX402" s="928"/>
      <c r="AY402" s="928"/>
    </row>
    <row r="403" spans="3:51" ht="40.799999999999997" x14ac:dyDescent="0.3">
      <c r="C403" s="410">
        <v>219</v>
      </c>
      <c r="D403" s="410" t="str">
        <f t="shared" si="71"/>
        <v>2016219</v>
      </c>
      <c r="E403" s="120" t="s">
        <v>2472</v>
      </c>
      <c r="F403" s="254" t="s">
        <v>1024</v>
      </c>
      <c r="G403" s="874">
        <v>80199707</v>
      </c>
      <c r="H403" s="965" t="s">
        <v>3012</v>
      </c>
      <c r="I403" s="875">
        <v>19931000</v>
      </c>
      <c r="J403" s="685" t="s">
        <v>2471</v>
      </c>
      <c r="K403" s="269">
        <v>2016</v>
      </c>
      <c r="L403" s="519">
        <v>42517</v>
      </c>
      <c r="M403" s="270">
        <v>42529</v>
      </c>
      <c r="N403" s="270">
        <v>42774</v>
      </c>
      <c r="O403" s="1099" t="str">
        <f>IF(+Modificaciones!I403=0,"",VLOOKUP(E403,Modificaciones!$B$7:$I$2400,8,0))</f>
        <v/>
      </c>
      <c r="P403" s="115">
        <f>COUNTA(Modificaciones!J403,Modificaciones!L403,Modificaciones!N403,Modificaciones!P403)</f>
        <v>0</v>
      </c>
      <c r="Q403" s="116">
        <f>VLOOKUP(E403,Modificaciones!$B$7:$R$2300,17,0)</f>
        <v>0</v>
      </c>
      <c r="R403" s="117">
        <f>COUNTA(Modificaciones!T403,Modificaciones!V403,Modificaciones!X403,Modificaciones!Z403)</f>
        <v>1</v>
      </c>
      <c r="S403" s="118" t="str">
        <f>IF(Modificaciones!AA403=0,"",VLOOKUP(E403,Modificaciones!$B$7:$AA$2400,26,0))</f>
        <v>2 meses</v>
      </c>
      <c r="T403" s="119">
        <f>IF(Modificaciones!AB403=0,"",VLOOKUP(E403,Modificaciones!$B$7:$AB$2400,27,0))</f>
        <v>42833</v>
      </c>
      <c r="U403" s="1080" t="str">
        <f>+Modificaciones!AC403</f>
        <v/>
      </c>
      <c r="V403" s="825" t="str">
        <f>+Modificaciones!AK403</f>
        <v/>
      </c>
      <c r="W403" s="825">
        <f t="shared" si="75"/>
        <v>42833</v>
      </c>
      <c r="X403" s="59">
        <f t="shared" si="73"/>
        <v>19931000</v>
      </c>
      <c r="Y403" s="151">
        <f>VLOOKUP(E403,Modificaciones!$B$7:$BE$2300,56,0)</f>
        <v>19930801</v>
      </c>
      <c r="Z403" s="84">
        <f t="shared" si="70"/>
        <v>199</v>
      </c>
      <c r="AA403" s="283" t="s">
        <v>2989</v>
      </c>
      <c r="AB403" s="40">
        <f t="shared" si="74"/>
        <v>0.99999001555366007</v>
      </c>
      <c r="AC403" s="40">
        <f t="shared" ca="1" si="76"/>
        <v>1</v>
      </c>
      <c r="AD403" s="41">
        <f t="shared" ca="1" si="77"/>
        <v>9.9844463399278993E-6</v>
      </c>
      <c r="AE403" s="181" t="str">
        <f t="shared" ca="1" si="78"/>
        <v/>
      </c>
      <c r="AF403" s="42" t="str">
        <f t="shared" si="81"/>
        <v>SI</v>
      </c>
      <c r="AG403" s="1017" t="s">
        <v>4920</v>
      </c>
      <c r="AH403" s="152" t="s">
        <v>1255</v>
      </c>
      <c r="AI403" s="255" t="s">
        <v>1297</v>
      </c>
      <c r="AJ403" s="152" t="s">
        <v>1441</v>
      </c>
      <c r="AK403" s="255" t="s">
        <v>560</v>
      </c>
      <c r="AL403" s="153" t="s">
        <v>1379</v>
      </c>
      <c r="AM403" s="279" t="s">
        <v>600</v>
      </c>
      <c r="AN403" s="161" t="str">
        <f t="shared" ca="1" si="79"/>
        <v>TERMINO</v>
      </c>
      <c r="AO403" s="160" t="s">
        <v>576</v>
      </c>
      <c r="AP403" s="155" t="s">
        <v>390</v>
      </c>
      <c r="AQ403" s="819" t="str">
        <f>IFERROR(VLOOKUP(E403,'liquidaciones '!$B$2:$C$1048576,2,0),"NO")</f>
        <v>LIQUIDADO</v>
      </c>
      <c r="AR403" s="909" t="str">
        <f>IFERROR(VLOOKUP(E403,'liquidaciones '!$B$2:$I$1048576,8,0),"")</f>
        <v>MANUEL ROJAS</v>
      </c>
      <c r="AS403" s="312"/>
      <c r="AT403" s="156" t="str">
        <f t="shared" ca="1" si="80"/>
        <v>NO</v>
      </c>
      <c r="AU403" s="156" t="s">
        <v>981</v>
      </c>
      <c r="AV403" s="406"/>
      <c r="AW403" s="928"/>
      <c r="AX403" s="928"/>
      <c r="AY403" s="928"/>
    </row>
    <row r="404" spans="3:51" ht="71.400000000000006" x14ac:dyDescent="0.3">
      <c r="C404" s="410">
        <v>227</v>
      </c>
      <c r="D404" s="410" t="str">
        <f t="shared" si="71"/>
        <v>2016227</v>
      </c>
      <c r="E404" s="120" t="s">
        <v>2503</v>
      </c>
      <c r="F404" s="254" t="s">
        <v>2007</v>
      </c>
      <c r="G404" s="874" t="s">
        <v>2474</v>
      </c>
      <c r="H404" s="965" t="s">
        <v>3013</v>
      </c>
      <c r="I404" s="875">
        <v>108906000</v>
      </c>
      <c r="J404" s="685" t="s">
        <v>2473</v>
      </c>
      <c r="K404" s="269">
        <v>2016</v>
      </c>
      <c r="L404" s="519">
        <v>42523</v>
      </c>
      <c r="M404" s="270">
        <v>42531</v>
      </c>
      <c r="N404" s="270">
        <v>42835</v>
      </c>
      <c r="O404" s="1099" t="str">
        <f>IF(+Modificaciones!I404=0,"",VLOOKUP(E404,Modificaciones!$B$7:$I$2400,8,0))</f>
        <v/>
      </c>
      <c r="P404" s="115">
        <f>COUNTA(Modificaciones!J404,Modificaciones!L404,Modificaciones!N404,Modificaciones!P404)</f>
        <v>1</v>
      </c>
      <c r="Q404" s="116">
        <f>VLOOKUP(E404,Modificaciones!$B$7:$R$2300,17,0)</f>
        <v>40000000</v>
      </c>
      <c r="R404" s="117">
        <f>COUNTA(Modificaciones!T404,Modificaciones!V404,Modificaciones!X404,Modificaciones!Z404)</f>
        <v>2</v>
      </c>
      <c r="S404" s="118" t="str">
        <f>IF(Modificaciones!AA404=0,"",VLOOKUP(E404,Modificaciones!$B$7:$AA$2400,26,0))</f>
        <v>1 mes y 2 días calendario</v>
      </c>
      <c r="T404" s="119">
        <f>IF(Modificaciones!AB404=0,"",VLOOKUP(E404,Modificaciones!$B$7:$AB$2400,27,0))</f>
        <v>42867</v>
      </c>
      <c r="U404" s="1080" t="str">
        <f>+Modificaciones!AC404</f>
        <v/>
      </c>
      <c r="V404" s="825" t="str">
        <f>+Modificaciones!AK404</f>
        <v/>
      </c>
      <c r="W404" s="825">
        <f t="shared" si="75"/>
        <v>42867</v>
      </c>
      <c r="X404" s="59">
        <f t="shared" si="73"/>
        <v>148906000</v>
      </c>
      <c r="Y404" s="151">
        <f>VLOOKUP(E404,Modificaciones!$B$7:$BE$2300,56,0)</f>
        <v>148886910</v>
      </c>
      <c r="Z404" s="84">
        <f t="shared" si="70"/>
        <v>19090</v>
      </c>
      <c r="AA404" s="283" t="s">
        <v>2010</v>
      </c>
      <c r="AB404" s="40">
        <f t="shared" si="74"/>
        <v>0.99987179831571593</v>
      </c>
      <c r="AC404" s="40">
        <f t="shared" ca="1" si="76"/>
        <v>1</v>
      </c>
      <c r="AD404" s="41">
        <f t="shared" ca="1" si="77"/>
        <v>1.2820168428406831E-4</v>
      </c>
      <c r="AE404" s="181" t="str">
        <f t="shared" ca="1" si="78"/>
        <v/>
      </c>
      <c r="AF404" s="42" t="str">
        <f t="shared" si="81"/>
        <v>SI</v>
      </c>
      <c r="AG404" s="1017" t="s">
        <v>4920</v>
      </c>
      <c r="AH404" s="152" t="s">
        <v>1255</v>
      </c>
      <c r="AI404" s="255" t="s">
        <v>1300</v>
      </c>
      <c r="AJ404" s="152" t="s">
        <v>1434</v>
      </c>
      <c r="AK404" s="255" t="s">
        <v>560</v>
      </c>
      <c r="AL404" s="153" t="s">
        <v>1385</v>
      </c>
      <c r="AM404" s="279" t="s">
        <v>600</v>
      </c>
      <c r="AN404" s="161" t="str">
        <f t="shared" ca="1" si="79"/>
        <v>TERMINO</v>
      </c>
      <c r="AO404" s="284" t="s">
        <v>574</v>
      </c>
      <c r="AP404" s="155" t="s">
        <v>390</v>
      </c>
      <c r="AQ404" s="819" t="str">
        <f>IFERROR(VLOOKUP(E404,'liquidaciones '!$B$2:$C$1048576,2,0),"NO")</f>
        <v>LIQUIDADO</v>
      </c>
      <c r="AR404" s="909" t="str">
        <f>IFERROR(VLOOKUP(E404,'liquidaciones '!$B$2:$I$1048576,8,0),"")</f>
        <v>JULIETH ANGARITA</v>
      </c>
      <c r="AS404" s="312"/>
      <c r="AT404" s="156" t="str">
        <f t="shared" ca="1" si="80"/>
        <v>NO</v>
      </c>
      <c r="AU404" s="156" t="s">
        <v>981</v>
      </c>
      <c r="AV404" s="406"/>
      <c r="AW404" s="928"/>
      <c r="AX404" s="928"/>
      <c r="AY404" s="928"/>
    </row>
    <row r="405" spans="3:51" ht="40.799999999999997" x14ac:dyDescent="0.3">
      <c r="C405" s="410">
        <v>131</v>
      </c>
      <c r="D405" s="410" t="str">
        <f t="shared" si="71"/>
        <v>2016131</v>
      </c>
      <c r="E405" s="120" t="s">
        <v>2475</v>
      </c>
      <c r="F405" s="254" t="s">
        <v>1984</v>
      </c>
      <c r="G405" s="874">
        <v>1016042559</v>
      </c>
      <c r="H405" s="965" t="s">
        <v>3014</v>
      </c>
      <c r="I405" s="875">
        <v>14400000</v>
      </c>
      <c r="J405" s="685" t="s">
        <v>2475</v>
      </c>
      <c r="K405" s="269">
        <v>2016</v>
      </c>
      <c r="L405" s="519">
        <v>42531</v>
      </c>
      <c r="M405" s="270">
        <v>42535</v>
      </c>
      <c r="N405" s="270">
        <v>42780</v>
      </c>
      <c r="O405" s="1099" t="str">
        <f>IF(+Modificaciones!I405=0,"",VLOOKUP(E405,Modificaciones!$B$7:$I$2400,8,0))</f>
        <v/>
      </c>
      <c r="P405" s="115">
        <f>COUNTA(Modificaciones!J405,Modificaciones!L405,Modificaciones!N405,Modificaciones!P405)</f>
        <v>0</v>
      </c>
      <c r="Q405" s="116">
        <f>VLOOKUP(E405,Modificaciones!$B$7:$R$2300,17,0)</f>
        <v>0</v>
      </c>
      <c r="R405" s="117">
        <f>COUNTA(Modificaciones!T405,Modificaciones!V405,Modificaciones!X405,Modificaciones!Z405)</f>
        <v>0</v>
      </c>
      <c r="S405" s="118" t="str">
        <f>IF(Modificaciones!AA405=0,"",VLOOKUP(E405,Modificaciones!$B$7:$AA$2400,26,0))</f>
        <v/>
      </c>
      <c r="T405" s="119" t="str">
        <f>IF(Modificaciones!AB405=0,"",VLOOKUP(E405,Modificaciones!$B$7:$AB$2400,27,0))</f>
        <v/>
      </c>
      <c r="U405" s="1080" t="str">
        <f>+Modificaciones!AC405</f>
        <v/>
      </c>
      <c r="V405" s="825" t="str">
        <f>+Modificaciones!AK405</f>
        <v/>
      </c>
      <c r="W405" s="825">
        <f t="shared" si="75"/>
        <v>42780</v>
      </c>
      <c r="X405" s="59">
        <f t="shared" si="73"/>
        <v>14400000</v>
      </c>
      <c r="Y405" s="151">
        <f>VLOOKUP(E405,Modificaciones!$B$7:$BE$2300,56,0)</f>
        <v>14400000</v>
      </c>
      <c r="Z405" s="84">
        <f t="shared" si="70"/>
        <v>0</v>
      </c>
      <c r="AA405" s="283" t="s">
        <v>1094</v>
      </c>
      <c r="AB405" s="823">
        <f t="shared" si="74"/>
        <v>1</v>
      </c>
      <c r="AC405" s="40">
        <f t="shared" ca="1" si="76"/>
        <v>1</v>
      </c>
      <c r="AD405" s="41">
        <f t="shared" ca="1" si="77"/>
        <v>0</v>
      </c>
      <c r="AE405" s="181" t="str">
        <f t="shared" ca="1" si="78"/>
        <v/>
      </c>
      <c r="AF405" s="42" t="str">
        <f t="shared" si="81"/>
        <v>SI</v>
      </c>
      <c r="AG405" s="732" t="s">
        <v>5773</v>
      </c>
      <c r="AH405" s="152" t="s">
        <v>1255</v>
      </c>
      <c r="AI405" s="255" t="s">
        <v>2060</v>
      </c>
      <c r="AJ405" s="152" t="s">
        <v>1176</v>
      </c>
      <c r="AK405" s="255" t="s">
        <v>559</v>
      </c>
      <c r="AL405" s="279" t="s">
        <v>2167</v>
      </c>
      <c r="AM405" s="279" t="s">
        <v>600</v>
      </c>
      <c r="AN405" s="161" t="str">
        <f t="shared" ca="1" si="79"/>
        <v>TERMINO</v>
      </c>
      <c r="AO405" s="284" t="s">
        <v>582</v>
      </c>
      <c r="AP405" s="155" t="s">
        <v>391</v>
      </c>
      <c r="AQ405" s="819" t="str">
        <f>IFERROR(VLOOKUP(E405,'liquidaciones '!$B$2:$C$1048576,2,0),"NO")</f>
        <v>LIQUIDADO</v>
      </c>
      <c r="AR405" s="909" t="str">
        <f>IFERROR(VLOOKUP(E405,'liquidaciones '!$B$2:$I$1048576,8,0),"")</f>
        <v>EDWARD MORENO</v>
      </c>
      <c r="AS405" s="312"/>
      <c r="AT405" s="156" t="str">
        <f t="shared" ca="1" si="80"/>
        <v>NO</v>
      </c>
      <c r="AU405" s="156" t="s">
        <v>1509</v>
      </c>
      <c r="AV405" s="406"/>
      <c r="AW405" s="928"/>
      <c r="AX405" s="928"/>
      <c r="AY405" s="928"/>
    </row>
    <row r="406" spans="3:51" ht="40.799999999999997" x14ac:dyDescent="0.3">
      <c r="C406" s="410">
        <v>121</v>
      </c>
      <c r="D406" s="410" t="str">
        <f t="shared" si="71"/>
        <v>2016121</v>
      </c>
      <c r="E406" s="120" t="s">
        <v>2476</v>
      </c>
      <c r="F406" s="254" t="s">
        <v>2477</v>
      </c>
      <c r="G406" s="874">
        <v>52935693</v>
      </c>
      <c r="H406" s="965" t="s">
        <v>3015</v>
      </c>
      <c r="I406" s="875">
        <v>44000000</v>
      </c>
      <c r="J406" s="685" t="s">
        <v>2476</v>
      </c>
      <c r="K406" s="269">
        <v>2016</v>
      </c>
      <c r="L406" s="519">
        <v>42534</v>
      </c>
      <c r="M406" s="270">
        <v>42535</v>
      </c>
      <c r="N406" s="270">
        <v>42779</v>
      </c>
      <c r="O406" s="1099" t="str">
        <f>IF(+Modificaciones!I406=0,"",VLOOKUP(E406,Modificaciones!$B$7:$I$2400,8,0))</f>
        <v/>
      </c>
      <c r="P406" s="115">
        <f>COUNTA(Modificaciones!J406,Modificaciones!L406,Modificaciones!N406,Modificaciones!P406)</f>
        <v>0</v>
      </c>
      <c r="Q406" s="116">
        <f>VLOOKUP(E406,Modificaciones!$B$7:$R$2300,17,0)</f>
        <v>0</v>
      </c>
      <c r="R406" s="117">
        <f>COUNTA(Modificaciones!T406,Modificaciones!V406,Modificaciones!X406,Modificaciones!Z406)</f>
        <v>0</v>
      </c>
      <c r="S406" s="118" t="str">
        <f>IF(Modificaciones!AA406=0,"",VLOOKUP(E406,Modificaciones!$B$7:$AA$2400,26,0))</f>
        <v/>
      </c>
      <c r="T406" s="119" t="str">
        <f>IF(Modificaciones!AB406=0,"",VLOOKUP(E406,Modificaciones!$B$7:$AB$2400,27,0))</f>
        <v/>
      </c>
      <c r="U406" s="1080" t="str">
        <f>+Modificaciones!AC406</f>
        <v/>
      </c>
      <c r="V406" s="825" t="str">
        <f>+Modificaciones!AK406</f>
        <v/>
      </c>
      <c r="W406" s="825">
        <f t="shared" si="75"/>
        <v>42779</v>
      </c>
      <c r="X406" s="59">
        <f t="shared" si="73"/>
        <v>44000000</v>
      </c>
      <c r="Y406" s="151">
        <f>VLOOKUP(E406,Modificaciones!$B$7:$BE$2300,56,0)</f>
        <v>44000000</v>
      </c>
      <c r="Z406" s="84">
        <f t="shared" si="70"/>
        <v>0</v>
      </c>
      <c r="AA406" s="283" t="s">
        <v>1094</v>
      </c>
      <c r="AB406" s="823">
        <f t="shared" si="74"/>
        <v>1</v>
      </c>
      <c r="AC406" s="40">
        <f t="shared" ca="1" si="76"/>
        <v>1</v>
      </c>
      <c r="AD406" s="41">
        <f t="shared" ca="1" si="77"/>
        <v>0</v>
      </c>
      <c r="AE406" s="181" t="str">
        <f t="shared" ca="1" si="78"/>
        <v/>
      </c>
      <c r="AF406" s="42" t="str">
        <f t="shared" si="81"/>
        <v>SI</v>
      </c>
      <c r="AG406" s="732" t="s">
        <v>5773</v>
      </c>
      <c r="AH406" s="152" t="s">
        <v>1255</v>
      </c>
      <c r="AI406" s="152" t="s">
        <v>2173</v>
      </c>
      <c r="AJ406" s="152" t="s">
        <v>1176</v>
      </c>
      <c r="AK406" s="255" t="s">
        <v>559</v>
      </c>
      <c r="AL406" s="153"/>
      <c r="AM406" s="279" t="s">
        <v>600</v>
      </c>
      <c r="AN406" s="161" t="str">
        <f t="shared" ca="1" si="79"/>
        <v>TERMINO</v>
      </c>
      <c r="AO406" s="160" t="s">
        <v>582</v>
      </c>
      <c r="AP406" s="155" t="s">
        <v>391</v>
      </c>
      <c r="AQ406" s="819" t="str">
        <f>IFERROR(VLOOKUP(E406,'liquidaciones '!$B$2:$C$1048576,2,0),"NO")</f>
        <v>LIQUIDADO</v>
      </c>
      <c r="AR406" s="909" t="str">
        <f>IFERROR(VLOOKUP(E406,'liquidaciones '!$B$2:$I$1048576,8,0),"")</f>
        <v>JAVIER QUINTERO</v>
      </c>
      <c r="AS406" s="312"/>
      <c r="AT406" s="156" t="str">
        <f t="shared" ca="1" si="80"/>
        <v>NO</v>
      </c>
      <c r="AU406" s="156" t="s">
        <v>2597</v>
      </c>
      <c r="AV406" s="406"/>
      <c r="AW406" s="928"/>
      <c r="AX406" s="928"/>
      <c r="AY406" s="928"/>
    </row>
    <row r="407" spans="3:51" ht="56.25" customHeight="1" x14ac:dyDescent="0.3">
      <c r="C407" s="410"/>
      <c r="D407" s="410"/>
      <c r="E407" s="120" t="s">
        <v>2478</v>
      </c>
      <c r="F407" s="254" t="s">
        <v>22</v>
      </c>
      <c r="G407" s="874">
        <v>830112518</v>
      </c>
      <c r="H407" s="965" t="s">
        <v>1158</v>
      </c>
      <c r="I407" s="875">
        <v>45008000</v>
      </c>
      <c r="J407" s="685" t="s">
        <v>2478</v>
      </c>
      <c r="K407" s="269">
        <v>2016</v>
      </c>
      <c r="L407" s="519">
        <v>42487</v>
      </c>
      <c r="M407" s="270">
        <v>42502</v>
      </c>
      <c r="N407" s="270">
        <v>42867</v>
      </c>
      <c r="O407" s="1099" t="str">
        <f>IF(+Modificaciones!I407=0,"",VLOOKUP(E407,Modificaciones!$B$7:$I$2400,8,0))</f>
        <v/>
      </c>
      <c r="P407" s="115">
        <f>COUNTA(Modificaciones!J407,Modificaciones!L407,Modificaciones!N407,Modificaciones!P407)</f>
        <v>0</v>
      </c>
      <c r="Q407" s="116">
        <f>VLOOKUP(E407,Modificaciones!$B$7:$R$2300,17,0)</f>
        <v>0</v>
      </c>
      <c r="R407" s="117">
        <f>COUNTA(Modificaciones!T407,Modificaciones!V407,Modificaciones!X407,Modificaciones!Z407)</f>
        <v>0</v>
      </c>
      <c r="S407" s="118" t="str">
        <f>IF(Modificaciones!AA407=0,"",VLOOKUP(E407,Modificaciones!$B$7:$AA$2400,26,0))</f>
        <v/>
      </c>
      <c r="T407" s="119" t="str">
        <f>IF(Modificaciones!AB407=0,"",VLOOKUP(E407,Modificaciones!$B$7:$AB$2400,27,0))</f>
        <v/>
      </c>
      <c r="U407" s="1080" t="str">
        <f>+Modificaciones!AC407</f>
        <v/>
      </c>
      <c r="V407" s="825" t="str">
        <f>+Modificaciones!AK407</f>
        <v/>
      </c>
      <c r="W407" s="825">
        <f t="shared" si="75"/>
        <v>42867</v>
      </c>
      <c r="X407" s="59">
        <f t="shared" si="73"/>
        <v>45008000</v>
      </c>
      <c r="Y407" s="151">
        <f>VLOOKUP(E407,Modificaciones!$B$7:$BE$2300,56,0)</f>
        <v>45008000</v>
      </c>
      <c r="Z407" s="84">
        <f t="shared" si="70"/>
        <v>0</v>
      </c>
      <c r="AA407" s="288" t="s">
        <v>2479</v>
      </c>
      <c r="AB407" s="823">
        <f t="shared" si="74"/>
        <v>1</v>
      </c>
      <c r="AC407" s="40">
        <f t="shared" ca="1" si="76"/>
        <v>1</v>
      </c>
      <c r="AD407" s="41">
        <f t="shared" ca="1" si="77"/>
        <v>0</v>
      </c>
      <c r="AE407" s="181" t="str">
        <f t="shared" ca="1" si="78"/>
        <v/>
      </c>
      <c r="AF407" s="42" t="str">
        <f t="shared" si="81"/>
        <v>SI</v>
      </c>
      <c r="AG407" s="732"/>
      <c r="AH407" s="152" t="s">
        <v>1256</v>
      </c>
      <c r="AI407" s="152" t="s">
        <v>1173</v>
      </c>
      <c r="AJ407" s="152" t="s">
        <v>1438</v>
      </c>
      <c r="AK407" s="255" t="s">
        <v>560</v>
      </c>
      <c r="AL407" s="153" t="s">
        <v>1508</v>
      </c>
      <c r="AM407" s="279" t="s">
        <v>600</v>
      </c>
      <c r="AN407" s="161" t="str">
        <f t="shared" ca="1" si="79"/>
        <v>TERMINO</v>
      </c>
      <c r="AO407" s="160" t="s">
        <v>582</v>
      </c>
      <c r="AP407" s="155" t="s">
        <v>390</v>
      </c>
      <c r="AQ407" s="819" t="str">
        <f>IFERROR(VLOOKUP(E407,'liquidaciones '!$B$2:$C$1048576,2,0),"NO")</f>
        <v>LIQUIDADO</v>
      </c>
      <c r="AR407" s="909" t="str">
        <f>IFERROR(VLOOKUP(E407,'liquidaciones '!$B$2:$I$1048576,8,0),"")</f>
        <v>GIOVANNI SUAREZ</v>
      </c>
      <c r="AS407" s="312"/>
      <c r="AT407" s="156" t="str">
        <f t="shared" ca="1" si="80"/>
        <v>NO</v>
      </c>
      <c r="AU407" s="156" t="s">
        <v>2902</v>
      </c>
      <c r="AV407" s="406"/>
      <c r="AW407" s="928"/>
      <c r="AX407" s="928"/>
      <c r="AY407" s="928"/>
    </row>
    <row r="408" spans="3:51" ht="45" customHeight="1" x14ac:dyDescent="0.3">
      <c r="C408" s="410">
        <v>120</v>
      </c>
      <c r="D408" s="410"/>
      <c r="E408" s="120" t="s">
        <v>2480</v>
      </c>
      <c r="F408" s="254" t="s">
        <v>2481</v>
      </c>
      <c r="G408" s="874">
        <v>1136882557</v>
      </c>
      <c r="H408" s="965" t="s">
        <v>2482</v>
      </c>
      <c r="I408" s="875">
        <v>19600000</v>
      </c>
      <c r="J408" s="685" t="s">
        <v>2480</v>
      </c>
      <c r="K408" s="269">
        <v>2016</v>
      </c>
      <c r="L408" s="519">
        <v>42536</v>
      </c>
      <c r="M408" s="270">
        <v>42541</v>
      </c>
      <c r="N408" s="270">
        <v>42786</v>
      </c>
      <c r="O408" s="1099" t="str">
        <f>IF(+Modificaciones!I408=0,"",VLOOKUP(E408,Modificaciones!$B$7:$I$2400,8,0))</f>
        <v/>
      </c>
      <c r="P408" s="115">
        <f>COUNTA(Modificaciones!J408,Modificaciones!L408,Modificaciones!N408,Modificaciones!P408)</f>
        <v>0</v>
      </c>
      <c r="Q408" s="116">
        <f>VLOOKUP(E408,Modificaciones!$B$7:$R$2300,17,0)</f>
        <v>0</v>
      </c>
      <c r="R408" s="117">
        <f>COUNTA(Modificaciones!T408,Modificaciones!V408,Modificaciones!X408,Modificaciones!Z408)</f>
        <v>0</v>
      </c>
      <c r="S408" s="118" t="str">
        <f>IF(Modificaciones!AA408=0,"",VLOOKUP(E408,Modificaciones!$B$7:$AA$2400,26,0))</f>
        <v/>
      </c>
      <c r="T408" s="119" t="str">
        <f>IF(Modificaciones!AB408=0,"",VLOOKUP(E408,Modificaciones!$B$7:$AB$2400,27,0))</f>
        <v/>
      </c>
      <c r="U408" s="1080" t="str">
        <f>+Modificaciones!AC408</f>
        <v/>
      </c>
      <c r="V408" s="825" t="str">
        <f>+Modificaciones!AK408</f>
        <v/>
      </c>
      <c r="W408" s="825">
        <f t="shared" si="75"/>
        <v>42786</v>
      </c>
      <c r="X408" s="59">
        <f t="shared" si="73"/>
        <v>19600000</v>
      </c>
      <c r="Y408" s="151">
        <f>VLOOKUP(E408,Modificaciones!$B$7:$BE$2300,56,0)</f>
        <v>19600000</v>
      </c>
      <c r="Z408" s="84">
        <f t="shared" si="70"/>
        <v>0</v>
      </c>
      <c r="AA408" s="283" t="s">
        <v>1094</v>
      </c>
      <c r="AB408" s="823">
        <f t="shared" si="74"/>
        <v>1</v>
      </c>
      <c r="AC408" s="40">
        <f t="shared" ca="1" si="76"/>
        <v>1</v>
      </c>
      <c r="AD408" s="41">
        <f t="shared" ca="1" si="77"/>
        <v>0</v>
      </c>
      <c r="AE408" s="181" t="str">
        <f t="shared" ca="1" si="78"/>
        <v/>
      </c>
      <c r="AF408" s="42" t="str">
        <f t="shared" si="81"/>
        <v>SI</v>
      </c>
      <c r="AG408" s="732" t="s">
        <v>5773</v>
      </c>
      <c r="AH408" s="152" t="s">
        <v>1255</v>
      </c>
      <c r="AI408" s="152" t="s">
        <v>2178</v>
      </c>
      <c r="AJ408" s="152" t="s">
        <v>1176</v>
      </c>
      <c r="AK408" s="255" t="s">
        <v>559</v>
      </c>
      <c r="AL408" s="153"/>
      <c r="AM408" s="279" t="s">
        <v>600</v>
      </c>
      <c r="AN408" s="161" t="str">
        <f t="shared" ca="1" si="79"/>
        <v>TERMINO</v>
      </c>
      <c r="AO408" s="284" t="s">
        <v>582</v>
      </c>
      <c r="AP408" s="155" t="s">
        <v>391</v>
      </c>
      <c r="AQ408" s="819" t="str">
        <f>IFERROR(VLOOKUP(E408,'liquidaciones '!$B$2:$C$1048576,2,0),"NO")</f>
        <v>LIQUIDADO</v>
      </c>
      <c r="AR408" s="909" t="str">
        <f>IFERROR(VLOOKUP(E408,'liquidaciones '!$B$2:$I$1048576,8,0),"")</f>
        <v>MANUEL ROJAS</v>
      </c>
      <c r="AS408" s="312"/>
      <c r="AT408" s="156" t="str">
        <f t="shared" ca="1" si="80"/>
        <v>NO</v>
      </c>
      <c r="AU408" s="156" t="s">
        <v>1509</v>
      </c>
      <c r="AV408" s="406"/>
      <c r="AW408" s="928"/>
      <c r="AX408" s="928"/>
      <c r="AY408" s="928"/>
    </row>
    <row r="409" spans="3:51" ht="40.799999999999997" x14ac:dyDescent="0.3">
      <c r="C409" s="410">
        <v>263</v>
      </c>
      <c r="D409" s="410" t="str">
        <f>K409&amp;C409</f>
        <v>2016263</v>
      </c>
      <c r="E409" s="120" t="s">
        <v>2483</v>
      </c>
      <c r="F409" s="254" t="s">
        <v>2484</v>
      </c>
      <c r="G409" s="874">
        <v>79646061</v>
      </c>
      <c r="H409" s="965" t="s">
        <v>3016</v>
      </c>
      <c r="I409" s="875">
        <v>44000000</v>
      </c>
      <c r="J409" s="685" t="s">
        <v>2489</v>
      </c>
      <c r="K409" s="269">
        <v>2016</v>
      </c>
      <c r="L409" s="519">
        <v>42538</v>
      </c>
      <c r="M409" s="270">
        <v>42543</v>
      </c>
      <c r="N409" s="270">
        <v>42788</v>
      </c>
      <c r="O409" s="1099" t="str">
        <f>IF(+Modificaciones!I409=0,"",VLOOKUP(E409,Modificaciones!$B$7:$I$2400,8,0))</f>
        <v/>
      </c>
      <c r="P409" s="115">
        <f>COUNTA(Modificaciones!J409,Modificaciones!L409,Modificaciones!N409,Modificaciones!P409)</f>
        <v>0</v>
      </c>
      <c r="Q409" s="116">
        <f>VLOOKUP(E409,Modificaciones!$B$7:$R$2300,17,0)</f>
        <v>0</v>
      </c>
      <c r="R409" s="117">
        <f>COUNTA(Modificaciones!T409,Modificaciones!V409,Modificaciones!X409,Modificaciones!Z409)</f>
        <v>0</v>
      </c>
      <c r="S409" s="118" t="str">
        <f>IF(Modificaciones!AA409=0,"",VLOOKUP(E409,Modificaciones!$B$7:$AA$2400,26,0))</f>
        <v/>
      </c>
      <c r="T409" s="119" t="str">
        <f>IF(Modificaciones!AB409=0,"",VLOOKUP(E409,Modificaciones!$B$7:$AB$2400,27,0))</f>
        <v/>
      </c>
      <c r="U409" s="1080" t="str">
        <f>+Modificaciones!AC409</f>
        <v/>
      </c>
      <c r="V409" s="825" t="str">
        <f>+Modificaciones!AK409</f>
        <v/>
      </c>
      <c r="W409" s="825">
        <f t="shared" si="75"/>
        <v>42788</v>
      </c>
      <c r="X409" s="59">
        <f t="shared" si="73"/>
        <v>44000000</v>
      </c>
      <c r="Y409" s="151">
        <f>VLOOKUP(E409,Modificaciones!$B$7:$BE$2300,56,0)</f>
        <v>44000000</v>
      </c>
      <c r="Z409" s="84">
        <f t="shared" si="70"/>
        <v>0</v>
      </c>
      <c r="AA409" s="283" t="s">
        <v>1094</v>
      </c>
      <c r="AB409" s="823">
        <f t="shared" si="74"/>
        <v>1</v>
      </c>
      <c r="AC409" s="40">
        <f t="shared" ca="1" si="76"/>
        <v>1</v>
      </c>
      <c r="AD409" s="41">
        <f t="shared" ca="1" si="77"/>
        <v>0</v>
      </c>
      <c r="AE409" s="181" t="str">
        <f t="shared" ca="1" si="78"/>
        <v/>
      </c>
      <c r="AF409" s="42" t="str">
        <f t="shared" si="81"/>
        <v>SI</v>
      </c>
      <c r="AG409" s="732" t="s">
        <v>5773</v>
      </c>
      <c r="AH409" s="152" t="s">
        <v>1255</v>
      </c>
      <c r="AI409" s="152" t="s">
        <v>2485</v>
      </c>
      <c r="AJ409" s="152"/>
      <c r="AK409" s="255" t="s">
        <v>562</v>
      </c>
      <c r="AL409" s="279"/>
      <c r="AM409" s="279" t="s">
        <v>600</v>
      </c>
      <c r="AN409" s="161" t="str">
        <f t="shared" ca="1" si="79"/>
        <v>TERMINO</v>
      </c>
      <c r="AO409" s="284" t="s">
        <v>582</v>
      </c>
      <c r="AP409" s="155" t="s">
        <v>391</v>
      </c>
      <c r="AQ409" s="819" t="str">
        <f>IFERROR(VLOOKUP(E409,'liquidaciones '!$B$2:$C$1048576,2,0),"NO")</f>
        <v>LIQUIDADO</v>
      </c>
      <c r="AR409" s="909" t="str">
        <f>IFERROR(VLOOKUP(E409,'liquidaciones '!$B$2:$I$1048576,8,0),"")</f>
        <v>JAVIER QUINTERO</v>
      </c>
      <c r="AS409" s="312"/>
      <c r="AT409" s="156" t="str">
        <f t="shared" ca="1" si="80"/>
        <v>NO</v>
      </c>
      <c r="AU409" s="156" t="s">
        <v>2597</v>
      </c>
      <c r="AV409" s="406"/>
      <c r="AW409" s="928"/>
      <c r="AX409" s="928"/>
      <c r="AY409" s="928"/>
    </row>
    <row r="410" spans="3:51" ht="40.799999999999997" x14ac:dyDescent="0.3">
      <c r="C410" s="410">
        <v>265</v>
      </c>
      <c r="D410" s="410" t="str">
        <f>K410&amp;C410</f>
        <v>2016265</v>
      </c>
      <c r="E410" s="120" t="s">
        <v>2486</v>
      </c>
      <c r="F410" s="254" t="s">
        <v>2641</v>
      </c>
      <c r="G410" s="874">
        <v>52499785</v>
      </c>
      <c r="H410" s="965" t="s">
        <v>2487</v>
      </c>
      <c r="I410" s="875">
        <v>44000000</v>
      </c>
      <c r="J410" s="685" t="s">
        <v>2486</v>
      </c>
      <c r="K410" s="269">
        <v>2016</v>
      </c>
      <c r="L410" s="519">
        <v>42538</v>
      </c>
      <c r="M410" s="270">
        <v>42542</v>
      </c>
      <c r="N410" s="270">
        <v>42787</v>
      </c>
      <c r="O410" s="1099" t="str">
        <f>IF(+Modificaciones!I410=0,"",VLOOKUP(E410,Modificaciones!$B$7:$I$2400,8,0))</f>
        <v/>
      </c>
      <c r="P410" s="115">
        <f>COUNTA(Modificaciones!J410,Modificaciones!L410,Modificaciones!N410,Modificaciones!P410)</f>
        <v>0</v>
      </c>
      <c r="Q410" s="116">
        <f>VLOOKUP(E410,Modificaciones!$B$7:$R$2300,17,0)</f>
        <v>0</v>
      </c>
      <c r="R410" s="117">
        <f>COUNTA(Modificaciones!T410,Modificaciones!V410,Modificaciones!X410,Modificaciones!Z410)</f>
        <v>0</v>
      </c>
      <c r="S410" s="118" t="str">
        <f>IF(Modificaciones!AA410=0,"",VLOOKUP(E410,Modificaciones!$B$7:$AA$2400,26,0))</f>
        <v/>
      </c>
      <c r="T410" s="119" t="str">
        <f>IF(Modificaciones!AB410=0,"",VLOOKUP(E410,Modificaciones!$B$7:$AB$2400,27,0))</f>
        <v/>
      </c>
      <c r="U410" s="1080" t="str">
        <f>+Modificaciones!AC410</f>
        <v/>
      </c>
      <c r="V410" s="825" t="str">
        <f>+Modificaciones!AK410</f>
        <v/>
      </c>
      <c r="W410" s="825">
        <f t="shared" si="75"/>
        <v>42787</v>
      </c>
      <c r="X410" s="59">
        <f t="shared" si="73"/>
        <v>44000000</v>
      </c>
      <c r="Y410" s="151">
        <f>VLOOKUP(E410,Modificaciones!$B$7:$BE$2300,56,0)</f>
        <v>44000000</v>
      </c>
      <c r="Z410" s="84">
        <f t="shared" si="70"/>
        <v>0</v>
      </c>
      <c r="AA410" s="283" t="s">
        <v>1094</v>
      </c>
      <c r="AB410" s="823">
        <f t="shared" si="74"/>
        <v>1</v>
      </c>
      <c r="AC410" s="40">
        <f t="shared" ca="1" si="76"/>
        <v>1</v>
      </c>
      <c r="AD410" s="41">
        <f t="shared" ca="1" si="77"/>
        <v>0</v>
      </c>
      <c r="AE410" s="181" t="str">
        <f t="shared" ca="1" si="78"/>
        <v/>
      </c>
      <c r="AF410" s="42" t="str">
        <f t="shared" si="81"/>
        <v>SI</v>
      </c>
      <c r="AG410" s="732" t="s">
        <v>5773</v>
      </c>
      <c r="AH410" s="152" t="s">
        <v>1255</v>
      </c>
      <c r="AI410" s="152" t="s">
        <v>2488</v>
      </c>
      <c r="AJ410" s="152"/>
      <c r="AL410" s="279"/>
      <c r="AM410" s="279" t="s">
        <v>600</v>
      </c>
      <c r="AN410" s="161" t="str">
        <f t="shared" ca="1" si="79"/>
        <v>TERMINO</v>
      </c>
      <c r="AO410" s="284" t="s">
        <v>582</v>
      </c>
      <c r="AP410" s="155" t="s">
        <v>391</v>
      </c>
      <c r="AQ410" s="819" t="str">
        <f>IFERROR(VLOOKUP(E410,'liquidaciones '!$B$2:$C$1048576,2,0),"NO")</f>
        <v>LIQUIDADO</v>
      </c>
      <c r="AR410" s="909" t="str">
        <f>IFERROR(VLOOKUP(E410,'liquidaciones '!$B$2:$I$1048576,8,0),"")</f>
        <v>ANDREA CASAS</v>
      </c>
      <c r="AS410" s="312"/>
      <c r="AT410" s="156" t="str">
        <f t="shared" ca="1" si="80"/>
        <v>NO</v>
      </c>
      <c r="AU410" s="156" t="s">
        <v>981</v>
      </c>
      <c r="AV410" s="406"/>
      <c r="AW410" s="928"/>
      <c r="AX410" s="928"/>
      <c r="AY410" s="928"/>
    </row>
    <row r="411" spans="3:51" ht="30.6" x14ac:dyDescent="0.3">
      <c r="C411" s="410">
        <v>127</v>
      </c>
      <c r="D411" s="410"/>
      <c r="E411" s="120" t="s">
        <v>2490</v>
      </c>
      <c r="F411" s="254" t="s">
        <v>2717</v>
      </c>
      <c r="G411" s="874">
        <v>32853319</v>
      </c>
      <c r="H411" s="965" t="s">
        <v>3017</v>
      </c>
      <c r="I411" s="875">
        <v>44000000</v>
      </c>
      <c r="J411" s="685" t="s">
        <v>2490</v>
      </c>
      <c r="K411" s="269">
        <v>2016</v>
      </c>
      <c r="L411" s="519">
        <v>42538</v>
      </c>
      <c r="M411" s="270">
        <v>42542</v>
      </c>
      <c r="N411" s="270">
        <v>42787</v>
      </c>
      <c r="O411" s="1099" t="str">
        <f>IF(+Modificaciones!I411=0,"",VLOOKUP(E411,Modificaciones!$B$7:$I$2400,8,0))</f>
        <v/>
      </c>
      <c r="P411" s="115">
        <f>COUNTA(Modificaciones!J411,Modificaciones!L411,Modificaciones!N411,Modificaciones!P411)</f>
        <v>0</v>
      </c>
      <c r="Q411" s="116">
        <f>VLOOKUP(E411,Modificaciones!$B$7:$R$2300,17,0)</f>
        <v>0</v>
      </c>
      <c r="R411" s="117">
        <f>COUNTA(Modificaciones!T411,Modificaciones!V411,Modificaciones!X411,Modificaciones!Z411)</f>
        <v>0</v>
      </c>
      <c r="S411" s="118" t="str">
        <f>IF(Modificaciones!AA411=0,"",VLOOKUP(E411,Modificaciones!$B$7:$AA$2400,26,0))</f>
        <v/>
      </c>
      <c r="T411" s="119" t="str">
        <f>IF(Modificaciones!AB411=0,"",VLOOKUP(E411,Modificaciones!$B$7:$AB$2400,27,0))</f>
        <v/>
      </c>
      <c r="U411" s="1080" t="str">
        <f>+Modificaciones!AC411</f>
        <v/>
      </c>
      <c r="V411" s="825" t="str">
        <f>+Modificaciones!AK411</f>
        <v/>
      </c>
      <c r="W411" s="825">
        <f t="shared" si="75"/>
        <v>42787</v>
      </c>
      <c r="X411" s="59">
        <f t="shared" si="73"/>
        <v>44000000</v>
      </c>
      <c r="Y411" s="151">
        <f>VLOOKUP(E411,Modificaciones!$B$7:$BE$2300,56,0)</f>
        <v>44000000</v>
      </c>
      <c r="Z411" s="84">
        <f t="shared" si="70"/>
        <v>0</v>
      </c>
      <c r="AA411" s="283" t="s">
        <v>1094</v>
      </c>
      <c r="AB411" s="823">
        <f t="shared" si="74"/>
        <v>1</v>
      </c>
      <c r="AC411" s="40">
        <f t="shared" ca="1" si="76"/>
        <v>1</v>
      </c>
      <c r="AD411" s="41">
        <f t="shared" ca="1" si="77"/>
        <v>0</v>
      </c>
      <c r="AE411" s="181" t="str">
        <f t="shared" ca="1" si="78"/>
        <v/>
      </c>
      <c r="AF411" s="42" t="str">
        <f t="shared" si="81"/>
        <v>SI</v>
      </c>
      <c r="AG411" s="732" t="s">
        <v>5773</v>
      </c>
      <c r="AH411" s="152" t="s">
        <v>1255</v>
      </c>
      <c r="AI411" s="152" t="s">
        <v>2491</v>
      </c>
      <c r="AJ411" s="152" t="s">
        <v>2498</v>
      </c>
      <c r="AK411" s="255" t="s">
        <v>4612</v>
      </c>
      <c r="AL411" s="279"/>
      <c r="AM411" s="279" t="s">
        <v>600</v>
      </c>
      <c r="AN411" s="161" t="str">
        <f t="shared" ca="1" si="79"/>
        <v>TERMINO</v>
      </c>
      <c r="AO411" s="284" t="s">
        <v>582</v>
      </c>
      <c r="AP411" s="155" t="s">
        <v>391</v>
      </c>
      <c r="AQ411" s="819" t="str">
        <f>IFERROR(VLOOKUP(E411,'liquidaciones '!$B$2:$C$1048576,2,0),"NO")</f>
        <v>LIQUIDADO</v>
      </c>
      <c r="AR411" s="909" t="str">
        <f>IFERROR(VLOOKUP(E411,'liquidaciones '!$B$2:$I$1048576,8,0),"")</f>
        <v>EDWARD MORENO</v>
      </c>
      <c r="AS411" s="312"/>
      <c r="AT411" s="156" t="str">
        <f t="shared" ca="1" si="80"/>
        <v>NO</v>
      </c>
      <c r="AU411" s="156" t="s">
        <v>1509</v>
      </c>
      <c r="AV411" s="406"/>
      <c r="AW411" s="928"/>
      <c r="AX411" s="928"/>
      <c r="AY411" s="928"/>
    </row>
    <row r="412" spans="3:51" ht="30.6" x14ac:dyDescent="0.3">
      <c r="C412" s="410">
        <v>264</v>
      </c>
      <c r="D412" s="410"/>
      <c r="E412" s="120" t="s">
        <v>2492</v>
      </c>
      <c r="F412" s="254" t="s">
        <v>2493</v>
      </c>
      <c r="G412" s="874">
        <v>63548489</v>
      </c>
      <c r="H412" s="965" t="s">
        <v>3018</v>
      </c>
      <c r="I412" s="875">
        <v>44000000</v>
      </c>
      <c r="J412" s="685" t="s">
        <v>2492</v>
      </c>
      <c r="K412" s="269">
        <v>2016</v>
      </c>
      <c r="L412" s="519">
        <v>42542</v>
      </c>
      <c r="M412" s="270">
        <v>42545</v>
      </c>
      <c r="N412" s="270">
        <v>42790</v>
      </c>
      <c r="O412" s="1099" t="str">
        <f>IF(+Modificaciones!I412=0,"",VLOOKUP(E412,Modificaciones!$B$7:$I$2400,8,0))</f>
        <v/>
      </c>
      <c r="P412" s="115">
        <f>COUNTA(Modificaciones!J412,Modificaciones!L412,Modificaciones!N412,Modificaciones!P412)</f>
        <v>0</v>
      </c>
      <c r="Q412" s="116">
        <f>VLOOKUP(E412,Modificaciones!$B$7:$R$2300,17,0)</f>
        <v>0</v>
      </c>
      <c r="R412" s="117">
        <f>COUNTA(Modificaciones!T412,Modificaciones!V412,Modificaciones!X412,Modificaciones!Z412)</f>
        <v>0</v>
      </c>
      <c r="S412" s="118" t="str">
        <f>IF(Modificaciones!AA412=0,"",VLOOKUP(E412,Modificaciones!$B$7:$AA$2400,26,0))</f>
        <v/>
      </c>
      <c r="T412" s="119" t="str">
        <f>IF(Modificaciones!AB412=0,"",VLOOKUP(E412,Modificaciones!$B$7:$AB$2400,27,0))</f>
        <v/>
      </c>
      <c r="U412" s="1080" t="str">
        <f>+Modificaciones!AC412</f>
        <v/>
      </c>
      <c r="V412" s="825" t="str">
        <f>+Modificaciones!AK412</f>
        <v/>
      </c>
      <c r="W412" s="825">
        <f t="shared" si="75"/>
        <v>42790</v>
      </c>
      <c r="X412" s="59">
        <f t="shared" si="73"/>
        <v>44000000</v>
      </c>
      <c r="Y412" s="151">
        <f>VLOOKUP(E412,Modificaciones!$B$7:$BE$2300,56,0)</f>
        <v>44000000</v>
      </c>
      <c r="Z412" s="84">
        <f t="shared" si="70"/>
        <v>0</v>
      </c>
      <c r="AA412" s="283" t="s">
        <v>1094</v>
      </c>
      <c r="AB412" s="823">
        <f t="shared" si="74"/>
        <v>1</v>
      </c>
      <c r="AC412" s="40">
        <f t="shared" ca="1" si="76"/>
        <v>1</v>
      </c>
      <c r="AD412" s="41">
        <f t="shared" ca="1" si="77"/>
        <v>0</v>
      </c>
      <c r="AE412" s="181" t="str">
        <f t="shared" ca="1" si="78"/>
        <v/>
      </c>
      <c r="AF412" s="42" t="str">
        <f t="shared" si="81"/>
        <v>SI</v>
      </c>
      <c r="AG412" s="732" t="s">
        <v>5773</v>
      </c>
      <c r="AH412" s="152" t="s">
        <v>1255</v>
      </c>
      <c r="AI412" s="152" t="s">
        <v>2494</v>
      </c>
      <c r="AJ412" s="152" t="s">
        <v>1429</v>
      </c>
      <c r="AK412" s="255" t="s">
        <v>564</v>
      </c>
      <c r="AL412" s="279"/>
      <c r="AM412" s="279" t="s">
        <v>600</v>
      </c>
      <c r="AN412" s="161" t="str">
        <f t="shared" ca="1" si="79"/>
        <v>TERMINO</v>
      </c>
      <c r="AO412" s="284" t="s">
        <v>582</v>
      </c>
      <c r="AP412" s="155" t="s">
        <v>391</v>
      </c>
      <c r="AQ412" s="819" t="str">
        <f>IFERROR(VLOOKUP(E412,'liquidaciones '!$B$2:$C$1048576,2,0),"NO")</f>
        <v>LIQUIDADO</v>
      </c>
      <c r="AR412" s="909" t="str">
        <f>IFERROR(VLOOKUP(E412,'liquidaciones '!$B$2:$I$1048576,8,0),"")</f>
        <v>EDWARD MORENO</v>
      </c>
      <c r="AS412" s="312"/>
      <c r="AT412" s="156" t="str">
        <f t="shared" ca="1" si="80"/>
        <v>NO</v>
      </c>
      <c r="AU412" s="156" t="s">
        <v>981</v>
      </c>
      <c r="AV412" s="406"/>
      <c r="AW412" s="928"/>
      <c r="AX412" s="928"/>
      <c r="AY412" s="928"/>
    </row>
    <row r="413" spans="3:51" ht="28.5" customHeight="1" x14ac:dyDescent="0.3">
      <c r="C413" s="410"/>
      <c r="D413" s="410"/>
      <c r="E413" s="120" t="s">
        <v>2495</v>
      </c>
      <c r="F413" s="254" t="s">
        <v>203</v>
      </c>
      <c r="G413" s="874">
        <v>860049921</v>
      </c>
      <c r="H413" s="965" t="s">
        <v>3019</v>
      </c>
      <c r="I413" s="875">
        <v>5086020</v>
      </c>
      <c r="J413" s="685" t="s">
        <v>2495</v>
      </c>
      <c r="K413" s="269">
        <v>2016</v>
      </c>
      <c r="L413" s="519">
        <v>42535</v>
      </c>
      <c r="M413" s="270">
        <v>42570</v>
      </c>
      <c r="N413" s="270">
        <v>42693</v>
      </c>
      <c r="O413" s="1099" t="str">
        <f>IF(+Modificaciones!I413=0,"",VLOOKUP(E413,Modificaciones!$B$7:$I$2400,8,0))</f>
        <v/>
      </c>
      <c r="P413" s="115">
        <f>COUNTA(Modificaciones!J413,Modificaciones!L413,Modificaciones!N413,Modificaciones!P413)</f>
        <v>0</v>
      </c>
      <c r="Q413" s="116">
        <f>VLOOKUP(E413,Modificaciones!$B$7:$R$2300,17,0)</f>
        <v>0</v>
      </c>
      <c r="R413" s="117">
        <f>COUNTA(Modificaciones!T413,Modificaciones!V413,Modificaciones!X413,Modificaciones!Z413)</f>
        <v>0</v>
      </c>
      <c r="S413" s="118" t="str">
        <f>IF(Modificaciones!AA413=0,"",VLOOKUP(E413,Modificaciones!$B$7:$AA$2400,26,0))</f>
        <v/>
      </c>
      <c r="T413" s="119" t="str">
        <f>IF(Modificaciones!AB413=0,"",VLOOKUP(E413,Modificaciones!$B$7:$AB$2400,27,0))</f>
        <v/>
      </c>
      <c r="U413" s="1080" t="str">
        <f>+Modificaciones!AC413</f>
        <v/>
      </c>
      <c r="V413" s="825" t="str">
        <f>+Modificaciones!AK413</f>
        <v/>
      </c>
      <c r="W413" s="825">
        <f t="shared" si="75"/>
        <v>42693</v>
      </c>
      <c r="X413" s="59">
        <f t="shared" si="73"/>
        <v>5086020</v>
      </c>
      <c r="Y413" s="151">
        <f>VLOOKUP(E413,Modificaciones!$B$7:$BE$2300,56,0)</f>
        <v>5086020</v>
      </c>
      <c r="Z413" s="84">
        <f t="shared" si="70"/>
        <v>0</v>
      </c>
      <c r="AA413" s="283" t="s">
        <v>1865</v>
      </c>
      <c r="AB413" s="823">
        <f t="shared" si="74"/>
        <v>1</v>
      </c>
      <c r="AC413" s="40">
        <f t="shared" ca="1" si="76"/>
        <v>1</v>
      </c>
      <c r="AD413" s="41">
        <f t="shared" ca="1" si="77"/>
        <v>0</v>
      </c>
      <c r="AE413" s="181" t="str">
        <f t="shared" ca="1" si="78"/>
        <v/>
      </c>
      <c r="AF413" s="42" t="str">
        <f t="shared" si="81"/>
        <v>SI</v>
      </c>
      <c r="AG413" s="1017" t="s">
        <v>4920</v>
      </c>
      <c r="AH413" s="152" t="s">
        <v>1255</v>
      </c>
      <c r="AI413" s="275" t="s">
        <v>1349</v>
      </c>
      <c r="AJ413" s="152" t="s">
        <v>1430</v>
      </c>
      <c r="AK413" s="255" t="s">
        <v>563</v>
      </c>
      <c r="AL413" s="279"/>
      <c r="AM413" s="279" t="s">
        <v>600</v>
      </c>
      <c r="AN413" s="161" t="str">
        <f t="shared" ca="1" si="79"/>
        <v>TERMINO</v>
      </c>
      <c r="AO413" s="160" t="s">
        <v>582</v>
      </c>
      <c r="AP413" s="155" t="s">
        <v>390</v>
      </c>
      <c r="AQ413" s="819" t="str">
        <f>IFERROR(VLOOKUP(E413,'liquidaciones '!$B$2:$C$1048576,2,0),"NO")</f>
        <v>LIQUIDADO</v>
      </c>
      <c r="AR413" s="909" t="str">
        <f>IFERROR(VLOOKUP(E413,'liquidaciones '!$B$2:$I$1048576,8,0),"")</f>
        <v>JULIETH ANGARITA</v>
      </c>
      <c r="AS413" s="312"/>
      <c r="AT413" s="156" t="str">
        <f t="shared" ca="1" si="80"/>
        <v>NO</v>
      </c>
      <c r="AU413" s="156" t="s">
        <v>2598</v>
      </c>
      <c r="AV413" s="406"/>
      <c r="AW413" s="928"/>
      <c r="AX413" s="928"/>
      <c r="AY413" s="928"/>
    </row>
    <row r="414" spans="3:51" ht="61.2" x14ac:dyDescent="0.3">
      <c r="C414" s="410">
        <v>262</v>
      </c>
      <c r="D414" s="410"/>
      <c r="E414" s="120" t="s">
        <v>2496</v>
      </c>
      <c r="F414" s="254" t="s">
        <v>2497</v>
      </c>
      <c r="G414" s="874">
        <v>79951750</v>
      </c>
      <c r="H414" s="965" t="s">
        <v>2932</v>
      </c>
      <c r="I414" s="875">
        <v>36000000</v>
      </c>
      <c r="J414" s="685" t="s">
        <v>2496</v>
      </c>
      <c r="K414" s="269">
        <v>2016</v>
      </c>
      <c r="L414" s="519">
        <v>42541</v>
      </c>
      <c r="M414" s="270">
        <v>42545</v>
      </c>
      <c r="N414" s="270">
        <v>42790</v>
      </c>
      <c r="O414" s="1099" t="str">
        <f>IF(+Modificaciones!I414=0,"",VLOOKUP(E414,Modificaciones!$B$7:$I$2400,8,0))</f>
        <v/>
      </c>
      <c r="P414" s="115">
        <f>COUNTA(Modificaciones!J414,Modificaciones!L414,Modificaciones!N414,Modificaciones!P414)</f>
        <v>0</v>
      </c>
      <c r="Q414" s="116">
        <f>VLOOKUP(E414,Modificaciones!$B$7:$R$2300,17,0)</f>
        <v>0</v>
      </c>
      <c r="R414" s="117">
        <f>COUNTA(Modificaciones!T414,Modificaciones!V414,Modificaciones!X414,Modificaciones!Z414)</f>
        <v>0</v>
      </c>
      <c r="S414" s="118" t="str">
        <f>IF(Modificaciones!AA414=0,"",VLOOKUP(E414,Modificaciones!$B$7:$AA$2400,26,0))</f>
        <v/>
      </c>
      <c r="T414" s="119" t="str">
        <f>IF(Modificaciones!AB414=0,"",VLOOKUP(E414,Modificaciones!$B$7:$AB$2400,27,0))</f>
        <v/>
      </c>
      <c r="U414" s="1080" t="str">
        <f>+Modificaciones!AC414</f>
        <v/>
      </c>
      <c r="V414" s="825" t="str">
        <f>+Modificaciones!AK414</f>
        <v/>
      </c>
      <c r="W414" s="825">
        <f t="shared" si="75"/>
        <v>42790</v>
      </c>
      <c r="X414" s="59">
        <f t="shared" si="73"/>
        <v>36000000</v>
      </c>
      <c r="Y414" s="151">
        <f>VLOOKUP(E414,Modificaciones!$B$7:$BE$2300,56,0)</f>
        <v>36000000</v>
      </c>
      <c r="Z414" s="84">
        <f t="shared" si="70"/>
        <v>0</v>
      </c>
      <c r="AA414" s="283" t="s">
        <v>1094</v>
      </c>
      <c r="AB414" s="823">
        <f t="shared" si="74"/>
        <v>1</v>
      </c>
      <c r="AC414" s="40">
        <f t="shared" ca="1" si="76"/>
        <v>1</v>
      </c>
      <c r="AD414" s="41">
        <f t="shared" ca="1" si="77"/>
        <v>0</v>
      </c>
      <c r="AE414" s="181" t="str">
        <f t="shared" ca="1" si="78"/>
        <v/>
      </c>
      <c r="AF414" s="42" t="str">
        <f t="shared" si="81"/>
        <v>SI</v>
      </c>
      <c r="AG414" s="732" t="s">
        <v>5773</v>
      </c>
      <c r="AH414" s="152" t="s">
        <v>1255</v>
      </c>
      <c r="AI414" s="152" t="s">
        <v>2588</v>
      </c>
      <c r="AJ414" s="152" t="s">
        <v>1176</v>
      </c>
      <c r="AK414" s="255" t="s">
        <v>559</v>
      </c>
      <c r="AL414" s="279"/>
      <c r="AM414" s="279" t="s">
        <v>600</v>
      </c>
      <c r="AN414" s="161" t="str">
        <f t="shared" ca="1" si="79"/>
        <v>TERMINO</v>
      </c>
      <c r="AO414" s="160" t="s">
        <v>582</v>
      </c>
      <c r="AP414" s="155" t="s">
        <v>391</v>
      </c>
      <c r="AQ414" s="819" t="str">
        <f>IFERROR(VLOOKUP(E414,'liquidaciones '!$B$2:$C$1048576,2,0),"NO")</f>
        <v>LIQUIDADO</v>
      </c>
      <c r="AR414" s="909" t="str">
        <f>IFERROR(VLOOKUP(E414,'liquidaciones '!$B$2:$I$1048576,8,0),"")</f>
        <v>JAVIER QUINTERO</v>
      </c>
      <c r="AS414" s="312"/>
      <c r="AT414" s="156" t="str">
        <f t="shared" ca="1" si="80"/>
        <v>NO</v>
      </c>
      <c r="AU414" s="156" t="s">
        <v>2597</v>
      </c>
      <c r="AV414" s="406"/>
      <c r="AW414" s="928"/>
      <c r="AX414" s="928"/>
      <c r="AY414" s="928"/>
    </row>
    <row r="415" spans="3:51" ht="69" customHeight="1" x14ac:dyDescent="0.3">
      <c r="C415" s="410">
        <v>215</v>
      </c>
      <c r="D415" s="410"/>
      <c r="E415" s="120" t="s">
        <v>2499</v>
      </c>
      <c r="F415" s="254" t="s">
        <v>1016</v>
      </c>
      <c r="G415" s="874" t="s">
        <v>2863</v>
      </c>
      <c r="H415" s="965" t="s">
        <v>3020</v>
      </c>
      <c r="I415" s="875">
        <v>8110000</v>
      </c>
      <c r="J415" s="685" t="s">
        <v>2509</v>
      </c>
      <c r="K415" s="269">
        <v>2016</v>
      </c>
      <c r="L415" s="519">
        <v>42541</v>
      </c>
      <c r="M415" s="270">
        <v>42551</v>
      </c>
      <c r="N415" s="270">
        <v>42734</v>
      </c>
      <c r="O415" s="1099" t="str">
        <f>IF(+Modificaciones!I415=0,"",VLOOKUP(E415,Modificaciones!$B$7:$I$2400,8,0))</f>
        <v/>
      </c>
      <c r="P415" s="115">
        <f>COUNTA(Modificaciones!J415,Modificaciones!L415,Modificaciones!N415,Modificaciones!P415)</f>
        <v>0</v>
      </c>
      <c r="Q415" s="116">
        <f>VLOOKUP(E415,Modificaciones!$B$7:$R$2300,17,0)</f>
        <v>0</v>
      </c>
      <c r="R415" s="117">
        <f>COUNTA(Modificaciones!T415,Modificaciones!V415,Modificaciones!X415,Modificaciones!Z415)</f>
        <v>1</v>
      </c>
      <c r="S415" s="118" t="str">
        <f>IF(Modificaciones!AA415=0,"",VLOOKUP(E415,Modificaciones!$B$7:$AA$2400,26,0))</f>
        <v>3 meses</v>
      </c>
      <c r="T415" s="119">
        <f>IF(Modificaciones!AB415=0,"",VLOOKUP(E415,Modificaciones!$B$7:$AB$2400,27,0))</f>
        <v>42824</v>
      </c>
      <c r="U415" s="1080" t="str">
        <f>+Modificaciones!AC415</f>
        <v/>
      </c>
      <c r="V415" s="825" t="str">
        <f>+Modificaciones!AK415</f>
        <v/>
      </c>
      <c r="W415" s="825">
        <f t="shared" si="75"/>
        <v>42824</v>
      </c>
      <c r="X415" s="59">
        <f t="shared" si="73"/>
        <v>8110000</v>
      </c>
      <c r="Y415" s="151">
        <f>VLOOKUP(E415,Modificaciones!$B$7:$BE$2300,56,0)</f>
        <v>7877300</v>
      </c>
      <c r="Z415" s="84">
        <f t="shared" si="70"/>
        <v>232700</v>
      </c>
      <c r="AA415" s="288" t="s">
        <v>1231</v>
      </c>
      <c r="AB415" s="823">
        <f t="shared" si="74"/>
        <v>0.97130702836004934</v>
      </c>
      <c r="AC415" s="40">
        <f t="shared" ca="1" si="76"/>
        <v>1</v>
      </c>
      <c r="AD415" s="41">
        <f t="shared" ca="1" si="77"/>
        <v>2.869297163995066E-2</v>
      </c>
      <c r="AE415" s="181" t="str">
        <f t="shared" ca="1" si="78"/>
        <v/>
      </c>
      <c r="AF415" s="42" t="str">
        <f t="shared" si="81"/>
        <v>NO</v>
      </c>
      <c r="AG415" s="1017" t="s">
        <v>4920</v>
      </c>
      <c r="AH415" s="152" t="s">
        <v>1255</v>
      </c>
      <c r="AI415" s="275" t="s">
        <v>1143</v>
      </c>
      <c r="AJ415" s="152" t="s">
        <v>1441</v>
      </c>
      <c r="AK415" s="255" t="s">
        <v>560</v>
      </c>
      <c r="AL415" s="153" t="s">
        <v>1379</v>
      </c>
      <c r="AM415" s="279" t="s">
        <v>600</v>
      </c>
      <c r="AN415" s="161" t="str">
        <f t="shared" ca="1" si="79"/>
        <v>TERMINO</v>
      </c>
      <c r="AO415" s="284" t="s">
        <v>576</v>
      </c>
      <c r="AP415" s="155" t="s">
        <v>390</v>
      </c>
      <c r="AQ415" s="819" t="str">
        <f>IFERROR(VLOOKUP(E415,'liquidaciones '!$B$2:$C$1048576,2,0),"NO")</f>
        <v>LIQUIDADO</v>
      </c>
      <c r="AR415" s="909" t="str">
        <f>IFERROR(VLOOKUP(E415,'liquidaciones '!$B$2:$I$1048576,8,0),"")</f>
        <v>MANUEL ROJAS</v>
      </c>
      <c r="AS415" s="312"/>
      <c r="AT415" s="156" t="str">
        <f t="shared" ca="1" si="80"/>
        <v>NO</v>
      </c>
      <c r="AU415" s="156" t="s">
        <v>2597</v>
      </c>
      <c r="AV415" s="406"/>
      <c r="AW415" s="928"/>
      <c r="AX415" s="928"/>
      <c r="AY415" s="928"/>
    </row>
    <row r="416" spans="3:51" ht="40.799999999999997" x14ac:dyDescent="0.3">
      <c r="C416" s="410">
        <v>261</v>
      </c>
      <c r="D416" s="410"/>
      <c r="E416" s="120" t="s">
        <v>2500</v>
      </c>
      <c r="F416" s="254" t="s">
        <v>1964</v>
      </c>
      <c r="G416" s="874">
        <v>51647190</v>
      </c>
      <c r="H416" s="965" t="s">
        <v>2501</v>
      </c>
      <c r="I416" s="875">
        <v>44000000</v>
      </c>
      <c r="J416" s="685" t="s">
        <v>2500</v>
      </c>
      <c r="K416" s="269">
        <v>2016</v>
      </c>
      <c r="L416" s="519">
        <v>42544</v>
      </c>
      <c r="M416" s="270">
        <v>42548</v>
      </c>
      <c r="N416" s="270">
        <v>42793</v>
      </c>
      <c r="O416" s="1099" t="str">
        <f>IF(+Modificaciones!I416=0,"",VLOOKUP(E416,Modificaciones!$B$7:$I$2400,8,0))</f>
        <v/>
      </c>
      <c r="P416" s="115">
        <f>COUNTA(Modificaciones!J416,Modificaciones!L416,Modificaciones!N416,Modificaciones!P416)</f>
        <v>0</v>
      </c>
      <c r="Q416" s="116">
        <f>VLOOKUP(E416,Modificaciones!$B$7:$R$2300,17,0)</f>
        <v>0</v>
      </c>
      <c r="R416" s="117">
        <f>COUNTA(Modificaciones!T416,Modificaciones!V416,Modificaciones!X416,Modificaciones!Z416)</f>
        <v>0</v>
      </c>
      <c r="S416" s="118" t="str">
        <f>IF(Modificaciones!AA416=0,"",VLOOKUP(E416,Modificaciones!$B$7:$AA$2400,26,0))</f>
        <v/>
      </c>
      <c r="T416" s="119" t="str">
        <f>IF(Modificaciones!AB416=0,"",VLOOKUP(E416,Modificaciones!$B$7:$AB$2400,27,0))</f>
        <v/>
      </c>
      <c r="U416" s="1080" t="str">
        <f>+Modificaciones!AC416</f>
        <v/>
      </c>
      <c r="V416" s="825" t="str">
        <f>+Modificaciones!AK416</f>
        <v/>
      </c>
      <c r="W416" s="825">
        <f t="shared" si="75"/>
        <v>42793</v>
      </c>
      <c r="X416" s="59">
        <f t="shared" si="73"/>
        <v>44000000</v>
      </c>
      <c r="Y416" s="151">
        <f>VLOOKUP(E416,Modificaciones!$B$7:$BE$2300,56,0)</f>
        <v>44000000</v>
      </c>
      <c r="Z416" s="84">
        <f t="shared" si="70"/>
        <v>0</v>
      </c>
      <c r="AA416" s="283" t="s">
        <v>1966</v>
      </c>
      <c r="AB416" s="823">
        <f t="shared" si="74"/>
        <v>1</v>
      </c>
      <c r="AC416" s="40">
        <f t="shared" ca="1" si="76"/>
        <v>1</v>
      </c>
      <c r="AD416" s="41">
        <f t="shared" ca="1" si="77"/>
        <v>0</v>
      </c>
      <c r="AE416" s="181" t="str">
        <f t="shared" ca="1" si="78"/>
        <v/>
      </c>
      <c r="AF416" s="42" t="str">
        <f t="shared" si="81"/>
        <v>SI</v>
      </c>
      <c r="AG416" s="732" t="s">
        <v>5773</v>
      </c>
      <c r="AH416" s="152" t="s">
        <v>1255</v>
      </c>
      <c r="AI416" s="255" t="s">
        <v>1967</v>
      </c>
      <c r="AJ416" s="152" t="s">
        <v>1428</v>
      </c>
      <c r="AK416" s="255" t="s">
        <v>563</v>
      </c>
      <c r="AL416" s="279"/>
      <c r="AM416" s="279" t="s">
        <v>600</v>
      </c>
      <c r="AN416" s="161" t="str">
        <f t="shared" ca="1" si="79"/>
        <v>TERMINO</v>
      </c>
      <c r="AO416" s="284" t="s">
        <v>582</v>
      </c>
      <c r="AP416" s="155" t="s">
        <v>391</v>
      </c>
      <c r="AQ416" s="819" t="str">
        <f>IFERROR(VLOOKUP(E416,'liquidaciones '!$B$2:$C$1048576,2,0),"NO")</f>
        <v>LIQUIDADO</v>
      </c>
      <c r="AR416" s="909" t="str">
        <f>IFERROR(VLOOKUP(E416,'liquidaciones '!$B$2:$I$1048576,8,0),"")</f>
        <v>EDWARD MORENO</v>
      </c>
      <c r="AS416" s="312"/>
      <c r="AT416" s="156" t="str">
        <f t="shared" ca="1" si="80"/>
        <v>NO</v>
      </c>
      <c r="AU416" s="156" t="s">
        <v>1509</v>
      </c>
      <c r="AV416" s="406"/>
      <c r="AW416" s="928"/>
      <c r="AX416" s="928"/>
      <c r="AY416" s="928"/>
    </row>
    <row r="417" spans="3:51" ht="20.399999999999999" x14ac:dyDescent="0.3">
      <c r="C417" s="410">
        <v>196</v>
      </c>
      <c r="D417" s="410"/>
      <c r="E417" s="120" t="s">
        <v>2504</v>
      </c>
      <c r="F417" s="254" t="s">
        <v>2505</v>
      </c>
      <c r="G417" s="874" t="s">
        <v>2506</v>
      </c>
      <c r="H417" s="965" t="s">
        <v>2508</v>
      </c>
      <c r="I417" s="875">
        <v>12637000</v>
      </c>
      <c r="J417" s="699"/>
      <c r="K417" s="269">
        <v>2016</v>
      </c>
      <c r="L417" s="519">
        <v>42545</v>
      </c>
      <c r="M417" s="270"/>
      <c r="N417" s="270"/>
      <c r="O417" s="1099" t="str">
        <f>IF(+Modificaciones!I417=0,"",VLOOKUP(E417,Modificaciones!$B$7:$I$2400,8,0))</f>
        <v/>
      </c>
      <c r="P417" s="115">
        <f>COUNTA(Modificaciones!J417,Modificaciones!L417,Modificaciones!N417,Modificaciones!P417)</f>
        <v>0</v>
      </c>
      <c r="Q417" s="116">
        <f>VLOOKUP(E417,Modificaciones!$B$7:$R$2300,17,0)</f>
        <v>0</v>
      </c>
      <c r="R417" s="117">
        <f>COUNTA(Modificaciones!T417,Modificaciones!V417,Modificaciones!X417,Modificaciones!Z417)</f>
        <v>0</v>
      </c>
      <c r="S417" s="118" t="str">
        <f>IF(Modificaciones!AA417=0,"",VLOOKUP(E417,Modificaciones!$B$7:$AA$2400,26,0))</f>
        <v/>
      </c>
      <c r="T417" s="119" t="str">
        <f>IF(Modificaciones!AB417=0,"",VLOOKUP(E417,Modificaciones!$B$7:$AB$2400,27,0))</f>
        <v/>
      </c>
      <c r="U417" s="1080" t="str">
        <f>+Modificaciones!AC417</f>
        <v/>
      </c>
      <c r="V417" s="825" t="str">
        <f>+Modificaciones!AK417</f>
        <v/>
      </c>
      <c r="W417" s="825">
        <f t="shared" si="75"/>
        <v>0</v>
      </c>
      <c r="X417" s="59">
        <f t="shared" si="73"/>
        <v>12637000</v>
      </c>
      <c r="Y417" s="151">
        <f>VLOOKUP(E417,Modificaciones!$B$7:$BE$2300,56,0)</f>
        <v>12636504</v>
      </c>
      <c r="Z417" s="84">
        <f t="shared" si="70"/>
        <v>496</v>
      </c>
      <c r="AA417" s="283" t="s">
        <v>2507</v>
      </c>
      <c r="AB417" s="823">
        <f t="shared" si="74"/>
        <v>0.99996075017804864</v>
      </c>
      <c r="AC417" s="40" t="e">
        <f t="shared" ca="1" si="76"/>
        <v>#DIV/0!</v>
      </c>
      <c r="AD417" s="41" t="e">
        <f t="shared" ca="1" si="77"/>
        <v>#DIV/0!</v>
      </c>
      <c r="AE417" s="181" t="e">
        <f t="shared" ca="1" si="78"/>
        <v>#DIV/0!</v>
      </c>
      <c r="AF417" s="42" t="str">
        <f t="shared" si="81"/>
        <v>SI</v>
      </c>
      <c r="AG417" s="732"/>
      <c r="AH417" s="152" t="s">
        <v>1255</v>
      </c>
      <c r="AI417" s="152" t="s">
        <v>2399</v>
      </c>
      <c r="AJ417" s="152"/>
      <c r="AK417" s="255" t="s">
        <v>560</v>
      </c>
      <c r="AL417" s="279" t="s">
        <v>1318</v>
      </c>
      <c r="AM417" s="279" t="s">
        <v>600</v>
      </c>
      <c r="AN417" s="161" t="str">
        <f t="shared" ca="1" si="79"/>
        <v>TERMINO</v>
      </c>
      <c r="AO417" s="284"/>
      <c r="AP417" s="155"/>
      <c r="AQ417" s="819" t="str">
        <f>IFERROR(VLOOKUP(E417,'liquidaciones '!$B$2:$C$1048576,2,0),"NO")</f>
        <v>LIQUIDADO</v>
      </c>
      <c r="AR417" s="909" t="str">
        <f>IFERROR(VLOOKUP(E417,'liquidaciones '!$B$2:$I$1048576,8,0),"")</f>
        <v>JULIETH ANGARITA</v>
      </c>
      <c r="AS417" s="312"/>
      <c r="AT417" s="156" t="str">
        <f t="shared" ca="1" si="80"/>
        <v>NO</v>
      </c>
      <c r="AU417" s="156"/>
      <c r="AV417" s="406"/>
      <c r="AW417" s="928"/>
      <c r="AX417" s="928"/>
      <c r="AY417" s="928"/>
    </row>
    <row r="418" spans="3:51" ht="40.799999999999997" x14ac:dyDescent="0.3">
      <c r="C418" s="410">
        <v>218</v>
      </c>
      <c r="D418" s="410"/>
      <c r="E418" s="120" t="s">
        <v>2510</v>
      </c>
      <c r="F418" s="254" t="s">
        <v>2511</v>
      </c>
      <c r="G418" s="874">
        <v>900048718</v>
      </c>
      <c r="H418" s="965" t="s">
        <v>3021</v>
      </c>
      <c r="I418" s="875">
        <v>23000000</v>
      </c>
      <c r="J418" s="685" t="s">
        <v>2512</v>
      </c>
      <c r="K418" s="269">
        <v>2016</v>
      </c>
      <c r="L418" s="519">
        <v>42542</v>
      </c>
      <c r="M418" s="270">
        <v>42549</v>
      </c>
      <c r="N418" s="270">
        <v>42579</v>
      </c>
      <c r="O418" s="1099" t="str">
        <f>IF(+Modificaciones!I418=0,"",VLOOKUP(E418,Modificaciones!$B$7:$I$2400,8,0))</f>
        <v/>
      </c>
      <c r="P418" s="115">
        <f>COUNTA(Modificaciones!J418,Modificaciones!L418,Modificaciones!N418,Modificaciones!P418)</f>
        <v>0</v>
      </c>
      <c r="Q418" s="116">
        <f>VLOOKUP(E418,Modificaciones!$B$7:$R$2300,17,0)</f>
        <v>0</v>
      </c>
      <c r="R418" s="117">
        <f>COUNTA(Modificaciones!T418,Modificaciones!V418,Modificaciones!X418,Modificaciones!Z418)</f>
        <v>0</v>
      </c>
      <c r="S418" s="118" t="str">
        <f>IF(Modificaciones!AA418=0,"",VLOOKUP(E418,Modificaciones!$B$7:$AA$2400,26,0))</f>
        <v/>
      </c>
      <c r="T418" s="119" t="str">
        <f>IF(Modificaciones!AB418=0,"",VLOOKUP(E418,Modificaciones!$B$7:$AB$2400,27,0))</f>
        <v/>
      </c>
      <c r="U418" s="1080" t="str">
        <f>+Modificaciones!AC418</f>
        <v/>
      </c>
      <c r="V418" s="825" t="str">
        <f>+Modificaciones!AK418</f>
        <v/>
      </c>
      <c r="W418" s="825">
        <f t="shared" si="75"/>
        <v>42579</v>
      </c>
      <c r="X418" s="59">
        <f t="shared" si="73"/>
        <v>23000000</v>
      </c>
      <c r="Y418" s="151">
        <f>VLOOKUP(E418,Modificaciones!$B$7:$BE$2300,56,0)</f>
        <v>22847465</v>
      </c>
      <c r="Z418" s="84">
        <f t="shared" si="70"/>
        <v>152535</v>
      </c>
      <c r="AA418" s="283" t="s">
        <v>2513</v>
      </c>
      <c r="AB418" s="823">
        <f t="shared" si="74"/>
        <v>0.99336804347826091</v>
      </c>
      <c r="AC418" s="40">
        <f t="shared" ca="1" si="76"/>
        <v>1</v>
      </c>
      <c r="AD418" s="41">
        <f t="shared" ca="1" si="77"/>
        <v>6.6319565217390908E-3</v>
      </c>
      <c r="AE418" s="181" t="str">
        <f t="shared" ca="1" si="78"/>
        <v/>
      </c>
      <c r="AF418" s="42" t="str">
        <f t="shared" si="81"/>
        <v>NO</v>
      </c>
      <c r="AG418" s="732" t="s">
        <v>1716</v>
      </c>
      <c r="AH418" s="152" t="s">
        <v>1255</v>
      </c>
      <c r="AI418" s="255" t="s">
        <v>1285</v>
      </c>
      <c r="AJ418" s="152"/>
      <c r="AL418" s="279" t="s">
        <v>1379</v>
      </c>
      <c r="AM418" s="279" t="s">
        <v>600</v>
      </c>
      <c r="AN418" s="161" t="str">
        <f t="shared" ca="1" si="79"/>
        <v>TERMINO</v>
      </c>
      <c r="AO418" s="284" t="s">
        <v>574</v>
      </c>
      <c r="AP418" s="155" t="s">
        <v>390</v>
      </c>
      <c r="AQ418" s="819" t="str">
        <f>IFERROR(VLOOKUP(E418,'liquidaciones '!$B$2:$C$1048576,2,0),"NO")</f>
        <v>LIQUIDADO</v>
      </c>
      <c r="AR418" s="909" t="str">
        <f>IFERROR(VLOOKUP(E418,'liquidaciones '!$B$2:$I$1048576,8,0),"")</f>
        <v>DORA PINILLA</v>
      </c>
      <c r="AS418" s="312"/>
      <c r="AT418" s="156" t="str">
        <f t="shared" ca="1" si="80"/>
        <v>NO</v>
      </c>
      <c r="AU418" s="156" t="s">
        <v>2600</v>
      </c>
      <c r="AV418" s="406"/>
      <c r="AW418" s="928"/>
      <c r="AX418" s="928"/>
      <c r="AY418" s="928"/>
    </row>
    <row r="419" spans="3:51" ht="30.6" x14ac:dyDescent="0.3">
      <c r="C419" s="410">
        <v>146</v>
      </c>
      <c r="D419" s="410"/>
      <c r="E419" s="120" t="s">
        <v>2514</v>
      </c>
      <c r="F419" s="254" t="s">
        <v>1905</v>
      </c>
      <c r="G419" s="874">
        <v>860019063</v>
      </c>
      <c r="H419" s="965" t="s">
        <v>3022</v>
      </c>
      <c r="I419" s="875">
        <v>15000000</v>
      </c>
      <c r="J419" s="685" t="s">
        <v>2514</v>
      </c>
      <c r="K419" s="269">
        <v>2016</v>
      </c>
      <c r="L419" s="519">
        <v>42534</v>
      </c>
      <c r="M419" s="270">
        <v>42550</v>
      </c>
      <c r="N419" s="270">
        <v>42733</v>
      </c>
      <c r="O419" s="1099" t="str">
        <f>IF(+Modificaciones!I419=0,"",VLOOKUP(E419,Modificaciones!$B$7:$I$2400,8,0))</f>
        <v/>
      </c>
      <c r="P419" s="115">
        <f>COUNTA(Modificaciones!J419,Modificaciones!L419,Modificaciones!N419,Modificaciones!P419)</f>
        <v>0</v>
      </c>
      <c r="Q419" s="116">
        <f>VLOOKUP(E419,Modificaciones!$B$7:$R$2300,17,0)</f>
        <v>0</v>
      </c>
      <c r="R419" s="117">
        <f>COUNTA(Modificaciones!T419,Modificaciones!V419,Modificaciones!X419,Modificaciones!Z419)</f>
        <v>1</v>
      </c>
      <c r="S419" s="118" t="str">
        <f>IF(Modificaciones!AA419=0,"",VLOOKUP(E419,Modificaciones!$B$7:$AA$2400,26,0))</f>
        <v>1 mes y 7 días</v>
      </c>
      <c r="T419" s="119">
        <f>IF(Modificaciones!AB419=0,"",VLOOKUP(E419,Modificaciones!$B$7:$AB$2400,27,0))</f>
        <v>42766</v>
      </c>
      <c r="U419" s="1080" t="str">
        <f>+Modificaciones!AC419</f>
        <v/>
      </c>
      <c r="V419" s="825" t="str">
        <f>+Modificaciones!AK419</f>
        <v/>
      </c>
      <c r="W419" s="825">
        <f t="shared" si="75"/>
        <v>42766</v>
      </c>
      <c r="X419" s="59">
        <f t="shared" si="73"/>
        <v>15000000</v>
      </c>
      <c r="Y419" s="151">
        <f>VLOOKUP(E419,Modificaciones!$B$7:$BE$2300,56,0)</f>
        <v>14977489</v>
      </c>
      <c r="Z419" s="84">
        <f t="shared" si="70"/>
        <v>22511</v>
      </c>
      <c r="AA419" s="283" t="s">
        <v>1908</v>
      </c>
      <c r="AB419" s="823">
        <f t="shared" si="74"/>
        <v>0.99849926666666666</v>
      </c>
      <c r="AC419" s="40">
        <f t="shared" ca="1" si="76"/>
        <v>1</v>
      </c>
      <c r="AD419" s="41">
        <f t="shared" ca="1" si="77"/>
        <v>1.5007333333333372E-3</v>
      </c>
      <c r="AE419" s="181" t="str">
        <f t="shared" ca="1" si="78"/>
        <v/>
      </c>
      <c r="AF419" s="42" t="str">
        <f t="shared" si="81"/>
        <v>NO</v>
      </c>
      <c r="AG419" s="1017" t="s">
        <v>4920</v>
      </c>
      <c r="AH419" s="152" t="s">
        <v>1255</v>
      </c>
      <c r="AI419" s="152" t="s">
        <v>2515</v>
      </c>
      <c r="AJ419" s="152" t="s">
        <v>1441</v>
      </c>
      <c r="AK419" s="255" t="s">
        <v>560</v>
      </c>
      <c r="AL419" s="153" t="s">
        <v>1318</v>
      </c>
      <c r="AM419" s="279" t="s">
        <v>600</v>
      </c>
      <c r="AN419" s="161" t="str">
        <f t="shared" ca="1" si="79"/>
        <v>TERMINO</v>
      </c>
      <c r="AO419" s="284" t="s">
        <v>582</v>
      </c>
      <c r="AP419" s="155" t="s">
        <v>390</v>
      </c>
      <c r="AQ419" s="819" t="str">
        <f>IFERROR(VLOOKUP(E419,'liquidaciones '!$B$2:$C$1048576,2,0),"NO")</f>
        <v>LIQUIDADO</v>
      </c>
      <c r="AR419" s="909" t="str">
        <f>IFERROR(VLOOKUP(E419,'liquidaciones '!$B$2:$I$1048576,8,0),"")</f>
        <v>MANUEL ROJAS</v>
      </c>
      <c r="AS419" s="312"/>
      <c r="AT419" s="156" t="str">
        <f t="shared" ca="1" si="80"/>
        <v>NO</v>
      </c>
      <c r="AU419" s="156" t="s">
        <v>2597</v>
      </c>
      <c r="AV419" s="406"/>
      <c r="AW419" s="928"/>
      <c r="AX419" s="928"/>
      <c r="AY419" s="928"/>
    </row>
    <row r="420" spans="3:51" ht="40.799999999999997" x14ac:dyDescent="0.3">
      <c r="C420" s="410">
        <v>231</v>
      </c>
      <c r="D420" s="410"/>
      <c r="E420" s="120" t="s">
        <v>2517</v>
      </c>
      <c r="F420" s="834" t="s">
        <v>41</v>
      </c>
      <c r="G420" s="874">
        <v>830034865</v>
      </c>
      <c r="H420" s="965" t="s">
        <v>3023</v>
      </c>
      <c r="I420" s="875">
        <v>53964000</v>
      </c>
      <c r="J420" s="685" t="s">
        <v>2543</v>
      </c>
      <c r="K420" s="269">
        <v>2016</v>
      </c>
      <c r="L420" s="519">
        <v>42543</v>
      </c>
      <c r="M420" s="270">
        <v>42556</v>
      </c>
      <c r="N420" s="270">
        <v>42830</v>
      </c>
      <c r="O420" s="1099" t="str">
        <f>IF(+Modificaciones!I420=0,"",VLOOKUP(E420,Modificaciones!$B$7:$I$2400,8,0))</f>
        <v/>
      </c>
      <c r="P420" s="115">
        <f>COUNTA(Modificaciones!J420,Modificaciones!L420,Modificaciones!N420,Modificaciones!P420)</f>
        <v>0</v>
      </c>
      <c r="Q420" s="116">
        <f>VLOOKUP(E420,Modificaciones!$B$7:$R$2300,17,0)</f>
        <v>0</v>
      </c>
      <c r="R420" s="117">
        <f>COUNTA(Modificaciones!T420,Modificaciones!V420,Modificaciones!X420,Modificaciones!Z420)</f>
        <v>1</v>
      </c>
      <c r="S420" s="118" t="str">
        <f>IF(Modificaciones!AA420=0,"",VLOOKUP(E420,Modificaciones!$B$7:$AA$2400,26,0))</f>
        <v>2 meses</v>
      </c>
      <c r="T420" s="119">
        <f>IF(Modificaciones!AB420=0,"",VLOOKUP(E420,Modificaciones!$B$7:$AB$2400,27,0))</f>
        <v>42891</v>
      </c>
      <c r="U420" s="1080" t="str">
        <f>+Modificaciones!AC420</f>
        <v/>
      </c>
      <c r="V420" s="825" t="str">
        <f>+Modificaciones!AK420</f>
        <v/>
      </c>
      <c r="W420" s="825">
        <f t="shared" si="75"/>
        <v>42891</v>
      </c>
      <c r="X420" s="59">
        <f t="shared" si="73"/>
        <v>53964000</v>
      </c>
      <c r="Y420" s="151">
        <f>VLOOKUP(E420,Modificaciones!$B$7:$BE$2300,56,0)</f>
        <v>51363750</v>
      </c>
      <c r="Z420" s="84">
        <f t="shared" si="70"/>
        <v>2600250</v>
      </c>
      <c r="AA420" s="288" t="s">
        <v>2518</v>
      </c>
      <c r="AB420" s="823">
        <f t="shared" si="74"/>
        <v>0.95181509895485883</v>
      </c>
      <c r="AC420" s="40">
        <f t="shared" ca="1" si="76"/>
        <v>1</v>
      </c>
      <c r="AD420" s="41">
        <f t="shared" ca="1" si="77"/>
        <v>4.8184901045141171E-2</v>
      </c>
      <c r="AE420" s="181" t="str">
        <f t="shared" ca="1" si="78"/>
        <v/>
      </c>
      <c r="AF420" s="42" t="str">
        <f t="shared" si="81"/>
        <v>NO</v>
      </c>
      <c r="AG420" s="1017" t="s">
        <v>4920</v>
      </c>
      <c r="AH420" s="152" t="s">
        <v>1255</v>
      </c>
      <c r="AI420" s="275" t="s">
        <v>1174</v>
      </c>
      <c r="AJ420" s="152" t="s">
        <v>1434</v>
      </c>
      <c r="AK420" s="255" t="s">
        <v>560</v>
      </c>
      <c r="AL420" s="153" t="s">
        <v>1388</v>
      </c>
      <c r="AM420" s="279" t="s">
        <v>600</v>
      </c>
      <c r="AN420" s="161" t="str">
        <f t="shared" ca="1" si="79"/>
        <v>TERMINO</v>
      </c>
      <c r="AO420" s="152" t="s">
        <v>577</v>
      </c>
      <c r="AP420" s="155" t="s">
        <v>390</v>
      </c>
      <c r="AQ420" s="819" t="str">
        <f>IFERROR(VLOOKUP(E420,'liquidaciones '!$B$2:$C$1048576,2,0),"NO")</f>
        <v>LIQUIDADO</v>
      </c>
      <c r="AR420" s="909" t="str">
        <f>IFERROR(VLOOKUP(E420,'liquidaciones '!$B$2:$I$1048576,8,0),"")</f>
        <v>MANUEL ROJAS</v>
      </c>
      <c r="AS420" s="312"/>
      <c r="AT420" s="156" t="str">
        <f t="shared" ca="1" si="80"/>
        <v>NO</v>
      </c>
      <c r="AU420" s="156" t="s">
        <v>981</v>
      </c>
      <c r="AV420" s="406"/>
      <c r="AW420" s="928"/>
      <c r="AX420" s="928"/>
      <c r="AY420" s="928"/>
    </row>
    <row r="421" spans="3:51" ht="30.6" x14ac:dyDescent="0.3">
      <c r="C421" s="410">
        <v>223</v>
      </c>
      <c r="D421" s="410" t="str">
        <f>K421&amp;C421</f>
        <v>2016223</v>
      </c>
      <c r="E421" s="120" t="s">
        <v>2519</v>
      </c>
      <c r="F421" s="824" t="s">
        <v>2520</v>
      </c>
      <c r="G421" s="874">
        <v>4831</v>
      </c>
      <c r="H421" s="965" t="s">
        <v>3024</v>
      </c>
      <c r="I421" s="876">
        <v>23707000</v>
      </c>
      <c r="J421" s="685" t="s">
        <v>2525</v>
      </c>
      <c r="K421" s="269">
        <v>2016</v>
      </c>
      <c r="L421" s="519">
        <v>42523</v>
      </c>
      <c r="M421" s="826">
        <v>42556</v>
      </c>
      <c r="N421" s="825">
        <v>42771</v>
      </c>
      <c r="O421" s="1099" t="str">
        <f>IF(+Modificaciones!I421=0,"",VLOOKUP(E421,Modificaciones!$B$7:$I$2400,8,0))</f>
        <v/>
      </c>
      <c r="P421" s="115">
        <f>COUNTA(Modificaciones!J421,Modificaciones!L421,Modificaciones!N421,Modificaciones!P421)</f>
        <v>0</v>
      </c>
      <c r="Q421" s="116">
        <f>VLOOKUP(E421,Modificaciones!$B$7:$R$2300,17,0)</f>
        <v>0</v>
      </c>
      <c r="R421" s="117">
        <f>COUNTA(Modificaciones!T421,Modificaciones!V421,Modificaciones!X421,Modificaciones!Z421)</f>
        <v>1</v>
      </c>
      <c r="S421" s="118" t="str">
        <f>IF(Modificaciones!AA421=0,"",VLOOKUP(E421,Modificaciones!$B$7:$AA$2400,26,0))</f>
        <v>2 meses</v>
      </c>
      <c r="T421" s="119">
        <f>IF(Modificaciones!AB421=0,"",VLOOKUP(E421,Modificaciones!$B$7:$AB$2400,27,0))</f>
        <v>42830</v>
      </c>
      <c r="U421" s="1080" t="str">
        <f>+Modificaciones!AC421</f>
        <v/>
      </c>
      <c r="V421" s="825" t="str">
        <f>+Modificaciones!AK421</f>
        <v/>
      </c>
      <c r="W421" s="825">
        <f t="shared" si="75"/>
        <v>42830</v>
      </c>
      <c r="X421" s="59">
        <f t="shared" si="73"/>
        <v>23707000</v>
      </c>
      <c r="Y421" s="151">
        <f>VLOOKUP(E421,Modificaciones!$B$7:$BE$2300,56,0)</f>
        <v>17894230</v>
      </c>
      <c r="Z421" s="84">
        <f t="shared" si="70"/>
        <v>5812770</v>
      </c>
      <c r="AA421" s="283" t="s">
        <v>1640</v>
      </c>
      <c r="AB421" s="823">
        <f t="shared" si="74"/>
        <v>0.75480786265659927</v>
      </c>
      <c r="AC421" s="40">
        <f t="shared" ca="1" si="76"/>
        <v>1</v>
      </c>
      <c r="AD421" s="41">
        <f t="shared" ca="1" si="77"/>
        <v>0.24519213734340073</v>
      </c>
      <c r="AE421" s="181" t="str">
        <f t="shared" ca="1" si="78"/>
        <v/>
      </c>
      <c r="AF421" s="42" t="str">
        <f t="shared" si="81"/>
        <v>NO</v>
      </c>
      <c r="AG421" s="1017" t="s">
        <v>4920</v>
      </c>
      <c r="AH421" s="152" t="s">
        <v>1255</v>
      </c>
      <c r="AI421" s="152" t="s">
        <v>1125</v>
      </c>
      <c r="AJ421" s="152" t="s">
        <v>1441</v>
      </c>
      <c r="AK421" s="255" t="s">
        <v>560</v>
      </c>
      <c r="AL421" s="153" t="s">
        <v>1318</v>
      </c>
      <c r="AM421" s="279" t="s">
        <v>600</v>
      </c>
      <c r="AN421" s="161" t="str">
        <f t="shared" ca="1" si="79"/>
        <v>TERMINO</v>
      </c>
      <c r="AO421" s="160" t="s">
        <v>576</v>
      </c>
      <c r="AP421" s="155" t="s">
        <v>390</v>
      </c>
      <c r="AQ421" s="819" t="str">
        <f>IFERROR(VLOOKUP(E421,'liquidaciones '!$B$2:$C$1048576,2,0),"NO")</f>
        <v>LIQUIDADO</v>
      </c>
      <c r="AR421" s="909">
        <f>IFERROR(VLOOKUP(E421,'liquidaciones '!$B$2:$I$1048576,8,0),"")</f>
        <v>0</v>
      </c>
      <c r="AS421" s="312"/>
      <c r="AT421" s="156" t="str">
        <f t="shared" ca="1" si="80"/>
        <v>NO</v>
      </c>
      <c r="AU421" s="156" t="s">
        <v>2960</v>
      </c>
      <c r="AV421" s="406"/>
      <c r="AW421" s="928"/>
      <c r="AX421" s="928"/>
      <c r="AY421" s="928"/>
    </row>
    <row r="422" spans="3:51" ht="30.6" x14ac:dyDescent="0.3">
      <c r="C422" s="410">
        <v>84</v>
      </c>
      <c r="D422" s="410" t="str">
        <f>K422&amp;C422</f>
        <v>201684</v>
      </c>
      <c r="E422" s="120" t="s">
        <v>2521</v>
      </c>
      <c r="F422" s="824" t="s">
        <v>2043</v>
      </c>
      <c r="G422" s="874">
        <v>35493364</v>
      </c>
      <c r="H422" s="965" t="s">
        <v>2522</v>
      </c>
      <c r="I422" s="875">
        <v>38500000</v>
      </c>
      <c r="J422" s="685" t="s">
        <v>2521</v>
      </c>
      <c r="K422" s="269">
        <v>2016</v>
      </c>
      <c r="L422" s="519">
        <v>42550</v>
      </c>
      <c r="M422" s="826">
        <v>42556</v>
      </c>
      <c r="N422" s="826">
        <v>42771</v>
      </c>
      <c r="O422" s="1099" t="str">
        <f>IF(+Modificaciones!I422=0,"",VLOOKUP(E422,Modificaciones!$B$7:$I$2400,8,0))</f>
        <v/>
      </c>
      <c r="P422" s="115">
        <f>COUNTA(Modificaciones!J422,Modificaciones!L422,Modificaciones!N422,Modificaciones!P422)</f>
        <v>0</v>
      </c>
      <c r="Q422" s="116">
        <f>VLOOKUP(E422,Modificaciones!$B$7:$R$2300,17,0)</f>
        <v>0</v>
      </c>
      <c r="R422" s="117">
        <f>COUNTA(Modificaciones!T422,Modificaciones!V422,Modificaciones!X422,Modificaciones!Z422)</f>
        <v>0</v>
      </c>
      <c r="S422" s="118" t="str">
        <f>IF(Modificaciones!AA422=0,"",VLOOKUP(E422,Modificaciones!$B$7:$AA$2400,26,0))</f>
        <v/>
      </c>
      <c r="T422" s="119" t="str">
        <f>IF(Modificaciones!AB422=0,"",VLOOKUP(E422,Modificaciones!$B$7:$AB$2400,27,0))</f>
        <v/>
      </c>
      <c r="U422" s="1080" t="str">
        <f>+Modificaciones!AC422</f>
        <v/>
      </c>
      <c r="V422" s="825" t="str">
        <f>+Modificaciones!AK422</f>
        <v/>
      </c>
      <c r="W422" s="825">
        <f t="shared" si="75"/>
        <v>42771</v>
      </c>
      <c r="X422" s="59">
        <f t="shared" si="73"/>
        <v>38500000</v>
      </c>
      <c r="Y422" s="151">
        <f>VLOOKUP(E422,Modificaciones!$B$7:$BE$2300,56,0)</f>
        <v>38500000</v>
      </c>
      <c r="Z422" s="84">
        <f t="shared" si="70"/>
        <v>0</v>
      </c>
      <c r="AA422" s="283" t="s">
        <v>2524</v>
      </c>
      <c r="AB422" s="823">
        <f t="shared" si="74"/>
        <v>1</v>
      </c>
      <c r="AC422" s="40">
        <f t="shared" ca="1" si="76"/>
        <v>1</v>
      </c>
      <c r="AD422" s="41">
        <f t="shared" ca="1" si="77"/>
        <v>0</v>
      </c>
      <c r="AE422" s="181" t="str">
        <f t="shared" ca="1" si="78"/>
        <v/>
      </c>
      <c r="AF422" s="42" t="str">
        <f t="shared" si="81"/>
        <v>SI</v>
      </c>
      <c r="AG422" s="732" t="s">
        <v>5773</v>
      </c>
      <c r="AH422" s="152" t="s">
        <v>1255</v>
      </c>
      <c r="AI422" s="152" t="s">
        <v>2523</v>
      </c>
      <c r="AJ422" s="152"/>
      <c r="AK422" s="255" t="s">
        <v>560</v>
      </c>
      <c r="AL422" s="279"/>
      <c r="AM422" s="279" t="s">
        <v>600</v>
      </c>
      <c r="AN422" s="161" t="str">
        <f t="shared" ca="1" si="79"/>
        <v>TERMINO</v>
      </c>
      <c r="AO422" s="160" t="s">
        <v>576</v>
      </c>
      <c r="AP422" s="155" t="s">
        <v>391</v>
      </c>
      <c r="AQ422" s="819" t="str">
        <f>IFERROR(VLOOKUP(E422,'liquidaciones '!$B$2:$C$1048576,2,0),"NO")</f>
        <v>LIQUIDADO</v>
      </c>
      <c r="AR422" s="909" t="str">
        <f>IFERROR(VLOOKUP(E422,'liquidaciones '!$B$2:$I$1048576,8,0),"")</f>
        <v>JAVIER QUINTERO</v>
      </c>
      <c r="AS422" s="312"/>
      <c r="AT422" s="156" t="str">
        <f t="shared" ca="1" si="80"/>
        <v>NO</v>
      </c>
      <c r="AU422" s="156" t="s">
        <v>2597</v>
      </c>
      <c r="AV422" s="406"/>
      <c r="AW422" s="928"/>
      <c r="AX422" s="928"/>
      <c r="AY422" s="928"/>
    </row>
    <row r="423" spans="3:51" ht="69.75" customHeight="1" x14ac:dyDescent="0.3">
      <c r="C423" s="410">
        <v>97</v>
      </c>
      <c r="D423" s="410"/>
      <c r="E423" s="120" t="s">
        <v>2526</v>
      </c>
      <c r="F423" s="834" t="s">
        <v>2527</v>
      </c>
      <c r="G423" s="874" t="s">
        <v>2528</v>
      </c>
      <c r="H423" s="965" t="s">
        <v>2529</v>
      </c>
      <c r="I423" s="875">
        <v>3712000</v>
      </c>
      <c r="J423" s="685" t="s">
        <v>2530</v>
      </c>
      <c r="K423" s="269">
        <v>2016</v>
      </c>
      <c r="L423" s="519">
        <v>42542</v>
      </c>
      <c r="M423" s="270">
        <v>42562</v>
      </c>
      <c r="N423" s="270">
        <v>42654</v>
      </c>
      <c r="O423" s="1099" t="str">
        <f>IF(+Modificaciones!I423=0,"",VLOOKUP(E423,Modificaciones!$B$7:$I$2400,8,0))</f>
        <v/>
      </c>
      <c r="P423" s="115">
        <f>COUNTA(Modificaciones!J423,Modificaciones!L423,Modificaciones!N423,Modificaciones!P423)</f>
        <v>0</v>
      </c>
      <c r="Q423" s="116">
        <f>VLOOKUP(E423,Modificaciones!$B$7:$R$2300,17,0)</f>
        <v>0</v>
      </c>
      <c r="R423" s="117">
        <f>COUNTA(Modificaciones!T423,Modificaciones!V423,Modificaciones!X423,Modificaciones!Z423)</f>
        <v>0</v>
      </c>
      <c r="S423" s="118" t="str">
        <f>IF(Modificaciones!AA423=0,"",VLOOKUP(E423,Modificaciones!$B$7:$AA$2400,26,0))</f>
        <v/>
      </c>
      <c r="T423" s="119" t="str">
        <f>IF(Modificaciones!AB423=0,"",VLOOKUP(E423,Modificaciones!$B$7:$AB$2400,27,0))</f>
        <v/>
      </c>
      <c r="U423" s="1080" t="str">
        <f>+Modificaciones!AC423</f>
        <v/>
      </c>
      <c r="V423" s="825" t="str">
        <f>+Modificaciones!AK423</f>
        <v/>
      </c>
      <c r="W423" s="825">
        <f t="shared" si="75"/>
        <v>42654</v>
      </c>
      <c r="X423" s="59">
        <f t="shared" si="73"/>
        <v>3712000</v>
      </c>
      <c r="Y423" s="151">
        <f>VLOOKUP(E423,Modificaciones!$B$7:$BE$2300,56,0)</f>
        <v>3712000</v>
      </c>
      <c r="Z423" s="84">
        <f t="shared" si="70"/>
        <v>0</v>
      </c>
      <c r="AA423" s="829" t="s">
        <v>2534</v>
      </c>
      <c r="AB423" s="823">
        <f t="shared" si="74"/>
        <v>1</v>
      </c>
      <c r="AC423" s="40">
        <f t="shared" ca="1" si="76"/>
        <v>1</v>
      </c>
      <c r="AD423" s="41">
        <f t="shared" ca="1" si="77"/>
        <v>0</v>
      </c>
      <c r="AE423" s="181" t="str">
        <f t="shared" ca="1" si="78"/>
        <v/>
      </c>
      <c r="AF423" s="42" t="str">
        <f t="shared" si="81"/>
        <v>SI</v>
      </c>
      <c r="AG423" s="1017" t="s">
        <v>4920</v>
      </c>
      <c r="AH423" s="152" t="s">
        <v>1255</v>
      </c>
      <c r="AI423" s="152" t="s">
        <v>2535</v>
      </c>
      <c r="AJ423" s="827"/>
      <c r="AL423" s="279"/>
      <c r="AM423" s="279" t="s">
        <v>600</v>
      </c>
      <c r="AN423" s="161" t="str">
        <f t="shared" ca="1" si="79"/>
        <v>TERMINO</v>
      </c>
      <c r="AO423" s="160" t="s">
        <v>576</v>
      </c>
      <c r="AP423" s="155" t="s">
        <v>391</v>
      </c>
      <c r="AQ423" s="819" t="str">
        <f>IFERROR(VLOOKUP(E423,'liquidaciones '!$B$2:$C$1048576,2,0),"NO")</f>
        <v>LIQUIDADO</v>
      </c>
      <c r="AR423" s="909" t="str">
        <f>IFERROR(VLOOKUP(E423,'liquidaciones '!$B$2:$I$1048576,8,0),"")</f>
        <v>DORA PINILLA</v>
      </c>
      <c r="AS423" s="312"/>
      <c r="AT423" s="156" t="str">
        <f t="shared" ca="1" si="80"/>
        <v>NO</v>
      </c>
      <c r="AU423" s="156" t="s">
        <v>2601</v>
      </c>
      <c r="AV423" s="406"/>
      <c r="AW423" s="928"/>
      <c r="AX423" s="928"/>
      <c r="AY423" s="928"/>
    </row>
    <row r="424" spans="3:51" ht="30.6" x14ac:dyDescent="0.3">
      <c r="C424" s="410"/>
      <c r="D424" s="410"/>
      <c r="E424" s="120" t="s">
        <v>2531</v>
      </c>
      <c r="F424" s="254" t="s">
        <v>2532</v>
      </c>
      <c r="G424" s="874">
        <v>53097050</v>
      </c>
      <c r="H424" s="965" t="s">
        <v>2533</v>
      </c>
      <c r="I424" s="875">
        <v>38500000</v>
      </c>
      <c r="J424" s="685" t="s">
        <v>2531</v>
      </c>
      <c r="K424" s="269">
        <v>2016</v>
      </c>
      <c r="L424" s="519">
        <v>42551</v>
      </c>
      <c r="M424" s="270">
        <v>42562</v>
      </c>
      <c r="N424" s="270">
        <v>42777</v>
      </c>
      <c r="O424" s="1099" t="str">
        <f>IF(+Modificaciones!I424=0,"",VLOOKUP(E424,Modificaciones!$B$7:$I$2400,8,0))</f>
        <v/>
      </c>
      <c r="P424" s="115">
        <f>COUNTA(Modificaciones!J424,Modificaciones!L424,Modificaciones!N424,Modificaciones!P424)</f>
        <v>0</v>
      </c>
      <c r="Q424" s="116">
        <f>VLOOKUP(E424,Modificaciones!$B$7:$R$2300,17,0)</f>
        <v>0</v>
      </c>
      <c r="R424" s="117">
        <f>COUNTA(Modificaciones!T424,Modificaciones!V424,Modificaciones!X424,Modificaciones!Z424)</f>
        <v>0</v>
      </c>
      <c r="S424" s="118" t="str">
        <f>IF(Modificaciones!AA424=0,"",VLOOKUP(E424,Modificaciones!$B$7:$AA$2400,26,0))</f>
        <v/>
      </c>
      <c r="T424" s="119" t="str">
        <f>IF(Modificaciones!AB424=0,"",VLOOKUP(E424,Modificaciones!$B$7:$AB$2400,27,0))</f>
        <v/>
      </c>
      <c r="U424" s="1080" t="str">
        <f>+Modificaciones!AC424</f>
        <v/>
      </c>
      <c r="V424" s="825" t="str">
        <f>+Modificaciones!AK424</f>
        <v/>
      </c>
      <c r="W424" s="825">
        <f t="shared" si="75"/>
        <v>42777</v>
      </c>
      <c r="X424" s="59">
        <f t="shared" si="73"/>
        <v>38500000</v>
      </c>
      <c r="Y424" s="151">
        <f>VLOOKUP(E424,Modificaciones!$B$7:$BE$2300,56,0)</f>
        <v>38500000</v>
      </c>
      <c r="Z424" s="84">
        <f t="shared" si="70"/>
        <v>0</v>
      </c>
      <c r="AA424" s="283" t="s">
        <v>1094</v>
      </c>
      <c r="AB424" s="823">
        <f t="shared" si="74"/>
        <v>1</v>
      </c>
      <c r="AC424" s="40">
        <f t="shared" ca="1" si="76"/>
        <v>1</v>
      </c>
      <c r="AD424" s="41">
        <f t="shared" ca="1" si="77"/>
        <v>0</v>
      </c>
      <c r="AE424" s="181" t="str">
        <f t="shared" ca="1" si="78"/>
        <v/>
      </c>
      <c r="AF424" s="42" t="str">
        <f t="shared" si="81"/>
        <v>SI</v>
      </c>
      <c r="AG424" s="732" t="s">
        <v>5773</v>
      </c>
      <c r="AH424" s="152" t="s">
        <v>1255</v>
      </c>
      <c r="AI424" s="152" t="s">
        <v>2588</v>
      </c>
      <c r="AJ424" s="152" t="s">
        <v>1176</v>
      </c>
      <c r="AK424" s="255" t="s">
        <v>559</v>
      </c>
      <c r="AL424" s="279"/>
      <c r="AM424" s="279" t="s">
        <v>600</v>
      </c>
      <c r="AN424" s="161" t="str">
        <f t="shared" ca="1" si="79"/>
        <v>TERMINO</v>
      </c>
      <c r="AO424" s="284" t="s">
        <v>582</v>
      </c>
      <c r="AP424" s="155" t="s">
        <v>391</v>
      </c>
      <c r="AQ424" s="819" t="str">
        <f>IFERROR(VLOOKUP(E424,'liquidaciones '!$B$2:$C$1048576,2,0),"NO")</f>
        <v>LIQUIDADO</v>
      </c>
      <c r="AR424" s="909" t="str">
        <f>IFERROR(VLOOKUP(E424,'liquidaciones '!$B$2:$I$1048576,8,0),"")</f>
        <v>JAVIER QUINTERO</v>
      </c>
      <c r="AS424" s="312"/>
      <c r="AT424" s="156" t="str">
        <f t="shared" ca="1" si="80"/>
        <v>NO</v>
      </c>
      <c r="AU424" s="156" t="s">
        <v>1509</v>
      </c>
      <c r="AV424" s="406"/>
      <c r="AW424" s="928"/>
      <c r="AX424" s="928"/>
      <c r="AY424" s="928"/>
    </row>
    <row r="425" spans="3:51" ht="71.400000000000006" x14ac:dyDescent="0.3">
      <c r="C425" s="410">
        <v>198</v>
      </c>
      <c r="D425" s="410" t="str">
        <f>K425&amp;C425</f>
        <v>2016198</v>
      </c>
      <c r="E425" s="120" t="s">
        <v>2536</v>
      </c>
      <c r="F425" s="254" t="s">
        <v>2537</v>
      </c>
      <c r="G425" s="874">
        <v>900986082</v>
      </c>
      <c r="H425" s="965" t="s">
        <v>3025</v>
      </c>
      <c r="I425" s="875">
        <v>485820000</v>
      </c>
      <c r="J425" s="685" t="s">
        <v>2538</v>
      </c>
      <c r="K425" s="269">
        <v>2016</v>
      </c>
      <c r="L425" s="519">
        <v>42558</v>
      </c>
      <c r="M425" s="270">
        <v>42583</v>
      </c>
      <c r="N425" s="270">
        <v>42887</v>
      </c>
      <c r="O425" s="1099" t="str">
        <f>IF(+Modificaciones!I425=0,"",VLOOKUP(E425,Modificaciones!$B$7:$I$2400,8,0))</f>
        <v/>
      </c>
      <c r="P425" s="115">
        <f>COUNTA(Modificaciones!J425,Modificaciones!L425,Modificaciones!N425,Modificaciones!P425)</f>
        <v>1</v>
      </c>
      <c r="Q425" s="116">
        <f>VLOOKUP(E425,Modificaciones!$B$7:$R$2300,17,0)</f>
        <v>259914130</v>
      </c>
      <c r="R425" s="117">
        <f>COUNTA(Modificaciones!T425,Modificaciones!V425,Modificaciones!X425,Modificaciones!Z425)</f>
        <v>1</v>
      </c>
      <c r="S425" s="118" t="str">
        <f>IF(Modificaciones!AA425=0,"",VLOOKUP(E425,Modificaciones!$B$7:$AA$2400,26,0))</f>
        <v>45 días</v>
      </c>
      <c r="T425" s="119">
        <f>IF(Modificaciones!AB425=0,"",VLOOKUP(E425,Modificaciones!$B$7:$AB$2400,27,0))</f>
        <v>42932</v>
      </c>
      <c r="U425" s="1080" t="str">
        <f>+Modificaciones!AC425</f>
        <v/>
      </c>
      <c r="V425" s="825" t="str">
        <f>+Modificaciones!AK425</f>
        <v/>
      </c>
      <c r="W425" s="825">
        <f t="shared" si="75"/>
        <v>42932</v>
      </c>
      <c r="X425" s="59">
        <f t="shared" si="73"/>
        <v>745734130</v>
      </c>
      <c r="Y425" s="151">
        <f>VLOOKUP(E425,Modificaciones!$B$7:$BE$2300,56,0)</f>
        <v>745013776</v>
      </c>
      <c r="Z425" s="84">
        <f t="shared" si="70"/>
        <v>720354</v>
      </c>
      <c r="AA425" s="84" t="s">
        <v>1877</v>
      </c>
      <c r="AB425" s="823">
        <f t="shared" si="74"/>
        <v>0.9990340337514122</v>
      </c>
      <c r="AC425" s="40">
        <f t="shared" ca="1" si="76"/>
        <v>1</v>
      </c>
      <c r="AD425" s="41">
        <f t="shared" ca="1" si="77"/>
        <v>9.6596624858780178E-4</v>
      </c>
      <c r="AE425" s="181" t="str">
        <f t="shared" ca="1" si="78"/>
        <v/>
      </c>
      <c r="AF425" s="42" t="str">
        <f t="shared" si="81"/>
        <v>SI</v>
      </c>
      <c r="AG425" s="1017" t="s">
        <v>4920</v>
      </c>
      <c r="AH425" s="152" t="s">
        <v>1255</v>
      </c>
      <c r="AI425" s="255" t="s">
        <v>1126</v>
      </c>
      <c r="AJ425" s="152"/>
      <c r="AK425" s="255" t="s">
        <v>560</v>
      </c>
      <c r="AL425" s="279"/>
      <c r="AM425" s="279" t="s">
        <v>600</v>
      </c>
      <c r="AN425" s="161" t="str">
        <f t="shared" ca="1" si="79"/>
        <v>TERMINO</v>
      </c>
      <c r="AO425" s="284" t="s">
        <v>575</v>
      </c>
      <c r="AP425" s="155" t="s">
        <v>390</v>
      </c>
      <c r="AQ425" s="819" t="str">
        <f>IFERROR(VLOOKUP(E425,'liquidaciones '!$B$2:$C$1048576,2,0),"NO")</f>
        <v>LIQUIDADO</v>
      </c>
      <c r="AR425" s="909" t="str">
        <f>IFERROR(VLOOKUP(E425,'liquidaciones '!$B$2:$I$1048576,8,0),"")</f>
        <v>MANUEL ROJAS</v>
      </c>
      <c r="AS425" s="312"/>
      <c r="AT425" s="156" t="str">
        <f t="shared" ca="1" si="80"/>
        <v>NO</v>
      </c>
      <c r="AU425" s="406" t="s">
        <v>3050</v>
      </c>
      <c r="AV425" s="96"/>
      <c r="AW425" s="928"/>
      <c r="AX425" s="928"/>
      <c r="AY425" s="928"/>
    </row>
    <row r="426" spans="3:51" ht="40.799999999999997" x14ac:dyDescent="0.3">
      <c r="C426" s="410">
        <v>124</v>
      </c>
      <c r="D426" s="410" t="str">
        <f>K426&amp;C426</f>
        <v>2016124</v>
      </c>
      <c r="E426" s="120" t="s">
        <v>2539</v>
      </c>
      <c r="F426" s="254" t="s">
        <v>2540</v>
      </c>
      <c r="G426" s="874">
        <v>80766038</v>
      </c>
      <c r="H426" s="965" t="s">
        <v>2541</v>
      </c>
      <c r="I426" s="875">
        <v>38500000</v>
      </c>
      <c r="J426" s="685" t="s">
        <v>2539</v>
      </c>
      <c r="K426" s="269">
        <v>2016</v>
      </c>
      <c r="L426" s="519">
        <v>42558</v>
      </c>
      <c r="M426" s="270">
        <v>42563</v>
      </c>
      <c r="N426" s="270">
        <v>42778</v>
      </c>
      <c r="O426" s="1099" t="str">
        <f>IF(+Modificaciones!I426=0,"",VLOOKUP(E426,Modificaciones!$B$7:$I$2400,8,0))</f>
        <v/>
      </c>
      <c r="P426" s="115">
        <f>COUNTA(Modificaciones!J426,Modificaciones!L426,Modificaciones!N426,Modificaciones!P426)</f>
        <v>0</v>
      </c>
      <c r="Q426" s="116">
        <f>VLOOKUP(E426,Modificaciones!$B$7:$R$2300,17,0)</f>
        <v>0</v>
      </c>
      <c r="R426" s="117">
        <f>COUNTA(Modificaciones!T426,Modificaciones!V426,Modificaciones!X426,Modificaciones!Z426)</f>
        <v>0</v>
      </c>
      <c r="S426" s="118" t="str">
        <f>IF(Modificaciones!AA426=0,"",VLOOKUP(E426,Modificaciones!$B$7:$AA$2400,26,0))</f>
        <v/>
      </c>
      <c r="T426" s="119" t="str">
        <f>IF(Modificaciones!AB426=0,"",VLOOKUP(E426,Modificaciones!$B$7:$AB$2400,27,0))</f>
        <v/>
      </c>
      <c r="U426" s="1080" t="str">
        <f>+Modificaciones!AC426</f>
        <v/>
      </c>
      <c r="V426" s="825" t="str">
        <f>+Modificaciones!AK426</f>
        <v/>
      </c>
      <c r="W426" s="825">
        <f t="shared" si="75"/>
        <v>42778</v>
      </c>
      <c r="X426" s="59">
        <f t="shared" si="73"/>
        <v>38500000</v>
      </c>
      <c r="Y426" s="151">
        <f>VLOOKUP(E426,Modificaciones!$B$7:$BE$2300,56,0)</f>
        <v>38500000</v>
      </c>
      <c r="Z426" s="84">
        <f t="shared" si="70"/>
        <v>0</v>
      </c>
      <c r="AA426" s="283" t="s">
        <v>1094</v>
      </c>
      <c r="AB426" s="823">
        <f t="shared" si="74"/>
        <v>1</v>
      </c>
      <c r="AC426" s="40">
        <f t="shared" ca="1" si="76"/>
        <v>1</v>
      </c>
      <c r="AD426" s="41">
        <f t="shared" ca="1" si="77"/>
        <v>0</v>
      </c>
      <c r="AE426" s="181" t="str">
        <f t="shared" ca="1" si="78"/>
        <v/>
      </c>
      <c r="AF426" s="42" t="str">
        <f t="shared" si="81"/>
        <v>SI</v>
      </c>
      <c r="AG426" s="732" t="s">
        <v>5773</v>
      </c>
      <c r="AH426" s="152" t="s">
        <v>1256</v>
      </c>
      <c r="AI426" s="152" t="s">
        <v>2171</v>
      </c>
      <c r="AJ426" s="152" t="s">
        <v>1176</v>
      </c>
      <c r="AK426" s="255" t="s">
        <v>559</v>
      </c>
      <c r="AL426" s="279"/>
      <c r="AM426" s="279" t="s">
        <v>600</v>
      </c>
      <c r="AN426" s="161" t="str">
        <f t="shared" ca="1" si="79"/>
        <v>TERMINO</v>
      </c>
      <c r="AO426" s="160" t="s">
        <v>582</v>
      </c>
      <c r="AP426" s="155" t="s">
        <v>391</v>
      </c>
      <c r="AQ426" s="819" t="str">
        <f>IFERROR(VLOOKUP(E426,'liquidaciones '!$B$2:$C$1048576,2,0),"NO")</f>
        <v>LIQUIDADO</v>
      </c>
      <c r="AR426" s="909" t="str">
        <f>IFERROR(VLOOKUP(E426,'liquidaciones '!$B$2:$I$1048576,8,0),"")</f>
        <v>JAVIER QUINTERO</v>
      </c>
      <c r="AS426" s="312"/>
      <c r="AT426" s="156" t="str">
        <f t="shared" ca="1" si="80"/>
        <v>NO</v>
      </c>
      <c r="AU426" s="156" t="s">
        <v>2597</v>
      </c>
      <c r="AV426" s="406"/>
      <c r="AW426" s="928"/>
      <c r="AX426" s="928"/>
      <c r="AY426" s="928"/>
    </row>
    <row r="427" spans="3:51" ht="20.399999999999999" x14ac:dyDescent="0.3">
      <c r="C427" s="410">
        <v>87</v>
      </c>
      <c r="D427" s="410"/>
      <c r="E427" s="120" t="s">
        <v>2545</v>
      </c>
      <c r="F427" s="254" t="s">
        <v>2023</v>
      </c>
      <c r="G427" s="874">
        <v>800198591</v>
      </c>
      <c r="H427" s="965" t="s">
        <v>2546</v>
      </c>
      <c r="I427" s="875">
        <v>219700000</v>
      </c>
      <c r="J427" s="685" t="s">
        <v>2545</v>
      </c>
      <c r="K427" s="269">
        <v>2016</v>
      </c>
      <c r="L427" s="519">
        <v>42551</v>
      </c>
      <c r="M427" s="270">
        <v>42566</v>
      </c>
      <c r="N427" s="270">
        <v>42931</v>
      </c>
      <c r="O427" s="1099" t="str">
        <f>IF(+Modificaciones!I427=0,"",VLOOKUP(E427,Modificaciones!$B$7:$I$2400,8,0))</f>
        <v/>
      </c>
      <c r="P427" s="115">
        <f>COUNTA(Modificaciones!J427,Modificaciones!L427,Modificaciones!N427,Modificaciones!P427)</f>
        <v>0</v>
      </c>
      <c r="Q427" s="116">
        <f>VLOOKUP(E427,Modificaciones!$B$7:$R$2300,17,0)</f>
        <v>0</v>
      </c>
      <c r="R427" s="117">
        <f>COUNTA(Modificaciones!T427,Modificaciones!V427,Modificaciones!X427,Modificaciones!Z427)</f>
        <v>0</v>
      </c>
      <c r="S427" s="118" t="str">
        <f>IF(Modificaciones!AA427=0,"",VLOOKUP(E427,Modificaciones!$B$7:$AA$2400,26,0))</f>
        <v/>
      </c>
      <c r="T427" s="119" t="str">
        <f>IF(Modificaciones!AB427=0,"",VLOOKUP(E427,Modificaciones!$B$7:$AB$2400,27,0))</f>
        <v/>
      </c>
      <c r="U427" s="1080" t="str">
        <f>+Modificaciones!AC427</f>
        <v/>
      </c>
      <c r="V427" s="825" t="str">
        <f>+Modificaciones!AK427</f>
        <v/>
      </c>
      <c r="W427" s="825">
        <f t="shared" si="75"/>
        <v>42931</v>
      </c>
      <c r="X427" s="59">
        <f t="shared" si="73"/>
        <v>219700000</v>
      </c>
      <c r="Y427" s="151">
        <f>VLOOKUP(E427,Modificaciones!$B$7:$BE$2300,56,0)</f>
        <v>219700000</v>
      </c>
      <c r="Z427" s="84">
        <f t="shared" si="70"/>
        <v>0</v>
      </c>
      <c r="AA427" s="283" t="s">
        <v>2205</v>
      </c>
      <c r="AB427" s="823">
        <f t="shared" si="74"/>
        <v>1</v>
      </c>
      <c r="AC427" s="40">
        <f t="shared" ca="1" si="76"/>
        <v>1</v>
      </c>
      <c r="AD427" s="41">
        <f t="shared" ca="1" si="77"/>
        <v>0</v>
      </c>
      <c r="AE427" s="181" t="str">
        <f t="shared" ca="1" si="78"/>
        <v/>
      </c>
      <c r="AF427" s="42" t="str">
        <f t="shared" si="81"/>
        <v>SI</v>
      </c>
      <c r="AG427" s="1017" t="s">
        <v>4920</v>
      </c>
      <c r="AH427" s="152" t="s">
        <v>1256</v>
      </c>
      <c r="AI427" s="152" t="s">
        <v>1173</v>
      </c>
      <c r="AJ427" s="152" t="s">
        <v>1438</v>
      </c>
      <c r="AK427" s="255" t="s">
        <v>560</v>
      </c>
      <c r="AL427" s="279" t="s">
        <v>1508</v>
      </c>
      <c r="AM427" s="279" t="s">
        <v>600</v>
      </c>
      <c r="AN427" s="161" t="str">
        <f t="shared" ca="1" si="79"/>
        <v>TERMINO</v>
      </c>
      <c r="AO427" s="284" t="s">
        <v>582</v>
      </c>
      <c r="AP427" s="155" t="s">
        <v>390</v>
      </c>
      <c r="AQ427" s="819" t="str">
        <f>IFERROR(VLOOKUP(E427,'liquidaciones '!$B$2:$C$1048576,2,0),"NO")</f>
        <v>LIQUIDADO</v>
      </c>
      <c r="AR427" s="909">
        <f>IFERROR(VLOOKUP(E427,'liquidaciones '!$B$2:$I$1048576,8,0),"")</f>
        <v>0</v>
      </c>
      <c r="AS427" s="312"/>
      <c r="AT427" s="156" t="str">
        <f t="shared" ca="1" si="80"/>
        <v>NO</v>
      </c>
      <c r="AU427" s="156" t="s">
        <v>2902</v>
      </c>
      <c r="AV427" s="406"/>
      <c r="AW427" s="928"/>
      <c r="AX427" s="928"/>
      <c r="AY427" s="928"/>
    </row>
    <row r="428" spans="3:51" ht="28.8" x14ac:dyDescent="0.3">
      <c r="C428" s="410">
        <v>133</v>
      </c>
      <c r="D428" s="410"/>
      <c r="E428" s="120" t="s">
        <v>2547</v>
      </c>
      <c r="F428" s="254" t="s">
        <v>2548</v>
      </c>
      <c r="G428" s="874">
        <v>805006014</v>
      </c>
      <c r="H428" s="965" t="s">
        <v>3026</v>
      </c>
      <c r="I428" s="875">
        <v>1769832</v>
      </c>
      <c r="J428" s="685" t="s">
        <v>2549</v>
      </c>
      <c r="K428" s="269">
        <v>2016</v>
      </c>
      <c r="L428" s="519">
        <v>42564</v>
      </c>
      <c r="M428" s="270">
        <v>42573</v>
      </c>
      <c r="N428" s="270">
        <v>42937</v>
      </c>
      <c r="O428" s="1099" t="str">
        <f>IF(+Modificaciones!I428=0,"",VLOOKUP(E428,Modificaciones!$B$7:$I$2400,8,0))</f>
        <v/>
      </c>
      <c r="P428" s="115">
        <f>COUNTA(Modificaciones!J428,Modificaciones!L428,Modificaciones!N428,Modificaciones!P428)</f>
        <v>0</v>
      </c>
      <c r="Q428" s="116">
        <f>VLOOKUP(E428,Modificaciones!$B$7:$R$2300,17,0)</f>
        <v>0</v>
      </c>
      <c r="R428" s="117">
        <f>COUNTA(Modificaciones!T428,Modificaciones!V428,Modificaciones!X428,Modificaciones!Z428)</f>
        <v>0</v>
      </c>
      <c r="S428" s="118" t="str">
        <f>IF(Modificaciones!AA428=0,"",VLOOKUP(E428,Modificaciones!$B$7:$AA$2400,26,0))</f>
        <v/>
      </c>
      <c r="T428" s="119" t="str">
        <f>IF(Modificaciones!AB428=0,"",VLOOKUP(E428,Modificaciones!$B$7:$AB$2400,27,0))</f>
        <v/>
      </c>
      <c r="U428" s="1080" t="str">
        <f>+Modificaciones!AC428</f>
        <v/>
      </c>
      <c r="V428" s="825" t="str">
        <f>+Modificaciones!AK428</f>
        <v/>
      </c>
      <c r="W428" s="825">
        <f t="shared" si="75"/>
        <v>42937</v>
      </c>
      <c r="X428" s="59">
        <f t="shared" si="73"/>
        <v>1769832</v>
      </c>
      <c r="Y428" s="151">
        <f>VLOOKUP(E428,Modificaciones!$B$7:$BE$2300,56,0)</f>
        <v>1738033</v>
      </c>
      <c r="Z428" s="84">
        <f t="shared" si="70"/>
        <v>31799</v>
      </c>
      <c r="AA428" s="283" t="s">
        <v>1894</v>
      </c>
      <c r="AB428" s="823">
        <f t="shared" si="74"/>
        <v>0.98203275791148537</v>
      </c>
      <c r="AC428" s="40">
        <f t="shared" ca="1" si="76"/>
        <v>1</v>
      </c>
      <c r="AD428" s="41">
        <f t="shared" ca="1" si="77"/>
        <v>1.7967242088514634E-2</v>
      </c>
      <c r="AE428" s="181" t="str">
        <f t="shared" ca="1" si="78"/>
        <v/>
      </c>
      <c r="AF428" s="42" t="str">
        <f t="shared" si="81"/>
        <v>NO</v>
      </c>
      <c r="AG428" s="732" t="s">
        <v>1713</v>
      </c>
      <c r="AH428" s="152" t="s">
        <v>1255</v>
      </c>
      <c r="AI428" s="152" t="s">
        <v>1132</v>
      </c>
      <c r="AJ428" s="152" t="s">
        <v>1441</v>
      </c>
      <c r="AK428" s="255" t="s">
        <v>560</v>
      </c>
      <c r="AL428" s="279"/>
      <c r="AM428" s="279" t="s">
        <v>600</v>
      </c>
      <c r="AN428" s="161" t="str">
        <f t="shared" ca="1" si="79"/>
        <v>TERMINO</v>
      </c>
      <c r="AO428" s="160" t="s">
        <v>576</v>
      </c>
      <c r="AP428" s="155" t="s">
        <v>390</v>
      </c>
      <c r="AQ428" s="819" t="str">
        <f>IFERROR(VLOOKUP(E428,'liquidaciones '!$B$2:$C$1048576,2,0),"NO")</f>
        <v>LIQUIDADO</v>
      </c>
      <c r="AR428" s="909" t="str">
        <f>IFERROR(VLOOKUP(E428,'liquidaciones '!$B$2:$I$1048576,8,0),"")</f>
        <v>MANUEL ROJAS</v>
      </c>
      <c r="AS428" s="312"/>
      <c r="AT428" s="156" t="str">
        <f t="shared" ca="1" si="80"/>
        <v>NO</v>
      </c>
      <c r="AU428" s="156" t="s">
        <v>2973</v>
      </c>
      <c r="AV428" s="932"/>
      <c r="AW428" s="928"/>
      <c r="AX428" s="928"/>
      <c r="AY428" s="928"/>
    </row>
    <row r="429" spans="3:51" ht="87" customHeight="1" x14ac:dyDescent="0.3">
      <c r="C429" s="410">
        <v>142</v>
      </c>
      <c r="D429" s="410" t="str">
        <f>K429&amp;C429</f>
        <v>2016142</v>
      </c>
      <c r="E429" s="120" t="s">
        <v>2550</v>
      </c>
      <c r="F429" s="254" t="s">
        <v>2551</v>
      </c>
      <c r="G429" s="874" t="s">
        <v>2552</v>
      </c>
      <c r="H429" s="965" t="s">
        <v>3027</v>
      </c>
      <c r="I429" s="875">
        <v>12650000</v>
      </c>
      <c r="J429" s="685" t="s">
        <v>2554</v>
      </c>
      <c r="K429" s="269">
        <v>2016</v>
      </c>
      <c r="L429" s="519">
        <v>42558</v>
      </c>
      <c r="M429" s="270">
        <v>42577</v>
      </c>
      <c r="N429" s="270">
        <v>42912</v>
      </c>
      <c r="O429" s="1099" t="str">
        <f>IF(+Modificaciones!I429=0,"",VLOOKUP(E429,Modificaciones!$B$7:$I$2400,8,0))</f>
        <v/>
      </c>
      <c r="P429" s="115">
        <f>COUNTA(Modificaciones!J429,Modificaciones!L429,Modificaciones!N429,Modificaciones!P429)</f>
        <v>1</v>
      </c>
      <c r="Q429" s="116">
        <f>VLOOKUP(E429,Modificaciones!$B$7:$R$2300,17,0)</f>
        <v>2300000</v>
      </c>
      <c r="R429" s="117">
        <f>COUNTA(Modificaciones!T429,Modificaciones!V429,Modificaciones!X429,Modificaciones!Z429)</f>
        <v>1</v>
      </c>
      <c r="S429" s="118" t="str">
        <f>IF(Modificaciones!AA429=0,"",VLOOKUP(E429,Modificaciones!$B$7:$AA$2400,26,0))</f>
        <v>2 meses</v>
      </c>
      <c r="T429" s="119">
        <f>IF(Modificaciones!AB429=0,"",VLOOKUP(E429,Modificaciones!$B$7:$AB$2400,27,0))</f>
        <v>42973</v>
      </c>
      <c r="U429" s="1080" t="str">
        <f>+Modificaciones!AC429</f>
        <v/>
      </c>
      <c r="V429" s="825" t="str">
        <f>+Modificaciones!AK429</f>
        <v/>
      </c>
      <c r="W429" s="825">
        <f t="shared" si="75"/>
        <v>42973</v>
      </c>
      <c r="X429" s="59">
        <f t="shared" si="73"/>
        <v>14950000</v>
      </c>
      <c r="Y429" s="151">
        <f>VLOOKUP(E429,Modificaciones!$B$7:$BE$2300,56,0)</f>
        <v>14950000</v>
      </c>
      <c r="Z429" s="84">
        <f t="shared" si="70"/>
        <v>0</v>
      </c>
      <c r="AA429" s="830" t="s">
        <v>2555</v>
      </c>
      <c r="AB429" s="823">
        <f t="shared" si="74"/>
        <v>1</v>
      </c>
      <c r="AC429" s="40">
        <f t="shared" ca="1" si="76"/>
        <v>1</v>
      </c>
      <c r="AD429" s="41">
        <f t="shared" ca="1" si="77"/>
        <v>0</v>
      </c>
      <c r="AE429" s="181" t="str">
        <f t="shared" ca="1" si="78"/>
        <v/>
      </c>
      <c r="AF429" s="42" t="str">
        <f t="shared" si="81"/>
        <v>SI</v>
      </c>
      <c r="AG429" s="732" t="s">
        <v>1716</v>
      </c>
      <c r="AH429" s="152" t="s">
        <v>1255</v>
      </c>
      <c r="AI429" s="255" t="s">
        <v>2553</v>
      </c>
      <c r="AJ429" s="152"/>
      <c r="AL429" s="279" t="s">
        <v>1379</v>
      </c>
      <c r="AM429" s="279" t="s">
        <v>600</v>
      </c>
      <c r="AN429" s="161" t="str">
        <f t="shared" ca="1" si="79"/>
        <v>TERMINO</v>
      </c>
      <c r="AO429" s="284" t="s">
        <v>574</v>
      </c>
      <c r="AP429" s="155" t="s">
        <v>390</v>
      </c>
      <c r="AQ429" s="819" t="str">
        <f>IFERROR(VLOOKUP(E429,'liquidaciones '!$B$2:$C$1048576,2,0),"NO")</f>
        <v>LIQUIDADO</v>
      </c>
      <c r="AR429" s="909" t="str">
        <f>IFERROR(VLOOKUP(E429,'liquidaciones '!$B$2:$I$1048576,8,0),"")</f>
        <v>JUAN DIEGO ESPITIA</v>
      </c>
      <c r="AS429" s="312"/>
      <c r="AT429" s="156" t="str">
        <f t="shared" ca="1" si="80"/>
        <v>NO</v>
      </c>
      <c r="AU429" s="406" t="s">
        <v>3510</v>
      </c>
      <c r="AV429" s="406"/>
      <c r="AW429" s="928"/>
      <c r="AX429" s="928"/>
      <c r="AY429" s="928"/>
    </row>
    <row r="430" spans="3:51" ht="33.75" customHeight="1" x14ac:dyDescent="0.3">
      <c r="C430" s="410">
        <v>211</v>
      </c>
      <c r="D430" s="410" t="str">
        <f>K430&amp;C430</f>
        <v>2016211</v>
      </c>
      <c r="E430" s="120" t="s">
        <v>2556</v>
      </c>
      <c r="F430" s="254" t="s">
        <v>2557</v>
      </c>
      <c r="G430" s="874" t="s">
        <v>2558</v>
      </c>
      <c r="H430" s="965" t="s">
        <v>2559</v>
      </c>
      <c r="I430" s="875">
        <v>12928000</v>
      </c>
      <c r="J430" s="685" t="s">
        <v>2560</v>
      </c>
      <c r="K430" s="269">
        <v>2016</v>
      </c>
      <c r="L430" s="519">
        <v>42559</v>
      </c>
      <c r="M430" s="270">
        <v>42578</v>
      </c>
      <c r="N430" s="270">
        <v>42793</v>
      </c>
      <c r="O430" s="1099" t="str">
        <f>IF(+Modificaciones!I430=0,"",VLOOKUP(E430,Modificaciones!$B$7:$I$2400,8,0))</f>
        <v/>
      </c>
      <c r="P430" s="115">
        <f>COUNTA(Modificaciones!J430,Modificaciones!L430,Modificaciones!N430,Modificaciones!P430)</f>
        <v>0</v>
      </c>
      <c r="Q430" s="116">
        <f>VLOOKUP(E430,Modificaciones!$B$7:$R$2300,17,0)</f>
        <v>0</v>
      </c>
      <c r="R430" s="117">
        <f>COUNTA(Modificaciones!T430,Modificaciones!V430,Modificaciones!X430,Modificaciones!Z430)</f>
        <v>3</v>
      </c>
      <c r="S430" s="118" t="str">
        <f>IF(Modificaciones!AA430=0,"",VLOOKUP(E430,Modificaciones!$B$7:$AA$2400,26,0))</f>
        <v>9 meses y 3 días</v>
      </c>
      <c r="T430" s="119">
        <f>IF(Modificaciones!AB430=0,"",VLOOKUP(E430,Modificaciones!$B$7:$AB$2400,27,0))</f>
        <v>43069</v>
      </c>
      <c r="U430" s="1080" t="str">
        <f>+Modificaciones!AC430</f>
        <v/>
      </c>
      <c r="V430" s="825" t="str">
        <f>+Modificaciones!AK430</f>
        <v/>
      </c>
      <c r="W430" s="825">
        <f t="shared" si="75"/>
        <v>43069</v>
      </c>
      <c r="X430" s="59">
        <f t="shared" si="73"/>
        <v>12928000</v>
      </c>
      <c r="Y430" s="151">
        <f>VLOOKUP(E430,Modificaciones!$B$7:$BE$2300,56,0)</f>
        <v>6372500</v>
      </c>
      <c r="Z430" s="84">
        <f t="shared" si="70"/>
        <v>6555500</v>
      </c>
      <c r="AA430" s="288" t="s">
        <v>1186</v>
      </c>
      <c r="AB430" s="823">
        <f t="shared" si="74"/>
        <v>0.49292233910891087</v>
      </c>
      <c r="AC430" s="40">
        <f t="shared" ca="1" si="76"/>
        <v>1</v>
      </c>
      <c r="AD430" s="41">
        <f t="shared" ca="1" si="77"/>
        <v>0.50707766089108919</v>
      </c>
      <c r="AE430" s="181" t="str">
        <f t="shared" ca="1" si="78"/>
        <v/>
      </c>
      <c r="AF430" s="42" t="str">
        <f t="shared" si="81"/>
        <v>NO</v>
      </c>
      <c r="AG430" s="732"/>
      <c r="AH430" s="152" t="s">
        <v>1255</v>
      </c>
      <c r="AI430" s="255" t="s">
        <v>1135</v>
      </c>
      <c r="AJ430" s="152" t="s">
        <v>1441</v>
      </c>
      <c r="AK430" s="255" t="s">
        <v>560</v>
      </c>
      <c r="AL430" s="153" t="s">
        <v>1379</v>
      </c>
      <c r="AM430" s="279" t="s">
        <v>600</v>
      </c>
      <c r="AN430" s="161" t="str">
        <f t="shared" ca="1" si="79"/>
        <v>TERMINO</v>
      </c>
      <c r="AO430" s="160" t="s">
        <v>576</v>
      </c>
      <c r="AP430" s="155" t="s">
        <v>390</v>
      </c>
      <c r="AQ430" s="819" t="str">
        <f>IFERROR(VLOOKUP(E430,'liquidaciones '!$B$2:$C$1048576,2,0),"NO")</f>
        <v>LIQUIDADO</v>
      </c>
      <c r="AR430" s="909">
        <f>IFERROR(VLOOKUP(E430,'liquidaciones '!$B$2:$I$1048576,8,0),"")</f>
        <v>0</v>
      </c>
      <c r="AS430" s="312"/>
      <c r="AT430" s="156" t="str">
        <f t="shared" ca="1" si="80"/>
        <v>NO</v>
      </c>
      <c r="AU430" s="406"/>
      <c r="AV430" s="96"/>
      <c r="AW430" s="928"/>
      <c r="AX430" s="928"/>
      <c r="AY430" s="928"/>
    </row>
    <row r="431" spans="3:51" ht="20.399999999999999" x14ac:dyDescent="0.3">
      <c r="C431" s="972">
        <v>151</v>
      </c>
      <c r="D431" s="410"/>
      <c r="E431" s="120" t="s">
        <v>2561</v>
      </c>
      <c r="F431" s="254" t="s">
        <v>144</v>
      </c>
      <c r="G431" s="874">
        <v>900450570</v>
      </c>
      <c r="H431" s="965" t="s">
        <v>2562</v>
      </c>
      <c r="I431" s="875">
        <v>230623200</v>
      </c>
      <c r="J431" s="685" t="s">
        <v>2561</v>
      </c>
      <c r="K431" s="269">
        <v>2016</v>
      </c>
      <c r="L431" s="519">
        <v>42577</v>
      </c>
      <c r="M431" s="270">
        <v>42583</v>
      </c>
      <c r="N431" s="270">
        <v>42767</v>
      </c>
      <c r="O431" s="1099" t="str">
        <f>IF(+Modificaciones!I431=0,"",VLOOKUP(E431,Modificaciones!$B$7:$I$2400,8,0))</f>
        <v/>
      </c>
      <c r="P431" s="115">
        <f>COUNTA(Modificaciones!J431,Modificaciones!L431,Modificaciones!N431,Modificaciones!P431)</f>
        <v>0</v>
      </c>
      <c r="Q431" s="116">
        <f>VLOOKUP(E431,Modificaciones!$B$7:$R$2300,17,0)</f>
        <v>0</v>
      </c>
      <c r="R431" s="117">
        <f>COUNTA(Modificaciones!T431,Modificaciones!V431,Modificaciones!X431,Modificaciones!Z431)</f>
        <v>0</v>
      </c>
      <c r="S431" s="118" t="str">
        <f>IF(Modificaciones!AA431=0,"",VLOOKUP(E431,Modificaciones!$B$7:$AA$2400,26,0))</f>
        <v/>
      </c>
      <c r="T431" s="119" t="str">
        <f>IF(Modificaciones!AB431=0,"",VLOOKUP(E431,Modificaciones!$B$7:$AB$2400,27,0))</f>
        <v/>
      </c>
      <c r="U431" s="1080" t="str">
        <f>+Modificaciones!AC431</f>
        <v/>
      </c>
      <c r="V431" s="825" t="str">
        <f>+Modificaciones!AK431</f>
        <v/>
      </c>
      <c r="W431" s="825">
        <f t="shared" si="75"/>
        <v>42767</v>
      </c>
      <c r="X431" s="59">
        <f t="shared" si="73"/>
        <v>230623200</v>
      </c>
      <c r="Y431" s="151">
        <f>VLOOKUP(E431,Modificaciones!$B$7:$BE$2300,56,0)</f>
        <v>230623200</v>
      </c>
      <c r="Z431" s="84">
        <f t="shared" si="70"/>
        <v>0</v>
      </c>
      <c r="AA431" s="283" t="s">
        <v>1616</v>
      </c>
      <c r="AB431" s="823">
        <f t="shared" si="74"/>
        <v>1</v>
      </c>
      <c r="AC431" s="40">
        <f t="shared" ca="1" si="76"/>
        <v>1</v>
      </c>
      <c r="AD431" s="41">
        <f t="shared" ca="1" si="77"/>
        <v>0</v>
      </c>
      <c r="AE431" s="181" t="str">
        <f t="shared" ca="1" si="78"/>
        <v/>
      </c>
      <c r="AF431" s="42" t="str">
        <f t="shared" si="81"/>
        <v>SI</v>
      </c>
      <c r="AG431" s="732" t="s">
        <v>1719</v>
      </c>
      <c r="AH431" s="152" t="s">
        <v>1255</v>
      </c>
      <c r="AI431" s="152" t="s">
        <v>1145</v>
      </c>
      <c r="AJ431" s="152" t="s">
        <v>1441</v>
      </c>
      <c r="AK431" s="255" t="s">
        <v>560</v>
      </c>
      <c r="AL431" s="153" t="s">
        <v>1318</v>
      </c>
      <c r="AM431" s="279" t="s">
        <v>600</v>
      </c>
      <c r="AN431" s="161" t="str">
        <f t="shared" ca="1" si="79"/>
        <v>TERMINO</v>
      </c>
      <c r="AO431" s="284" t="s">
        <v>582</v>
      </c>
      <c r="AP431" s="155" t="s">
        <v>390</v>
      </c>
      <c r="AQ431" s="819" t="str">
        <f>IFERROR(VLOOKUP(E431,'liquidaciones '!$B$2:$C$1048576,2,0),"NO")</f>
        <v>LIQUIDADO</v>
      </c>
      <c r="AR431" s="909" t="str">
        <f>IFERROR(VLOOKUP(E431,'liquidaciones '!$B$2:$I$1048576,8,0),"")</f>
        <v>MANUEL ROJAS</v>
      </c>
      <c r="AS431" s="312"/>
      <c r="AT431" s="156" t="str">
        <f t="shared" ca="1" si="80"/>
        <v>NO</v>
      </c>
      <c r="AU431" s="406" t="s">
        <v>3511</v>
      </c>
      <c r="AV431" s="406"/>
      <c r="AW431" s="928"/>
      <c r="AX431" s="928"/>
      <c r="AY431" s="928"/>
    </row>
    <row r="432" spans="3:51" ht="66.75" customHeight="1" x14ac:dyDescent="0.3">
      <c r="C432" s="410">
        <v>130</v>
      </c>
      <c r="D432" s="410"/>
      <c r="E432" s="120" t="s">
        <v>2563</v>
      </c>
      <c r="F432" s="254" t="s">
        <v>203</v>
      </c>
      <c r="G432" s="874">
        <v>860049921</v>
      </c>
      <c r="H432" s="965" t="s">
        <v>2564</v>
      </c>
      <c r="I432" s="875">
        <v>9280000</v>
      </c>
      <c r="J432" s="685" t="s">
        <v>2565</v>
      </c>
      <c r="K432" s="269">
        <v>2016</v>
      </c>
      <c r="L432" s="519">
        <v>42559</v>
      </c>
      <c r="M432" s="270">
        <v>42580</v>
      </c>
      <c r="N432" s="270">
        <v>42703</v>
      </c>
      <c r="O432" s="1099" t="str">
        <f>IF(+Modificaciones!I432=0,"",VLOOKUP(E432,Modificaciones!$B$7:$I$2400,8,0))</f>
        <v/>
      </c>
      <c r="P432" s="115">
        <f>COUNTA(Modificaciones!J432,Modificaciones!L432,Modificaciones!N432,Modificaciones!P432)</f>
        <v>0</v>
      </c>
      <c r="Q432" s="116">
        <f>VLOOKUP(E432,Modificaciones!$B$7:$R$2300,17,0)</f>
        <v>0</v>
      </c>
      <c r="R432" s="117">
        <f>COUNTA(Modificaciones!T432,Modificaciones!V432,Modificaciones!X432,Modificaciones!Z432)</f>
        <v>0</v>
      </c>
      <c r="S432" s="118" t="str">
        <f>IF(Modificaciones!AA432=0,"",VLOOKUP(E432,Modificaciones!$B$7:$AA$2400,26,0))</f>
        <v/>
      </c>
      <c r="T432" s="119" t="str">
        <f>IF(Modificaciones!AB432=0,"",VLOOKUP(E432,Modificaciones!$B$7:$AB$2400,27,0))</f>
        <v/>
      </c>
      <c r="U432" s="1080" t="str">
        <f>+Modificaciones!AC432</f>
        <v/>
      </c>
      <c r="V432" s="825" t="str">
        <f>+Modificaciones!AK432</f>
        <v/>
      </c>
      <c r="W432" s="825">
        <f t="shared" si="75"/>
        <v>42703</v>
      </c>
      <c r="X432" s="59">
        <f t="shared" si="73"/>
        <v>9280000</v>
      </c>
      <c r="Y432" s="151">
        <f>VLOOKUP(E432,Modificaciones!$B$7:$BE$2300,56,0)</f>
        <v>9280000</v>
      </c>
      <c r="Z432" s="84">
        <f t="shared" si="70"/>
        <v>0</v>
      </c>
      <c r="AA432" s="829" t="s">
        <v>2566</v>
      </c>
      <c r="AB432" s="823">
        <f t="shared" si="74"/>
        <v>1</v>
      </c>
      <c r="AC432" s="40">
        <f t="shared" ca="1" si="76"/>
        <v>1</v>
      </c>
      <c r="AD432" s="41">
        <f t="shared" ca="1" si="77"/>
        <v>0</v>
      </c>
      <c r="AE432" s="181" t="str">
        <f t="shared" ca="1" si="78"/>
        <v/>
      </c>
      <c r="AF432" s="42" t="str">
        <f t="shared" si="81"/>
        <v>SI</v>
      </c>
      <c r="AG432" s="1017" t="s">
        <v>4920</v>
      </c>
      <c r="AH432" s="152" t="s">
        <v>1255</v>
      </c>
      <c r="AI432" s="255" t="s">
        <v>1973</v>
      </c>
      <c r="AJ432" s="152"/>
      <c r="AK432" s="255" t="s">
        <v>563</v>
      </c>
      <c r="AL432" s="279" t="s">
        <v>1974</v>
      </c>
      <c r="AM432" s="279" t="s">
        <v>600</v>
      </c>
      <c r="AN432" s="161" t="str">
        <f t="shared" ca="1" si="79"/>
        <v>TERMINO</v>
      </c>
      <c r="AO432" s="284" t="s">
        <v>582</v>
      </c>
      <c r="AP432" s="155" t="s">
        <v>390</v>
      </c>
      <c r="AQ432" s="819" t="str">
        <f>IFERROR(VLOOKUP(E432,'liquidaciones '!$B$2:$C$1048576,2,0),"NO")</f>
        <v>LIQUIDADO</v>
      </c>
      <c r="AR432" s="909" t="str">
        <f>IFERROR(VLOOKUP(E432,'liquidaciones '!$B$2:$I$1048576,8,0),"")</f>
        <v>CLAUDIA VANEGAS</v>
      </c>
      <c r="AS432" s="312"/>
      <c r="AT432" s="156" t="str">
        <f t="shared" ca="1" si="80"/>
        <v>NO</v>
      </c>
      <c r="AU432" s="156" t="s">
        <v>2598</v>
      </c>
      <c r="AV432" s="933"/>
      <c r="AW432" s="928"/>
      <c r="AX432" s="928"/>
      <c r="AY432" s="928"/>
    </row>
    <row r="433" spans="3:51" ht="51" x14ac:dyDescent="0.3">
      <c r="C433" s="410">
        <v>221</v>
      </c>
      <c r="D433" s="410" t="str">
        <f t="shared" ref="D433:D449" si="82">K433&amp;C433</f>
        <v>2016221</v>
      </c>
      <c r="E433" s="120" t="s">
        <v>2567</v>
      </c>
      <c r="F433" s="254" t="s">
        <v>233</v>
      </c>
      <c r="G433" s="874">
        <v>860536079</v>
      </c>
      <c r="H433" s="965" t="s">
        <v>2568</v>
      </c>
      <c r="I433" s="875">
        <v>2605500</v>
      </c>
      <c r="J433" s="685" t="s">
        <v>2569</v>
      </c>
      <c r="K433" s="269">
        <v>2016</v>
      </c>
      <c r="L433" s="519">
        <v>42570</v>
      </c>
      <c r="M433" s="270">
        <v>42583</v>
      </c>
      <c r="N433" s="270">
        <v>42767</v>
      </c>
      <c r="O433" s="1099" t="str">
        <f>IF(+Modificaciones!I433=0,"",VLOOKUP(E433,Modificaciones!$B$7:$I$2400,8,0))</f>
        <v/>
      </c>
      <c r="P433" s="115">
        <f>COUNTA(Modificaciones!J433,Modificaciones!L433,Modificaciones!N433,Modificaciones!P433)</f>
        <v>0</v>
      </c>
      <c r="Q433" s="116">
        <f>VLOOKUP(E433,Modificaciones!$B$7:$R$2300,17,0)</f>
        <v>0</v>
      </c>
      <c r="R433" s="117">
        <f>COUNTA(Modificaciones!T433,Modificaciones!V433,Modificaciones!X433,Modificaciones!Z433)</f>
        <v>0</v>
      </c>
      <c r="S433" s="118" t="str">
        <f>IF(Modificaciones!AA433=0,"",VLOOKUP(E433,Modificaciones!$B$7:$AA$2400,26,0))</f>
        <v/>
      </c>
      <c r="T433" s="119" t="str">
        <f>IF(Modificaciones!AB433=0,"",VLOOKUP(E433,Modificaciones!$B$7:$AB$2400,27,0))</f>
        <v/>
      </c>
      <c r="U433" s="1080" t="str">
        <f>+Modificaciones!AC433</f>
        <v/>
      </c>
      <c r="V433" s="825" t="str">
        <f>+Modificaciones!AK433</f>
        <v/>
      </c>
      <c r="W433" s="825">
        <f t="shared" si="75"/>
        <v>42767</v>
      </c>
      <c r="X433" s="59">
        <f t="shared" si="73"/>
        <v>2605500</v>
      </c>
      <c r="Y433" s="151">
        <f>VLOOKUP(E433,Modificaciones!$B$7:$BE$2300,56,0)</f>
        <v>1401008</v>
      </c>
      <c r="Z433" s="84">
        <f t="shared" si="70"/>
        <v>1204492</v>
      </c>
      <c r="AA433" s="415" t="s">
        <v>2570</v>
      </c>
      <c r="AB433" s="823">
        <f t="shared" si="74"/>
        <v>0.53771176357704853</v>
      </c>
      <c r="AC433" s="40">
        <f t="shared" ca="1" si="76"/>
        <v>1</v>
      </c>
      <c r="AD433" s="41">
        <f t="shared" ca="1" si="77"/>
        <v>0.46228823642295147</v>
      </c>
      <c r="AE433" s="181" t="str">
        <f t="shared" ca="1" si="78"/>
        <v/>
      </c>
      <c r="AF433" s="42" t="str">
        <f t="shared" si="81"/>
        <v>NO</v>
      </c>
      <c r="AG433" s="1017" t="s">
        <v>4920</v>
      </c>
      <c r="AH433" s="152" t="s">
        <v>1255</v>
      </c>
      <c r="AI433" s="255" t="s">
        <v>1167</v>
      </c>
      <c r="AJ433" s="152" t="s">
        <v>1441</v>
      </c>
      <c r="AK433" s="255" t="s">
        <v>560</v>
      </c>
      <c r="AL433" s="153" t="s">
        <v>1386</v>
      </c>
      <c r="AM433" s="279" t="s">
        <v>600</v>
      </c>
      <c r="AN433" s="161" t="str">
        <f t="shared" ca="1" si="79"/>
        <v>TERMINO</v>
      </c>
      <c r="AO433" s="160" t="s">
        <v>576</v>
      </c>
      <c r="AP433" s="155" t="s">
        <v>390</v>
      </c>
      <c r="AQ433" s="819" t="str">
        <f>IFERROR(VLOOKUP(E433,'liquidaciones '!$B$2:$C$1048576,2,0),"NO")</f>
        <v>LIQUIDADO</v>
      </c>
      <c r="AR433" s="909" t="str">
        <f>IFERROR(VLOOKUP(E433,'liquidaciones '!$B$2:$I$1048576,8,0),"")</f>
        <v>MANUEL ROJAS</v>
      </c>
      <c r="AS433" s="312"/>
      <c r="AT433" s="156" t="str">
        <f t="shared" ca="1" si="80"/>
        <v>NO</v>
      </c>
      <c r="AU433" s="156" t="s">
        <v>2600</v>
      </c>
      <c r="AV433" s="406"/>
      <c r="AW433" s="928"/>
      <c r="AX433" s="928"/>
      <c r="AY433" s="928"/>
    </row>
    <row r="434" spans="3:51" ht="40.799999999999997" x14ac:dyDescent="0.3">
      <c r="C434" s="410">
        <v>147</v>
      </c>
      <c r="D434" s="410" t="str">
        <f t="shared" si="82"/>
        <v>2016147</v>
      </c>
      <c r="E434" s="120" t="s">
        <v>2571</v>
      </c>
      <c r="F434" s="254" t="s">
        <v>1993</v>
      </c>
      <c r="G434" s="874">
        <v>860053195</v>
      </c>
      <c r="H434" s="965" t="s">
        <v>2572</v>
      </c>
      <c r="I434" s="875">
        <v>53583000</v>
      </c>
      <c r="J434" s="685" t="s">
        <v>2573</v>
      </c>
      <c r="K434" s="269">
        <v>2016</v>
      </c>
      <c r="L434" s="519">
        <v>42556</v>
      </c>
      <c r="M434" s="270">
        <v>42579</v>
      </c>
      <c r="N434" s="270">
        <v>42794</v>
      </c>
      <c r="O434" s="1099" t="str">
        <f>IF(+Modificaciones!I434=0,"",VLOOKUP(E434,Modificaciones!$B$7:$I$2400,8,0))</f>
        <v/>
      </c>
      <c r="P434" s="115">
        <f>COUNTA(Modificaciones!J434,Modificaciones!L434,Modificaciones!N434,Modificaciones!P434)</f>
        <v>0</v>
      </c>
      <c r="Q434" s="116">
        <f>VLOOKUP(E434,Modificaciones!$B$7:$R$2300,17,0)</f>
        <v>0</v>
      </c>
      <c r="R434" s="117">
        <f>COUNTA(Modificaciones!T434,Modificaciones!V434,Modificaciones!X434,Modificaciones!Z434)</f>
        <v>2</v>
      </c>
      <c r="S434" s="118" t="str">
        <f>IF(Modificaciones!AA434=0,"",VLOOKUP(E434,Modificaciones!$B$7:$AA$2400,26,0))</f>
        <v>2 meses y 14 días</v>
      </c>
      <c r="T434" s="119">
        <f>IF(Modificaciones!AB434=0,"",VLOOKUP(E434,Modificaciones!$B$7:$AB$2400,27,0))</f>
        <v>42867</v>
      </c>
      <c r="U434" s="1080" t="str">
        <f>+Modificaciones!AC434</f>
        <v/>
      </c>
      <c r="V434" s="825" t="str">
        <f>+Modificaciones!AK434</f>
        <v/>
      </c>
      <c r="W434" s="825">
        <f t="shared" si="75"/>
        <v>42867</v>
      </c>
      <c r="X434" s="59">
        <f t="shared" si="73"/>
        <v>53583000</v>
      </c>
      <c r="Y434" s="151">
        <f>VLOOKUP(E434,Modificaciones!$B$7:$BE$2300,56,0)</f>
        <v>52663167</v>
      </c>
      <c r="Z434" s="84">
        <f t="shared" si="70"/>
        <v>919833</v>
      </c>
      <c r="AA434" s="283" t="s">
        <v>1966</v>
      </c>
      <c r="AB434" s="823">
        <f t="shared" si="74"/>
        <v>0.98283349196573544</v>
      </c>
      <c r="AC434" s="40">
        <f t="shared" ca="1" si="76"/>
        <v>1</v>
      </c>
      <c r="AD434" s="41">
        <f t="shared" ca="1" si="77"/>
        <v>1.716650803426456E-2</v>
      </c>
      <c r="AE434" s="181" t="str">
        <f t="shared" ca="1" si="78"/>
        <v/>
      </c>
      <c r="AF434" s="42" t="str">
        <f t="shared" ref="AF434:AF465" si="83">IF(AB434&lt;=99.9%,"NO","SI")</f>
        <v>NO</v>
      </c>
      <c r="AG434" s="732" t="s">
        <v>1712</v>
      </c>
      <c r="AH434" s="152" t="s">
        <v>1255</v>
      </c>
      <c r="AI434" s="255" t="s">
        <v>1134</v>
      </c>
      <c r="AJ434" s="152"/>
      <c r="AK434" s="255" t="s">
        <v>562</v>
      </c>
      <c r="AL434" s="279" t="s">
        <v>1383</v>
      </c>
      <c r="AM434" s="279" t="s">
        <v>600</v>
      </c>
      <c r="AN434" s="161" t="str">
        <f t="shared" ca="1" si="79"/>
        <v>TERMINO</v>
      </c>
      <c r="AO434" s="160" t="s">
        <v>576</v>
      </c>
      <c r="AP434" s="155" t="s">
        <v>390</v>
      </c>
      <c r="AQ434" s="819" t="str">
        <f>IFERROR(VLOOKUP(E434,'liquidaciones '!$B$2:$C$1048576,2,0),"NO")</f>
        <v>LIQUIDADO</v>
      </c>
      <c r="AR434" s="909" t="str">
        <f>IFERROR(VLOOKUP(E434,'liquidaciones '!$B$2:$I$1048576,8,0),"")</f>
        <v>MANUEL ROJAS</v>
      </c>
      <c r="AS434" s="312"/>
      <c r="AT434" s="156" t="str">
        <f t="shared" ca="1" si="80"/>
        <v>NO</v>
      </c>
      <c r="AU434" s="156" t="s">
        <v>2597</v>
      </c>
      <c r="AV434" s="932"/>
      <c r="AW434" s="928"/>
      <c r="AX434" s="928"/>
      <c r="AY434" s="928"/>
    </row>
    <row r="435" spans="3:51" ht="71.400000000000006" x14ac:dyDescent="0.3">
      <c r="C435" s="410">
        <v>218</v>
      </c>
      <c r="D435" s="410" t="str">
        <f t="shared" si="82"/>
        <v>2016218</v>
      </c>
      <c r="E435" s="120" t="s">
        <v>2574</v>
      </c>
      <c r="F435" s="824" t="s">
        <v>2575</v>
      </c>
      <c r="G435" s="874">
        <v>900987382</v>
      </c>
      <c r="H435" s="965" t="s">
        <v>3028</v>
      </c>
      <c r="I435" s="875">
        <v>221382000</v>
      </c>
      <c r="J435" s="685" t="s">
        <v>2577</v>
      </c>
      <c r="K435" s="269">
        <v>2016</v>
      </c>
      <c r="L435" s="519">
        <v>42564</v>
      </c>
      <c r="M435" s="826">
        <v>42587</v>
      </c>
      <c r="N435" s="826">
        <v>42891</v>
      </c>
      <c r="O435" s="1099" t="str">
        <f>IF(+Modificaciones!I435=0,"",VLOOKUP(E435,Modificaciones!$B$7:$I$2400,8,0))</f>
        <v/>
      </c>
      <c r="P435" s="115">
        <f>COUNTA(Modificaciones!J435,Modificaciones!L435,Modificaciones!N435,Modificaciones!P435)</f>
        <v>1</v>
      </c>
      <c r="Q435" s="116">
        <f>VLOOKUP(E435,Modificaciones!$B$7:$R$2300,17,0)</f>
        <v>20000000</v>
      </c>
      <c r="R435" s="117">
        <f>COUNTA(Modificaciones!T435,Modificaciones!V435,Modificaciones!X435,Modificaciones!Z435)</f>
        <v>1</v>
      </c>
      <c r="S435" s="118" t="str">
        <f>IF(Modificaciones!AA435=0,"",VLOOKUP(E435,Modificaciones!$B$7:$AA$2400,26,0))</f>
        <v>2 meses</v>
      </c>
      <c r="T435" s="119">
        <f>IF(Modificaciones!AB435=0,"",VLOOKUP(E435,Modificaciones!$B$7:$AB$2400,27,0))</f>
        <v>42952</v>
      </c>
      <c r="U435" s="1080" t="str">
        <f>+Modificaciones!AC435</f>
        <v/>
      </c>
      <c r="V435" s="825" t="str">
        <f>+Modificaciones!AK435</f>
        <v/>
      </c>
      <c r="W435" s="825">
        <f t="shared" si="75"/>
        <v>42952</v>
      </c>
      <c r="X435" s="59">
        <f t="shared" si="73"/>
        <v>241382000</v>
      </c>
      <c r="Y435" s="151">
        <f>VLOOKUP(E435,Modificaciones!$B$7:$BE$2300,56,0)</f>
        <v>232662768</v>
      </c>
      <c r="Z435" s="84">
        <f t="shared" si="70"/>
        <v>8719232</v>
      </c>
      <c r="AA435" s="84" t="s">
        <v>2576</v>
      </c>
      <c r="AB435" s="823">
        <f t="shared" si="74"/>
        <v>0.96387786993230651</v>
      </c>
      <c r="AC435" s="40">
        <f t="shared" ca="1" si="76"/>
        <v>1</v>
      </c>
      <c r="AD435" s="41">
        <f t="shared" ca="1" si="77"/>
        <v>3.6122130067693492E-2</v>
      </c>
      <c r="AE435" s="181" t="str">
        <f t="shared" ca="1" si="78"/>
        <v/>
      </c>
      <c r="AF435" s="42" t="str">
        <f t="shared" si="83"/>
        <v>NO</v>
      </c>
      <c r="AG435" s="732" t="s">
        <v>1716</v>
      </c>
      <c r="AH435" s="152" t="s">
        <v>1255</v>
      </c>
      <c r="AI435" s="255" t="s">
        <v>2553</v>
      </c>
      <c r="AJ435" s="152"/>
      <c r="AL435" s="279" t="s">
        <v>1379</v>
      </c>
      <c r="AM435" s="279" t="s">
        <v>600</v>
      </c>
      <c r="AN435" s="161" t="str">
        <f t="shared" ca="1" si="79"/>
        <v>TERMINO</v>
      </c>
      <c r="AO435" s="284" t="s">
        <v>574</v>
      </c>
      <c r="AP435" s="155" t="s">
        <v>390</v>
      </c>
      <c r="AQ435" s="819" t="str">
        <f>IFERROR(VLOOKUP(E435,'liquidaciones '!$B$2:$C$1048576,2,0),"NO")</f>
        <v>LIQUIDADO</v>
      </c>
      <c r="AR435" s="909">
        <f>IFERROR(VLOOKUP(E435,'liquidaciones '!$B$2:$I$1048576,8,0),"")</f>
        <v>0</v>
      </c>
      <c r="AS435" s="312"/>
      <c r="AT435" s="156" t="str">
        <f t="shared" ca="1" si="80"/>
        <v>NO</v>
      </c>
      <c r="AU435" s="406" t="s">
        <v>3508</v>
      </c>
      <c r="AV435" s="406"/>
      <c r="AW435" s="928"/>
      <c r="AX435" s="928"/>
      <c r="AY435" s="928"/>
    </row>
    <row r="436" spans="3:51" ht="62.25" customHeight="1" x14ac:dyDescent="0.3">
      <c r="C436" s="410">
        <v>214</v>
      </c>
      <c r="D436" s="410" t="str">
        <f t="shared" si="82"/>
        <v>2016214</v>
      </c>
      <c r="E436" s="120" t="s">
        <v>2578</v>
      </c>
      <c r="F436" s="824" t="s">
        <v>38</v>
      </c>
      <c r="G436" s="874">
        <v>830053669</v>
      </c>
      <c r="H436" s="965" t="s">
        <v>2579</v>
      </c>
      <c r="I436" s="875">
        <v>26540000</v>
      </c>
      <c r="J436" s="685" t="s">
        <v>2586</v>
      </c>
      <c r="K436" s="269">
        <v>2016</v>
      </c>
      <c r="L436" s="519">
        <v>42580</v>
      </c>
      <c r="M436" s="826">
        <v>42583</v>
      </c>
      <c r="N436" s="826">
        <v>42767</v>
      </c>
      <c r="O436" s="1099" t="str">
        <f>IF(+Modificaciones!I436=0,"",VLOOKUP(E436,Modificaciones!$B$7:$I$2400,8,0))</f>
        <v/>
      </c>
      <c r="P436" s="115">
        <f>COUNTA(Modificaciones!J436,Modificaciones!L436,Modificaciones!N436,Modificaciones!P436)</f>
        <v>2</v>
      </c>
      <c r="Q436" s="116">
        <f>VLOOKUP(E436,Modificaciones!$B$7:$R$2300,17,0)</f>
        <v>9100000</v>
      </c>
      <c r="R436" s="117">
        <f>COUNTA(Modificaciones!T436,Modificaciones!V436,Modificaciones!X436,Modificaciones!Z436)</f>
        <v>4</v>
      </c>
      <c r="S436" s="118" t="str">
        <f>IF(Modificaciones!AA436=0,"",VLOOKUP(E436,Modificaciones!$B$7:$AA$2400,26,0))</f>
        <v xml:space="preserve">9 meses </v>
      </c>
      <c r="T436" s="119">
        <f>IF(Modificaciones!AB436=0,"",VLOOKUP(E436,Modificaciones!$B$7:$AB$2400,27,0))</f>
        <v>43040</v>
      </c>
      <c r="U436" s="1080" t="str">
        <f>+Modificaciones!AC436</f>
        <v/>
      </c>
      <c r="V436" s="825" t="str">
        <f>+Modificaciones!AK436</f>
        <v/>
      </c>
      <c r="W436" s="825">
        <f t="shared" si="75"/>
        <v>43040</v>
      </c>
      <c r="X436" s="59">
        <f t="shared" si="73"/>
        <v>35640000</v>
      </c>
      <c r="Y436" s="151">
        <f>VLOOKUP(E436,Modificaciones!$B$7:$BE$2300,56,0)</f>
        <v>34624047</v>
      </c>
      <c r="Z436" s="84">
        <f t="shared" si="70"/>
        <v>1015953</v>
      </c>
      <c r="AA436" s="283" t="s">
        <v>1962</v>
      </c>
      <c r="AB436" s="823">
        <f t="shared" si="74"/>
        <v>0.97149402356902359</v>
      </c>
      <c r="AC436" s="40">
        <f t="shared" ca="1" si="76"/>
        <v>1</v>
      </c>
      <c r="AD436" s="41">
        <f t="shared" ca="1" si="77"/>
        <v>2.850597643097641E-2</v>
      </c>
      <c r="AE436" s="181" t="str">
        <f t="shared" ca="1" si="78"/>
        <v/>
      </c>
      <c r="AF436" s="42" t="str">
        <f t="shared" si="83"/>
        <v>NO</v>
      </c>
      <c r="AG436" s="1017" t="s">
        <v>4920</v>
      </c>
      <c r="AH436" s="152" t="s">
        <v>1255</v>
      </c>
      <c r="AI436" s="255" t="s">
        <v>1139</v>
      </c>
      <c r="AJ436" s="152" t="s">
        <v>1441</v>
      </c>
      <c r="AK436" s="255" t="s">
        <v>560</v>
      </c>
      <c r="AL436" s="153" t="s">
        <v>1378</v>
      </c>
      <c r="AM436" s="279" t="s">
        <v>600</v>
      </c>
      <c r="AN436" s="161" t="str">
        <f t="shared" ca="1" si="79"/>
        <v>TERMINO</v>
      </c>
      <c r="AO436" s="284" t="s">
        <v>575</v>
      </c>
      <c r="AP436" s="155" t="s">
        <v>390</v>
      </c>
      <c r="AQ436" s="819" t="str">
        <f>IFERROR(VLOOKUP(E436,'liquidaciones '!$B$2:$C$1048576,2,0),"NO")</f>
        <v>LIQUIDADO</v>
      </c>
      <c r="AR436" s="909">
        <f>IFERROR(VLOOKUP(E436,'liquidaciones '!$B$2:$I$1048576,8,0),"")</f>
        <v>0</v>
      </c>
      <c r="AS436" s="312"/>
      <c r="AT436" s="156" t="str">
        <f t="shared" ca="1" si="80"/>
        <v>NO</v>
      </c>
      <c r="AU436" s="406" t="s">
        <v>3050</v>
      </c>
      <c r="AV436" s="406"/>
      <c r="AW436" s="928"/>
      <c r="AX436" s="928"/>
      <c r="AY436" s="928"/>
    </row>
    <row r="437" spans="3:51" ht="50.25" customHeight="1" x14ac:dyDescent="0.3">
      <c r="C437" s="410">
        <v>230</v>
      </c>
      <c r="D437" s="410" t="str">
        <f t="shared" si="82"/>
        <v>2016230</v>
      </c>
      <c r="E437" s="120" t="s">
        <v>3392</v>
      </c>
      <c r="F437" s="824" t="s">
        <v>2215</v>
      </c>
      <c r="G437" s="874">
        <v>890900267</v>
      </c>
      <c r="H437" s="965" t="s">
        <v>2217</v>
      </c>
      <c r="I437" s="875">
        <v>6180000</v>
      </c>
      <c r="J437" s="685" t="s">
        <v>2580</v>
      </c>
      <c r="K437" s="269">
        <v>2016</v>
      </c>
      <c r="L437" s="519">
        <v>42570</v>
      </c>
      <c r="M437" s="826">
        <v>42590</v>
      </c>
      <c r="N437" s="826">
        <v>42682</v>
      </c>
      <c r="O437" s="1099" t="str">
        <f>IF(+Modificaciones!I437=0,"",VLOOKUP(E437,Modificaciones!$B$7:$I$2400,8,0))</f>
        <v/>
      </c>
      <c r="P437" s="115">
        <f>COUNTA(Modificaciones!J437,Modificaciones!L437,Modificaciones!N437,Modificaciones!P437)</f>
        <v>0</v>
      </c>
      <c r="Q437" s="116">
        <f>VLOOKUP(E437,Modificaciones!$B$7:$R$2300,17,0)</f>
        <v>0</v>
      </c>
      <c r="R437" s="117">
        <f>COUNTA(Modificaciones!T437,Modificaciones!V437,Modificaciones!X437,Modificaciones!Z437)</f>
        <v>0</v>
      </c>
      <c r="S437" s="118" t="str">
        <f>IF(Modificaciones!AA437=0,"",VLOOKUP(E437,Modificaciones!$B$7:$AA$2400,26,0))</f>
        <v/>
      </c>
      <c r="T437" s="119" t="str">
        <f>IF(Modificaciones!AB437=0,"",VLOOKUP(E437,Modificaciones!$B$7:$AB$2400,27,0))</f>
        <v/>
      </c>
      <c r="U437" s="1080" t="str">
        <f>+Modificaciones!AC437</f>
        <v/>
      </c>
      <c r="V437" s="825" t="str">
        <f>+Modificaciones!AK437</f>
        <v/>
      </c>
      <c r="W437" s="825">
        <f t="shared" si="75"/>
        <v>42682</v>
      </c>
      <c r="X437" s="59">
        <f t="shared" si="73"/>
        <v>6180000</v>
      </c>
      <c r="Y437" s="151">
        <f>VLOOKUP(E437,Modificaciones!$B$7:$BE$2300,56,0)</f>
        <v>4195395</v>
      </c>
      <c r="Z437" s="84">
        <f t="shared" si="70"/>
        <v>1984605</v>
      </c>
      <c r="AA437" s="283" t="s">
        <v>2218</v>
      </c>
      <c r="AB437" s="823">
        <f t="shared" si="74"/>
        <v>0.67886650485436895</v>
      </c>
      <c r="AC437" s="40">
        <f t="shared" ca="1" si="76"/>
        <v>1</v>
      </c>
      <c r="AD437" s="41">
        <f t="shared" ca="1" si="77"/>
        <v>0.32113349514563105</v>
      </c>
      <c r="AE437" s="181" t="str">
        <f t="shared" ca="1" si="78"/>
        <v/>
      </c>
      <c r="AF437" s="42" t="str">
        <f t="shared" si="83"/>
        <v>NO</v>
      </c>
      <c r="AG437" s="732" t="s">
        <v>1711</v>
      </c>
      <c r="AH437" s="152" t="s">
        <v>1255</v>
      </c>
      <c r="AI437" s="255" t="s">
        <v>1301</v>
      </c>
      <c r="AJ437" s="152" t="s">
        <v>1434</v>
      </c>
      <c r="AK437" s="255" t="s">
        <v>560</v>
      </c>
      <c r="AL437" s="279" t="s">
        <v>1388</v>
      </c>
      <c r="AM437" s="279" t="s">
        <v>600</v>
      </c>
      <c r="AN437" s="161" t="str">
        <f t="shared" ca="1" si="79"/>
        <v>TERMINO</v>
      </c>
      <c r="AO437" s="284" t="s">
        <v>576</v>
      </c>
      <c r="AP437" s="155" t="s">
        <v>391</v>
      </c>
      <c r="AQ437" s="819" t="str">
        <f>IFERROR(VLOOKUP(E437,'liquidaciones '!$B$2:$C$1048576,2,0),"NO")</f>
        <v>LIQUIDADO</v>
      </c>
      <c r="AR437" s="909" t="str">
        <f>IFERROR(VLOOKUP(E437,'liquidaciones '!$B$2:$I$1048576,8,0),"")</f>
        <v>JULIETH ANGARITA</v>
      </c>
      <c r="AS437" s="312"/>
      <c r="AT437" s="156" t="str">
        <f t="shared" ca="1" si="80"/>
        <v>NO</v>
      </c>
      <c r="AU437" s="156" t="s">
        <v>2598</v>
      </c>
      <c r="AV437" s="933"/>
      <c r="AW437" s="928"/>
      <c r="AX437" s="928"/>
      <c r="AY437" s="928"/>
    </row>
    <row r="438" spans="3:51" ht="51" x14ac:dyDescent="0.3">
      <c r="C438" s="410">
        <v>224</v>
      </c>
      <c r="D438" s="410" t="str">
        <f t="shared" si="82"/>
        <v>2016224</v>
      </c>
      <c r="E438" s="120" t="s">
        <v>2581</v>
      </c>
      <c r="F438" s="824" t="s">
        <v>2582</v>
      </c>
      <c r="G438" s="874" t="s">
        <v>2583</v>
      </c>
      <c r="H438" s="965" t="s">
        <v>3029</v>
      </c>
      <c r="I438" s="875">
        <v>4429000</v>
      </c>
      <c r="J438" s="685" t="s">
        <v>2587</v>
      </c>
      <c r="K438" s="269">
        <v>2016</v>
      </c>
      <c r="L438" s="519">
        <v>42578</v>
      </c>
      <c r="M438" s="826">
        <v>42608</v>
      </c>
      <c r="N438" s="826">
        <v>42700</v>
      </c>
      <c r="O438" s="1099" t="str">
        <f>IF(+Modificaciones!I438=0,"",VLOOKUP(E438,Modificaciones!$B$7:$I$2400,8,0))</f>
        <v/>
      </c>
      <c r="P438" s="115">
        <f>COUNTA(Modificaciones!J438,Modificaciones!L438,Modificaciones!N438,Modificaciones!P438)</f>
        <v>0</v>
      </c>
      <c r="Q438" s="116">
        <f>VLOOKUP(E438,Modificaciones!$B$7:$R$2300,17,0)</f>
        <v>0</v>
      </c>
      <c r="R438" s="117">
        <f>COUNTA(Modificaciones!T438,Modificaciones!V438,Modificaciones!X438,Modificaciones!Z438)</f>
        <v>0</v>
      </c>
      <c r="S438" s="118" t="str">
        <f>IF(Modificaciones!AA438=0,"",VLOOKUP(E438,Modificaciones!$B$7:$AA$2400,26,0))</f>
        <v/>
      </c>
      <c r="T438" s="119" t="str">
        <f>IF(Modificaciones!AB438=0,"",VLOOKUP(E438,Modificaciones!$B$7:$AB$2400,27,0))</f>
        <v/>
      </c>
      <c r="U438" s="1080" t="str">
        <f>+Modificaciones!AC438</f>
        <v/>
      </c>
      <c r="V438" s="825" t="str">
        <f>+Modificaciones!AK438</f>
        <v/>
      </c>
      <c r="W438" s="825">
        <f t="shared" si="75"/>
        <v>42700</v>
      </c>
      <c r="X438" s="59">
        <f t="shared" si="73"/>
        <v>4429000</v>
      </c>
      <c r="Y438" s="151">
        <f>VLOOKUP(E438,Modificaciones!$B$7:$BE$2300,56,0)</f>
        <v>2661244</v>
      </c>
      <c r="Z438" s="84">
        <f t="shared" si="70"/>
        <v>1767756</v>
      </c>
      <c r="AA438" s="283" t="s">
        <v>2584</v>
      </c>
      <c r="AB438" s="823">
        <f t="shared" si="74"/>
        <v>0.60086791600812828</v>
      </c>
      <c r="AC438" s="40">
        <f t="shared" ca="1" si="76"/>
        <v>1</v>
      </c>
      <c r="AD438" s="41">
        <f t="shared" ca="1" si="77"/>
        <v>0.39913208399187172</v>
      </c>
      <c r="AE438" s="181" t="str">
        <f t="shared" ca="1" si="78"/>
        <v/>
      </c>
      <c r="AF438" s="42" t="str">
        <f t="shared" si="83"/>
        <v>NO</v>
      </c>
      <c r="AG438" s="1017" t="s">
        <v>4920</v>
      </c>
      <c r="AH438" s="152" t="s">
        <v>1255</v>
      </c>
      <c r="AI438" s="152" t="s">
        <v>1299</v>
      </c>
      <c r="AJ438" s="152" t="s">
        <v>1441</v>
      </c>
      <c r="AK438" s="255" t="s">
        <v>560</v>
      </c>
      <c r="AL438" s="153" t="s">
        <v>1379</v>
      </c>
      <c r="AM438" s="279" t="s">
        <v>600</v>
      </c>
      <c r="AN438" s="161" t="str">
        <f t="shared" ca="1" si="79"/>
        <v>TERMINO</v>
      </c>
      <c r="AO438" s="284" t="s">
        <v>576</v>
      </c>
      <c r="AP438" s="155" t="s">
        <v>390</v>
      </c>
      <c r="AQ438" s="819" t="str">
        <f>IFERROR(VLOOKUP(E438,'liquidaciones '!$B$2:$C$1048576,2,0),"NO")</f>
        <v>LIQUIDADO</v>
      </c>
      <c r="AR438" s="909" t="str">
        <f>IFERROR(VLOOKUP(E438,'liquidaciones '!$B$2:$I$1048576,8,0),"")</f>
        <v>JULIETH ANGARITA</v>
      </c>
      <c r="AS438" s="312"/>
      <c r="AT438" s="156" t="str">
        <f t="shared" ca="1" si="80"/>
        <v>NO</v>
      </c>
      <c r="AU438" s="156" t="s">
        <v>2597</v>
      </c>
      <c r="AV438" s="406"/>
      <c r="AW438" s="928"/>
      <c r="AX438" s="928"/>
      <c r="AY438" s="928"/>
    </row>
    <row r="439" spans="3:51" ht="28.8" x14ac:dyDescent="0.3">
      <c r="C439" s="411">
        <v>229</v>
      </c>
      <c r="D439" s="410" t="str">
        <f t="shared" si="82"/>
        <v>2016229</v>
      </c>
      <c r="E439" s="120" t="s">
        <v>2589</v>
      </c>
      <c r="F439" s="824" t="s">
        <v>2590</v>
      </c>
      <c r="G439" s="874" t="s">
        <v>2591</v>
      </c>
      <c r="H439" s="965" t="s">
        <v>3030</v>
      </c>
      <c r="I439" s="875">
        <v>20806000</v>
      </c>
      <c r="J439" s="685" t="s">
        <v>2592</v>
      </c>
      <c r="K439" s="269">
        <v>2016</v>
      </c>
      <c r="L439" s="519">
        <v>42585</v>
      </c>
      <c r="M439" s="826">
        <v>42598</v>
      </c>
      <c r="N439" s="826">
        <v>42720</v>
      </c>
      <c r="O439" s="1099" t="str">
        <f>IF(+Modificaciones!I439=0,"",VLOOKUP(E439,Modificaciones!$B$7:$I$2400,8,0))</f>
        <v/>
      </c>
      <c r="P439" s="115">
        <f>COUNTA(Modificaciones!J439,Modificaciones!L439,Modificaciones!N439,Modificaciones!P439)</f>
        <v>0</v>
      </c>
      <c r="Q439" s="116">
        <f>VLOOKUP(E439,Modificaciones!$B$7:$R$2300,17,0)</f>
        <v>0</v>
      </c>
      <c r="R439" s="117">
        <f>COUNTA(Modificaciones!T439,Modificaciones!V439,Modificaciones!X439,Modificaciones!Z439)</f>
        <v>0</v>
      </c>
      <c r="S439" s="118" t="str">
        <f>IF(Modificaciones!AA439=0,"",VLOOKUP(E439,Modificaciones!$B$7:$AA$2400,26,0))</f>
        <v/>
      </c>
      <c r="T439" s="119" t="str">
        <f>IF(Modificaciones!AB439=0,"",VLOOKUP(E439,Modificaciones!$B$7:$AB$2400,27,0))</f>
        <v/>
      </c>
      <c r="U439" s="1080" t="str">
        <f>+Modificaciones!AC439</f>
        <v/>
      </c>
      <c r="V439" s="825" t="str">
        <f>+Modificaciones!AK439</f>
        <v/>
      </c>
      <c r="W439" s="825">
        <f t="shared" si="75"/>
        <v>42720</v>
      </c>
      <c r="X439" s="59">
        <f t="shared" si="73"/>
        <v>20806000</v>
      </c>
      <c r="Y439" s="151">
        <f>VLOOKUP(E439,Modificaciones!$B$7:$BE$2300,56,0)</f>
        <v>17478705</v>
      </c>
      <c r="Z439" s="84">
        <f t="shared" si="70"/>
        <v>3327295</v>
      </c>
      <c r="AA439" s="283" t="s">
        <v>2195</v>
      </c>
      <c r="AB439" s="823">
        <f t="shared" si="74"/>
        <v>0.84008002499279055</v>
      </c>
      <c r="AC439" s="40">
        <f t="shared" ca="1" si="76"/>
        <v>1</v>
      </c>
      <c r="AD439" s="41">
        <f t="shared" ca="1" si="77"/>
        <v>0.15991997500720945</v>
      </c>
      <c r="AE439" s="181" t="str">
        <f t="shared" ca="1" si="78"/>
        <v/>
      </c>
      <c r="AF439" s="42" t="str">
        <f t="shared" si="83"/>
        <v>NO</v>
      </c>
      <c r="AG439" s="732" t="s">
        <v>1711</v>
      </c>
      <c r="AH439" s="152" t="s">
        <v>1255</v>
      </c>
      <c r="AI439" s="255" t="s">
        <v>1303</v>
      </c>
      <c r="AJ439" s="152" t="s">
        <v>1434</v>
      </c>
      <c r="AK439" s="255" t="s">
        <v>560</v>
      </c>
      <c r="AL439" s="279" t="s">
        <v>1387</v>
      </c>
      <c r="AM439" s="279" t="s">
        <v>600</v>
      </c>
      <c r="AN439" s="161" t="str">
        <f t="shared" ca="1" si="79"/>
        <v>TERMINO</v>
      </c>
      <c r="AO439" s="284" t="s">
        <v>576</v>
      </c>
      <c r="AP439" s="155" t="s">
        <v>390</v>
      </c>
      <c r="AQ439" s="819" t="str">
        <f>IFERROR(VLOOKUP(E439,'liquidaciones '!$B$2:$C$1048576,2,0),"NO")</f>
        <v>LIQUIDADO</v>
      </c>
      <c r="AR439" s="909" t="str">
        <f>IFERROR(VLOOKUP(E439,'liquidaciones '!$B$2:$I$1048576,8,0),"")</f>
        <v>MANUEL ROJAS</v>
      </c>
      <c r="AS439" s="312"/>
      <c r="AT439" s="156" t="str">
        <f t="shared" ca="1" si="80"/>
        <v>NO</v>
      </c>
      <c r="AU439" s="156" t="s">
        <v>2599</v>
      </c>
      <c r="AV439" s="406"/>
      <c r="AW439" s="928"/>
      <c r="AX439" s="928"/>
      <c r="AY439" s="928"/>
    </row>
    <row r="440" spans="3:51" ht="30.6" x14ac:dyDescent="0.3">
      <c r="C440" s="410">
        <v>220</v>
      </c>
      <c r="D440" s="410" t="str">
        <f t="shared" si="82"/>
        <v>2016220</v>
      </c>
      <c r="E440" s="120" t="s">
        <v>2593</v>
      </c>
      <c r="F440" s="824" t="s">
        <v>2594</v>
      </c>
      <c r="G440" s="874" t="s">
        <v>2595</v>
      </c>
      <c r="H440" s="965" t="s">
        <v>3031</v>
      </c>
      <c r="I440" s="875">
        <v>6973000</v>
      </c>
      <c r="J440" s="685" t="s">
        <v>2596</v>
      </c>
      <c r="K440" s="269">
        <v>2016</v>
      </c>
      <c r="L440" s="519">
        <v>42587</v>
      </c>
      <c r="M440" s="826">
        <v>42598</v>
      </c>
      <c r="N440" s="826">
        <v>42841</v>
      </c>
      <c r="O440" s="1099" t="str">
        <f>IF(+Modificaciones!I440=0,"",VLOOKUP(E440,Modificaciones!$B$7:$I$2400,8,0))</f>
        <v/>
      </c>
      <c r="P440" s="115">
        <f>COUNTA(Modificaciones!J440,Modificaciones!L440,Modificaciones!N440,Modificaciones!P440)</f>
        <v>0</v>
      </c>
      <c r="Q440" s="116">
        <f>VLOOKUP(E440,Modificaciones!$B$7:$R$2300,17,0)</f>
        <v>0</v>
      </c>
      <c r="R440" s="117">
        <f>COUNTA(Modificaciones!T440,Modificaciones!V440,Modificaciones!X440,Modificaciones!Z440)</f>
        <v>1</v>
      </c>
      <c r="S440" s="118" t="str">
        <f>IF(Modificaciones!AA440=0,"",VLOOKUP(E440,Modificaciones!$B$7:$AA$2400,26,0))</f>
        <v>3 meses</v>
      </c>
      <c r="T440" s="119">
        <f>IF(Modificaciones!AB440=0,"",VLOOKUP(E440,Modificaciones!$B$7:$AB$2400,27,0))</f>
        <v>42932</v>
      </c>
      <c r="U440" s="1080" t="str">
        <f>+Modificaciones!AC440</f>
        <v/>
      </c>
      <c r="V440" s="825" t="str">
        <f>+Modificaciones!AK440</f>
        <v/>
      </c>
      <c r="W440" s="825">
        <f t="shared" si="75"/>
        <v>42932</v>
      </c>
      <c r="X440" s="59">
        <f t="shared" si="73"/>
        <v>6973000</v>
      </c>
      <c r="Y440" s="151">
        <f>VLOOKUP(E440,Modificaciones!$B$7:$BE$2300,56,0)</f>
        <v>6973000</v>
      </c>
      <c r="Z440" s="84">
        <f t="shared" si="70"/>
        <v>0</v>
      </c>
      <c r="AA440" s="283" t="s">
        <v>1631</v>
      </c>
      <c r="AB440" s="823">
        <f t="shared" si="74"/>
        <v>1</v>
      </c>
      <c r="AC440" s="40">
        <f t="shared" ca="1" si="76"/>
        <v>1</v>
      </c>
      <c r="AD440" s="41">
        <f t="shared" ca="1" si="77"/>
        <v>0</v>
      </c>
      <c r="AE440" s="181" t="str">
        <f t="shared" ca="1" si="78"/>
        <v/>
      </c>
      <c r="AF440" s="42" t="str">
        <f t="shared" si="83"/>
        <v>SI</v>
      </c>
      <c r="AG440" s="1017" t="s">
        <v>4920</v>
      </c>
      <c r="AH440" s="152" t="s">
        <v>1255</v>
      </c>
      <c r="AI440" s="255" t="s">
        <v>1510</v>
      </c>
      <c r="AJ440" s="152" t="s">
        <v>1441</v>
      </c>
      <c r="AK440" s="255" t="s">
        <v>560</v>
      </c>
      <c r="AL440" s="279" t="s">
        <v>1379</v>
      </c>
      <c r="AM440" s="279" t="s">
        <v>600</v>
      </c>
      <c r="AN440" s="161" t="str">
        <f t="shared" ca="1" si="79"/>
        <v>TERMINO</v>
      </c>
      <c r="AO440" s="284" t="s">
        <v>576</v>
      </c>
      <c r="AP440" s="155" t="s">
        <v>390</v>
      </c>
      <c r="AQ440" s="819" t="str">
        <f>IFERROR(VLOOKUP(E440,'liquidaciones '!$B$2:$C$1048576,2,0),"NO")</f>
        <v>LIQUIDADO</v>
      </c>
      <c r="AR440" s="909">
        <f>IFERROR(VLOOKUP(E440,'liquidaciones '!$B$2:$I$1048576,8,0),"")</f>
        <v>0</v>
      </c>
      <c r="AS440" s="312"/>
      <c r="AT440" s="156" t="str">
        <f t="shared" ca="1" si="80"/>
        <v>NO</v>
      </c>
      <c r="AU440" s="156" t="s">
        <v>981</v>
      </c>
      <c r="AV440" s="406"/>
      <c r="AW440" s="928"/>
      <c r="AX440" s="928"/>
      <c r="AY440" s="928"/>
    </row>
    <row r="441" spans="3:51" ht="101.25" customHeight="1" x14ac:dyDescent="0.3">
      <c r="C441" s="411">
        <v>134</v>
      </c>
      <c r="D441" s="410" t="str">
        <f t="shared" si="82"/>
        <v>2016134</v>
      </c>
      <c r="E441" s="120" t="s">
        <v>2602</v>
      </c>
      <c r="F441" s="824" t="s">
        <v>90</v>
      </c>
      <c r="G441" s="874" t="s">
        <v>2603</v>
      </c>
      <c r="H441" s="965" t="s">
        <v>3032</v>
      </c>
      <c r="I441" s="875">
        <v>1132400</v>
      </c>
      <c r="J441" s="685" t="s">
        <v>2604</v>
      </c>
      <c r="K441" s="269">
        <v>2016</v>
      </c>
      <c r="L441" s="519">
        <v>42591</v>
      </c>
      <c r="M441" s="826">
        <v>42604</v>
      </c>
      <c r="N441" s="826">
        <v>42969</v>
      </c>
      <c r="O441" s="1099" t="str">
        <f>IF(+Modificaciones!I441=0,"",VLOOKUP(E441,Modificaciones!$B$7:$I$2400,8,0))</f>
        <v/>
      </c>
      <c r="P441" s="115">
        <f>COUNTA(Modificaciones!J441,Modificaciones!L441,Modificaciones!N441,Modificaciones!P441)</f>
        <v>0</v>
      </c>
      <c r="Q441" s="116">
        <f>VLOOKUP(E441,Modificaciones!$B$7:$R$2300,17,0)</f>
        <v>0</v>
      </c>
      <c r="R441" s="117">
        <f>COUNTA(Modificaciones!T441,Modificaciones!V441,Modificaciones!X441,Modificaciones!Z441)</f>
        <v>0</v>
      </c>
      <c r="S441" s="118" t="str">
        <f>IF(Modificaciones!AA441=0,"",VLOOKUP(E441,Modificaciones!$B$7:$AA$2400,26,0))</f>
        <v/>
      </c>
      <c r="T441" s="119" t="str">
        <f>IF(Modificaciones!AB441=0,"",VLOOKUP(E441,Modificaciones!$B$7:$AB$2400,27,0))</f>
        <v/>
      </c>
      <c r="U441" s="1080" t="str">
        <f>+Modificaciones!AC441</f>
        <v/>
      </c>
      <c r="V441" s="825" t="str">
        <f>+Modificaciones!AK441</f>
        <v/>
      </c>
      <c r="W441" s="825">
        <f t="shared" si="75"/>
        <v>42969</v>
      </c>
      <c r="X441" s="59">
        <f t="shared" si="73"/>
        <v>1132400</v>
      </c>
      <c r="Y441" s="151">
        <f>VLOOKUP(E441,Modificaciones!$B$7:$BE$2300,56,0)</f>
        <v>1132400</v>
      </c>
      <c r="Z441" s="84">
        <f t="shared" si="70"/>
        <v>0</v>
      </c>
      <c r="AA441" s="288" t="s">
        <v>1230</v>
      </c>
      <c r="AB441" s="823">
        <f t="shared" si="74"/>
        <v>1</v>
      </c>
      <c r="AC441" s="40">
        <f t="shared" ca="1" si="76"/>
        <v>1</v>
      </c>
      <c r="AD441" s="41">
        <f t="shared" ca="1" si="77"/>
        <v>0</v>
      </c>
      <c r="AE441" s="181" t="str">
        <f t="shared" ca="1" si="78"/>
        <v/>
      </c>
      <c r="AF441" s="42" t="str">
        <f t="shared" si="83"/>
        <v>SI</v>
      </c>
      <c r="AG441" s="732"/>
      <c r="AH441" s="152" t="s">
        <v>1256</v>
      </c>
      <c r="AI441" s="275" t="s">
        <v>1141</v>
      </c>
      <c r="AJ441" s="152" t="s">
        <v>1429</v>
      </c>
      <c r="AK441" s="255" t="s">
        <v>564</v>
      </c>
      <c r="AL441" s="153"/>
      <c r="AM441" s="279" t="s">
        <v>600</v>
      </c>
      <c r="AN441" s="161" t="str">
        <f t="shared" ca="1" si="79"/>
        <v>TERMINO</v>
      </c>
      <c r="AO441" s="160" t="s">
        <v>576</v>
      </c>
      <c r="AP441" s="155" t="s">
        <v>390</v>
      </c>
      <c r="AQ441" s="819" t="str">
        <f>IFERROR(VLOOKUP(E441,'liquidaciones '!$B$2:$C$1048576,2,0),"NO")</f>
        <v>LIQUIDADO</v>
      </c>
      <c r="AR441" s="909">
        <f>IFERROR(VLOOKUP(E441,'liquidaciones '!$B$2:$I$1048576,8,0),"")</f>
        <v>0</v>
      </c>
      <c r="AS441" s="312"/>
      <c r="AT441" s="156" t="str">
        <f t="shared" ca="1" si="80"/>
        <v>NO</v>
      </c>
      <c r="AU441" s="156" t="s">
        <v>2902</v>
      </c>
      <c r="AV441" s="406"/>
      <c r="AW441" s="928"/>
      <c r="AX441" s="928"/>
      <c r="AY441" s="928"/>
    </row>
    <row r="442" spans="3:51" ht="39" customHeight="1" x14ac:dyDescent="0.3">
      <c r="C442" s="411">
        <v>90</v>
      </c>
      <c r="D442" s="410" t="str">
        <f t="shared" si="82"/>
        <v>201690</v>
      </c>
      <c r="E442" s="120" t="s">
        <v>2605</v>
      </c>
      <c r="F442" s="824" t="s">
        <v>2606</v>
      </c>
      <c r="G442" s="874" t="s">
        <v>2607</v>
      </c>
      <c r="H442" s="965" t="s">
        <v>2608</v>
      </c>
      <c r="I442" s="875">
        <v>12000000</v>
      </c>
      <c r="J442" s="685" t="s">
        <v>2609</v>
      </c>
      <c r="K442" s="269">
        <v>2016</v>
      </c>
      <c r="L442" s="519">
        <v>42578</v>
      </c>
      <c r="M442" s="826">
        <v>42612</v>
      </c>
      <c r="N442" s="826">
        <v>42977</v>
      </c>
      <c r="O442" s="1099" t="str">
        <f>IF(+Modificaciones!I442=0,"",VLOOKUP(E442,Modificaciones!$B$7:$I$2400,8,0))</f>
        <v/>
      </c>
      <c r="P442" s="115">
        <f>COUNTA(Modificaciones!J442,Modificaciones!L442,Modificaciones!N442,Modificaciones!P442)</f>
        <v>0</v>
      </c>
      <c r="Q442" s="116">
        <f>VLOOKUP(E442,Modificaciones!$B$7:$R$2300,17,0)</f>
        <v>0</v>
      </c>
      <c r="R442" s="117">
        <f>COUNTA(Modificaciones!T442,Modificaciones!V442,Modificaciones!X442,Modificaciones!Z442)</f>
        <v>0</v>
      </c>
      <c r="S442" s="118" t="str">
        <f>IF(Modificaciones!AA442=0,"",VLOOKUP(E442,Modificaciones!$B$7:$AA$2400,26,0))</f>
        <v/>
      </c>
      <c r="T442" s="119" t="str">
        <f>IF(Modificaciones!AB442=0,"",VLOOKUP(E442,Modificaciones!$B$7:$AB$2400,27,0))</f>
        <v/>
      </c>
      <c r="U442" s="1080" t="str">
        <f>+Modificaciones!AC442</f>
        <v/>
      </c>
      <c r="V442" s="825" t="str">
        <f>+Modificaciones!AK442</f>
        <v/>
      </c>
      <c r="W442" s="825">
        <f t="shared" si="75"/>
        <v>42977</v>
      </c>
      <c r="X442" s="59">
        <f t="shared" si="73"/>
        <v>12000000</v>
      </c>
      <c r="Y442" s="151">
        <f>VLOOKUP(E442,Modificaciones!$B$7:$BE$2300,56,0)</f>
        <v>12000000</v>
      </c>
      <c r="Z442" s="84">
        <f t="shared" ref="Z442:Z505" si="84">X442-Y442</f>
        <v>0</v>
      </c>
      <c r="AA442" s="283" t="s">
        <v>1094</v>
      </c>
      <c r="AB442" s="823">
        <f t="shared" si="74"/>
        <v>1</v>
      </c>
      <c r="AC442" s="40">
        <f t="shared" ca="1" si="76"/>
        <v>1</v>
      </c>
      <c r="AD442" s="41">
        <f t="shared" ca="1" si="77"/>
        <v>0</v>
      </c>
      <c r="AE442" s="181" t="str">
        <f t="shared" ca="1" si="78"/>
        <v/>
      </c>
      <c r="AF442" s="42" t="str">
        <f t="shared" si="83"/>
        <v>SI</v>
      </c>
      <c r="AG442" s="732"/>
      <c r="AH442" s="152" t="s">
        <v>1256</v>
      </c>
      <c r="AI442" s="255" t="s">
        <v>1368</v>
      </c>
      <c r="AJ442" s="152" t="s">
        <v>1438</v>
      </c>
      <c r="AK442" s="255" t="s">
        <v>560</v>
      </c>
      <c r="AL442" s="279" t="s">
        <v>1508</v>
      </c>
      <c r="AM442" s="279" t="s">
        <v>600</v>
      </c>
      <c r="AN442" s="161" t="str">
        <f t="shared" ca="1" si="79"/>
        <v>TERMINO</v>
      </c>
      <c r="AO442" s="284" t="s">
        <v>576</v>
      </c>
      <c r="AP442" s="155" t="s">
        <v>390</v>
      </c>
      <c r="AQ442" s="819" t="str">
        <f>IFERROR(VLOOKUP(E442,'liquidaciones '!$B$2:$C$1048576,2,0),"NO")</f>
        <v>LIQUIDADO</v>
      </c>
      <c r="AR442" s="909">
        <f>IFERROR(VLOOKUP(E442,'liquidaciones '!$B$2:$I$1048576,8,0),"")</f>
        <v>0</v>
      </c>
      <c r="AS442" s="312"/>
      <c r="AT442" s="156" t="str">
        <f t="shared" ca="1" si="80"/>
        <v>NO</v>
      </c>
      <c r="AU442" s="406" t="s">
        <v>3512</v>
      </c>
      <c r="AV442" s="406"/>
      <c r="AW442" s="928"/>
      <c r="AX442" s="928"/>
      <c r="AY442" s="928"/>
    </row>
    <row r="443" spans="3:51" ht="39" customHeight="1" x14ac:dyDescent="0.3">
      <c r="C443" s="410">
        <v>145</v>
      </c>
      <c r="D443" s="410" t="str">
        <f t="shared" si="82"/>
        <v>2016145</v>
      </c>
      <c r="E443" s="120" t="s">
        <v>2623</v>
      </c>
      <c r="F443" s="824" t="s">
        <v>2624</v>
      </c>
      <c r="G443" s="874">
        <v>900699012</v>
      </c>
      <c r="H443" s="965" t="s">
        <v>2625</v>
      </c>
      <c r="I443" s="875">
        <v>4999000</v>
      </c>
      <c r="J443" s="685" t="s">
        <v>2626</v>
      </c>
      <c r="K443" s="269">
        <v>2016</v>
      </c>
      <c r="L443" s="519">
        <v>42604</v>
      </c>
      <c r="M443" s="826">
        <v>42622</v>
      </c>
      <c r="N443" s="826">
        <v>42803</v>
      </c>
      <c r="O443" s="1099" t="str">
        <f>IF(+Modificaciones!I443=0,"",VLOOKUP(E443,Modificaciones!$B$7:$I$2400,8,0))</f>
        <v/>
      </c>
      <c r="P443" s="115">
        <f>COUNTA(Modificaciones!J443,Modificaciones!L443,Modificaciones!N443,Modificaciones!P443)</f>
        <v>0</v>
      </c>
      <c r="Q443" s="116">
        <f>VLOOKUP(E443,Modificaciones!$B$7:$R$2300,17,0)</f>
        <v>0</v>
      </c>
      <c r="R443" s="117">
        <f>COUNTA(Modificaciones!T443,Modificaciones!V443,Modificaciones!X443,Modificaciones!Z443)</f>
        <v>0</v>
      </c>
      <c r="S443" s="118" t="str">
        <f>IF(Modificaciones!AA443=0,"",VLOOKUP(E443,Modificaciones!$B$7:$AA$2400,26,0))</f>
        <v/>
      </c>
      <c r="T443" s="119" t="str">
        <f>IF(Modificaciones!AB443=0,"",VLOOKUP(E443,Modificaciones!$B$7:$AB$2400,27,0))</f>
        <v/>
      </c>
      <c r="U443" s="1080" t="str">
        <f>+Modificaciones!AC443</f>
        <v/>
      </c>
      <c r="V443" s="825" t="str">
        <f>+Modificaciones!AK443</f>
        <v/>
      </c>
      <c r="W443" s="825">
        <f t="shared" si="75"/>
        <v>42803</v>
      </c>
      <c r="X443" s="59">
        <f t="shared" si="73"/>
        <v>4999000</v>
      </c>
      <c r="Y443" s="151">
        <f>VLOOKUP(E443,Modificaciones!$B$7:$BE$2300,56,0)</f>
        <v>3270000</v>
      </c>
      <c r="Z443" s="84">
        <f t="shared" si="84"/>
        <v>1729000</v>
      </c>
      <c r="AA443" s="287" t="s">
        <v>1612</v>
      </c>
      <c r="AB443" s="823">
        <f t="shared" si="74"/>
        <v>0.65413082616523299</v>
      </c>
      <c r="AC443" s="40">
        <f t="shared" ca="1" si="76"/>
        <v>1</v>
      </c>
      <c r="AD443" s="41">
        <f t="shared" ca="1" si="77"/>
        <v>0.34586917383476701</v>
      </c>
      <c r="AE443" s="181" t="str">
        <f t="shared" ca="1" si="78"/>
        <v/>
      </c>
      <c r="AF443" s="42" t="str">
        <f t="shared" si="83"/>
        <v>NO</v>
      </c>
      <c r="AG443" s="1017" t="s">
        <v>4920</v>
      </c>
      <c r="AH443" s="152" t="s">
        <v>1255</v>
      </c>
      <c r="AI443" s="275" t="s">
        <v>1170</v>
      </c>
      <c r="AJ443" s="152" t="s">
        <v>1441</v>
      </c>
      <c r="AK443" s="255" t="s">
        <v>560</v>
      </c>
      <c r="AL443" s="153" t="s">
        <v>1379</v>
      </c>
      <c r="AM443" s="279" t="s">
        <v>600</v>
      </c>
      <c r="AN443" s="161" t="str">
        <f t="shared" ca="1" si="79"/>
        <v>TERMINO</v>
      </c>
      <c r="AO443" s="160" t="s">
        <v>576</v>
      </c>
      <c r="AP443" s="155" t="s">
        <v>390</v>
      </c>
      <c r="AQ443" s="819" t="str">
        <f>IFERROR(VLOOKUP(E443,'liquidaciones '!$B$2:$C$1048576,2,0),"NO")</f>
        <v>EN TRÁMITE</v>
      </c>
      <c r="AR443" s="909" t="str">
        <f>IFERROR(VLOOKUP(E443,'liquidaciones '!$B$2:$I$1048576,8,0),"")</f>
        <v>MANUEL ROJAS</v>
      </c>
      <c r="AS443" s="312"/>
      <c r="AT443" s="156" t="str">
        <f t="shared" ca="1" si="80"/>
        <v>NO</v>
      </c>
      <c r="AU443" s="406" t="s">
        <v>2960</v>
      </c>
      <c r="AV443" s="406"/>
      <c r="AW443" s="928"/>
      <c r="AX443" s="928"/>
      <c r="AY443" s="928"/>
    </row>
    <row r="444" spans="3:51" ht="23.25" customHeight="1" x14ac:dyDescent="0.3">
      <c r="C444" s="410">
        <v>141</v>
      </c>
      <c r="D444" s="410" t="str">
        <f t="shared" si="82"/>
        <v>2016141</v>
      </c>
      <c r="E444" s="120" t="s">
        <v>2627</v>
      </c>
      <c r="F444" s="824" t="s">
        <v>33</v>
      </c>
      <c r="G444" s="874">
        <v>860509265</v>
      </c>
      <c r="H444" s="965" t="s">
        <v>2628</v>
      </c>
      <c r="I444" s="875">
        <v>825000</v>
      </c>
      <c r="J444" s="685" t="s">
        <v>2627</v>
      </c>
      <c r="K444" s="269">
        <v>2016</v>
      </c>
      <c r="L444" s="519">
        <v>42619</v>
      </c>
      <c r="M444" s="826">
        <v>42646</v>
      </c>
      <c r="N444" s="826">
        <v>43011</v>
      </c>
      <c r="O444" s="1099" t="str">
        <f>IF(+Modificaciones!I444=0,"",VLOOKUP(E444,Modificaciones!$B$7:$I$2400,8,0))</f>
        <v/>
      </c>
      <c r="P444" s="115">
        <f>COUNTA(Modificaciones!J444,Modificaciones!L444,Modificaciones!N444,Modificaciones!P444)</f>
        <v>0</v>
      </c>
      <c r="Q444" s="116">
        <f>VLOOKUP(E444,Modificaciones!$B$7:$R$2300,17,0)</f>
        <v>0</v>
      </c>
      <c r="R444" s="117">
        <f>COUNTA(Modificaciones!T444,Modificaciones!V444,Modificaciones!X444,Modificaciones!Z444)</f>
        <v>0</v>
      </c>
      <c r="S444" s="118" t="str">
        <f>IF(Modificaciones!AA444=0,"",VLOOKUP(E444,Modificaciones!$B$7:$AA$2400,26,0))</f>
        <v/>
      </c>
      <c r="T444" s="119" t="str">
        <f>IF(Modificaciones!AB444=0,"",VLOOKUP(E444,Modificaciones!$B$7:$AB$2400,27,0))</f>
        <v/>
      </c>
      <c r="U444" s="1080" t="str">
        <f>+Modificaciones!AC444</f>
        <v/>
      </c>
      <c r="V444" s="825" t="str">
        <f>+Modificaciones!AK444</f>
        <v/>
      </c>
      <c r="W444" s="825">
        <f t="shared" si="75"/>
        <v>43011</v>
      </c>
      <c r="X444" s="59">
        <f t="shared" si="73"/>
        <v>825000</v>
      </c>
      <c r="Y444" s="151">
        <f>VLOOKUP(E444,Modificaciones!$B$7:$BE$2300,56,0)</f>
        <v>825000</v>
      </c>
      <c r="Z444" s="84">
        <f t="shared" si="84"/>
        <v>0</v>
      </c>
      <c r="AA444" s="283" t="s">
        <v>1894</v>
      </c>
      <c r="AB444" s="823">
        <f t="shared" si="74"/>
        <v>1</v>
      </c>
      <c r="AC444" s="40">
        <f t="shared" ca="1" si="76"/>
        <v>1</v>
      </c>
      <c r="AD444" s="41">
        <f t="shared" ca="1" si="77"/>
        <v>0</v>
      </c>
      <c r="AE444" s="181" t="str">
        <f t="shared" ca="1" si="78"/>
        <v/>
      </c>
      <c r="AF444" s="42" t="str">
        <f t="shared" si="83"/>
        <v>SI</v>
      </c>
      <c r="AG444" s="732" t="str">
        <f>VLOOKUP(C444,[2]Hoja4!$A$2:$E$116,5,0)</f>
        <v>SUSCRIPCION</v>
      </c>
      <c r="AH444" s="152" t="s">
        <v>1255</v>
      </c>
      <c r="AI444" s="275" t="s">
        <v>1468</v>
      </c>
      <c r="AJ444" s="152" t="s">
        <v>1429</v>
      </c>
      <c r="AK444" s="255" t="s">
        <v>564</v>
      </c>
      <c r="AL444" s="279"/>
      <c r="AM444" s="279" t="s">
        <v>600</v>
      </c>
      <c r="AN444" s="161" t="str">
        <f t="shared" ca="1" si="79"/>
        <v>TERMINO</v>
      </c>
      <c r="AO444" s="160" t="s">
        <v>582</v>
      </c>
      <c r="AP444" s="155" t="s">
        <v>390</v>
      </c>
      <c r="AQ444" s="819" t="str">
        <f>IFERROR(VLOOKUP(E444,'liquidaciones '!$B$2:$C$1048576,2,0),"NO")</f>
        <v>EN TRÁMITE</v>
      </c>
      <c r="AR444" s="909">
        <f>IFERROR(VLOOKUP(E444,'liquidaciones '!$B$2:$I$1048576,8,0),"")</f>
        <v>0</v>
      </c>
      <c r="AS444" s="312"/>
      <c r="AT444" s="156" t="str">
        <f t="shared" ca="1" si="80"/>
        <v>NO</v>
      </c>
      <c r="AU444" s="406" t="s">
        <v>2960</v>
      </c>
      <c r="AV444" s="406"/>
      <c r="AW444" s="928"/>
      <c r="AX444" s="928"/>
      <c r="AY444" s="928"/>
    </row>
    <row r="445" spans="3:51" ht="57" customHeight="1" x14ac:dyDescent="0.3">
      <c r="C445" s="410"/>
      <c r="D445" s="410" t="str">
        <f t="shared" si="82"/>
        <v>2016</v>
      </c>
      <c r="E445" s="120" t="s">
        <v>2629</v>
      </c>
      <c r="F445" s="824" t="s">
        <v>2630</v>
      </c>
      <c r="G445" s="874">
        <v>85473477</v>
      </c>
      <c r="H445" s="965" t="s">
        <v>2631</v>
      </c>
      <c r="I445" s="875">
        <v>9000000</v>
      </c>
      <c r="J445" s="685" t="s">
        <v>2629</v>
      </c>
      <c r="K445" s="269">
        <v>2016</v>
      </c>
      <c r="L445" s="519">
        <v>42622</v>
      </c>
      <c r="M445" s="826">
        <v>42625</v>
      </c>
      <c r="N445" s="826">
        <v>42778</v>
      </c>
      <c r="O445" s="1099" t="str">
        <f>IF(+Modificaciones!I445=0,"",VLOOKUP(E445,Modificaciones!$B$7:$I$2400,8,0))</f>
        <v/>
      </c>
      <c r="P445" s="115">
        <f>COUNTA(Modificaciones!J445,Modificaciones!L445,Modificaciones!N445,Modificaciones!P445)</f>
        <v>0</v>
      </c>
      <c r="Q445" s="116">
        <f>VLOOKUP(E445,Modificaciones!$B$7:$R$2300,17,0)</f>
        <v>0</v>
      </c>
      <c r="R445" s="117">
        <f>COUNTA(Modificaciones!T445,Modificaciones!V445,Modificaciones!X445,Modificaciones!Z445)</f>
        <v>0</v>
      </c>
      <c r="S445" s="118" t="str">
        <f>IF(Modificaciones!AA445=0,"",VLOOKUP(E445,Modificaciones!$B$7:$AA$2400,26,0))</f>
        <v/>
      </c>
      <c r="T445" s="119" t="str">
        <f>IF(Modificaciones!AB445=0,"",VLOOKUP(E445,Modificaciones!$B$7:$AB$2400,27,0))</f>
        <v/>
      </c>
      <c r="U445" s="1080" t="str">
        <f>+Modificaciones!AC445</f>
        <v/>
      </c>
      <c r="V445" s="825" t="str">
        <f>+Modificaciones!AK445</f>
        <v/>
      </c>
      <c r="W445" s="825">
        <f t="shared" si="75"/>
        <v>42778</v>
      </c>
      <c r="X445" s="59">
        <f t="shared" si="73"/>
        <v>9000000</v>
      </c>
      <c r="Y445" s="151">
        <f>VLOOKUP(E445,Modificaciones!$B$7:$BE$2300,56,0)</f>
        <v>9000000</v>
      </c>
      <c r="Z445" s="84">
        <f t="shared" si="84"/>
        <v>0</v>
      </c>
      <c r="AA445" s="283" t="s">
        <v>1094</v>
      </c>
      <c r="AB445" s="823">
        <f t="shared" si="74"/>
        <v>1</v>
      </c>
      <c r="AC445" s="40">
        <f t="shared" ca="1" si="76"/>
        <v>1</v>
      </c>
      <c r="AD445" s="41">
        <f t="shared" ca="1" si="77"/>
        <v>0</v>
      </c>
      <c r="AE445" s="181" t="str">
        <f t="shared" ca="1" si="78"/>
        <v/>
      </c>
      <c r="AF445" s="42" t="str">
        <f t="shared" si="83"/>
        <v>SI</v>
      </c>
      <c r="AG445" s="732" t="s">
        <v>5773</v>
      </c>
      <c r="AH445" s="152" t="s">
        <v>1255</v>
      </c>
      <c r="AI445" s="255" t="s">
        <v>2632</v>
      </c>
      <c r="AJ445" s="152" t="s">
        <v>1176</v>
      </c>
      <c r="AK445" s="255" t="s">
        <v>559</v>
      </c>
      <c r="AL445" s="279"/>
      <c r="AM445" s="279" t="s">
        <v>600</v>
      </c>
      <c r="AN445" s="161" t="str">
        <f t="shared" ca="1" si="79"/>
        <v>TERMINO</v>
      </c>
      <c r="AO445" s="160" t="s">
        <v>582</v>
      </c>
      <c r="AP445" s="155" t="s">
        <v>391</v>
      </c>
      <c r="AQ445" s="819" t="str">
        <f>IFERROR(VLOOKUP(E445,'liquidaciones '!$B$2:$C$1048576,2,0),"NO")</f>
        <v>LIQUIDADO</v>
      </c>
      <c r="AR445" s="909" t="str">
        <f>IFERROR(VLOOKUP(E445,'liquidaciones '!$B$2:$I$1048576,8,0),"")</f>
        <v>JAVIER QUINTERO</v>
      </c>
      <c r="AS445" s="312"/>
      <c r="AT445" s="156" t="str">
        <f t="shared" ca="1" si="80"/>
        <v>NO</v>
      </c>
      <c r="AU445" s="156" t="s">
        <v>2597</v>
      </c>
      <c r="AV445" s="406"/>
      <c r="AW445" s="928"/>
      <c r="AX445" s="928"/>
      <c r="AY445" s="928"/>
    </row>
    <row r="446" spans="3:51" ht="48" customHeight="1" x14ac:dyDescent="0.3">
      <c r="C446" s="410"/>
      <c r="D446" s="410" t="str">
        <f t="shared" si="82"/>
        <v>2016</v>
      </c>
      <c r="E446" s="120" t="s">
        <v>2633</v>
      </c>
      <c r="F446" s="824" t="s">
        <v>2634</v>
      </c>
      <c r="G446" s="874">
        <v>1090442018</v>
      </c>
      <c r="H446" s="965" t="s">
        <v>2635</v>
      </c>
      <c r="I446" s="875">
        <v>7500000</v>
      </c>
      <c r="J446" s="685" t="s">
        <v>2633</v>
      </c>
      <c r="K446" s="269">
        <v>2016</v>
      </c>
      <c r="L446" s="519">
        <v>42622</v>
      </c>
      <c r="M446" s="826">
        <v>42625</v>
      </c>
      <c r="N446" s="826">
        <v>42778</v>
      </c>
      <c r="O446" s="1099" t="str">
        <f>IF(+Modificaciones!I446=0,"",VLOOKUP(E446,Modificaciones!$B$7:$I$2400,8,0))</f>
        <v/>
      </c>
      <c r="P446" s="115">
        <f>COUNTA(Modificaciones!J446,Modificaciones!L446,Modificaciones!N446,Modificaciones!P446)</f>
        <v>0</v>
      </c>
      <c r="Q446" s="116">
        <f>VLOOKUP(E446,Modificaciones!$B$7:$R$2300,17,0)</f>
        <v>0</v>
      </c>
      <c r="R446" s="117">
        <f>COUNTA(Modificaciones!T446,Modificaciones!V446,Modificaciones!X446,Modificaciones!Z446)</f>
        <v>0</v>
      </c>
      <c r="S446" s="118" t="str">
        <f>IF(Modificaciones!AA446=0,"",VLOOKUP(E446,Modificaciones!$B$7:$AA$2400,26,0))</f>
        <v/>
      </c>
      <c r="T446" s="119" t="str">
        <f>IF(Modificaciones!AB446=0,"",VLOOKUP(E446,Modificaciones!$B$7:$AB$2400,27,0))</f>
        <v/>
      </c>
      <c r="U446" s="1080" t="str">
        <f>+Modificaciones!AC446</f>
        <v/>
      </c>
      <c r="V446" s="825" t="str">
        <f>+Modificaciones!AK446</f>
        <v/>
      </c>
      <c r="W446" s="825">
        <f t="shared" si="75"/>
        <v>42778</v>
      </c>
      <c r="X446" s="59">
        <f t="shared" si="73"/>
        <v>7500000</v>
      </c>
      <c r="Y446" s="151">
        <f>VLOOKUP(E446,Modificaciones!$B$7:$BE$2300,56,0)</f>
        <v>7500000</v>
      </c>
      <c r="Z446" s="84">
        <f t="shared" si="84"/>
        <v>0</v>
      </c>
      <c r="AA446" s="283" t="s">
        <v>1094</v>
      </c>
      <c r="AB446" s="823">
        <f t="shared" si="74"/>
        <v>1</v>
      </c>
      <c r="AC446" s="40">
        <f t="shared" ca="1" si="76"/>
        <v>1</v>
      </c>
      <c r="AD446" s="41">
        <f t="shared" ca="1" si="77"/>
        <v>0</v>
      </c>
      <c r="AE446" s="181" t="str">
        <f t="shared" ca="1" si="78"/>
        <v/>
      </c>
      <c r="AF446" s="42" t="str">
        <f t="shared" si="83"/>
        <v>SI</v>
      </c>
      <c r="AG446" s="732" t="s">
        <v>5773</v>
      </c>
      <c r="AH446" s="152" t="s">
        <v>1255</v>
      </c>
      <c r="AI446" s="255" t="s">
        <v>2636</v>
      </c>
      <c r="AJ446" s="152" t="s">
        <v>1176</v>
      </c>
      <c r="AK446" s="255" t="s">
        <v>559</v>
      </c>
      <c r="AL446" s="279"/>
      <c r="AM446" s="279" t="s">
        <v>600</v>
      </c>
      <c r="AN446" s="161" t="str">
        <f t="shared" ca="1" si="79"/>
        <v>TERMINO</v>
      </c>
      <c r="AO446" s="160" t="s">
        <v>582</v>
      </c>
      <c r="AP446" s="155" t="s">
        <v>391</v>
      </c>
      <c r="AQ446" s="819" t="str">
        <f>IFERROR(VLOOKUP(E446,'liquidaciones '!$B$2:$C$1048576,2,0),"NO")</f>
        <v>LIQUIDADO</v>
      </c>
      <c r="AR446" s="909" t="str">
        <f>IFERROR(VLOOKUP(E446,'liquidaciones '!$B$2:$I$1048576,8,0),"")</f>
        <v>JAVIER QUINTERO</v>
      </c>
      <c r="AS446" s="312"/>
      <c r="AT446" s="156" t="str">
        <f t="shared" ca="1" si="80"/>
        <v>NO</v>
      </c>
      <c r="AU446" s="156" t="s">
        <v>2598</v>
      </c>
      <c r="AV446" s="406"/>
      <c r="AW446" s="928"/>
      <c r="AX446" s="928"/>
      <c r="AY446" s="928"/>
    </row>
    <row r="447" spans="3:51" ht="20.399999999999999" x14ac:dyDescent="0.3">
      <c r="C447" s="410">
        <v>86</v>
      </c>
      <c r="D447" s="410" t="str">
        <f t="shared" si="82"/>
        <v>201686</v>
      </c>
      <c r="E447" s="120" t="s">
        <v>2637</v>
      </c>
      <c r="F447" s="824" t="s">
        <v>2094</v>
      </c>
      <c r="G447" s="874">
        <v>830099766</v>
      </c>
      <c r="H447" s="965" t="s">
        <v>2638</v>
      </c>
      <c r="I447" s="875">
        <v>50871139</v>
      </c>
      <c r="J447" s="685" t="s">
        <v>2640</v>
      </c>
      <c r="K447" s="269">
        <v>2016</v>
      </c>
      <c r="L447" s="519">
        <v>42621</v>
      </c>
      <c r="M447" s="826">
        <v>42632</v>
      </c>
      <c r="N447" s="826">
        <v>42874</v>
      </c>
      <c r="O447" s="1099" t="str">
        <f>IF(+Modificaciones!I447=0,"",VLOOKUP(E447,Modificaciones!$B$7:$I$2400,8,0))</f>
        <v/>
      </c>
      <c r="P447" s="115">
        <f>COUNTA(Modificaciones!J447,Modificaciones!L447,Modificaciones!N447,Modificaciones!P447)</f>
        <v>0</v>
      </c>
      <c r="Q447" s="116">
        <f>VLOOKUP(E447,Modificaciones!$B$7:$R$2300,17,0)</f>
        <v>0</v>
      </c>
      <c r="R447" s="117">
        <f>COUNTA(Modificaciones!T447,Modificaciones!V447,Modificaciones!X447,Modificaciones!Z447)</f>
        <v>0</v>
      </c>
      <c r="S447" s="118" t="str">
        <f>IF(Modificaciones!AA447=0,"",VLOOKUP(E447,Modificaciones!$B$7:$AA$2400,26,0))</f>
        <v/>
      </c>
      <c r="T447" s="119" t="str">
        <f>IF(Modificaciones!AB447=0,"",VLOOKUP(E447,Modificaciones!$B$7:$AB$2400,27,0))</f>
        <v/>
      </c>
      <c r="U447" s="1080" t="str">
        <f>+Modificaciones!AC447</f>
        <v/>
      </c>
      <c r="V447" s="825" t="str">
        <f>+Modificaciones!AK447</f>
        <v/>
      </c>
      <c r="W447" s="825">
        <f t="shared" si="75"/>
        <v>42874</v>
      </c>
      <c r="X447" s="59">
        <f t="shared" si="73"/>
        <v>50871139</v>
      </c>
      <c r="Y447" s="151">
        <f>VLOOKUP(E447,Modificaciones!$B$7:$BE$2300,56,0)</f>
        <v>39661129</v>
      </c>
      <c r="Z447" s="84">
        <f t="shared" si="84"/>
        <v>11210010</v>
      </c>
      <c r="AA447" s="415" t="s">
        <v>2639</v>
      </c>
      <c r="AB447" s="823">
        <f t="shared" si="74"/>
        <v>0.7796390994901844</v>
      </c>
      <c r="AC447" s="40">
        <f t="shared" ca="1" si="76"/>
        <v>1</v>
      </c>
      <c r="AD447" s="41">
        <f t="shared" ca="1" si="77"/>
        <v>0.2203609005098156</v>
      </c>
      <c r="AE447" s="181" t="str">
        <f t="shared" ca="1" si="78"/>
        <v/>
      </c>
      <c r="AF447" s="42" t="str">
        <f t="shared" si="83"/>
        <v>NO</v>
      </c>
      <c r="AG447" s="1017" t="s">
        <v>4920</v>
      </c>
      <c r="AH447" s="152" t="s">
        <v>1256</v>
      </c>
      <c r="AI447" s="255" t="s">
        <v>2097</v>
      </c>
      <c r="AJ447" s="152" t="s">
        <v>1438</v>
      </c>
      <c r="AK447" s="255" t="s">
        <v>560</v>
      </c>
      <c r="AL447" s="279" t="s">
        <v>1508</v>
      </c>
      <c r="AM447" s="279" t="s">
        <v>600</v>
      </c>
      <c r="AN447" s="161" t="str">
        <f t="shared" ca="1" si="79"/>
        <v>TERMINO</v>
      </c>
      <c r="AO447" s="284" t="s">
        <v>582</v>
      </c>
      <c r="AP447" s="155" t="s">
        <v>390</v>
      </c>
      <c r="AQ447" s="819" t="str">
        <f>IFERROR(VLOOKUP(E447,'liquidaciones '!$B$2:$C$1048576,2,0),"NO")</f>
        <v>LIQUIDADO</v>
      </c>
      <c r="AR447" s="909" t="str">
        <f>IFERROR(VLOOKUP(E447,'liquidaciones '!$B$2:$I$1048576,8,0),"")</f>
        <v>GIOVANNI SUAREZ</v>
      </c>
      <c r="AS447" s="312"/>
      <c r="AT447" s="156" t="str">
        <f t="shared" ca="1" si="80"/>
        <v>NO</v>
      </c>
      <c r="AU447" s="156" t="s">
        <v>2902</v>
      </c>
      <c r="AV447" s="406"/>
      <c r="AW447" s="928"/>
      <c r="AX447" s="928"/>
      <c r="AY447" s="928"/>
    </row>
    <row r="448" spans="3:51" ht="20.399999999999999" x14ac:dyDescent="0.3">
      <c r="C448" s="410">
        <v>139</v>
      </c>
      <c r="D448" s="410" t="str">
        <f t="shared" si="82"/>
        <v>2016139</v>
      </c>
      <c r="E448" s="120" t="s">
        <v>2642</v>
      </c>
      <c r="F448" s="824" t="s">
        <v>2643</v>
      </c>
      <c r="G448" s="874">
        <v>860007590</v>
      </c>
      <c r="H448" s="965" t="s">
        <v>2644</v>
      </c>
      <c r="I448" s="875">
        <v>974160</v>
      </c>
      <c r="J448" s="685" t="s">
        <v>2642</v>
      </c>
      <c r="K448" s="269">
        <v>2016</v>
      </c>
      <c r="L448" s="519">
        <v>42636</v>
      </c>
      <c r="M448" s="826">
        <v>42643</v>
      </c>
      <c r="N448" s="826">
        <v>43008</v>
      </c>
      <c r="O448" s="1099" t="str">
        <f>IF(+Modificaciones!I448=0,"",VLOOKUP(E448,Modificaciones!$B$7:$I$2400,8,0))</f>
        <v/>
      </c>
      <c r="P448" s="115">
        <f>COUNTA(Modificaciones!J448,Modificaciones!L448,Modificaciones!N448,Modificaciones!P448)</f>
        <v>0</v>
      </c>
      <c r="Q448" s="116">
        <f>VLOOKUP(E448,Modificaciones!$B$7:$R$2300,17,0)</f>
        <v>0</v>
      </c>
      <c r="R448" s="117">
        <f>COUNTA(Modificaciones!T448,Modificaciones!V448,Modificaciones!X448,Modificaciones!Z448)</f>
        <v>0</v>
      </c>
      <c r="S448" s="118" t="str">
        <f>IF(Modificaciones!AA448=0,"",VLOOKUP(E448,Modificaciones!$B$7:$AA$2400,26,0))</f>
        <v/>
      </c>
      <c r="T448" s="119" t="str">
        <f>IF(Modificaciones!AB448=0,"",VLOOKUP(E448,Modificaciones!$B$7:$AB$2400,27,0))</f>
        <v/>
      </c>
      <c r="U448" s="1080" t="str">
        <f>+Modificaciones!AC448</f>
        <v/>
      </c>
      <c r="V448" s="825" t="str">
        <f>+Modificaciones!AK448</f>
        <v/>
      </c>
      <c r="W448" s="825">
        <f t="shared" si="75"/>
        <v>43008</v>
      </c>
      <c r="X448" s="59">
        <f t="shared" si="73"/>
        <v>974160</v>
      </c>
      <c r="Y448" s="151">
        <f>VLOOKUP(E448,Modificaciones!$B$7:$BE$2300,56,0)</f>
        <v>974160</v>
      </c>
      <c r="Z448" s="84">
        <f t="shared" si="84"/>
        <v>0</v>
      </c>
      <c r="AA448" s="283" t="s">
        <v>1894</v>
      </c>
      <c r="AB448" s="823">
        <f t="shared" si="74"/>
        <v>1</v>
      </c>
      <c r="AC448" s="40">
        <f t="shared" ca="1" si="76"/>
        <v>1</v>
      </c>
      <c r="AD448" s="41">
        <f t="shared" ca="1" si="77"/>
        <v>0</v>
      </c>
      <c r="AE448" s="181" t="str">
        <f t="shared" ca="1" si="78"/>
        <v/>
      </c>
      <c r="AF448" s="42" t="str">
        <f t="shared" si="83"/>
        <v>SI</v>
      </c>
      <c r="AG448" s="732" t="str">
        <f>VLOOKUP(C448,[2]Hoja4!$A$2:$E$116,5,0)</f>
        <v>SUSCRIPCION</v>
      </c>
      <c r="AH448" s="152" t="s">
        <v>1255</v>
      </c>
      <c r="AI448" s="255" t="s">
        <v>1124</v>
      </c>
      <c r="AJ448" s="152" t="s">
        <v>1429</v>
      </c>
      <c r="AK448" s="255" t="s">
        <v>564</v>
      </c>
      <c r="AL448" s="279"/>
      <c r="AM448" s="279" t="s">
        <v>600</v>
      </c>
      <c r="AN448" s="161" t="str">
        <f t="shared" ca="1" si="79"/>
        <v>TERMINO</v>
      </c>
      <c r="AO448" s="284" t="s">
        <v>582</v>
      </c>
      <c r="AP448" s="155" t="s">
        <v>390</v>
      </c>
      <c r="AQ448" s="819" t="str">
        <f>IFERROR(VLOOKUP(E448,'liquidaciones '!$B$2:$C$1048576,2,0),"NO")</f>
        <v>LIQUIDADO</v>
      </c>
      <c r="AR448" s="909">
        <f>IFERROR(VLOOKUP(E448,'liquidaciones '!$B$2:$I$1048576,8,0),"")</f>
        <v>0</v>
      </c>
      <c r="AS448" s="312"/>
      <c r="AT448" s="156" t="str">
        <f t="shared" ca="1" si="80"/>
        <v>NO</v>
      </c>
      <c r="AU448" s="406" t="s">
        <v>3050</v>
      </c>
      <c r="AV448" s="406"/>
      <c r="AW448" s="928"/>
      <c r="AX448" s="928"/>
      <c r="AY448" s="928"/>
    </row>
    <row r="449" spans="3:51" ht="30.6" x14ac:dyDescent="0.3">
      <c r="C449" s="410">
        <v>208</v>
      </c>
      <c r="D449" s="410" t="str">
        <f t="shared" si="82"/>
        <v>2016208</v>
      </c>
      <c r="E449" s="120" t="s">
        <v>2645</v>
      </c>
      <c r="F449" s="824" t="s">
        <v>2646</v>
      </c>
      <c r="G449" s="874">
        <v>830113914</v>
      </c>
      <c r="H449" s="965" t="s">
        <v>2647</v>
      </c>
      <c r="I449" s="875">
        <v>71482000</v>
      </c>
      <c r="J449" s="685" t="s">
        <v>2648</v>
      </c>
      <c r="K449" s="269">
        <v>2016</v>
      </c>
      <c r="L449" s="519">
        <v>42629</v>
      </c>
      <c r="M449" s="826">
        <v>42646</v>
      </c>
      <c r="N449" s="826">
        <v>42858</v>
      </c>
      <c r="O449" s="1099" t="str">
        <f>IF(+Modificaciones!I449=0,"",VLOOKUP(E449,Modificaciones!$B$7:$I$2400,8,0))</f>
        <v/>
      </c>
      <c r="P449" s="115">
        <f>COUNTA(Modificaciones!J449,Modificaciones!L449,Modificaciones!N449,Modificaciones!P449)</f>
        <v>0</v>
      </c>
      <c r="Q449" s="116">
        <f>VLOOKUP(E449,Modificaciones!$B$7:$R$2300,17,0)</f>
        <v>0</v>
      </c>
      <c r="R449" s="117">
        <f>COUNTA(Modificaciones!T449,Modificaciones!V449,Modificaciones!X449,Modificaciones!Z449)</f>
        <v>1</v>
      </c>
      <c r="S449" s="118" t="str">
        <f>IF(Modificaciones!AA449=0,"",VLOOKUP(E449,Modificaciones!$B$7:$AA$2400,26,0))</f>
        <v xml:space="preserve">4 meses </v>
      </c>
      <c r="T449" s="119">
        <f>IF(Modificaciones!AB449=0,"",VLOOKUP(E449,Modificaciones!$B$7:$AB$2400,27,0))</f>
        <v>42981</v>
      </c>
      <c r="U449" s="1080" t="str">
        <f>+Modificaciones!AC449</f>
        <v/>
      </c>
      <c r="V449" s="825" t="str">
        <f>+Modificaciones!AK449</f>
        <v/>
      </c>
      <c r="W449" s="825">
        <f t="shared" si="75"/>
        <v>42981</v>
      </c>
      <c r="X449" s="59">
        <f t="shared" si="73"/>
        <v>71482000</v>
      </c>
      <c r="Y449" s="151">
        <f>VLOOKUP(E449,Modificaciones!$B$7:$BE$2300,56,0)</f>
        <v>71481959</v>
      </c>
      <c r="Z449" s="84">
        <f t="shared" si="84"/>
        <v>41</v>
      </c>
      <c r="AA449" s="283" t="s">
        <v>2005</v>
      </c>
      <c r="AB449" s="823">
        <f t="shared" si="74"/>
        <v>0.99999942642903106</v>
      </c>
      <c r="AC449" s="40">
        <f t="shared" ca="1" si="76"/>
        <v>1</v>
      </c>
      <c r="AD449" s="41">
        <f t="shared" ca="1" si="77"/>
        <v>5.7357096894250503E-7</v>
      </c>
      <c r="AE449" s="181" t="str">
        <f t="shared" ca="1" si="78"/>
        <v/>
      </c>
      <c r="AF449" s="42" t="str">
        <f t="shared" si="83"/>
        <v>SI</v>
      </c>
      <c r="AG449" s="732" t="s">
        <v>1712</v>
      </c>
      <c r="AH449" s="152" t="s">
        <v>1255</v>
      </c>
      <c r="AI449" s="152" t="s">
        <v>1129</v>
      </c>
      <c r="AJ449" s="152" t="s">
        <v>1441</v>
      </c>
      <c r="AK449" s="255" t="s">
        <v>560</v>
      </c>
      <c r="AL449" s="158" t="s">
        <v>1378</v>
      </c>
      <c r="AM449" s="279" t="s">
        <v>600</v>
      </c>
      <c r="AN449" s="161" t="str">
        <f t="shared" ca="1" si="79"/>
        <v>TERMINO</v>
      </c>
      <c r="AO449" s="284" t="s">
        <v>575</v>
      </c>
      <c r="AP449" s="155" t="s">
        <v>390</v>
      </c>
      <c r="AQ449" s="819" t="str">
        <f>IFERROR(VLOOKUP(E449,'liquidaciones '!$B$2:$C$1048576,2,0),"NO")</f>
        <v>LIQUIDADO</v>
      </c>
      <c r="AR449" s="909">
        <f>IFERROR(VLOOKUP(E449,'liquidaciones '!$B$2:$I$1048576,8,0),"")</f>
        <v>0</v>
      </c>
      <c r="AS449" s="312"/>
      <c r="AT449" s="156" t="str">
        <f t="shared" ca="1" si="80"/>
        <v>NO</v>
      </c>
      <c r="AU449" s="156" t="s">
        <v>2960</v>
      </c>
      <c r="AV449" s="406"/>
      <c r="AW449" s="928"/>
      <c r="AX449" s="928"/>
      <c r="AY449" s="928"/>
    </row>
    <row r="450" spans="3:51" ht="30.6" x14ac:dyDescent="0.3">
      <c r="C450" s="410"/>
      <c r="D450" s="410"/>
      <c r="E450" s="120" t="s">
        <v>2650</v>
      </c>
      <c r="F450" s="824" t="s">
        <v>2651</v>
      </c>
      <c r="G450" s="874">
        <v>74185457</v>
      </c>
      <c r="H450" s="965" t="s">
        <v>3033</v>
      </c>
      <c r="I450" s="875">
        <v>22000000</v>
      </c>
      <c r="J450" s="685" t="s">
        <v>2650</v>
      </c>
      <c r="K450" s="269">
        <v>2016</v>
      </c>
      <c r="L450" s="519">
        <v>42640</v>
      </c>
      <c r="M450" s="826">
        <v>42642</v>
      </c>
      <c r="N450" s="826">
        <v>42764</v>
      </c>
      <c r="O450" s="1099" t="str">
        <f>IF(+Modificaciones!I450=0,"",VLOOKUP(E450,Modificaciones!$B$7:$I$2400,8,0))</f>
        <v/>
      </c>
      <c r="P450" s="115">
        <f>COUNTA(Modificaciones!J450,Modificaciones!L450,Modificaciones!N450,Modificaciones!P450)</f>
        <v>0</v>
      </c>
      <c r="Q450" s="116">
        <f>VLOOKUP(E450,Modificaciones!$B$7:$R$2300,17,0)</f>
        <v>0</v>
      </c>
      <c r="R450" s="117">
        <f>COUNTA(Modificaciones!T450,Modificaciones!V450,Modificaciones!X450,Modificaciones!Z450)</f>
        <v>0</v>
      </c>
      <c r="S450" s="118" t="str">
        <f>IF(Modificaciones!AA450=0,"",VLOOKUP(E450,Modificaciones!$B$7:$AA$2400,26,0))</f>
        <v/>
      </c>
      <c r="T450" s="119" t="str">
        <f>IF(Modificaciones!AB450=0,"",VLOOKUP(E450,Modificaciones!$B$7:$AB$2400,27,0))</f>
        <v/>
      </c>
      <c r="U450" s="1080" t="str">
        <f>+Modificaciones!AC450</f>
        <v/>
      </c>
      <c r="V450" s="825" t="str">
        <f>+Modificaciones!AK450</f>
        <v/>
      </c>
      <c r="W450" s="825">
        <f t="shared" si="75"/>
        <v>42764</v>
      </c>
      <c r="X450" s="59">
        <f t="shared" si="73"/>
        <v>22000000</v>
      </c>
      <c r="Y450" s="151">
        <f>VLOOKUP(E450,Modificaciones!$B$7:$BE$2300,56,0)</f>
        <v>11366666</v>
      </c>
      <c r="Z450" s="84">
        <f t="shared" si="84"/>
        <v>10633334</v>
      </c>
      <c r="AA450" s="283" t="s">
        <v>1094</v>
      </c>
      <c r="AB450" s="823">
        <f t="shared" si="74"/>
        <v>0.51666663636363641</v>
      </c>
      <c r="AC450" s="40">
        <f t="shared" ca="1" si="76"/>
        <v>1</v>
      </c>
      <c r="AD450" s="41">
        <f t="shared" ca="1" si="77"/>
        <v>0.48333336363636359</v>
      </c>
      <c r="AE450" s="181" t="str">
        <f t="shared" ca="1" si="78"/>
        <v/>
      </c>
      <c r="AF450" s="42" t="str">
        <f t="shared" si="83"/>
        <v>NO</v>
      </c>
      <c r="AG450" s="732" t="s">
        <v>5773</v>
      </c>
      <c r="AH450" s="152" t="s">
        <v>1256</v>
      </c>
      <c r="AI450" s="152" t="s">
        <v>2171</v>
      </c>
      <c r="AJ450" s="152" t="s">
        <v>1176</v>
      </c>
      <c r="AK450" s="255" t="s">
        <v>559</v>
      </c>
      <c r="AL450" s="279"/>
      <c r="AM450" s="279" t="s">
        <v>600</v>
      </c>
      <c r="AN450" s="161" t="str">
        <f t="shared" ca="1" si="79"/>
        <v>TERMINO</v>
      </c>
      <c r="AO450" s="160" t="s">
        <v>582</v>
      </c>
      <c r="AP450" s="155" t="s">
        <v>391</v>
      </c>
      <c r="AQ450" s="819" t="str">
        <f>IFERROR(VLOOKUP(E450,'liquidaciones '!$B$2:$C$1048576,2,0),"NO")</f>
        <v>LIQUIDADO</v>
      </c>
      <c r="AR450" s="909" t="str">
        <f>IFERROR(VLOOKUP(E450,'liquidaciones '!$B$2:$I$1048576,8,0),"")</f>
        <v>JULIETH ANGARITA</v>
      </c>
      <c r="AS450" s="312"/>
      <c r="AT450" s="156" t="str">
        <f t="shared" ca="1" si="80"/>
        <v>NO</v>
      </c>
      <c r="AU450" s="406" t="s">
        <v>1509</v>
      </c>
      <c r="AV450" s="406"/>
      <c r="AW450" s="928"/>
      <c r="AX450" s="928"/>
      <c r="AY450" s="928"/>
    </row>
    <row r="451" spans="3:51" ht="71.400000000000006" x14ac:dyDescent="0.3">
      <c r="C451" s="410">
        <v>84</v>
      </c>
      <c r="D451" s="410" t="str">
        <f>K451&amp;C451</f>
        <v>201684</v>
      </c>
      <c r="E451" s="120" t="s">
        <v>2652</v>
      </c>
      <c r="F451" s="824" t="s">
        <v>2124</v>
      </c>
      <c r="G451" s="874">
        <v>830083523</v>
      </c>
      <c r="H451" s="965" t="s">
        <v>2653</v>
      </c>
      <c r="I451" s="875">
        <v>8000000</v>
      </c>
      <c r="J451" s="685" t="s">
        <v>2652</v>
      </c>
      <c r="K451" s="269">
        <v>2016</v>
      </c>
      <c r="L451" s="519">
        <v>42636</v>
      </c>
      <c r="M451" s="826">
        <v>42648</v>
      </c>
      <c r="N451" s="826">
        <v>42891</v>
      </c>
      <c r="O451" s="1099" t="str">
        <f>IF(+Modificaciones!I451=0,"",VLOOKUP(E451,Modificaciones!$B$7:$I$2400,8,0))</f>
        <v/>
      </c>
      <c r="P451" s="115">
        <f>COUNTA(Modificaciones!J451,Modificaciones!L451,Modificaciones!N451,Modificaciones!P451)</f>
        <v>0</v>
      </c>
      <c r="Q451" s="116">
        <f>VLOOKUP(E451,Modificaciones!$B$7:$R$2300,17,0)</f>
        <v>0</v>
      </c>
      <c r="R451" s="117">
        <f>COUNTA(Modificaciones!T451,Modificaciones!V451,Modificaciones!X451,Modificaciones!Z451)</f>
        <v>0</v>
      </c>
      <c r="S451" s="118" t="str">
        <f>IF(Modificaciones!AA451=0,"",VLOOKUP(E451,Modificaciones!$B$7:$AA$2400,26,0))</f>
        <v/>
      </c>
      <c r="T451" s="119" t="str">
        <f>IF(Modificaciones!AB451=0,"",VLOOKUP(E451,Modificaciones!$B$7:$AB$2400,27,0))</f>
        <v/>
      </c>
      <c r="U451" s="1080" t="str">
        <f>+Modificaciones!AC451</f>
        <v/>
      </c>
      <c r="V451" s="825" t="str">
        <f>+Modificaciones!AK451</f>
        <v/>
      </c>
      <c r="W451" s="825">
        <f t="shared" si="75"/>
        <v>42891</v>
      </c>
      <c r="X451" s="59">
        <f t="shared" si="73"/>
        <v>8000000</v>
      </c>
      <c r="Y451" s="151">
        <f>VLOOKUP(E451,Modificaciones!$B$7:$BE$2300,56,0)</f>
        <v>8000000</v>
      </c>
      <c r="Z451" s="84">
        <f t="shared" si="84"/>
        <v>0</v>
      </c>
      <c r="AA451" s="415" t="s">
        <v>2654</v>
      </c>
      <c r="AB451" s="823">
        <f t="shared" si="74"/>
        <v>1</v>
      </c>
      <c r="AC451" s="40">
        <f t="shared" ca="1" si="76"/>
        <v>1</v>
      </c>
      <c r="AD451" s="41">
        <f t="shared" ca="1" si="77"/>
        <v>0</v>
      </c>
      <c r="AE451" s="181" t="str">
        <f t="shared" ca="1" si="78"/>
        <v/>
      </c>
      <c r="AF451" s="42" t="str">
        <f t="shared" si="83"/>
        <v>SI</v>
      </c>
      <c r="AG451" s="732"/>
      <c r="AH451" s="152" t="s">
        <v>1256</v>
      </c>
      <c r="AI451" s="255" t="s">
        <v>2108</v>
      </c>
      <c r="AJ451" s="152" t="s">
        <v>1438</v>
      </c>
      <c r="AK451" s="255" t="s">
        <v>560</v>
      </c>
      <c r="AL451" s="279" t="s">
        <v>1508</v>
      </c>
      <c r="AM451" s="279" t="s">
        <v>600</v>
      </c>
      <c r="AN451" s="161" t="str">
        <f t="shared" ca="1" si="79"/>
        <v>TERMINO</v>
      </c>
      <c r="AO451" s="284" t="s">
        <v>582</v>
      </c>
      <c r="AP451" s="155" t="s">
        <v>390</v>
      </c>
      <c r="AQ451" s="819" t="str">
        <f>IFERROR(VLOOKUP(E451,'liquidaciones '!$B$2:$C$1048576,2,0),"NO")</f>
        <v>LIQUIDADO</v>
      </c>
      <c r="AR451" s="909" t="str">
        <f>IFERROR(VLOOKUP(E451,'liquidaciones '!$B$2:$I$1048576,8,0),"")</f>
        <v>GIOVANNI SUAREZ</v>
      </c>
      <c r="AS451" s="312"/>
      <c r="AT451" s="156" t="str">
        <f t="shared" ca="1" si="80"/>
        <v>NO</v>
      </c>
      <c r="AU451" s="156" t="s">
        <v>2902</v>
      </c>
      <c r="AV451" s="406"/>
      <c r="AW451" s="928"/>
      <c r="AX451" s="928"/>
      <c r="AY451" s="928"/>
    </row>
    <row r="452" spans="3:51" ht="33.75" customHeight="1" x14ac:dyDescent="0.3">
      <c r="C452" s="410">
        <v>199</v>
      </c>
      <c r="D452" s="410" t="str">
        <f>K452&amp;C452</f>
        <v>2016199</v>
      </c>
      <c r="E452" s="120" t="s">
        <v>2655</v>
      </c>
      <c r="F452" s="824" t="s">
        <v>2662</v>
      </c>
      <c r="G452" s="874" t="s">
        <v>2656</v>
      </c>
      <c r="H452" s="965" t="s">
        <v>2657</v>
      </c>
      <c r="I452" s="875">
        <v>669493245</v>
      </c>
      <c r="J452" s="685" t="s">
        <v>2658</v>
      </c>
      <c r="K452" s="269">
        <v>2016</v>
      </c>
      <c r="L452" s="519">
        <v>42632</v>
      </c>
      <c r="M452" s="826">
        <v>42647</v>
      </c>
      <c r="N452" s="826">
        <v>42859</v>
      </c>
      <c r="O452" s="1099" t="str">
        <f>IF(+Modificaciones!I452=0,"",VLOOKUP(E452,Modificaciones!$B$7:$I$2400,8,0))</f>
        <v/>
      </c>
      <c r="P452" s="115">
        <f>COUNTA(Modificaciones!J452,Modificaciones!L452,Modificaciones!N452,Modificaciones!P452)</f>
        <v>1</v>
      </c>
      <c r="Q452" s="116">
        <f>VLOOKUP(E452,Modificaciones!$B$7:$R$2300,17,0)</f>
        <v>119367045</v>
      </c>
      <c r="R452" s="117">
        <f>COUNTA(Modificaciones!T452,Modificaciones!V452,Modificaciones!X452,Modificaciones!Z452)</f>
        <v>2</v>
      </c>
      <c r="S452" s="118" t="str">
        <f>IF(Modificaciones!AA452=0,"",VLOOKUP(E452,Modificaciones!$B$7:$AA$2400,26,0))</f>
        <v>2 meses y 12 días</v>
      </c>
      <c r="T452" s="119">
        <f>IF(Modificaciones!AB452=0,"",VLOOKUP(E452,Modificaciones!$B$7:$AB$2400,27,0))</f>
        <v>42931</v>
      </c>
      <c r="U452" s="1080" t="str">
        <f>+Modificaciones!AC452</f>
        <v/>
      </c>
      <c r="V452" s="825" t="str">
        <f>+Modificaciones!AK452</f>
        <v/>
      </c>
      <c r="W452" s="825">
        <f t="shared" si="75"/>
        <v>42931</v>
      </c>
      <c r="X452" s="59">
        <f t="shared" si="73"/>
        <v>788860290</v>
      </c>
      <c r="Y452" s="151">
        <f>VLOOKUP(E452,Modificaciones!$B$7:$BE$2300,56,0)</f>
        <v>721574980</v>
      </c>
      <c r="Z452" s="84">
        <f t="shared" si="84"/>
        <v>67285310</v>
      </c>
      <c r="AA452" s="283" t="s">
        <v>2659</v>
      </c>
      <c r="AB452" s="823">
        <f t="shared" si="74"/>
        <v>0.91470566987216462</v>
      </c>
      <c r="AC452" s="40">
        <f t="shared" ca="1" si="76"/>
        <v>1</v>
      </c>
      <c r="AD452" s="41">
        <f t="shared" ca="1" si="77"/>
        <v>8.5294330127835383E-2</v>
      </c>
      <c r="AE452" s="181" t="str">
        <f t="shared" ca="1" si="78"/>
        <v/>
      </c>
      <c r="AF452" s="42" t="str">
        <f t="shared" si="83"/>
        <v>NO</v>
      </c>
      <c r="AG452" s="1017" t="s">
        <v>4920</v>
      </c>
      <c r="AH452" s="152" t="s">
        <v>1255</v>
      </c>
      <c r="AI452" s="255" t="s">
        <v>1279</v>
      </c>
      <c r="AJ452" s="152" t="s">
        <v>1434</v>
      </c>
      <c r="AK452" s="255" t="s">
        <v>560</v>
      </c>
      <c r="AL452" s="279" t="s">
        <v>1385</v>
      </c>
      <c r="AM452" s="279" t="s">
        <v>600</v>
      </c>
      <c r="AN452" s="161" t="str">
        <f t="shared" ca="1" si="79"/>
        <v>TERMINO</v>
      </c>
      <c r="AO452" s="284" t="s">
        <v>573</v>
      </c>
      <c r="AP452" s="155" t="s">
        <v>390</v>
      </c>
      <c r="AQ452" s="819" t="str">
        <f>IFERROR(VLOOKUP(E452,'liquidaciones '!$B$2:$C$1048576,2,0),"NO")</f>
        <v>LIQUIDADO</v>
      </c>
      <c r="AR452" s="909">
        <f>IFERROR(VLOOKUP(E452,'liquidaciones '!$B$2:$I$1048576,8,0),"")</f>
        <v>0</v>
      </c>
      <c r="AS452" s="312"/>
      <c r="AT452" s="156" t="str">
        <f t="shared" ca="1" si="80"/>
        <v>NO</v>
      </c>
      <c r="AU452" s="406" t="s">
        <v>1509</v>
      </c>
      <c r="AV452" s="406"/>
      <c r="AW452" s="928"/>
      <c r="AX452" s="928"/>
      <c r="AY452" s="928"/>
    </row>
    <row r="453" spans="3:51" ht="30.6" x14ac:dyDescent="0.3">
      <c r="C453" s="410">
        <v>140</v>
      </c>
      <c r="D453" s="410" t="str">
        <f>K453&amp;C453</f>
        <v>2016140</v>
      </c>
      <c r="E453" s="120" t="s">
        <v>2660</v>
      </c>
      <c r="F453" s="824" t="s">
        <v>2145</v>
      </c>
      <c r="G453" s="874">
        <v>860536029</v>
      </c>
      <c r="H453" s="965" t="s">
        <v>2661</v>
      </c>
      <c r="I453" s="875">
        <v>930000</v>
      </c>
      <c r="J453" s="685" t="s">
        <v>2660</v>
      </c>
      <c r="K453" s="269">
        <v>2016</v>
      </c>
      <c r="L453" s="519">
        <v>42640</v>
      </c>
      <c r="M453" s="826">
        <v>42647</v>
      </c>
      <c r="N453" s="826">
        <v>43012</v>
      </c>
      <c r="O453" s="1099" t="str">
        <f>IF(+Modificaciones!I453=0,"",VLOOKUP(E453,Modificaciones!$B$7:$I$2400,8,0))</f>
        <v/>
      </c>
      <c r="P453" s="115">
        <f>COUNTA(Modificaciones!J453,Modificaciones!L453,Modificaciones!N453,Modificaciones!P453)</f>
        <v>0</v>
      </c>
      <c r="Q453" s="116">
        <f>VLOOKUP(E453,Modificaciones!$B$7:$R$2300,17,0)</f>
        <v>0</v>
      </c>
      <c r="R453" s="117">
        <f>COUNTA(Modificaciones!T453,Modificaciones!V453,Modificaciones!X453,Modificaciones!Z453)</f>
        <v>0</v>
      </c>
      <c r="S453" s="118" t="str">
        <f>IF(Modificaciones!AA453=0,"",VLOOKUP(E453,Modificaciones!$B$7:$AA$2400,26,0))</f>
        <v/>
      </c>
      <c r="T453" s="119" t="str">
        <f>IF(Modificaciones!AB453=0,"",VLOOKUP(E453,Modificaciones!$B$7:$AB$2400,27,0))</f>
        <v/>
      </c>
      <c r="U453" s="1080" t="str">
        <f>+Modificaciones!AC453</f>
        <v/>
      </c>
      <c r="V453" s="825" t="str">
        <f>+Modificaciones!AK453</f>
        <v/>
      </c>
      <c r="W453" s="825">
        <f t="shared" si="75"/>
        <v>43012</v>
      </c>
      <c r="X453" s="59">
        <f t="shared" si="73"/>
        <v>930000</v>
      </c>
      <c r="Y453" s="151">
        <f>VLOOKUP(E453,Modificaciones!$B$7:$BE$2300,56,0)</f>
        <v>930000</v>
      </c>
      <c r="Z453" s="84">
        <f t="shared" si="84"/>
        <v>0</v>
      </c>
      <c r="AA453" s="283" t="s">
        <v>1894</v>
      </c>
      <c r="AB453" s="823">
        <f t="shared" si="74"/>
        <v>1</v>
      </c>
      <c r="AC453" s="40">
        <f t="shared" ca="1" si="76"/>
        <v>1</v>
      </c>
      <c r="AD453" s="41">
        <f t="shared" ca="1" si="77"/>
        <v>0</v>
      </c>
      <c r="AE453" s="181" t="str">
        <f t="shared" ca="1" si="78"/>
        <v/>
      </c>
      <c r="AF453" s="42" t="str">
        <f t="shared" si="83"/>
        <v>SI</v>
      </c>
      <c r="AG453" s="732" t="str">
        <f>VLOOKUP(C453,[2]Hoja4!$A$2:$E$116,5,0)</f>
        <v>SUSCRIPCION</v>
      </c>
      <c r="AH453" s="152" t="s">
        <v>1255</v>
      </c>
      <c r="AI453" s="255" t="s">
        <v>1124</v>
      </c>
      <c r="AJ453" s="152" t="s">
        <v>1429</v>
      </c>
      <c r="AK453" s="255" t="s">
        <v>564</v>
      </c>
      <c r="AL453" s="279"/>
      <c r="AM453" s="279" t="s">
        <v>600</v>
      </c>
      <c r="AN453" s="161" t="str">
        <f t="shared" ca="1" si="79"/>
        <v>TERMINO</v>
      </c>
      <c r="AO453" s="284" t="s">
        <v>582</v>
      </c>
      <c r="AP453" s="155" t="s">
        <v>390</v>
      </c>
      <c r="AQ453" s="819" t="str">
        <f>IFERROR(VLOOKUP(E453,'liquidaciones '!$B$2:$C$1048576,2,0),"NO")</f>
        <v>LIQUIDADO</v>
      </c>
      <c r="AR453" s="909">
        <f>IFERROR(VLOOKUP(E453,'liquidaciones '!$B$2:$I$1048576,8,0),"")</f>
        <v>0</v>
      </c>
      <c r="AS453" s="312"/>
      <c r="AT453" s="156" t="str">
        <f t="shared" ca="1" si="80"/>
        <v>NO</v>
      </c>
      <c r="AU453" s="406" t="s">
        <v>1509</v>
      </c>
      <c r="AV453" s="406"/>
      <c r="AW453" s="928"/>
      <c r="AX453" s="928"/>
      <c r="AY453" s="928"/>
    </row>
    <row r="454" spans="3:51" ht="48" customHeight="1" x14ac:dyDescent="0.3">
      <c r="C454" s="410"/>
      <c r="D454" s="410" t="str">
        <f>K454&amp;C454</f>
        <v>2016</v>
      </c>
      <c r="E454" s="120" t="s">
        <v>2669</v>
      </c>
      <c r="F454" s="824" t="s">
        <v>2672</v>
      </c>
      <c r="G454" s="874">
        <v>52505397</v>
      </c>
      <c r="H454" s="965" t="s">
        <v>2670</v>
      </c>
      <c r="I454" s="875">
        <v>4800000</v>
      </c>
      <c r="J454" s="685" t="s">
        <v>2669</v>
      </c>
      <c r="K454" s="269">
        <v>2016</v>
      </c>
      <c r="L454" s="519">
        <v>42639</v>
      </c>
      <c r="M454" s="826">
        <v>42646</v>
      </c>
      <c r="N454" s="826">
        <v>42769</v>
      </c>
      <c r="O454" s="1099" t="str">
        <f>IF(+Modificaciones!I454=0,"",VLOOKUP(E454,Modificaciones!$B$7:$I$2400,8,0))</f>
        <v/>
      </c>
      <c r="P454" s="115">
        <f>COUNTA(Modificaciones!J454,Modificaciones!L454,Modificaciones!N454,Modificaciones!P454)</f>
        <v>0</v>
      </c>
      <c r="Q454" s="116">
        <f>VLOOKUP(E454,Modificaciones!$B$7:$R$2300,17,0)</f>
        <v>0</v>
      </c>
      <c r="R454" s="117">
        <f>COUNTA(Modificaciones!T454,Modificaciones!V454,Modificaciones!X454,Modificaciones!Z454)</f>
        <v>0</v>
      </c>
      <c r="S454" s="118" t="str">
        <f>IF(Modificaciones!AA454=0,"",VLOOKUP(E454,Modificaciones!$B$7:$AA$2400,26,0))</f>
        <v/>
      </c>
      <c r="T454" s="119" t="str">
        <f>IF(Modificaciones!AB454=0,"",VLOOKUP(E454,Modificaciones!$B$7:$AB$2400,27,0))</f>
        <v/>
      </c>
      <c r="U454" s="1080" t="str">
        <f>+Modificaciones!AC454</f>
        <v/>
      </c>
      <c r="V454" s="825" t="str">
        <f>+Modificaciones!AK454</f>
        <v/>
      </c>
      <c r="W454" s="825">
        <f t="shared" si="75"/>
        <v>42769</v>
      </c>
      <c r="X454" s="59">
        <f t="shared" si="73"/>
        <v>4800000</v>
      </c>
      <c r="Y454" s="151">
        <f>VLOOKUP(E454,Modificaciones!$B$7:$BE$2300,56,0)</f>
        <v>4640000</v>
      </c>
      <c r="Z454" s="84">
        <f t="shared" si="84"/>
        <v>160000</v>
      </c>
      <c r="AA454" s="283" t="s">
        <v>1094</v>
      </c>
      <c r="AB454" s="823">
        <f t="shared" si="74"/>
        <v>0.96666666666666667</v>
      </c>
      <c r="AC454" s="40">
        <f t="shared" ca="1" si="76"/>
        <v>1</v>
      </c>
      <c r="AD454" s="41">
        <f t="shared" ca="1" si="77"/>
        <v>3.3333333333333326E-2</v>
      </c>
      <c r="AE454" s="181" t="str">
        <f t="shared" ca="1" si="78"/>
        <v/>
      </c>
      <c r="AF454" s="42" t="str">
        <f t="shared" si="83"/>
        <v>NO</v>
      </c>
      <c r="AG454" s="732" t="s">
        <v>5773</v>
      </c>
      <c r="AH454" s="152" t="s">
        <v>1255</v>
      </c>
      <c r="AI454" s="255" t="s">
        <v>2671</v>
      </c>
      <c r="AJ454" s="152" t="s">
        <v>1176</v>
      </c>
      <c r="AK454" s="255" t="s">
        <v>559</v>
      </c>
      <c r="AL454" s="279"/>
      <c r="AM454" s="279" t="s">
        <v>600</v>
      </c>
      <c r="AN454" s="161" t="str">
        <f t="shared" ca="1" si="79"/>
        <v>TERMINO</v>
      </c>
      <c r="AO454" s="160" t="s">
        <v>582</v>
      </c>
      <c r="AP454" s="155" t="s">
        <v>391</v>
      </c>
      <c r="AQ454" s="819" t="str">
        <f>IFERROR(VLOOKUP(E454,'liquidaciones '!$B$2:$C$1048576,2,0),"NO")</f>
        <v>LIQUIDADO</v>
      </c>
      <c r="AR454" s="909" t="str">
        <f>IFERROR(VLOOKUP(E454,'liquidaciones '!$B$2:$I$1048576,8,0),"")</f>
        <v>MANUEL ROJAS</v>
      </c>
      <c r="AS454" s="312"/>
      <c r="AT454" s="156" t="str">
        <f t="shared" ca="1" si="80"/>
        <v>NO</v>
      </c>
      <c r="AU454" s="156" t="s">
        <v>2598</v>
      </c>
      <c r="AV454" s="406"/>
      <c r="AW454" s="928"/>
      <c r="AX454" s="928"/>
      <c r="AY454" s="928"/>
    </row>
    <row r="455" spans="3:51" ht="30.6" x14ac:dyDescent="0.3">
      <c r="C455" s="410"/>
      <c r="D455" s="410"/>
      <c r="E455" s="120" t="s">
        <v>2673</v>
      </c>
      <c r="F455" s="824" t="s">
        <v>2674</v>
      </c>
      <c r="G455" s="1056">
        <v>1030642892</v>
      </c>
      <c r="H455" s="966" t="s">
        <v>2675</v>
      </c>
      <c r="I455" s="875">
        <v>4800000</v>
      </c>
      <c r="J455" s="685" t="s">
        <v>2673</v>
      </c>
      <c r="K455" s="269">
        <v>2016</v>
      </c>
      <c r="L455" s="519">
        <v>42643</v>
      </c>
      <c r="M455" s="826">
        <v>42646</v>
      </c>
      <c r="N455" s="826">
        <v>42769</v>
      </c>
      <c r="O455" s="1099" t="str">
        <f>IF(+Modificaciones!I455=0,"",VLOOKUP(E455,Modificaciones!$B$7:$I$2400,8,0))</f>
        <v/>
      </c>
      <c r="P455" s="115">
        <f>COUNTA(Modificaciones!J455,Modificaciones!L455,Modificaciones!N455,Modificaciones!P455)</f>
        <v>0</v>
      </c>
      <c r="Q455" s="116">
        <f>VLOOKUP(E455,Modificaciones!$B$7:$R$2300,17,0)</f>
        <v>0</v>
      </c>
      <c r="R455" s="117">
        <f>COUNTA(Modificaciones!T455,Modificaciones!V455,Modificaciones!X455,Modificaciones!Z455)</f>
        <v>0</v>
      </c>
      <c r="S455" s="118" t="str">
        <f>IF(Modificaciones!AA455=0,"",VLOOKUP(E455,Modificaciones!$B$7:$AA$2400,26,0))</f>
        <v/>
      </c>
      <c r="T455" s="119" t="str">
        <f>IF(Modificaciones!AB455=0,"",VLOOKUP(E455,Modificaciones!$B$7:$AB$2400,27,0))</f>
        <v/>
      </c>
      <c r="U455" s="1080" t="str">
        <f>+Modificaciones!AC455</f>
        <v/>
      </c>
      <c r="V455" s="825" t="str">
        <f>+Modificaciones!AK455</f>
        <v/>
      </c>
      <c r="W455" s="825">
        <f t="shared" si="75"/>
        <v>42769</v>
      </c>
      <c r="X455" s="59">
        <f t="shared" ref="X455:X518" si="85">I455+Q455</f>
        <v>4800000</v>
      </c>
      <c r="Y455" s="151">
        <f>VLOOKUP(E455,Modificaciones!$B$7:$BE$2300,56,0)</f>
        <v>4800000</v>
      </c>
      <c r="Z455" s="84">
        <f t="shared" si="84"/>
        <v>0</v>
      </c>
      <c r="AA455" s="283" t="s">
        <v>1094</v>
      </c>
      <c r="AB455" s="823">
        <f t="shared" ref="AB455:AB518" si="86">(Y455*100%)/X455</f>
        <v>1</v>
      </c>
      <c r="AC455" s="40">
        <f t="shared" ca="1" si="76"/>
        <v>1</v>
      </c>
      <c r="AD455" s="41">
        <f t="shared" ca="1" si="77"/>
        <v>0</v>
      </c>
      <c r="AE455" s="181" t="str">
        <f t="shared" ca="1" si="78"/>
        <v/>
      </c>
      <c r="AF455" s="42" t="str">
        <f t="shared" si="83"/>
        <v>SI</v>
      </c>
      <c r="AG455" s="732" t="s">
        <v>5773</v>
      </c>
      <c r="AH455" s="152" t="s">
        <v>1255</v>
      </c>
      <c r="AI455" s="255" t="s">
        <v>2676</v>
      </c>
      <c r="AJ455" s="152"/>
      <c r="AK455" s="255" t="s">
        <v>562</v>
      </c>
      <c r="AL455" s="279"/>
      <c r="AM455" s="279" t="s">
        <v>600</v>
      </c>
      <c r="AN455" s="161" t="str">
        <f t="shared" ca="1" si="79"/>
        <v>TERMINO</v>
      </c>
      <c r="AO455" s="160" t="s">
        <v>582</v>
      </c>
      <c r="AP455" s="155" t="s">
        <v>391</v>
      </c>
      <c r="AQ455" s="819" t="str">
        <f>IFERROR(VLOOKUP(E455,'liquidaciones '!$B$2:$C$1048576,2,0),"NO")</f>
        <v>LIQUIDADO</v>
      </c>
      <c r="AR455" s="909" t="str">
        <f>IFERROR(VLOOKUP(E455,'liquidaciones '!$B$2:$I$1048576,8,0),"")</f>
        <v>EDWARD MORENO</v>
      </c>
      <c r="AS455" s="312"/>
      <c r="AT455" s="156" t="str">
        <f t="shared" ca="1" si="80"/>
        <v>NO</v>
      </c>
      <c r="AU455" s="156" t="s">
        <v>1509</v>
      </c>
      <c r="AV455" s="406"/>
      <c r="AW455" s="928"/>
      <c r="AX455" s="928"/>
      <c r="AY455" s="928"/>
    </row>
    <row r="456" spans="3:51" ht="30.6" x14ac:dyDescent="0.3">
      <c r="C456" s="410">
        <v>222</v>
      </c>
      <c r="D456" s="410"/>
      <c r="E456" s="120" t="s">
        <v>2678</v>
      </c>
      <c r="F456" s="824" t="s">
        <v>2679</v>
      </c>
      <c r="G456" s="874" t="s">
        <v>2680</v>
      </c>
      <c r="H456" s="965" t="s">
        <v>2698</v>
      </c>
      <c r="I456" s="875">
        <v>5150000</v>
      </c>
      <c r="J456" s="685" t="s">
        <v>2681</v>
      </c>
      <c r="K456" s="269">
        <v>2016</v>
      </c>
      <c r="L456" s="519">
        <v>42634</v>
      </c>
      <c r="M456" s="826">
        <v>42649</v>
      </c>
      <c r="N456" s="826">
        <v>42831</v>
      </c>
      <c r="O456" s="1099" t="str">
        <f>IF(+Modificaciones!I456=0,"",VLOOKUP(E456,Modificaciones!$B$7:$I$2400,8,0))</f>
        <v/>
      </c>
      <c r="P456" s="115">
        <f>COUNTA(Modificaciones!J456,Modificaciones!L456,Modificaciones!N456,Modificaciones!P456)</f>
        <v>0</v>
      </c>
      <c r="Q456" s="116">
        <f>VLOOKUP(E456,Modificaciones!$B$7:$R$2300,17,0)</f>
        <v>0</v>
      </c>
      <c r="R456" s="117">
        <f>COUNTA(Modificaciones!T456,Modificaciones!V456,Modificaciones!X456,Modificaciones!Z456)</f>
        <v>0</v>
      </c>
      <c r="S456" s="118" t="str">
        <f>IF(Modificaciones!AA456=0,"",VLOOKUP(E456,Modificaciones!$B$7:$AA$2400,26,0))</f>
        <v/>
      </c>
      <c r="T456" s="119" t="str">
        <f>IF(Modificaciones!AB456=0,"",VLOOKUP(E456,Modificaciones!$B$7:$AB$2400,27,0))</f>
        <v/>
      </c>
      <c r="U456" s="1080" t="str">
        <f>+Modificaciones!AC456</f>
        <v/>
      </c>
      <c r="V456" s="825" t="str">
        <f>+Modificaciones!AK456</f>
        <v/>
      </c>
      <c r="W456" s="825">
        <f t="shared" ref="W456:W519" si="87">MAX(N456,O456,T456,V456)</f>
        <v>42831</v>
      </c>
      <c r="X456" s="59">
        <f t="shared" si="85"/>
        <v>5150000</v>
      </c>
      <c r="Y456" s="151">
        <f>VLOOKUP(E456,Modificaciones!$B$7:$BE$2300,56,0)</f>
        <v>0</v>
      </c>
      <c r="Z456" s="84">
        <f t="shared" si="84"/>
        <v>5150000</v>
      </c>
      <c r="AA456" s="283" t="s">
        <v>2155</v>
      </c>
      <c r="AB456" s="823">
        <f t="shared" si="86"/>
        <v>0</v>
      </c>
      <c r="AC456" s="40">
        <f t="shared" ref="AC456:AC519" ca="1" si="88">IF((($F$3-M456)*100%/(W456-M456))&gt;100%,100%,(($F$3-M456)*100%/(W456-M456)))</f>
        <v>1</v>
      </c>
      <c r="AD456" s="41">
        <f t="shared" ref="AD456:AD519" ca="1" si="89">AC456-AB456</f>
        <v>1</v>
      </c>
      <c r="AE456" s="181" t="str">
        <f t="shared" ref="AE456:AE519" ca="1" si="90">IF(AC456&lt;100%,W456-$F$3,"")</f>
        <v/>
      </c>
      <c r="AF456" s="42" t="str">
        <f t="shared" si="83"/>
        <v>NO</v>
      </c>
      <c r="AG456" s="1017" t="s">
        <v>4920</v>
      </c>
      <c r="AH456" s="152" t="s">
        <v>1255</v>
      </c>
      <c r="AI456" s="255" t="s">
        <v>1171</v>
      </c>
      <c r="AJ456" s="152" t="s">
        <v>1441</v>
      </c>
      <c r="AK456" s="255" t="s">
        <v>560</v>
      </c>
      <c r="AL456" s="153" t="s">
        <v>1379</v>
      </c>
      <c r="AM456" s="279" t="s">
        <v>600</v>
      </c>
      <c r="AN456" s="161" t="str">
        <f t="shared" ref="AN456:AN519" ca="1" si="91">IF(W456&gt;=$F$3,"EN EJECUCIÓN","TERMINO")</f>
        <v>TERMINO</v>
      </c>
      <c r="AO456" s="160" t="s">
        <v>576</v>
      </c>
      <c r="AP456" s="155" t="s">
        <v>390</v>
      </c>
      <c r="AQ456" s="819" t="str">
        <f>IFERROR(VLOOKUP(E456,'liquidaciones '!$B$2:$C$1048576,2,0),"NO")</f>
        <v>LIQUIDADO</v>
      </c>
      <c r="AR456" s="909" t="str">
        <f>IFERROR(VLOOKUP(E456,'liquidaciones '!$B$2:$I$1048576,8,0),"")</f>
        <v>JULIETH ANGARITA</v>
      </c>
      <c r="AS456" s="312"/>
      <c r="AT456" s="156" t="str">
        <f t="shared" ref="AT456:AT519" ca="1" si="92">IF((TODAY()-W456&lt;900),"SI","NO")</f>
        <v>NO</v>
      </c>
      <c r="AU456" s="156" t="s">
        <v>2960</v>
      </c>
      <c r="AV456" s="406"/>
      <c r="AW456" s="928"/>
      <c r="AX456" s="928"/>
      <c r="AY456" s="928"/>
    </row>
    <row r="457" spans="3:51" ht="20.399999999999999" x14ac:dyDescent="0.3">
      <c r="C457" s="410">
        <v>138</v>
      </c>
      <c r="D457" s="410" t="str">
        <f>K457&amp;C457</f>
        <v>2016138</v>
      </c>
      <c r="E457" s="120" t="s">
        <v>2682</v>
      </c>
      <c r="F457" s="824" t="s">
        <v>2220</v>
      </c>
      <c r="G457" s="874">
        <v>860009759</v>
      </c>
      <c r="H457" s="965" t="s">
        <v>2221</v>
      </c>
      <c r="I457" s="875">
        <v>817587</v>
      </c>
      <c r="J457" s="685" t="s">
        <v>2682</v>
      </c>
      <c r="K457" s="269">
        <v>2016</v>
      </c>
      <c r="L457" s="519">
        <v>42643</v>
      </c>
      <c r="M457" s="826">
        <v>42703</v>
      </c>
      <c r="N457" s="826">
        <v>43068</v>
      </c>
      <c r="O457" s="1099" t="str">
        <f>IF(+Modificaciones!I457=0,"",VLOOKUP(E457,Modificaciones!$B$7:$I$2400,8,0))</f>
        <v/>
      </c>
      <c r="P457" s="115">
        <f>COUNTA(Modificaciones!J457,Modificaciones!L457,Modificaciones!N457,Modificaciones!P457)</f>
        <v>0</v>
      </c>
      <c r="Q457" s="116">
        <f>VLOOKUP(E457,Modificaciones!$B$7:$R$2300,17,0)</f>
        <v>0</v>
      </c>
      <c r="R457" s="117">
        <f>COUNTA(Modificaciones!T457,Modificaciones!V457,Modificaciones!X457,Modificaciones!Z457)</f>
        <v>0</v>
      </c>
      <c r="S457" s="118" t="str">
        <f>IF(Modificaciones!AA457=0,"",VLOOKUP(E457,Modificaciones!$B$7:$AA$2400,26,0))</f>
        <v/>
      </c>
      <c r="T457" s="119" t="str">
        <f>IF(Modificaciones!AB457=0,"",VLOOKUP(E457,Modificaciones!$B$7:$AB$2400,27,0))</f>
        <v/>
      </c>
      <c r="U457" s="1080" t="str">
        <f>+Modificaciones!AC457</f>
        <v/>
      </c>
      <c r="V457" s="825" t="str">
        <f>+Modificaciones!AK457</f>
        <v/>
      </c>
      <c r="W457" s="825">
        <f t="shared" si="87"/>
        <v>43068</v>
      </c>
      <c r="X457" s="59">
        <f t="shared" si="85"/>
        <v>817587</v>
      </c>
      <c r="Y457" s="151">
        <f>VLOOKUP(E457,Modificaciones!$B$7:$BE$2300,56,0)</f>
        <v>817587</v>
      </c>
      <c r="Z457" s="84">
        <f t="shared" si="84"/>
        <v>0</v>
      </c>
      <c r="AA457" s="283" t="s">
        <v>2113</v>
      </c>
      <c r="AB457" s="823">
        <f t="shared" si="86"/>
        <v>1</v>
      </c>
      <c r="AC457" s="40">
        <f t="shared" ca="1" si="88"/>
        <v>1</v>
      </c>
      <c r="AD457" s="41">
        <f t="shared" ca="1" si="89"/>
        <v>0</v>
      </c>
      <c r="AE457" s="181" t="str">
        <f t="shared" ca="1" si="90"/>
        <v/>
      </c>
      <c r="AF457" s="42" t="str">
        <f t="shared" si="83"/>
        <v>SI</v>
      </c>
      <c r="AG457" s="732" t="s">
        <v>1713</v>
      </c>
      <c r="AH457" s="152" t="s">
        <v>1255</v>
      </c>
      <c r="AI457" s="255" t="s">
        <v>1124</v>
      </c>
      <c r="AJ457" s="152" t="s">
        <v>1429</v>
      </c>
      <c r="AK457" s="255" t="s">
        <v>564</v>
      </c>
      <c r="AL457" s="279"/>
      <c r="AM457" s="279" t="s">
        <v>600</v>
      </c>
      <c r="AN457" s="161" t="str">
        <f t="shared" ca="1" si="91"/>
        <v>TERMINO</v>
      </c>
      <c r="AO457" s="284" t="s">
        <v>582</v>
      </c>
      <c r="AP457" s="155" t="s">
        <v>390</v>
      </c>
      <c r="AQ457" s="819" t="str">
        <f>IFERROR(VLOOKUP(E457,'liquidaciones '!$B$2:$C$1048576,2,0),"NO")</f>
        <v>LIQUIDADO</v>
      </c>
      <c r="AR457" s="909">
        <f>IFERROR(VLOOKUP(E457,'liquidaciones '!$B$2:$I$1048576,8,0),"")</f>
        <v>0</v>
      </c>
      <c r="AS457" s="312"/>
      <c r="AT457" s="156" t="str">
        <f t="shared" ca="1" si="92"/>
        <v>NO</v>
      </c>
      <c r="AU457" s="156" t="s">
        <v>2960</v>
      </c>
      <c r="AV457" s="406"/>
      <c r="AW457" s="928"/>
      <c r="AX457" s="928"/>
      <c r="AY457" s="928"/>
    </row>
    <row r="458" spans="3:51" ht="40.799999999999997" x14ac:dyDescent="0.3">
      <c r="C458" s="410"/>
      <c r="D458" s="410" t="str">
        <f>K458&amp;C458</f>
        <v>2016</v>
      </c>
      <c r="E458" s="120" t="s">
        <v>2685</v>
      </c>
      <c r="F458" s="824" t="s">
        <v>2688</v>
      </c>
      <c r="G458" s="874">
        <v>51908487</v>
      </c>
      <c r="H458" s="965" t="s">
        <v>2686</v>
      </c>
      <c r="I458" s="875">
        <v>22000000</v>
      </c>
      <c r="J458" s="685" t="s">
        <v>2685</v>
      </c>
      <c r="K458" s="269">
        <v>2016</v>
      </c>
      <c r="L458" s="519">
        <v>42643</v>
      </c>
      <c r="M458" s="826">
        <v>42646</v>
      </c>
      <c r="N458" s="826">
        <v>42769</v>
      </c>
      <c r="O458" s="1099" t="str">
        <f>IF(+Modificaciones!I458=0,"",VLOOKUP(E458,Modificaciones!$B$7:$I$2400,8,0))</f>
        <v/>
      </c>
      <c r="P458" s="115">
        <f>COUNTA(Modificaciones!J458,Modificaciones!L458,Modificaciones!N458,Modificaciones!P458)</f>
        <v>0</v>
      </c>
      <c r="Q458" s="116">
        <f>VLOOKUP(E458,Modificaciones!$B$7:$R$2300,17,0)</f>
        <v>0</v>
      </c>
      <c r="R458" s="117">
        <f>COUNTA(Modificaciones!T458,Modificaciones!V458,Modificaciones!X458,Modificaciones!Z458)</f>
        <v>0</v>
      </c>
      <c r="S458" s="118" t="str">
        <f>IF(Modificaciones!AA458=0,"",VLOOKUP(E458,Modificaciones!$B$7:$AA$2400,26,0))</f>
        <v/>
      </c>
      <c r="T458" s="119" t="str">
        <f>IF(Modificaciones!AB458=0,"",VLOOKUP(E458,Modificaciones!$B$7:$AB$2400,27,0))</f>
        <v/>
      </c>
      <c r="U458" s="1080" t="str">
        <f>+Modificaciones!AC458</f>
        <v/>
      </c>
      <c r="V458" s="825" t="str">
        <f>+Modificaciones!AK458</f>
        <v/>
      </c>
      <c r="W458" s="825">
        <f t="shared" si="87"/>
        <v>42769</v>
      </c>
      <c r="X458" s="59">
        <f t="shared" si="85"/>
        <v>22000000</v>
      </c>
      <c r="Y458" s="151">
        <f>VLOOKUP(E458,Modificaciones!$B$7:$BE$2300,56,0)</f>
        <v>22000000</v>
      </c>
      <c r="Z458" s="84">
        <f t="shared" si="84"/>
        <v>0</v>
      </c>
      <c r="AA458" s="283" t="s">
        <v>1094</v>
      </c>
      <c r="AB458" s="823">
        <f t="shared" si="86"/>
        <v>1</v>
      </c>
      <c r="AC458" s="40">
        <f t="shared" ca="1" si="88"/>
        <v>1</v>
      </c>
      <c r="AD458" s="41">
        <f t="shared" ca="1" si="89"/>
        <v>0</v>
      </c>
      <c r="AE458" s="181" t="str">
        <f t="shared" ca="1" si="90"/>
        <v/>
      </c>
      <c r="AF458" s="42" t="str">
        <f t="shared" si="83"/>
        <v>SI</v>
      </c>
      <c r="AG458" s="732" t="s">
        <v>5773</v>
      </c>
      <c r="AH458" s="152" t="s">
        <v>1255</v>
      </c>
      <c r="AI458" s="152" t="s">
        <v>2173</v>
      </c>
      <c r="AJ458" s="152" t="s">
        <v>1176</v>
      </c>
      <c r="AK458" s="255" t="s">
        <v>559</v>
      </c>
      <c r="AL458" s="153"/>
      <c r="AM458" s="279" t="s">
        <v>600</v>
      </c>
      <c r="AN458" s="161" t="str">
        <f t="shared" ca="1" si="91"/>
        <v>TERMINO</v>
      </c>
      <c r="AO458" s="160" t="s">
        <v>582</v>
      </c>
      <c r="AP458" s="155" t="s">
        <v>391</v>
      </c>
      <c r="AQ458" s="819" t="str">
        <f>IFERROR(VLOOKUP(E458,'liquidaciones '!$B$2:$C$1048576,2,0),"NO")</f>
        <v>LIQUIDADO</v>
      </c>
      <c r="AR458" s="909" t="str">
        <f>IFERROR(VLOOKUP(E458,'liquidaciones '!$B$2:$I$1048576,8,0),"")</f>
        <v>ANDREA CASAS</v>
      </c>
      <c r="AS458" s="312"/>
      <c r="AT458" s="156" t="str">
        <f t="shared" ca="1" si="92"/>
        <v>NO</v>
      </c>
      <c r="AU458" s="156" t="s">
        <v>981</v>
      </c>
      <c r="AV458" s="406"/>
      <c r="AW458" s="928"/>
      <c r="AX458" s="928"/>
      <c r="AY458" s="928"/>
    </row>
    <row r="459" spans="3:51" ht="40.799999999999997" x14ac:dyDescent="0.3">
      <c r="C459" s="410"/>
      <c r="D459" s="410"/>
      <c r="E459" s="120" t="s">
        <v>2687</v>
      </c>
      <c r="F459" s="824" t="s">
        <v>2689</v>
      </c>
      <c r="G459" s="874">
        <v>79615371</v>
      </c>
      <c r="H459" s="965" t="s">
        <v>2686</v>
      </c>
      <c r="I459" s="875">
        <v>22000000</v>
      </c>
      <c r="J459" s="685" t="s">
        <v>2687</v>
      </c>
      <c r="K459" s="269">
        <v>2016</v>
      </c>
      <c r="L459" s="519">
        <v>42642</v>
      </c>
      <c r="M459" s="826">
        <v>42646</v>
      </c>
      <c r="N459" s="826">
        <v>42769</v>
      </c>
      <c r="O459" s="1099" t="str">
        <f>IF(+Modificaciones!I459=0,"",VLOOKUP(E459,Modificaciones!$B$7:$I$2400,8,0))</f>
        <v/>
      </c>
      <c r="P459" s="115">
        <f>COUNTA(Modificaciones!J459,Modificaciones!L459,Modificaciones!N459,Modificaciones!P459)</f>
        <v>0</v>
      </c>
      <c r="Q459" s="116">
        <f>VLOOKUP(E459,Modificaciones!$B$7:$R$2300,17,0)</f>
        <v>0</v>
      </c>
      <c r="R459" s="117">
        <f>COUNTA(Modificaciones!T459,Modificaciones!V459,Modificaciones!X459,Modificaciones!Z459)</f>
        <v>0</v>
      </c>
      <c r="S459" s="118" t="str">
        <f>IF(Modificaciones!AA459=0,"",VLOOKUP(E459,Modificaciones!$B$7:$AA$2400,26,0))</f>
        <v/>
      </c>
      <c r="T459" s="119" t="str">
        <f>IF(Modificaciones!AB459=0,"",VLOOKUP(E459,Modificaciones!$B$7:$AB$2400,27,0))</f>
        <v/>
      </c>
      <c r="U459" s="1080" t="str">
        <f>+Modificaciones!AC459</f>
        <v/>
      </c>
      <c r="V459" s="825" t="str">
        <f>+Modificaciones!AK459</f>
        <v/>
      </c>
      <c r="W459" s="825">
        <f t="shared" si="87"/>
        <v>42769</v>
      </c>
      <c r="X459" s="59">
        <f t="shared" si="85"/>
        <v>22000000</v>
      </c>
      <c r="Y459" s="151">
        <f>VLOOKUP(E459,Modificaciones!$B$7:$BE$2300,56,0)</f>
        <v>22000000</v>
      </c>
      <c r="Z459" s="84">
        <f t="shared" si="84"/>
        <v>0</v>
      </c>
      <c r="AA459" s="283" t="s">
        <v>1094</v>
      </c>
      <c r="AB459" s="823">
        <f t="shared" si="86"/>
        <v>1</v>
      </c>
      <c r="AC459" s="40">
        <f t="shared" ca="1" si="88"/>
        <v>1</v>
      </c>
      <c r="AD459" s="41">
        <f t="shared" ca="1" si="89"/>
        <v>0</v>
      </c>
      <c r="AE459" s="181" t="str">
        <f t="shared" ca="1" si="90"/>
        <v/>
      </c>
      <c r="AF459" s="42" t="str">
        <f t="shared" si="83"/>
        <v>SI</v>
      </c>
      <c r="AG459" s="732" t="s">
        <v>5773</v>
      </c>
      <c r="AH459" s="152" t="s">
        <v>1255</v>
      </c>
      <c r="AI459" s="152" t="s">
        <v>2173</v>
      </c>
      <c r="AJ459" s="152" t="s">
        <v>1176</v>
      </c>
      <c r="AK459" s="255" t="s">
        <v>559</v>
      </c>
      <c r="AL459" s="153"/>
      <c r="AM459" s="279" t="s">
        <v>600</v>
      </c>
      <c r="AN459" s="161" t="str">
        <f t="shared" ca="1" si="91"/>
        <v>TERMINO</v>
      </c>
      <c r="AO459" s="160" t="s">
        <v>582</v>
      </c>
      <c r="AP459" s="155" t="s">
        <v>391</v>
      </c>
      <c r="AQ459" s="819" t="str">
        <f>IFERROR(VLOOKUP(E459,'liquidaciones '!$B$2:$C$1048576,2,0),"NO")</f>
        <v>LIQUIDADO</v>
      </c>
      <c r="AR459" s="909" t="str">
        <f>IFERROR(VLOOKUP(E459,'liquidaciones '!$B$2:$I$1048576,8,0),"")</f>
        <v>ANDREA CASAS</v>
      </c>
      <c r="AS459" s="312"/>
      <c r="AT459" s="156" t="str">
        <f t="shared" ca="1" si="92"/>
        <v>NO</v>
      </c>
      <c r="AU459" s="156" t="s">
        <v>981</v>
      </c>
      <c r="AV459" s="406"/>
      <c r="AW459" s="928"/>
      <c r="AX459" s="928"/>
      <c r="AY459" s="928"/>
    </row>
    <row r="460" spans="3:51" ht="40.799999999999997" x14ac:dyDescent="0.3">
      <c r="C460" s="410"/>
      <c r="D460" s="410" t="str">
        <f t="shared" ref="D460:D485" si="93">K460&amp;C460</f>
        <v>2016</v>
      </c>
      <c r="E460" s="120" t="s">
        <v>2690</v>
      </c>
      <c r="F460" s="834" t="s">
        <v>2691</v>
      </c>
      <c r="G460" s="1056">
        <v>51976235</v>
      </c>
      <c r="H460" s="965" t="s">
        <v>2686</v>
      </c>
      <c r="I460" s="875">
        <v>22000000</v>
      </c>
      <c r="J460" s="833" t="s">
        <v>2690</v>
      </c>
      <c r="K460" s="269">
        <v>2016</v>
      </c>
      <c r="L460" s="519">
        <v>42642</v>
      </c>
      <c r="M460" s="835">
        <v>42646</v>
      </c>
      <c r="N460" s="835">
        <v>42769</v>
      </c>
      <c r="O460" s="1099" t="str">
        <f>IF(+Modificaciones!I460=0,"",VLOOKUP(E460,Modificaciones!$B$7:$I$2400,8,0))</f>
        <v/>
      </c>
      <c r="P460" s="115">
        <f>COUNTA(Modificaciones!J460,Modificaciones!L460,Modificaciones!N460,Modificaciones!P460)</f>
        <v>0</v>
      </c>
      <c r="Q460" s="116">
        <f>VLOOKUP(E460,Modificaciones!$B$7:$R$2300,17,0)</f>
        <v>0</v>
      </c>
      <c r="R460" s="117">
        <f>COUNTA(Modificaciones!T460,Modificaciones!V460,Modificaciones!X460,Modificaciones!Z460)</f>
        <v>0</v>
      </c>
      <c r="S460" s="118" t="str">
        <f>IF(Modificaciones!AA460=0,"",VLOOKUP(E460,Modificaciones!$B$7:$AA$2400,26,0))</f>
        <v/>
      </c>
      <c r="T460" s="119" t="str">
        <f>IF(Modificaciones!AB460=0,"",VLOOKUP(E460,Modificaciones!$B$7:$AB$2400,27,0))</f>
        <v/>
      </c>
      <c r="U460" s="1080" t="str">
        <f>+Modificaciones!AC460</f>
        <v/>
      </c>
      <c r="V460" s="825" t="str">
        <f>+Modificaciones!AK460</f>
        <v/>
      </c>
      <c r="W460" s="825">
        <f t="shared" si="87"/>
        <v>42769</v>
      </c>
      <c r="X460" s="59">
        <f t="shared" si="85"/>
        <v>22000000</v>
      </c>
      <c r="Y460" s="151">
        <f>VLOOKUP(E460,Modificaciones!$B$7:$BE$2300,56,0)</f>
        <v>22000000</v>
      </c>
      <c r="Z460" s="84">
        <f t="shared" si="84"/>
        <v>0</v>
      </c>
      <c r="AA460" s="283" t="s">
        <v>1094</v>
      </c>
      <c r="AB460" s="823">
        <f t="shared" si="86"/>
        <v>1</v>
      </c>
      <c r="AC460" s="40">
        <f t="shared" ca="1" si="88"/>
        <v>1</v>
      </c>
      <c r="AD460" s="41">
        <f t="shared" ca="1" si="89"/>
        <v>0</v>
      </c>
      <c r="AE460" s="181" t="str">
        <f t="shared" ca="1" si="90"/>
        <v/>
      </c>
      <c r="AF460" s="42" t="str">
        <f t="shared" si="83"/>
        <v>SI</v>
      </c>
      <c r="AG460" s="732" t="s">
        <v>5773</v>
      </c>
      <c r="AH460" s="152" t="s">
        <v>1255</v>
      </c>
      <c r="AI460" s="152" t="s">
        <v>2173</v>
      </c>
      <c r="AJ460" s="152" t="s">
        <v>1176</v>
      </c>
      <c r="AK460" s="255" t="s">
        <v>559</v>
      </c>
      <c r="AL460" s="153"/>
      <c r="AM460" s="279" t="s">
        <v>600</v>
      </c>
      <c r="AN460" s="161" t="str">
        <f t="shared" ca="1" si="91"/>
        <v>TERMINO</v>
      </c>
      <c r="AO460" s="160" t="s">
        <v>582</v>
      </c>
      <c r="AP460" s="155" t="s">
        <v>391</v>
      </c>
      <c r="AQ460" s="819" t="str">
        <f>IFERROR(VLOOKUP(E460,'liquidaciones '!$B$2:$C$1048576,2,0),"NO")</f>
        <v>LIQUIDADO</v>
      </c>
      <c r="AR460" s="909" t="str">
        <f>IFERROR(VLOOKUP(E460,'liquidaciones '!$B$2:$I$1048576,8,0),"")</f>
        <v>ANDREA CASAS</v>
      </c>
      <c r="AS460" s="312"/>
      <c r="AT460" s="156" t="str">
        <f t="shared" ca="1" si="92"/>
        <v>NO</v>
      </c>
      <c r="AU460" s="156" t="s">
        <v>981</v>
      </c>
      <c r="AV460" s="406"/>
      <c r="AW460" s="928"/>
      <c r="AX460" s="928"/>
      <c r="AY460" s="928"/>
    </row>
    <row r="461" spans="3:51" ht="40.799999999999997" x14ac:dyDescent="0.3">
      <c r="C461" s="410">
        <v>201</v>
      </c>
      <c r="D461" s="410" t="str">
        <f t="shared" si="93"/>
        <v>2016201</v>
      </c>
      <c r="E461" s="120" t="s">
        <v>2692</v>
      </c>
      <c r="F461" s="824" t="s">
        <v>1861</v>
      </c>
      <c r="G461" s="874">
        <v>830124848</v>
      </c>
      <c r="H461" s="965" t="s">
        <v>3034</v>
      </c>
      <c r="I461" s="875">
        <v>17275885</v>
      </c>
      <c r="J461" s="685" t="s">
        <v>2693</v>
      </c>
      <c r="K461" s="269">
        <v>2016</v>
      </c>
      <c r="L461" s="519">
        <v>42647</v>
      </c>
      <c r="M461" s="826">
        <v>42664</v>
      </c>
      <c r="N461" s="826">
        <v>42815</v>
      </c>
      <c r="O461" s="1099" t="str">
        <f>IF(+Modificaciones!I461=0,"",VLOOKUP(E461,Modificaciones!$B$7:$I$2400,8,0))</f>
        <v/>
      </c>
      <c r="P461" s="115">
        <f>COUNTA(Modificaciones!J461,Modificaciones!L461,Modificaciones!N461,Modificaciones!P461)</f>
        <v>1</v>
      </c>
      <c r="Q461" s="116">
        <f>VLOOKUP(E461,Modificaciones!$B$7:$R$2300,17,0)</f>
        <v>8638000</v>
      </c>
      <c r="R461" s="117">
        <f>COUNTA(Modificaciones!T461,Modificaciones!V461,Modificaciones!X461,Modificaciones!Z461)</f>
        <v>1</v>
      </c>
      <c r="S461" s="118" t="str">
        <f>IF(Modificaciones!AA461=0,"",VLOOKUP(E461,Modificaciones!$B$7:$AA$2400,26,0))</f>
        <v>2 meses</v>
      </c>
      <c r="T461" s="119">
        <f>IF(Modificaciones!AB461=0,"",VLOOKUP(E461,Modificaciones!$B$7:$AB$2400,27,0))</f>
        <v>42880</v>
      </c>
      <c r="U461" s="1080" t="str">
        <f>+Modificaciones!AC461</f>
        <v/>
      </c>
      <c r="V461" s="825" t="str">
        <f>+Modificaciones!AK461</f>
        <v/>
      </c>
      <c r="W461" s="825">
        <f t="shared" si="87"/>
        <v>42880</v>
      </c>
      <c r="X461" s="59">
        <f t="shared" si="85"/>
        <v>25913885</v>
      </c>
      <c r="Y461" s="151">
        <f>VLOOKUP(E461,Modificaciones!$B$7:$BE$2300,56,0)</f>
        <v>25913856</v>
      </c>
      <c r="Z461" s="84">
        <f t="shared" si="84"/>
        <v>29</v>
      </c>
      <c r="AA461" s="283" t="s">
        <v>1863</v>
      </c>
      <c r="AB461" s="823">
        <f t="shared" si="86"/>
        <v>0.99999888090882549</v>
      </c>
      <c r="AC461" s="40">
        <f t="shared" ca="1" si="88"/>
        <v>1</v>
      </c>
      <c r="AD461" s="41">
        <f t="shared" ca="1" si="89"/>
        <v>1.1190911745062593E-6</v>
      </c>
      <c r="AE461" s="181" t="str">
        <f t="shared" ca="1" si="90"/>
        <v/>
      </c>
      <c r="AF461" s="42" t="str">
        <f t="shared" si="83"/>
        <v>SI</v>
      </c>
      <c r="AG461" s="1017" t="s">
        <v>4920</v>
      </c>
      <c r="AH461" s="152" t="s">
        <v>1256</v>
      </c>
      <c r="AI461" s="275" t="s">
        <v>1165</v>
      </c>
      <c r="AJ461" s="152" t="s">
        <v>1438</v>
      </c>
      <c r="AK461" s="255" t="s">
        <v>560</v>
      </c>
      <c r="AL461" s="279" t="s">
        <v>1508</v>
      </c>
      <c r="AM461" s="279" t="s">
        <v>600</v>
      </c>
      <c r="AN461" s="161" t="str">
        <f t="shared" ca="1" si="91"/>
        <v>TERMINO</v>
      </c>
      <c r="AO461" s="284" t="s">
        <v>575</v>
      </c>
      <c r="AP461" s="155" t="s">
        <v>390</v>
      </c>
      <c r="AQ461" s="819" t="str">
        <f>IFERROR(VLOOKUP(E461,'liquidaciones '!$B$2:$C$1048576,2,0),"NO")</f>
        <v>LIQUIDADO</v>
      </c>
      <c r="AR461" s="909" t="str">
        <f>IFERROR(VLOOKUP(E461,'liquidaciones '!$B$2:$I$1048576,8,0),"")</f>
        <v>GIOVANNI SUAREZ</v>
      </c>
      <c r="AS461" s="312"/>
      <c r="AT461" s="156" t="str">
        <f t="shared" ca="1" si="92"/>
        <v>NO</v>
      </c>
      <c r="AU461" s="156" t="s">
        <v>2902</v>
      </c>
      <c r="AV461" s="406"/>
      <c r="AW461" s="928"/>
      <c r="AX461" s="928"/>
      <c r="AY461" s="928"/>
    </row>
    <row r="462" spans="3:51" ht="28.8" x14ac:dyDescent="0.3">
      <c r="C462" s="410">
        <v>91</v>
      </c>
      <c r="D462" s="410" t="str">
        <f t="shared" si="93"/>
        <v>201691</v>
      </c>
      <c r="E462" s="120" t="s">
        <v>2694</v>
      </c>
      <c r="F462" s="824" t="s">
        <v>2695</v>
      </c>
      <c r="G462" s="874" t="s">
        <v>2121</v>
      </c>
      <c r="H462" s="965" t="s">
        <v>2696</v>
      </c>
      <c r="I462" s="875">
        <v>46980000</v>
      </c>
      <c r="J462" s="685" t="s">
        <v>2697</v>
      </c>
      <c r="K462" s="269">
        <v>2016</v>
      </c>
      <c r="L462" s="519">
        <v>42643</v>
      </c>
      <c r="M462" s="826">
        <v>42664</v>
      </c>
      <c r="N462" s="826">
        <v>42815</v>
      </c>
      <c r="O462" s="1099" t="str">
        <f>IF(+Modificaciones!I462=0,"",VLOOKUP(E462,Modificaciones!$B$7:$I$2400,8,0))</f>
        <v/>
      </c>
      <c r="P462" s="115">
        <f>COUNTA(Modificaciones!J462,Modificaciones!L462,Modificaciones!N462,Modificaciones!P462)</f>
        <v>0</v>
      </c>
      <c r="Q462" s="116">
        <f>VLOOKUP(E462,Modificaciones!$B$7:$R$2300,17,0)</f>
        <v>0</v>
      </c>
      <c r="R462" s="117">
        <f>COUNTA(Modificaciones!T462,Modificaciones!V462,Modificaciones!X462,Modificaciones!Z462)</f>
        <v>0</v>
      </c>
      <c r="S462" s="118" t="str">
        <f>IF(Modificaciones!AA462=0,"",VLOOKUP(E462,Modificaciones!$B$7:$AA$2400,26,0))</f>
        <v/>
      </c>
      <c r="T462" s="119" t="str">
        <f>IF(Modificaciones!AB462=0,"",VLOOKUP(E462,Modificaciones!$B$7:$AB$2400,27,0))</f>
        <v/>
      </c>
      <c r="U462" s="1080" t="str">
        <f>+Modificaciones!AC462</f>
        <v/>
      </c>
      <c r="V462" s="825" t="str">
        <f>+Modificaciones!AK462</f>
        <v/>
      </c>
      <c r="W462" s="825">
        <f t="shared" si="87"/>
        <v>42815</v>
      </c>
      <c r="X462" s="59">
        <f t="shared" si="85"/>
        <v>46980000</v>
      </c>
      <c r="Y462" s="151">
        <f>VLOOKUP(E462,Modificaciones!$B$7:$BE$2300,56,0)</f>
        <v>46980000</v>
      </c>
      <c r="Z462" s="84">
        <f t="shared" si="84"/>
        <v>0</v>
      </c>
      <c r="AA462" s="283" t="s">
        <v>2259</v>
      </c>
      <c r="AB462" s="823">
        <f t="shared" si="86"/>
        <v>1</v>
      </c>
      <c r="AC462" s="40">
        <f t="shared" ca="1" si="88"/>
        <v>1</v>
      </c>
      <c r="AD462" s="41">
        <f t="shared" ca="1" si="89"/>
        <v>0</v>
      </c>
      <c r="AE462" s="181" t="str">
        <f t="shared" ca="1" si="90"/>
        <v/>
      </c>
      <c r="AF462" s="42" t="str">
        <f t="shared" si="83"/>
        <v>SI</v>
      </c>
      <c r="AG462" s="1017" t="s">
        <v>4920</v>
      </c>
      <c r="AH462" s="152" t="s">
        <v>1256</v>
      </c>
      <c r="AI462" s="255" t="s">
        <v>2260</v>
      </c>
      <c r="AJ462" s="152" t="s">
        <v>1438</v>
      </c>
      <c r="AK462" s="255" t="s">
        <v>560</v>
      </c>
      <c r="AL462" s="279" t="s">
        <v>1508</v>
      </c>
      <c r="AM462" s="279" t="s">
        <v>600</v>
      </c>
      <c r="AN462" s="161" t="str">
        <f t="shared" ca="1" si="91"/>
        <v>TERMINO</v>
      </c>
      <c r="AO462" s="284" t="s">
        <v>574</v>
      </c>
      <c r="AP462" s="155" t="s">
        <v>390</v>
      </c>
      <c r="AQ462" s="819" t="str">
        <f>IFERROR(VLOOKUP(E462,'liquidaciones '!$B$2:$C$1048576,2,0),"NO")</f>
        <v>LIQUIDADO</v>
      </c>
      <c r="AR462" s="909" t="str">
        <f>IFERROR(VLOOKUP(E462,'liquidaciones '!$B$2:$I$1048576,8,0),"")</f>
        <v>GIOVANNI SUAREZ</v>
      </c>
      <c r="AS462" s="312"/>
      <c r="AT462" s="156" t="str">
        <f t="shared" ca="1" si="92"/>
        <v>NO</v>
      </c>
      <c r="AU462" s="156" t="s">
        <v>2597</v>
      </c>
      <c r="AV462" s="406"/>
      <c r="AW462" s="928"/>
      <c r="AX462" s="928"/>
      <c r="AY462" s="928"/>
    </row>
    <row r="463" spans="3:51" ht="30.6" x14ac:dyDescent="0.3">
      <c r="C463" s="410"/>
      <c r="D463" s="410" t="str">
        <f t="shared" si="93"/>
        <v>2016</v>
      </c>
      <c r="E463" s="120" t="s">
        <v>2701</v>
      </c>
      <c r="F463" s="824" t="s">
        <v>186</v>
      </c>
      <c r="G463" s="874">
        <v>800039398</v>
      </c>
      <c r="H463" s="965" t="s">
        <v>2709</v>
      </c>
      <c r="I463" s="875">
        <v>132050000</v>
      </c>
      <c r="J463" s="685" t="s">
        <v>2702</v>
      </c>
      <c r="K463" s="269">
        <v>2016</v>
      </c>
      <c r="L463" s="519">
        <v>42646</v>
      </c>
      <c r="M463" s="826">
        <v>42678</v>
      </c>
      <c r="N463" s="826">
        <v>43043</v>
      </c>
      <c r="O463" s="1099" t="str">
        <f>IF(+Modificaciones!I463=0,"",VLOOKUP(E463,Modificaciones!$B$7:$I$2400,8,0))</f>
        <v/>
      </c>
      <c r="P463" s="115">
        <f>COUNTA(Modificaciones!J463,Modificaciones!L463,Modificaciones!N463,Modificaciones!P463)</f>
        <v>0</v>
      </c>
      <c r="Q463" s="116">
        <f>VLOOKUP(E463,Modificaciones!$B$7:$R$2300,17,0)</f>
        <v>0</v>
      </c>
      <c r="R463" s="117">
        <f>COUNTA(Modificaciones!T463,Modificaciones!V463,Modificaciones!X463,Modificaciones!Z463)</f>
        <v>0</v>
      </c>
      <c r="S463" s="118" t="str">
        <f>IF(Modificaciones!AA463=0,"",VLOOKUP(E463,Modificaciones!$B$7:$AA$2400,26,0))</f>
        <v/>
      </c>
      <c r="T463" s="119" t="str">
        <f>IF(Modificaciones!AB463=0,"",VLOOKUP(E463,Modificaciones!$B$7:$AB$2400,27,0))</f>
        <v/>
      </c>
      <c r="U463" s="1080" t="str">
        <f>+Modificaciones!AC463</f>
        <v/>
      </c>
      <c r="V463" s="825" t="str">
        <f>+Modificaciones!AK463</f>
        <v/>
      </c>
      <c r="W463" s="825">
        <f t="shared" si="87"/>
        <v>43043</v>
      </c>
      <c r="X463" s="59">
        <f t="shared" si="85"/>
        <v>132050000</v>
      </c>
      <c r="Y463" s="151">
        <f>VLOOKUP(E463,Modificaciones!$B$7:$BE$2300,56,0)</f>
        <v>122584393</v>
      </c>
      <c r="Z463" s="84">
        <f t="shared" si="84"/>
        <v>9465607</v>
      </c>
      <c r="AA463" s="283"/>
      <c r="AB463" s="823">
        <f t="shared" si="86"/>
        <v>0.92831800833017797</v>
      </c>
      <c r="AC463" s="40">
        <f t="shared" ca="1" si="88"/>
        <v>1</v>
      </c>
      <c r="AD463" s="41">
        <f t="shared" ca="1" si="89"/>
        <v>7.1681991669822032E-2</v>
      </c>
      <c r="AE463" s="181" t="str">
        <f t="shared" ca="1" si="90"/>
        <v/>
      </c>
      <c r="AF463" s="42" t="str">
        <f t="shared" si="83"/>
        <v>NO</v>
      </c>
      <c r="AG463" s="1017" t="s">
        <v>4920</v>
      </c>
      <c r="AH463" s="152" t="s">
        <v>1256</v>
      </c>
      <c r="AI463" s="255" t="s">
        <v>2079</v>
      </c>
      <c r="AJ463" s="152" t="s">
        <v>1438</v>
      </c>
      <c r="AK463" s="255" t="s">
        <v>560</v>
      </c>
      <c r="AL463" s="279" t="s">
        <v>1508</v>
      </c>
      <c r="AM463" s="279" t="s">
        <v>600</v>
      </c>
      <c r="AN463" s="161" t="str">
        <f t="shared" ca="1" si="91"/>
        <v>TERMINO</v>
      </c>
      <c r="AO463" s="284" t="s">
        <v>575</v>
      </c>
      <c r="AP463" s="155" t="s">
        <v>390</v>
      </c>
      <c r="AQ463" s="819" t="str">
        <f>IFERROR(VLOOKUP(E463,'liquidaciones '!$B$2:$C$1048576,2,0),"NO")</f>
        <v>LIQUIDADO</v>
      </c>
      <c r="AR463" s="909">
        <f>IFERROR(VLOOKUP(E463,'liquidaciones '!$B$2:$I$1048576,8,0),"")</f>
        <v>0</v>
      </c>
      <c r="AS463" s="312"/>
      <c r="AT463" s="156" t="str">
        <f t="shared" ca="1" si="92"/>
        <v>NO</v>
      </c>
      <c r="AU463" s="406" t="s">
        <v>3512</v>
      </c>
      <c r="AV463" s="406" t="s">
        <v>3778</v>
      </c>
      <c r="AW463" s="930" t="s">
        <v>560</v>
      </c>
      <c r="AX463" s="928"/>
      <c r="AY463" s="928"/>
    </row>
    <row r="464" spans="3:51" ht="40.799999999999997" x14ac:dyDescent="0.3">
      <c r="C464" s="410">
        <v>92</v>
      </c>
      <c r="D464" s="410" t="str">
        <f t="shared" si="93"/>
        <v>201692</v>
      </c>
      <c r="E464" s="120" t="s">
        <v>2703</v>
      </c>
      <c r="F464" s="824" t="s">
        <v>2704</v>
      </c>
      <c r="G464" s="874" t="s">
        <v>2705</v>
      </c>
      <c r="H464" s="965" t="s">
        <v>2706</v>
      </c>
      <c r="I464" s="875">
        <v>173000000</v>
      </c>
      <c r="J464" s="685" t="s">
        <v>2708</v>
      </c>
      <c r="K464" s="269">
        <v>2016</v>
      </c>
      <c r="L464" s="519">
        <v>42668</v>
      </c>
      <c r="M464" s="826">
        <v>42670</v>
      </c>
      <c r="N464" s="826">
        <v>43035</v>
      </c>
      <c r="O464" s="1099" t="str">
        <f>IF(+Modificaciones!I464=0,"",VLOOKUP(E464,Modificaciones!$B$7:$I$2400,8,0))</f>
        <v/>
      </c>
      <c r="P464" s="115">
        <f>COUNTA(Modificaciones!J464,Modificaciones!L464,Modificaciones!N464,Modificaciones!P464)</f>
        <v>0</v>
      </c>
      <c r="Q464" s="116">
        <f>VLOOKUP(E464,Modificaciones!$B$7:$R$2300,17,0)</f>
        <v>0</v>
      </c>
      <c r="R464" s="117">
        <f>COUNTA(Modificaciones!T464,Modificaciones!V464,Modificaciones!X464,Modificaciones!Z464)</f>
        <v>2</v>
      </c>
      <c r="S464" s="118" t="str">
        <f>IF(Modificaciones!AA464=0,"",VLOOKUP(E464,Modificaciones!$B$7:$AA$2400,26,0))</f>
        <v>2 MESES</v>
      </c>
      <c r="T464" s="119">
        <f>IF(Modificaciones!AB464=0,"",VLOOKUP(E464,Modificaciones!$B$7:$AB$2400,27,0))</f>
        <v>43159</v>
      </c>
      <c r="U464" s="1080" t="str">
        <f>+Modificaciones!AC464</f>
        <v/>
      </c>
      <c r="V464" s="825" t="str">
        <f>+Modificaciones!AK464</f>
        <v/>
      </c>
      <c r="W464" s="825">
        <f t="shared" si="87"/>
        <v>43159</v>
      </c>
      <c r="X464" s="59">
        <f t="shared" si="85"/>
        <v>173000000</v>
      </c>
      <c r="Y464" s="151">
        <f>VLOOKUP(E464,Modificaciones!$B$7:$BE$2300,56,0)</f>
        <v>114726813</v>
      </c>
      <c r="Z464" s="84">
        <f t="shared" si="84"/>
        <v>58273187</v>
      </c>
      <c r="AA464" s="283" t="s">
        <v>2707</v>
      </c>
      <c r="AB464" s="823">
        <f t="shared" si="86"/>
        <v>0.66316076878612717</v>
      </c>
      <c r="AC464" s="40">
        <f t="shared" ca="1" si="88"/>
        <v>1</v>
      </c>
      <c r="AD464" s="41">
        <f t="shared" ca="1" si="89"/>
        <v>0.33683923121387283</v>
      </c>
      <c r="AE464" s="181" t="str">
        <f t="shared" ca="1" si="90"/>
        <v/>
      </c>
      <c r="AF464" s="42" t="str">
        <f t="shared" si="83"/>
        <v>NO</v>
      </c>
      <c r="AG464" s="1017" t="s">
        <v>4920</v>
      </c>
      <c r="AH464" s="152" t="s">
        <v>1256</v>
      </c>
      <c r="AI464" s="255" t="s">
        <v>1572</v>
      </c>
      <c r="AJ464" s="152" t="s">
        <v>1438</v>
      </c>
      <c r="AK464" s="255" t="s">
        <v>560</v>
      </c>
      <c r="AL464" s="279" t="s">
        <v>1508</v>
      </c>
      <c r="AM464" s="279" t="s">
        <v>600</v>
      </c>
      <c r="AN464" s="161" t="str">
        <f t="shared" ca="1" si="91"/>
        <v>TERMINO</v>
      </c>
      <c r="AO464" s="284" t="s">
        <v>576</v>
      </c>
      <c r="AP464" s="155" t="s">
        <v>390</v>
      </c>
      <c r="AQ464" s="819" t="str">
        <f>IFERROR(VLOOKUP(E464,'liquidaciones '!$B$2:$C$1048576,2,0),"NO")</f>
        <v>LIQUIDADO</v>
      </c>
      <c r="AR464" s="909">
        <f>IFERROR(VLOOKUP(E464,'liquidaciones '!$B$2:$I$1048576,8,0),"")</f>
        <v>0</v>
      </c>
      <c r="AS464" s="312"/>
      <c r="AT464" s="156" t="str">
        <f t="shared" ca="1" si="92"/>
        <v>NO</v>
      </c>
      <c r="AU464" s="406" t="s">
        <v>3512</v>
      </c>
      <c r="AV464" s="406" t="s">
        <v>3778</v>
      </c>
      <c r="AW464" s="930" t="s">
        <v>560</v>
      </c>
      <c r="AX464" s="928"/>
      <c r="AY464" s="928"/>
    </row>
    <row r="465" spans="3:51" ht="28.8" x14ac:dyDescent="0.3">
      <c r="C465" s="410"/>
      <c r="D465" s="410" t="str">
        <f t="shared" si="93"/>
        <v>2016</v>
      </c>
      <c r="E465" s="120" t="s">
        <v>2711</v>
      </c>
      <c r="F465" s="824" t="s">
        <v>2712</v>
      </c>
      <c r="G465" s="874" t="s">
        <v>2713</v>
      </c>
      <c r="H465" s="965" t="s">
        <v>2714</v>
      </c>
      <c r="I465" s="875">
        <v>14583984</v>
      </c>
      <c r="J465" s="685" t="s">
        <v>2715</v>
      </c>
      <c r="K465" s="269">
        <v>2016</v>
      </c>
      <c r="L465" s="519">
        <v>42677</v>
      </c>
      <c r="M465" s="826">
        <v>42690</v>
      </c>
      <c r="N465" s="826">
        <v>42766</v>
      </c>
      <c r="O465" s="1099" t="str">
        <f>IF(+Modificaciones!I465=0,"",VLOOKUP(E465,Modificaciones!$B$7:$I$2400,8,0))</f>
        <v/>
      </c>
      <c r="P465" s="115">
        <f>COUNTA(Modificaciones!J465,Modificaciones!L465,Modificaciones!N465,Modificaciones!P465)</f>
        <v>0</v>
      </c>
      <c r="Q465" s="116">
        <f>VLOOKUP(E465,Modificaciones!$B$7:$R$2300,17,0)</f>
        <v>0</v>
      </c>
      <c r="R465" s="117">
        <f>COUNTA(Modificaciones!T465,Modificaciones!V465,Modificaciones!X465,Modificaciones!Z465)</f>
        <v>0</v>
      </c>
      <c r="S465" s="118" t="str">
        <f>IF(Modificaciones!AA465=0,"",VLOOKUP(E465,Modificaciones!$B$7:$AA$2400,26,0))</f>
        <v/>
      </c>
      <c r="T465" s="119" t="str">
        <f>IF(Modificaciones!AB465=0,"",VLOOKUP(E465,Modificaciones!$B$7:$AB$2400,27,0))</f>
        <v/>
      </c>
      <c r="U465" s="1080" t="str">
        <f>+Modificaciones!AC465</f>
        <v/>
      </c>
      <c r="V465" s="825" t="str">
        <f>+Modificaciones!AK465</f>
        <v/>
      </c>
      <c r="W465" s="825">
        <f t="shared" si="87"/>
        <v>42766</v>
      </c>
      <c r="X465" s="59">
        <f t="shared" si="85"/>
        <v>14583984</v>
      </c>
      <c r="Y465" s="151">
        <f>VLOOKUP(E465,Modificaciones!$B$7:$BE$2300,56,0)</f>
        <v>14583984</v>
      </c>
      <c r="Z465" s="84">
        <f t="shared" si="84"/>
        <v>0</v>
      </c>
      <c r="AA465" s="283" t="s">
        <v>1894</v>
      </c>
      <c r="AB465" s="823">
        <f t="shared" si="86"/>
        <v>1</v>
      </c>
      <c r="AC465" s="40">
        <f t="shared" ca="1" si="88"/>
        <v>1</v>
      </c>
      <c r="AD465" s="41">
        <f t="shared" ca="1" si="89"/>
        <v>0</v>
      </c>
      <c r="AE465" s="181" t="str">
        <f t="shared" ca="1" si="90"/>
        <v/>
      </c>
      <c r="AF465" s="42" t="str">
        <f t="shared" si="83"/>
        <v>SI</v>
      </c>
      <c r="AG465" s="732" t="s">
        <v>1711</v>
      </c>
      <c r="AH465" s="152" t="s">
        <v>1255</v>
      </c>
      <c r="AI465" s="255" t="s">
        <v>2716</v>
      </c>
      <c r="AJ465" s="152" t="s">
        <v>1434</v>
      </c>
      <c r="AK465" s="255" t="s">
        <v>560</v>
      </c>
      <c r="AL465" s="279" t="s">
        <v>1388</v>
      </c>
      <c r="AM465" s="279" t="s">
        <v>600</v>
      </c>
      <c r="AN465" s="161" t="str">
        <f t="shared" ca="1" si="91"/>
        <v>TERMINO</v>
      </c>
      <c r="AO465" s="284" t="s">
        <v>576</v>
      </c>
      <c r="AP465" s="155" t="s">
        <v>390</v>
      </c>
      <c r="AQ465" s="819" t="str">
        <f>IFERROR(VLOOKUP(E465,'liquidaciones '!$B$2:$C$1048576,2,0),"NO")</f>
        <v>LIQUIDADO</v>
      </c>
      <c r="AR465" s="909" t="str">
        <f>IFERROR(VLOOKUP(E465,'liquidaciones '!$B$2:$I$1048576,8,0),"")</f>
        <v>MANUEL ROJAS</v>
      </c>
      <c r="AS465" s="312"/>
      <c r="AT465" s="156" t="str">
        <f t="shared" ca="1" si="92"/>
        <v>NO</v>
      </c>
      <c r="AU465" s="156" t="s">
        <v>1509</v>
      </c>
      <c r="AV465" s="406"/>
      <c r="AW465" s="928"/>
      <c r="AX465" s="928"/>
      <c r="AY465" s="928"/>
    </row>
    <row r="466" spans="3:51" ht="40.799999999999997" x14ac:dyDescent="0.3">
      <c r="C466" s="410">
        <v>203</v>
      </c>
      <c r="D466" s="410" t="str">
        <f t="shared" si="93"/>
        <v>2016203</v>
      </c>
      <c r="E466" s="120" t="s">
        <v>2718</v>
      </c>
      <c r="F466" s="824" t="s">
        <v>1337</v>
      </c>
      <c r="G466" s="874" t="s">
        <v>2719</v>
      </c>
      <c r="H466" s="965" t="s">
        <v>2720</v>
      </c>
      <c r="I466" s="875">
        <v>103330468</v>
      </c>
      <c r="J466" s="685" t="s">
        <v>2718</v>
      </c>
      <c r="K466" s="269">
        <v>2016</v>
      </c>
      <c r="L466" s="519">
        <v>42685</v>
      </c>
      <c r="M466" s="826">
        <v>42689</v>
      </c>
      <c r="N466" s="826">
        <v>42781</v>
      </c>
      <c r="O466" s="1099" t="str">
        <f>IF(+Modificaciones!I466=0,"",VLOOKUP(E466,Modificaciones!$B$7:$I$2400,8,0))</f>
        <v/>
      </c>
      <c r="P466" s="115">
        <f>COUNTA(Modificaciones!J466,Modificaciones!L466,Modificaciones!N466,Modificaciones!P466)</f>
        <v>2</v>
      </c>
      <c r="Q466" s="116">
        <f>VLOOKUP(E466,Modificaciones!$B$7:$R$2300,17,0)</f>
        <v>48935918</v>
      </c>
      <c r="R466" s="117">
        <f>COUNTA(Modificaciones!T466,Modificaciones!V466,Modificaciones!X466,Modificaciones!Z466)</f>
        <v>2</v>
      </c>
      <c r="S466" s="118" t="str">
        <f>IF(Modificaciones!AA466=0,"",VLOOKUP(E466,Modificaciones!$B$7:$AA$2400,26,0))</f>
        <v>1 mes y 16 días calendario</v>
      </c>
      <c r="T466" s="119">
        <f>IF(Modificaciones!AB466=0,"",VLOOKUP(E466,Modificaciones!$B$7:$AB$2400,27,0))</f>
        <v>42825</v>
      </c>
      <c r="U466" s="1080" t="str">
        <f>+Modificaciones!AC466</f>
        <v/>
      </c>
      <c r="V466" s="825" t="str">
        <f>+Modificaciones!AK466</f>
        <v/>
      </c>
      <c r="W466" s="825">
        <f t="shared" si="87"/>
        <v>42825</v>
      </c>
      <c r="X466" s="59">
        <f t="shared" si="85"/>
        <v>152266386</v>
      </c>
      <c r="Y466" s="151">
        <f>VLOOKUP(E466,Modificaciones!$B$7:$BE$2300,56,0)</f>
        <v>121794255</v>
      </c>
      <c r="Z466" s="84">
        <f t="shared" si="84"/>
        <v>30472131</v>
      </c>
      <c r="AA466" s="283" t="s">
        <v>2182</v>
      </c>
      <c r="AB466" s="823">
        <f t="shared" si="86"/>
        <v>0.79987617884356954</v>
      </c>
      <c r="AC466" s="40">
        <f t="shared" ca="1" si="88"/>
        <v>1</v>
      </c>
      <c r="AD466" s="41">
        <f t="shared" ca="1" si="89"/>
        <v>0.20012382115643046</v>
      </c>
      <c r="AE466" s="181" t="str">
        <f t="shared" ca="1" si="90"/>
        <v/>
      </c>
      <c r="AF466" s="42" t="str">
        <f t="shared" ref="AF466:AF497" si="94">IF(AB466&lt;=99.9%,"NO","SI")</f>
        <v>NO</v>
      </c>
      <c r="AG466" s="1017" t="s">
        <v>4920</v>
      </c>
      <c r="AH466" s="152" t="s">
        <v>1256</v>
      </c>
      <c r="AI466" s="255" t="s">
        <v>2183</v>
      </c>
      <c r="AJ466" s="152" t="s">
        <v>1438</v>
      </c>
      <c r="AK466" s="255" t="s">
        <v>560</v>
      </c>
      <c r="AL466" s="279" t="s">
        <v>1508</v>
      </c>
      <c r="AM466" s="279" t="s">
        <v>600</v>
      </c>
      <c r="AN466" s="161" t="str">
        <f t="shared" ca="1" si="91"/>
        <v>TERMINO</v>
      </c>
      <c r="AO466" s="284" t="s">
        <v>573</v>
      </c>
      <c r="AP466" s="155" t="s">
        <v>390</v>
      </c>
      <c r="AQ466" s="819" t="str">
        <f>IFERROR(VLOOKUP(E466,'liquidaciones '!$B$2:$C$1048576,2,0),"NO")</f>
        <v>LIQUIDADO</v>
      </c>
      <c r="AR466" s="909" t="str">
        <f>IFERROR(VLOOKUP(E466,'liquidaciones '!$B$2:$I$1048576,8,0),"")</f>
        <v>GIOVANNI SUAREZ</v>
      </c>
      <c r="AS466" s="312"/>
      <c r="AT466" s="156" t="str">
        <f t="shared" ca="1" si="92"/>
        <v>NO</v>
      </c>
      <c r="AU466" s="156" t="s">
        <v>2597</v>
      </c>
      <c r="AV466" s="406"/>
      <c r="AW466" s="928"/>
      <c r="AX466" s="928"/>
      <c r="AY466" s="928"/>
    </row>
    <row r="467" spans="3:51" ht="43.2" x14ac:dyDescent="0.3">
      <c r="C467" s="410">
        <v>234</v>
      </c>
      <c r="D467" s="410" t="str">
        <f t="shared" si="93"/>
        <v>2016234</v>
      </c>
      <c r="E467" s="120" t="s">
        <v>2721</v>
      </c>
      <c r="F467" s="824" t="s">
        <v>244</v>
      </c>
      <c r="G467" s="874">
        <v>800058607</v>
      </c>
      <c r="H467" s="965" t="s">
        <v>3035</v>
      </c>
      <c r="I467" s="875">
        <v>112554160</v>
      </c>
      <c r="J467" s="685" t="s">
        <v>2723</v>
      </c>
      <c r="K467" s="269">
        <v>2016</v>
      </c>
      <c r="L467" s="519">
        <v>42696</v>
      </c>
      <c r="M467" s="826">
        <v>42696</v>
      </c>
      <c r="N467" s="826">
        <v>42726</v>
      </c>
      <c r="O467" s="1099" t="str">
        <f>IF(+Modificaciones!I467=0,"",VLOOKUP(E467,Modificaciones!$B$7:$I$2400,8,0))</f>
        <v/>
      </c>
      <c r="P467" s="115">
        <f>COUNTA(Modificaciones!J467,Modificaciones!L467,Modificaciones!N467,Modificaciones!P467)</f>
        <v>0</v>
      </c>
      <c r="Q467" s="116">
        <f>VLOOKUP(E467,Modificaciones!$B$7:$R$2300,17,0)</f>
        <v>0</v>
      </c>
      <c r="R467" s="117">
        <f>COUNTA(Modificaciones!T467,Modificaciones!V467,Modificaciones!X467,Modificaciones!Z467)</f>
        <v>0</v>
      </c>
      <c r="S467" s="118" t="str">
        <f>IF(Modificaciones!AA467=0,"",VLOOKUP(E467,Modificaciones!$B$7:$AA$2400,26,0))</f>
        <v/>
      </c>
      <c r="T467" s="119" t="str">
        <f>IF(Modificaciones!AB467=0,"",VLOOKUP(E467,Modificaciones!$B$7:$AB$2400,27,0))</f>
        <v/>
      </c>
      <c r="U467" s="1080" t="str">
        <f>+Modificaciones!AC467</f>
        <v/>
      </c>
      <c r="V467" s="825" t="str">
        <f>+Modificaciones!AK467</f>
        <v/>
      </c>
      <c r="W467" s="825">
        <f t="shared" si="87"/>
        <v>42726</v>
      </c>
      <c r="X467" s="59">
        <f t="shared" si="85"/>
        <v>112554160</v>
      </c>
      <c r="Y467" s="151">
        <f>VLOOKUP(E467,Modificaciones!$B$7:$BE$2300,56,0)</f>
        <v>112554160</v>
      </c>
      <c r="Z467" s="84">
        <f t="shared" si="84"/>
        <v>0</v>
      </c>
      <c r="AA467" s="283" t="s">
        <v>1894</v>
      </c>
      <c r="AB467" s="823">
        <f t="shared" si="86"/>
        <v>1</v>
      </c>
      <c r="AC467" s="40">
        <f t="shared" ca="1" si="88"/>
        <v>1</v>
      </c>
      <c r="AD467" s="41">
        <f t="shared" ca="1" si="89"/>
        <v>0</v>
      </c>
      <c r="AE467" s="181" t="str">
        <f t="shared" ca="1" si="90"/>
        <v/>
      </c>
      <c r="AF467" s="42" t="str">
        <f t="shared" si="94"/>
        <v>SI</v>
      </c>
      <c r="AG467" s="732"/>
      <c r="AH467" s="152" t="s">
        <v>1256</v>
      </c>
      <c r="AI467" s="255" t="s">
        <v>1288</v>
      </c>
      <c r="AJ467" s="152" t="s">
        <v>1438</v>
      </c>
      <c r="AK467" s="255" t="s">
        <v>560</v>
      </c>
      <c r="AL467" s="279" t="s">
        <v>1508</v>
      </c>
      <c r="AM467" s="279" t="s">
        <v>600</v>
      </c>
      <c r="AN467" s="161" t="str">
        <f t="shared" ca="1" si="91"/>
        <v>TERMINO</v>
      </c>
      <c r="AO467" s="284" t="s">
        <v>2722</v>
      </c>
      <c r="AP467" s="155"/>
      <c r="AQ467" s="819" t="str">
        <f>IFERROR(VLOOKUP(E467,'liquidaciones '!$B$2:$C$1048576,2,0),"NO")</f>
        <v>LIQUIDADO</v>
      </c>
      <c r="AR467" s="909" t="str">
        <f>IFERROR(VLOOKUP(E467,'liquidaciones '!$B$2:$I$1048576,8,0),"")</f>
        <v>GIOVANNI SUAREZ</v>
      </c>
      <c r="AS467" s="312"/>
      <c r="AT467" s="156" t="str">
        <f t="shared" ca="1" si="92"/>
        <v>NO</v>
      </c>
      <c r="AU467" s="156" t="s">
        <v>2601</v>
      </c>
      <c r="AV467" s="406"/>
      <c r="AW467" s="928"/>
      <c r="AX467" s="928"/>
      <c r="AY467" s="928"/>
    </row>
    <row r="468" spans="3:51" ht="51" x14ac:dyDescent="0.3">
      <c r="C468" s="410"/>
      <c r="D468" s="410" t="str">
        <f t="shared" si="93"/>
        <v>2016</v>
      </c>
      <c r="E468" s="120" t="s">
        <v>2727</v>
      </c>
      <c r="F468" s="824" t="s">
        <v>2725</v>
      </c>
      <c r="G468" s="874">
        <v>900699012</v>
      </c>
      <c r="H468" s="965" t="s">
        <v>2726</v>
      </c>
      <c r="I468" s="875">
        <v>15999901</v>
      </c>
      <c r="J468" s="685" t="s">
        <v>2724</v>
      </c>
      <c r="K468" s="269">
        <v>2016</v>
      </c>
      <c r="L468" s="519">
        <v>42702</v>
      </c>
      <c r="M468" s="826">
        <v>42705</v>
      </c>
      <c r="N468" s="826">
        <v>42767</v>
      </c>
      <c r="O468" s="1099" t="str">
        <f>IF(+Modificaciones!I468=0,"",VLOOKUP(E468,Modificaciones!$B$7:$I$2400,8,0))</f>
        <v/>
      </c>
      <c r="P468" s="115">
        <f>COUNTA(Modificaciones!J468,Modificaciones!L468,Modificaciones!N468,Modificaciones!P468)</f>
        <v>0</v>
      </c>
      <c r="Q468" s="116">
        <f>VLOOKUP(E468,Modificaciones!$B$7:$R$2300,17,0)</f>
        <v>0</v>
      </c>
      <c r="R468" s="117">
        <f>COUNTA(Modificaciones!T468,Modificaciones!V468,Modificaciones!X468,Modificaciones!Z468)</f>
        <v>0</v>
      </c>
      <c r="S468" s="118" t="str">
        <f>IF(Modificaciones!AA468=0,"",VLOOKUP(E468,Modificaciones!$B$7:$AA$2400,26,0))</f>
        <v/>
      </c>
      <c r="T468" s="119" t="str">
        <f>IF(Modificaciones!AB468=0,"",VLOOKUP(E468,Modificaciones!$B$7:$AB$2400,27,0))</f>
        <v/>
      </c>
      <c r="U468" s="1080" t="str">
        <f>+Modificaciones!AC468</f>
        <v/>
      </c>
      <c r="V468" s="825" t="str">
        <f>+Modificaciones!AK468</f>
        <v/>
      </c>
      <c r="W468" s="825">
        <f t="shared" si="87"/>
        <v>42767</v>
      </c>
      <c r="X468" s="59">
        <f t="shared" si="85"/>
        <v>15999901</v>
      </c>
      <c r="Y468" s="151">
        <f>VLOOKUP(E468,Modificaciones!$B$7:$BE$2300,56,0)</f>
        <v>15999901</v>
      </c>
      <c r="Z468" s="84">
        <f t="shared" si="84"/>
        <v>0</v>
      </c>
      <c r="AA468" s="283" t="s">
        <v>2270</v>
      </c>
      <c r="AB468" s="823">
        <f t="shared" si="86"/>
        <v>1</v>
      </c>
      <c r="AC468" s="40">
        <f t="shared" ca="1" si="88"/>
        <v>1</v>
      </c>
      <c r="AD468" s="41">
        <f t="shared" ca="1" si="89"/>
        <v>0</v>
      </c>
      <c r="AE468" s="181" t="str">
        <f t="shared" ca="1" si="90"/>
        <v/>
      </c>
      <c r="AF468" s="42" t="str">
        <f t="shared" si="94"/>
        <v>SI</v>
      </c>
      <c r="AG468" s="732"/>
      <c r="AH468" s="152" t="s">
        <v>1255</v>
      </c>
      <c r="AI468" s="255" t="s">
        <v>1487</v>
      </c>
      <c r="AJ468" s="152" t="s">
        <v>1441</v>
      </c>
      <c r="AK468" s="255" t="s">
        <v>560</v>
      </c>
      <c r="AL468" s="279" t="s">
        <v>1379</v>
      </c>
      <c r="AM468" s="279" t="s">
        <v>600</v>
      </c>
      <c r="AN468" s="161" t="str">
        <f t="shared" ca="1" si="91"/>
        <v>TERMINO</v>
      </c>
      <c r="AO468" s="284" t="s">
        <v>576</v>
      </c>
      <c r="AP468" s="155" t="s">
        <v>390</v>
      </c>
      <c r="AQ468" s="819" t="str">
        <f>IFERROR(VLOOKUP(E468,'liquidaciones '!$B$2:$C$1048576,2,0),"NO")</f>
        <v>LIQUIDADO</v>
      </c>
      <c r="AR468" s="909" t="str">
        <f>IFERROR(VLOOKUP(E468,'liquidaciones '!$B$2:$I$1048576,8,0),"")</f>
        <v>MANUEL ROJAS</v>
      </c>
      <c r="AS468" s="312"/>
      <c r="AT468" s="156" t="str">
        <f t="shared" ca="1" si="92"/>
        <v>NO</v>
      </c>
      <c r="AU468" s="156" t="s">
        <v>981</v>
      </c>
      <c r="AV468" s="406"/>
      <c r="AW468" s="928"/>
      <c r="AX468" s="928"/>
      <c r="AY468" s="928"/>
    </row>
    <row r="469" spans="3:51" ht="30.6" x14ac:dyDescent="0.3">
      <c r="C469" s="410"/>
      <c r="D469" s="410" t="str">
        <f t="shared" si="93"/>
        <v>2016</v>
      </c>
      <c r="E469" s="120" t="s">
        <v>2728</v>
      </c>
      <c r="F469" s="824" t="s">
        <v>1337</v>
      </c>
      <c r="G469" s="874" t="s">
        <v>2719</v>
      </c>
      <c r="H469" s="965" t="s">
        <v>2729</v>
      </c>
      <c r="I469" s="875">
        <v>12706080</v>
      </c>
      <c r="J469" s="685" t="s">
        <v>2728</v>
      </c>
      <c r="K469" s="269">
        <v>2016</v>
      </c>
      <c r="L469" s="519">
        <v>42690</v>
      </c>
      <c r="M469" s="826">
        <v>42705</v>
      </c>
      <c r="N469" s="826">
        <v>42736</v>
      </c>
      <c r="O469" s="1099" t="str">
        <f>IF(+Modificaciones!I469=0,"",VLOOKUP(E469,Modificaciones!$B$7:$I$2400,8,0))</f>
        <v/>
      </c>
      <c r="P469" s="115">
        <f>COUNTA(Modificaciones!J469,Modificaciones!L469,Modificaciones!N469,Modificaciones!P469)</f>
        <v>0</v>
      </c>
      <c r="Q469" s="116">
        <f>VLOOKUP(E469,Modificaciones!$B$7:$R$2300,17,0)</f>
        <v>0</v>
      </c>
      <c r="R469" s="117">
        <f>COUNTA(Modificaciones!T469,Modificaciones!V469,Modificaciones!X469,Modificaciones!Z469)</f>
        <v>0</v>
      </c>
      <c r="S469" s="118" t="str">
        <f>IF(Modificaciones!AA469=0,"",VLOOKUP(E469,Modificaciones!$B$7:$AA$2400,26,0))</f>
        <v/>
      </c>
      <c r="T469" s="119" t="str">
        <f>IF(Modificaciones!AB469=0,"",VLOOKUP(E469,Modificaciones!$B$7:$AB$2400,27,0))</f>
        <v/>
      </c>
      <c r="U469" s="1080" t="str">
        <f>+Modificaciones!AC469</f>
        <v/>
      </c>
      <c r="V469" s="825" t="str">
        <f>+Modificaciones!AK469</f>
        <v/>
      </c>
      <c r="W469" s="825">
        <f t="shared" si="87"/>
        <v>42736</v>
      </c>
      <c r="X469" s="59">
        <f t="shared" si="85"/>
        <v>12706080</v>
      </c>
      <c r="Y469" s="151">
        <f>VLOOKUP(E469,Modificaciones!$B$7:$BE$2300,56,0)</f>
        <v>12706032</v>
      </c>
      <c r="Z469" s="84">
        <f t="shared" si="84"/>
        <v>48</v>
      </c>
      <c r="AA469" s="283" t="s">
        <v>1894</v>
      </c>
      <c r="AB469" s="823">
        <f t="shared" si="86"/>
        <v>0.99999622228098672</v>
      </c>
      <c r="AC469" s="40">
        <f t="shared" ca="1" si="88"/>
        <v>1</v>
      </c>
      <c r="AD469" s="41">
        <f t="shared" ca="1" si="89"/>
        <v>3.7777190132759486E-6</v>
      </c>
      <c r="AE469" s="181" t="str">
        <f t="shared" ca="1" si="90"/>
        <v/>
      </c>
      <c r="AF469" s="42" t="str">
        <f t="shared" si="94"/>
        <v>SI</v>
      </c>
      <c r="AG469" s="732"/>
      <c r="AH469" s="152"/>
      <c r="AI469" s="255"/>
      <c r="AJ469" s="152"/>
      <c r="AL469" s="279"/>
      <c r="AM469" s="279" t="s">
        <v>600</v>
      </c>
      <c r="AN469" s="161" t="str">
        <f t="shared" ca="1" si="91"/>
        <v>TERMINO</v>
      </c>
      <c r="AO469" s="284"/>
      <c r="AP469" s="155"/>
      <c r="AQ469" s="819" t="str">
        <f>IFERROR(VLOOKUP(E469,'liquidaciones '!$B$2:$C$1048576,2,0),"NO")</f>
        <v>LIQUIDADO</v>
      </c>
      <c r="AR469" s="909" t="str">
        <f>IFERROR(VLOOKUP(E469,'liquidaciones '!$B$2:$I$1048576,8,0),"")</f>
        <v>DORA PINILLA</v>
      </c>
      <c r="AS469" s="312"/>
      <c r="AT469" s="156" t="str">
        <f t="shared" ca="1" si="92"/>
        <v>NO</v>
      </c>
      <c r="AU469" s="156" t="s">
        <v>2601</v>
      </c>
      <c r="AV469" s="406"/>
      <c r="AW469" s="928"/>
      <c r="AX469" s="928"/>
      <c r="AY469" s="928"/>
    </row>
    <row r="470" spans="3:51" ht="30.6" x14ac:dyDescent="0.3">
      <c r="C470" s="410">
        <v>216</v>
      </c>
      <c r="D470" s="410" t="str">
        <f t="shared" si="93"/>
        <v>2016216</v>
      </c>
      <c r="E470" s="120" t="s">
        <v>2733</v>
      </c>
      <c r="F470" s="836" t="s">
        <v>2732</v>
      </c>
      <c r="G470" s="874">
        <v>890900608</v>
      </c>
      <c r="H470" s="965" t="s">
        <v>2734</v>
      </c>
      <c r="I470" s="875">
        <v>35851660</v>
      </c>
      <c r="J470" s="685" t="s">
        <v>2736</v>
      </c>
      <c r="K470" s="269">
        <v>2016</v>
      </c>
      <c r="L470" s="519">
        <v>42703</v>
      </c>
      <c r="M470" s="826">
        <v>42710</v>
      </c>
      <c r="N470" s="826">
        <v>42831</v>
      </c>
      <c r="O470" s="1099" t="str">
        <f>IF(+Modificaciones!I470=0,"",VLOOKUP(E470,Modificaciones!$B$7:$I$2400,8,0))</f>
        <v/>
      </c>
      <c r="P470" s="115">
        <f>COUNTA(Modificaciones!J470,Modificaciones!L470,Modificaciones!N470,Modificaciones!P470)</f>
        <v>0</v>
      </c>
      <c r="Q470" s="116">
        <f>VLOOKUP(E470,Modificaciones!$B$7:$R$2300,17,0)</f>
        <v>0</v>
      </c>
      <c r="R470" s="117">
        <f>COUNTA(Modificaciones!T470,Modificaciones!V470,Modificaciones!X470,Modificaciones!Z470)</f>
        <v>0</v>
      </c>
      <c r="S470" s="118" t="str">
        <f>IF(Modificaciones!AA470=0,"",VLOOKUP(E470,Modificaciones!$B$7:$AA$2400,26,0))</f>
        <v/>
      </c>
      <c r="T470" s="119" t="str">
        <f>IF(Modificaciones!AB470=0,"",VLOOKUP(E470,Modificaciones!$B$7:$AB$2400,27,0))</f>
        <v/>
      </c>
      <c r="U470" s="1080" t="str">
        <f>+Modificaciones!AC470</f>
        <v/>
      </c>
      <c r="V470" s="825" t="str">
        <f>+Modificaciones!AK470</f>
        <v/>
      </c>
      <c r="W470" s="825">
        <f t="shared" si="87"/>
        <v>42831</v>
      </c>
      <c r="X470" s="59">
        <f t="shared" si="85"/>
        <v>35851660</v>
      </c>
      <c r="Y470" s="151">
        <f>VLOOKUP(E470,Modificaciones!$B$7:$BE$2300,56,0)</f>
        <v>28129770</v>
      </c>
      <c r="Z470" s="84">
        <f t="shared" si="84"/>
        <v>7721890</v>
      </c>
      <c r="AA470" s="283" t="s">
        <v>2735</v>
      </c>
      <c r="AB470" s="823">
        <f t="shared" si="86"/>
        <v>0.78461555197165211</v>
      </c>
      <c r="AC470" s="40">
        <f t="shared" ca="1" si="88"/>
        <v>1</v>
      </c>
      <c r="AD470" s="41">
        <f t="shared" ca="1" si="89"/>
        <v>0.21538444802834789</v>
      </c>
      <c r="AE470" s="181" t="str">
        <f t="shared" ca="1" si="90"/>
        <v/>
      </c>
      <c r="AF470" s="42" t="str">
        <f t="shared" si="94"/>
        <v>NO</v>
      </c>
      <c r="AG470" s="732" t="s">
        <v>1711</v>
      </c>
      <c r="AH470" s="152" t="s">
        <v>1255</v>
      </c>
      <c r="AI470" s="255" t="s">
        <v>1483</v>
      </c>
      <c r="AJ470" s="152" t="s">
        <v>1434</v>
      </c>
      <c r="AK470" s="255" t="s">
        <v>560</v>
      </c>
      <c r="AL470" s="279" t="s">
        <v>1385</v>
      </c>
      <c r="AM470" s="279" t="s">
        <v>600</v>
      </c>
      <c r="AN470" s="161" t="str">
        <f t="shared" ca="1" si="91"/>
        <v>TERMINO</v>
      </c>
      <c r="AO470" s="284" t="s">
        <v>574</v>
      </c>
      <c r="AP470" s="155" t="s">
        <v>391</v>
      </c>
      <c r="AQ470" s="819" t="str">
        <f>IFERROR(VLOOKUP(E470,'liquidaciones '!$B$2:$C$1048576,2,0),"NO")</f>
        <v>LIQUIDADO</v>
      </c>
      <c r="AR470" s="909" t="str">
        <f>IFERROR(VLOOKUP(E470,'liquidaciones '!$B$2:$I$1048576,8,0),"")</f>
        <v>JULIETH ANGARITA</v>
      </c>
      <c r="AS470" s="312"/>
      <c r="AT470" s="156" t="str">
        <f t="shared" ca="1" si="92"/>
        <v>NO</v>
      </c>
      <c r="AU470" s="156" t="s">
        <v>981</v>
      </c>
      <c r="AV470" s="406"/>
      <c r="AW470" s="928"/>
      <c r="AX470" s="928"/>
      <c r="AY470" s="928"/>
    </row>
    <row r="471" spans="3:51" ht="30.6" x14ac:dyDescent="0.3">
      <c r="C471" s="410">
        <v>128</v>
      </c>
      <c r="D471" s="410" t="str">
        <f t="shared" si="93"/>
        <v>2016128</v>
      </c>
      <c r="E471" s="120" t="s">
        <v>2739</v>
      </c>
      <c r="F471" s="834" t="s">
        <v>2740</v>
      </c>
      <c r="G471" s="874">
        <v>1032431625</v>
      </c>
      <c r="H471" s="965" t="s">
        <v>2225</v>
      </c>
      <c r="I471" s="875">
        <v>6860000</v>
      </c>
      <c r="J471" s="685" t="s">
        <v>2739</v>
      </c>
      <c r="K471" s="269">
        <v>2016</v>
      </c>
      <c r="L471" s="519">
        <v>42710</v>
      </c>
      <c r="M471" s="835">
        <v>42717</v>
      </c>
      <c r="N471" s="835">
        <v>42779</v>
      </c>
      <c r="O471" s="1099" t="str">
        <f>IF(+Modificaciones!I471=0,"",VLOOKUP(E471,Modificaciones!$B$7:$I$2400,8,0))</f>
        <v/>
      </c>
      <c r="P471" s="115">
        <f>COUNTA(Modificaciones!J471,Modificaciones!L471,Modificaciones!N471,Modificaciones!P471)</f>
        <v>0</v>
      </c>
      <c r="Q471" s="116">
        <f>VLOOKUP(E471,Modificaciones!$B$7:$R$2300,17,0)</f>
        <v>0</v>
      </c>
      <c r="R471" s="117">
        <f>COUNTA(Modificaciones!T471,Modificaciones!V471,Modificaciones!X471,Modificaciones!Z471)</f>
        <v>0</v>
      </c>
      <c r="S471" s="118" t="str">
        <f>IF(Modificaciones!AA471=0,"",VLOOKUP(E471,Modificaciones!$B$7:$AA$2400,26,0))</f>
        <v/>
      </c>
      <c r="T471" s="119" t="str">
        <f>IF(Modificaciones!AB471=0,"",VLOOKUP(E471,Modificaciones!$B$7:$AB$2400,27,0))</f>
        <v/>
      </c>
      <c r="U471" s="1080" t="str">
        <f>+Modificaciones!AC471</f>
        <v/>
      </c>
      <c r="V471" s="825" t="str">
        <f>+Modificaciones!AK471</f>
        <v/>
      </c>
      <c r="W471" s="825">
        <f t="shared" si="87"/>
        <v>42779</v>
      </c>
      <c r="X471" s="59">
        <f t="shared" si="85"/>
        <v>6860000</v>
      </c>
      <c r="Y471" s="151">
        <f>VLOOKUP(E471,Modificaciones!$B$7:$BE$2300,56,0)</f>
        <v>6860000</v>
      </c>
      <c r="Z471" s="84">
        <f t="shared" si="84"/>
        <v>0</v>
      </c>
      <c r="AA471" s="283" t="s">
        <v>2113</v>
      </c>
      <c r="AB471" s="823">
        <f t="shared" si="86"/>
        <v>1</v>
      </c>
      <c r="AC471" s="40">
        <f t="shared" ca="1" si="88"/>
        <v>1</v>
      </c>
      <c r="AD471" s="41">
        <f t="shared" ca="1" si="89"/>
        <v>0</v>
      </c>
      <c r="AE471" s="181" t="str">
        <f t="shared" ca="1" si="90"/>
        <v/>
      </c>
      <c r="AF471" s="42" t="str">
        <f t="shared" si="94"/>
        <v>SI</v>
      </c>
      <c r="AG471" s="1017" t="s">
        <v>4920</v>
      </c>
      <c r="AH471" s="152" t="s">
        <v>1255</v>
      </c>
      <c r="AI471" s="255" t="s">
        <v>1306</v>
      </c>
      <c r="AJ471" s="152"/>
      <c r="AL471" s="279"/>
      <c r="AM471" s="279" t="s">
        <v>600</v>
      </c>
      <c r="AN471" s="161" t="str">
        <f t="shared" ca="1" si="91"/>
        <v>TERMINO</v>
      </c>
      <c r="AO471" s="284" t="s">
        <v>582</v>
      </c>
      <c r="AP471" s="155" t="s">
        <v>390</v>
      </c>
      <c r="AQ471" s="819" t="str">
        <f>IFERROR(VLOOKUP(E471,'liquidaciones '!$B$2:$C$1048576,2,0),"NO")</f>
        <v>LIQUIDADO</v>
      </c>
      <c r="AR471" s="909" t="str">
        <f>IFERROR(VLOOKUP(E471,'liquidaciones '!$B$2:$I$1048576,8,0),"")</f>
        <v>JULIETH ANGARITA</v>
      </c>
      <c r="AS471" s="312"/>
      <c r="AT471" s="156" t="str">
        <f t="shared" ca="1" si="92"/>
        <v>NO</v>
      </c>
      <c r="AU471" s="156" t="s">
        <v>981</v>
      </c>
      <c r="AV471" s="406"/>
      <c r="AW471" s="928"/>
      <c r="AX471" s="928"/>
      <c r="AY471" s="928"/>
    </row>
    <row r="472" spans="3:51" ht="28.8" x14ac:dyDescent="0.3">
      <c r="C472" s="410"/>
      <c r="D472" s="410" t="str">
        <f t="shared" si="93"/>
        <v>2016</v>
      </c>
      <c r="E472" s="120" t="s">
        <v>2741</v>
      </c>
      <c r="F472" s="824" t="s">
        <v>2505</v>
      </c>
      <c r="G472" s="874">
        <v>890900943</v>
      </c>
      <c r="H472" s="965" t="s">
        <v>3036</v>
      </c>
      <c r="I472" s="875">
        <v>21312104</v>
      </c>
      <c r="J472" s="685" t="s">
        <v>2742</v>
      </c>
      <c r="K472" s="269">
        <v>2016</v>
      </c>
      <c r="L472" s="519">
        <v>42711</v>
      </c>
      <c r="M472" s="826">
        <v>42711</v>
      </c>
      <c r="N472" s="826">
        <v>42719</v>
      </c>
      <c r="O472" s="1099" t="str">
        <f>IF(+Modificaciones!I472=0,"",VLOOKUP(E472,Modificaciones!$B$7:$I$2400,8,0))</f>
        <v/>
      </c>
      <c r="P472" s="115">
        <f>COUNTA(Modificaciones!J472,Modificaciones!L472,Modificaciones!N472,Modificaciones!P472)</f>
        <v>0</v>
      </c>
      <c r="Q472" s="116">
        <f>VLOOKUP(E472,Modificaciones!$B$7:$R$2300,17,0)</f>
        <v>0</v>
      </c>
      <c r="R472" s="117">
        <f>COUNTA(Modificaciones!T472,Modificaciones!V472,Modificaciones!X472,Modificaciones!Z472)</f>
        <v>0</v>
      </c>
      <c r="S472" s="118" t="str">
        <f>IF(Modificaciones!AA472=0,"",VLOOKUP(E472,Modificaciones!$B$7:$AA$2400,26,0))</f>
        <v/>
      </c>
      <c r="T472" s="119" t="str">
        <f>IF(Modificaciones!AB472=0,"",VLOOKUP(E472,Modificaciones!$B$7:$AB$2400,27,0))</f>
        <v/>
      </c>
      <c r="U472" s="1080" t="str">
        <f>+Modificaciones!AC472</f>
        <v/>
      </c>
      <c r="V472" s="825" t="str">
        <f>+Modificaciones!AK472</f>
        <v/>
      </c>
      <c r="W472" s="825">
        <f t="shared" si="87"/>
        <v>42719</v>
      </c>
      <c r="X472" s="59">
        <f t="shared" si="85"/>
        <v>21312104</v>
      </c>
      <c r="Y472" s="151">
        <f>VLOOKUP(E472,Modificaciones!$B$7:$BE$2300,56,0)</f>
        <v>21312104</v>
      </c>
      <c r="Z472" s="84">
        <f t="shared" si="84"/>
        <v>0</v>
      </c>
      <c r="AA472" s="283" t="s">
        <v>1894</v>
      </c>
      <c r="AB472" s="823">
        <f t="shared" si="86"/>
        <v>1</v>
      </c>
      <c r="AC472" s="40">
        <f t="shared" ca="1" si="88"/>
        <v>1</v>
      </c>
      <c r="AD472" s="41">
        <f t="shared" ca="1" si="89"/>
        <v>0</v>
      </c>
      <c r="AE472" s="181" t="str">
        <f t="shared" ca="1" si="90"/>
        <v/>
      </c>
      <c r="AF472" s="42" t="str">
        <f t="shared" si="94"/>
        <v>SI</v>
      </c>
      <c r="AG472" s="732"/>
      <c r="AH472" s="152"/>
      <c r="AI472" s="255" t="s">
        <v>2743</v>
      </c>
      <c r="AJ472" s="152"/>
      <c r="AL472" s="279"/>
      <c r="AM472" s="279" t="s">
        <v>600</v>
      </c>
      <c r="AN472" s="161" t="str">
        <f t="shared" ca="1" si="91"/>
        <v>TERMINO</v>
      </c>
      <c r="AO472" s="284" t="s">
        <v>2722</v>
      </c>
      <c r="AP472" s="155"/>
      <c r="AQ472" s="819" t="str">
        <f>IFERROR(VLOOKUP(E472,'liquidaciones '!$B$2:$C$1048576,2,0),"NO")</f>
        <v>LIQUIDADO</v>
      </c>
      <c r="AR472" s="909" t="str">
        <f>IFERROR(VLOOKUP(E472,'liquidaciones '!$B$2:$I$1048576,8,0),"")</f>
        <v>DORA PINILLA</v>
      </c>
      <c r="AS472" s="312"/>
      <c r="AT472" s="156" t="str">
        <f t="shared" ca="1" si="92"/>
        <v>NO</v>
      </c>
      <c r="AU472" s="156" t="s">
        <v>2601</v>
      </c>
      <c r="AV472" s="406"/>
      <c r="AW472" s="928"/>
      <c r="AX472" s="928"/>
      <c r="AY472" s="928"/>
    </row>
    <row r="473" spans="3:51" ht="30.6" x14ac:dyDescent="0.3">
      <c r="C473" s="410"/>
      <c r="D473" s="410" t="str">
        <f t="shared" si="93"/>
        <v>2016</v>
      </c>
      <c r="E473" s="120" t="s">
        <v>2744</v>
      </c>
      <c r="F473" s="824" t="s">
        <v>2745</v>
      </c>
      <c r="G473" s="874">
        <v>1014236408</v>
      </c>
      <c r="H473" s="965" t="s">
        <v>2746</v>
      </c>
      <c r="I473" s="875">
        <v>1800000</v>
      </c>
      <c r="J473" s="685" t="s">
        <v>2744</v>
      </c>
      <c r="K473" s="269">
        <v>2016</v>
      </c>
      <c r="L473" s="519">
        <v>42706</v>
      </c>
      <c r="M473" s="826">
        <v>42713</v>
      </c>
      <c r="N473" s="826">
        <v>42744</v>
      </c>
      <c r="O473" s="1099" t="str">
        <f>IF(+Modificaciones!I473=0,"",VLOOKUP(E473,Modificaciones!$B$7:$I$2400,8,0))</f>
        <v/>
      </c>
      <c r="P473" s="115">
        <f>COUNTA(Modificaciones!J473,Modificaciones!L473,Modificaciones!N473,Modificaciones!P473)</f>
        <v>0</v>
      </c>
      <c r="Q473" s="116">
        <f>VLOOKUP(E473,Modificaciones!$B$7:$R$2300,17,0)</f>
        <v>0</v>
      </c>
      <c r="R473" s="117">
        <f>COUNTA(Modificaciones!T473,Modificaciones!V473,Modificaciones!X473,Modificaciones!Z473)</f>
        <v>0</v>
      </c>
      <c r="S473" s="118" t="str">
        <f>IF(Modificaciones!AA473=0,"",VLOOKUP(E473,Modificaciones!$B$7:$AA$2400,26,0))</f>
        <v/>
      </c>
      <c r="T473" s="119" t="str">
        <f>IF(Modificaciones!AB473=0,"",VLOOKUP(E473,Modificaciones!$B$7:$AB$2400,27,0))</f>
        <v/>
      </c>
      <c r="U473" s="1080" t="str">
        <f>+Modificaciones!AC473</f>
        <v/>
      </c>
      <c r="V473" s="825" t="str">
        <f>+Modificaciones!AK473</f>
        <v/>
      </c>
      <c r="W473" s="825">
        <f t="shared" si="87"/>
        <v>42744</v>
      </c>
      <c r="X473" s="59">
        <f t="shared" si="85"/>
        <v>1800000</v>
      </c>
      <c r="Y473" s="151">
        <f>VLOOKUP(E473,Modificaciones!$B$7:$BE$2300,56,0)</f>
        <v>1800000</v>
      </c>
      <c r="Z473" s="84">
        <f t="shared" si="84"/>
        <v>0</v>
      </c>
      <c r="AA473" s="283" t="s">
        <v>1894</v>
      </c>
      <c r="AB473" s="823">
        <f t="shared" si="86"/>
        <v>1</v>
      </c>
      <c r="AC473" s="40">
        <f t="shared" ca="1" si="88"/>
        <v>1</v>
      </c>
      <c r="AD473" s="41">
        <f t="shared" ca="1" si="89"/>
        <v>0</v>
      </c>
      <c r="AE473" s="181" t="str">
        <f t="shared" ca="1" si="90"/>
        <v/>
      </c>
      <c r="AF473" s="42" t="str">
        <f t="shared" si="94"/>
        <v>SI</v>
      </c>
      <c r="AG473" s="732" t="s">
        <v>5773</v>
      </c>
      <c r="AH473" s="152" t="s">
        <v>1255</v>
      </c>
      <c r="AI473" s="255" t="s">
        <v>2747</v>
      </c>
      <c r="AJ473" s="152"/>
      <c r="AK473" s="255" t="s">
        <v>559</v>
      </c>
      <c r="AL473" s="279"/>
      <c r="AM473" s="279" t="s">
        <v>600</v>
      </c>
      <c r="AN473" s="161" t="str">
        <f t="shared" ca="1" si="91"/>
        <v>TERMINO</v>
      </c>
      <c r="AO473" s="284" t="s">
        <v>582</v>
      </c>
      <c r="AP473" s="155" t="s">
        <v>391</v>
      </c>
      <c r="AQ473" s="819" t="str">
        <f>IFERROR(VLOOKUP(E473,'liquidaciones '!$B$2:$C$1048576,2,0),"NO")</f>
        <v>LIQUIDADO</v>
      </c>
      <c r="AR473" s="909" t="str">
        <f>IFERROR(VLOOKUP(E473,'liquidaciones '!$B$2:$I$1048576,8,0),"")</f>
        <v>CLAUDIA VANEGAS</v>
      </c>
      <c r="AS473" s="312"/>
      <c r="AT473" s="156" t="str">
        <f t="shared" ca="1" si="92"/>
        <v>NO</v>
      </c>
      <c r="AU473" s="156" t="s">
        <v>2600</v>
      </c>
      <c r="AV473" s="406"/>
      <c r="AW473" s="928"/>
      <c r="AX473" s="928"/>
      <c r="AY473" s="928"/>
    </row>
    <row r="474" spans="3:51" ht="30.6" x14ac:dyDescent="0.3">
      <c r="C474" s="410">
        <v>209</v>
      </c>
      <c r="D474" s="410" t="str">
        <f t="shared" si="93"/>
        <v>2016209</v>
      </c>
      <c r="E474" s="120" t="s">
        <v>2748</v>
      </c>
      <c r="F474" s="834" t="s">
        <v>1344</v>
      </c>
      <c r="G474" s="1057">
        <v>830120684</v>
      </c>
      <c r="H474" s="965" t="s">
        <v>2749</v>
      </c>
      <c r="I474" s="875">
        <v>3000000</v>
      </c>
      <c r="J474" s="842" t="s">
        <v>2751</v>
      </c>
      <c r="K474" s="269">
        <v>2016</v>
      </c>
      <c r="L474" s="519">
        <v>42703</v>
      </c>
      <c r="M474" s="835">
        <v>42726</v>
      </c>
      <c r="N474" s="835">
        <v>42847</v>
      </c>
      <c r="O474" s="1099" t="str">
        <f>IF(+Modificaciones!I474=0,"",VLOOKUP(E474,Modificaciones!$B$7:$I$2400,8,0))</f>
        <v/>
      </c>
      <c r="P474" s="115">
        <f>COUNTA(Modificaciones!J474,Modificaciones!L474,Modificaciones!N474,Modificaciones!P474)</f>
        <v>0</v>
      </c>
      <c r="Q474" s="116">
        <f>VLOOKUP(E474,Modificaciones!$B$7:$R$2300,17,0)</f>
        <v>0</v>
      </c>
      <c r="R474" s="117">
        <f>COUNTA(Modificaciones!T474,Modificaciones!V474,Modificaciones!X474,Modificaciones!Z474)</f>
        <v>0</v>
      </c>
      <c r="S474" s="118" t="str">
        <f>IF(Modificaciones!AA474=0,"",VLOOKUP(E474,Modificaciones!$B$7:$AA$2400,26,0))</f>
        <v/>
      </c>
      <c r="T474" s="119" t="str">
        <f>IF(Modificaciones!AB474=0,"",VLOOKUP(E474,Modificaciones!$B$7:$AB$2400,27,0))</f>
        <v/>
      </c>
      <c r="U474" s="1080" t="str">
        <f>+Modificaciones!AC474</f>
        <v/>
      </c>
      <c r="V474" s="825" t="str">
        <f>+Modificaciones!AK474</f>
        <v/>
      </c>
      <c r="W474" s="825">
        <f t="shared" si="87"/>
        <v>42847</v>
      </c>
      <c r="X474" s="59">
        <f t="shared" si="85"/>
        <v>3000000</v>
      </c>
      <c r="Y474" s="151">
        <f>VLOOKUP(E474,Modificaciones!$B$7:$BE$2300,56,0)</f>
        <v>2462930</v>
      </c>
      <c r="Z474" s="84">
        <f t="shared" si="84"/>
        <v>537070</v>
      </c>
      <c r="AA474" s="283" t="s">
        <v>2239</v>
      </c>
      <c r="AB474" s="823">
        <f t="shared" si="86"/>
        <v>0.82097666666666669</v>
      </c>
      <c r="AC474" s="40">
        <f t="shared" ca="1" si="88"/>
        <v>1</v>
      </c>
      <c r="AD474" s="41">
        <f t="shared" ca="1" si="89"/>
        <v>0.17902333333333331</v>
      </c>
      <c r="AE474" s="181" t="str">
        <f t="shared" ca="1" si="90"/>
        <v/>
      </c>
      <c r="AF474" s="42" t="str">
        <f t="shared" si="94"/>
        <v>NO</v>
      </c>
      <c r="AG474" s="732"/>
      <c r="AH474" s="152" t="s">
        <v>1255</v>
      </c>
      <c r="AI474" s="255" t="s">
        <v>1298</v>
      </c>
      <c r="AJ474" s="152" t="s">
        <v>1439</v>
      </c>
      <c r="AK474" s="255" t="s">
        <v>562</v>
      </c>
      <c r="AL474" s="279" t="s">
        <v>2750</v>
      </c>
      <c r="AM474" s="279" t="s">
        <v>600</v>
      </c>
      <c r="AN474" s="161" t="str">
        <f t="shared" ca="1" si="91"/>
        <v>TERMINO</v>
      </c>
      <c r="AO474" s="284" t="s">
        <v>576</v>
      </c>
      <c r="AP474" s="155" t="s">
        <v>390</v>
      </c>
      <c r="AQ474" s="819" t="str">
        <f>IFERROR(VLOOKUP(E474,'liquidaciones '!$B$2:$C$1048576,2,0),"NO")</f>
        <v>LIQUIDADO</v>
      </c>
      <c r="AR474" s="909" t="str">
        <f>IFERROR(VLOOKUP(E474,'liquidaciones '!$B$2:$I$1048576,8,0),"")</f>
        <v>MANUEL ROJAS</v>
      </c>
      <c r="AS474" s="312"/>
      <c r="AT474" s="156" t="str">
        <f t="shared" ca="1" si="92"/>
        <v>NO</v>
      </c>
      <c r="AU474" s="156" t="s">
        <v>981</v>
      </c>
      <c r="AV474" s="406"/>
      <c r="AW474" s="928"/>
      <c r="AX474" s="928"/>
      <c r="AY474" s="928"/>
    </row>
    <row r="475" spans="3:51" ht="30.6" x14ac:dyDescent="0.3">
      <c r="C475" s="410">
        <v>207</v>
      </c>
      <c r="D475" s="410" t="str">
        <f t="shared" si="93"/>
        <v>2016207</v>
      </c>
      <c r="E475" s="120" t="s">
        <v>2752</v>
      </c>
      <c r="F475" s="824" t="s">
        <v>2753</v>
      </c>
      <c r="G475" s="874" t="s">
        <v>2754</v>
      </c>
      <c r="H475" s="965" t="s">
        <v>2755</v>
      </c>
      <c r="I475" s="875">
        <v>64285000</v>
      </c>
      <c r="J475" s="685" t="s">
        <v>2757</v>
      </c>
      <c r="K475" s="269">
        <v>2016</v>
      </c>
      <c r="L475" s="519">
        <v>42726</v>
      </c>
      <c r="M475" s="826">
        <v>42730</v>
      </c>
      <c r="N475" s="826">
        <v>42797</v>
      </c>
      <c r="O475" s="1099" t="str">
        <f>IF(+Modificaciones!I475=0,"",VLOOKUP(E475,Modificaciones!$B$7:$I$2400,8,0))</f>
        <v/>
      </c>
      <c r="P475" s="115">
        <f>COUNTA(Modificaciones!J475,Modificaciones!L475,Modificaciones!N475,Modificaciones!P475)</f>
        <v>1</v>
      </c>
      <c r="Q475" s="116">
        <f>VLOOKUP(E475,Modificaciones!$B$7:$R$2300,17,0)</f>
        <v>18000000</v>
      </c>
      <c r="R475" s="117">
        <f>COUNTA(Modificaciones!T475,Modificaciones!V475,Modificaciones!X475,Modificaciones!Z475)</f>
        <v>1</v>
      </c>
      <c r="S475" s="118" t="str">
        <f>IF(Modificaciones!AA475=0,"",VLOOKUP(E475,Modificaciones!$B$7:$AA$2400,26,0))</f>
        <v>1 mes</v>
      </c>
      <c r="T475" s="119">
        <f>IF(Modificaciones!AB475=0,"",VLOOKUP(E475,Modificaciones!$B$7:$AB$2400,27,0))</f>
        <v>42828</v>
      </c>
      <c r="U475" s="1080" t="str">
        <f>+Modificaciones!AC475</f>
        <v/>
      </c>
      <c r="V475" s="825" t="str">
        <f>+Modificaciones!AK475</f>
        <v/>
      </c>
      <c r="W475" s="825">
        <f t="shared" si="87"/>
        <v>42828</v>
      </c>
      <c r="X475" s="59">
        <f t="shared" si="85"/>
        <v>82285000</v>
      </c>
      <c r="Y475" s="151">
        <f>VLOOKUP(E475,Modificaciones!$B$7:$BE$2300,56,0)</f>
        <v>77352158</v>
      </c>
      <c r="Z475" s="84">
        <f t="shared" si="84"/>
        <v>4932842</v>
      </c>
      <c r="AA475" s="283" t="s">
        <v>2756</v>
      </c>
      <c r="AB475" s="823">
        <f t="shared" si="86"/>
        <v>0.94005174697697025</v>
      </c>
      <c r="AC475" s="40">
        <f t="shared" ca="1" si="88"/>
        <v>1</v>
      </c>
      <c r="AD475" s="41">
        <f t="shared" ca="1" si="89"/>
        <v>5.9948253023029752E-2</v>
      </c>
      <c r="AE475" s="181" t="str">
        <f t="shared" ca="1" si="90"/>
        <v/>
      </c>
      <c r="AF475" s="42" t="str">
        <f t="shared" si="94"/>
        <v>NO</v>
      </c>
      <c r="AG475" s="1017" t="s">
        <v>4920</v>
      </c>
      <c r="AH475" s="152" t="s">
        <v>1255</v>
      </c>
      <c r="AI475" s="255" t="s">
        <v>1137</v>
      </c>
      <c r="AJ475" s="152" t="s">
        <v>1441</v>
      </c>
      <c r="AK475" s="255" t="s">
        <v>560</v>
      </c>
      <c r="AL475" s="153" t="s">
        <v>1378</v>
      </c>
      <c r="AM475" s="279" t="s">
        <v>600</v>
      </c>
      <c r="AN475" s="161" t="str">
        <f t="shared" ca="1" si="91"/>
        <v>TERMINO</v>
      </c>
      <c r="AO475" s="160" t="s">
        <v>576</v>
      </c>
      <c r="AP475" s="155" t="s">
        <v>390</v>
      </c>
      <c r="AQ475" s="819" t="str">
        <f>IFERROR(VLOOKUP(E475,'liquidaciones '!$B$2:$C$1048576,2,0),"NO")</f>
        <v>LIQUIDADO</v>
      </c>
      <c r="AR475" s="909">
        <f>IFERROR(VLOOKUP(E475,'liquidaciones '!$B$2:$I$1048576,8,0),"")</f>
        <v>0</v>
      </c>
      <c r="AS475" s="312"/>
      <c r="AT475" s="156" t="str">
        <f t="shared" ca="1" si="92"/>
        <v>NO</v>
      </c>
      <c r="AU475" s="156" t="s">
        <v>2902</v>
      </c>
      <c r="AV475" s="406"/>
      <c r="AW475" s="928"/>
      <c r="AX475" s="928"/>
      <c r="AY475" s="928"/>
    </row>
    <row r="476" spans="3:51" ht="61.2" x14ac:dyDescent="0.3">
      <c r="C476" s="410">
        <v>154</v>
      </c>
      <c r="D476" s="410" t="str">
        <f t="shared" si="93"/>
        <v>2016154</v>
      </c>
      <c r="E476" s="120" t="s">
        <v>2758</v>
      </c>
      <c r="F476" s="824" t="s">
        <v>2759</v>
      </c>
      <c r="G476" s="874">
        <v>811028699</v>
      </c>
      <c r="H476" s="965" t="s">
        <v>522</v>
      </c>
      <c r="I476" s="875">
        <v>400000000</v>
      </c>
      <c r="J476" s="685" t="s">
        <v>2760</v>
      </c>
      <c r="K476" s="269">
        <v>2016</v>
      </c>
      <c r="L476" s="519">
        <v>42725</v>
      </c>
      <c r="M476" s="826">
        <v>42752</v>
      </c>
      <c r="N476" s="826">
        <v>42826</v>
      </c>
      <c r="O476" s="1099" t="str">
        <f>IF(+Modificaciones!I476=0,"",VLOOKUP(E476,Modificaciones!$B$7:$I$2400,8,0))</f>
        <v/>
      </c>
      <c r="P476" s="115">
        <f>COUNTA(Modificaciones!J476,Modificaciones!L476,Modificaciones!N476,Modificaciones!P476)</f>
        <v>0</v>
      </c>
      <c r="Q476" s="116">
        <f>VLOOKUP(E476,Modificaciones!$B$7:$R$2300,17,0)</f>
        <v>0</v>
      </c>
      <c r="R476" s="117">
        <f>COUNTA(Modificaciones!T476,Modificaciones!V476,Modificaciones!X476,Modificaciones!Z476)</f>
        <v>3</v>
      </c>
      <c r="S476" s="118" t="str">
        <f>IF(Modificaciones!AA476=0,"",VLOOKUP(E476,Modificaciones!$B$7:$AA$2400,26,0))</f>
        <v>3 meses y 15 dias calendario</v>
      </c>
      <c r="T476" s="119">
        <f>IF(Modificaciones!AB476=0,"",VLOOKUP(E476,Modificaciones!$B$7:$AB$2400,27,0))</f>
        <v>42933</v>
      </c>
      <c r="U476" s="1080" t="str">
        <f>+Modificaciones!AC476</f>
        <v/>
      </c>
      <c r="V476" s="825" t="str">
        <f>+Modificaciones!AK476</f>
        <v/>
      </c>
      <c r="W476" s="825">
        <f t="shared" si="87"/>
        <v>42933</v>
      </c>
      <c r="X476" s="59">
        <f t="shared" si="85"/>
        <v>400000000</v>
      </c>
      <c r="Y476" s="151">
        <f>VLOOKUP(E476,Modificaciones!$B$7:$BE$2300,56,0)</f>
        <v>399999924</v>
      </c>
      <c r="Z476" s="84">
        <f t="shared" si="84"/>
        <v>76</v>
      </c>
      <c r="AA476" s="283" t="s">
        <v>2761</v>
      </c>
      <c r="AB476" s="823">
        <f t="shared" si="86"/>
        <v>0.99999981000000004</v>
      </c>
      <c r="AC476" s="40">
        <f t="shared" ca="1" si="88"/>
        <v>1</v>
      </c>
      <c r="AD476" s="41">
        <f t="shared" ca="1" si="89"/>
        <v>1.8999999995550354E-7</v>
      </c>
      <c r="AE476" s="181" t="str">
        <f t="shared" ca="1" si="90"/>
        <v/>
      </c>
      <c r="AF476" s="42" t="str">
        <f t="shared" si="94"/>
        <v>SI</v>
      </c>
      <c r="AG476" s="732" t="s">
        <v>1711</v>
      </c>
      <c r="AH476" s="152" t="s">
        <v>1255</v>
      </c>
      <c r="AI476" s="255" t="s">
        <v>1133</v>
      </c>
      <c r="AJ476" s="152"/>
      <c r="AL476" s="279"/>
      <c r="AM476" s="279" t="s">
        <v>600</v>
      </c>
      <c r="AN476" s="161" t="str">
        <f t="shared" ca="1" si="91"/>
        <v>TERMINO</v>
      </c>
      <c r="AO476" s="284" t="s">
        <v>575</v>
      </c>
      <c r="AP476" s="155" t="s">
        <v>391</v>
      </c>
      <c r="AQ476" s="819" t="str">
        <f>IFERROR(VLOOKUP(E476,'liquidaciones '!$B$2:$C$1048576,2,0),"NO")</f>
        <v>LIQUIDADO</v>
      </c>
      <c r="AR476" s="909">
        <f>IFERROR(VLOOKUP(E476,'liquidaciones '!$B$2:$I$1048576,8,0),"")</f>
        <v>0</v>
      </c>
      <c r="AS476" s="312"/>
      <c r="AT476" s="156" t="str">
        <f t="shared" ca="1" si="92"/>
        <v>NO</v>
      </c>
      <c r="AU476" s="156" t="s">
        <v>2973</v>
      </c>
      <c r="AV476" s="406"/>
      <c r="AW476" s="928"/>
      <c r="AX476" s="928"/>
      <c r="AY476" s="928"/>
    </row>
    <row r="477" spans="3:51" ht="28.8" x14ac:dyDescent="0.3">
      <c r="C477" s="410"/>
      <c r="D477" s="410" t="str">
        <f t="shared" si="93"/>
        <v>2016</v>
      </c>
      <c r="E477" s="120" t="s">
        <v>2762</v>
      </c>
      <c r="F477" s="824" t="s">
        <v>2763</v>
      </c>
      <c r="G477" s="874" t="s">
        <v>2764</v>
      </c>
      <c r="H477" s="965" t="s">
        <v>2765</v>
      </c>
      <c r="I477" s="875">
        <v>4499988</v>
      </c>
      <c r="J477" s="685" t="s">
        <v>2766</v>
      </c>
      <c r="K477" s="269">
        <v>2016</v>
      </c>
      <c r="L477" s="519">
        <v>42725</v>
      </c>
      <c r="M477" s="826">
        <v>42751</v>
      </c>
      <c r="N477" s="826">
        <v>42782</v>
      </c>
      <c r="O477" s="1099" t="str">
        <f>IF(+Modificaciones!I477=0,"",VLOOKUP(E477,Modificaciones!$B$7:$I$2400,8,0))</f>
        <v/>
      </c>
      <c r="P477" s="115">
        <f>COUNTA(Modificaciones!J477,Modificaciones!L477,Modificaciones!N477,Modificaciones!P477)</f>
        <v>0</v>
      </c>
      <c r="Q477" s="116">
        <f>VLOOKUP(E477,Modificaciones!$B$7:$R$2300,17,0)</f>
        <v>0</v>
      </c>
      <c r="R477" s="117">
        <f>COUNTA(Modificaciones!T477,Modificaciones!V477,Modificaciones!X477,Modificaciones!Z477)</f>
        <v>0</v>
      </c>
      <c r="S477" s="118" t="str">
        <f>IF(Modificaciones!AA477=0,"",VLOOKUP(E477,Modificaciones!$B$7:$AA$2400,26,0))</f>
        <v/>
      </c>
      <c r="T477" s="119" t="str">
        <f>IF(Modificaciones!AB477=0,"",VLOOKUP(E477,Modificaciones!$B$7:$AB$2400,27,0))</f>
        <v/>
      </c>
      <c r="U477" s="1080" t="str">
        <f>+Modificaciones!AC477</f>
        <v/>
      </c>
      <c r="V477" s="825" t="str">
        <f>+Modificaciones!AK477</f>
        <v/>
      </c>
      <c r="W477" s="825">
        <f t="shared" si="87"/>
        <v>42782</v>
      </c>
      <c r="X477" s="59">
        <f t="shared" si="85"/>
        <v>4499988</v>
      </c>
      <c r="Y477" s="151">
        <f>VLOOKUP(E477,Modificaciones!$B$7:$BE$2300,56,0)</f>
        <v>4499988</v>
      </c>
      <c r="Z477" s="84">
        <f t="shared" si="84"/>
        <v>0</v>
      </c>
      <c r="AA477" s="283" t="s">
        <v>1894</v>
      </c>
      <c r="AB477" s="823">
        <f t="shared" si="86"/>
        <v>1</v>
      </c>
      <c r="AC477" s="40">
        <f t="shared" ca="1" si="88"/>
        <v>1</v>
      </c>
      <c r="AD477" s="41">
        <f t="shared" ca="1" si="89"/>
        <v>0</v>
      </c>
      <c r="AE477" s="181" t="str">
        <f t="shared" ca="1" si="90"/>
        <v/>
      </c>
      <c r="AF477" s="42" t="str">
        <f t="shared" si="94"/>
        <v>SI</v>
      </c>
      <c r="AG477" s="732"/>
      <c r="AH477" s="152"/>
      <c r="AI477" s="255" t="s">
        <v>2767</v>
      </c>
      <c r="AJ477" s="152"/>
      <c r="AL477" s="279"/>
      <c r="AM477" s="279" t="s">
        <v>600</v>
      </c>
      <c r="AN477" s="161" t="str">
        <f t="shared" ca="1" si="91"/>
        <v>TERMINO</v>
      </c>
      <c r="AO477" s="284" t="s">
        <v>576</v>
      </c>
      <c r="AP477" s="155" t="s">
        <v>391</v>
      </c>
      <c r="AQ477" s="819" t="str">
        <f>IFERROR(VLOOKUP(E477,'liquidaciones '!$B$2:$C$1048576,2,0),"NO")</f>
        <v>LIQUIDADO</v>
      </c>
      <c r="AR477" s="909" t="str">
        <f>IFERROR(VLOOKUP(E477,'liquidaciones '!$B$2:$I$1048576,8,0),"")</f>
        <v>MANUEL ROJAS</v>
      </c>
      <c r="AS477" s="312"/>
      <c r="AT477" s="156" t="str">
        <f t="shared" ca="1" si="92"/>
        <v>NO</v>
      </c>
      <c r="AU477" s="156" t="s">
        <v>2597</v>
      </c>
      <c r="AV477" s="406"/>
      <c r="AW477" s="928"/>
      <c r="AX477" s="928"/>
      <c r="AY477" s="928"/>
    </row>
    <row r="478" spans="3:51" ht="20.399999999999999" x14ac:dyDescent="0.3">
      <c r="C478" s="410">
        <v>88</v>
      </c>
      <c r="D478" s="410" t="str">
        <f t="shared" si="93"/>
        <v>201688</v>
      </c>
      <c r="E478" s="120" t="s">
        <v>2768</v>
      </c>
      <c r="F478" s="824" t="s">
        <v>2769</v>
      </c>
      <c r="G478" s="874" t="s">
        <v>2770</v>
      </c>
      <c r="H478" s="965" t="s">
        <v>2771</v>
      </c>
      <c r="I478" s="875">
        <v>495119</v>
      </c>
      <c r="J478" s="685" t="s">
        <v>2768</v>
      </c>
      <c r="K478" s="269">
        <v>2016</v>
      </c>
      <c r="L478" s="519">
        <v>42731</v>
      </c>
      <c r="M478" s="826">
        <v>42745</v>
      </c>
      <c r="N478" s="826">
        <v>43110</v>
      </c>
      <c r="O478" s="1099" t="str">
        <f>IF(+Modificaciones!I478=0,"",VLOOKUP(E478,Modificaciones!$B$7:$I$2400,8,0))</f>
        <v/>
      </c>
      <c r="P478" s="115">
        <f>COUNTA(Modificaciones!J478,Modificaciones!L478,Modificaciones!N478,Modificaciones!P478)</f>
        <v>0</v>
      </c>
      <c r="Q478" s="116">
        <f>VLOOKUP(E478,Modificaciones!$B$7:$R$2300,17,0)</f>
        <v>0</v>
      </c>
      <c r="R478" s="117">
        <f>COUNTA(Modificaciones!T478,Modificaciones!V478,Modificaciones!X478,Modificaciones!Z478)</f>
        <v>0</v>
      </c>
      <c r="S478" s="118" t="str">
        <f>IF(Modificaciones!AA478=0,"",VLOOKUP(E478,Modificaciones!$B$7:$AA$2400,26,0))</f>
        <v/>
      </c>
      <c r="T478" s="119" t="str">
        <f>IF(Modificaciones!AB478=0,"",VLOOKUP(E478,Modificaciones!$B$7:$AB$2400,27,0))</f>
        <v/>
      </c>
      <c r="U478" s="1080" t="str">
        <f>+Modificaciones!AC478</f>
        <v/>
      </c>
      <c r="V478" s="825" t="str">
        <f>+Modificaciones!AK478</f>
        <v/>
      </c>
      <c r="W478" s="825">
        <f t="shared" si="87"/>
        <v>43110</v>
      </c>
      <c r="X478" s="59">
        <f t="shared" si="85"/>
        <v>495119</v>
      </c>
      <c r="Y478" s="151">
        <f>VLOOKUP(E478,Modificaciones!$B$7:$BE$2300,56,0)</f>
        <v>426827</v>
      </c>
      <c r="Z478" s="84">
        <f t="shared" si="84"/>
        <v>68292</v>
      </c>
      <c r="AA478" s="283" t="s">
        <v>1894</v>
      </c>
      <c r="AB478" s="823">
        <f t="shared" si="86"/>
        <v>0.86206952268040615</v>
      </c>
      <c r="AC478" s="40">
        <f t="shared" ca="1" si="88"/>
        <v>1</v>
      </c>
      <c r="AD478" s="41">
        <f t="shared" ca="1" si="89"/>
        <v>0.13793047731959385</v>
      </c>
      <c r="AE478" s="181" t="str">
        <f t="shared" ca="1" si="90"/>
        <v/>
      </c>
      <c r="AF478" s="42" t="str">
        <f t="shared" si="94"/>
        <v>NO</v>
      </c>
      <c r="AG478" s="1017" t="s">
        <v>4920</v>
      </c>
      <c r="AH478" s="152" t="s">
        <v>1256</v>
      </c>
      <c r="AI478" s="275" t="s">
        <v>1470</v>
      </c>
      <c r="AJ478" s="152" t="s">
        <v>1438</v>
      </c>
      <c r="AK478" s="255" t="s">
        <v>560</v>
      </c>
      <c r="AL478" s="153" t="s">
        <v>1508</v>
      </c>
      <c r="AM478" s="279" t="s">
        <v>600</v>
      </c>
      <c r="AN478" s="161" t="str">
        <f t="shared" ca="1" si="91"/>
        <v>TERMINO</v>
      </c>
      <c r="AO478" s="284" t="s">
        <v>582</v>
      </c>
      <c r="AP478" s="155" t="s">
        <v>390</v>
      </c>
      <c r="AQ478" s="819" t="str">
        <f>IFERROR(VLOOKUP(E478,'liquidaciones '!$B$2:$C$1048576,2,0),"NO")</f>
        <v>LIQUIDADO</v>
      </c>
      <c r="AR478" s="909">
        <f>IFERROR(VLOOKUP(E478,'liquidaciones '!$B$2:$I$1048576,8,0),"")</f>
        <v>0</v>
      </c>
      <c r="AS478" s="312"/>
      <c r="AT478" s="156" t="str">
        <f t="shared" ca="1" si="92"/>
        <v>NO</v>
      </c>
      <c r="AU478" s="156" t="s">
        <v>2902</v>
      </c>
      <c r="AV478" s="406"/>
      <c r="AW478" s="930" t="s">
        <v>3938</v>
      </c>
      <c r="AX478" s="928"/>
      <c r="AY478" s="928"/>
    </row>
    <row r="479" spans="3:51" ht="30.6" x14ac:dyDescent="0.3">
      <c r="C479" s="410"/>
      <c r="D479" s="410" t="str">
        <f t="shared" si="93"/>
        <v>2016</v>
      </c>
      <c r="E479" s="120" t="s">
        <v>2772</v>
      </c>
      <c r="F479" s="824" t="s">
        <v>2773</v>
      </c>
      <c r="G479" s="874" t="s">
        <v>2774</v>
      </c>
      <c r="H479" s="965" t="s">
        <v>2775</v>
      </c>
      <c r="I479" s="875">
        <v>94318804</v>
      </c>
      <c r="J479" s="685" t="s">
        <v>2778</v>
      </c>
      <c r="K479" s="269">
        <v>2016</v>
      </c>
      <c r="L479" s="519">
        <v>42727</v>
      </c>
      <c r="M479" s="826">
        <v>42737</v>
      </c>
      <c r="N479" s="826">
        <v>42796</v>
      </c>
      <c r="O479" s="1099" t="str">
        <f>IF(+Modificaciones!I479=0,"",VLOOKUP(E479,Modificaciones!$B$7:$I$2400,8,0))</f>
        <v/>
      </c>
      <c r="P479" s="115">
        <f>COUNTA(Modificaciones!J479,Modificaciones!L479,Modificaciones!N479,Modificaciones!P479)</f>
        <v>0</v>
      </c>
      <c r="Q479" s="116">
        <f>VLOOKUP(E479,Modificaciones!$B$7:$R$2300,17,0)</f>
        <v>0</v>
      </c>
      <c r="R479" s="117">
        <f>COUNTA(Modificaciones!T479,Modificaciones!V479,Modificaciones!X479,Modificaciones!Z479)</f>
        <v>0</v>
      </c>
      <c r="S479" s="118" t="str">
        <f>IF(Modificaciones!AA479=0,"",VLOOKUP(E479,Modificaciones!$B$7:$AA$2400,26,0))</f>
        <v/>
      </c>
      <c r="T479" s="119" t="str">
        <f>IF(Modificaciones!AB479=0,"",VLOOKUP(E479,Modificaciones!$B$7:$AB$2400,27,0))</f>
        <v/>
      </c>
      <c r="U479" s="1080" t="str">
        <f>+Modificaciones!AC479</f>
        <v/>
      </c>
      <c r="V479" s="825" t="str">
        <f>+Modificaciones!AK479</f>
        <v/>
      </c>
      <c r="W479" s="825">
        <f t="shared" si="87"/>
        <v>42796</v>
      </c>
      <c r="X479" s="59">
        <f t="shared" si="85"/>
        <v>94318804</v>
      </c>
      <c r="Y479" s="151">
        <f>VLOOKUP(E479,Modificaciones!$B$7:$BE$2300,56,0)</f>
        <v>66718804</v>
      </c>
      <c r="Z479" s="84">
        <f t="shared" si="84"/>
        <v>27600000</v>
      </c>
      <c r="AA479" s="283" t="s">
        <v>2776</v>
      </c>
      <c r="AB479" s="823">
        <f t="shared" si="86"/>
        <v>0.70737542431093592</v>
      </c>
      <c r="AC479" s="40">
        <f t="shared" ca="1" si="88"/>
        <v>1</v>
      </c>
      <c r="AD479" s="41">
        <f t="shared" ca="1" si="89"/>
        <v>0.29262457568906408</v>
      </c>
      <c r="AE479" s="181" t="str">
        <f t="shared" ca="1" si="90"/>
        <v/>
      </c>
      <c r="AF479" s="42" t="str">
        <f t="shared" si="94"/>
        <v>NO</v>
      </c>
      <c r="AG479" s="732" t="s">
        <v>1711</v>
      </c>
      <c r="AH479" s="152" t="s">
        <v>1255</v>
      </c>
      <c r="AI479" s="255" t="s">
        <v>2777</v>
      </c>
      <c r="AJ479" s="152"/>
      <c r="AL479" s="279"/>
      <c r="AM479" s="279" t="s">
        <v>600</v>
      </c>
      <c r="AN479" s="161" t="str">
        <f t="shared" ca="1" si="91"/>
        <v>TERMINO</v>
      </c>
      <c r="AO479" s="284" t="s">
        <v>995</v>
      </c>
      <c r="AP479" s="155" t="s">
        <v>391</v>
      </c>
      <c r="AQ479" s="819" t="str">
        <f>IFERROR(VLOOKUP(E479,'liquidaciones '!$B$2:$C$1048576,2,0),"NO")</f>
        <v>LIQUIDADO</v>
      </c>
      <c r="AR479" s="909" t="str">
        <f>IFERROR(VLOOKUP(E479,'liquidaciones '!$B$2:$I$1048576,8,0),"")</f>
        <v>MANUEL ROJAS</v>
      </c>
      <c r="AS479" s="312"/>
      <c r="AT479" s="156" t="str">
        <f t="shared" ca="1" si="92"/>
        <v>NO</v>
      </c>
      <c r="AU479" s="156" t="s">
        <v>2597</v>
      </c>
      <c r="AV479" s="406"/>
      <c r="AW479" s="928"/>
      <c r="AX479" s="928"/>
      <c r="AY479" s="928"/>
    </row>
    <row r="480" spans="3:51" ht="57" customHeight="1" x14ac:dyDescent="0.3">
      <c r="C480" s="410">
        <v>89</v>
      </c>
      <c r="D480" s="410" t="str">
        <f t="shared" si="93"/>
        <v>201689</v>
      </c>
      <c r="E480" s="120" t="s">
        <v>2779</v>
      </c>
      <c r="F480" s="824" t="s">
        <v>2780</v>
      </c>
      <c r="G480" s="874" t="s">
        <v>2781</v>
      </c>
      <c r="H480" s="965" t="s">
        <v>2782</v>
      </c>
      <c r="I480" s="875">
        <v>12250000</v>
      </c>
      <c r="J480" s="685" t="s">
        <v>2785</v>
      </c>
      <c r="K480" s="269">
        <v>2016</v>
      </c>
      <c r="L480" s="519">
        <v>42724</v>
      </c>
      <c r="M480" s="826">
        <v>42732</v>
      </c>
      <c r="N480" s="826">
        <v>42883</v>
      </c>
      <c r="O480" s="1099" t="str">
        <f>IF(+Modificaciones!I480=0,"",VLOOKUP(E480,Modificaciones!$B$7:$I$2400,8,0))</f>
        <v/>
      </c>
      <c r="P480" s="115">
        <f>COUNTA(Modificaciones!J480,Modificaciones!L480,Modificaciones!N480,Modificaciones!P480)</f>
        <v>0</v>
      </c>
      <c r="Q480" s="116">
        <f>VLOOKUP(E480,Modificaciones!$B$7:$R$2300,17,0)</f>
        <v>0</v>
      </c>
      <c r="R480" s="117">
        <f>COUNTA(Modificaciones!T480,Modificaciones!V480,Modificaciones!X480,Modificaciones!Z480)</f>
        <v>0</v>
      </c>
      <c r="S480" s="118" t="str">
        <f>IF(Modificaciones!AA480=0,"",VLOOKUP(E480,Modificaciones!$B$7:$AA$2400,26,0))</f>
        <v/>
      </c>
      <c r="T480" s="119" t="str">
        <f>IF(Modificaciones!AB480=0,"",VLOOKUP(E480,Modificaciones!$B$7:$AB$2400,27,0))</f>
        <v/>
      </c>
      <c r="U480" s="1080" t="str">
        <f>+Modificaciones!AC480</f>
        <v/>
      </c>
      <c r="V480" s="825" t="str">
        <f>+Modificaciones!AK480</f>
        <v/>
      </c>
      <c r="W480" s="825">
        <f t="shared" si="87"/>
        <v>42883</v>
      </c>
      <c r="X480" s="59">
        <f t="shared" si="85"/>
        <v>12250000</v>
      </c>
      <c r="Y480" s="151">
        <f>VLOOKUP(E480,Modificaciones!$B$7:$BE$2300,56,0)</f>
        <v>3623000</v>
      </c>
      <c r="Z480" s="84">
        <f t="shared" si="84"/>
        <v>8627000</v>
      </c>
      <c r="AA480" s="288" t="s">
        <v>2783</v>
      </c>
      <c r="AB480" s="823">
        <f t="shared" si="86"/>
        <v>0.29575510204081634</v>
      </c>
      <c r="AC480" s="40">
        <f t="shared" ca="1" si="88"/>
        <v>1</v>
      </c>
      <c r="AD480" s="41">
        <f t="shared" ca="1" si="89"/>
        <v>0.70424489795918366</v>
      </c>
      <c r="AE480" s="181" t="str">
        <f t="shared" ca="1" si="90"/>
        <v/>
      </c>
      <c r="AF480" s="42" t="str">
        <f t="shared" si="94"/>
        <v>NO</v>
      </c>
      <c r="AG480" s="1017" t="s">
        <v>4920</v>
      </c>
      <c r="AH480" s="152" t="s">
        <v>1256</v>
      </c>
      <c r="AI480" s="255" t="s">
        <v>2784</v>
      </c>
      <c r="AJ480" s="152" t="s">
        <v>1438</v>
      </c>
      <c r="AK480" s="255" t="s">
        <v>560</v>
      </c>
      <c r="AL480" s="279" t="s">
        <v>1508</v>
      </c>
      <c r="AM480" s="279" t="s">
        <v>600</v>
      </c>
      <c r="AN480" s="161" t="str">
        <f t="shared" ca="1" si="91"/>
        <v>TERMINO</v>
      </c>
      <c r="AO480" s="284" t="s">
        <v>576</v>
      </c>
      <c r="AP480" s="155" t="s">
        <v>390</v>
      </c>
      <c r="AQ480" s="819" t="str">
        <f>IFERROR(VLOOKUP(E480,'liquidaciones '!$B$2:$C$1048576,2,0),"NO")</f>
        <v>LIQUIDADO</v>
      </c>
      <c r="AR480" s="909" t="str">
        <f>IFERROR(VLOOKUP(E480,'liquidaciones '!$B$2:$I$1048576,8,0),"")</f>
        <v>GIOVANNI SUAREZ</v>
      </c>
      <c r="AS480" s="312"/>
      <c r="AT480" s="156" t="str">
        <f t="shared" ca="1" si="92"/>
        <v>NO</v>
      </c>
      <c r="AU480" s="406" t="s">
        <v>3512</v>
      </c>
      <c r="AV480" s="406"/>
      <c r="AW480" s="928"/>
      <c r="AX480" s="928"/>
      <c r="AY480" s="928"/>
    </row>
    <row r="481" spans="3:51" ht="28.8" x14ac:dyDescent="0.3">
      <c r="C481" s="410"/>
      <c r="D481" s="410" t="str">
        <f t="shared" si="93"/>
        <v>2016</v>
      </c>
      <c r="E481" s="120" t="s">
        <v>2786</v>
      </c>
      <c r="F481" s="824" t="s">
        <v>2787</v>
      </c>
      <c r="G481" s="874" t="s">
        <v>2788</v>
      </c>
      <c r="H481" s="965" t="s">
        <v>2789</v>
      </c>
      <c r="I481" s="875">
        <v>19667800</v>
      </c>
      <c r="J481" s="685" t="s">
        <v>2807</v>
      </c>
      <c r="K481" s="269">
        <v>2016</v>
      </c>
      <c r="L481" s="519">
        <v>42731</v>
      </c>
      <c r="M481" s="826">
        <v>42746</v>
      </c>
      <c r="N481" s="826">
        <v>42805</v>
      </c>
      <c r="O481" s="1099" t="str">
        <f>IF(+Modificaciones!I481=0,"",VLOOKUP(E481,Modificaciones!$B$7:$I$2400,8,0))</f>
        <v/>
      </c>
      <c r="P481" s="115">
        <f>COUNTA(Modificaciones!J481,Modificaciones!L481,Modificaciones!N481,Modificaciones!P481)</f>
        <v>0</v>
      </c>
      <c r="Q481" s="116">
        <f>VLOOKUP(E481,Modificaciones!$B$7:$R$2300,17,0)</f>
        <v>0</v>
      </c>
      <c r="R481" s="117">
        <f>COUNTA(Modificaciones!T481,Modificaciones!V481,Modificaciones!X481,Modificaciones!Z481)</f>
        <v>0</v>
      </c>
      <c r="S481" s="118" t="str">
        <f>IF(Modificaciones!AA481=0,"",VLOOKUP(E481,Modificaciones!$B$7:$AA$2400,26,0))</f>
        <v/>
      </c>
      <c r="T481" s="119" t="str">
        <f>IF(Modificaciones!AB481=0,"",VLOOKUP(E481,Modificaciones!$B$7:$AB$2400,27,0))</f>
        <v/>
      </c>
      <c r="U481" s="1080" t="str">
        <f>+Modificaciones!AC481</f>
        <v/>
      </c>
      <c r="V481" s="825" t="str">
        <f>+Modificaciones!AK481</f>
        <v/>
      </c>
      <c r="W481" s="825">
        <f t="shared" si="87"/>
        <v>42805</v>
      </c>
      <c r="X481" s="59">
        <f t="shared" si="85"/>
        <v>19667800</v>
      </c>
      <c r="Y481" s="151">
        <f>VLOOKUP(E481,Modificaciones!$B$7:$BE$2300,56,0)</f>
        <v>19667800</v>
      </c>
      <c r="Z481" s="84">
        <f t="shared" si="84"/>
        <v>0</v>
      </c>
      <c r="AA481" s="283" t="s">
        <v>1894</v>
      </c>
      <c r="AB481" s="823">
        <f t="shared" si="86"/>
        <v>1</v>
      </c>
      <c r="AC481" s="40">
        <f t="shared" ca="1" si="88"/>
        <v>1</v>
      </c>
      <c r="AD481" s="41">
        <f t="shared" ca="1" si="89"/>
        <v>0</v>
      </c>
      <c r="AE481" s="181" t="str">
        <f t="shared" ca="1" si="90"/>
        <v/>
      </c>
      <c r="AF481" s="42" t="str">
        <f t="shared" si="94"/>
        <v>SI</v>
      </c>
      <c r="AG481" s="732" t="s">
        <v>1711</v>
      </c>
      <c r="AH481" s="152" t="s">
        <v>1255</v>
      </c>
      <c r="AI481" s="255" t="s">
        <v>1465</v>
      </c>
      <c r="AJ481" s="152"/>
      <c r="AL481" s="279"/>
      <c r="AM481" s="279" t="s">
        <v>600</v>
      </c>
      <c r="AN481" s="161" t="str">
        <f t="shared" ca="1" si="91"/>
        <v>TERMINO</v>
      </c>
      <c r="AO481" s="284" t="s">
        <v>576</v>
      </c>
      <c r="AP481" s="155" t="s">
        <v>391</v>
      </c>
      <c r="AQ481" s="819" t="str">
        <f>IFERROR(VLOOKUP(E481,'liquidaciones '!$B$2:$C$1048576,2,0),"NO")</f>
        <v>LIQUIDADO</v>
      </c>
      <c r="AR481" s="909" t="str">
        <f>IFERROR(VLOOKUP(E481,'liquidaciones '!$B$2:$I$1048576,8,0),"")</f>
        <v>MANUEL ROJAS</v>
      </c>
      <c r="AS481" s="312"/>
      <c r="AT481" s="156" t="str">
        <f t="shared" ca="1" si="92"/>
        <v>NO</v>
      </c>
      <c r="AU481" s="156" t="s">
        <v>981</v>
      </c>
      <c r="AV481" s="406"/>
      <c r="AW481" s="928"/>
      <c r="AX481" s="928"/>
      <c r="AY481" s="928"/>
    </row>
    <row r="482" spans="3:51" ht="28.8" x14ac:dyDescent="0.3">
      <c r="C482" s="410">
        <v>233</v>
      </c>
      <c r="D482" s="410" t="str">
        <f t="shared" si="93"/>
        <v>2016233</v>
      </c>
      <c r="E482" s="120" t="s">
        <v>2790</v>
      </c>
      <c r="F482" s="824" t="s">
        <v>2791</v>
      </c>
      <c r="G482" s="874">
        <v>830110570</v>
      </c>
      <c r="H482" s="965" t="s">
        <v>3037</v>
      </c>
      <c r="I482" s="875">
        <v>564700000</v>
      </c>
      <c r="J482" s="685" t="s">
        <v>2806</v>
      </c>
      <c r="K482" s="269">
        <v>2016</v>
      </c>
      <c r="L482" s="519">
        <v>42734</v>
      </c>
      <c r="M482" s="835">
        <v>42747</v>
      </c>
      <c r="N482" s="835">
        <v>42837</v>
      </c>
      <c r="O482" s="1099" t="str">
        <f>IF(+Modificaciones!I482=0,"",VLOOKUP(E482,Modificaciones!$B$7:$I$2400,8,0))</f>
        <v/>
      </c>
      <c r="P482" s="115">
        <f>COUNTA(Modificaciones!J482,Modificaciones!L482,Modificaciones!N482,Modificaciones!P482)</f>
        <v>0</v>
      </c>
      <c r="Q482" s="116">
        <f>VLOOKUP(E482,Modificaciones!$B$7:$R$2300,17,0)</f>
        <v>0</v>
      </c>
      <c r="R482" s="117">
        <f>COUNTA(Modificaciones!T482,Modificaciones!V482,Modificaciones!X482,Modificaciones!Z482)</f>
        <v>0</v>
      </c>
      <c r="S482" s="118" t="str">
        <f>IF(Modificaciones!AA482=0,"",VLOOKUP(E482,Modificaciones!$B$7:$AA$2400,26,0))</f>
        <v/>
      </c>
      <c r="T482" s="119" t="str">
        <f>IF(Modificaciones!AB482=0,"",VLOOKUP(E482,Modificaciones!$B$7:$AB$2400,27,0))</f>
        <v/>
      </c>
      <c r="U482" s="1080" t="str">
        <f>+Modificaciones!AC482</f>
        <v/>
      </c>
      <c r="V482" s="825" t="str">
        <f>+Modificaciones!AK482</f>
        <v/>
      </c>
      <c r="W482" s="825">
        <f t="shared" si="87"/>
        <v>42837</v>
      </c>
      <c r="X482" s="59">
        <f t="shared" si="85"/>
        <v>564700000</v>
      </c>
      <c r="Y482" s="151">
        <f>VLOOKUP(E482,Modificaciones!$B$7:$BE$2300,56,0)</f>
        <v>561585401</v>
      </c>
      <c r="Z482" s="84">
        <f t="shared" si="84"/>
        <v>3114599</v>
      </c>
      <c r="AA482" s="283" t="s">
        <v>1894</v>
      </c>
      <c r="AB482" s="823">
        <f t="shared" si="86"/>
        <v>0.99448450681777933</v>
      </c>
      <c r="AC482" s="40">
        <f t="shared" ca="1" si="88"/>
        <v>1</v>
      </c>
      <c r="AD482" s="41">
        <f t="shared" ca="1" si="89"/>
        <v>5.5154931822206654E-3</v>
      </c>
      <c r="AE482" s="181" t="str">
        <f t="shared" ca="1" si="90"/>
        <v/>
      </c>
      <c r="AF482" s="42" t="str">
        <f t="shared" si="94"/>
        <v>NO</v>
      </c>
      <c r="AG482" s="732" t="s">
        <v>1711</v>
      </c>
      <c r="AH482" s="152" t="s">
        <v>1256</v>
      </c>
      <c r="AI482" s="255" t="s">
        <v>2805</v>
      </c>
      <c r="AJ482" s="152" t="s">
        <v>1438</v>
      </c>
      <c r="AK482" s="255" t="s">
        <v>560</v>
      </c>
      <c r="AL482" s="279" t="s">
        <v>1508</v>
      </c>
      <c r="AM482" s="279" t="s">
        <v>600</v>
      </c>
      <c r="AN482" s="161" t="str">
        <f t="shared" ca="1" si="91"/>
        <v>TERMINO</v>
      </c>
      <c r="AO482" s="284" t="s">
        <v>995</v>
      </c>
      <c r="AP482" s="312" t="s">
        <v>391</v>
      </c>
      <c r="AQ482" s="819" t="str">
        <f>IFERROR(VLOOKUP(E482,'liquidaciones '!$B$2:$C$1048576,2,0),"NO")</f>
        <v>LIQUIDADO</v>
      </c>
      <c r="AR482" s="909" t="str">
        <f>IFERROR(VLOOKUP(E482,'liquidaciones '!$B$2:$I$1048576,8,0),"")</f>
        <v>GIOVANNI SUAREZ</v>
      </c>
      <c r="AS482" s="312"/>
      <c r="AT482" s="156" t="str">
        <f t="shared" ca="1" si="92"/>
        <v>NO</v>
      </c>
      <c r="AU482" s="156" t="s">
        <v>2902</v>
      </c>
      <c r="AV482" s="406"/>
      <c r="AW482" s="928"/>
      <c r="AX482" s="928"/>
      <c r="AY482" s="928"/>
    </row>
    <row r="483" spans="3:51" ht="61.2" x14ac:dyDescent="0.3">
      <c r="C483" s="837">
        <v>232</v>
      </c>
      <c r="D483" s="837" t="str">
        <f t="shared" si="93"/>
        <v>2016232</v>
      </c>
      <c r="E483" s="120" t="s">
        <v>2819</v>
      </c>
      <c r="F483" s="414" t="s">
        <v>2792</v>
      </c>
      <c r="G483" s="873" t="s">
        <v>2793</v>
      </c>
      <c r="H483" s="967" t="s">
        <v>3038</v>
      </c>
      <c r="I483" s="877">
        <v>46500000</v>
      </c>
      <c r="J483" s="843" t="s">
        <v>2803</v>
      </c>
      <c r="K483" s="269">
        <v>2016</v>
      </c>
      <c r="L483" s="519">
        <v>42733</v>
      </c>
      <c r="M483" s="844">
        <v>42751</v>
      </c>
      <c r="N483" s="844">
        <v>42871</v>
      </c>
      <c r="O483" s="1099" t="str">
        <f>IF(+Modificaciones!I483=0,"",VLOOKUP(E483,Modificaciones!$B$7:$I$2400,8,0))</f>
        <v/>
      </c>
      <c r="P483" s="115">
        <f>COUNTA(Modificaciones!J483,Modificaciones!L483,Modificaciones!N483,Modificaciones!P483)</f>
        <v>0</v>
      </c>
      <c r="Q483" s="116">
        <f>VLOOKUP(E483,Modificaciones!$B$7:$R$2300,17,0)</f>
        <v>0</v>
      </c>
      <c r="R483" s="117">
        <f>COUNTA(Modificaciones!T483,Modificaciones!V483,Modificaciones!X483,Modificaciones!Z483)</f>
        <v>0</v>
      </c>
      <c r="S483" s="118" t="str">
        <f>IF(Modificaciones!AA483=0,"",VLOOKUP(E483,Modificaciones!$B$7:$AA$2400,26,0))</f>
        <v/>
      </c>
      <c r="T483" s="119" t="str">
        <f>IF(Modificaciones!AB483=0,"",VLOOKUP(E483,Modificaciones!$B$7:$AB$2400,27,0))</f>
        <v/>
      </c>
      <c r="U483" s="1080" t="str">
        <f>+Modificaciones!AC483</f>
        <v/>
      </c>
      <c r="V483" s="825" t="str">
        <f>+Modificaciones!AK483</f>
        <v/>
      </c>
      <c r="W483" s="825">
        <f t="shared" si="87"/>
        <v>42871</v>
      </c>
      <c r="X483" s="59">
        <f t="shared" si="85"/>
        <v>46500000</v>
      </c>
      <c r="Y483" s="151">
        <f>VLOOKUP(E483,Modificaciones!$B$7:$BE$2300,56,0)</f>
        <v>46500000</v>
      </c>
      <c r="Z483" s="84">
        <f t="shared" si="84"/>
        <v>0</v>
      </c>
      <c r="AA483" s="287" t="s">
        <v>2794</v>
      </c>
      <c r="AB483" s="823">
        <f t="shared" si="86"/>
        <v>1</v>
      </c>
      <c r="AC483" s="40">
        <f t="shared" ca="1" si="88"/>
        <v>1</v>
      </c>
      <c r="AD483" s="41">
        <f t="shared" ca="1" si="89"/>
        <v>0</v>
      </c>
      <c r="AE483" s="181" t="str">
        <f t="shared" ca="1" si="90"/>
        <v/>
      </c>
      <c r="AF483" s="42" t="str">
        <f t="shared" si="94"/>
        <v>SI</v>
      </c>
      <c r="AG483" s="838" t="s">
        <v>1711</v>
      </c>
      <c r="AH483" s="841" t="s">
        <v>1256</v>
      </c>
      <c r="AI483" s="841" t="s">
        <v>2804</v>
      </c>
      <c r="AJ483" s="152" t="s">
        <v>1438</v>
      </c>
      <c r="AK483" s="255" t="s">
        <v>560</v>
      </c>
      <c r="AL483" s="279" t="s">
        <v>1508</v>
      </c>
      <c r="AM483" s="279" t="s">
        <v>600</v>
      </c>
      <c r="AN483" s="161" t="str">
        <f t="shared" ca="1" si="91"/>
        <v>TERMINO</v>
      </c>
      <c r="AO483" s="284" t="s">
        <v>995</v>
      </c>
      <c r="AP483" s="406" t="s">
        <v>390</v>
      </c>
      <c r="AQ483" s="819" t="str">
        <f>IFERROR(VLOOKUP(E483,'liquidaciones '!$B$2:$C$1048576,2,0),"NO")</f>
        <v>LIQUIDADO</v>
      </c>
      <c r="AR483" s="909" t="str">
        <f>IFERROR(VLOOKUP(E483,'liquidaciones '!$B$2:$I$1048576,8,0),"")</f>
        <v>GIOVANNI SUAREZ</v>
      </c>
      <c r="AS483" s="406"/>
      <c r="AT483" s="156" t="str">
        <f t="shared" ca="1" si="92"/>
        <v>NO</v>
      </c>
      <c r="AU483" s="156" t="s">
        <v>2902</v>
      </c>
      <c r="AV483" s="406"/>
      <c r="AW483" s="928"/>
      <c r="AX483" s="928"/>
      <c r="AY483" s="928"/>
    </row>
    <row r="484" spans="3:51" ht="83.25" customHeight="1" x14ac:dyDescent="0.3">
      <c r="C484" s="837">
        <v>95</v>
      </c>
      <c r="D484" s="837" t="str">
        <f t="shared" si="93"/>
        <v>201695</v>
      </c>
      <c r="E484" s="120" t="s">
        <v>2795</v>
      </c>
      <c r="F484" s="414" t="s">
        <v>152</v>
      </c>
      <c r="G484" s="873" t="s">
        <v>2796</v>
      </c>
      <c r="H484" s="967" t="s">
        <v>2809</v>
      </c>
      <c r="I484" s="877">
        <v>475686000</v>
      </c>
      <c r="J484" s="843" t="s">
        <v>2808</v>
      </c>
      <c r="K484" s="269">
        <v>2016</v>
      </c>
      <c r="L484" s="519">
        <v>42725</v>
      </c>
      <c r="M484" s="844">
        <v>42752</v>
      </c>
      <c r="N484" s="844">
        <v>42872</v>
      </c>
      <c r="O484" s="1099" t="str">
        <f>IF(+Modificaciones!I484=0,"",VLOOKUP(E484,Modificaciones!$B$7:$I$2400,8,0))</f>
        <v/>
      </c>
      <c r="P484" s="115">
        <f>COUNTA(Modificaciones!J484,Modificaciones!L484,Modificaciones!N484,Modificaciones!P484)</f>
        <v>1</v>
      </c>
      <c r="Q484" s="116">
        <f>VLOOKUP(E484,Modificaciones!$B$7:$R$2300,17,0)</f>
        <v>9520000</v>
      </c>
      <c r="R484" s="117">
        <f>COUNTA(Modificaciones!T484,Modificaciones!V484,Modificaciones!X484,Modificaciones!Z484)</f>
        <v>1</v>
      </c>
      <c r="S484" s="118" t="str">
        <f>IF(Modificaciones!AA484=0,"",VLOOKUP(E484,Modificaciones!$B$7:$AA$2400,26,0))</f>
        <v>1 mes</v>
      </c>
      <c r="T484" s="119">
        <f>IF(Modificaciones!AB484=0,"",VLOOKUP(E484,Modificaciones!$B$7:$AB$2400,27,0))</f>
        <v>42903</v>
      </c>
      <c r="U484" s="1080" t="str">
        <f>+Modificaciones!AC484</f>
        <v/>
      </c>
      <c r="V484" s="825" t="str">
        <f>+Modificaciones!AK484</f>
        <v/>
      </c>
      <c r="W484" s="825">
        <f t="shared" si="87"/>
        <v>42903</v>
      </c>
      <c r="X484" s="59">
        <f t="shared" si="85"/>
        <v>485206000</v>
      </c>
      <c r="Y484" s="151">
        <f>VLOOKUP(E484,Modificaciones!$B$7:$BE$2300,56,0)</f>
        <v>440949524</v>
      </c>
      <c r="Z484" s="84">
        <f t="shared" si="84"/>
        <v>44256476</v>
      </c>
      <c r="AA484" s="288" t="s">
        <v>2797</v>
      </c>
      <c r="AB484" s="823">
        <f t="shared" si="86"/>
        <v>0.90878827549535657</v>
      </c>
      <c r="AC484" s="40">
        <f t="shared" ca="1" si="88"/>
        <v>1</v>
      </c>
      <c r="AD484" s="41">
        <f t="shared" ca="1" si="89"/>
        <v>9.1211724504643432E-2</v>
      </c>
      <c r="AE484" s="181" t="str">
        <f t="shared" ca="1" si="90"/>
        <v/>
      </c>
      <c r="AF484" s="42" t="str">
        <f t="shared" si="94"/>
        <v>NO</v>
      </c>
      <c r="AG484" s="838" t="s">
        <v>1711</v>
      </c>
      <c r="AH484" s="841" t="s">
        <v>1256</v>
      </c>
      <c r="AI484" s="841" t="s">
        <v>2810</v>
      </c>
      <c r="AJ484" s="152" t="s">
        <v>1438</v>
      </c>
      <c r="AK484" s="255" t="s">
        <v>560</v>
      </c>
      <c r="AL484" s="279" t="s">
        <v>1508</v>
      </c>
      <c r="AM484" s="279" t="s">
        <v>600</v>
      </c>
      <c r="AN484" s="161" t="str">
        <f t="shared" ca="1" si="91"/>
        <v>TERMINO</v>
      </c>
      <c r="AO484" s="284" t="s">
        <v>995</v>
      </c>
      <c r="AP484" s="406" t="s">
        <v>390</v>
      </c>
      <c r="AQ484" s="819" t="str">
        <f>IFERROR(VLOOKUP(E484,'liquidaciones '!$B$2:$C$1048576,2,0),"NO")</f>
        <v>LIQUIDADO</v>
      </c>
      <c r="AR484" s="909">
        <f>IFERROR(VLOOKUP(E484,'liquidaciones '!$B$2:$I$1048576,8,0),"")</f>
        <v>0</v>
      </c>
      <c r="AS484" s="406"/>
      <c r="AT484" s="156" t="str">
        <f t="shared" ca="1" si="92"/>
        <v>NO</v>
      </c>
      <c r="AU484" s="156" t="s">
        <v>2902</v>
      </c>
      <c r="AV484" s="406"/>
      <c r="AW484" s="928"/>
      <c r="AX484" s="928"/>
      <c r="AY484" s="928"/>
    </row>
    <row r="485" spans="3:51" ht="61.2" x14ac:dyDescent="0.3">
      <c r="C485" s="837">
        <v>285</v>
      </c>
      <c r="D485" s="837" t="str">
        <f t="shared" si="93"/>
        <v>2016285</v>
      </c>
      <c r="E485" s="120" t="s">
        <v>2798</v>
      </c>
      <c r="F485" s="414" t="s">
        <v>2799</v>
      </c>
      <c r="G485" s="873" t="s">
        <v>2800</v>
      </c>
      <c r="H485" s="967" t="s">
        <v>2801</v>
      </c>
      <c r="I485" s="877">
        <v>108273000</v>
      </c>
      <c r="J485" s="843" t="s">
        <v>2811</v>
      </c>
      <c r="K485" s="269">
        <v>2016</v>
      </c>
      <c r="L485" s="519">
        <v>42733</v>
      </c>
      <c r="M485" s="844">
        <v>42746</v>
      </c>
      <c r="N485" s="844">
        <v>42836</v>
      </c>
      <c r="O485" s="1099" t="str">
        <f>IF(+Modificaciones!I485=0,"",VLOOKUP(E485,Modificaciones!$B$7:$I$2400,8,0))</f>
        <v/>
      </c>
      <c r="P485" s="115">
        <f>COUNTA(Modificaciones!J485,Modificaciones!L485,Modificaciones!N485,Modificaciones!P485)</f>
        <v>1</v>
      </c>
      <c r="Q485" s="116">
        <f>VLOOKUP(E485,Modificaciones!$B$7:$R$2300,17,0)</f>
        <v>4338465</v>
      </c>
      <c r="R485" s="117">
        <f>COUNTA(Modificaciones!T485,Modificaciones!V485,Modificaciones!X485,Modificaciones!Z485)</f>
        <v>3</v>
      </c>
      <c r="S485" s="118" t="str">
        <f>IF(Modificaciones!AA485=0,"",VLOOKUP(E485,Modificaciones!$B$7:$AA$2400,26,0))</f>
        <v>3 meses y 3 días</v>
      </c>
      <c r="T485" s="119">
        <f>IF(Modificaciones!AB485=0,"",VLOOKUP(E485,Modificaciones!$B$7:$AB$2400,27,0))</f>
        <v>42930</v>
      </c>
      <c r="U485" s="1080" t="str">
        <f>+Modificaciones!AC485</f>
        <v/>
      </c>
      <c r="V485" s="825" t="str">
        <f>+Modificaciones!AK485</f>
        <v/>
      </c>
      <c r="W485" s="825">
        <f t="shared" si="87"/>
        <v>42930</v>
      </c>
      <c r="X485" s="59">
        <f t="shared" si="85"/>
        <v>112611465</v>
      </c>
      <c r="Y485" s="151">
        <f>VLOOKUP(E485,Modificaciones!$B$7:$BE$2300,56,0)</f>
        <v>112611465</v>
      </c>
      <c r="Z485" s="84">
        <f t="shared" si="84"/>
        <v>0</v>
      </c>
      <c r="AA485" s="287" t="s">
        <v>2802</v>
      </c>
      <c r="AB485" s="823">
        <f t="shared" si="86"/>
        <v>1</v>
      </c>
      <c r="AC485" s="40">
        <f t="shared" ca="1" si="88"/>
        <v>1</v>
      </c>
      <c r="AD485" s="41">
        <f t="shared" ca="1" si="89"/>
        <v>0</v>
      </c>
      <c r="AE485" s="181" t="str">
        <f t="shared" ca="1" si="90"/>
        <v/>
      </c>
      <c r="AF485" s="42" t="str">
        <f t="shared" si="94"/>
        <v>SI</v>
      </c>
      <c r="AG485" s="1017" t="s">
        <v>4920</v>
      </c>
      <c r="AH485" s="841" t="s">
        <v>1255</v>
      </c>
      <c r="AI485" s="841" t="s">
        <v>2812</v>
      </c>
      <c r="AJ485" s="838"/>
      <c r="AK485" s="838"/>
      <c r="AL485" s="838"/>
      <c r="AM485" s="279" t="s">
        <v>600</v>
      </c>
      <c r="AN485" s="161" t="str">
        <f t="shared" ca="1" si="91"/>
        <v>TERMINO</v>
      </c>
      <c r="AO485" s="284" t="s">
        <v>574</v>
      </c>
      <c r="AP485" s="406" t="s">
        <v>390</v>
      </c>
      <c r="AQ485" s="819" t="str">
        <f>IFERROR(VLOOKUP(E485,'liquidaciones '!$B$2:$C$1048576,2,0),"NO")</f>
        <v>LIQUIDADO</v>
      </c>
      <c r="AR485" s="909" t="str">
        <f>IFERROR(VLOOKUP(E485,'liquidaciones '!$B$2:$I$1048576,8,0),"")</f>
        <v>JUAN DIEGO ESPITIA</v>
      </c>
      <c r="AS485" s="406"/>
      <c r="AT485" s="156" t="str">
        <f t="shared" ca="1" si="92"/>
        <v>NO</v>
      </c>
      <c r="AU485" s="156" t="s">
        <v>2973</v>
      </c>
      <c r="AV485" s="406"/>
      <c r="AW485" s="928"/>
      <c r="AX485" s="928"/>
      <c r="AY485" s="928"/>
    </row>
    <row r="486" spans="3:51" ht="40.799999999999997" x14ac:dyDescent="0.3">
      <c r="C486" s="837"/>
      <c r="D486" s="837"/>
      <c r="E486" s="120" t="s">
        <v>2813</v>
      </c>
      <c r="F486" s="414" t="s">
        <v>2814</v>
      </c>
      <c r="G486" s="873" t="s">
        <v>2815</v>
      </c>
      <c r="H486" s="967" t="s">
        <v>2816</v>
      </c>
      <c r="I486" s="877">
        <v>700000</v>
      </c>
      <c r="J486" s="843" t="s">
        <v>2818</v>
      </c>
      <c r="K486" s="269">
        <v>2016</v>
      </c>
      <c r="L486" s="519">
        <v>42692</v>
      </c>
      <c r="M486" s="840">
        <v>42761</v>
      </c>
      <c r="N486" s="840">
        <v>43004</v>
      </c>
      <c r="O486" s="1099" t="str">
        <f>IF(+Modificaciones!I486=0,"",VLOOKUP(E486,Modificaciones!$B$7:$I$2400,8,0))</f>
        <v/>
      </c>
      <c r="P486" s="115">
        <f>COUNTA(Modificaciones!J486,Modificaciones!L486,Modificaciones!N486,Modificaciones!P486)</f>
        <v>0</v>
      </c>
      <c r="Q486" s="116">
        <f>VLOOKUP(E486,Modificaciones!$B$7:$R$2300,17,0)</f>
        <v>0</v>
      </c>
      <c r="R486" s="117">
        <f>COUNTA(Modificaciones!T486,Modificaciones!V486,Modificaciones!X486,Modificaciones!Z486)</f>
        <v>0</v>
      </c>
      <c r="S486" s="118" t="str">
        <f>IF(Modificaciones!AA486=0,"",VLOOKUP(E486,Modificaciones!$B$7:$AA$2400,26,0))</f>
        <v/>
      </c>
      <c r="T486" s="119" t="str">
        <f>IF(Modificaciones!AB486=0,"",VLOOKUP(E486,Modificaciones!$B$7:$AB$2400,27,0))</f>
        <v/>
      </c>
      <c r="U486" s="1080" t="str">
        <f>+Modificaciones!AC486</f>
        <v/>
      </c>
      <c r="V486" s="825" t="str">
        <f>+Modificaciones!AK486</f>
        <v/>
      </c>
      <c r="W486" s="825">
        <f t="shared" si="87"/>
        <v>43004</v>
      </c>
      <c r="X486" s="59">
        <f t="shared" si="85"/>
        <v>700000</v>
      </c>
      <c r="Y486" s="151">
        <f>VLOOKUP(E486,Modificaciones!$B$7:$BE$2300,56,0)</f>
        <v>700000</v>
      </c>
      <c r="Z486" s="84">
        <f t="shared" si="84"/>
        <v>0</v>
      </c>
      <c r="AA486" s="283" t="s">
        <v>1894</v>
      </c>
      <c r="AB486" s="823">
        <f t="shared" si="86"/>
        <v>1</v>
      </c>
      <c r="AC486" s="40">
        <f t="shared" ca="1" si="88"/>
        <v>1</v>
      </c>
      <c r="AD486" s="41">
        <f t="shared" ca="1" si="89"/>
        <v>0</v>
      </c>
      <c r="AE486" s="181" t="str">
        <f t="shared" ca="1" si="90"/>
        <v/>
      </c>
      <c r="AF486" s="42" t="str">
        <f t="shared" si="94"/>
        <v>SI</v>
      </c>
      <c r="AG486" s="838"/>
      <c r="AH486" s="152" t="s">
        <v>1255</v>
      </c>
      <c r="AI486" s="255" t="s">
        <v>1503</v>
      </c>
      <c r="AJ486" s="152" t="s">
        <v>1441</v>
      </c>
      <c r="AK486" s="255" t="s">
        <v>560</v>
      </c>
      <c r="AL486" s="279"/>
      <c r="AM486" s="279" t="s">
        <v>600</v>
      </c>
      <c r="AN486" s="161" t="str">
        <f t="shared" ca="1" si="91"/>
        <v>TERMINO</v>
      </c>
      <c r="AO486" s="414"/>
      <c r="AP486" s="406" t="s">
        <v>390</v>
      </c>
      <c r="AQ486" s="819" t="str">
        <f>IFERROR(VLOOKUP(E486,'liquidaciones '!$B$2:$C$1048576,2,0),"NO")</f>
        <v>LIQUIDADO</v>
      </c>
      <c r="AR486" s="909">
        <f>IFERROR(VLOOKUP(E486,'liquidaciones '!$B$2:$I$1048576,8,0),"")</f>
        <v>0</v>
      </c>
      <c r="AS486" s="406"/>
      <c r="AT486" s="156" t="str">
        <f t="shared" ca="1" si="92"/>
        <v>NO</v>
      </c>
      <c r="AU486" s="156" t="s">
        <v>2960</v>
      </c>
      <c r="AV486" s="406"/>
      <c r="AW486" s="928"/>
      <c r="AX486" s="928"/>
      <c r="AY486" s="928"/>
    </row>
    <row r="487" spans="3:51" ht="36" customHeight="1" x14ac:dyDescent="0.3">
      <c r="C487" s="850">
        <v>183</v>
      </c>
      <c r="D487" s="837"/>
      <c r="E487" s="120" t="s">
        <v>2817</v>
      </c>
      <c r="F487" s="414" t="s">
        <v>2415</v>
      </c>
      <c r="G487" s="874">
        <v>900459737</v>
      </c>
      <c r="H487" s="965" t="s">
        <v>402</v>
      </c>
      <c r="I487" s="877">
        <v>433000000</v>
      </c>
      <c r="J487" s="843" t="s">
        <v>2929</v>
      </c>
      <c r="K487" s="269">
        <v>2017</v>
      </c>
      <c r="L487" s="519">
        <v>42754</v>
      </c>
      <c r="M487" s="840">
        <v>42767</v>
      </c>
      <c r="N487" s="840">
        <v>43100</v>
      </c>
      <c r="O487" s="1099" t="str">
        <f>IF(+Modificaciones!I487=0,"",VLOOKUP(E487,Modificaciones!$B$7:$I$2400,8,0))</f>
        <v/>
      </c>
      <c r="P487" s="115">
        <f>COUNTA(Modificaciones!J487,Modificaciones!L487,Modificaciones!N487,Modificaciones!P487)</f>
        <v>0</v>
      </c>
      <c r="Q487" s="116">
        <f>VLOOKUP(E487,Modificaciones!$B$7:$R$2300,17,0)</f>
        <v>0</v>
      </c>
      <c r="R487" s="117">
        <f>COUNTA(Modificaciones!T487,Modificaciones!V487,Modificaciones!X487,Modificaciones!Z487)</f>
        <v>1</v>
      </c>
      <c r="S487" s="118" t="str">
        <f>IF(Modificaciones!AA487=0,"",VLOOKUP(E487,Modificaciones!$B$7:$AA$2400,26,0))</f>
        <v>20 días</v>
      </c>
      <c r="T487" s="119">
        <f>IF(Modificaciones!AB487=0,"",VLOOKUP(E487,Modificaciones!$B$7:$AB$2400,27,0))</f>
        <v>43120</v>
      </c>
      <c r="U487" s="1080" t="str">
        <f>+Modificaciones!AC487</f>
        <v/>
      </c>
      <c r="V487" s="825" t="str">
        <f>+Modificaciones!AK487</f>
        <v/>
      </c>
      <c r="W487" s="825">
        <f t="shared" si="87"/>
        <v>43120</v>
      </c>
      <c r="X487" s="59">
        <f t="shared" si="85"/>
        <v>433000000</v>
      </c>
      <c r="Y487" s="151">
        <f>VLOOKUP(E487,Modificaciones!$B$7:$BE$2300,56,0)</f>
        <v>427915544</v>
      </c>
      <c r="Z487" s="84">
        <f t="shared" si="84"/>
        <v>5084456</v>
      </c>
      <c r="AA487" s="287"/>
      <c r="AB487" s="823">
        <f t="shared" si="86"/>
        <v>0.98825760739030022</v>
      </c>
      <c r="AC487" s="40">
        <f t="shared" ca="1" si="88"/>
        <v>1</v>
      </c>
      <c r="AD487" s="41">
        <f t="shared" ca="1" si="89"/>
        <v>1.1742392609699781E-2</v>
      </c>
      <c r="AE487" s="181" t="str">
        <f t="shared" ca="1" si="90"/>
        <v/>
      </c>
      <c r="AF487" s="42" t="str">
        <f t="shared" si="94"/>
        <v>NO</v>
      </c>
      <c r="AG487" s="838"/>
      <c r="AH487" s="152" t="s">
        <v>1255</v>
      </c>
      <c r="AI487" s="255" t="s">
        <v>1138</v>
      </c>
      <c r="AJ487" s="152"/>
      <c r="AK487" s="255" t="s">
        <v>560</v>
      </c>
      <c r="AL487" s="279" t="s">
        <v>1318</v>
      </c>
      <c r="AM487" s="279" t="s">
        <v>600</v>
      </c>
      <c r="AN487" s="161" t="str">
        <f t="shared" ca="1" si="91"/>
        <v>TERMINO</v>
      </c>
      <c r="AO487" s="414"/>
      <c r="AP487" s="406"/>
      <c r="AQ487" s="819" t="str">
        <f>IFERROR(VLOOKUP(E487,'liquidaciones '!$B$2:$C$1048576,2,0),"NO")</f>
        <v>LIQUIDADO</v>
      </c>
      <c r="AR487" s="909" t="str">
        <f>IFERROR(VLOOKUP(E487,'liquidaciones '!$B$2:$I$1048576,8,0),"")</f>
        <v>JUAN DIEGO ESPITIA</v>
      </c>
      <c r="AS487" s="406"/>
      <c r="AT487" s="156" t="str">
        <f t="shared" ca="1" si="92"/>
        <v>NO</v>
      </c>
      <c r="AU487" s="406" t="s">
        <v>1509</v>
      </c>
      <c r="AV487" s="406"/>
      <c r="AW487" s="930" t="s">
        <v>3938</v>
      </c>
      <c r="AX487" s="928"/>
      <c r="AY487" s="928"/>
    </row>
    <row r="488" spans="3:51" ht="84" customHeight="1" x14ac:dyDescent="0.3">
      <c r="C488" s="837">
        <v>181</v>
      </c>
      <c r="D488" s="837"/>
      <c r="E488" s="120" t="s">
        <v>2821</v>
      </c>
      <c r="F488" s="414" t="s">
        <v>2433</v>
      </c>
      <c r="G488" s="874">
        <v>900475780</v>
      </c>
      <c r="H488" s="965" t="s">
        <v>1637</v>
      </c>
      <c r="I488" s="877">
        <v>4108908000</v>
      </c>
      <c r="J488" s="843" t="s">
        <v>2821</v>
      </c>
      <c r="K488" s="269">
        <v>2017</v>
      </c>
      <c r="L488" s="519">
        <v>42748</v>
      </c>
      <c r="M488" s="840">
        <v>42751</v>
      </c>
      <c r="N488" s="840">
        <v>43070</v>
      </c>
      <c r="O488" s="1099" t="str">
        <f>IF(+Modificaciones!I488=0,"",VLOOKUP(E488,Modificaciones!$B$7:$I$2400,8,0))</f>
        <v/>
      </c>
      <c r="P488" s="115">
        <f>COUNTA(Modificaciones!J488,Modificaciones!L488,Modificaciones!N488,Modificaciones!P488)</f>
        <v>1</v>
      </c>
      <c r="Q488" s="116">
        <f>VLOOKUP(E488,Modificaciones!$B$7:$R$2300,17,0)</f>
        <v>266119000</v>
      </c>
      <c r="R488" s="117">
        <f>COUNTA(Modificaciones!T488,Modificaciones!V488,Modificaciones!X488,Modificaciones!Z488)</f>
        <v>1</v>
      </c>
      <c r="S488" s="118" t="str">
        <f>IF(Modificaciones!AA488=0,"",VLOOKUP(E488,Modificaciones!$B$7:$AA$2400,26,0))</f>
        <v>30 días</v>
      </c>
      <c r="T488" s="119">
        <f>IF(Modificaciones!AB488=0,"",VLOOKUP(E488,Modificaciones!$B$7:$AB$2400,27,0))</f>
        <v>43100</v>
      </c>
      <c r="U488" s="1080" t="str">
        <f>+Modificaciones!AC488</f>
        <v/>
      </c>
      <c r="V488" s="825" t="str">
        <f>+Modificaciones!AK488</f>
        <v/>
      </c>
      <c r="W488" s="825">
        <f t="shared" si="87"/>
        <v>43100</v>
      </c>
      <c r="X488" s="59">
        <f t="shared" si="85"/>
        <v>4375027000</v>
      </c>
      <c r="Y488" s="151">
        <f>VLOOKUP(E488,Modificaciones!$B$7:$BE$2300,56,0)</f>
        <v>4348866165</v>
      </c>
      <c r="Z488" s="84">
        <f t="shared" si="84"/>
        <v>26160835</v>
      </c>
      <c r="AA488" s="288" t="s">
        <v>2820</v>
      </c>
      <c r="AB488" s="823">
        <f t="shared" si="86"/>
        <v>0.99402041747399505</v>
      </c>
      <c r="AC488" s="40">
        <f t="shared" ca="1" si="88"/>
        <v>1</v>
      </c>
      <c r="AD488" s="41">
        <f t="shared" ca="1" si="89"/>
        <v>5.9795825260049451E-3</v>
      </c>
      <c r="AE488" s="181" t="str">
        <f t="shared" ca="1" si="90"/>
        <v/>
      </c>
      <c r="AF488" s="42" t="str">
        <f t="shared" si="94"/>
        <v>NO</v>
      </c>
      <c r="AG488" s="732" t="s">
        <v>1718</v>
      </c>
      <c r="AH488" s="152" t="s">
        <v>1255</v>
      </c>
      <c r="AI488" s="255" t="s">
        <v>1507</v>
      </c>
      <c r="AJ488" s="152" t="s">
        <v>1441</v>
      </c>
      <c r="AK488" s="255" t="s">
        <v>560</v>
      </c>
      <c r="AL488" s="279" t="s">
        <v>1318</v>
      </c>
      <c r="AM488" s="279" t="s">
        <v>600</v>
      </c>
      <c r="AN488" s="161" t="str">
        <f t="shared" ca="1" si="91"/>
        <v>TERMINO</v>
      </c>
      <c r="AO488" s="160" t="s">
        <v>582</v>
      </c>
      <c r="AP488" s="406" t="s">
        <v>390</v>
      </c>
      <c r="AQ488" s="819" t="str">
        <f>IFERROR(VLOOKUP(E488,'liquidaciones '!$B$2:$C$1048576,2,0),"NO")</f>
        <v>LIQUIDADO</v>
      </c>
      <c r="AR488" s="909">
        <f>IFERROR(VLOOKUP(E488,'liquidaciones '!$B$2:$I$1048576,8,0),"")</f>
        <v>0</v>
      </c>
      <c r="AS488" s="406"/>
      <c r="AT488" s="156" t="str">
        <f t="shared" ca="1" si="92"/>
        <v>NO</v>
      </c>
      <c r="AU488" s="156" t="s">
        <v>2972</v>
      </c>
      <c r="AV488" s="406"/>
      <c r="AW488" s="930" t="s">
        <v>3938</v>
      </c>
      <c r="AX488" s="928"/>
      <c r="AY488" s="928"/>
    </row>
    <row r="489" spans="3:51" ht="61.2" x14ac:dyDescent="0.3">
      <c r="C489" s="837">
        <v>177</v>
      </c>
      <c r="D489" s="837"/>
      <c r="E489" s="120" t="s">
        <v>2822</v>
      </c>
      <c r="F489" s="414" t="s">
        <v>2823</v>
      </c>
      <c r="G489" s="873" t="s">
        <v>2824</v>
      </c>
      <c r="H489" s="967" t="s">
        <v>2825</v>
      </c>
      <c r="I489" s="877">
        <v>400000000</v>
      </c>
      <c r="J489" s="843" t="s">
        <v>2828</v>
      </c>
      <c r="K489" s="269">
        <v>2017</v>
      </c>
      <c r="L489" s="519">
        <v>42746</v>
      </c>
      <c r="M489" s="840">
        <v>42773</v>
      </c>
      <c r="N489" s="840">
        <v>43046</v>
      </c>
      <c r="O489" s="1099" t="str">
        <f>IF(+Modificaciones!I489=0,"",VLOOKUP(E489,Modificaciones!$B$7:$I$2400,8,0))</f>
        <v/>
      </c>
      <c r="P489" s="115">
        <f>COUNTA(Modificaciones!J489,Modificaciones!L489,Modificaciones!N489,Modificaciones!P489)</f>
        <v>0</v>
      </c>
      <c r="Q489" s="116">
        <f>VLOOKUP(E489,Modificaciones!$B$7:$R$2300,17,0)</f>
        <v>0</v>
      </c>
      <c r="R489" s="117">
        <f>COUNTA(Modificaciones!T489,Modificaciones!V489,Modificaciones!X489,Modificaciones!Z489)</f>
        <v>2</v>
      </c>
      <c r="S489" s="118" t="str">
        <f>IF(Modificaciones!AA489=0,"",VLOOKUP(E489,Modificaciones!$B$7:$AA$2400,26,0))</f>
        <v>5 meses</v>
      </c>
      <c r="T489" s="119">
        <f>IF(Modificaciones!AB489=0,"",VLOOKUP(E489,Modificaciones!$B$7:$AB$2400,27,0))</f>
        <v>43197</v>
      </c>
      <c r="U489" s="1080" t="str">
        <f>+Modificaciones!AC489</f>
        <v/>
      </c>
      <c r="V489" s="825" t="str">
        <f>+Modificaciones!AK489</f>
        <v/>
      </c>
      <c r="W489" s="825">
        <f t="shared" si="87"/>
        <v>43197</v>
      </c>
      <c r="X489" s="59">
        <f t="shared" si="85"/>
        <v>400000000</v>
      </c>
      <c r="Y489" s="151">
        <f>VLOOKUP(E489,Modificaciones!$B$7:$BE$2300,56,0)</f>
        <v>399991711</v>
      </c>
      <c r="Z489" s="84">
        <f t="shared" si="84"/>
        <v>8289</v>
      </c>
      <c r="AA489" s="283" t="s">
        <v>1094</v>
      </c>
      <c r="AB489" s="823">
        <f t="shared" si="86"/>
        <v>0.99997927750000004</v>
      </c>
      <c r="AC489" s="40">
        <f t="shared" ca="1" si="88"/>
        <v>1</v>
      </c>
      <c r="AD489" s="41">
        <f t="shared" ca="1" si="89"/>
        <v>2.0722499999958899E-5</v>
      </c>
      <c r="AE489" s="181" t="str">
        <f t="shared" ca="1" si="90"/>
        <v/>
      </c>
      <c r="AF489" s="42" t="str">
        <f t="shared" si="94"/>
        <v>SI</v>
      </c>
      <c r="AG489" s="838"/>
      <c r="AH489" s="152" t="s">
        <v>1255</v>
      </c>
      <c r="AI489" s="255" t="s">
        <v>1531</v>
      </c>
      <c r="AJ489" s="152" t="s">
        <v>1429</v>
      </c>
      <c r="AK489" s="255" t="s">
        <v>564</v>
      </c>
      <c r="AL489" s="279"/>
      <c r="AM489" s="279" t="s">
        <v>600</v>
      </c>
      <c r="AN489" s="161" t="str">
        <f t="shared" ca="1" si="91"/>
        <v>TERMINO</v>
      </c>
      <c r="AO489" s="284" t="s">
        <v>575</v>
      </c>
      <c r="AP489" s="406" t="s">
        <v>390</v>
      </c>
      <c r="AQ489" s="819" t="str">
        <f>IFERROR(VLOOKUP(E489,'liquidaciones '!$B$2:$C$1048576,2,0),"NO")</f>
        <v>LIQUIDADO</v>
      </c>
      <c r="AR489" s="909" t="str">
        <f>IFERROR(VLOOKUP(E489,'liquidaciones '!$B$2:$I$1048576,8,0),"")</f>
        <v>SONIA CACERES</v>
      </c>
      <c r="AS489" s="406"/>
      <c r="AT489" s="156" t="str">
        <f t="shared" ca="1" si="92"/>
        <v>NO</v>
      </c>
      <c r="AU489" s="156" t="s">
        <v>2973</v>
      </c>
      <c r="AV489" s="406"/>
      <c r="AW489" s="930" t="s">
        <v>3920</v>
      </c>
      <c r="AX489" s="928"/>
      <c r="AY489" s="928"/>
    </row>
    <row r="490" spans="3:51" ht="40.799999999999997" x14ac:dyDescent="0.3">
      <c r="C490" s="837">
        <v>147</v>
      </c>
      <c r="D490" s="837"/>
      <c r="E490" s="120" t="s">
        <v>2826</v>
      </c>
      <c r="F490" s="414" t="s">
        <v>2030</v>
      </c>
      <c r="G490" s="874">
        <v>79246871</v>
      </c>
      <c r="H490" s="967" t="s">
        <v>2827</v>
      </c>
      <c r="I490" s="877">
        <v>3860000</v>
      </c>
      <c r="J490" s="843" t="s">
        <v>2826</v>
      </c>
      <c r="K490" s="269">
        <v>2017</v>
      </c>
      <c r="L490" s="519">
        <v>42772</v>
      </c>
      <c r="M490" s="840">
        <v>42772</v>
      </c>
      <c r="N490" s="840">
        <v>42800</v>
      </c>
      <c r="O490" s="1099" t="str">
        <f>IF(+Modificaciones!I490=0,"",VLOOKUP(E490,Modificaciones!$B$7:$I$2400,8,0))</f>
        <v/>
      </c>
      <c r="P490" s="115">
        <f>COUNTA(Modificaciones!J490,Modificaciones!L490,Modificaciones!N490,Modificaciones!P490)</f>
        <v>0</v>
      </c>
      <c r="Q490" s="116">
        <f>VLOOKUP(E490,Modificaciones!$B$7:$R$2300,17,0)</f>
        <v>0</v>
      </c>
      <c r="R490" s="117">
        <f>COUNTA(Modificaciones!T490,Modificaciones!V490,Modificaciones!X490,Modificaciones!Z490)</f>
        <v>0</v>
      </c>
      <c r="S490" s="118" t="str">
        <f>IF(Modificaciones!AA490=0,"",VLOOKUP(E490,Modificaciones!$B$7:$AA$2400,26,0))</f>
        <v/>
      </c>
      <c r="T490" s="119" t="str">
        <f>IF(Modificaciones!AB490=0,"",VLOOKUP(E490,Modificaciones!$B$7:$AB$2400,27,0))</f>
        <v/>
      </c>
      <c r="U490" s="1080" t="str">
        <f>+Modificaciones!AC490</f>
        <v/>
      </c>
      <c r="V490" s="825" t="str">
        <f>+Modificaciones!AK490</f>
        <v/>
      </c>
      <c r="W490" s="825">
        <f t="shared" si="87"/>
        <v>42800</v>
      </c>
      <c r="X490" s="59">
        <f t="shared" si="85"/>
        <v>3860000</v>
      </c>
      <c r="Y490" s="151">
        <f>VLOOKUP(E490,Modificaciones!$B$7:$BE$2300,56,0)</f>
        <v>3860000</v>
      </c>
      <c r="Z490" s="84">
        <f t="shared" si="84"/>
        <v>0</v>
      </c>
      <c r="AA490" s="283" t="s">
        <v>1894</v>
      </c>
      <c r="AB490" s="823">
        <f t="shared" si="86"/>
        <v>1</v>
      </c>
      <c r="AC490" s="40">
        <f t="shared" ca="1" si="88"/>
        <v>1</v>
      </c>
      <c r="AD490" s="41">
        <f t="shared" ca="1" si="89"/>
        <v>0</v>
      </c>
      <c r="AE490" s="181" t="str">
        <f t="shared" ca="1" si="90"/>
        <v/>
      </c>
      <c r="AF490" s="42" t="str">
        <f t="shared" si="94"/>
        <v>SI</v>
      </c>
      <c r="AG490" s="732" t="s">
        <v>5773</v>
      </c>
      <c r="AH490" s="152" t="s">
        <v>1255</v>
      </c>
      <c r="AI490" s="255" t="s">
        <v>2059</v>
      </c>
      <c r="AJ490" s="152" t="s">
        <v>1436</v>
      </c>
      <c r="AK490" s="255" t="s">
        <v>561</v>
      </c>
      <c r="AL490" s="279"/>
      <c r="AM490" s="279" t="s">
        <v>600</v>
      </c>
      <c r="AN490" s="161" t="str">
        <f t="shared" ca="1" si="91"/>
        <v>TERMINO</v>
      </c>
      <c r="AO490" s="284" t="s">
        <v>582</v>
      </c>
      <c r="AP490" s="406" t="s">
        <v>391</v>
      </c>
      <c r="AQ490" s="819" t="str">
        <f>IFERROR(VLOOKUP(E490,'liquidaciones '!$B$2:$C$1048576,2,0),"NO")</f>
        <v>LIQUIDADO</v>
      </c>
      <c r="AR490" s="909" t="str">
        <f>IFERROR(VLOOKUP(E490,'liquidaciones '!$B$2:$I$1048576,8,0),"")</f>
        <v>JAVIER QUINTERO</v>
      </c>
      <c r="AS490" s="406"/>
      <c r="AT490" s="156" t="str">
        <f t="shared" ca="1" si="92"/>
        <v>NO</v>
      </c>
      <c r="AU490" s="156" t="s">
        <v>2597</v>
      </c>
      <c r="AV490" s="406"/>
      <c r="AX490" s="928"/>
      <c r="AY490" s="928"/>
    </row>
    <row r="491" spans="3:51" ht="40.799999999999997" x14ac:dyDescent="0.3">
      <c r="C491" s="837">
        <v>141</v>
      </c>
      <c r="D491" s="837"/>
      <c r="E491" s="120" t="s">
        <v>2829</v>
      </c>
      <c r="F491" s="414" t="s">
        <v>2460</v>
      </c>
      <c r="G491" s="873">
        <v>52963023</v>
      </c>
      <c r="H491" s="967" t="s">
        <v>3039</v>
      </c>
      <c r="I491" s="877">
        <v>5700000</v>
      </c>
      <c r="J491" s="843" t="s">
        <v>2829</v>
      </c>
      <c r="K491" s="269">
        <v>2017</v>
      </c>
      <c r="L491" s="519">
        <v>42776</v>
      </c>
      <c r="M491" s="840">
        <v>42781</v>
      </c>
      <c r="N491" s="840">
        <v>42809</v>
      </c>
      <c r="O491" s="1099" t="str">
        <f>IF(+Modificaciones!I491=0,"",VLOOKUP(E491,Modificaciones!$B$7:$I$2400,8,0))</f>
        <v/>
      </c>
      <c r="P491" s="115">
        <f>COUNTA(Modificaciones!J491,Modificaciones!L491,Modificaciones!N491,Modificaciones!P491)</f>
        <v>0</v>
      </c>
      <c r="Q491" s="116">
        <f>VLOOKUP(E491,Modificaciones!$B$7:$R$2300,17,0)</f>
        <v>0</v>
      </c>
      <c r="R491" s="117">
        <f>COUNTA(Modificaciones!T491,Modificaciones!V491,Modificaciones!X491,Modificaciones!Z491)</f>
        <v>0</v>
      </c>
      <c r="S491" s="118" t="str">
        <f>IF(Modificaciones!AA491=0,"",VLOOKUP(E491,Modificaciones!$B$7:$AA$2400,26,0))</f>
        <v/>
      </c>
      <c r="T491" s="119" t="str">
        <f>IF(Modificaciones!AB491=0,"",VLOOKUP(E491,Modificaciones!$B$7:$AB$2400,27,0))</f>
        <v/>
      </c>
      <c r="U491" s="1080" t="str">
        <f>+Modificaciones!AC491</f>
        <v/>
      </c>
      <c r="V491" s="825" t="str">
        <f>+Modificaciones!AK491</f>
        <v/>
      </c>
      <c r="W491" s="825">
        <f t="shared" si="87"/>
        <v>42809</v>
      </c>
      <c r="X491" s="59">
        <f t="shared" si="85"/>
        <v>5700000</v>
      </c>
      <c r="Y491" s="151">
        <f>VLOOKUP(E491,Modificaciones!$B$7:$BE$2300,56,0)</f>
        <v>5700000</v>
      </c>
      <c r="Z491" s="84">
        <f t="shared" si="84"/>
        <v>0</v>
      </c>
      <c r="AA491" s="283" t="s">
        <v>1894</v>
      </c>
      <c r="AB491" s="823">
        <f t="shared" si="86"/>
        <v>1</v>
      </c>
      <c r="AC491" s="40">
        <f t="shared" ca="1" si="88"/>
        <v>1</v>
      </c>
      <c r="AD491" s="41">
        <f t="shared" ca="1" si="89"/>
        <v>0</v>
      </c>
      <c r="AE491" s="181" t="str">
        <f t="shared" ca="1" si="90"/>
        <v/>
      </c>
      <c r="AF491" s="42" t="str">
        <f t="shared" si="94"/>
        <v>SI</v>
      </c>
      <c r="AG491" s="732" t="s">
        <v>5773</v>
      </c>
      <c r="AH491" s="152" t="s">
        <v>1255</v>
      </c>
      <c r="AI491" s="255" t="s">
        <v>2461</v>
      </c>
      <c r="AJ491" s="152" t="s">
        <v>1436</v>
      </c>
      <c r="AK491" s="255" t="s">
        <v>561</v>
      </c>
      <c r="AL491" s="838"/>
      <c r="AM491" s="279" t="s">
        <v>600</v>
      </c>
      <c r="AN491" s="161" t="str">
        <f t="shared" ca="1" si="91"/>
        <v>TERMINO</v>
      </c>
      <c r="AO491" s="160" t="s">
        <v>582</v>
      </c>
      <c r="AP491" s="406" t="s">
        <v>391</v>
      </c>
      <c r="AQ491" s="819" t="str">
        <f>IFERROR(VLOOKUP(E491,'liquidaciones '!$B$2:$C$1048576,2,0),"NO")</f>
        <v>LIQUIDADO</v>
      </c>
      <c r="AR491" s="909" t="str">
        <f>IFERROR(VLOOKUP(E491,'liquidaciones '!$B$2:$I$1048576,8,0),"")</f>
        <v>JAVIER QUINTERO</v>
      </c>
      <c r="AS491" s="406"/>
      <c r="AT491" s="156" t="str">
        <f t="shared" ca="1" si="92"/>
        <v>NO</v>
      </c>
      <c r="AU491" s="156" t="s">
        <v>2597</v>
      </c>
      <c r="AV491" s="406"/>
      <c r="AX491" s="928"/>
      <c r="AY491" s="928"/>
    </row>
    <row r="492" spans="3:51" ht="40.799999999999997" x14ac:dyDescent="0.3">
      <c r="C492" s="837">
        <v>81</v>
      </c>
      <c r="D492" s="837"/>
      <c r="E492" s="120" t="s">
        <v>2831</v>
      </c>
      <c r="F492" s="414" t="s">
        <v>2832</v>
      </c>
      <c r="G492" s="873" t="s">
        <v>2382</v>
      </c>
      <c r="H492" s="967" t="s">
        <v>2833</v>
      </c>
      <c r="I492" s="877">
        <v>65851149</v>
      </c>
      <c r="J492" s="843" t="s">
        <v>2835</v>
      </c>
      <c r="K492" s="269">
        <v>2017</v>
      </c>
      <c r="L492" s="519">
        <v>42795</v>
      </c>
      <c r="M492" s="840">
        <v>42815</v>
      </c>
      <c r="N492" s="840">
        <v>43180</v>
      </c>
      <c r="O492" s="1099" t="str">
        <f>IF(+Modificaciones!I492=0,"",VLOOKUP(E492,Modificaciones!$B$7:$I$2400,8,0))</f>
        <v/>
      </c>
      <c r="P492" s="115">
        <f>COUNTA(Modificaciones!J492,Modificaciones!L492,Modificaciones!N492,Modificaciones!P492)</f>
        <v>0</v>
      </c>
      <c r="Q492" s="116">
        <f>VLOOKUP(E492,Modificaciones!$B$7:$R$2300,17,0)</f>
        <v>0</v>
      </c>
      <c r="R492" s="117">
        <f>COUNTA(Modificaciones!T492,Modificaciones!V492,Modificaciones!X492,Modificaciones!Z492)</f>
        <v>0</v>
      </c>
      <c r="S492" s="118" t="str">
        <f>IF(Modificaciones!AA492=0,"",VLOOKUP(E492,Modificaciones!$B$7:$AA$2400,26,0))</f>
        <v/>
      </c>
      <c r="T492" s="119" t="str">
        <f>IF(Modificaciones!AB492=0,"",VLOOKUP(E492,Modificaciones!$B$7:$AB$2400,27,0))</f>
        <v/>
      </c>
      <c r="U492" s="1080" t="str">
        <f>+Modificaciones!AC492</f>
        <v/>
      </c>
      <c r="V492" s="825" t="str">
        <f>+Modificaciones!AK492</f>
        <v/>
      </c>
      <c r="W492" s="825">
        <f t="shared" si="87"/>
        <v>43180</v>
      </c>
      <c r="X492" s="59">
        <f t="shared" si="85"/>
        <v>65851149</v>
      </c>
      <c r="Y492" s="151">
        <f>VLOOKUP(E492,Modificaciones!$B$7:$BE$2300,56,0)</f>
        <v>65851149</v>
      </c>
      <c r="Z492" s="84">
        <f t="shared" si="84"/>
        <v>0</v>
      </c>
      <c r="AA492" s="287" t="s">
        <v>2834</v>
      </c>
      <c r="AB492" s="823">
        <f t="shared" si="86"/>
        <v>1</v>
      </c>
      <c r="AC492" s="40">
        <f t="shared" ca="1" si="88"/>
        <v>1</v>
      </c>
      <c r="AD492" s="41">
        <f t="shared" ca="1" si="89"/>
        <v>0</v>
      </c>
      <c r="AE492" s="181" t="str">
        <f t="shared" ca="1" si="90"/>
        <v/>
      </c>
      <c r="AF492" s="42" t="str">
        <f t="shared" si="94"/>
        <v>SI</v>
      </c>
      <c r="AG492" s="838"/>
      <c r="AH492" s="152" t="s">
        <v>1256</v>
      </c>
      <c r="AI492" s="255" t="s">
        <v>1466</v>
      </c>
      <c r="AJ492" s="152" t="s">
        <v>1438</v>
      </c>
      <c r="AK492" s="255" t="s">
        <v>560</v>
      </c>
      <c r="AL492" s="279" t="s">
        <v>1508</v>
      </c>
      <c r="AM492" s="279" t="s">
        <v>3795</v>
      </c>
      <c r="AN492" s="161" t="str">
        <f t="shared" ca="1" si="91"/>
        <v>TERMINO</v>
      </c>
      <c r="AO492" s="284" t="s">
        <v>576</v>
      </c>
      <c r="AP492" s="155" t="s">
        <v>390</v>
      </c>
      <c r="AQ492" s="819" t="str">
        <f>IFERROR(VLOOKUP(E492,'liquidaciones '!$B$2:$C$1048576,2,0),"NO")</f>
        <v>LIQUIDADO</v>
      </c>
      <c r="AR492" s="909">
        <f>IFERROR(VLOOKUP(E492,'liquidaciones '!$B$2:$I$1048576,8,0),"")</f>
        <v>0</v>
      </c>
      <c r="AS492" s="406"/>
      <c r="AT492" s="156" t="str">
        <f t="shared" ca="1" si="92"/>
        <v>NO</v>
      </c>
      <c r="AU492" s="406" t="s">
        <v>3512</v>
      </c>
      <c r="AV492" s="406" t="s">
        <v>3778</v>
      </c>
      <c r="AW492" s="930" t="s">
        <v>560</v>
      </c>
      <c r="AX492" s="928"/>
      <c r="AY492" s="928"/>
    </row>
    <row r="493" spans="3:51" ht="30.6" x14ac:dyDescent="0.3">
      <c r="C493" s="837">
        <v>84</v>
      </c>
      <c r="D493" s="837"/>
      <c r="E493" s="120" t="s">
        <v>2836</v>
      </c>
      <c r="F493" s="414" t="s">
        <v>1337</v>
      </c>
      <c r="G493" s="873" t="s">
        <v>2719</v>
      </c>
      <c r="H493" s="967" t="s">
        <v>3040</v>
      </c>
      <c r="I493" s="877">
        <v>195049000</v>
      </c>
      <c r="J493" s="843" t="s">
        <v>2836</v>
      </c>
      <c r="K493" s="269">
        <v>2017</v>
      </c>
      <c r="L493" s="519">
        <v>42800</v>
      </c>
      <c r="M493" s="840">
        <v>42801</v>
      </c>
      <c r="N493" s="840">
        <v>43046</v>
      </c>
      <c r="O493" s="1099" t="str">
        <f>IF(+Modificaciones!I493=0,"",VLOOKUP(E493,Modificaciones!$B$7:$I$2400,8,0))</f>
        <v/>
      </c>
      <c r="P493" s="115">
        <f>COUNTA(Modificaciones!J493,Modificaciones!L493,Modificaciones!N493,Modificaciones!P493)</f>
        <v>0</v>
      </c>
      <c r="Q493" s="116">
        <f>VLOOKUP(E493,Modificaciones!$B$7:$R$2300,17,0)</f>
        <v>0</v>
      </c>
      <c r="R493" s="117">
        <f>COUNTA(Modificaciones!T493,Modificaciones!V493,Modificaciones!X493,Modificaciones!Z493)</f>
        <v>0</v>
      </c>
      <c r="S493" s="118" t="str">
        <f>IF(Modificaciones!AA493=0,"",VLOOKUP(E493,Modificaciones!$B$7:$AA$2400,26,0))</f>
        <v/>
      </c>
      <c r="T493" s="119" t="str">
        <f>IF(Modificaciones!AB493=0,"",VLOOKUP(E493,Modificaciones!$B$7:$AB$2400,27,0))</f>
        <v/>
      </c>
      <c r="U493" s="1080" t="str">
        <f>+Modificaciones!AC493</f>
        <v/>
      </c>
      <c r="V493" s="825" t="str">
        <f>+Modificaciones!AK493</f>
        <v/>
      </c>
      <c r="W493" s="825">
        <f t="shared" si="87"/>
        <v>43046</v>
      </c>
      <c r="X493" s="59">
        <f t="shared" si="85"/>
        <v>195049000</v>
      </c>
      <c r="Y493" s="151">
        <f>VLOOKUP(E493,Modificaciones!$B$7:$BE$2300,56,0)</f>
        <v>195049000</v>
      </c>
      <c r="Z493" s="84">
        <f t="shared" si="84"/>
        <v>0</v>
      </c>
      <c r="AA493" s="283" t="s">
        <v>2837</v>
      </c>
      <c r="AB493" s="823">
        <f t="shared" si="86"/>
        <v>1</v>
      </c>
      <c r="AC493" s="40">
        <f t="shared" ca="1" si="88"/>
        <v>1</v>
      </c>
      <c r="AD493" s="41">
        <f t="shared" ca="1" si="89"/>
        <v>0</v>
      </c>
      <c r="AE493" s="181" t="str">
        <f t="shared" ca="1" si="90"/>
        <v/>
      </c>
      <c r="AF493" s="42" t="str">
        <f t="shared" si="94"/>
        <v>SI</v>
      </c>
      <c r="AG493" s="1017" t="s">
        <v>4920</v>
      </c>
      <c r="AH493" s="152" t="s">
        <v>1256</v>
      </c>
      <c r="AI493" s="255" t="s">
        <v>1605</v>
      </c>
      <c r="AJ493" s="152" t="s">
        <v>1438</v>
      </c>
      <c r="AK493" s="255" t="s">
        <v>560</v>
      </c>
      <c r="AL493" s="279" t="s">
        <v>1508</v>
      </c>
      <c r="AM493" s="279" t="s">
        <v>3795</v>
      </c>
      <c r="AN493" s="161" t="str">
        <f t="shared" ca="1" si="91"/>
        <v>TERMINO</v>
      </c>
      <c r="AO493" s="284" t="s">
        <v>582</v>
      </c>
      <c r="AP493" s="155" t="s">
        <v>390</v>
      </c>
      <c r="AQ493" s="819" t="str">
        <f>IFERROR(VLOOKUP(E493,'liquidaciones '!$B$2:$C$1048576,2,0),"NO")</f>
        <v>LIQUIDADO</v>
      </c>
      <c r="AR493" s="909">
        <f>IFERROR(VLOOKUP(E493,'liquidaciones '!$B$2:$I$1048576,8,0),"")</f>
        <v>0</v>
      </c>
      <c r="AS493" s="312"/>
      <c r="AT493" s="156" t="str">
        <f t="shared" ca="1" si="92"/>
        <v>NO</v>
      </c>
      <c r="AU493" s="406" t="s">
        <v>3512</v>
      </c>
      <c r="AV493" s="406" t="s">
        <v>3778</v>
      </c>
      <c r="AW493" s="930" t="s">
        <v>560</v>
      </c>
      <c r="AX493" s="928"/>
      <c r="AY493" s="928"/>
    </row>
    <row r="494" spans="3:51" ht="30.6" x14ac:dyDescent="0.3">
      <c r="C494" s="837">
        <v>186</v>
      </c>
      <c r="D494" s="837"/>
      <c r="E494" s="120" t="s">
        <v>2840</v>
      </c>
      <c r="F494" s="414" t="s">
        <v>1905</v>
      </c>
      <c r="G494" s="873">
        <v>860019063</v>
      </c>
      <c r="H494" s="967" t="s">
        <v>2841</v>
      </c>
      <c r="I494" s="877">
        <v>28800000</v>
      </c>
      <c r="J494" s="839"/>
      <c r="K494" s="269">
        <v>2017</v>
      </c>
      <c r="L494" s="519">
        <v>42803</v>
      </c>
      <c r="M494" s="840">
        <v>42810</v>
      </c>
      <c r="N494" s="840">
        <v>43175</v>
      </c>
      <c r="O494" s="1099" t="str">
        <f>IF(+Modificaciones!I494=0,"",VLOOKUP(E494,Modificaciones!$B$7:$I$2400,8,0))</f>
        <v/>
      </c>
      <c r="P494" s="115">
        <f>COUNTA(Modificaciones!J494,Modificaciones!L494,Modificaciones!N494,Modificaciones!P494)</f>
        <v>0</v>
      </c>
      <c r="Q494" s="116">
        <f>VLOOKUP(E494,Modificaciones!$B$7:$R$2300,17,0)</f>
        <v>0</v>
      </c>
      <c r="R494" s="117">
        <f>COUNTA(Modificaciones!T494,Modificaciones!V494,Modificaciones!X494,Modificaciones!Z494)</f>
        <v>1</v>
      </c>
      <c r="S494" s="118" t="str">
        <f>IF(Modificaciones!AA494=0,"",VLOOKUP(E494,Modificaciones!$B$7:$AA$2400,26,0))</f>
        <v xml:space="preserve">3 meses y 13 días </v>
      </c>
      <c r="T494" s="119">
        <f>IF(Modificaciones!AB494=0,"",VLOOKUP(E494,Modificaciones!$B$7:$AB$2400,27,0))</f>
        <v>43280</v>
      </c>
      <c r="U494" s="1080" t="str">
        <f>+Modificaciones!AC494</f>
        <v/>
      </c>
      <c r="V494" s="825" t="str">
        <f>+Modificaciones!AK494</f>
        <v/>
      </c>
      <c r="W494" s="825">
        <f t="shared" si="87"/>
        <v>43280</v>
      </c>
      <c r="X494" s="59">
        <f t="shared" si="85"/>
        <v>28800000</v>
      </c>
      <c r="Y494" s="151">
        <f>VLOOKUP(E494,Modificaciones!$B$7:$BE$2300,56,0)</f>
        <v>19084100</v>
      </c>
      <c r="Z494" s="84">
        <f t="shared" si="84"/>
        <v>9715900</v>
      </c>
      <c r="AA494" s="283" t="s">
        <v>1908</v>
      </c>
      <c r="AB494" s="823">
        <f t="shared" si="86"/>
        <v>0.66264236111111108</v>
      </c>
      <c r="AC494" s="40">
        <f t="shared" ca="1" si="88"/>
        <v>1</v>
      </c>
      <c r="AD494" s="41">
        <f t="shared" ca="1" si="89"/>
        <v>0.33735763888888892</v>
      </c>
      <c r="AE494" s="181" t="str">
        <f t="shared" ca="1" si="90"/>
        <v/>
      </c>
      <c r="AF494" s="42" t="str">
        <f t="shared" si="94"/>
        <v>NO</v>
      </c>
      <c r="AG494" s="1017" t="s">
        <v>4920</v>
      </c>
      <c r="AH494" s="841" t="s">
        <v>1255</v>
      </c>
      <c r="AI494" s="152" t="s">
        <v>2515</v>
      </c>
      <c r="AJ494" s="152" t="s">
        <v>1441</v>
      </c>
      <c r="AK494" s="255" t="s">
        <v>560</v>
      </c>
      <c r="AL494" s="153" t="s">
        <v>1318</v>
      </c>
      <c r="AM494" s="279" t="s">
        <v>2830</v>
      </c>
      <c r="AN494" s="161" t="str">
        <f t="shared" ca="1" si="91"/>
        <v>TERMINO</v>
      </c>
      <c r="AO494" s="284" t="s">
        <v>582</v>
      </c>
      <c r="AP494" s="406" t="s">
        <v>390</v>
      </c>
      <c r="AQ494" s="819" t="str">
        <f>IFERROR(VLOOKUP(E494,'liquidaciones '!$B$2:$C$1048576,2,0),"NO")</f>
        <v>LIQUIDADO</v>
      </c>
      <c r="AR494" s="909" t="str">
        <f>IFERROR(VLOOKUP(E494,'liquidaciones '!$B$2:$I$1048576,8,0),"")</f>
        <v>JUAN DIEGO ESPITIA</v>
      </c>
      <c r="AS494" s="406"/>
      <c r="AT494" s="156" t="str">
        <f t="shared" ca="1" si="92"/>
        <v>NO</v>
      </c>
      <c r="AU494" s="406" t="s">
        <v>1509</v>
      </c>
      <c r="AV494" s="406" t="s">
        <v>3780</v>
      </c>
      <c r="AW494" s="930" t="s">
        <v>3938</v>
      </c>
      <c r="AX494" s="928"/>
      <c r="AY494" s="928"/>
    </row>
    <row r="495" spans="3:51" ht="20.399999999999999" x14ac:dyDescent="0.3">
      <c r="C495" s="837">
        <v>167</v>
      </c>
      <c r="D495" s="837"/>
      <c r="E495" s="120" t="s">
        <v>2844</v>
      </c>
      <c r="F495" s="414" t="s">
        <v>86</v>
      </c>
      <c r="G495" s="873">
        <v>860001022</v>
      </c>
      <c r="H495" s="967" t="s">
        <v>2845</v>
      </c>
      <c r="I495" s="877">
        <v>1317000</v>
      </c>
      <c r="J495" s="843" t="s">
        <v>2844</v>
      </c>
      <c r="K495" s="269">
        <v>2017</v>
      </c>
      <c r="L495" s="519">
        <v>42816</v>
      </c>
      <c r="M495" s="840">
        <v>42817</v>
      </c>
      <c r="N495" s="840">
        <v>43182</v>
      </c>
      <c r="O495" s="1099" t="str">
        <f>IF(+Modificaciones!I495=0,"",VLOOKUP(E495,Modificaciones!$B$7:$I$2400,8,0))</f>
        <v/>
      </c>
      <c r="P495" s="115">
        <f>COUNTA(Modificaciones!J495,Modificaciones!L495,Modificaciones!N495,Modificaciones!P495)</f>
        <v>0</v>
      </c>
      <c r="Q495" s="116">
        <f>VLOOKUP(E495,Modificaciones!$B$7:$R$2300,17,0)</f>
        <v>0</v>
      </c>
      <c r="R495" s="117">
        <f>COUNTA(Modificaciones!T495,Modificaciones!V495,Modificaciones!X495,Modificaciones!Z495)</f>
        <v>0</v>
      </c>
      <c r="S495" s="118" t="str">
        <f>IF(Modificaciones!AA495=0,"",VLOOKUP(E495,Modificaciones!$B$7:$AA$2400,26,0))</f>
        <v/>
      </c>
      <c r="T495" s="119" t="str">
        <f>IF(Modificaciones!AB495=0,"",VLOOKUP(E495,Modificaciones!$B$7:$AB$2400,27,0))</f>
        <v/>
      </c>
      <c r="U495" s="1080" t="str">
        <f>+Modificaciones!AC495</f>
        <v/>
      </c>
      <c r="V495" s="825" t="str">
        <f>+Modificaciones!AK495</f>
        <v/>
      </c>
      <c r="W495" s="825">
        <f t="shared" si="87"/>
        <v>43182</v>
      </c>
      <c r="X495" s="59">
        <f t="shared" si="85"/>
        <v>1317000</v>
      </c>
      <c r="Y495" s="151">
        <f>VLOOKUP(E495,Modificaciones!$B$7:$BE$2300,56,0)</f>
        <v>1317000</v>
      </c>
      <c r="Z495" s="84">
        <f t="shared" si="84"/>
        <v>0</v>
      </c>
      <c r="AA495" s="283" t="s">
        <v>1894</v>
      </c>
      <c r="AB495" s="823">
        <f t="shared" si="86"/>
        <v>1</v>
      </c>
      <c r="AC495" s="40">
        <f t="shared" ca="1" si="88"/>
        <v>1</v>
      </c>
      <c r="AD495" s="41">
        <f t="shared" ca="1" si="89"/>
        <v>0</v>
      </c>
      <c r="AE495" s="181" t="str">
        <f t="shared" ca="1" si="90"/>
        <v/>
      </c>
      <c r="AF495" s="42" t="str">
        <f t="shared" si="94"/>
        <v>SI</v>
      </c>
      <c r="AG495" s="1017" t="s">
        <v>4920</v>
      </c>
      <c r="AH495" s="841" t="s">
        <v>1255</v>
      </c>
      <c r="AI495" s="841" t="s">
        <v>1124</v>
      </c>
      <c r="AJ495" s="838"/>
      <c r="AK495" s="551" t="s">
        <v>564</v>
      </c>
      <c r="AL495" s="838"/>
      <c r="AM495" s="279" t="s">
        <v>2830</v>
      </c>
      <c r="AN495" s="161" t="str">
        <f t="shared" ca="1" si="91"/>
        <v>TERMINO</v>
      </c>
      <c r="AO495" s="864" t="s">
        <v>582</v>
      </c>
      <c r="AP495" s="159" t="s">
        <v>390</v>
      </c>
      <c r="AQ495" s="819" t="str">
        <f>IFERROR(VLOOKUP(E495,'liquidaciones '!$B$2:$C$1048576,2,0),"NO")</f>
        <v>LIQUIDADO</v>
      </c>
      <c r="AR495" s="909">
        <f>IFERROR(VLOOKUP(E495,'liquidaciones '!$B$2:$I$1048576,8,0),"")</f>
        <v>0</v>
      </c>
      <c r="AS495" s="406"/>
      <c r="AT495" s="156" t="str">
        <f t="shared" ca="1" si="92"/>
        <v>NO</v>
      </c>
      <c r="AU495" s="156" t="s">
        <v>2960</v>
      </c>
      <c r="AV495" s="406"/>
      <c r="AW495" s="930" t="s">
        <v>3920</v>
      </c>
      <c r="AX495" s="928"/>
      <c r="AY495" s="928"/>
    </row>
    <row r="496" spans="3:51" ht="30.6" x14ac:dyDescent="0.3">
      <c r="C496" s="866">
        <v>182</v>
      </c>
      <c r="D496" s="866"/>
      <c r="E496" s="120" t="s">
        <v>2852</v>
      </c>
      <c r="F496" s="868" t="s">
        <v>2846</v>
      </c>
      <c r="G496" s="873" t="s">
        <v>2847</v>
      </c>
      <c r="H496" s="967" t="s">
        <v>2848</v>
      </c>
      <c r="I496" s="877">
        <v>2585000</v>
      </c>
      <c r="J496" s="843" t="s">
        <v>2849</v>
      </c>
      <c r="K496" s="269">
        <v>2017</v>
      </c>
      <c r="L496" s="519">
        <v>42811</v>
      </c>
      <c r="M496" s="840">
        <v>42846</v>
      </c>
      <c r="N496" s="840">
        <v>43211</v>
      </c>
      <c r="O496" s="1099" t="str">
        <f>IF(+Modificaciones!I496=0,"",VLOOKUP(E496,Modificaciones!$B$7:$I$2400,8,0))</f>
        <v/>
      </c>
      <c r="P496" s="115">
        <f>COUNTA(Modificaciones!J496,Modificaciones!L496,Modificaciones!N496,Modificaciones!P496)</f>
        <v>0</v>
      </c>
      <c r="Q496" s="116">
        <f>VLOOKUP(E496,Modificaciones!$B$7:$R$2300,17,0)</f>
        <v>0</v>
      </c>
      <c r="R496" s="117">
        <f>COUNTA(Modificaciones!T496,Modificaciones!V496,Modificaciones!X496,Modificaciones!Z496)</f>
        <v>0</v>
      </c>
      <c r="S496" s="118" t="str">
        <f>IF(Modificaciones!AA496=0,"",VLOOKUP(E496,Modificaciones!$B$7:$AA$2400,26,0))</f>
        <v/>
      </c>
      <c r="T496" s="119" t="str">
        <f>IF(Modificaciones!AB496=0,"",VLOOKUP(E496,Modificaciones!$B$7:$AB$2400,27,0))</f>
        <v/>
      </c>
      <c r="U496" s="1080" t="str">
        <f>+Modificaciones!AC496</f>
        <v/>
      </c>
      <c r="V496" s="825" t="str">
        <f>+Modificaciones!AK496</f>
        <v/>
      </c>
      <c r="W496" s="825">
        <f t="shared" si="87"/>
        <v>43211</v>
      </c>
      <c r="X496" s="59">
        <f t="shared" si="85"/>
        <v>2585000</v>
      </c>
      <c r="Y496" s="151">
        <f>VLOOKUP(E496,Modificaciones!$B$7:$BE$2300,56,0)</f>
        <v>2583920</v>
      </c>
      <c r="Z496" s="84">
        <f t="shared" si="84"/>
        <v>1080</v>
      </c>
      <c r="AA496" s="283" t="s">
        <v>1612</v>
      </c>
      <c r="AB496" s="823">
        <f t="shared" si="86"/>
        <v>0.99958220502901352</v>
      </c>
      <c r="AC496" s="40">
        <f t="shared" ca="1" si="88"/>
        <v>1</v>
      </c>
      <c r="AD496" s="41">
        <f t="shared" ca="1" si="89"/>
        <v>4.1779497098648477E-4</v>
      </c>
      <c r="AE496" s="181" t="str">
        <f t="shared" ca="1" si="90"/>
        <v/>
      </c>
      <c r="AF496" s="42" t="str">
        <f t="shared" si="94"/>
        <v>SI</v>
      </c>
      <c r="AG496" s="1017" t="s">
        <v>4920</v>
      </c>
      <c r="AH496" s="152" t="s">
        <v>1255</v>
      </c>
      <c r="AI496" s="255" t="s">
        <v>1382</v>
      </c>
      <c r="AJ496" s="152" t="s">
        <v>1441</v>
      </c>
      <c r="AK496" s="255" t="s">
        <v>560</v>
      </c>
      <c r="AL496" s="153" t="s">
        <v>1379</v>
      </c>
      <c r="AM496" s="279" t="s">
        <v>3795</v>
      </c>
      <c r="AN496" s="161" t="str">
        <f t="shared" ca="1" si="91"/>
        <v>TERMINO</v>
      </c>
      <c r="AO496" s="160" t="s">
        <v>576</v>
      </c>
      <c r="AP496" s="155" t="s">
        <v>390</v>
      </c>
      <c r="AQ496" s="819" t="str">
        <f>IFERROR(VLOOKUP(E496,'liquidaciones '!$B$2:$C$1048576,2,0),"NO")</f>
        <v>LIQUIDADO</v>
      </c>
      <c r="AR496" s="909" t="str">
        <f>IFERROR(VLOOKUP(E496,'liquidaciones '!$B$2:$I$1048576,8,0),"")</f>
        <v>JUAN DIEGO ESPITIA</v>
      </c>
      <c r="AS496" s="406"/>
      <c r="AT496" s="156" t="str">
        <f t="shared" ca="1" si="92"/>
        <v>NO</v>
      </c>
      <c r="AU496" s="406" t="s">
        <v>1509</v>
      </c>
      <c r="AV496" s="406" t="s">
        <v>3774</v>
      </c>
      <c r="AW496" s="930" t="s">
        <v>560</v>
      </c>
      <c r="AX496" s="928"/>
      <c r="AY496" s="928"/>
    </row>
    <row r="497" spans="3:51" ht="40.799999999999997" x14ac:dyDescent="0.3">
      <c r="C497" s="837">
        <v>243</v>
      </c>
      <c r="D497" s="837"/>
      <c r="E497" s="120" t="s">
        <v>2850</v>
      </c>
      <c r="F497" s="414" t="s">
        <v>1534</v>
      </c>
      <c r="G497" s="874">
        <v>80100229</v>
      </c>
      <c r="H497" s="965" t="s">
        <v>3005</v>
      </c>
      <c r="I497" s="877">
        <v>70699200</v>
      </c>
      <c r="J497" s="843" t="s">
        <v>2850</v>
      </c>
      <c r="K497" s="269">
        <v>2017</v>
      </c>
      <c r="L497" s="519">
        <v>42818</v>
      </c>
      <c r="M497" s="840">
        <v>42821</v>
      </c>
      <c r="N497" s="840">
        <v>43186</v>
      </c>
      <c r="O497" s="1099" t="str">
        <f>IF(+Modificaciones!I497=0,"",VLOOKUP(E497,Modificaciones!$B$7:$I$2400,8,0))</f>
        <v/>
      </c>
      <c r="P497" s="115">
        <f>COUNTA(Modificaciones!J497,Modificaciones!L497,Modificaciones!N497,Modificaciones!P497)</f>
        <v>1</v>
      </c>
      <c r="Q497" s="116">
        <f>VLOOKUP(E497,Modificaciones!$B$7:$R$2300,17,0)</f>
        <v>18067573</v>
      </c>
      <c r="R497" s="117">
        <f>COUNTA(Modificaciones!T497,Modificaciones!V497,Modificaciones!X497,Modificaciones!Z497)</f>
        <v>1</v>
      </c>
      <c r="S497" s="118" t="str">
        <f>IF(Modificaciones!AA497=0,"",VLOOKUP(E497,Modificaciones!$B$7:$AA$2400,26,0))</f>
        <v>Tres (3) meses y 2 días calendario</v>
      </c>
      <c r="T497" s="119">
        <f>IF(Modificaciones!AB497=0,"",VLOOKUP(E497,Modificaciones!$B$7:$AB$2400,27,0))</f>
        <v>43280</v>
      </c>
      <c r="U497" s="1080" t="str">
        <f>+Modificaciones!AC497</f>
        <v/>
      </c>
      <c r="V497" s="825" t="str">
        <f>+Modificaciones!AK497</f>
        <v/>
      </c>
      <c r="W497" s="825">
        <f t="shared" si="87"/>
        <v>43280</v>
      </c>
      <c r="X497" s="59">
        <f t="shared" si="85"/>
        <v>88766773</v>
      </c>
      <c r="Y497" s="151">
        <f>VLOOKUP(E497,Modificaciones!$B$7:$BE$2300,56,0)</f>
        <v>88766773</v>
      </c>
      <c r="Z497" s="84">
        <f t="shared" si="84"/>
        <v>0</v>
      </c>
      <c r="AA497" s="283" t="s">
        <v>1094</v>
      </c>
      <c r="AB497" s="823">
        <f t="shared" si="86"/>
        <v>1</v>
      </c>
      <c r="AC497" s="40">
        <f t="shared" ca="1" si="88"/>
        <v>1</v>
      </c>
      <c r="AD497" s="41">
        <f t="shared" ca="1" si="89"/>
        <v>0</v>
      </c>
      <c r="AE497" s="181" t="str">
        <f t="shared" ca="1" si="90"/>
        <v/>
      </c>
      <c r="AF497" s="42" t="str">
        <f t="shared" si="94"/>
        <v>SI</v>
      </c>
      <c r="AG497" s="732" t="s">
        <v>5773</v>
      </c>
      <c r="AH497" s="152" t="s">
        <v>1255</v>
      </c>
      <c r="AI497" s="255" t="s">
        <v>2189</v>
      </c>
      <c r="AJ497" s="838"/>
      <c r="AK497" s="255" t="s">
        <v>559</v>
      </c>
      <c r="AL497" s="279" t="s">
        <v>2188</v>
      </c>
      <c r="AM497" s="279" t="s">
        <v>3795</v>
      </c>
      <c r="AN497" s="161" t="str">
        <f t="shared" ca="1" si="91"/>
        <v>TERMINO</v>
      </c>
      <c r="AO497" s="284" t="s">
        <v>582</v>
      </c>
      <c r="AP497" s="406" t="s">
        <v>391</v>
      </c>
      <c r="AQ497" s="819" t="str">
        <f>IFERROR(VLOOKUP(E497,'liquidaciones '!$B$2:$C$1048576,2,0),"NO")</f>
        <v>LIQUIDADO</v>
      </c>
      <c r="AR497" s="909" t="str">
        <f>IFERROR(VLOOKUP(E497,'liquidaciones '!$B$2:$I$1048576,8,0),"")</f>
        <v>JUAN DIEGO ESPITIA</v>
      </c>
      <c r="AS497" s="406"/>
      <c r="AT497" s="156" t="str">
        <f t="shared" ca="1" si="92"/>
        <v>NO</v>
      </c>
      <c r="AU497" s="406" t="s">
        <v>1509</v>
      </c>
      <c r="AV497" s="406"/>
      <c r="AW497" s="930" t="s">
        <v>560</v>
      </c>
      <c r="AX497" s="928"/>
      <c r="AY497" s="928"/>
    </row>
    <row r="498" spans="3:51" ht="30.6" x14ac:dyDescent="0.3">
      <c r="C498" s="837">
        <v>195</v>
      </c>
      <c r="D498" s="837"/>
      <c r="E498" s="120" t="s">
        <v>2851</v>
      </c>
      <c r="F498" s="414" t="s">
        <v>2520</v>
      </c>
      <c r="G498" s="874">
        <v>4831</v>
      </c>
      <c r="H498" s="965" t="s">
        <v>3024</v>
      </c>
      <c r="I498" s="877">
        <v>34535000</v>
      </c>
      <c r="J498" s="843" t="s">
        <v>2853</v>
      </c>
      <c r="K498" s="269">
        <v>2017</v>
      </c>
      <c r="L498" s="519">
        <v>42811</v>
      </c>
      <c r="M498" s="840">
        <v>42831</v>
      </c>
      <c r="N498" s="840">
        <v>43196</v>
      </c>
      <c r="O498" s="1099" t="str">
        <f>IF(+Modificaciones!I498=0,"",VLOOKUP(E498,Modificaciones!$B$7:$I$2400,8,0))</f>
        <v/>
      </c>
      <c r="P498" s="115">
        <f>COUNTA(Modificaciones!J498,Modificaciones!L498,Modificaciones!N498,Modificaciones!P498)</f>
        <v>0</v>
      </c>
      <c r="Q498" s="116">
        <f>VLOOKUP(E498,Modificaciones!$B$7:$R$2300,17,0)</f>
        <v>0</v>
      </c>
      <c r="R498" s="117">
        <f>COUNTA(Modificaciones!T498,Modificaciones!V498,Modificaciones!X498,Modificaciones!Z498)</f>
        <v>2</v>
      </c>
      <c r="S498" s="118" t="str">
        <f>IF(Modificaciones!AA498=0,"",VLOOKUP(E498,Modificaciones!$B$7:$AA$2400,26,0))</f>
        <v>3 meses y 23 días</v>
      </c>
      <c r="T498" s="119">
        <f>IF(Modificaciones!AB498=0,"",VLOOKUP(E498,Modificaciones!$B$7:$AB$2400,27,0))</f>
        <v>43310</v>
      </c>
      <c r="U498" s="1080" t="str">
        <f>+Modificaciones!AC498</f>
        <v/>
      </c>
      <c r="V498" s="825" t="str">
        <f>+Modificaciones!AK498</f>
        <v/>
      </c>
      <c r="W498" s="825">
        <f t="shared" si="87"/>
        <v>43310</v>
      </c>
      <c r="X498" s="59">
        <f t="shared" si="85"/>
        <v>34535000</v>
      </c>
      <c r="Y498" s="151">
        <f>VLOOKUP(E498,Modificaciones!$B$7:$BE$2300,56,0)</f>
        <v>20746799</v>
      </c>
      <c r="Z498" s="84">
        <f t="shared" si="84"/>
        <v>13788201</v>
      </c>
      <c r="AA498" s="283" t="s">
        <v>1640</v>
      </c>
      <c r="AB498" s="823">
        <f t="shared" si="86"/>
        <v>0.60074703923555817</v>
      </c>
      <c r="AC498" s="40">
        <f t="shared" ca="1" si="88"/>
        <v>1</v>
      </c>
      <c r="AD498" s="41">
        <f t="shared" ca="1" si="89"/>
        <v>0.39925296076444183</v>
      </c>
      <c r="AE498" s="181" t="str">
        <f t="shared" ca="1" si="90"/>
        <v/>
      </c>
      <c r="AF498" s="42" t="str">
        <f t="shared" ref="AF498:AF529" si="95">IF(AB498&lt;=99.9%,"NO","SI")</f>
        <v>NO</v>
      </c>
      <c r="AG498" s="1017" t="s">
        <v>4920</v>
      </c>
      <c r="AH498" s="152" t="s">
        <v>1255</v>
      </c>
      <c r="AI498" s="152" t="s">
        <v>1125</v>
      </c>
      <c r="AJ498" s="152" t="s">
        <v>1441</v>
      </c>
      <c r="AK498" s="255" t="s">
        <v>560</v>
      </c>
      <c r="AL498" s="153" t="s">
        <v>1318</v>
      </c>
      <c r="AM498" s="279" t="s">
        <v>2830</v>
      </c>
      <c r="AN498" s="161" t="str">
        <f t="shared" ca="1" si="91"/>
        <v>TERMINO</v>
      </c>
      <c r="AO498" s="160" t="s">
        <v>576</v>
      </c>
      <c r="AP498" s="155" t="s">
        <v>390</v>
      </c>
      <c r="AQ498" s="819" t="str">
        <f>IFERROR(VLOOKUP(E498,'liquidaciones '!$B$2:$C$1048576,2,0),"NO")</f>
        <v>LIQUIDADO</v>
      </c>
      <c r="AR498" s="909" t="str">
        <f>IFERROR(VLOOKUP(E498,'liquidaciones '!$B$2:$I$1048576,8,0),"")</f>
        <v>JUAN DIEGO ESPITIA</v>
      </c>
      <c r="AS498" s="406"/>
      <c r="AT498" s="156" t="str">
        <f t="shared" ca="1" si="92"/>
        <v>NO</v>
      </c>
      <c r="AU498" s="156" t="s">
        <v>2960</v>
      </c>
      <c r="AV498" s="406" t="s">
        <v>3780</v>
      </c>
      <c r="AW498" s="930" t="s">
        <v>3938</v>
      </c>
      <c r="AX498" s="928"/>
      <c r="AY498" s="928"/>
    </row>
    <row r="499" spans="3:51" ht="20.399999999999999" x14ac:dyDescent="0.3">
      <c r="C499" s="837">
        <v>189</v>
      </c>
      <c r="D499" s="837"/>
      <c r="E499" s="120" t="s">
        <v>2854</v>
      </c>
      <c r="F499" s="414" t="s">
        <v>2855</v>
      </c>
      <c r="G499" s="873">
        <v>860067479</v>
      </c>
      <c r="H499" s="967" t="s">
        <v>3041</v>
      </c>
      <c r="I499" s="877">
        <v>270913000</v>
      </c>
      <c r="J499" s="843" t="s">
        <v>2859</v>
      </c>
      <c r="K499" s="269">
        <v>2017</v>
      </c>
      <c r="L499" s="519">
        <v>42825</v>
      </c>
      <c r="M499" s="840">
        <v>42829</v>
      </c>
      <c r="N499" s="840">
        <v>43073</v>
      </c>
      <c r="O499" s="1099" t="str">
        <f>IF(+Modificaciones!I499=0,"",VLOOKUP(E499,Modificaciones!$B$7:$I$2400,8,0))</f>
        <v/>
      </c>
      <c r="P499" s="115">
        <f>COUNTA(Modificaciones!J499,Modificaciones!L499,Modificaciones!N499,Modificaciones!P499)</f>
        <v>2</v>
      </c>
      <c r="Q499" s="116">
        <f>VLOOKUP(E499,Modificaciones!$B$7:$R$2300,17,0)</f>
        <v>137007500</v>
      </c>
      <c r="R499" s="117">
        <f>COUNTA(Modificaciones!T499,Modificaciones!V499,Modificaciones!X499,Modificaciones!Z499)</f>
        <v>2</v>
      </c>
      <c r="S499" s="118" t="str">
        <f>IF(Modificaciones!AA499=0,"",VLOOKUP(E499,Modificaciones!$B$7:$AA$2400,26,0))</f>
        <v>4 meses y 57 días calendario</v>
      </c>
      <c r="T499" s="119">
        <f>IF(Modificaciones!AB499=0,"",VLOOKUP(E499,Modificaciones!$B$7:$AB$2400,27,0))</f>
        <v>43251</v>
      </c>
      <c r="U499" s="1080" t="str">
        <f>+Modificaciones!AC499</f>
        <v/>
      </c>
      <c r="V499" s="825" t="str">
        <f>+Modificaciones!AK499</f>
        <v/>
      </c>
      <c r="W499" s="825">
        <f t="shared" si="87"/>
        <v>43251</v>
      </c>
      <c r="X499" s="59">
        <f t="shared" si="85"/>
        <v>407920500</v>
      </c>
      <c r="Y499" s="151">
        <f>VLOOKUP(E499,Modificaciones!$B$7:$BE$2300,56,0)</f>
        <v>390136571</v>
      </c>
      <c r="Z499" s="84">
        <f t="shared" si="84"/>
        <v>17783929</v>
      </c>
      <c r="AA499" s="283" t="s">
        <v>2756</v>
      </c>
      <c r="AB499" s="823">
        <f t="shared" si="86"/>
        <v>0.95640344380829112</v>
      </c>
      <c r="AC499" s="40">
        <f t="shared" ca="1" si="88"/>
        <v>1</v>
      </c>
      <c r="AD499" s="41">
        <f t="shared" ca="1" si="89"/>
        <v>4.359655619170888E-2</v>
      </c>
      <c r="AE499" s="181" t="str">
        <f t="shared" ca="1" si="90"/>
        <v/>
      </c>
      <c r="AF499" s="42" t="str">
        <f t="shared" si="95"/>
        <v>NO</v>
      </c>
      <c r="AG499" s="1017" t="s">
        <v>4920</v>
      </c>
      <c r="AH499" s="152" t="s">
        <v>1255</v>
      </c>
      <c r="AI499" s="255" t="s">
        <v>1137</v>
      </c>
      <c r="AJ499" s="152" t="s">
        <v>1441</v>
      </c>
      <c r="AK499" s="255" t="s">
        <v>560</v>
      </c>
      <c r="AL499" s="153" t="s">
        <v>1378</v>
      </c>
      <c r="AM499" s="279" t="s">
        <v>3795</v>
      </c>
      <c r="AN499" s="161" t="str">
        <f t="shared" ca="1" si="91"/>
        <v>TERMINO</v>
      </c>
      <c r="AO499" s="160" t="s">
        <v>576</v>
      </c>
      <c r="AP499" s="406" t="s">
        <v>390</v>
      </c>
      <c r="AQ499" s="819" t="str">
        <f>IFERROR(VLOOKUP(E499,'liquidaciones '!$B$2:$C$1048576,2,0),"NO")</f>
        <v>LIQUIDADO</v>
      </c>
      <c r="AR499" s="909" t="str">
        <f>IFERROR(VLOOKUP(E499,'liquidaciones '!$B$2:$I$1048576,8,0),"")</f>
        <v>JUAN DIEGO ESPITIA</v>
      </c>
      <c r="AS499" s="406"/>
      <c r="AT499" s="156" t="str">
        <f t="shared" ca="1" si="92"/>
        <v>NO</v>
      </c>
      <c r="AU499" s="406" t="s">
        <v>1509</v>
      </c>
      <c r="AV499" s="406" t="s">
        <v>1378</v>
      </c>
      <c r="AW499" s="930" t="s">
        <v>560</v>
      </c>
      <c r="AX499" s="928"/>
      <c r="AY499" s="928"/>
    </row>
    <row r="500" spans="3:51" ht="51" x14ac:dyDescent="0.3">
      <c r="C500" s="837">
        <v>194</v>
      </c>
      <c r="D500" s="837"/>
      <c r="E500" s="120" t="s">
        <v>2856</v>
      </c>
      <c r="F500" s="414" t="s">
        <v>2860</v>
      </c>
      <c r="G500" s="873" t="s">
        <v>2857</v>
      </c>
      <c r="H500" s="967" t="s">
        <v>2858</v>
      </c>
      <c r="I500" s="877">
        <v>3725711</v>
      </c>
      <c r="J500" s="843" t="s">
        <v>2861</v>
      </c>
      <c r="K500" s="269">
        <v>2017</v>
      </c>
      <c r="L500" s="519">
        <v>42823</v>
      </c>
      <c r="M500" s="840">
        <v>42831</v>
      </c>
      <c r="N500" s="840">
        <v>43196</v>
      </c>
      <c r="O500" s="1099" t="str">
        <f>IF(+Modificaciones!I500=0,"",VLOOKUP(E500,Modificaciones!$B$7:$I$2400,8,0))</f>
        <v/>
      </c>
      <c r="P500" s="115">
        <f>COUNTA(Modificaciones!J500,Modificaciones!L500,Modificaciones!N500,Modificaciones!P500)</f>
        <v>0</v>
      </c>
      <c r="Q500" s="116">
        <f>VLOOKUP(E500,Modificaciones!$B$7:$R$2300,17,0)</f>
        <v>0</v>
      </c>
      <c r="R500" s="117">
        <f>COUNTA(Modificaciones!T500,Modificaciones!V500,Modificaciones!X500,Modificaciones!Z500)</f>
        <v>0</v>
      </c>
      <c r="S500" s="118" t="str">
        <f>IF(Modificaciones!AA500=0,"",VLOOKUP(E500,Modificaciones!$B$7:$AA$2400,26,0))</f>
        <v/>
      </c>
      <c r="T500" s="119" t="str">
        <f>IF(Modificaciones!AB500=0,"",VLOOKUP(E500,Modificaciones!$B$7:$AB$2400,27,0))</f>
        <v/>
      </c>
      <c r="U500" s="1080" t="str">
        <f>+Modificaciones!AC500</f>
        <v/>
      </c>
      <c r="V500" s="825" t="str">
        <f>+Modificaciones!AK500</f>
        <v/>
      </c>
      <c r="W500" s="825">
        <f t="shared" si="87"/>
        <v>43196</v>
      </c>
      <c r="X500" s="59">
        <f t="shared" si="85"/>
        <v>3725711</v>
      </c>
      <c r="Y500" s="151">
        <f>VLOOKUP(E500,Modificaciones!$B$7:$BE$2300,56,0)</f>
        <v>285600</v>
      </c>
      <c r="Z500" s="84">
        <f t="shared" si="84"/>
        <v>3440111</v>
      </c>
      <c r="AA500" s="415" t="s">
        <v>2570</v>
      </c>
      <c r="AB500" s="823">
        <f t="shared" si="86"/>
        <v>7.6656509321308061E-2</v>
      </c>
      <c r="AC500" s="40">
        <f t="shared" ca="1" si="88"/>
        <v>1</v>
      </c>
      <c r="AD500" s="41">
        <f t="shared" ca="1" si="89"/>
        <v>0.92334349067869192</v>
      </c>
      <c r="AE500" s="181" t="str">
        <f t="shared" ca="1" si="90"/>
        <v/>
      </c>
      <c r="AF500" s="42" t="str">
        <f t="shared" si="95"/>
        <v>NO</v>
      </c>
      <c r="AG500" s="1017" t="s">
        <v>4920</v>
      </c>
      <c r="AH500" s="152" t="s">
        <v>1255</v>
      </c>
      <c r="AI500" s="255" t="s">
        <v>1167</v>
      </c>
      <c r="AJ500" s="152" t="s">
        <v>1441</v>
      </c>
      <c r="AK500" s="255" t="s">
        <v>560</v>
      </c>
      <c r="AL500" s="153" t="s">
        <v>1386</v>
      </c>
      <c r="AM500" s="279" t="s">
        <v>2830</v>
      </c>
      <c r="AN500" s="161" t="str">
        <f t="shared" ca="1" si="91"/>
        <v>TERMINO</v>
      </c>
      <c r="AO500" s="160" t="s">
        <v>576</v>
      </c>
      <c r="AP500" s="406" t="s">
        <v>390</v>
      </c>
      <c r="AQ500" s="819" t="str">
        <f>IFERROR(VLOOKUP(E500,'liquidaciones '!$B$2:$C$1048576,2,0),"NO")</f>
        <v>EN TRÁMITE</v>
      </c>
      <c r="AR500" s="909">
        <f>IFERROR(VLOOKUP(E500,'liquidaciones '!$B$2:$I$1048576,8,0),"")</f>
        <v>0</v>
      </c>
      <c r="AS500" s="406"/>
      <c r="AT500" s="156" t="str">
        <f t="shared" ca="1" si="92"/>
        <v>NO</v>
      </c>
      <c r="AU500" s="156" t="s">
        <v>1509</v>
      </c>
      <c r="AV500" s="406" t="s">
        <v>3815</v>
      </c>
      <c r="AW500" s="930" t="s">
        <v>3938</v>
      </c>
      <c r="AX500" s="928"/>
      <c r="AY500" s="928"/>
    </row>
    <row r="501" spans="3:51" ht="120.75" customHeight="1" x14ac:dyDescent="0.3">
      <c r="C501" s="837">
        <v>198</v>
      </c>
      <c r="D501" s="837"/>
      <c r="E501" s="120" t="s">
        <v>2862</v>
      </c>
      <c r="F501" s="414" t="s">
        <v>1016</v>
      </c>
      <c r="G501" s="874" t="s">
        <v>2863</v>
      </c>
      <c r="H501" s="967" t="s">
        <v>2864</v>
      </c>
      <c r="I501" s="877">
        <v>10473600</v>
      </c>
      <c r="J501" s="843" t="s">
        <v>2865</v>
      </c>
      <c r="K501" s="269">
        <v>2017</v>
      </c>
      <c r="L501" s="519">
        <v>42823</v>
      </c>
      <c r="M501" s="840">
        <v>42857</v>
      </c>
      <c r="N501" s="840">
        <v>43161</v>
      </c>
      <c r="O501" s="1099" t="str">
        <f>IF(+Modificaciones!I501=0,"",VLOOKUP(E501,Modificaciones!$B$7:$I$2400,8,0))</f>
        <v/>
      </c>
      <c r="P501" s="115">
        <f>COUNTA(Modificaciones!J501,Modificaciones!L501,Modificaciones!N501,Modificaciones!P501)</f>
        <v>0</v>
      </c>
      <c r="Q501" s="116">
        <f>VLOOKUP(E501,Modificaciones!$B$7:$R$2300,17,0)</f>
        <v>0</v>
      </c>
      <c r="R501" s="117">
        <f>COUNTA(Modificaciones!T501,Modificaciones!V501,Modificaciones!X501,Modificaciones!Z501)</f>
        <v>0</v>
      </c>
      <c r="S501" s="118" t="str">
        <f>IF(Modificaciones!AA501=0,"",VLOOKUP(E501,Modificaciones!$B$7:$AA$2400,26,0))</f>
        <v/>
      </c>
      <c r="T501" s="119" t="str">
        <f>IF(Modificaciones!AB501=0,"",VLOOKUP(E501,Modificaciones!$B$7:$AB$2400,27,0))</f>
        <v/>
      </c>
      <c r="U501" s="1080" t="str">
        <f>+Modificaciones!AC501</f>
        <v/>
      </c>
      <c r="V501" s="825" t="str">
        <f>+Modificaciones!AK501</f>
        <v/>
      </c>
      <c r="W501" s="825">
        <f t="shared" si="87"/>
        <v>43161</v>
      </c>
      <c r="X501" s="59">
        <f t="shared" si="85"/>
        <v>10473600</v>
      </c>
      <c r="Y501" s="151">
        <f>VLOOKUP(E501,Modificaciones!$B$7:$BE$2300,56,0)</f>
        <v>10467368</v>
      </c>
      <c r="Z501" s="84">
        <f t="shared" si="84"/>
        <v>6232</v>
      </c>
      <c r="AA501" s="288" t="s">
        <v>1231</v>
      </c>
      <c r="AB501" s="823">
        <f t="shared" si="86"/>
        <v>0.9994049801405438</v>
      </c>
      <c r="AC501" s="40">
        <f t="shared" ca="1" si="88"/>
        <v>1</v>
      </c>
      <c r="AD501" s="41">
        <f t="shared" ca="1" si="89"/>
        <v>5.9501985945620284E-4</v>
      </c>
      <c r="AE501" s="181" t="str">
        <f t="shared" ca="1" si="90"/>
        <v/>
      </c>
      <c r="AF501" s="42" t="str">
        <f t="shared" si="95"/>
        <v>SI</v>
      </c>
      <c r="AG501" s="1017" t="s">
        <v>4920</v>
      </c>
      <c r="AH501" s="152" t="s">
        <v>1255</v>
      </c>
      <c r="AI501" s="275" t="s">
        <v>1143</v>
      </c>
      <c r="AJ501" s="152" t="s">
        <v>1441</v>
      </c>
      <c r="AK501" s="255" t="s">
        <v>560</v>
      </c>
      <c r="AL501" s="153" t="s">
        <v>1379</v>
      </c>
      <c r="AM501" s="279" t="s">
        <v>3795</v>
      </c>
      <c r="AN501" s="161" t="str">
        <f t="shared" ca="1" si="91"/>
        <v>TERMINO</v>
      </c>
      <c r="AO501" s="284" t="s">
        <v>576</v>
      </c>
      <c r="AP501" s="406" t="s">
        <v>390</v>
      </c>
      <c r="AQ501" s="819" t="str">
        <f>IFERROR(VLOOKUP(E501,'liquidaciones '!$B$2:$C$1048576,2,0),"NO")</f>
        <v>LIQUIDADO</v>
      </c>
      <c r="AR501" s="909" t="str">
        <f>IFERROR(VLOOKUP(E501,'liquidaciones '!$B$2:$I$1048576,8,0),"")</f>
        <v>JUAN DIEGO ESPITIA</v>
      </c>
      <c r="AS501" s="406"/>
      <c r="AT501" s="156" t="str">
        <f t="shared" ca="1" si="92"/>
        <v>NO</v>
      </c>
      <c r="AU501" s="406" t="s">
        <v>3816</v>
      </c>
      <c r="AV501" s="406" t="s">
        <v>3815</v>
      </c>
      <c r="AW501" s="930" t="s">
        <v>560</v>
      </c>
      <c r="AX501" s="928"/>
      <c r="AY501" s="928"/>
    </row>
    <row r="502" spans="3:51" ht="20.399999999999999" x14ac:dyDescent="0.3">
      <c r="C502" s="866">
        <v>169</v>
      </c>
      <c r="D502" s="866"/>
      <c r="E502" s="120" t="s">
        <v>2866</v>
      </c>
      <c r="F502" s="551" t="s">
        <v>2421</v>
      </c>
      <c r="G502" s="874">
        <v>800249557</v>
      </c>
      <c r="H502" s="967" t="s">
        <v>2867</v>
      </c>
      <c r="I502" s="877">
        <v>4300000</v>
      </c>
      <c r="J502" s="843" t="s">
        <v>2866</v>
      </c>
      <c r="K502" s="269">
        <v>2017</v>
      </c>
      <c r="L502" s="519">
        <v>42837</v>
      </c>
      <c r="M502" s="840">
        <v>42849</v>
      </c>
      <c r="N502" s="840">
        <v>43002</v>
      </c>
      <c r="O502" s="1099" t="str">
        <f>IF(+Modificaciones!I502=0,"",VLOOKUP(E502,Modificaciones!$B$7:$I$2400,8,0))</f>
        <v/>
      </c>
      <c r="P502" s="115">
        <f>COUNTA(Modificaciones!J502,Modificaciones!L502,Modificaciones!N502,Modificaciones!P502)</f>
        <v>0</v>
      </c>
      <c r="Q502" s="116">
        <f>VLOOKUP(E502,Modificaciones!$B$7:$R$2300,17,0)</f>
        <v>0</v>
      </c>
      <c r="R502" s="117">
        <f>COUNTA(Modificaciones!T502,Modificaciones!V502,Modificaciones!X502,Modificaciones!Z502)</f>
        <v>0</v>
      </c>
      <c r="S502" s="118" t="str">
        <f>IF(Modificaciones!AA502=0,"",VLOOKUP(E502,Modificaciones!$B$7:$AA$2400,26,0))</f>
        <v/>
      </c>
      <c r="T502" s="119" t="str">
        <f>IF(Modificaciones!AB502=0,"",VLOOKUP(E502,Modificaciones!$B$7:$AB$2400,27,0))</f>
        <v/>
      </c>
      <c r="U502" s="1080" t="str">
        <f>+Modificaciones!AC502</f>
        <v/>
      </c>
      <c r="V502" s="825" t="str">
        <f>+Modificaciones!AK502</f>
        <v/>
      </c>
      <c r="W502" s="825">
        <f t="shared" si="87"/>
        <v>43002</v>
      </c>
      <c r="X502" s="59">
        <f t="shared" si="85"/>
        <v>4300000</v>
      </c>
      <c r="Y502" s="151">
        <f>VLOOKUP(E502,Modificaciones!$B$7:$BE$2300,56,0)</f>
        <v>4300000</v>
      </c>
      <c r="Z502" s="84">
        <f t="shared" si="84"/>
        <v>0</v>
      </c>
      <c r="AA502" s="283" t="s">
        <v>1894</v>
      </c>
      <c r="AB502" s="823">
        <f t="shared" si="86"/>
        <v>1</v>
      </c>
      <c r="AC502" s="40">
        <f t="shared" ca="1" si="88"/>
        <v>1</v>
      </c>
      <c r="AD502" s="41">
        <f t="shared" ca="1" si="89"/>
        <v>0</v>
      </c>
      <c r="AE502" s="181" t="str">
        <f t="shared" ca="1" si="90"/>
        <v/>
      </c>
      <c r="AF502" s="42" t="str">
        <f t="shared" si="95"/>
        <v>SI</v>
      </c>
      <c r="AG502" s="838"/>
      <c r="AH502" s="152" t="s">
        <v>1255</v>
      </c>
      <c r="AI502" s="255" t="s">
        <v>1290</v>
      </c>
      <c r="AJ502" s="152"/>
      <c r="AK502" s="255" t="s">
        <v>564</v>
      </c>
      <c r="AL502" s="279"/>
      <c r="AM502" s="279" t="s">
        <v>2830</v>
      </c>
      <c r="AN502" s="161" t="str">
        <f t="shared" ca="1" si="91"/>
        <v>TERMINO</v>
      </c>
      <c r="AO502" s="284" t="s">
        <v>582</v>
      </c>
      <c r="AP502" s="406" t="s">
        <v>391</v>
      </c>
      <c r="AQ502" s="819" t="str">
        <f>IFERROR(VLOOKUP(E502,'liquidaciones '!$B$2:$C$1048576,2,0),"NO")</f>
        <v>LIQUIDADO</v>
      </c>
      <c r="AR502" s="909">
        <f>IFERROR(VLOOKUP(E502,'liquidaciones '!$B$2:$I$1048576,8,0),"")</f>
        <v>0</v>
      </c>
      <c r="AS502" s="406"/>
      <c r="AT502" s="156" t="str">
        <f t="shared" ca="1" si="92"/>
        <v>NO</v>
      </c>
      <c r="AU502" s="156" t="s">
        <v>2960</v>
      </c>
      <c r="AV502" s="406"/>
      <c r="AW502" s="930" t="s">
        <v>3938</v>
      </c>
      <c r="AX502" s="928"/>
      <c r="AY502" s="928"/>
    </row>
    <row r="503" spans="3:51" ht="30.6" x14ac:dyDescent="0.3">
      <c r="C503" s="837">
        <v>152</v>
      </c>
      <c r="D503" s="837"/>
      <c r="E503" s="120" t="s">
        <v>2871</v>
      </c>
      <c r="F503" s="414" t="s">
        <v>2872</v>
      </c>
      <c r="G503" s="873">
        <v>86058835</v>
      </c>
      <c r="H503" s="967" t="s">
        <v>2873</v>
      </c>
      <c r="I503" s="877">
        <v>54000000</v>
      </c>
      <c r="J503" s="843" t="s">
        <v>2871</v>
      </c>
      <c r="K503" s="269">
        <v>2017</v>
      </c>
      <c r="L503" s="519">
        <v>42846</v>
      </c>
      <c r="M503" s="840">
        <v>42849</v>
      </c>
      <c r="N503" s="840">
        <v>43155</v>
      </c>
      <c r="O503" s="1099" t="str">
        <f>IF(+Modificaciones!I503=0,"",VLOOKUP(E503,Modificaciones!$B$7:$I$2400,8,0))</f>
        <v/>
      </c>
      <c r="P503" s="115">
        <f>COUNTA(Modificaciones!J503,Modificaciones!L503,Modificaciones!N503,Modificaciones!P503)</f>
        <v>1</v>
      </c>
      <c r="Q503" s="116">
        <f>VLOOKUP(E503,Modificaciones!$B$7:$R$2300,17,0)</f>
        <v>22500000</v>
      </c>
      <c r="R503" s="117">
        <f>COUNTA(Modificaciones!T503,Modificaciones!V503,Modificaciones!X503,Modificaciones!Z503)</f>
        <v>1</v>
      </c>
      <c r="S503" s="118" t="str">
        <f>IF(Modificaciones!AA503=0,"",VLOOKUP(E503,Modificaciones!$B$7:$AA$2400,26,0))</f>
        <v>4 meses y 5 días</v>
      </c>
      <c r="T503" s="119">
        <f>IF(Modificaciones!AB503=0,"",VLOOKUP(E503,Modificaciones!$B$7:$AB$2400,27,0))</f>
        <v>43280</v>
      </c>
      <c r="U503" s="1080" t="str">
        <f>+Modificaciones!AC503</f>
        <v/>
      </c>
      <c r="V503" s="825" t="str">
        <f>+Modificaciones!AK503</f>
        <v/>
      </c>
      <c r="W503" s="825">
        <f t="shared" si="87"/>
        <v>43280</v>
      </c>
      <c r="X503" s="59">
        <f t="shared" si="85"/>
        <v>76500000</v>
      </c>
      <c r="Y503" s="151">
        <f>VLOOKUP(E503,Modificaciones!$B$7:$BE$2300,56,0)</f>
        <v>76500000</v>
      </c>
      <c r="Z503" s="84">
        <f t="shared" si="84"/>
        <v>0</v>
      </c>
      <c r="AA503" s="283" t="s">
        <v>1094</v>
      </c>
      <c r="AB503" s="823">
        <f t="shared" si="86"/>
        <v>1</v>
      </c>
      <c r="AC503" s="40">
        <f t="shared" ca="1" si="88"/>
        <v>1</v>
      </c>
      <c r="AD503" s="41">
        <f t="shared" ca="1" si="89"/>
        <v>0</v>
      </c>
      <c r="AE503" s="181" t="str">
        <f t="shared" ca="1" si="90"/>
        <v/>
      </c>
      <c r="AF503" s="42" t="str">
        <f t="shared" si="95"/>
        <v>SI</v>
      </c>
      <c r="AG503" s="732" t="s">
        <v>5773</v>
      </c>
      <c r="AH503" s="152" t="s">
        <v>1255</v>
      </c>
      <c r="AI503" s="255" t="s">
        <v>2170</v>
      </c>
      <c r="AJ503" s="152"/>
      <c r="AK503" s="255" t="s">
        <v>559</v>
      </c>
      <c r="AL503" s="279"/>
      <c r="AM503" s="279" t="s">
        <v>2830</v>
      </c>
      <c r="AN503" s="161" t="str">
        <f t="shared" ca="1" si="91"/>
        <v>TERMINO</v>
      </c>
      <c r="AO503" s="284" t="s">
        <v>582</v>
      </c>
      <c r="AP503" s="406" t="s">
        <v>391</v>
      </c>
      <c r="AQ503" s="819" t="str">
        <f>IFERROR(VLOOKUP(E503,'liquidaciones '!$B$2:$C$1048576,2,0),"NO")</f>
        <v>EN TRÁMITE</v>
      </c>
      <c r="AR503" s="909" t="str">
        <f>IFERROR(VLOOKUP(E503,'liquidaciones '!$B$2:$I$1048576,8,0),"")</f>
        <v>JUAN DIEGO ESPITIA</v>
      </c>
      <c r="AS503" s="406"/>
      <c r="AT503" s="156" t="str">
        <f t="shared" ca="1" si="92"/>
        <v>NO</v>
      </c>
      <c r="AU503" s="406" t="s">
        <v>1509</v>
      </c>
      <c r="AV503" s="406"/>
      <c r="AW503" s="930" t="s">
        <v>3938</v>
      </c>
      <c r="AX503" s="928"/>
      <c r="AY503" s="928"/>
    </row>
    <row r="504" spans="3:51" ht="30.6" x14ac:dyDescent="0.3">
      <c r="C504" s="837">
        <v>158</v>
      </c>
      <c r="D504" s="837"/>
      <c r="E504" s="120" t="s">
        <v>2874</v>
      </c>
      <c r="F504" s="414" t="s">
        <v>2043</v>
      </c>
      <c r="G504" s="873">
        <v>35493364</v>
      </c>
      <c r="H504" s="967" t="s">
        <v>2875</v>
      </c>
      <c r="I504" s="877">
        <v>51300000</v>
      </c>
      <c r="J504" s="843" t="s">
        <v>2874</v>
      </c>
      <c r="K504" s="269">
        <v>2017</v>
      </c>
      <c r="L504" s="519">
        <v>42849</v>
      </c>
      <c r="M504" s="840">
        <v>42850</v>
      </c>
      <c r="N504" s="840">
        <v>43125</v>
      </c>
      <c r="O504" s="1099" t="str">
        <f>IF(+Modificaciones!I504=0,"",VLOOKUP(E504,Modificaciones!$B$7:$I$2400,8,0))</f>
        <v/>
      </c>
      <c r="P504" s="115">
        <f>COUNTA(Modificaciones!J504,Modificaciones!L504,Modificaciones!N504,Modificaciones!P504)</f>
        <v>1</v>
      </c>
      <c r="Q504" s="116">
        <f>VLOOKUP(E504,Modificaciones!$B$7:$R$2300,17,0)</f>
        <v>25650000</v>
      </c>
      <c r="R504" s="117">
        <f>COUNTA(Modificaciones!T504,Modificaciones!V504,Modificaciones!X504,Modificaciones!Z504)</f>
        <v>1</v>
      </c>
      <c r="S504" s="118" t="str">
        <f>IF(Modificaciones!AA504=0,"",VLOOKUP(E504,Modificaciones!$B$7:$AA$2400,26,0))</f>
        <v>4 meses y 15 días</v>
      </c>
      <c r="T504" s="119">
        <f>IF(Modificaciones!AB504=0,"",VLOOKUP(E504,Modificaciones!$B$7:$AB$2400,27,0))</f>
        <v>43260</v>
      </c>
      <c r="U504" s="1080" t="str">
        <f>+Modificaciones!AC504</f>
        <v/>
      </c>
      <c r="V504" s="825" t="str">
        <f>+Modificaciones!AK504</f>
        <v/>
      </c>
      <c r="W504" s="825">
        <f t="shared" si="87"/>
        <v>43260</v>
      </c>
      <c r="X504" s="59">
        <f t="shared" si="85"/>
        <v>76950000</v>
      </c>
      <c r="Y504" s="151">
        <f>VLOOKUP(E504,Modificaciones!$B$7:$BE$2300,56,0)</f>
        <v>76950000</v>
      </c>
      <c r="Z504" s="84">
        <f t="shared" si="84"/>
        <v>0</v>
      </c>
      <c r="AA504" s="283" t="s">
        <v>2524</v>
      </c>
      <c r="AB504" s="823">
        <f t="shared" si="86"/>
        <v>1</v>
      </c>
      <c r="AC504" s="40">
        <f t="shared" ca="1" si="88"/>
        <v>1</v>
      </c>
      <c r="AD504" s="41">
        <f t="shared" ca="1" si="89"/>
        <v>0</v>
      </c>
      <c r="AE504" s="181" t="str">
        <f t="shared" ca="1" si="90"/>
        <v/>
      </c>
      <c r="AF504" s="42" t="str">
        <f t="shared" si="95"/>
        <v>SI</v>
      </c>
      <c r="AG504" s="732" t="s">
        <v>5773</v>
      </c>
      <c r="AH504" s="152" t="s">
        <v>1255</v>
      </c>
      <c r="AI504" s="152" t="s">
        <v>2523</v>
      </c>
      <c r="AJ504" s="152"/>
      <c r="AK504" s="255" t="s">
        <v>560</v>
      </c>
      <c r="AL504" s="838"/>
      <c r="AM504" s="279" t="s">
        <v>2830</v>
      </c>
      <c r="AN504" s="161" t="str">
        <f t="shared" ca="1" si="91"/>
        <v>TERMINO</v>
      </c>
      <c r="AO504" s="160" t="s">
        <v>576</v>
      </c>
      <c r="AP504" s="155" t="s">
        <v>391</v>
      </c>
      <c r="AQ504" s="819" t="str">
        <f>IFERROR(VLOOKUP(E504,'liquidaciones '!$B$2:$C$1048576,2,0),"NO")</f>
        <v>LIQUIDADO</v>
      </c>
      <c r="AR504" s="909" t="str">
        <f>IFERROR(VLOOKUP(E504,'liquidaciones '!$B$2:$I$1048576,8,0),"")</f>
        <v>JUAN DIEGO ESPITIA</v>
      </c>
      <c r="AS504" s="406"/>
      <c r="AT504" s="156" t="str">
        <f t="shared" ca="1" si="92"/>
        <v>NO</v>
      </c>
      <c r="AU504" s="406" t="s">
        <v>3050</v>
      </c>
      <c r="AV504" s="406"/>
      <c r="AW504" s="930" t="s">
        <v>560</v>
      </c>
      <c r="AX504" s="928"/>
      <c r="AY504" s="928"/>
    </row>
    <row r="505" spans="3:51" ht="49.5" customHeight="1" x14ac:dyDescent="0.3">
      <c r="C505" s="837"/>
      <c r="D505" s="837"/>
      <c r="E505" s="120" t="s">
        <v>2876</v>
      </c>
      <c r="F505" s="414" t="s">
        <v>2360</v>
      </c>
      <c r="G505" s="873">
        <v>800103052</v>
      </c>
      <c r="H505" s="967" t="s">
        <v>2904</v>
      </c>
      <c r="I505" s="877">
        <v>208669579</v>
      </c>
      <c r="J505" s="843" t="s">
        <v>2905</v>
      </c>
      <c r="K505" s="269">
        <v>2017</v>
      </c>
      <c r="L505" s="519">
        <v>42794</v>
      </c>
      <c r="M505" s="840">
        <v>42857</v>
      </c>
      <c r="N505" s="840">
        <v>43100</v>
      </c>
      <c r="O505" s="1099" t="str">
        <f>IF(+Modificaciones!I505=0,"",VLOOKUP(E505,Modificaciones!$B$7:$I$2400,8,0))</f>
        <v/>
      </c>
      <c r="P505" s="115">
        <f>COUNTA(Modificaciones!J505,Modificaciones!L505,Modificaciones!N505,Modificaciones!P505)</f>
        <v>0</v>
      </c>
      <c r="Q505" s="116">
        <f>VLOOKUP(E505,Modificaciones!$B$7:$R$2300,17,0)</f>
        <v>0</v>
      </c>
      <c r="R505" s="117">
        <f>COUNTA(Modificaciones!T505,Modificaciones!V505,Modificaciones!X505,Modificaciones!Z505)</f>
        <v>0</v>
      </c>
      <c r="S505" s="118" t="str">
        <f>IF(Modificaciones!AA505=0,"",VLOOKUP(E505,Modificaciones!$B$7:$AA$2400,26,0))</f>
        <v/>
      </c>
      <c r="T505" s="119" t="str">
        <f>IF(Modificaciones!AB505=0,"",VLOOKUP(E505,Modificaciones!$B$7:$AB$2400,27,0))</f>
        <v/>
      </c>
      <c r="U505" s="1080" t="str">
        <f>+Modificaciones!AC505</f>
        <v/>
      </c>
      <c r="V505" s="825" t="str">
        <f>+Modificaciones!AK505</f>
        <v/>
      </c>
      <c r="W505" s="825">
        <f t="shared" si="87"/>
        <v>43100</v>
      </c>
      <c r="X505" s="59">
        <f t="shared" si="85"/>
        <v>208669579</v>
      </c>
      <c r="Y505" s="151">
        <f>VLOOKUP(E505,Modificaciones!$B$7:$BE$2300,56,0)</f>
        <v>208669579</v>
      </c>
      <c r="Z505" s="84">
        <f t="shared" si="84"/>
        <v>0</v>
      </c>
      <c r="AA505" s="283"/>
      <c r="AB505" s="823">
        <f t="shared" si="86"/>
        <v>1</v>
      </c>
      <c r="AC505" s="40">
        <f t="shared" ca="1" si="88"/>
        <v>1</v>
      </c>
      <c r="AD505" s="41">
        <f t="shared" ca="1" si="89"/>
        <v>0</v>
      </c>
      <c r="AE505" s="181" t="str">
        <f t="shared" ca="1" si="90"/>
        <v/>
      </c>
      <c r="AF505" s="42" t="str">
        <f t="shared" si="95"/>
        <v>SI</v>
      </c>
      <c r="AG505" s="1017" t="s">
        <v>4920</v>
      </c>
      <c r="AH505" s="152" t="s">
        <v>1256</v>
      </c>
      <c r="AI505" s="255" t="s">
        <v>2260</v>
      </c>
      <c r="AJ505" s="152" t="s">
        <v>1438</v>
      </c>
      <c r="AK505" s="255" t="s">
        <v>560</v>
      </c>
      <c r="AL505" s="279" t="s">
        <v>1508</v>
      </c>
      <c r="AM505" s="279" t="s">
        <v>3795</v>
      </c>
      <c r="AN505" s="161" t="str">
        <f t="shared" ca="1" si="91"/>
        <v>TERMINO</v>
      </c>
      <c r="AO505" s="414" t="s">
        <v>2906</v>
      </c>
      <c r="AP505" s="406"/>
      <c r="AQ505" s="819" t="str">
        <f>IFERROR(VLOOKUP(E505,'liquidaciones '!$B$2:$C$1048576,2,0),"NO")</f>
        <v>LIQUIDADO</v>
      </c>
      <c r="AR505" s="909">
        <f>IFERROR(VLOOKUP(E505,'liquidaciones '!$B$2:$I$1048576,8,0),"")</f>
        <v>0</v>
      </c>
      <c r="AS505" s="406"/>
      <c r="AT505" s="156" t="str">
        <f t="shared" ca="1" si="92"/>
        <v>NO</v>
      </c>
      <c r="AU505" s="156" t="s">
        <v>2902</v>
      </c>
      <c r="AV505" s="406" t="s">
        <v>3778</v>
      </c>
      <c r="AW505" s="930" t="s">
        <v>560</v>
      </c>
      <c r="AX505" s="928"/>
      <c r="AY505" s="928"/>
    </row>
    <row r="506" spans="3:51" ht="40.799999999999997" x14ac:dyDescent="0.3">
      <c r="C506" s="837">
        <v>141</v>
      </c>
      <c r="D506" s="837"/>
      <c r="E506" s="120" t="s">
        <v>2877</v>
      </c>
      <c r="F506" s="414" t="s">
        <v>2878</v>
      </c>
      <c r="G506" s="873">
        <v>41782234</v>
      </c>
      <c r="H506" s="967" t="s">
        <v>2879</v>
      </c>
      <c r="I506" s="877">
        <v>57000000</v>
      </c>
      <c r="J506" s="843" t="s">
        <v>2877</v>
      </c>
      <c r="K506" s="269">
        <v>2017</v>
      </c>
      <c r="L506" s="519">
        <v>42844</v>
      </c>
      <c r="M506" s="840">
        <v>42846</v>
      </c>
      <c r="N506" s="840">
        <v>43152</v>
      </c>
      <c r="O506" s="1099" t="str">
        <f>IF(+Modificaciones!I506=0,"",VLOOKUP(E506,Modificaciones!$B$7:$I$2400,8,0))</f>
        <v/>
      </c>
      <c r="P506" s="115">
        <f>COUNTA(Modificaciones!J506,Modificaciones!L506,Modificaciones!N506,Modificaciones!P506)</f>
        <v>1</v>
      </c>
      <c r="Q506" s="116">
        <f>VLOOKUP(E506,Modificaciones!$B$7:$R$2300,17,0)</f>
        <v>24320000</v>
      </c>
      <c r="R506" s="117">
        <f>COUNTA(Modificaciones!T506,Modificaciones!V506,Modificaciones!X506,Modificaciones!Z506)</f>
        <v>1</v>
      </c>
      <c r="S506" s="118" t="str">
        <f>IF(Modificaciones!AA506=0,"",VLOOKUP(E506,Modificaciones!$B$7:$AA$2400,26,0))</f>
        <v>Cuatro (4) meses y 8 días calendario</v>
      </c>
      <c r="T506" s="119">
        <f>IF(Modificaciones!AB506=0,"",VLOOKUP(E506,Modificaciones!$B$7:$AB$2400,27,0))</f>
        <v>43280</v>
      </c>
      <c r="U506" s="1080" t="str">
        <f>+Modificaciones!AC506</f>
        <v/>
      </c>
      <c r="V506" s="825" t="str">
        <f>+Modificaciones!AK506</f>
        <v/>
      </c>
      <c r="W506" s="825">
        <f t="shared" si="87"/>
        <v>43280</v>
      </c>
      <c r="X506" s="59">
        <f t="shared" si="85"/>
        <v>81320000</v>
      </c>
      <c r="Y506" s="151">
        <f>VLOOKUP(E506,Modificaciones!$B$7:$BE$2300,56,0)</f>
        <v>81320000</v>
      </c>
      <c r="Z506" s="84">
        <f t="shared" ref="Z506:Z569" si="96">X506-Y506</f>
        <v>0</v>
      </c>
      <c r="AA506" s="283" t="s">
        <v>1094</v>
      </c>
      <c r="AB506" s="823">
        <f t="shared" si="86"/>
        <v>1</v>
      </c>
      <c r="AC506" s="40">
        <f t="shared" ca="1" si="88"/>
        <v>1</v>
      </c>
      <c r="AD506" s="41">
        <f t="shared" ca="1" si="89"/>
        <v>0</v>
      </c>
      <c r="AE506" s="181" t="str">
        <f t="shared" ca="1" si="90"/>
        <v/>
      </c>
      <c r="AF506" s="42" t="str">
        <f t="shared" si="95"/>
        <v>SI</v>
      </c>
      <c r="AG506" s="732" t="s">
        <v>5773</v>
      </c>
      <c r="AH506" s="152" t="s">
        <v>1255</v>
      </c>
      <c r="AI506" s="255" t="s">
        <v>2461</v>
      </c>
      <c r="AJ506" s="152" t="s">
        <v>1436</v>
      </c>
      <c r="AK506" s="255" t="s">
        <v>561</v>
      </c>
      <c r="AL506" s="279"/>
      <c r="AM506" s="279" t="s">
        <v>3796</v>
      </c>
      <c r="AN506" s="161" t="str">
        <f t="shared" ca="1" si="91"/>
        <v>TERMINO</v>
      </c>
      <c r="AO506" s="160" t="s">
        <v>582</v>
      </c>
      <c r="AP506" s="155" t="s">
        <v>391</v>
      </c>
      <c r="AQ506" s="819" t="str">
        <f>IFERROR(VLOOKUP(E506,'liquidaciones '!$B$2:$C$1048576,2,0),"NO")</f>
        <v>LIQUIDADO</v>
      </c>
      <c r="AR506" s="909" t="str">
        <f>IFERROR(VLOOKUP(E506,'liquidaciones '!$B$2:$I$1048576,8,0),"")</f>
        <v>MARTHA SANCHEZ</v>
      </c>
      <c r="AS506" s="312"/>
      <c r="AT506" s="156" t="str">
        <f t="shared" ca="1" si="92"/>
        <v>NO</v>
      </c>
      <c r="AU506" s="406" t="s">
        <v>1509</v>
      </c>
      <c r="AV506" s="406"/>
      <c r="AW506" s="930" t="s">
        <v>4178</v>
      </c>
      <c r="AX506" s="928"/>
      <c r="AY506" s="928"/>
    </row>
    <row r="507" spans="3:51" ht="28.8" x14ac:dyDescent="0.3">
      <c r="C507" s="837">
        <v>184</v>
      </c>
      <c r="D507" s="837"/>
      <c r="E507" s="120" t="s">
        <v>2880</v>
      </c>
      <c r="F507" s="414" t="s">
        <v>2881</v>
      </c>
      <c r="G507" s="873">
        <v>800084124</v>
      </c>
      <c r="H507" s="967" t="s">
        <v>3042</v>
      </c>
      <c r="I507" s="877">
        <v>39000000</v>
      </c>
      <c r="J507" s="843" t="s">
        <v>2896</v>
      </c>
      <c r="K507" s="269">
        <v>2017</v>
      </c>
      <c r="L507" s="519">
        <v>42823</v>
      </c>
      <c r="M507" s="840">
        <v>42846</v>
      </c>
      <c r="N507" s="840">
        <v>43186</v>
      </c>
      <c r="O507" s="1099" t="str">
        <f>IF(+Modificaciones!I507=0,"",VLOOKUP(E507,Modificaciones!$B$7:$I$2400,8,0))</f>
        <v/>
      </c>
      <c r="P507" s="115">
        <f>COUNTA(Modificaciones!J507,Modificaciones!L507,Modificaciones!N507,Modificaciones!P507)</f>
        <v>0</v>
      </c>
      <c r="Q507" s="116">
        <f>VLOOKUP(E507,Modificaciones!$B$7:$R$2300,17,0)</f>
        <v>0</v>
      </c>
      <c r="R507" s="117">
        <f>COUNTA(Modificaciones!T507,Modificaciones!V507,Modificaciones!X507,Modificaciones!Z507)</f>
        <v>1</v>
      </c>
      <c r="S507" s="118" t="str">
        <f>IF(Modificaciones!AA507=0,"",VLOOKUP(E507,Modificaciones!$B$7:$AA$2400,26,0))</f>
        <v>30 días</v>
      </c>
      <c r="T507" s="119">
        <f>IF(Modificaciones!AB507=0,"",VLOOKUP(E507,Modificaciones!$B$7:$AB$2400,27,0))</f>
        <v>43216</v>
      </c>
      <c r="U507" s="1080" t="str">
        <f>+Modificaciones!AC507</f>
        <v/>
      </c>
      <c r="V507" s="825" t="str">
        <f>+Modificaciones!AK507</f>
        <v/>
      </c>
      <c r="W507" s="825">
        <f t="shared" si="87"/>
        <v>43216</v>
      </c>
      <c r="X507" s="59">
        <f t="shared" si="85"/>
        <v>39000000</v>
      </c>
      <c r="Y507" s="151">
        <f>VLOOKUP(E507,Modificaciones!$B$7:$BE$2300,56,0)</f>
        <v>8712261</v>
      </c>
      <c r="Z507" s="84">
        <f t="shared" si="96"/>
        <v>30287739</v>
      </c>
      <c r="AA507" s="283" t="s">
        <v>1094</v>
      </c>
      <c r="AB507" s="823">
        <f t="shared" si="86"/>
        <v>0.22339130769230769</v>
      </c>
      <c r="AC507" s="40">
        <f t="shared" ca="1" si="88"/>
        <v>1</v>
      </c>
      <c r="AD507" s="41">
        <f t="shared" ca="1" si="89"/>
        <v>0.77660869230769225</v>
      </c>
      <c r="AE507" s="181" t="str">
        <f t="shared" ca="1" si="90"/>
        <v/>
      </c>
      <c r="AF507" s="42" t="str">
        <f t="shared" si="95"/>
        <v>NO</v>
      </c>
      <c r="AG507" s="1017" t="s">
        <v>4920</v>
      </c>
      <c r="AH507" s="152" t="s">
        <v>1255</v>
      </c>
      <c r="AI507" s="255" t="s">
        <v>1125</v>
      </c>
      <c r="AJ507" s="152" t="s">
        <v>1441</v>
      </c>
      <c r="AK507" s="255" t="s">
        <v>560</v>
      </c>
      <c r="AL507" s="153" t="s">
        <v>1318</v>
      </c>
      <c r="AM507" s="279" t="s">
        <v>2830</v>
      </c>
      <c r="AN507" s="161" t="str">
        <f t="shared" ca="1" si="91"/>
        <v>TERMINO</v>
      </c>
      <c r="AO507" s="284" t="s">
        <v>576</v>
      </c>
      <c r="AP507" s="155" t="s">
        <v>390</v>
      </c>
      <c r="AQ507" s="819" t="str">
        <f>IFERROR(VLOOKUP(E507,'liquidaciones '!$B$2:$C$1048576,2,0),"NO")</f>
        <v>LIQUIDADO</v>
      </c>
      <c r="AR507" s="909">
        <f>IFERROR(VLOOKUP(E507,'liquidaciones '!$B$2:$I$1048576,8,0),"")</f>
        <v>0</v>
      </c>
      <c r="AS507" s="406"/>
      <c r="AT507" s="156" t="str">
        <f t="shared" ca="1" si="92"/>
        <v>NO</v>
      </c>
      <c r="AU507" s="406" t="s">
        <v>1509</v>
      </c>
      <c r="AV507" s="406" t="s">
        <v>3780</v>
      </c>
      <c r="AW507" s="930" t="s">
        <v>3938</v>
      </c>
      <c r="AX507" s="928"/>
      <c r="AY507" s="928"/>
    </row>
    <row r="508" spans="3:51" ht="30.6" x14ac:dyDescent="0.3">
      <c r="C508" s="837">
        <v>148</v>
      </c>
      <c r="D508" s="837"/>
      <c r="E508" s="120" t="s">
        <v>2882</v>
      </c>
      <c r="F508" s="414" t="s">
        <v>2450</v>
      </c>
      <c r="G508" s="873">
        <v>41758887</v>
      </c>
      <c r="H508" s="967" t="s">
        <v>3043</v>
      </c>
      <c r="I508" s="877">
        <v>51300000</v>
      </c>
      <c r="J508" s="843" t="s">
        <v>2882</v>
      </c>
      <c r="K508" s="269">
        <v>2017</v>
      </c>
      <c r="L508" s="519">
        <v>42846</v>
      </c>
      <c r="M508" s="840">
        <v>42850</v>
      </c>
      <c r="N508" s="840">
        <v>43125</v>
      </c>
      <c r="O508" s="1099" t="str">
        <f>IF(+Modificaciones!I508=0,"",VLOOKUP(E508,Modificaciones!$B$7:$I$2400,8,0))</f>
        <v/>
      </c>
      <c r="P508" s="115">
        <f>COUNTA(Modificaciones!J508,Modificaciones!L508,Modificaciones!N508,Modificaciones!P508)</f>
        <v>1</v>
      </c>
      <c r="Q508" s="116">
        <f>VLOOKUP(E508,Modificaciones!$B$7:$R$2300,17,0)</f>
        <v>25650000</v>
      </c>
      <c r="R508" s="117">
        <f>COUNTA(Modificaciones!T508,Modificaciones!V508,Modificaciones!X508,Modificaciones!Z508)</f>
        <v>1</v>
      </c>
      <c r="S508" s="118" t="str">
        <f>IF(Modificaciones!AA508=0,"",VLOOKUP(E508,Modificaciones!$B$7:$AA$2400,26,0))</f>
        <v>4 meses y 15 días calendario</v>
      </c>
      <c r="T508" s="119">
        <f>IF(Modificaciones!AB508=0,"",VLOOKUP(E508,Modificaciones!$B$7:$AB$2400,27,0))</f>
        <v>43260</v>
      </c>
      <c r="U508" s="1080" t="str">
        <f>+Modificaciones!AC508</f>
        <v/>
      </c>
      <c r="V508" s="825" t="str">
        <f>+Modificaciones!AK508</f>
        <v/>
      </c>
      <c r="W508" s="825">
        <f t="shared" si="87"/>
        <v>43260</v>
      </c>
      <c r="X508" s="59">
        <f t="shared" si="85"/>
        <v>76950000</v>
      </c>
      <c r="Y508" s="151">
        <f>VLOOKUP(E508,Modificaciones!$B$7:$BE$2300,56,0)</f>
        <v>76950000</v>
      </c>
      <c r="Z508" s="84">
        <f t="shared" si="96"/>
        <v>0</v>
      </c>
      <c r="AA508" s="283" t="s">
        <v>1094</v>
      </c>
      <c r="AB508" s="823">
        <f t="shared" si="86"/>
        <v>1</v>
      </c>
      <c r="AC508" s="40">
        <f t="shared" ca="1" si="88"/>
        <v>1</v>
      </c>
      <c r="AD508" s="41">
        <f t="shared" ca="1" si="89"/>
        <v>0</v>
      </c>
      <c r="AE508" s="181" t="str">
        <f t="shared" ca="1" si="90"/>
        <v/>
      </c>
      <c r="AF508" s="42" t="str">
        <f t="shared" si="95"/>
        <v>SI</v>
      </c>
      <c r="AG508" s="732" t="s">
        <v>5773</v>
      </c>
      <c r="AH508" s="152" t="s">
        <v>1255</v>
      </c>
      <c r="AI508" s="255" t="s">
        <v>2056</v>
      </c>
      <c r="AJ508" s="152" t="s">
        <v>1176</v>
      </c>
      <c r="AK508" s="255" t="s">
        <v>559</v>
      </c>
      <c r="AL508" s="279" t="s">
        <v>2167</v>
      </c>
      <c r="AM508" s="279" t="s">
        <v>2830</v>
      </c>
      <c r="AN508" s="161" t="str">
        <f t="shared" ca="1" si="91"/>
        <v>TERMINO</v>
      </c>
      <c r="AO508" s="284" t="s">
        <v>582</v>
      </c>
      <c r="AP508" s="406" t="s">
        <v>391</v>
      </c>
      <c r="AQ508" s="819" t="str">
        <f>IFERROR(VLOOKUP(E508,'liquidaciones '!$B$2:$C$1048576,2,0),"NO")</f>
        <v>LIQUIDADO</v>
      </c>
      <c r="AR508" s="909" t="str">
        <f>IFERROR(VLOOKUP(E508,'liquidaciones '!$B$2:$I$1048576,8,0),"")</f>
        <v>GABINO HERNANDEZ</v>
      </c>
      <c r="AS508" s="406"/>
      <c r="AT508" s="156" t="str">
        <f t="shared" ca="1" si="92"/>
        <v>NO</v>
      </c>
      <c r="AU508" s="406" t="s">
        <v>3050</v>
      </c>
      <c r="AV508" s="406"/>
      <c r="AW508" s="930" t="s">
        <v>3938</v>
      </c>
      <c r="AX508" s="928"/>
      <c r="AY508" s="928"/>
    </row>
    <row r="509" spans="3:51" ht="30.6" x14ac:dyDescent="0.3">
      <c r="C509" s="837">
        <v>157</v>
      </c>
      <c r="D509" s="837"/>
      <c r="E509" s="120" t="s">
        <v>2883</v>
      </c>
      <c r="F509" s="414" t="s">
        <v>3895</v>
      </c>
      <c r="G509" s="873">
        <v>63548489</v>
      </c>
      <c r="H509" s="967" t="s">
        <v>2884</v>
      </c>
      <c r="I509" s="877">
        <v>51300000</v>
      </c>
      <c r="J509" s="843" t="s">
        <v>2883</v>
      </c>
      <c r="K509" s="269">
        <v>2017</v>
      </c>
      <c r="L509" s="519">
        <v>42849</v>
      </c>
      <c r="M509" s="840">
        <v>42851</v>
      </c>
      <c r="N509" s="840">
        <v>43126</v>
      </c>
      <c r="O509" s="1099" t="str">
        <f>IF(+Modificaciones!I509=0,"",VLOOKUP(E509,Modificaciones!$B$7:$I$2400,8,0))</f>
        <v/>
      </c>
      <c r="P509" s="115">
        <f>COUNTA(Modificaciones!J509,Modificaciones!L509,Modificaciones!N509,Modificaciones!P509)</f>
        <v>1</v>
      </c>
      <c r="Q509" s="116">
        <f>VLOOKUP(E509,Modificaciones!$B$7:$R$2300,17,0)</f>
        <v>25650000</v>
      </c>
      <c r="R509" s="117">
        <f>COUNTA(Modificaciones!T509,Modificaciones!V509,Modificaciones!X509,Modificaciones!Z509)</f>
        <v>1</v>
      </c>
      <c r="S509" s="118" t="str">
        <f>IF(Modificaciones!AA509=0,"",VLOOKUP(E509,Modificaciones!$B$7:$AA$2400,26,0))</f>
        <v>4 meses y 15 días calendario</v>
      </c>
      <c r="T509" s="119">
        <f>IF(Modificaciones!AB509=0,"",VLOOKUP(E509,Modificaciones!$B$7:$AB$2400,27,0))</f>
        <v>43261</v>
      </c>
      <c r="U509" s="1080" t="str">
        <f>+Modificaciones!AC509</f>
        <v/>
      </c>
      <c r="V509" s="825" t="str">
        <f>+Modificaciones!AK509</f>
        <v/>
      </c>
      <c r="W509" s="825">
        <f t="shared" si="87"/>
        <v>43261</v>
      </c>
      <c r="X509" s="59">
        <f t="shared" si="85"/>
        <v>76950000</v>
      </c>
      <c r="Y509" s="151">
        <f>VLOOKUP(E509,Modificaciones!$B$7:$BE$2300,56,0)</f>
        <v>75810000</v>
      </c>
      <c r="Z509" s="84">
        <f t="shared" si="96"/>
        <v>1140000</v>
      </c>
      <c r="AA509" s="283" t="s">
        <v>1094</v>
      </c>
      <c r="AB509" s="823">
        <f t="shared" si="86"/>
        <v>0.98518518518518516</v>
      </c>
      <c r="AC509" s="40">
        <f t="shared" ca="1" si="88"/>
        <v>1</v>
      </c>
      <c r="AD509" s="41">
        <f t="shared" ca="1" si="89"/>
        <v>1.4814814814814836E-2</v>
      </c>
      <c r="AE509" s="181" t="str">
        <f t="shared" ca="1" si="90"/>
        <v/>
      </c>
      <c r="AF509" s="42" t="str">
        <f t="shared" si="95"/>
        <v>NO</v>
      </c>
      <c r="AG509" s="732" t="s">
        <v>5773</v>
      </c>
      <c r="AH509" s="152" t="s">
        <v>1255</v>
      </c>
      <c r="AI509" s="152" t="s">
        <v>2494</v>
      </c>
      <c r="AJ509" s="152" t="s">
        <v>1429</v>
      </c>
      <c r="AK509" s="255" t="s">
        <v>564</v>
      </c>
      <c r="AL509" s="279"/>
      <c r="AM509" s="279" t="s">
        <v>2830</v>
      </c>
      <c r="AN509" s="161" t="str">
        <f t="shared" ca="1" si="91"/>
        <v>TERMINO</v>
      </c>
      <c r="AO509" s="284" t="s">
        <v>582</v>
      </c>
      <c r="AP509" s="155" t="s">
        <v>391</v>
      </c>
      <c r="AQ509" s="819" t="str">
        <f>IFERROR(VLOOKUP(E509,'liquidaciones '!$B$2:$C$1048576,2,0),"NO")</f>
        <v>EN TRÁMITE</v>
      </c>
      <c r="AR509" s="909" t="str">
        <f>IFERROR(VLOOKUP(E509,'liquidaciones '!$B$2:$I$1048576,8,0),"")</f>
        <v>JUAN DIEGO ESPITIA</v>
      </c>
      <c r="AS509" s="312"/>
      <c r="AT509" s="156" t="str">
        <f t="shared" ca="1" si="92"/>
        <v>NO</v>
      </c>
      <c r="AU509" s="406" t="s">
        <v>3050</v>
      </c>
      <c r="AV509" s="406"/>
      <c r="AW509" s="930" t="s">
        <v>3920</v>
      </c>
      <c r="AX509" s="928"/>
      <c r="AY509" s="928"/>
    </row>
    <row r="510" spans="3:51" ht="61.2" x14ac:dyDescent="0.3">
      <c r="C510" s="837">
        <v>219</v>
      </c>
      <c r="D510" s="837"/>
      <c r="E510" s="120" t="s">
        <v>2885</v>
      </c>
      <c r="F510" s="414" t="s">
        <v>2792</v>
      </c>
      <c r="G510" s="873">
        <v>830016004</v>
      </c>
      <c r="H510" s="967" t="s">
        <v>2886</v>
      </c>
      <c r="I510" s="877">
        <v>58228000</v>
      </c>
      <c r="J510" s="843" t="s">
        <v>2887</v>
      </c>
      <c r="K510" s="269">
        <v>2017</v>
      </c>
      <c r="L510" s="519">
        <v>42835</v>
      </c>
      <c r="M510" s="840">
        <v>42857</v>
      </c>
      <c r="N510" s="840">
        <v>42918</v>
      </c>
      <c r="O510" s="1099" t="str">
        <f>IF(+Modificaciones!I510=0,"",VLOOKUP(E510,Modificaciones!$B$7:$I$2400,8,0))</f>
        <v/>
      </c>
      <c r="P510" s="115">
        <f>COUNTA(Modificaciones!J510,Modificaciones!L510,Modificaciones!N510,Modificaciones!P510)</f>
        <v>0</v>
      </c>
      <c r="Q510" s="116">
        <f>VLOOKUP(E510,Modificaciones!$B$7:$R$2300,17,0)</f>
        <v>0</v>
      </c>
      <c r="R510" s="117">
        <f>COUNTA(Modificaciones!T510,Modificaciones!V510,Modificaciones!X510,Modificaciones!Z510)</f>
        <v>0</v>
      </c>
      <c r="S510" s="118" t="str">
        <f>IF(Modificaciones!AA510=0,"",VLOOKUP(E510,Modificaciones!$B$7:$AA$2400,26,0))</f>
        <v/>
      </c>
      <c r="T510" s="119" t="str">
        <f>IF(Modificaciones!AB510=0,"",VLOOKUP(E510,Modificaciones!$B$7:$AB$2400,27,0))</f>
        <v/>
      </c>
      <c r="U510" s="1080" t="str">
        <f>+Modificaciones!AC510</f>
        <v/>
      </c>
      <c r="V510" s="825" t="str">
        <f>+Modificaciones!AK510</f>
        <v/>
      </c>
      <c r="W510" s="825">
        <f t="shared" si="87"/>
        <v>42918</v>
      </c>
      <c r="X510" s="59">
        <f t="shared" si="85"/>
        <v>58228000</v>
      </c>
      <c r="Y510" s="151">
        <f>VLOOKUP(E510,Modificaciones!$B$7:$BE$2300,56,0)</f>
        <v>58228000</v>
      </c>
      <c r="Z510" s="84">
        <f t="shared" si="96"/>
        <v>0</v>
      </c>
      <c r="AA510" s="287" t="s">
        <v>2794</v>
      </c>
      <c r="AB510" s="823">
        <f t="shared" si="86"/>
        <v>1</v>
      </c>
      <c r="AC510" s="40">
        <f t="shared" ca="1" si="88"/>
        <v>1</v>
      </c>
      <c r="AD510" s="41">
        <f t="shared" ca="1" si="89"/>
        <v>0</v>
      </c>
      <c r="AE510" s="181" t="str">
        <f t="shared" ca="1" si="90"/>
        <v/>
      </c>
      <c r="AF510" s="42" t="str">
        <f t="shared" si="95"/>
        <v>SI</v>
      </c>
      <c r="AG510" s="838" t="s">
        <v>1711</v>
      </c>
      <c r="AH510" s="841" t="s">
        <v>1256</v>
      </c>
      <c r="AI510" s="841" t="s">
        <v>2804</v>
      </c>
      <c r="AJ510" s="152" t="s">
        <v>1438</v>
      </c>
      <c r="AK510" s="255" t="s">
        <v>560</v>
      </c>
      <c r="AL510" s="279" t="s">
        <v>1508</v>
      </c>
      <c r="AM510" s="279" t="s">
        <v>2830</v>
      </c>
      <c r="AN510" s="161" t="str">
        <f t="shared" ca="1" si="91"/>
        <v>TERMINO</v>
      </c>
      <c r="AO510" s="414" t="s">
        <v>2901</v>
      </c>
      <c r="AP510" s="406" t="s">
        <v>390</v>
      </c>
      <c r="AQ510" s="819" t="str">
        <f>IFERROR(VLOOKUP(E510,'liquidaciones '!$B$2:$C$1048576,2,0),"NO")</f>
        <v>LIQUIDADO</v>
      </c>
      <c r="AR510" s="909">
        <f>IFERROR(VLOOKUP(E510,'liquidaciones '!$B$2:$I$1048576,8,0),"")</f>
        <v>0</v>
      </c>
      <c r="AS510" s="406"/>
      <c r="AT510" s="156" t="str">
        <f t="shared" ca="1" si="92"/>
        <v>NO</v>
      </c>
      <c r="AU510" s="156" t="s">
        <v>2902</v>
      </c>
      <c r="AV510" s="406"/>
      <c r="AX510" s="928"/>
      <c r="AY510" s="928"/>
    </row>
    <row r="511" spans="3:51" ht="40.799999999999997" x14ac:dyDescent="0.3">
      <c r="C511" s="837">
        <v>150</v>
      </c>
      <c r="D511" s="837"/>
      <c r="E511" s="120" t="s">
        <v>2888</v>
      </c>
      <c r="F511" s="414" t="s">
        <v>2641</v>
      </c>
      <c r="G511" s="873">
        <v>52499785</v>
      </c>
      <c r="H511" s="967" t="s">
        <v>2487</v>
      </c>
      <c r="I511" s="877">
        <v>51300000</v>
      </c>
      <c r="J511" s="843" t="s">
        <v>2888</v>
      </c>
      <c r="K511" s="269">
        <v>2017</v>
      </c>
      <c r="L511" s="519">
        <v>42850</v>
      </c>
      <c r="M511" s="840">
        <v>42857</v>
      </c>
      <c r="N511" s="840">
        <v>43133</v>
      </c>
      <c r="O511" s="1099" t="str">
        <f>IF(+Modificaciones!I511=0,"",VLOOKUP(E511,Modificaciones!$B$7:$I$2400,8,0))</f>
        <v/>
      </c>
      <c r="P511" s="115">
        <f>COUNTA(Modificaciones!J511,Modificaciones!L511,Modificaciones!N511,Modificaciones!P511)</f>
        <v>0</v>
      </c>
      <c r="Q511" s="116">
        <f>VLOOKUP(E511,Modificaciones!$B$7:$R$2300,17,0)</f>
        <v>0</v>
      </c>
      <c r="R511" s="117">
        <f>COUNTA(Modificaciones!T511,Modificaciones!V511,Modificaciones!X511,Modificaciones!Z511)</f>
        <v>1</v>
      </c>
      <c r="S511" s="118" t="str">
        <f>IF(Modificaciones!AA511=0,"",VLOOKUP(E511,Modificaciones!$B$7:$AA$2400,26,0))</f>
        <v>3 meses de suspensión</v>
      </c>
      <c r="T511" s="119">
        <f>IF(Modificaciones!AB511=0,"",VLOOKUP(E511,Modificaciones!$B$7:$AB$2400,27,0))</f>
        <v>43222</v>
      </c>
      <c r="U511" s="1080" t="str">
        <f>+Modificaciones!AC511</f>
        <v/>
      </c>
      <c r="V511" s="825" t="str">
        <f>+Modificaciones!AK511</f>
        <v/>
      </c>
      <c r="W511" s="825">
        <f t="shared" si="87"/>
        <v>43222</v>
      </c>
      <c r="X511" s="59">
        <f t="shared" si="85"/>
        <v>51300000</v>
      </c>
      <c r="Y511" s="151">
        <f>VLOOKUP(E511,Modificaciones!$B$7:$BE$2300,56,0)</f>
        <v>51300000</v>
      </c>
      <c r="Z511" s="84">
        <f t="shared" si="96"/>
        <v>0</v>
      </c>
      <c r="AA511" s="283" t="s">
        <v>1094</v>
      </c>
      <c r="AB511" s="823">
        <f t="shared" si="86"/>
        <v>1</v>
      </c>
      <c r="AC511" s="40">
        <f t="shared" ca="1" si="88"/>
        <v>1</v>
      </c>
      <c r="AD511" s="41">
        <f t="shared" ca="1" si="89"/>
        <v>0</v>
      </c>
      <c r="AE511" s="181" t="str">
        <f t="shared" ca="1" si="90"/>
        <v/>
      </c>
      <c r="AF511" s="42" t="str">
        <f t="shared" si="95"/>
        <v>SI</v>
      </c>
      <c r="AG511" s="732" t="s">
        <v>5773</v>
      </c>
      <c r="AH511" s="152" t="s">
        <v>1255</v>
      </c>
      <c r="AI511" s="152" t="s">
        <v>2488</v>
      </c>
      <c r="AJ511" s="152"/>
      <c r="AL511" s="279"/>
      <c r="AM511" s="279" t="s">
        <v>2830</v>
      </c>
      <c r="AN511" s="161" t="str">
        <f t="shared" ca="1" si="91"/>
        <v>TERMINO</v>
      </c>
      <c r="AO511" s="284" t="s">
        <v>582</v>
      </c>
      <c r="AP511" s="155" t="s">
        <v>391</v>
      </c>
      <c r="AQ511" s="819" t="str">
        <f>IFERROR(VLOOKUP(E511,'liquidaciones '!$B$2:$C$1048576,2,0),"NO")</f>
        <v>LIQUIDADO</v>
      </c>
      <c r="AR511" s="909" t="str">
        <f>IFERROR(VLOOKUP(E511,'liquidaciones '!$B$2:$I$1048576,8,0),"")</f>
        <v>GABINO HERNANDEZ</v>
      </c>
      <c r="AS511" s="406"/>
      <c r="AT511" s="156" t="str">
        <f t="shared" ca="1" si="92"/>
        <v>NO</v>
      </c>
      <c r="AU511" s="406" t="s">
        <v>2973</v>
      </c>
      <c r="AV511" s="406"/>
      <c r="AW511" s="930" t="s">
        <v>3920</v>
      </c>
      <c r="AX511" s="928"/>
      <c r="AY511" s="928"/>
    </row>
    <row r="512" spans="3:51" ht="40.799999999999997" x14ac:dyDescent="0.3">
      <c r="C512" s="837">
        <v>156</v>
      </c>
      <c r="D512" s="837"/>
      <c r="E512" s="120" t="s">
        <v>2889</v>
      </c>
      <c r="F512" s="414" t="s">
        <v>2484</v>
      </c>
      <c r="G512" s="873">
        <v>79646061</v>
      </c>
      <c r="H512" s="967" t="s">
        <v>3016</v>
      </c>
      <c r="I512" s="877">
        <v>57000000</v>
      </c>
      <c r="J512" s="843" t="s">
        <v>2889</v>
      </c>
      <c r="K512" s="269">
        <v>2017</v>
      </c>
      <c r="L512" s="519">
        <v>42850</v>
      </c>
      <c r="M512" s="840">
        <v>42857</v>
      </c>
      <c r="N512" s="840">
        <v>43161</v>
      </c>
      <c r="O512" s="1099" t="str">
        <f>IF(+Modificaciones!I512=0,"",VLOOKUP(E512,Modificaciones!$B$7:$I$2400,8,0))</f>
        <v/>
      </c>
      <c r="P512" s="115">
        <f>COUNTA(Modificaciones!J512,Modificaciones!L512,Modificaciones!N512,Modificaciones!P512)</f>
        <v>1</v>
      </c>
      <c r="Q512" s="116">
        <f>VLOOKUP(E512,Modificaciones!$B$7:$R$2300,17,0)</f>
        <v>22230000</v>
      </c>
      <c r="R512" s="117">
        <f>COUNTA(Modificaciones!T512,Modificaciones!V512,Modificaciones!X512,Modificaciones!Z512)</f>
        <v>1</v>
      </c>
      <c r="S512" s="118" t="str">
        <f>IF(Modificaciones!AA512=0,"",VLOOKUP(E512,Modificaciones!$B$7:$AA$2400,26,0))</f>
        <v>Tres (3) meses y 27 días calendario</v>
      </c>
      <c r="T512" s="119">
        <f>IF(Modificaciones!AB512=0,"",VLOOKUP(E512,Modificaciones!$B$7:$AB$2400,27,0))</f>
        <v>43280</v>
      </c>
      <c r="U512" s="1080" t="str">
        <f>+Modificaciones!AC512</f>
        <v/>
      </c>
      <c r="V512" s="825" t="str">
        <f>+Modificaciones!AK512</f>
        <v/>
      </c>
      <c r="W512" s="825">
        <f t="shared" si="87"/>
        <v>43280</v>
      </c>
      <c r="X512" s="59">
        <f t="shared" si="85"/>
        <v>79230000</v>
      </c>
      <c r="Y512" s="151">
        <f>VLOOKUP(E512,Modificaciones!$B$7:$BE$2300,56,0)</f>
        <v>79230000</v>
      </c>
      <c r="Z512" s="84">
        <f t="shared" si="96"/>
        <v>0</v>
      </c>
      <c r="AA512" s="283" t="s">
        <v>1094</v>
      </c>
      <c r="AB512" s="823">
        <f t="shared" si="86"/>
        <v>1</v>
      </c>
      <c r="AC512" s="40">
        <f t="shared" ca="1" si="88"/>
        <v>1</v>
      </c>
      <c r="AD512" s="41">
        <f t="shared" ca="1" si="89"/>
        <v>0</v>
      </c>
      <c r="AE512" s="181" t="str">
        <f t="shared" ca="1" si="90"/>
        <v/>
      </c>
      <c r="AF512" s="42" t="str">
        <f t="shared" si="95"/>
        <v>SI</v>
      </c>
      <c r="AG512" s="732" t="s">
        <v>5773</v>
      </c>
      <c r="AH512" s="152" t="s">
        <v>1255</v>
      </c>
      <c r="AI512" s="152" t="s">
        <v>2485</v>
      </c>
      <c r="AJ512" s="152"/>
      <c r="AK512" s="255" t="s">
        <v>562</v>
      </c>
      <c r="AL512" s="279"/>
      <c r="AM512" s="279" t="s">
        <v>3796</v>
      </c>
      <c r="AN512" s="161" t="str">
        <f t="shared" ca="1" si="91"/>
        <v>TERMINO</v>
      </c>
      <c r="AO512" s="284" t="s">
        <v>582</v>
      </c>
      <c r="AP512" s="155" t="s">
        <v>391</v>
      </c>
      <c r="AQ512" s="819" t="str">
        <f>IFERROR(VLOOKUP(E512,'liquidaciones '!$B$2:$C$1048576,2,0),"NO")</f>
        <v>LIQUIDADO</v>
      </c>
      <c r="AR512" s="909" t="str">
        <f>IFERROR(VLOOKUP(E512,'liquidaciones '!$B$2:$I$1048576,8,0),"")</f>
        <v>GABINO HERNANDEZ</v>
      </c>
      <c r="AS512" s="406"/>
      <c r="AT512" s="156" t="str">
        <f t="shared" ca="1" si="92"/>
        <v>NO</v>
      </c>
      <c r="AU512" s="406" t="s">
        <v>1509</v>
      </c>
      <c r="AV512" s="406"/>
      <c r="AW512" s="930" t="s">
        <v>3985</v>
      </c>
      <c r="AX512" s="928"/>
      <c r="AY512" s="928"/>
    </row>
    <row r="513" spans="3:51" ht="40.799999999999997" x14ac:dyDescent="0.3">
      <c r="C513" s="837">
        <v>69</v>
      </c>
      <c r="D513" s="837"/>
      <c r="E513" s="120" t="s">
        <v>2890</v>
      </c>
      <c r="F513" s="414" t="s">
        <v>1514</v>
      </c>
      <c r="G513" s="873">
        <v>80117116</v>
      </c>
      <c r="H513" s="967" t="s">
        <v>2891</v>
      </c>
      <c r="I513" s="877">
        <v>38999997</v>
      </c>
      <c r="J513" s="843" t="s">
        <v>2890</v>
      </c>
      <c r="K513" s="269">
        <v>2017</v>
      </c>
      <c r="L513" s="519">
        <v>42851</v>
      </c>
      <c r="M513" s="840">
        <v>42858</v>
      </c>
      <c r="N513" s="840">
        <v>43134</v>
      </c>
      <c r="O513" s="1099" t="str">
        <f>IF(+Modificaciones!I513=0,"",VLOOKUP(E513,Modificaciones!$B$7:$I$2400,8,0))</f>
        <v/>
      </c>
      <c r="P513" s="115">
        <f>COUNTA(Modificaciones!J513,Modificaciones!L513,Modificaciones!N513,Modificaciones!P513)</f>
        <v>1</v>
      </c>
      <c r="Q513" s="116">
        <f>VLOOKUP(E513,Modificaciones!$B$7:$R$2300,17,0)</f>
        <v>19499999</v>
      </c>
      <c r="R513" s="117">
        <f>COUNTA(Modificaciones!T513,Modificaciones!V513,Modificaciones!X513,Modificaciones!Z513)</f>
        <v>1</v>
      </c>
      <c r="S513" s="118" t="str">
        <f>IF(Modificaciones!AA513=0,"",VLOOKUP(E513,Modificaciones!$B$7:$AA$2400,26,0))</f>
        <v>4 meses y 15 dias calendario</v>
      </c>
      <c r="T513" s="119">
        <f>IF(Modificaciones!AB513=0,"",VLOOKUP(E513,Modificaciones!$B$7:$AB$2400,27,0))</f>
        <v>43268</v>
      </c>
      <c r="U513" s="1080" t="str">
        <f>+Modificaciones!AC513</f>
        <v/>
      </c>
      <c r="V513" s="825" t="str">
        <f>+Modificaciones!AK513</f>
        <v/>
      </c>
      <c r="W513" s="825">
        <f t="shared" si="87"/>
        <v>43268</v>
      </c>
      <c r="X513" s="59">
        <f t="shared" si="85"/>
        <v>58499996</v>
      </c>
      <c r="Y513" s="151">
        <f>VLOOKUP(E513,Modificaciones!$B$7:$BE$2300,56,0)</f>
        <v>58499996</v>
      </c>
      <c r="Z513" s="84">
        <f t="shared" si="96"/>
        <v>0</v>
      </c>
      <c r="AA513" s="283" t="s">
        <v>1094</v>
      </c>
      <c r="AB513" s="823">
        <f t="shared" si="86"/>
        <v>1</v>
      </c>
      <c r="AC513" s="40">
        <f t="shared" ca="1" si="88"/>
        <v>1</v>
      </c>
      <c r="AD513" s="41">
        <f t="shared" ca="1" si="89"/>
        <v>0</v>
      </c>
      <c r="AE513" s="181" t="str">
        <f t="shared" ca="1" si="90"/>
        <v/>
      </c>
      <c r="AF513" s="42" t="str">
        <f t="shared" si="95"/>
        <v>SI</v>
      </c>
      <c r="AG513" s="732" t="s">
        <v>5773</v>
      </c>
      <c r="AH513" s="152" t="s">
        <v>1255</v>
      </c>
      <c r="AI513" s="152" t="s">
        <v>2172</v>
      </c>
      <c r="AJ513" s="152" t="s">
        <v>1429</v>
      </c>
      <c r="AK513" s="255" t="s">
        <v>564</v>
      </c>
      <c r="AL513" s="279"/>
      <c r="AM513" s="279" t="s">
        <v>2830</v>
      </c>
      <c r="AN513" s="161" t="str">
        <f t="shared" ca="1" si="91"/>
        <v>TERMINO</v>
      </c>
      <c r="AO513" s="160" t="s">
        <v>582</v>
      </c>
      <c r="AP513" s="155" t="s">
        <v>391</v>
      </c>
      <c r="AQ513" s="819" t="str">
        <f>IFERROR(VLOOKUP(E513,'liquidaciones '!$B$2:$C$1048576,2,0),"NO")</f>
        <v>LIQUIDADO</v>
      </c>
      <c r="AR513" s="909" t="str">
        <f>IFERROR(VLOOKUP(E513,'liquidaciones '!$B$2:$I$1048576,8,0),"")</f>
        <v>JUAN DIEGO ESPITIA</v>
      </c>
      <c r="AS513" s="406"/>
      <c r="AT513" s="156" t="str">
        <f t="shared" ca="1" si="92"/>
        <v>NO</v>
      </c>
      <c r="AU513" s="406" t="s">
        <v>3050</v>
      </c>
      <c r="AV513" s="406"/>
      <c r="AW513" s="930" t="s">
        <v>3920</v>
      </c>
      <c r="AX513" s="928"/>
      <c r="AY513" s="928"/>
    </row>
    <row r="514" spans="3:51" ht="30.6" x14ac:dyDescent="0.3">
      <c r="C514" s="837"/>
      <c r="D514" s="837"/>
      <c r="E514" s="120" t="s">
        <v>2892</v>
      </c>
      <c r="F514" s="414" t="s">
        <v>2893</v>
      </c>
      <c r="G514" s="873">
        <v>19244462</v>
      </c>
      <c r="H514" s="967" t="s">
        <v>2903</v>
      </c>
      <c r="I514" s="877">
        <v>57000000</v>
      </c>
      <c r="J514" s="843" t="s">
        <v>2892</v>
      </c>
      <c r="K514" s="269">
        <v>2017</v>
      </c>
      <c r="L514" s="519">
        <v>42850</v>
      </c>
      <c r="M514" s="840">
        <v>42857</v>
      </c>
      <c r="N514" s="840">
        <v>43161</v>
      </c>
      <c r="O514" s="1099" t="str">
        <f>IF(+Modificaciones!I514=0,"",VLOOKUP(E514,Modificaciones!$B$7:$I$2400,8,0))</f>
        <v/>
      </c>
      <c r="P514" s="115">
        <f>COUNTA(Modificaciones!J514,Modificaciones!L514,Modificaciones!N514,Modificaciones!P514)</f>
        <v>1</v>
      </c>
      <c r="Q514" s="116">
        <f>VLOOKUP(E514,Modificaciones!$B$7:$R$2300,17,0)</f>
        <v>22230000</v>
      </c>
      <c r="R514" s="117">
        <f>COUNTA(Modificaciones!T514,Modificaciones!V514,Modificaciones!X514,Modificaciones!Z514)</f>
        <v>1</v>
      </c>
      <c r="S514" s="118" t="str">
        <f>IF(Modificaciones!AA514=0,"",VLOOKUP(E514,Modificaciones!$B$7:$AA$2400,26,0))</f>
        <v>3 meses y 27 días calendario</v>
      </c>
      <c r="T514" s="119">
        <f>IF(Modificaciones!AB514=0,"",VLOOKUP(E514,Modificaciones!$B$7:$AB$2400,27,0))</f>
        <v>43280</v>
      </c>
      <c r="U514" s="1080" t="str">
        <f>+Modificaciones!AC514</f>
        <v/>
      </c>
      <c r="V514" s="825" t="str">
        <f>+Modificaciones!AK514</f>
        <v/>
      </c>
      <c r="W514" s="825">
        <f t="shared" si="87"/>
        <v>43280</v>
      </c>
      <c r="X514" s="59">
        <f t="shared" si="85"/>
        <v>79230000</v>
      </c>
      <c r="Y514" s="151">
        <f>VLOOKUP(E514,Modificaciones!$B$7:$BE$2300,56,0)</f>
        <v>79230000</v>
      </c>
      <c r="Z514" s="84">
        <f t="shared" si="96"/>
        <v>0</v>
      </c>
      <c r="AA514" s="283" t="s">
        <v>1094</v>
      </c>
      <c r="AB514" s="823">
        <f t="shared" si="86"/>
        <v>1</v>
      </c>
      <c r="AC514" s="40">
        <f t="shared" ca="1" si="88"/>
        <v>1</v>
      </c>
      <c r="AD514" s="41">
        <f t="shared" ca="1" si="89"/>
        <v>0</v>
      </c>
      <c r="AE514" s="181" t="str">
        <f t="shared" ca="1" si="90"/>
        <v/>
      </c>
      <c r="AF514" s="42" t="str">
        <f t="shared" si="95"/>
        <v>SI</v>
      </c>
      <c r="AG514" s="732" t="s">
        <v>5773</v>
      </c>
      <c r="AH514" s="152" t="s">
        <v>1255</v>
      </c>
      <c r="AI514" s="152" t="s">
        <v>2173</v>
      </c>
      <c r="AJ514" s="152" t="s">
        <v>1176</v>
      </c>
      <c r="AK514" s="255" t="s">
        <v>559</v>
      </c>
      <c r="AL514" s="153"/>
      <c r="AM514" s="279" t="s">
        <v>2830</v>
      </c>
      <c r="AN514" s="161" t="str">
        <f t="shared" ca="1" si="91"/>
        <v>TERMINO</v>
      </c>
      <c r="AO514" s="160" t="s">
        <v>582</v>
      </c>
      <c r="AP514" s="155" t="s">
        <v>391</v>
      </c>
      <c r="AQ514" s="819" t="str">
        <f>IFERROR(VLOOKUP(E514,'liquidaciones '!$B$2:$C$1048576,2,0),"NO")</f>
        <v>LIQUIDADO</v>
      </c>
      <c r="AR514" s="909" t="str">
        <f>IFERROR(VLOOKUP(E514,'liquidaciones '!$B$2:$I$1048576,8,0),"")</f>
        <v>GABINO HERNANDEZ</v>
      </c>
      <c r="AS514" s="406"/>
      <c r="AT514" s="156" t="str">
        <f t="shared" ca="1" si="92"/>
        <v>NO</v>
      </c>
      <c r="AU514" s="406" t="s">
        <v>1509</v>
      </c>
      <c r="AV514" s="406"/>
      <c r="AW514" s="930" t="s">
        <v>3938</v>
      </c>
      <c r="AX514" s="928"/>
      <c r="AY514" s="928"/>
    </row>
    <row r="515" spans="3:51" ht="30.6" x14ac:dyDescent="0.3">
      <c r="C515" s="837">
        <v>246</v>
      </c>
      <c r="D515" s="837"/>
      <c r="E515" s="120" t="s">
        <v>2894</v>
      </c>
      <c r="F515" s="414" t="s">
        <v>3803</v>
      </c>
      <c r="G515" s="873">
        <v>79615371</v>
      </c>
      <c r="H515" s="967" t="s">
        <v>2895</v>
      </c>
      <c r="I515" s="877">
        <v>57000000</v>
      </c>
      <c r="J515" s="843" t="s">
        <v>2894</v>
      </c>
      <c r="K515" s="269">
        <v>2017</v>
      </c>
      <c r="L515" s="519">
        <v>42850</v>
      </c>
      <c r="M515" s="840">
        <v>42857</v>
      </c>
      <c r="N515" s="840">
        <v>43161</v>
      </c>
      <c r="O515" s="1099" t="str">
        <f>IF(+Modificaciones!I515=0,"",VLOOKUP(E515,Modificaciones!$B$7:$I$2400,8,0))</f>
        <v/>
      </c>
      <c r="P515" s="115">
        <f>COUNTA(Modificaciones!J515,Modificaciones!L515,Modificaciones!N515,Modificaciones!P515)</f>
        <v>1</v>
      </c>
      <c r="Q515" s="116">
        <f>VLOOKUP(E515,Modificaciones!$B$7:$R$2300,17,0)</f>
        <v>22230000</v>
      </c>
      <c r="R515" s="117">
        <f>COUNTA(Modificaciones!T515,Modificaciones!V515,Modificaciones!X515,Modificaciones!Z515)</f>
        <v>1</v>
      </c>
      <c r="S515" s="118" t="str">
        <f>IF(Modificaciones!AA515=0,"",VLOOKUP(E515,Modificaciones!$B$7:$AA$2400,26,0))</f>
        <v>3 meses y 27 días calendario</v>
      </c>
      <c r="T515" s="119">
        <f>IF(Modificaciones!AB515=0,"",VLOOKUP(E515,Modificaciones!$B$7:$AB$2400,27,0))</f>
        <v>43280</v>
      </c>
      <c r="U515" s="1080" t="str">
        <f>+Modificaciones!AC515</f>
        <v/>
      </c>
      <c r="V515" s="825" t="str">
        <f>+Modificaciones!AK515</f>
        <v/>
      </c>
      <c r="W515" s="825">
        <f t="shared" si="87"/>
        <v>43280</v>
      </c>
      <c r="X515" s="59">
        <f t="shared" si="85"/>
        <v>79230000</v>
      </c>
      <c r="Y515" s="151">
        <f>VLOOKUP(E515,Modificaciones!$B$7:$BE$2300,56,0)</f>
        <v>76380000</v>
      </c>
      <c r="Z515" s="84">
        <f t="shared" si="96"/>
        <v>2850000</v>
      </c>
      <c r="AA515" s="283" t="s">
        <v>1094</v>
      </c>
      <c r="AB515" s="823">
        <f t="shared" si="86"/>
        <v>0.96402877697841727</v>
      </c>
      <c r="AC515" s="40">
        <f t="shared" ca="1" si="88"/>
        <v>1</v>
      </c>
      <c r="AD515" s="41">
        <f t="shared" ca="1" si="89"/>
        <v>3.5971223021582732E-2</v>
      </c>
      <c r="AE515" s="181" t="str">
        <f t="shared" ca="1" si="90"/>
        <v/>
      </c>
      <c r="AF515" s="42" t="str">
        <f t="shared" si="95"/>
        <v>NO</v>
      </c>
      <c r="AG515" s="732" t="s">
        <v>5773</v>
      </c>
      <c r="AH515" s="152" t="s">
        <v>1255</v>
      </c>
      <c r="AI515" s="152" t="s">
        <v>2588</v>
      </c>
      <c r="AJ515" s="152" t="s">
        <v>1176</v>
      </c>
      <c r="AK515" s="255" t="s">
        <v>559</v>
      </c>
      <c r="AL515" s="279"/>
      <c r="AM515" s="279" t="s">
        <v>2830</v>
      </c>
      <c r="AN515" s="161" t="str">
        <f t="shared" ca="1" si="91"/>
        <v>TERMINO</v>
      </c>
      <c r="AO515" s="284" t="s">
        <v>582</v>
      </c>
      <c r="AP515" s="155" t="s">
        <v>391</v>
      </c>
      <c r="AQ515" s="819" t="str">
        <f>IFERROR(VLOOKUP(E515,'liquidaciones '!$B$2:$C$1048576,2,0),"NO")</f>
        <v>LIQUIDADO</v>
      </c>
      <c r="AR515" s="909" t="str">
        <f>IFERROR(VLOOKUP(E515,'liquidaciones '!$B$2:$I$1048576,8,0),"")</f>
        <v>GABINO HERNANDEZ</v>
      </c>
      <c r="AS515" s="406"/>
      <c r="AT515" s="156" t="str">
        <f t="shared" ca="1" si="92"/>
        <v>NO</v>
      </c>
      <c r="AU515" s="406" t="s">
        <v>3050</v>
      </c>
      <c r="AV515" s="406"/>
      <c r="AW515" s="930" t="s">
        <v>3938</v>
      </c>
      <c r="AX515" s="928"/>
      <c r="AY515" s="928"/>
    </row>
    <row r="516" spans="3:51" ht="65.25" customHeight="1" x14ac:dyDescent="0.3">
      <c r="C516" s="837"/>
      <c r="D516" s="837"/>
      <c r="E516" s="120" t="s">
        <v>2897</v>
      </c>
      <c r="F516" s="414" t="s">
        <v>2898</v>
      </c>
      <c r="G516" s="873" t="s">
        <v>2719</v>
      </c>
      <c r="H516" s="967" t="s">
        <v>2899</v>
      </c>
      <c r="I516" s="877">
        <v>443322870</v>
      </c>
      <c r="J516" s="843" t="s">
        <v>2897</v>
      </c>
      <c r="K516" s="269">
        <v>2017</v>
      </c>
      <c r="L516" s="519">
        <v>42849</v>
      </c>
      <c r="M516" s="840">
        <v>42857</v>
      </c>
      <c r="N516" s="840">
        <v>43192</v>
      </c>
      <c r="O516" s="1099" t="str">
        <f>IF(+Modificaciones!I516=0,"",VLOOKUP(E516,Modificaciones!$B$7:$I$2400,8,0))</f>
        <v/>
      </c>
      <c r="P516" s="115">
        <f>COUNTA(Modificaciones!J516,Modificaciones!L516,Modificaciones!N516,Modificaciones!P516)</f>
        <v>2</v>
      </c>
      <c r="Q516" s="116">
        <f>VLOOKUP(E516,Modificaciones!$B$7:$R$2300,17,0)</f>
        <v>191102048</v>
      </c>
      <c r="R516" s="117">
        <f>COUNTA(Modificaciones!T516,Modificaciones!V516,Modificaciones!X516,Modificaciones!Z516)</f>
        <v>2</v>
      </c>
      <c r="S516" s="118" t="str">
        <f>IF(Modificaciones!AA516=0,"",VLOOKUP(E516,Modificaciones!$B$7:$AA$2400,26,0))</f>
        <v>6 MESES</v>
      </c>
      <c r="T516" s="119">
        <f>IF(Modificaciones!AB516=0,"",VLOOKUP(E516,Modificaciones!$B$7:$AB$2400,27,0))</f>
        <v>43375</v>
      </c>
      <c r="U516" s="1080" t="str">
        <f>+Modificaciones!AC516</f>
        <v/>
      </c>
      <c r="V516" s="825" t="str">
        <f>+Modificaciones!AK516</f>
        <v/>
      </c>
      <c r="W516" s="825">
        <f t="shared" si="87"/>
        <v>43375</v>
      </c>
      <c r="X516" s="59">
        <f t="shared" si="85"/>
        <v>634424918</v>
      </c>
      <c r="Y516" s="151">
        <f>VLOOKUP(E516,Modificaciones!$B$7:$BE$2300,56,0)</f>
        <v>602878071</v>
      </c>
      <c r="Z516" s="84">
        <f t="shared" si="96"/>
        <v>31546847</v>
      </c>
      <c r="AA516" s="869" t="s">
        <v>2900</v>
      </c>
      <c r="AB516" s="823">
        <f t="shared" si="86"/>
        <v>0.95027489289126565</v>
      </c>
      <c r="AC516" s="40">
        <f t="shared" ca="1" si="88"/>
        <v>1</v>
      </c>
      <c r="AD516" s="41">
        <f t="shared" ca="1" si="89"/>
        <v>4.9725107108734345E-2</v>
      </c>
      <c r="AE516" s="181" t="str">
        <f t="shared" ca="1" si="90"/>
        <v/>
      </c>
      <c r="AF516" s="42" t="str">
        <f t="shared" si="95"/>
        <v>NO</v>
      </c>
      <c r="AG516" s="1017" t="s">
        <v>4920</v>
      </c>
      <c r="AH516" s="152" t="s">
        <v>1256</v>
      </c>
      <c r="AI516" s="255" t="s">
        <v>2183</v>
      </c>
      <c r="AJ516" s="152" t="s">
        <v>1438</v>
      </c>
      <c r="AK516" s="255" t="s">
        <v>560</v>
      </c>
      <c r="AL516" s="279" t="s">
        <v>1508</v>
      </c>
      <c r="AM516" s="279" t="s">
        <v>3795</v>
      </c>
      <c r="AN516" s="161" t="str">
        <f t="shared" ca="1" si="91"/>
        <v>TERMINO</v>
      </c>
      <c r="AO516" s="284" t="s">
        <v>573</v>
      </c>
      <c r="AP516" s="406" t="s">
        <v>390</v>
      </c>
      <c r="AQ516" s="819" t="str">
        <f>IFERROR(VLOOKUP(E516,'liquidaciones '!$B$2:$C$1048576,2,0),"NO")</f>
        <v>LIQUIDADO</v>
      </c>
      <c r="AR516" s="909" t="str">
        <f>IFERROR(VLOOKUP(E516,'liquidaciones '!$B$2:$I$1048576,8,0),"")</f>
        <v>JUAN DIEGO ESPÍTIA</v>
      </c>
      <c r="AS516" s="406"/>
      <c r="AT516" s="156" t="str">
        <f t="shared" ca="1" si="92"/>
        <v>SI</v>
      </c>
      <c r="AU516" s="156" t="s">
        <v>3512</v>
      </c>
      <c r="AV516" s="406" t="s">
        <v>3778</v>
      </c>
      <c r="AW516" s="930" t="s">
        <v>560</v>
      </c>
      <c r="AX516" s="928"/>
      <c r="AY516" s="928"/>
    </row>
    <row r="517" spans="3:51" ht="30.6" x14ac:dyDescent="0.3">
      <c r="C517" s="837">
        <v>70</v>
      </c>
      <c r="D517" s="837"/>
      <c r="E517" s="120" t="s">
        <v>2907</v>
      </c>
      <c r="F517" s="414" t="s">
        <v>1033</v>
      </c>
      <c r="G517" s="873">
        <v>79887061</v>
      </c>
      <c r="H517" s="967" t="s">
        <v>2908</v>
      </c>
      <c r="I517" s="877">
        <v>38999996</v>
      </c>
      <c r="J517" s="843" t="s">
        <v>2907</v>
      </c>
      <c r="K517" s="269">
        <v>2017</v>
      </c>
      <c r="L517" s="519">
        <v>42850</v>
      </c>
      <c r="M517" s="840">
        <v>42858</v>
      </c>
      <c r="N517" s="840">
        <v>43134</v>
      </c>
      <c r="O517" s="1099" t="str">
        <f>IF(+Modificaciones!I517=0,"",VLOOKUP(E517,Modificaciones!$B$7:$I$2400,8,0))</f>
        <v/>
      </c>
      <c r="P517" s="115">
        <f>COUNTA(Modificaciones!J517,Modificaciones!L517,Modificaciones!N517,Modificaciones!P517)</f>
        <v>0</v>
      </c>
      <c r="Q517" s="116">
        <f>VLOOKUP(E517,Modificaciones!$B$7:$R$2300,17,0)</f>
        <v>0</v>
      </c>
      <c r="R517" s="117">
        <f>COUNTA(Modificaciones!T517,Modificaciones!V517,Modificaciones!X517,Modificaciones!Z517)</f>
        <v>0</v>
      </c>
      <c r="S517" s="118" t="str">
        <f>IF(Modificaciones!AA517=0,"",VLOOKUP(E517,Modificaciones!$B$7:$AA$2400,26,0))</f>
        <v/>
      </c>
      <c r="T517" s="119" t="str">
        <f>IF(Modificaciones!AB517=0,"",VLOOKUP(E517,Modificaciones!$B$7:$AB$2400,27,0))</f>
        <v/>
      </c>
      <c r="U517" s="1080" t="str">
        <f>+Modificaciones!AC517</f>
        <v/>
      </c>
      <c r="V517" s="825" t="str">
        <f>+Modificaciones!AK517</f>
        <v/>
      </c>
      <c r="W517" s="825">
        <f t="shared" si="87"/>
        <v>43134</v>
      </c>
      <c r="X517" s="59">
        <f t="shared" si="85"/>
        <v>38999996</v>
      </c>
      <c r="Y517" s="151">
        <f>VLOOKUP(E517,Modificaciones!$B$7:$BE$2300,56,0)</f>
        <v>11754126</v>
      </c>
      <c r="Z517" s="84">
        <f t="shared" si="96"/>
        <v>27245870</v>
      </c>
      <c r="AA517" s="283" t="s">
        <v>1094</v>
      </c>
      <c r="AB517" s="823">
        <f t="shared" si="86"/>
        <v>0.3013878770654233</v>
      </c>
      <c r="AC517" s="40">
        <f t="shared" ca="1" si="88"/>
        <v>1</v>
      </c>
      <c r="AD517" s="41">
        <f t="shared" ca="1" si="89"/>
        <v>0.69861212293457675</v>
      </c>
      <c r="AE517" s="181" t="str">
        <f t="shared" ca="1" si="90"/>
        <v/>
      </c>
      <c r="AF517" s="42" t="str">
        <f t="shared" si="95"/>
        <v>NO</v>
      </c>
      <c r="AG517" s="732" t="s">
        <v>5773</v>
      </c>
      <c r="AH517" s="152" t="s">
        <v>1255</v>
      </c>
      <c r="AI517" s="152" t="s">
        <v>2177</v>
      </c>
      <c r="AJ517" s="152" t="s">
        <v>1438</v>
      </c>
      <c r="AK517" s="255" t="s">
        <v>560</v>
      </c>
      <c r="AL517" s="279" t="s">
        <v>1508</v>
      </c>
      <c r="AM517" s="279" t="s">
        <v>3795</v>
      </c>
      <c r="AN517" s="161" t="str">
        <f t="shared" ca="1" si="91"/>
        <v>TERMINO</v>
      </c>
      <c r="AO517" s="160" t="s">
        <v>582</v>
      </c>
      <c r="AP517" s="155" t="s">
        <v>391</v>
      </c>
      <c r="AQ517" s="819" t="str">
        <f>IFERROR(VLOOKUP(E517,'liquidaciones '!$B$2:$C$1048576,2,0),"NO")</f>
        <v>LIQUIDADO</v>
      </c>
      <c r="AR517" s="909">
        <f>IFERROR(VLOOKUP(E517,'liquidaciones '!$B$2:$I$1048576,8,0),"")</f>
        <v>0</v>
      </c>
      <c r="AS517" s="406"/>
      <c r="AT517" s="156" t="str">
        <f t="shared" ca="1" si="92"/>
        <v>NO</v>
      </c>
      <c r="AU517" s="406" t="s">
        <v>3050</v>
      </c>
      <c r="AV517" s="406" t="s">
        <v>3778</v>
      </c>
      <c r="AW517" s="930" t="s">
        <v>560</v>
      </c>
      <c r="AX517" s="928"/>
      <c r="AY517" s="928"/>
    </row>
    <row r="518" spans="3:51" ht="40.799999999999997" x14ac:dyDescent="0.3">
      <c r="C518" s="837"/>
      <c r="D518" s="837"/>
      <c r="E518" s="120" t="s">
        <v>2909</v>
      </c>
      <c r="F518" s="414" t="s">
        <v>2910</v>
      </c>
      <c r="G518" s="873">
        <v>41690000</v>
      </c>
      <c r="H518" s="967" t="s">
        <v>2911</v>
      </c>
      <c r="I518" s="877">
        <v>38999997</v>
      </c>
      <c r="J518" s="843" t="s">
        <v>2909</v>
      </c>
      <c r="K518" s="269">
        <v>2017</v>
      </c>
      <c r="L518" s="519">
        <v>42857</v>
      </c>
      <c r="M518" s="840">
        <v>42858</v>
      </c>
      <c r="N518" s="840">
        <v>43134</v>
      </c>
      <c r="O518" s="1099" t="str">
        <f>IF(+Modificaciones!I518=0,"",VLOOKUP(E518,Modificaciones!$B$7:$I$2400,8,0))</f>
        <v/>
      </c>
      <c r="P518" s="115">
        <f>COUNTA(Modificaciones!J518,Modificaciones!L518,Modificaciones!N518,Modificaciones!P518)</f>
        <v>1</v>
      </c>
      <c r="Q518" s="116">
        <f>VLOOKUP(E518,Modificaciones!$B$7:$R$2300,17,0)</f>
        <v>19499999</v>
      </c>
      <c r="R518" s="117">
        <f>COUNTA(Modificaciones!T518,Modificaciones!V518,Modificaciones!X518,Modificaciones!Z518)</f>
        <v>1</v>
      </c>
      <c r="S518" s="118" t="str">
        <f>IF(Modificaciones!AA518=0,"",VLOOKUP(E518,Modificaciones!$B$7:$AA$2400,26,0))</f>
        <v>4 meses y 15 días calendario</v>
      </c>
      <c r="T518" s="119">
        <f>IF(Modificaciones!AB518=0,"",VLOOKUP(E518,Modificaciones!$B$7:$AB$2400,27,0))</f>
        <v>43269</v>
      </c>
      <c r="U518" s="1080" t="str">
        <f>+Modificaciones!AC518</f>
        <v/>
      </c>
      <c r="V518" s="825" t="str">
        <f>+Modificaciones!AK518</f>
        <v/>
      </c>
      <c r="W518" s="825">
        <f t="shared" si="87"/>
        <v>43269</v>
      </c>
      <c r="X518" s="59">
        <f t="shared" si="85"/>
        <v>58499996</v>
      </c>
      <c r="Y518" s="151">
        <f>VLOOKUP(E518,Modificaciones!$B$7:$BE$2300,56,0)</f>
        <v>58499995</v>
      </c>
      <c r="Z518" s="84">
        <f t="shared" si="96"/>
        <v>1</v>
      </c>
      <c r="AA518" s="283" t="s">
        <v>1094</v>
      </c>
      <c r="AB518" s="823">
        <f t="shared" si="86"/>
        <v>0.99999998290598169</v>
      </c>
      <c r="AC518" s="40">
        <f t="shared" ca="1" si="88"/>
        <v>1</v>
      </c>
      <c r="AD518" s="41">
        <f t="shared" ca="1" si="89"/>
        <v>1.7094018311958337E-8</v>
      </c>
      <c r="AE518" s="181" t="str">
        <f t="shared" ca="1" si="90"/>
        <v/>
      </c>
      <c r="AF518" s="42" t="str">
        <f t="shared" si="95"/>
        <v>SI</v>
      </c>
      <c r="AG518" s="732" t="s">
        <v>5773</v>
      </c>
      <c r="AH518" s="152" t="s">
        <v>1255</v>
      </c>
      <c r="AI518" s="152" t="s">
        <v>4461</v>
      </c>
      <c r="AJ518" s="152" t="s">
        <v>1438</v>
      </c>
      <c r="AK518" s="255" t="s">
        <v>560</v>
      </c>
      <c r="AL518" s="838"/>
      <c r="AM518" s="279" t="s">
        <v>3796</v>
      </c>
      <c r="AN518" s="161" t="str">
        <f t="shared" ca="1" si="91"/>
        <v>TERMINO</v>
      </c>
      <c r="AO518" s="160" t="s">
        <v>582</v>
      </c>
      <c r="AP518" s="406" t="s">
        <v>391</v>
      </c>
      <c r="AQ518" s="819" t="str">
        <f>IFERROR(VLOOKUP(E518,'liquidaciones '!$B$2:$C$1048576,2,0),"NO")</f>
        <v>EN TRÁMITE</v>
      </c>
      <c r="AR518" s="909" t="str">
        <f>IFERROR(VLOOKUP(E518,'liquidaciones '!$B$2:$I$1048576,8,0),"")</f>
        <v>JUAN DIEGO ESPITIA</v>
      </c>
      <c r="AS518" s="406"/>
      <c r="AT518" s="156" t="str">
        <f t="shared" ca="1" si="92"/>
        <v>NO</v>
      </c>
      <c r="AU518" s="156" t="s">
        <v>2973</v>
      </c>
      <c r="AV518" s="406"/>
      <c r="AW518" s="930" t="s">
        <v>3985</v>
      </c>
      <c r="AX518" s="928"/>
      <c r="AY518" s="928"/>
    </row>
    <row r="519" spans="3:51" ht="45" customHeight="1" x14ac:dyDescent="0.3">
      <c r="C519" s="837">
        <v>144</v>
      </c>
      <c r="D519" s="837"/>
      <c r="E519" s="120" t="s">
        <v>2912</v>
      </c>
      <c r="F519" s="414" t="s">
        <v>2913</v>
      </c>
      <c r="G519" s="873">
        <v>1013625644</v>
      </c>
      <c r="H519" s="965" t="s">
        <v>2482</v>
      </c>
      <c r="I519" s="877">
        <v>22500000</v>
      </c>
      <c r="J519" s="843" t="s">
        <v>2912</v>
      </c>
      <c r="K519" s="269">
        <v>2017</v>
      </c>
      <c r="L519" s="519">
        <v>42853</v>
      </c>
      <c r="M519" s="835">
        <v>42863</v>
      </c>
      <c r="N519" s="835">
        <v>43139</v>
      </c>
      <c r="O519" s="1099" t="str">
        <f>IF(+Modificaciones!I519=0,"",VLOOKUP(E519,Modificaciones!$B$7:$I$2400,8,0))</f>
        <v/>
      </c>
      <c r="P519" s="115">
        <f>COUNTA(Modificaciones!J519,Modificaciones!L519,Modificaciones!N519,Modificaciones!P519)</f>
        <v>1</v>
      </c>
      <c r="Q519" s="116">
        <f>VLOOKUP(E519,Modificaciones!$B$7:$R$2300,17,0)</f>
        <v>11166667</v>
      </c>
      <c r="R519" s="117">
        <f>COUNTA(Modificaciones!T519,Modificaciones!V519,Modificaciones!X519,Modificaciones!Z519)</f>
        <v>1</v>
      </c>
      <c r="S519" s="118" t="str">
        <f>IF(Modificaciones!AA519=0,"",VLOOKUP(E519,Modificaciones!$B$7:$AA$2400,26,0))</f>
        <v>4 meses y 14 días calendario</v>
      </c>
      <c r="T519" s="119">
        <f>IF(Modificaciones!AB519=0,"",VLOOKUP(E519,Modificaciones!$B$7:$AB$2400,27,0))</f>
        <v>43273</v>
      </c>
      <c r="U519" s="1080" t="str">
        <f>+Modificaciones!AC519</f>
        <v/>
      </c>
      <c r="V519" s="825" t="str">
        <f>+Modificaciones!AK519</f>
        <v/>
      </c>
      <c r="W519" s="825">
        <f t="shared" si="87"/>
        <v>43273</v>
      </c>
      <c r="X519" s="59">
        <f t="shared" ref="X519:X582" si="97">I519+Q519</f>
        <v>33666667</v>
      </c>
      <c r="Y519" s="151">
        <f>VLOOKUP(E519,Modificaciones!$B$7:$BE$2300,56,0)</f>
        <v>33666667</v>
      </c>
      <c r="Z519" s="84">
        <f t="shared" si="96"/>
        <v>0</v>
      </c>
      <c r="AA519" s="283" t="s">
        <v>1094</v>
      </c>
      <c r="AB519" s="823">
        <f t="shared" ref="AB519:AB582" si="98">(Y519*100%)/X519</f>
        <v>1</v>
      </c>
      <c r="AC519" s="40">
        <f t="shared" ca="1" si="88"/>
        <v>1</v>
      </c>
      <c r="AD519" s="41">
        <f t="shared" ca="1" si="89"/>
        <v>0</v>
      </c>
      <c r="AE519" s="181" t="str">
        <f t="shared" ca="1" si="90"/>
        <v/>
      </c>
      <c r="AF519" s="42" t="str">
        <f t="shared" si="95"/>
        <v>SI</v>
      </c>
      <c r="AG519" s="732" t="s">
        <v>5773</v>
      </c>
      <c r="AH519" s="152" t="s">
        <v>1255</v>
      </c>
      <c r="AI519" s="152" t="s">
        <v>2178</v>
      </c>
      <c r="AJ519" s="152" t="s">
        <v>1176</v>
      </c>
      <c r="AK519" s="255" t="s">
        <v>559</v>
      </c>
      <c r="AL519" s="838"/>
      <c r="AM519" s="279" t="s">
        <v>2830</v>
      </c>
      <c r="AN519" s="161" t="str">
        <f t="shared" ca="1" si="91"/>
        <v>TERMINO</v>
      </c>
      <c r="AO519" s="284" t="s">
        <v>582</v>
      </c>
      <c r="AP519" s="155" t="s">
        <v>391</v>
      </c>
      <c r="AQ519" s="819" t="str">
        <f>IFERROR(VLOOKUP(E519,'liquidaciones '!$B$2:$C$1048576,2,0),"NO")</f>
        <v>EN TRÁMITE</v>
      </c>
      <c r="AR519" s="909" t="str">
        <f>IFERROR(VLOOKUP(E519,'liquidaciones '!$B$2:$I$1048576,8,0),"")</f>
        <v>JUAN DIEGO ESPITIA</v>
      </c>
      <c r="AS519" s="406"/>
      <c r="AT519" s="156" t="str">
        <f t="shared" ca="1" si="92"/>
        <v>NO</v>
      </c>
      <c r="AU519" s="406" t="s">
        <v>3050</v>
      </c>
      <c r="AV519" s="406"/>
      <c r="AW519" s="930" t="s">
        <v>3938</v>
      </c>
      <c r="AX519" s="928"/>
      <c r="AY519" s="928"/>
    </row>
    <row r="520" spans="3:51" ht="51" x14ac:dyDescent="0.3">
      <c r="C520" s="837">
        <v>142</v>
      </c>
      <c r="D520" s="837"/>
      <c r="E520" s="120" t="s">
        <v>2915</v>
      </c>
      <c r="F520" s="414" t="s">
        <v>2916</v>
      </c>
      <c r="G520" s="873">
        <v>1018414979</v>
      </c>
      <c r="H520" s="967" t="s">
        <v>1543</v>
      </c>
      <c r="I520" s="877">
        <v>51300000</v>
      </c>
      <c r="J520" s="843" t="s">
        <v>2915</v>
      </c>
      <c r="K520" s="269">
        <v>2017</v>
      </c>
      <c r="L520" s="519">
        <v>42852</v>
      </c>
      <c r="M520" s="840">
        <v>42863</v>
      </c>
      <c r="N520" s="840">
        <v>43139</v>
      </c>
      <c r="O520" s="1099" t="str">
        <f>IF(+Modificaciones!I520=0,"",VLOOKUP(E520,Modificaciones!$B$7:$I$2400,8,0))</f>
        <v/>
      </c>
      <c r="P520" s="115">
        <f>COUNTA(Modificaciones!J520,Modificaciones!L520,Modificaciones!N520,Modificaciones!P520)</f>
        <v>1</v>
      </c>
      <c r="Q520" s="116">
        <f>VLOOKUP(E520,Modificaciones!$B$7:$R$2300,17,0)</f>
        <v>25460000</v>
      </c>
      <c r="R520" s="117">
        <f>COUNTA(Modificaciones!T520,Modificaciones!V520,Modificaciones!X520,Modificaciones!Z520)</f>
        <v>1</v>
      </c>
      <c r="S520" s="118" t="str">
        <f>IF(Modificaciones!AA520=0,"",VLOOKUP(E520,Modificaciones!$B$7:$AA$2400,26,0))</f>
        <v>Cuatro (4) meses y 14 días calendario</v>
      </c>
      <c r="T520" s="119">
        <f>IF(Modificaciones!AB520=0,"",VLOOKUP(E520,Modificaciones!$B$7:$AB$2400,27,0))</f>
        <v>43273</v>
      </c>
      <c r="U520" s="1080" t="str">
        <f>+Modificaciones!AC520</f>
        <v/>
      </c>
      <c r="V520" s="825" t="str">
        <f>+Modificaciones!AK520</f>
        <v/>
      </c>
      <c r="W520" s="825">
        <f t="shared" ref="W520:W583" si="99">MAX(N520,O520,T520,V520)</f>
        <v>43273</v>
      </c>
      <c r="X520" s="59">
        <f t="shared" si="97"/>
        <v>76760000</v>
      </c>
      <c r="Y520" s="151">
        <f>VLOOKUP(E520,Modificaciones!$B$7:$BE$2300,56,0)</f>
        <v>76760000</v>
      </c>
      <c r="Z520" s="84">
        <f t="shared" si="96"/>
        <v>0</v>
      </c>
      <c r="AA520" s="283" t="s">
        <v>1094</v>
      </c>
      <c r="AB520" s="823">
        <f t="shared" si="98"/>
        <v>1</v>
      </c>
      <c r="AC520" s="40">
        <f t="shared" ref="AC520:AC583" ca="1" si="100">IF((($F$3-M520)*100%/(W520-M520))&gt;100%,100%,(($F$3-M520)*100%/(W520-M520)))</f>
        <v>1</v>
      </c>
      <c r="AD520" s="41">
        <f t="shared" ref="AD520:AD583" ca="1" si="101">AC520-AB520</f>
        <v>0</v>
      </c>
      <c r="AE520" s="181" t="str">
        <f t="shared" ref="AE520:AE583" ca="1" si="102">IF(AC520&lt;100%,W520-$F$3,"")</f>
        <v/>
      </c>
      <c r="AF520" s="42" t="str">
        <f t="shared" si="95"/>
        <v>SI</v>
      </c>
      <c r="AG520" s="732" t="s">
        <v>5773</v>
      </c>
      <c r="AH520" s="152" t="s">
        <v>1255</v>
      </c>
      <c r="AI520" s="152" t="s">
        <v>2169</v>
      </c>
      <c r="AJ520" s="152" t="s">
        <v>1176</v>
      </c>
      <c r="AK520" s="255" t="s">
        <v>559</v>
      </c>
      <c r="AL520" s="279"/>
      <c r="AM520" s="279" t="s">
        <v>2830</v>
      </c>
      <c r="AN520" s="161" t="str">
        <f t="shared" ref="AN520:AN583" ca="1" si="103">IF(W520&gt;=$F$3,"EN EJECUCIÓN","TERMINO")</f>
        <v>TERMINO</v>
      </c>
      <c r="AO520" s="284" t="s">
        <v>582</v>
      </c>
      <c r="AP520" s="155" t="s">
        <v>391</v>
      </c>
      <c r="AQ520" s="819" t="str">
        <f>IFERROR(VLOOKUP(E520,'liquidaciones '!$B$2:$C$1048576,2,0),"NO")</f>
        <v>LIQUIDADO</v>
      </c>
      <c r="AR520" s="909" t="str">
        <f>IFERROR(VLOOKUP(E520,'liquidaciones '!$B$2:$I$1048576,8,0),"")</f>
        <v>GABINO HERNANDEZ</v>
      </c>
      <c r="AS520" s="406"/>
      <c r="AT520" s="156" t="str">
        <f t="shared" ref="AT520:AT583" ca="1" si="104">IF((TODAY()-W520&lt;900),"SI","NO")</f>
        <v>NO</v>
      </c>
      <c r="AU520" s="406" t="s">
        <v>3050</v>
      </c>
      <c r="AV520" s="406"/>
      <c r="AW520" s="930" t="s">
        <v>3938</v>
      </c>
      <c r="AX520" s="928"/>
      <c r="AY520" s="928"/>
    </row>
    <row r="521" spans="3:51" ht="30.6" x14ac:dyDescent="0.3">
      <c r="C521" s="837">
        <v>245</v>
      </c>
      <c r="D521" s="837"/>
      <c r="E521" s="120" t="s">
        <v>2918</v>
      </c>
      <c r="F521" s="414" t="s">
        <v>2919</v>
      </c>
      <c r="G521" s="873">
        <v>1030565608</v>
      </c>
      <c r="H521" s="965" t="s">
        <v>3033</v>
      </c>
      <c r="I521" s="877">
        <v>38140000</v>
      </c>
      <c r="J521" s="843" t="s">
        <v>2918</v>
      </c>
      <c r="K521" s="269">
        <v>2017</v>
      </c>
      <c r="L521" s="519">
        <v>42860</v>
      </c>
      <c r="M521" s="840">
        <v>42873</v>
      </c>
      <c r="N521" s="840">
        <v>43177</v>
      </c>
      <c r="O521" s="1099" t="str">
        <f>IF(+Modificaciones!I521=0,"",VLOOKUP(E521,Modificaciones!$B$7:$I$2400,8,0))</f>
        <v/>
      </c>
      <c r="P521" s="115">
        <f>COUNTA(Modificaciones!J521,Modificaciones!L521,Modificaciones!N521,Modificaciones!P521)</f>
        <v>1</v>
      </c>
      <c r="Q521" s="116">
        <f>VLOOKUP(E521,Modificaciones!$B$7:$R$2300,17,0)</f>
        <v>12586200</v>
      </c>
      <c r="R521" s="117">
        <f>COUNTA(Modificaciones!T521,Modificaciones!V521,Modificaciones!X521,Modificaciones!Z521)</f>
        <v>1</v>
      </c>
      <c r="S521" s="118" t="str">
        <f>IF(Modificaciones!AA521=0,"",VLOOKUP(E521,Modificaciones!$B$7:$AA$2400,26,0))</f>
        <v>3 meses y 12 días</v>
      </c>
      <c r="T521" s="119">
        <f>IF(Modificaciones!AB521=0,"",VLOOKUP(E521,Modificaciones!$B$7:$AB$2400,27,0))</f>
        <v>43278</v>
      </c>
      <c r="U521" s="1080" t="str">
        <f>+Modificaciones!AC521</f>
        <v/>
      </c>
      <c r="V521" s="825" t="str">
        <f>+Modificaciones!AK521</f>
        <v/>
      </c>
      <c r="W521" s="825">
        <f t="shared" si="99"/>
        <v>43278</v>
      </c>
      <c r="X521" s="59">
        <f t="shared" si="97"/>
        <v>50726200</v>
      </c>
      <c r="Y521" s="151">
        <f>VLOOKUP(E521,Modificaciones!$B$7:$BE$2300,56,0)</f>
        <v>50726200</v>
      </c>
      <c r="Z521" s="84">
        <f t="shared" si="96"/>
        <v>0</v>
      </c>
      <c r="AA521" s="283" t="s">
        <v>1094</v>
      </c>
      <c r="AB521" s="823">
        <f t="shared" si="98"/>
        <v>1</v>
      </c>
      <c r="AC521" s="40">
        <f t="shared" ca="1" si="100"/>
        <v>1</v>
      </c>
      <c r="AD521" s="41">
        <f t="shared" ca="1" si="101"/>
        <v>0</v>
      </c>
      <c r="AE521" s="181" t="str">
        <f t="shared" ca="1" si="102"/>
        <v/>
      </c>
      <c r="AF521" s="42" t="str">
        <f t="shared" si="95"/>
        <v>SI</v>
      </c>
      <c r="AG521" s="732" t="s">
        <v>5773</v>
      </c>
      <c r="AH521" s="152" t="s">
        <v>1256</v>
      </c>
      <c r="AI521" s="152" t="s">
        <v>2171</v>
      </c>
      <c r="AJ521" s="152" t="s">
        <v>1176</v>
      </c>
      <c r="AK521" s="255" t="s">
        <v>559</v>
      </c>
      <c r="AL521" s="279"/>
      <c r="AM521" s="279" t="s">
        <v>3795</v>
      </c>
      <c r="AN521" s="161" t="str">
        <f t="shared" ca="1" si="103"/>
        <v>TERMINO</v>
      </c>
      <c r="AO521" s="160" t="s">
        <v>582</v>
      </c>
      <c r="AP521" s="406" t="s">
        <v>391</v>
      </c>
      <c r="AQ521" s="819" t="str">
        <f>IFERROR(VLOOKUP(E521,'liquidaciones '!$B$2:$C$1048576,2,0),"NO")</f>
        <v>EN TRÁMITE</v>
      </c>
      <c r="AR521" s="909" t="str">
        <f>IFERROR(VLOOKUP(E521,'liquidaciones '!$B$2:$I$1048576,8,0),"")</f>
        <v>JUAN DIEGO ESPITIA</v>
      </c>
      <c r="AS521" s="406"/>
      <c r="AT521" s="156" t="str">
        <f t="shared" ca="1" si="104"/>
        <v>NO</v>
      </c>
      <c r="AU521" s="156" t="s">
        <v>3777</v>
      </c>
      <c r="AV521" s="406" t="s">
        <v>3778</v>
      </c>
      <c r="AW521" s="930" t="s">
        <v>560</v>
      </c>
      <c r="AX521" s="928"/>
      <c r="AY521" s="928"/>
    </row>
    <row r="522" spans="3:51" ht="28.8" x14ac:dyDescent="0.3">
      <c r="C522" s="837">
        <v>176</v>
      </c>
      <c r="D522" s="837"/>
      <c r="E522" s="120" t="s">
        <v>2921</v>
      </c>
      <c r="F522" s="414" t="s">
        <v>277</v>
      </c>
      <c r="G522" s="873" t="s">
        <v>2922</v>
      </c>
      <c r="H522" s="965" t="s">
        <v>2923</v>
      </c>
      <c r="I522" s="877">
        <v>50703000</v>
      </c>
      <c r="J522" s="843" t="s">
        <v>2924</v>
      </c>
      <c r="K522" s="269">
        <v>2017</v>
      </c>
      <c r="L522" s="519">
        <v>42846</v>
      </c>
      <c r="M522" s="840">
        <v>42874</v>
      </c>
      <c r="N522" s="840">
        <v>43239</v>
      </c>
      <c r="O522" s="1099" t="str">
        <f>IF(+Modificaciones!I522=0,"",VLOOKUP(E522,Modificaciones!$B$7:$I$2400,8,0))</f>
        <v/>
      </c>
      <c r="P522" s="115">
        <f>COUNTA(Modificaciones!J522,Modificaciones!L522,Modificaciones!N522,Modificaciones!P522)</f>
        <v>1</v>
      </c>
      <c r="Q522" s="116">
        <f>VLOOKUP(E522,Modificaciones!$B$7:$R$2300,17,0)</f>
        <v>6000000</v>
      </c>
      <c r="R522" s="117">
        <f>COUNTA(Modificaciones!T522,Modificaciones!V522,Modificaciones!X522,Modificaciones!Z522)</f>
        <v>0</v>
      </c>
      <c r="S522" s="118" t="str">
        <f>IF(Modificaciones!AA522=0,"",VLOOKUP(E522,Modificaciones!$B$7:$AA$2400,26,0))</f>
        <v/>
      </c>
      <c r="T522" s="119" t="str">
        <f>IF(Modificaciones!AB522=0,"",VLOOKUP(E522,Modificaciones!$B$7:$AB$2400,27,0))</f>
        <v/>
      </c>
      <c r="U522" s="1080" t="str">
        <f>+Modificaciones!AC522</f>
        <v/>
      </c>
      <c r="V522" s="825" t="str">
        <f>+Modificaciones!AK522</f>
        <v/>
      </c>
      <c r="W522" s="825">
        <f t="shared" si="99"/>
        <v>43239</v>
      </c>
      <c r="X522" s="59">
        <f t="shared" si="97"/>
        <v>56703000</v>
      </c>
      <c r="Y522" s="151">
        <f>VLOOKUP(E522,Modificaciones!$B$7:$BE$2300,56,0)</f>
        <v>56700949</v>
      </c>
      <c r="Z522" s="84">
        <f t="shared" si="96"/>
        <v>2051</v>
      </c>
      <c r="AA522" s="283" t="s">
        <v>1966</v>
      </c>
      <c r="AB522" s="823">
        <f t="shared" si="98"/>
        <v>0.99996382907429937</v>
      </c>
      <c r="AC522" s="40">
        <f t="shared" ca="1" si="100"/>
        <v>1</v>
      </c>
      <c r="AD522" s="41">
        <f t="shared" ca="1" si="101"/>
        <v>3.6170925700629297E-5</v>
      </c>
      <c r="AE522" s="181" t="str">
        <f t="shared" ca="1" si="102"/>
        <v/>
      </c>
      <c r="AF522" s="42" t="str">
        <f t="shared" si="95"/>
        <v>SI</v>
      </c>
      <c r="AG522" s="732" t="s">
        <v>1712</v>
      </c>
      <c r="AH522" s="152" t="s">
        <v>1255</v>
      </c>
      <c r="AI522" s="255" t="s">
        <v>1134</v>
      </c>
      <c r="AJ522" s="152"/>
      <c r="AK522" s="255" t="s">
        <v>562</v>
      </c>
      <c r="AL522" s="279" t="s">
        <v>3784</v>
      </c>
      <c r="AM522" s="279" t="s">
        <v>3796</v>
      </c>
      <c r="AN522" s="161" t="str">
        <f t="shared" ca="1" si="103"/>
        <v>TERMINO</v>
      </c>
      <c r="AO522" s="160" t="s">
        <v>576</v>
      </c>
      <c r="AP522" s="406" t="s">
        <v>390</v>
      </c>
      <c r="AQ522" s="819" t="str">
        <f>IFERROR(VLOOKUP(E522,'liquidaciones '!$B$2:$C$1048576,2,0),"NO")</f>
        <v>LIQUIDADO</v>
      </c>
      <c r="AR522" s="909" t="str">
        <f>IFERROR(VLOOKUP(E522,'liquidaciones '!$B$2:$I$1048576,8,0),"")</f>
        <v>JUAN DIEGO ESPITIA</v>
      </c>
      <c r="AS522" s="406"/>
      <c r="AT522" s="156" t="str">
        <f t="shared" ca="1" si="104"/>
        <v>NO</v>
      </c>
      <c r="AU522" s="156" t="s">
        <v>2973</v>
      </c>
      <c r="AV522" s="406" t="s">
        <v>3784</v>
      </c>
      <c r="AW522" s="930" t="s">
        <v>3985</v>
      </c>
      <c r="AX522" s="928"/>
      <c r="AY522" s="928"/>
    </row>
    <row r="523" spans="3:51" ht="71.400000000000006" x14ac:dyDescent="0.3">
      <c r="C523" s="837">
        <v>201</v>
      </c>
      <c r="D523" s="837"/>
      <c r="E523" s="120" t="s">
        <v>2926</v>
      </c>
      <c r="F523" s="414" t="s">
        <v>2927</v>
      </c>
      <c r="G523" s="873" t="s">
        <v>2928</v>
      </c>
      <c r="H523" s="965" t="s">
        <v>3044</v>
      </c>
      <c r="I523" s="877">
        <v>119000000</v>
      </c>
      <c r="J523" s="843" t="s">
        <v>2925</v>
      </c>
      <c r="K523" s="269">
        <v>2017</v>
      </c>
      <c r="L523" s="519">
        <v>42863</v>
      </c>
      <c r="M523" s="840">
        <v>42872</v>
      </c>
      <c r="N523" s="840">
        <v>43176</v>
      </c>
      <c r="O523" s="1099" t="str">
        <f>IF(+Modificaciones!I523=0,"",VLOOKUP(E523,Modificaciones!$B$7:$I$2400,8,0))</f>
        <v/>
      </c>
      <c r="P523" s="115">
        <f>COUNTA(Modificaciones!J523,Modificaciones!L523,Modificaciones!N523,Modificaciones!P523)</f>
        <v>0</v>
      </c>
      <c r="Q523" s="116">
        <f>VLOOKUP(E523,Modificaciones!$B$7:$R$2300,17,0)</f>
        <v>0</v>
      </c>
      <c r="R523" s="117">
        <f>COUNTA(Modificaciones!T523,Modificaciones!V523,Modificaciones!X523,Modificaciones!Z523)</f>
        <v>0</v>
      </c>
      <c r="S523" s="118" t="str">
        <f>IF(Modificaciones!AA523=0,"",VLOOKUP(E523,Modificaciones!$B$7:$AA$2400,26,0))</f>
        <v/>
      </c>
      <c r="T523" s="119" t="str">
        <f>IF(Modificaciones!AB523=0,"",VLOOKUP(E523,Modificaciones!$B$7:$AB$2400,27,0))</f>
        <v/>
      </c>
      <c r="U523" s="1080" t="str">
        <f>+Modificaciones!AC523</f>
        <v/>
      </c>
      <c r="V523" s="825" t="str">
        <f>+Modificaciones!AK523</f>
        <v/>
      </c>
      <c r="W523" s="825">
        <f t="shared" si="99"/>
        <v>43176</v>
      </c>
      <c r="X523" s="59">
        <f t="shared" si="97"/>
        <v>119000000</v>
      </c>
      <c r="Y523" s="151">
        <f>VLOOKUP(E523,Modificaciones!$B$7:$BE$2300,56,0)</f>
        <v>72104262</v>
      </c>
      <c r="Z523" s="84">
        <f t="shared" si="96"/>
        <v>46895738</v>
      </c>
      <c r="AA523" s="283" t="s">
        <v>2010</v>
      </c>
      <c r="AB523" s="823">
        <f t="shared" si="98"/>
        <v>0.60591816806722687</v>
      </c>
      <c r="AC523" s="40">
        <f t="shared" ca="1" si="100"/>
        <v>1</v>
      </c>
      <c r="AD523" s="41">
        <f t="shared" ca="1" si="101"/>
        <v>0.39408183193277313</v>
      </c>
      <c r="AE523" s="181" t="str">
        <f t="shared" ca="1" si="102"/>
        <v/>
      </c>
      <c r="AF523" s="42" t="str">
        <f t="shared" si="95"/>
        <v>NO</v>
      </c>
      <c r="AG523" s="1017" t="s">
        <v>4920</v>
      </c>
      <c r="AH523" s="152" t="s">
        <v>1255</v>
      </c>
      <c r="AI523" s="255" t="s">
        <v>1300</v>
      </c>
      <c r="AJ523" s="152" t="s">
        <v>1434</v>
      </c>
      <c r="AK523" s="255" t="s">
        <v>560</v>
      </c>
      <c r="AL523" s="153" t="s">
        <v>1385</v>
      </c>
      <c r="AM523" s="279" t="s">
        <v>3795</v>
      </c>
      <c r="AN523" s="161" t="str">
        <f t="shared" ca="1" si="103"/>
        <v>TERMINO</v>
      </c>
      <c r="AO523" s="284" t="s">
        <v>574</v>
      </c>
      <c r="AP523" s="155" t="s">
        <v>390</v>
      </c>
      <c r="AQ523" s="819" t="str">
        <f>IFERROR(VLOOKUP(E523,'liquidaciones '!$B$2:$C$1048576,2,0),"NO")</f>
        <v>LIQUIDADO</v>
      </c>
      <c r="AR523" s="909">
        <f>IFERROR(VLOOKUP(E523,'liquidaciones '!$B$2:$I$1048576,8,0),"")</f>
        <v>0</v>
      </c>
      <c r="AS523" s="406"/>
      <c r="AT523" s="156" t="str">
        <f t="shared" ca="1" si="104"/>
        <v>NO</v>
      </c>
      <c r="AU523" s="406" t="s">
        <v>3050</v>
      </c>
      <c r="AV523" s="406" t="s">
        <v>1378</v>
      </c>
      <c r="AW523" s="930" t="s">
        <v>560</v>
      </c>
      <c r="AX523" s="928"/>
      <c r="AY523" s="928"/>
    </row>
    <row r="524" spans="3:51" ht="61.2" x14ac:dyDescent="0.3">
      <c r="C524" s="837"/>
      <c r="D524" s="837"/>
      <c r="E524" s="120" t="s">
        <v>2930</v>
      </c>
      <c r="F524" s="414" t="s">
        <v>2931</v>
      </c>
      <c r="G524" s="873">
        <v>1022375085</v>
      </c>
      <c r="H524" s="965" t="s">
        <v>2932</v>
      </c>
      <c r="I524" s="877">
        <v>38999997</v>
      </c>
      <c r="J524" s="843" t="s">
        <v>2930</v>
      </c>
      <c r="K524" s="269">
        <v>2017</v>
      </c>
      <c r="L524" s="519">
        <v>42871</v>
      </c>
      <c r="M524" s="840">
        <v>42872</v>
      </c>
      <c r="N524" s="840">
        <v>43148</v>
      </c>
      <c r="O524" s="1099" t="str">
        <f>IF(+Modificaciones!I524=0,"",VLOOKUP(E524,Modificaciones!$B$7:$I$2400,8,0))</f>
        <v/>
      </c>
      <c r="P524" s="115">
        <f>COUNTA(Modificaciones!J524,Modificaciones!L524,Modificaciones!N524,Modificaciones!P524)</f>
        <v>1</v>
      </c>
      <c r="Q524" s="116">
        <f>VLOOKUP(E524,Modificaciones!$B$7:$R$2300,17,0)</f>
        <v>19066665</v>
      </c>
      <c r="R524" s="117">
        <f>COUNTA(Modificaciones!T524,Modificaciones!V524,Modificaciones!X524,Modificaciones!Z524)</f>
        <v>1</v>
      </c>
      <c r="S524" s="118" t="str">
        <f>IF(Modificaciones!AA524=0,"",VLOOKUP(E524,Modificaciones!$B$7:$AA$2400,26,0))</f>
        <v>Cuatro (4) meses y 12 días calendario</v>
      </c>
      <c r="T524" s="119">
        <f>IF(Modificaciones!AB524=0,"",VLOOKUP(E524,Modificaciones!$B$7:$AB$2400,27,0))</f>
        <v>43280</v>
      </c>
      <c r="U524" s="1080" t="str">
        <f>+Modificaciones!AC524</f>
        <v/>
      </c>
      <c r="V524" s="825" t="str">
        <f>+Modificaciones!AK524</f>
        <v/>
      </c>
      <c r="W524" s="825">
        <f t="shared" si="99"/>
        <v>43280</v>
      </c>
      <c r="X524" s="59">
        <f t="shared" si="97"/>
        <v>58066662</v>
      </c>
      <c r="Y524" s="151">
        <f>VLOOKUP(E524,Modificaciones!$B$7:$BE$2300,56,0)</f>
        <v>58066662</v>
      </c>
      <c r="Z524" s="84">
        <f t="shared" si="96"/>
        <v>0</v>
      </c>
      <c r="AA524" s="283" t="s">
        <v>1094</v>
      </c>
      <c r="AB524" s="823">
        <f t="shared" si="98"/>
        <v>1</v>
      </c>
      <c r="AC524" s="40">
        <f t="shared" ca="1" si="100"/>
        <v>1</v>
      </c>
      <c r="AD524" s="41">
        <f t="shared" ca="1" si="101"/>
        <v>0</v>
      </c>
      <c r="AE524" s="181" t="str">
        <f t="shared" ca="1" si="102"/>
        <v/>
      </c>
      <c r="AF524" s="42" t="str">
        <f t="shared" si="95"/>
        <v>SI</v>
      </c>
      <c r="AG524" s="732" t="s">
        <v>5773</v>
      </c>
      <c r="AH524" s="152" t="s">
        <v>1255</v>
      </c>
      <c r="AI524" s="152" t="s">
        <v>2588</v>
      </c>
      <c r="AJ524" s="152" t="s">
        <v>1176</v>
      </c>
      <c r="AK524" s="255" t="s">
        <v>559</v>
      </c>
      <c r="AL524" s="279"/>
      <c r="AM524" s="279" t="s">
        <v>2830</v>
      </c>
      <c r="AN524" s="161" t="str">
        <f t="shared" ca="1" si="103"/>
        <v>TERMINO</v>
      </c>
      <c r="AO524" s="160" t="s">
        <v>582</v>
      </c>
      <c r="AP524" s="406" t="s">
        <v>391</v>
      </c>
      <c r="AQ524" s="819" t="str">
        <f>IFERROR(VLOOKUP(E524,'liquidaciones '!$B$2:$C$1048576,2,0),"NO")</f>
        <v>LIQUIDADO</v>
      </c>
      <c r="AR524" s="909" t="str">
        <f>IFERROR(VLOOKUP(E524,'liquidaciones '!$B$2:$I$1048576,8,0),"")</f>
        <v>MARIA ALEJANDRA SANCHEZ</v>
      </c>
      <c r="AS524" s="406"/>
      <c r="AT524" s="156" t="str">
        <f t="shared" ca="1" si="104"/>
        <v>NO</v>
      </c>
      <c r="AU524" s="406" t="s">
        <v>3050</v>
      </c>
      <c r="AV524" s="406"/>
      <c r="AW524" s="930" t="s">
        <v>3938</v>
      </c>
      <c r="AX524" s="928"/>
      <c r="AY524" s="928"/>
    </row>
    <row r="525" spans="3:51" ht="30.6" x14ac:dyDescent="0.3">
      <c r="C525" s="837"/>
      <c r="D525" s="837"/>
      <c r="E525" s="120" t="s">
        <v>2933</v>
      </c>
      <c r="F525" s="414" t="s">
        <v>2934</v>
      </c>
      <c r="G525" s="873">
        <v>80880912</v>
      </c>
      <c r="H525" s="967" t="s">
        <v>2935</v>
      </c>
      <c r="I525" s="877">
        <v>16875000</v>
      </c>
      <c r="J525" s="843" t="s">
        <v>2933</v>
      </c>
      <c r="K525" s="269">
        <v>2017</v>
      </c>
      <c r="L525" s="519">
        <v>42870</v>
      </c>
      <c r="M525" s="840">
        <v>42874</v>
      </c>
      <c r="N525" s="840">
        <v>43150</v>
      </c>
      <c r="O525" s="1099" t="str">
        <f>IF(+Modificaciones!I525=0,"",VLOOKUP(E525,Modificaciones!$B$7:$I$2400,8,0))</f>
        <v/>
      </c>
      <c r="P525" s="115">
        <f>COUNTA(Modificaciones!J525,Modificaciones!L525,Modificaciones!N525,Modificaciones!P525)</f>
        <v>1</v>
      </c>
      <c r="Q525" s="116">
        <f>VLOOKUP(E525,Modificaciones!$B$7:$R$2300,17,0)</f>
        <v>8125000</v>
      </c>
      <c r="R525" s="117">
        <f>COUNTA(Modificaciones!T525,Modificaciones!V525,Modificaciones!X525,Modificaciones!Z525)</f>
        <v>1</v>
      </c>
      <c r="S525" s="118" t="str">
        <f>IF(Modificaciones!AA525=0,"",VLOOKUP(E525,Modificaciones!$B$7:$AA$2400,26,0))</f>
        <v>Cuatro (4) meses y 10 días calendario</v>
      </c>
      <c r="T525" s="119">
        <f>IF(Modificaciones!AB525=0,"",VLOOKUP(E525,Modificaciones!$B$7:$AB$2400,27,0))</f>
        <v>43280</v>
      </c>
      <c r="U525" s="1080" t="str">
        <f>+Modificaciones!AC525</f>
        <v/>
      </c>
      <c r="V525" s="825" t="str">
        <f>+Modificaciones!AK525</f>
        <v/>
      </c>
      <c r="W525" s="825">
        <f t="shared" si="99"/>
        <v>43280</v>
      </c>
      <c r="X525" s="59">
        <f t="shared" si="97"/>
        <v>25000000</v>
      </c>
      <c r="Y525" s="151">
        <f>VLOOKUP(E525,Modificaciones!$B$7:$BE$2300,56,0)</f>
        <v>25000000</v>
      </c>
      <c r="Z525" s="84">
        <f t="shared" si="96"/>
        <v>0</v>
      </c>
      <c r="AA525" s="283" t="s">
        <v>1094</v>
      </c>
      <c r="AB525" s="823">
        <f t="shared" si="98"/>
        <v>1</v>
      </c>
      <c r="AC525" s="40">
        <f t="shared" ca="1" si="100"/>
        <v>1</v>
      </c>
      <c r="AD525" s="41">
        <f t="shared" ca="1" si="101"/>
        <v>0</v>
      </c>
      <c r="AE525" s="181" t="str">
        <f t="shared" ca="1" si="102"/>
        <v/>
      </c>
      <c r="AF525" s="42" t="str">
        <f t="shared" si="95"/>
        <v>SI</v>
      </c>
      <c r="AG525" s="732" t="s">
        <v>5773</v>
      </c>
      <c r="AH525" s="152" t="s">
        <v>1255</v>
      </c>
      <c r="AI525" s="870" t="s">
        <v>2936</v>
      </c>
      <c r="AJ525" s="152" t="s">
        <v>1176</v>
      </c>
      <c r="AK525" s="255" t="s">
        <v>559</v>
      </c>
      <c r="AL525" s="838"/>
      <c r="AM525" s="279" t="s">
        <v>2830</v>
      </c>
      <c r="AN525" s="161" t="str">
        <f t="shared" ca="1" si="103"/>
        <v>TERMINO</v>
      </c>
      <c r="AO525" s="160" t="s">
        <v>582</v>
      </c>
      <c r="AP525" s="406" t="s">
        <v>391</v>
      </c>
      <c r="AQ525" s="819" t="str">
        <f>IFERROR(VLOOKUP(E525,'liquidaciones '!$B$2:$C$1048576,2,0),"NO")</f>
        <v>LIQUIDADO</v>
      </c>
      <c r="AR525" s="909" t="str">
        <f>IFERROR(VLOOKUP(E525,'liquidaciones '!$B$2:$I$1048576,8,0),"")</f>
        <v>MARIA ALEJANDRA SANCHEZ</v>
      </c>
      <c r="AS525" s="406"/>
      <c r="AT525" s="156" t="str">
        <f t="shared" ca="1" si="104"/>
        <v>NO</v>
      </c>
      <c r="AU525" s="406" t="s">
        <v>1509</v>
      </c>
      <c r="AV525" s="406"/>
      <c r="AW525" s="930" t="s">
        <v>3938</v>
      </c>
      <c r="AX525" s="928"/>
      <c r="AY525" s="928"/>
    </row>
    <row r="526" spans="3:51" ht="30.6" x14ac:dyDescent="0.3">
      <c r="C526" s="837">
        <v>149</v>
      </c>
      <c r="D526" s="837"/>
      <c r="E526" s="120" t="s">
        <v>2937</v>
      </c>
      <c r="F526" s="414" t="s">
        <v>2938</v>
      </c>
      <c r="G526" s="873">
        <v>52144330</v>
      </c>
      <c r="H526" s="967" t="s">
        <v>3045</v>
      </c>
      <c r="I526" s="877">
        <v>51300000</v>
      </c>
      <c r="J526" s="843" t="s">
        <v>2937</v>
      </c>
      <c r="K526" s="269">
        <v>2017</v>
      </c>
      <c r="L526" s="519">
        <v>42871</v>
      </c>
      <c r="M526" s="840">
        <v>42873</v>
      </c>
      <c r="N526" s="840">
        <v>43149</v>
      </c>
      <c r="O526" s="1099" t="str">
        <f>IF(+Modificaciones!I526=0,"",VLOOKUP(E526,Modificaciones!$B$7:$I$2400,8,0))</f>
        <v/>
      </c>
      <c r="P526" s="115">
        <f>COUNTA(Modificaciones!J526,Modificaciones!L526,Modificaciones!N526,Modificaciones!P526)</f>
        <v>1</v>
      </c>
      <c r="Q526" s="116">
        <f>VLOOKUP(E526,Modificaciones!$B$7:$R$2300,17,0)</f>
        <v>24890000</v>
      </c>
      <c r="R526" s="117">
        <f>COUNTA(Modificaciones!T526,Modificaciones!V526,Modificaciones!X526,Modificaciones!Z526)</f>
        <v>1</v>
      </c>
      <c r="S526" s="118" t="str">
        <f>IF(Modificaciones!AA526=0,"",VLOOKUP(E526,Modificaciones!$B$7:$AA$2400,26,0))</f>
        <v>Cuatro(4) meses y Once (11) días calendario</v>
      </c>
      <c r="T526" s="119">
        <f>IF(Modificaciones!AB526=0,"",VLOOKUP(E526,Modificaciones!$B$7:$AB$2400,27,0))</f>
        <v>43280</v>
      </c>
      <c r="U526" s="1080" t="str">
        <f>+Modificaciones!AC526</f>
        <v/>
      </c>
      <c r="V526" s="825" t="str">
        <f>+Modificaciones!AK526</f>
        <v/>
      </c>
      <c r="W526" s="825">
        <f t="shared" si="99"/>
        <v>43280</v>
      </c>
      <c r="X526" s="59">
        <f t="shared" si="97"/>
        <v>76190000</v>
      </c>
      <c r="Y526" s="151">
        <f>VLOOKUP(E526,Modificaciones!$B$7:$BE$2300,56,0)</f>
        <v>76190000</v>
      </c>
      <c r="Z526" s="84">
        <f t="shared" si="96"/>
        <v>0</v>
      </c>
      <c r="AA526" s="283" t="s">
        <v>1094</v>
      </c>
      <c r="AB526" s="823">
        <f t="shared" si="98"/>
        <v>1</v>
      </c>
      <c r="AC526" s="40">
        <f t="shared" ca="1" si="100"/>
        <v>1</v>
      </c>
      <c r="AD526" s="41">
        <f t="shared" ca="1" si="101"/>
        <v>0</v>
      </c>
      <c r="AE526" s="181" t="str">
        <f t="shared" ca="1" si="102"/>
        <v/>
      </c>
      <c r="AF526" s="42" t="str">
        <f t="shared" si="95"/>
        <v>SI</v>
      </c>
      <c r="AG526" s="732" t="s">
        <v>5773</v>
      </c>
      <c r="AH526" s="152" t="s">
        <v>1255</v>
      </c>
      <c r="AI526" s="152" t="s">
        <v>2491</v>
      </c>
      <c r="AJ526" s="152" t="s">
        <v>2498</v>
      </c>
      <c r="AK526" s="255" t="s">
        <v>4612</v>
      </c>
      <c r="AL526" s="279"/>
      <c r="AM526" s="279" t="s">
        <v>2830</v>
      </c>
      <c r="AN526" s="161" t="str">
        <f t="shared" ca="1" si="103"/>
        <v>TERMINO</v>
      </c>
      <c r="AO526" s="284" t="s">
        <v>582</v>
      </c>
      <c r="AP526" s="155" t="s">
        <v>391</v>
      </c>
      <c r="AQ526" s="819" t="str">
        <f>IFERROR(VLOOKUP(E526,'liquidaciones '!$B$2:$C$1048576,2,0),"NO")</f>
        <v>EN TRÁMITE</v>
      </c>
      <c r="AR526" s="909" t="str">
        <f>IFERROR(VLOOKUP(E526,'liquidaciones '!$B$2:$I$1048576,8,0),"")</f>
        <v>JUAN DIEGO ESPITIA</v>
      </c>
      <c r="AS526" s="406"/>
      <c r="AT526" s="156" t="str">
        <f t="shared" ca="1" si="104"/>
        <v>NO</v>
      </c>
      <c r="AU526" s="406" t="s">
        <v>3050</v>
      </c>
      <c r="AV526" s="406"/>
      <c r="AW526" s="930" t="s">
        <v>3938</v>
      </c>
      <c r="AX526" s="928"/>
      <c r="AY526" s="928"/>
    </row>
    <row r="527" spans="3:51" ht="40.799999999999997" x14ac:dyDescent="0.3">
      <c r="C527" s="837">
        <v>163</v>
      </c>
      <c r="D527" s="837"/>
      <c r="E527" s="120" t="s">
        <v>2939</v>
      </c>
      <c r="F527" s="414" t="s">
        <v>2940</v>
      </c>
      <c r="G527" s="873">
        <v>1126599090</v>
      </c>
      <c r="H527" s="967" t="s">
        <v>2941</v>
      </c>
      <c r="I527" s="877">
        <v>13500000</v>
      </c>
      <c r="J527" s="843" t="s">
        <v>2939</v>
      </c>
      <c r="K527" s="269">
        <v>2017</v>
      </c>
      <c r="L527" s="519">
        <v>42872</v>
      </c>
      <c r="M527" s="840">
        <v>42887</v>
      </c>
      <c r="N527" s="840">
        <v>43160</v>
      </c>
      <c r="O527" s="1099" t="str">
        <f>IF(+Modificaciones!I527=0,"",VLOOKUP(E527,Modificaciones!$B$7:$I$2400,8,0))</f>
        <v/>
      </c>
      <c r="P527" s="115">
        <f>COUNTA(Modificaciones!J527,Modificaciones!L527,Modificaciones!N527,Modificaciones!P527)</f>
        <v>1</v>
      </c>
      <c r="Q527" s="116">
        <f>VLOOKUP(E527,Modificaciones!$B$7:$R$2300,17,0)</f>
        <v>5900000</v>
      </c>
      <c r="R527" s="117">
        <f>COUNTA(Modificaciones!T527,Modificaciones!V527,Modificaciones!X527,Modificaciones!Z527)</f>
        <v>1</v>
      </c>
      <c r="S527" s="118" t="str">
        <f>IF(Modificaciones!AA527=0,"",VLOOKUP(E527,Modificaciones!$B$7:$AA$2400,26,0))</f>
        <v>3 meses y 28 días calendario</v>
      </c>
      <c r="T527" s="119">
        <f>IF(Modificaciones!AB527=0,"",VLOOKUP(E527,Modificaciones!$B$7:$AB$2400,27,0))</f>
        <v>43280</v>
      </c>
      <c r="U527" s="1080" t="str">
        <f>+Modificaciones!AC527</f>
        <v/>
      </c>
      <c r="V527" s="825" t="str">
        <f>+Modificaciones!AK527</f>
        <v/>
      </c>
      <c r="W527" s="825">
        <f t="shared" si="99"/>
        <v>43280</v>
      </c>
      <c r="X527" s="59">
        <f t="shared" si="97"/>
        <v>19400000</v>
      </c>
      <c r="Y527" s="151">
        <f>VLOOKUP(E527,Modificaciones!$B$7:$BE$2300,56,0)</f>
        <v>19400000</v>
      </c>
      <c r="Z527" s="84">
        <f t="shared" si="96"/>
        <v>0</v>
      </c>
      <c r="AA527" s="283" t="s">
        <v>1094</v>
      </c>
      <c r="AB527" s="823">
        <f t="shared" si="98"/>
        <v>1</v>
      </c>
      <c r="AC527" s="40">
        <f t="shared" ca="1" si="100"/>
        <v>1</v>
      </c>
      <c r="AD527" s="41">
        <f t="shared" ca="1" si="101"/>
        <v>0</v>
      </c>
      <c r="AE527" s="181" t="str">
        <f t="shared" ca="1" si="102"/>
        <v/>
      </c>
      <c r="AF527" s="42" t="str">
        <f t="shared" si="95"/>
        <v>SI</v>
      </c>
      <c r="AG527" s="732" t="s">
        <v>5773</v>
      </c>
      <c r="AH527" s="152" t="s">
        <v>1255</v>
      </c>
      <c r="AI527" s="255" t="s">
        <v>2636</v>
      </c>
      <c r="AJ527" s="152" t="s">
        <v>1176</v>
      </c>
      <c r="AK527" s="255" t="s">
        <v>559</v>
      </c>
      <c r="AL527" s="279"/>
      <c r="AM527" s="279" t="s">
        <v>2830</v>
      </c>
      <c r="AN527" s="161" t="str">
        <f t="shared" ca="1" si="103"/>
        <v>TERMINO</v>
      </c>
      <c r="AO527" s="160" t="s">
        <v>582</v>
      </c>
      <c r="AP527" s="155" t="s">
        <v>391</v>
      </c>
      <c r="AQ527" s="819" t="str">
        <f>IFERROR(VLOOKUP(E527,'liquidaciones '!$B$2:$C$1048576,2,0),"NO")</f>
        <v>EN TRÁMITE</v>
      </c>
      <c r="AR527" s="909" t="str">
        <f>IFERROR(VLOOKUP(E527,'liquidaciones '!$B$2:$I$1048576,8,0),"")</f>
        <v>JUAN DIEGO ESPITIA</v>
      </c>
      <c r="AS527" s="406"/>
      <c r="AT527" s="156" t="str">
        <f t="shared" ca="1" si="104"/>
        <v>NO</v>
      </c>
      <c r="AU527" s="406" t="s">
        <v>3050</v>
      </c>
      <c r="AV527" s="406"/>
      <c r="AW527" s="930" t="s">
        <v>3938</v>
      </c>
      <c r="AX527" s="928"/>
      <c r="AY527" s="928"/>
    </row>
    <row r="528" spans="3:51" ht="40.799999999999997" x14ac:dyDescent="0.3">
      <c r="C528" s="837">
        <v>147</v>
      </c>
      <c r="D528" s="837"/>
      <c r="E528" s="120" t="s">
        <v>2942</v>
      </c>
      <c r="F528" s="414" t="s">
        <v>2943</v>
      </c>
      <c r="G528" s="873">
        <v>79436393</v>
      </c>
      <c r="H528" s="967" t="s">
        <v>2827</v>
      </c>
      <c r="I528" s="877">
        <v>34326000</v>
      </c>
      <c r="J528" s="843" t="s">
        <v>2942</v>
      </c>
      <c r="K528" s="269">
        <v>2017</v>
      </c>
      <c r="L528" s="519">
        <v>42873</v>
      </c>
      <c r="M528" s="871">
        <v>42878</v>
      </c>
      <c r="N528" s="871">
        <v>43154</v>
      </c>
      <c r="O528" s="1099" t="str">
        <f>IF(+Modificaciones!I528=0,"",VLOOKUP(E528,Modificaciones!$B$7:$I$2400,8,0))</f>
        <v/>
      </c>
      <c r="P528" s="115">
        <f>COUNTA(Modificaciones!J528,Modificaciones!L528,Modificaciones!N528,Modificaciones!P528)</f>
        <v>1</v>
      </c>
      <c r="Q528" s="116">
        <f>VLOOKUP(E528,Modificaciones!$B$7:$R$2300,17,0)</f>
        <v>16018800</v>
      </c>
      <c r="R528" s="117">
        <f>COUNTA(Modificaciones!T528,Modificaciones!V528,Modificaciones!X528,Modificaciones!Z528)</f>
        <v>1</v>
      </c>
      <c r="S528" s="118" t="str">
        <f>IF(Modificaciones!AA528=0,"",VLOOKUP(E528,Modificaciones!$B$7:$AA$2400,26,0))</f>
        <v>4 meses y 6 días calendario</v>
      </c>
      <c r="T528" s="119">
        <f>IF(Modificaciones!AB528=0,"",VLOOKUP(E528,Modificaciones!$B$7:$AB$2400,27,0))</f>
        <v>43280</v>
      </c>
      <c r="U528" s="1080" t="str">
        <f>+Modificaciones!AC528</f>
        <v/>
      </c>
      <c r="V528" s="825" t="str">
        <f>+Modificaciones!AK528</f>
        <v/>
      </c>
      <c r="W528" s="825">
        <f t="shared" si="99"/>
        <v>43280</v>
      </c>
      <c r="X528" s="59">
        <f t="shared" si="97"/>
        <v>50344800</v>
      </c>
      <c r="Y528" s="151">
        <f>VLOOKUP(E528,Modificaciones!$B$7:$BE$2300,56,0)</f>
        <v>50344800</v>
      </c>
      <c r="Z528" s="84">
        <f t="shared" si="96"/>
        <v>0</v>
      </c>
      <c r="AA528" s="283" t="s">
        <v>1094</v>
      </c>
      <c r="AB528" s="823">
        <f t="shared" si="98"/>
        <v>1</v>
      </c>
      <c r="AC528" s="40">
        <f t="shared" ca="1" si="100"/>
        <v>1</v>
      </c>
      <c r="AD528" s="41">
        <f t="shared" ca="1" si="101"/>
        <v>0</v>
      </c>
      <c r="AE528" s="181" t="str">
        <f t="shared" ca="1" si="102"/>
        <v/>
      </c>
      <c r="AF528" s="42" t="str">
        <f t="shared" si="95"/>
        <v>SI</v>
      </c>
      <c r="AG528" s="732" t="s">
        <v>5773</v>
      </c>
      <c r="AH528" s="152" t="s">
        <v>1255</v>
      </c>
      <c r="AI528" s="255" t="s">
        <v>2059</v>
      </c>
      <c r="AJ528" s="152" t="s">
        <v>1436</v>
      </c>
      <c r="AK528" s="255" t="s">
        <v>561</v>
      </c>
      <c r="AL528" s="279"/>
      <c r="AM528" s="279" t="s">
        <v>3796</v>
      </c>
      <c r="AN528" s="161" t="str">
        <f t="shared" ca="1" si="103"/>
        <v>TERMINO</v>
      </c>
      <c r="AO528" s="284" t="s">
        <v>582</v>
      </c>
      <c r="AP528" s="406" t="s">
        <v>391</v>
      </c>
      <c r="AQ528" s="819" t="str">
        <f>IFERROR(VLOOKUP(E528,'liquidaciones '!$B$2:$C$1048576,2,0),"NO")</f>
        <v>LIQUIDADO</v>
      </c>
      <c r="AR528" s="909" t="str">
        <f>IFERROR(VLOOKUP(E528,'liquidaciones '!$B$2:$I$1048576,8,0),"")</f>
        <v>JUAN DIEGO ESPITIA</v>
      </c>
      <c r="AS528" s="406"/>
      <c r="AT528" s="156" t="str">
        <f t="shared" ca="1" si="104"/>
        <v>NO</v>
      </c>
      <c r="AU528" s="406" t="s">
        <v>1509</v>
      </c>
      <c r="AV528" s="406"/>
      <c r="AW528" s="930" t="s">
        <v>4178</v>
      </c>
      <c r="AX528" s="928"/>
      <c r="AY528" s="928"/>
    </row>
    <row r="529" spans="3:51" ht="102" x14ac:dyDescent="0.3">
      <c r="C529" s="837">
        <v>82</v>
      </c>
      <c r="D529" s="837"/>
      <c r="E529" s="120" t="s">
        <v>2944</v>
      </c>
      <c r="F529" s="414" t="s">
        <v>22</v>
      </c>
      <c r="G529" s="873">
        <v>830112518</v>
      </c>
      <c r="H529" s="967" t="s">
        <v>2945</v>
      </c>
      <c r="I529" s="877">
        <v>49980000</v>
      </c>
      <c r="J529" s="843" t="s">
        <v>2944</v>
      </c>
      <c r="K529" s="269">
        <v>2017</v>
      </c>
      <c r="L529" s="519">
        <v>42871</v>
      </c>
      <c r="M529" s="840">
        <v>42874</v>
      </c>
      <c r="N529" s="840">
        <v>43239</v>
      </c>
      <c r="O529" s="1099" t="str">
        <f>IF(+Modificaciones!I529=0,"",VLOOKUP(E529,Modificaciones!$B$7:$I$2400,8,0))</f>
        <v/>
      </c>
      <c r="P529" s="115">
        <f>COUNTA(Modificaciones!J529,Modificaciones!L529,Modificaciones!N529,Modificaciones!P529)</f>
        <v>1</v>
      </c>
      <c r="Q529" s="116">
        <f>VLOOKUP(E529,Modificaciones!$B$7:$R$2300,17,0)</f>
        <v>7021000</v>
      </c>
      <c r="R529" s="117">
        <f>COUNTA(Modificaciones!T529,Modificaciones!V529,Modificaciones!X529,Modificaciones!Z529)</f>
        <v>1</v>
      </c>
      <c r="S529" s="118" t="str">
        <f>IF(Modificaciones!AA529=0,"",VLOOKUP(E529,Modificaciones!$B$7:$AA$2400,26,0))</f>
        <v>1 mes y 29 días</v>
      </c>
      <c r="T529" s="119">
        <f>IF(Modificaciones!AB529=0,"",VLOOKUP(E529,Modificaciones!$B$7:$AB$2400,27,0))</f>
        <v>43299</v>
      </c>
      <c r="U529" s="1080" t="str">
        <f>+Modificaciones!AC529</f>
        <v/>
      </c>
      <c r="V529" s="825" t="str">
        <f>+Modificaciones!AK529</f>
        <v/>
      </c>
      <c r="W529" s="825">
        <f t="shared" si="99"/>
        <v>43299</v>
      </c>
      <c r="X529" s="59">
        <f t="shared" si="97"/>
        <v>57001000</v>
      </c>
      <c r="Y529" s="151">
        <f>VLOOKUP(E529,Modificaciones!$B$7:$BE$2300,56,0)</f>
        <v>57001000</v>
      </c>
      <c r="Z529" s="84">
        <f t="shared" si="96"/>
        <v>0</v>
      </c>
      <c r="AA529" s="288" t="s">
        <v>2946</v>
      </c>
      <c r="AB529" s="823">
        <f t="shared" si="98"/>
        <v>1</v>
      </c>
      <c r="AC529" s="40">
        <f t="shared" ca="1" si="100"/>
        <v>1</v>
      </c>
      <c r="AD529" s="41">
        <f t="shared" ca="1" si="101"/>
        <v>0</v>
      </c>
      <c r="AE529" s="181" t="str">
        <f t="shared" ca="1" si="102"/>
        <v/>
      </c>
      <c r="AF529" s="42" t="str">
        <f t="shared" si="95"/>
        <v>SI</v>
      </c>
      <c r="AG529" s="838"/>
      <c r="AH529" s="152" t="s">
        <v>1256</v>
      </c>
      <c r="AI529" s="152" t="s">
        <v>1173</v>
      </c>
      <c r="AJ529" s="152" t="s">
        <v>1438</v>
      </c>
      <c r="AK529" s="255" t="s">
        <v>560</v>
      </c>
      <c r="AL529" s="153" t="s">
        <v>1508</v>
      </c>
      <c r="AM529" s="279" t="s">
        <v>3795</v>
      </c>
      <c r="AN529" s="161" t="str">
        <f t="shared" ca="1" si="103"/>
        <v>TERMINO</v>
      </c>
      <c r="AO529" s="160" t="s">
        <v>582</v>
      </c>
      <c r="AP529" s="155" t="s">
        <v>390</v>
      </c>
      <c r="AQ529" s="819" t="str">
        <f>IFERROR(VLOOKUP(E529,'liquidaciones '!$B$2:$C$1048576,2,0),"NO")</f>
        <v>LIQUIDADO</v>
      </c>
      <c r="AR529" s="909">
        <f>IFERROR(VLOOKUP(E529,'liquidaciones '!$B$2:$I$1048576,8,0),"")</f>
        <v>0</v>
      </c>
      <c r="AS529" s="406"/>
      <c r="AT529" s="156" t="str">
        <f t="shared" ca="1" si="104"/>
        <v>NO</v>
      </c>
      <c r="AU529" s="406" t="s">
        <v>3512</v>
      </c>
      <c r="AV529" s="406" t="s">
        <v>3778</v>
      </c>
      <c r="AW529" s="930" t="s">
        <v>560</v>
      </c>
      <c r="AX529" s="928"/>
      <c r="AY529" s="928"/>
    </row>
    <row r="530" spans="3:51" ht="30.6" x14ac:dyDescent="0.3">
      <c r="C530" s="837">
        <v>185</v>
      </c>
      <c r="D530" s="837"/>
      <c r="E530" s="120" t="s">
        <v>2947</v>
      </c>
      <c r="F530" s="414" t="s">
        <v>2594</v>
      </c>
      <c r="G530" s="873">
        <v>900462717</v>
      </c>
      <c r="H530" s="967" t="s">
        <v>2948</v>
      </c>
      <c r="I530" s="877">
        <v>1802850</v>
      </c>
      <c r="J530" s="843" t="s">
        <v>2949</v>
      </c>
      <c r="K530" s="269">
        <v>2017</v>
      </c>
      <c r="L530" s="519">
        <v>42877</v>
      </c>
      <c r="M530" s="840">
        <v>42887</v>
      </c>
      <c r="N530" s="840">
        <v>43191</v>
      </c>
      <c r="O530" s="1099" t="str">
        <f>IF(+Modificaciones!I530=0,"",VLOOKUP(E530,Modificaciones!$B$7:$I$2400,8,0))</f>
        <v/>
      </c>
      <c r="P530" s="115">
        <f>COUNTA(Modificaciones!J530,Modificaciones!L530,Modificaciones!N530,Modificaciones!P530)</f>
        <v>0</v>
      </c>
      <c r="Q530" s="116">
        <f>VLOOKUP(E530,Modificaciones!$B$7:$R$2300,17,0)</f>
        <v>0</v>
      </c>
      <c r="R530" s="117">
        <f>COUNTA(Modificaciones!T530,Modificaciones!V530,Modificaciones!X530,Modificaciones!Z530)</f>
        <v>0</v>
      </c>
      <c r="S530" s="118" t="str">
        <f>IF(Modificaciones!AA530=0,"",VLOOKUP(E530,Modificaciones!$B$7:$AA$2400,26,0))</f>
        <v/>
      </c>
      <c r="T530" s="119" t="str">
        <f>IF(Modificaciones!AB530=0,"",VLOOKUP(E530,Modificaciones!$B$7:$AB$2400,27,0))</f>
        <v/>
      </c>
      <c r="U530" s="1080" t="str">
        <f>+Modificaciones!AC530</f>
        <v/>
      </c>
      <c r="V530" s="825" t="str">
        <f>+Modificaciones!AK530</f>
        <v/>
      </c>
      <c r="W530" s="825">
        <f t="shared" si="99"/>
        <v>43191</v>
      </c>
      <c r="X530" s="59">
        <f t="shared" si="97"/>
        <v>1802850</v>
      </c>
      <c r="Y530" s="151">
        <f>VLOOKUP(E530,Modificaciones!$B$7:$BE$2300,56,0)</f>
        <v>1564850</v>
      </c>
      <c r="Z530" s="84">
        <f t="shared" si="96"/>
        <v>238000</v>
      </c>
      <c r="AA530" s="283" t="s">
        <v>1628</v>
      </c>
      <c r="AB530" s="823">
        <f t="shared" si="98"/>
        <v>0.86798679867986794</v>
      </c>
      <c r="AC530" s="40">
        <f t="shared" ca="1" si="100"/>
        <v>1</v>
      </c>
      <c r="AD530" s="41">
        <f t="shared" ca="1" si="101"/>
        <v>0.13201320132013206</v>
      </c>
      <c r="AE530" s="181" t="str">
        <f t="shared" ca="1" si="102"/>
        <v/>
      </c>
      <c r="AF530" s="42" t="str">
        <f t="shared" ref="AF530:AF561" si="105">IF(AB530&lt;=99.9%,"NO","SI")</f>
        <v>NO</v>
      </c>
      <c r="AG530" s="838"/>
      <c r="AH530" s="152" t="s">
        <v>1255</v>
      </c>
      <c r="AI530" s="255" t="s">
        <v>1281</v>
      </c>
      <c r="AJ530" s="152"/>
      <c r="AK530" s="255" t="s">
        <v>560</v>
      </c>
      <c r="AL530" s="279" t="s">
        <v>1379</v>
      </c>
      <c r="AM530" s="279" t="s">
        <v>3796</v>
      </c>
      <c r="AN530" s="161" t="str">
        <f t="shared" ca="1" si="103"/>
        <v>TERMINO</v>
      </c>
      <c r="AO530" s="284" t="s">
        <v>576</v>
      </c>
      <c r="AP530" s="406" t="s">
        <v>390</v>
      </c>
      <c r="AQ530" s="819" t="str">
        <f>IFERROR(VLOOKUP(E530,'liquidaciones '!$B$2:$C$1048576,2,0),"NO")</f>
        <v>LIQUIDADO</v>
      </c>
      <c r="AR530" s="909">
        <f>IFERROR(VLOOKUP(E530,'liquidaciones '!$B$2:$I$1048576,8,0),"")</f>
        <v>0</v>
      </c>
      <c r="AS530" s="406"/>
      <c r="AT530" s="156" t="str">
        <f t="shared" ca="1" si="104"/>
        <v>NO</v>
      </c>
      <c r="AU530" s="156" t="s">
        <v>2960</v>
      </c>
      <c r="AV530" s="406" t="s">
        <v>2750</v>
      </c>
      <c r="AW530" s="930" t="s">
        <v>3985</v>
      </c>
      <c r="AX530" s="928"/>
      <c r="AY530" s="928"/>
    </row>
    <row r="531" spans="3:51" ht="40.799999999999997" x14ac:dyDescent="0.3">
      <c r="C531" s="837">
        <v>75</v>
      </c>
      <c r="D531" s="837"/>
      <c r="E531" s="120" t="s">
        <v>2952</v>
      </c>
      <c r="F531" s="414" t="s">
        <v>2094</v>
      </c>
      <c r="G531" s="873">
        <v>830099766</v>
      </c>
      <c r="H531" s="967" t="s">
        <v>2638</v>
      </c>
      <c r="I531" s="877">
        <v>63846922</v>
      </c>
      <c r="J531" s="843" t="s">
        <v>2952</v>
      </c>
      <c r="K531" s="269">
        <v>2017</v>
      </c>
      <c r="L531" s="519">
        <v>42887</v>
      </c>
      <c r="M531" s="840">
        <v>42898</v>
      </c>
      <c r="N531" s="840">
        <v>43202</v>
      </c>
      <c r="O531" s="1099" t="str">
        <f>IF(+Modificaciones!I531=0,"",VLOOKUP(E531,Modificaciones!$B$7:$I$2400,8,0))</f>
        <v/>
      </c>
      <c r="P531" s="115">
        <f>COUNTA(Modificaciones!J531,Modificaciones!L531,Modificaciones!N531,Modificaciones!P531)</f>
        <v>1</v>
      </c>
      <c r="Q531" s="116">
        <f>VLOOKUP(E531,Modificaciones!$B$7:$R$2300,17,0)</f>
        <v>19154077</v>
      </c>
      <c r="R531" s="117">
        <f>COUNTA(Modificaciones!T531,Modificaciones!V531,Modificaciones!X531,Modificaciones!Z531)</f>
        <v>1</v>
      </c>
      <c r="S531" s="118" t="str">
        <f>IF(Modificaciones!AA531=0,"",VLOOKUP(E531,Modificaciones!$B$7:$AA$2400,26,0))</f>
        <v>3 meses</v>
      </c>
      <c r="T531" s="119">
        <f>IF(Modificaciones!AB531=0,"",VLOOKUP(E531,Modificaciones!$B$7:$AB$2400,27,0))</f>
        <v>43292</v>
      </c>
      <c r="U531" s="1080" t="str">
        <f>+Modificaciones!AC531</f>
        <v/>
      </c>
      <c r="V531" s="825" t="str">
        <f>+Modificaciones!AK531</f>
        <v/>
      </c>
      <c r="W531" s="825">
        <f t="shared" si="99"/>
        <v>43292</v>
      </c>
      <c r="X531" s="59">
        <f t="shared" si="97"/>
        <v>83000999</v>
      </c>
      <c r="Y531" s="151">
        <f>VLOOKUP(E531,Modificaciones!$B$7:$BE$2300,56,0)</f>
        <v>63846919</v>
      </c>
      <c r="Z531" s="84">
        <f t="shared" si="96"/>
        <v>19154080</v>
      </c>
      <c r="AA531" s="287" t="s">
        <v>2953</v>
      </c>
      <c r="AB531" s="823">
        <f t="shared" si="98"/>
        <v>0.76923072937953429</v>
      </c>
      <c r="AC531" s="40">
        <f t="shared" ca="1" si="100"/>
        <v>1</v>
      </c>
      <c r="AD531" s="41">
        <f t="shared" ca="1" si="101"/>
        <v>0.23076927062046571</v>
      </c>
      <c r="AE531" s="181" t="str">
        <f t="shared" ca="1" si="102"/>
        <v/>
      </c>
      <c r="AF531" s="42" t="str">
        <f t="shared" si="105"/>
        <v>NO</v>
      </c>
      <c r="AG531" s="1017" t="s">
        <v>4920</v>
      </c>
      <c r="AH531" s="152" t="s">
        <v>1256</v>
      </c>
      <c r="AI531" s="255" t="s">
        <v>2097</v>
      </c>
      <c r="AJ531" s="152" t="s">
        <v>1438</v>
      </c>
      <c r="AK531" s="255" t="s">
        <v>560</v>
      </c>
      <c r="AL531" s="279" t="s">
        <v>1508</v>
      </c>
      <c r="AM531" s="279" t="s">
        <v>3795</v>
      </c>
      <c r="AN531" s="161" t="str">
        <f t="shared" ca="1" si="103"/>
        <v>TERMINO</v>
      </c>
      <c r="AO531" s="284" t="s">
        <v>582</v>
      </c>
      <c r="AP531" s="155" t="s">
        <v>390</v>
      </c>
      <c r="AQ531" s="819" t="str">
        <f>IFERROR(VLOOKUP(E531,'liquidaciones '!$B$2:$C$1048576,2,0),"NO")</f>
        <v>LIQUIDADO</v>
      </c>
      <c r="AR531" s="909">
        <f>IFERROR(VLOOKUP(E531,'liquidaciones '!$B$2:$I$1048576,8,0),"")</f>
        <v>0</v>
      </c>
      <c r="AS531" s="406"/>
      <c r="AT531" s="156" t="str">
        <f t="shared" ca="1" si="104"/>
        <v>NO</v>
      </c>
      <c r="AU531" s="406" t="s">
        <v>3512</v>
      </c>
      <c r="AV531" s="406" t="s">
        <v>3778</v>
      </c>
      <c r="AW531" s="930" t="s">
        <v>560</v>
      </c>
      <c r="AX531" s="928"/>
      <c r="AY531" s="928"/>
    </row>
    <row r="532" spans="3:51" ht="40.799999999999997" x14ac:dyDescent="0.3">
      <c r="C532" s="837">
        <v>211</v>
      </c>
      <c r="D532" s="837"/>
      <c r="E532" s="120" t="s">
        <v>2954</v>
      </c>
      <c r="F532" s="414" t="s">
        <v>2955</v>
      </c>
      <c r="G532" s="873">
        <v>900170405</v>
      </c>
      <c r="H532" s="967" t="s">
        <v>2956</v>
      </c>
      <c r="I532" s="877">
        <v>56122000</v>
      </c>
      <c r="J532" s="843" t="s">
        <v>2957</v>
      </c>
      <c r="K532" s="269">
        <v>2017</v>
      </c>
      <c r="L532" s="519">
        <v>42888</v>
      </c>
      <c r="M532" s="840">
        <v>42898</v>
      </c>
      <c r="N532" s="840">
        <v>43263</v>
      </c>
      <c r="O532" s="1099" t="str">
        <f>IF(+Modificaciones!I532=0,"",VLOOKUP(E532,Modificaciones!$B$7:$I$2400,8,0))</f>
        <v/>
      </c>
      <c r="P532" s="115">
        <f>COUNTA(Modificaciones!J532,Modificaciones!L532,Modificaciones!N532,Modificaciones!P532)</f>
        <v>0</v>
      </c>
      <c r="Q532" s="116">
        <f>VLOOKUP(E532,Modificaciones!$B$7:$R$2300,17,0)</f>
        <v>0</v>
      </c>
      <c r="R532" s="117">
        <f>COUNTA(Modificaciones!T532,Modificaciones!V532,Modificaciones!X532,Modificaciones!Z532)</f>
        <v>1</v>
      </c>
      <c r="S532" s="118" t="str">
        <f>IF(Modificaciones!AA532=0,"",VLOOKUP(E532,Modificaciones!$B$7:$AA$2400,26,0))</f>
        <v>2 meses</v>
      </c>
      <c r="T532" s="119">
        <f>IF(Modificaciones!AB532=0,"",VLOOKUP(E532,Modificaciones!$B$7:$AB$2400,27,0))</f>
        <v>43324</v>
      </c>
      <c r="U532" s="1080" t="str">
        <f>+Modificaciones!AC532</f>
        <v/>
      </c>
      <c r="V532" s="825" t="str">
        <f>+Modificaciones!AK532</f>
        <v/>
      </c>
      <c r="W532" s="825">
        <f t="shared" si="99"/>
        <v>43324</v>
      </c>
      <c r="X532" s="59">
        <f t="shared" si="97"/>
        <v>56122000</v>
      </c>
      <c r="Y532" s="151">
        <f>VLOOKUP(E532,Modificaciones!$B$7:$BE$2300,56,0)</f>
        <v>55122000</v>
      </c>
      <c r="Z532" s="84">
        <f t="shared" si="96"/>
        <v>1000000</v>
      </c>
      <c r="AA532" s="288" t="s">
        <v>2518</v>
      </c>
      <c r="AB532" s="823">
        <f t="shared" si="98"/>
        <v>0.98218167563522329</v>
      </c>
      <c r="AC532" s="40">
        <f t="shared" ca="1" si="100"/>
        <v>1</v>
      </c>
      <c r="AD532" s="41">
        <f t="shared" ca="1" si="101"/>
        <v>1.7818324364776705E-2</v>
      </c>
      <c r="AE532" s="181" t="str">
        <f t="shared" ca="1" si="102"/>
        <v/>
      </c>
      <c r="AF532" s="42" t="str">
        <f t="shared" si="105"/>
        <v>NO</v>
      </c>
      <c r="AG532" s="1017" t="s">
        <v>4920</v>
      </c>
      <c r="AH532" s="152" t="s">
        <v>1255</v>
      </c>
      <c r="AI532" s="275" t="s">
        <v>1174</v>
      </c>
      <c r="AJ532" s="152" t="s">
        <v>1434</v>
      </c>
      <c r="AK532" s="255" t="s">
        <v>560</v>
      </c>
      <c r="AL532" s="153" t="s">
        <v>1388</v>
      </c>
      <c r="AM532" s="279" t="s">
        <v>3795</v>
      </c>
      <c r="AN532" s="161" t="str">
        <f t="shared" ca="1" si="103"/>
        <v>TERMINO</v>
      </c>
      <c r="AO532" s="152" t="s">
        <v>577</v>
      </c>
      <c r="AP532" s="155" t="s">
        <v>390</v>
      </c>
      <c r="AQ532" s="819" t="str">
        <f>IFERROR(VLOOKUP(E532,'liquidaciones '!$B$2:$C$1048576,2,0),"NO")</f>
        <v>LIQUIDADO</v>
      </c>
      <c r="AR532" s="909" t="str">
        <f>IFERROR(VLOOKUP(E532,'liquidaciones '!$B$2:$I$1048576,8,0),"")</f>
        <v>JUAN DIEGO ESPITIA</v>
      </c>
      <c r="AS532" s="406"/>
      <c r="AT532" s="156" t="str">
        <f t="shared" ca="1" si="104"/>
        <v>NO</v>
      </c>
      <c r="AU532" s="406" t="s">
        <v>1509</v>
      </c>
      <c r="AV532" s="406" t="s">
        <v>3783</v>
      </c>
      <c r="AW532" s="930" t="s">
        <v>560</v>
      </c>
      <c r="AX532" s="928"/>
      <c r="AY532" s="928"/>
    </row>
    <row r="533" spans="3:51" ht="20.399999999999999" x14ac:dyDescent="0.3">
      <c r="C533" s="837">
        <v>191</v>
      </c>
      <c r="D533" s="837"/>
      <c r="E533" s="120" t="s">
        <v>2958</v>
      </c>
      <c r="F533" s="414" t="s">
        <v>2959</v>
      </c>
      <c r="G533" s="873">
        <v>900062917</v>
      </c>
      <c r="H533" s="967" t="s">
        <v>3046</v>
      </c>
      <c r="I533" s="877">
        <v>35763045</v>
      </c>
      <c r="J533" s="843" t="s">
        <v>2958</v>
      </c>
      <c r="K533" s="269">
        <v>2017</v>
      </c>
      <c r="L533" s="519">
        <v>42887</v>
      </c>
      <c r="M533" s="840">
        <v>42899</v>
      </c>
      <c r="N533" s="840">
        <v>43186</v>
      </c>
      <c r="O533" s="1099" t="str">
        <f>IF(+Modificaciones!I533=0,"",VLOOKUP(E533,Modificaciones!$B$7:$I$2400,8,0))</f>
        <v/>
      </c>
      <c r="P533" s="115">
        <f>COUNTA(Modificaciones!J533,Modificaciones!L533,Modificaciones!N533,Modificaciones!P533)</f>
        <v>1</v>
      </c>
      <c r="Q533" s="116">
        <f>VLOOKUP(E533,Modificaciones!$B$7:$R$2300,17,0)</f>
        <v>11400000</v>
      </c>
      <c r="R533" s="117">
        <f>COUNTA(Modificaciones!T533,Modificaciones!V533,Modificaciones!X533,Modificaciones!Z533)</f>
        <v>3</v>
      </c>
      <c r="S533" s="118" t="str">
        <f>IF(Modificaciones!AA533=0,"",VLOOKUP(E533,Modificaciones!$B$7:$AA$2400,26,0))</f>
        <v>4 meses y 5 días</v>
      </c>
      <c r="T533" s="119">
        <f>IF(Modificaciones!AB533=0,"",VLOOKUP(E533,Modificaciones!$B$7:$AB$2400,27,0))</f>
        <v>43313</v>
      </c>
      <c r="U533" s="1080" t="str">
        <f>+Modificaciones!AC533</f>
        <v/>
      </c>
      <c r="V533" s="825" t="str">
        <f>+Modificaciones!AK533</f>
        <v/>
      </c>
      <c r="W533" s="825">
        <f t="shared" si="99"/>
        <v>43313</v>
      </c>
      <c r="X533" s="59">
        <f t="shared" si="97"/>
        <v>47163045</v>
      </c>
      <c r="Y533" s="151">
        <f>VLOOKUP(E533,Modificaciones!$B$7:$BE$2300,56,0)</f>
        <v>45636442</v>
      </c>
      <c r="Z533" s="84">
        <f t="shared" si="96"/>
        <v>1526603</v>
      </c>
      <c r="AA533" s="283" t="s">
        <v>1864</v>
      </c>
      <c r="AB533" s="823">
        <f t="shared" si="98"/>
        <v>0.96763137324996717</v>
      </c>
      <c r="AC533" s="40">
        <f t="shared" ca="1" si="100"/>
        <v>1</v>
      </c>
      <c r="AD533" s="41">
        <f t="shared" ca="1" si="101"/>
        <v>3.2368626750032825E-2</v>
      </c>
      <c r="AE533" s="181" t="str">
        <f t="shared" ca="1" si="102"/>
        <v/>
      </c>
      <c r="AF533" s="42" t="str">
        <f t="shared" si="105"/>
        <v>NO</v>
      </c>
      <c r="AG533" s="1017" t="s">
        <v>4920</v>
      </c>
      <c r="AH533" s="152" t="s">
        <v>1255</v>
      </c>
      <c r="AI533" s="255" t="s">
        <v>1136</v>
      </c>
      <c r="AJ533" s="152" t="s">
        <v>1435</v>
      </c>
      <c r="AK533" s="255" t="s">
        <v>562</v>
      </c>
      <c r="AL533" s="153" t="s">
        <v>1384</v>
      </c>
      <c r="AM533" s="279" t="s">
        <v>3795</v>
      </c>
      <c r="AN533" s="161" t="str">
        <f t="shared" ca="1" si="103"/>
        <v>TERMINO</v>
      </c>
      <c r="AO533" s="284" t="s">
        <v>575</v>
      </c>
      <c r="AP533" s="155" t="s">
        <v>390</v>
      </c>
      <c r="AQ533" s="819" t="str">
        <f>IFERROR(VLOOKUP(E533,'liquidaciones '!$B$2:$C$1048576,2,0),"NO")</f>
        <v>EN TRÁMITE</v>
      </c>
      <c r="AR533" s="909" t="str">
        <f>IFERROR(VLOOKUP(E533,'liquidaciones '!$B$2:$I$1048576,8,0),"")</f>
        <v>JUAN DIEGO ESPÍTIA</v>
      </c>
      <c r="AS533" s="406"/>
      <c r="AT533" s="156" t="str">
        <f t="shared" ca="1" si="104"/>
        <v>NO</v>
      </c>
      <c r="AU533" s="156" t="s">
        <v>2960</v>
      </c>
      <c r="AV533" s="406" t="s">
        <v>3781</v>
      </c>
      <c r="AW533" s="930" t="s">
        <v>560</v>
      </c>
      <c r="AX533" s="928"/>
      <c r="AY533" s="928"/>
    </row>
    <row r="534" spans="3:51" ht="61.2" x14ac:dyDescent="0.3">
      <c r="C534" s="837">
        <v>261</v>
      </c>
      <c r="D534" s="837"/>
      <c r="E534" s="120" t="s">
        <v>2964</v>
      </c>
      <c r="F534" s="414" t="s">
        <v>152</v>
      </c>
      <c r="G534" s="873">
        <v>800015583</v>
      </c>
      <c r="H534" s="967" t="s">
        <v>2991</v>
      </c>
      <c r="I534" s="877">
        <v>50000000</v>
      </c>
      <c r="J534" s="843" t="s">
        <v>2967</v>
      </c>
      <c r="K534" s="269">
        <v>2017</v>
      </c>
      <c r="L534" s="519">
        <v>42885</v>
      </c>
      <c r="M534" s="872">
        <v>42913</v>
      </c>
      <c r="N534" s="872">
        <v>43278</v>
      </c>
      <c r="O534" s="1099" t="str">
        <f>IF(+Modificaciones!I534=0,"",VLOOKUP(E534,Modificaciones!$B$7:$I$2400,8,0))</f>
        <v/>
      </c>
      <c r="P534" s="115">
        <f>COUNTA(Modificaciones!J534,Modificaciones!L534,Modificaciones!N534,Modificaciones!P534)</f>
        <v>0</v>
      </c>
      <c r="Q534" s="116">
        <f>VLOOKUP(E534,Modificaciones!$B$7:$R$2300,17,0)</f>
        <v>0</v>
      </c>
      <c r="R534" s="117">
        <f>COUNTA(Modificaciones!T534,Modificaciones!V534,Modificaciones!X534,Modificaciones!Z534)</f>
        <v>0</v>
      </c>
      <c r="S534" s="118" t="str">
        <f>IF(Modificaciones!AA534=0,"",VLOOKUP(E534,Modificaciones!$B$7:$AA$2400,26,0))</f>
        <v/>
      </c>
      <c r="T534" s="119" t="str">
        <f>IF(Modificaciones!AB534=0,"",VLOOKUP(E534,Modificaciones!$B$7:$AB$2400,27,0))</f>
        <v/>
      </c>
      <c r="U534" s="1080" t="str">
        <f>+Modificaciones!AC534</f>
        <v/>
      </c>
      <c r="V534" s="825" t="str">
        <f>+Modificaciones!AK534</f>
        <v/>
      </c>
      <c r="W534" s="825">
        <f t="shared" si="99"/>
        <v>43278</v>
      </c>
      <c r="X534" s="59">
        <f t="shared" si="97"/>
        <v>50000000</v>
      </c>
      <c r="Y534" s="151">
        <f>VLOOKUP(E534,Modificaciones!$B$7:$BE$2300,56,0)</f>
        <v>37111995</v>
      </c>
      <c r="Z534" s="84">
        <f t="shared" si="96"/>
        <v>12888005</v>
      </c>
      <c r="AA534" s="288" t="s">
        <v>2965</v>
      </c>
      <c r="AB534" s="823">
        <f t="shared" si="98"/>
        <v>0.74223989999999995</v>
      </c>
      <c r="AC534" s="40">
        <f t="shared" ca="1" si="100"/>
        <v>1</v>
      </c>
      <c r="AD534" s="41">
        <f t="shared" ca="1" si="101"/>
        <v>0.25776010000000005</v>
      </c>
      <c r="AE534" s="181" t="str">
        <f t="shared" ca="1" si="102"/>
        <v/>
      </c>
      <c r="AF534" s="42" t="str">
        <f t="shared" si="105"/>
        <v>NO</v>
      </c>
      <c r="AG534" s="1017" t="s">
        <v>4920</v>
      </c>
      <c r="AH534" s="841" t="s">
        <v>1256</v>
      </c>
      <c r="AI534" s="841" t="s">
        <v>2966</v>
      </c>
      <c r="AJ534" s="152" t="s">
        <v>1438</v>
      </c>
      <c r="AK534" s="255" t="s">
        <v>560</v>
      </c>
      <c r="AL534" s="838"/>
      <c r="AM534" s="279" t="s">
        <v>3795</v>
      </c>
      <c r="AN534" s="161" t="str">
        <f t="shared" ca="1" si="103"/>
        <v>TERMINO</v>
      </c>
      <c r="AO534" s="284" t="s">
        <v>576</v>
      </c>
      <c r="AP534" s="406" t="s">
        <v>390</v>
      </c>
      <c r="AQ534" s="819" t="str">
        <f>IFERROR(VLOOKUP(E534,'liquidaciones '!$B$2:$C$1048576,2,0),"NO")</f>
        <v>LIQUIDADO</v>
      </c>
      <c r="AR534" s="909" t="str">
        <f>IFERROR(VLOOKUP(E534,'liquidaciones '!$B$2:$I$1048576,8,0),"")</f>
        <v>JUAN DIEGO ESPITIA</v>
      </c>
      <c r="AS534" s="406"/>
      <c r="AT534" s="156" t="str">
        <f t="shared" ca="1" si="104"/>
        <v>NO</v>
      </c>
      <c r="AU534" s="406" t="s">
        <v>3512</v>
      </c>
      <c r="AV534" s="406" t="s">
        <v>3778</v>
      </c>
      <c r="AW534" s="930" t="s">
        <v>560</v>
      </c>
      <c r="AX534" s="928"/>
      <c r="AY534" s="928"/>
    </row>
    <row r="535" spans="3:51" ht="40.799999999999997" x14ac:dyDescent="0.3">
      <c r="C535" s="837">
        <v>77</v>
      </c>
      <c r="D535" s="837"/>
      <c r="E535" s="120" t="s">
        <v>2968</v>
      </c>
      <c r="F535" s="414" t="s">
        <v>2695</v>
      </c>
      <c r="G535" s="873">
        <v>900105979</v>
      </c>
      <c r="H535" s="967" t="s">
        <v>2969</v>
      </c>
      <c r="I535" s="877">
        <v>110600000</v>
      </c>
      <c r="J535" s="843" t="s">
        <v>2971</v>
      </c>
      <c r="K535" s="269">
        <v>2017</v>
      </c>
      <c r="L535" s="519">
        <v>42891</v>
      </c>
      <c r="M535" s="840">
        <v>42906</v>
      </c>
      <c r="N535" s="840">
        <v>43210</v>
      </c>
      <c r="O535" s="1099" t="str">
        <f>IF(+Modificaciones!I535=0,"",VLOOKUP(E535,Modificaciones!$B$7:$I$2400,8,0))</f>
        <v/>
      </c>
      <c r="P535" s="115">
        <f>COUNTA(Modificaciones!J535,Modificaciones!L535,Modificaciones!N535,Modificaciones!P535)</f>
        <v>1</v>
      </c>
      <c r="Q535" s="116">
        <f>VLOOKUP(E535,Modificaciones!$B$7:$R$2300,17,0)</f>
        <v>25806667</v>
      </c>
      <c r="R535" s="117">
        <f>COUNTA(Modificaciones!T535,Modificaciones!V535,Modificaciones!X535,Modificaciones!Z535)</f>
        <v>1</v>
      </c>
      <c r="S535" s="118" t="str">
        <f>IF(Modificaciones!AA535=0,"",VLOOKUP(E535,Modificaciones!$B$7:$AA$2400,26,0))</f>
        <v>2 meses y 10 días calendario</v>
      </c>
      <c r="T535" s="119">
        <f>IF(Modificaciones!AB535=0,"",VLOOKUP(E535,Modificaciones!$B$7:$AB$2400,27,0))</f>
        <v>43281</v>
      </c>
      <c r="U535" s="1080" t="str">
        <f>+Modificaciones!AC535</f>
        <v/>
      </c>
      <c r="V535" s="825" t="str">
        <f>+Modificaciones!AK535</f>
        <v/>
      </c>
      <c r="W535" s="825">
        <f t="shared" si="99"/>
        <v>43281</v>
      </c>
      <c r="X535" s="59">
        <f t="shared" si="97"/>
        <v>136406667</v>
      </c>
      <c r="Y535" s="151">
        <f>VLOOKUP(E535,Modificaciones!$B$7:$BE$2300,56,0)</f>
        <v>136406667</v>
      </c>
      <c r="Z535" s="84">
        <f t="shared" si="96"/>
        <v>0</v>
      </c>
      <c r="AA535" s="288" t="s">
        <v>2518</v>
      </c>
      <c r="AB535" s="823">
        <f t="shared" si="98"/>
        <v>1</v>
      </c>
      <c r="AC535" s="40">
        <f t="shared" ca="1" si="100"/>
        <v>1</v>
      </c>
      <c r="AD535" s="41">
        <f t="shared" ca="1" si="101"/>
        <v>0</v>
      </c>
      <c r="AE535" s="181" t="str">
        <f t="shared" ca="1" si="102"/>
        <v/>
      </c>
      <c r="AF535" s="42" t="str">
        <f t="shared" si="105"/>
        <v>SI</v>
      </c>
      <c r="AG535" s="1017" t="s">
        <v>4920</v>
      </c>
      <c r="AH535" s="841" t="s">
        <v>1256</v>
      </c>
      <c r="AI535" s="841" t="s">
        <v>2966</v>
      </c>
      <c r="AJ535" s="152" t="s">
        <v>1438</v>
      </c>
      <c r="AK535" s="255" t="s">
        <v>560</v>
      </c>
      <c r="AL535" s="838"/>
      <c r="AM535" s="279" t="s">
        <v>3795</v>
      </c>
      <c r="AN535" s="161" t="str">
        <f t="shared" ca="1" si="103"/>
        <v>TERMINO</v>
      </c>
      <c r="AO535" s="414" t="s">
        <v>2970</v>
      </c>
      <c r="AP535" s="406" t="s">
        <v>390</v>
      </c>
      <c r="AQ535" s="819" t="str">
        <f>IFERROR(VLOOKUP(E535,'liquidaciones '!$B$2:$C$1048576,2,0),"NO")</f>
        <v>EN TRÁMITE</v>
      </c>
      <c r="AR535" s="909" t="str">
        <f>IFERROR(VLOOKUP(E535,'liquidaciones '!$B$2:$I$1048576,8,0),"")</f>
        <v>JUAN DIEGO ESPITIA</v>
      </c>
      <c r="AS535" s="406"/>
      <c r="AT535" s="156" t="str">
        <f t="shared" ca="1" si="104"/>
        <v>NO</v>
      </c>
      <c r="AU535" s="406" t="s">
        <v>3512</v>
      </c>
      <c r="AV535" s="406" t="s">
        <v>3778</v>
      </c>
      <c r="AW535" s="930" t="s">
        <v>560</v>
      </c>
      <c r="AX535" s="928"/>
      <c r="AY535" s="928"/>
    </row>
    <row r="536" spans="3:51" ht="28.8" x14ac:dyDescent="0.3">
      <c r="C536" s="837">
        <v>88</v>
      </c>
      <c r="D536" s="837"/>
      <c r="E536" s="120" t="s">
        <v>2977</v>
      </c>
      <c r="F536" s="414" t="s">
        <v>2978</v>
      </c>
      <c r="G536" s="873" t="s">
        <v>2979</v>
      </c>
      <c r="H536" s="967" t="s">
        <v>2980</v>
      </c>
      <c r="I536" s="877">
        <v>4361500</v>
      </c>
      <c r="J536" s="843" t="s">
        <v>2981</v>
      </c>
      <c r="K536" s="269">
        <v>2017</v>
      </c>
      <c r="L536" s="519">
        <v>42909</v>
      </c>
      <c r="M536" s="844">
        <v>42922</v>
      </c>
      <c r="N536" s="844">
        <v>42984</v>
      </c>
      <c r="O536" s="1099" t="str">
        <f>IF(+Modificaciones!I536=0,"",VLOOKUP(E536,Modificaciones!$B$7:$I$2400,8,0))</f>
        <v/>
      </c>
      <c r="P536" s="115">
        <f>COUNTA(Modificaciones!J536,Modificaciones!L536,Modificaciones!N536,Modificaciones!P536)</f>
        <v>0</v>
      </c>
      <c r="Q536" s="116">
        <f>VLOOKUP(E536,Modificaciones!$B$7:$R$2300,17,0)</f>
        <v>0</v>
      </c>
      <c r="R536" s="117">
        <f>COUNTA(Modificaciones!T536,Modificaciones!V536,Modificaciones!X536,Modificaciones!Z536)</f>
        <v>0</v>
      </c>
      <c r="S536" s="118" t="str">
        <f>IF(Modificaciones!AA536=0,"",VLOOKUP(E536,Modificaciones!$B$7:$AA$2400,26,0))</f>
        <v/>
      </c>
      <c r="T536" s="119" t="str">
        <f>IF(Modificaciones!AB536=0,"",VLOOKUP(E536,Modificaciones!$B$7:$AB$2400,27,0))</f>
        <v/>
      </c>
      <c r="U536" s="1080" t="str">
        <f>+Modificaciones!AC536</f>
        <v/>
      </c>
      <c r="V536" s="825" t="str">
        <f>+Modificaciones!AK536</f>
        <v/>
      </c>
      <c r="W536" s="825">
        <f t="shared" si="99"/>
        <v>42984</v>
      </c>
      <c r="X536" s="59">
        <f t="shared" si="97"/>
        <v>4361500</v>
      </c>
      <c r="Y536" s="151">
        <f>VLOOKUP(E536,Modificaciones!$B$7:$BE$2300,56,0)</f>
        <v>4361500</v>
      </c>
      <c r="Z536" s="84">
        <f t="shared" si="96"/>
        <v>0</v>
      </c>
      <c r="AA536" s="283" t="s">
        <v>1819</v>
      </c>
      <c r="AB536" s="823">
        <f t="shared" si="98"/>
        <v>1</v>
      </c>
      <c r="AC536" s="40">
        <f t="shared" ca="1" si="100"/>
        <v>1</v>
      </c>
      <c r="AD536" s="41">
        <f t="shared" ca="1" si="101"/>
        <v>0</v>
      </c>
      <c r="AE536" s="181" t="str">
        <f t="shared" ca="1" si="102"/>
        <v/>
      </c>
      <c r="AF536" s="42" t="str">
        <f t="shared" si="105"/>
        <v>SI</v>
      </c>
      <c r="AG536" s="732" t="s">
        <v>1711</v>
      </c>
      <c r="AH536" s="152" t="s">
        <v>1256</v>
      </c>
      <c r="AI536" s="255" t="s">
        <v>1310</v>
      </c>
      <c r="AJ536" s="152" t="s">
        <v>1438</v>
      </c>
      <c r="AK536" s="255" t="s">
        <v>560</v>
      </c>
      <c r="AL536" s="279" t="s">
        <v>1508</v>
      </c>
      <c r="AM536" s="279" t="s">
        <v>2830</v>
      </c>
      <c r="AN536" s="161" t="str">
        <f t="shared" ca="1" si="103"/>
        <v>TERMINO</v>
      </c>
      <c r="AO536" s="284" t="s">
        <v>576</v>
      </c>
      <c r="AP536" s="155" t="s">
        <v>391</v>
      </c>
      <c r="AQ536" s="819" t="str">
        <f>IFERROR(VLOOKUP(E536,'liquidaciones '!$B$2:$C$1048576,2,0),"NO")</f>
        <v>LIQUIDADO</v>
      </c>
      <c r="AR536" s="909">
        <f>IFERROR(VLOOKUP(E536,'liquidaciones '!$B$2:$I$1048576,8,0),"")</f>
        <v>0</v>
      </c>
      <c r="AS536" s="406"/>
      <c r="AT536" s="156" t="str">
        <f t="shared" ca="1" si="104"/>
        <v>NO</v>
      </c>
      <c r="AU536" s="406" t="s">
        <v>3512</v>
      </c>
      <c r="AV536" s="406"/>
      <c r="AX536" s="928"/>
      <c r="AY536" s="928"/>
    </row>
    <row r="537" spans="3:51" ht="71.400000000000006" x14ac:dyDescent="0.3">
      <c r="C537" s="837">
        <v>200</v>
      </c>
      <c r="D537" s="837"/>
      <c r="E537" s="120" t="s">
        <v>2982</v>
      </c>
      <c r="F537" s="414" t="s">
        <v>2152</v>
      </c>
      <c r="G537" s="873" t="s">
        <v>2983</v>
      </c>
      <c r="H537" s="965" t="s">
        <v>3551</v>
      </c>
      <c r="I537" s="877">
        <v>4491000</v>
      </c>
      <c r="J537" s="843" t="s">
        <v>2990</v>
      </c>
      <c r="K537" s="269">
        <v>2017</v>
      </c>
      <c r="L537" s="519">
        <v>42894</v>
      </c>
      <c r="M537" s="844">
        <v>42920</v>
      </c>
      <c r="N537" s="844">
        <v>43255</v>
      </c>
      <c r="O537" s="1099" t="str">
        <f>IF(+Modificaciones!I537=0,"",VLOOKUP(E537,Modificaciones!$B$7:$I$2400,8,0))</f>
        <v/>
      </c>
      <c r="P537" s="115">
        <f>COUNTA(Modificaciones!J537,Modificaciones!L537,Modificaciones!N537,Modificaciones!P537)</f>
        <v>0</v>
      </c>
      <c r="Q537" s="116">
        <f>VLOOKUP(E537,Modificaciones!$B$7:$R$2300,17,0)</f>
        <v>0</v>
      </c>
      <c r="R537" s="117">
        <f>COUNTA(Modificaciones!T537,Modificaciones!V537,Modificaciones!X537,Modificaciones!Z537)</f>
        <v>0</v>
      </c>
      <c r="S537" s="118" t="str">
        <f>IF(Modificaciones!AA537=0,"",VLOOKUP(E537,Modificaciones!$B$7:$AA$2400,26,0))</f>
        <v/>
      </c>
      <c r="T537" s="119" t="str">
        <f>IF(Modificaciones!AB537=0,"",VLOOKUP(E537,Modificaciones!$B$7:$AB$2400,27,0))</f>
        <v/>
      </c>
      <c r="U537" s="1080" t="str">
        <f>+Modificaciones!AC537</f>
        <v/>
      </c>
      <c r="V537" s="825" t="str">
        <f>+Modificaciones!AK537</f>
        <v/>
      </c>
      <c r="W537" s="825">
        <f t="shared" si="99"/>
        <v>43255</v>
      </c>
      <c r="X537" s="59">
        <f t="shared" si="97"/>
        <v>4491000</v>
      </c>
      <c r="Y537" s="151">
        <f>VLOOKUP(E537,Modificaciones!$B$7:$BE$2300,56,0)</f>
        <v>4410990</v>
      </c>
      <c r="Z537" s="84">
        <f t="shared" si="96"/>
        <v>80010</v>
      </c>
      <c r="AA537" s="283" t="s">
        <v>2984</v>
      </c>
      <c r="AB537" s="823">
        <f t="shared" si="98"/>
        <v>0.98218436873747494</v>
      </c>
      <c r="AC537" s="40">
        <f t="shared" ca="1" si="100"/>
        <v>1</v>
      </c>
      <c r="AD537" s="41">
        <f t="shared" ca="1" si="101"/>
        <v>1.7815631262525056E-2</v>
      </c>
      <c r="AE537" s="181" t="str">
        <f t="shared" ca="1" si="102"/>
        <v/>
      </c>
      <c r="AF537" s="42" t="str">
        <f t="shared" si="105"/>
        <v>NO</v>
      </c>
      <c r="AG537" s="1017" t="s">
        <v>4920</v>
      </c>
      <c r="AH537" s="152" t="s">
        <v>1255</v>
      </c>
      <c r="AI537" s="255" t="s">
        <v>1171</v>
      </c>
      <c r="AJ537" s="152" t="s">
        <v>1441</v>
      </c>
      <c r="AK537" s="255" t="s">
        <v>560</v>
      </c>
      <c r="AL537" s="153" t="s">
        <v>1379</v>
      </c>
      <c r="AM537" s="279" t="s">
        <v>3795</v>
      </c>
      <c r="AN537" s="161" t="str">
        <f t="shared" ca="1" si="103"/>
        <v>TERMINO</v>
      </c>
      <c r="AO537" s="160" t="s">
        <v>576</v>
      </c>
      <c r="AP537" s="155" t="s">
        <v>390</v>
      </c>
      <c r="AQ537" s="819" t="str">
        <f>IFERROR(VLOOKUP(E537,'liquidaciones '!$B$2:$C$1048576,2,0),"NO")</f>
        <v>LIQUIDADO</v>
      </c>
      <c r="AR537" s="909" t="str">
        <f>IFERROR(VLOOKUP(E537,'liquidaciones '!$B$2:$I$1048576,8,0),"")</f>
        <v>JUAN DIEGO ESPITIA</v>
      </c>
      <c r="AS537" s="406"/>
      <c r="AT537" s="156" t="str">
        <f t="shared" ca="1" si="104"/>
        <v>NO</v>
      </c>
      <c r="AU537" s="406" t="s">
        <v>1509</v>
      </c>
      <c r="AV537" s="406" t="s">
        <v>3774</v>
      </c>
      <c r="AW537" s="930" t="s">
        <v>560</v>
      </c>
      <c r="AX537" s="928"/>
      <c r="AY537" s="928"/>
    </row>
    <row r="538" spans="3:51" ht="51" x14ac:dyDescent="0.3">
      <c r="C538" s="837">
        <v>193</v>
      </c>
      <c r="D538" s="837"/>
      <c r="E538" s="120" t="s">
        <v>2985</v>
      </c>
      <c r="F538" s="414" t="s">
        <v>2986</v>
      </c>
      <c r="G538" s="873" t="s">
        <v>2987</v>
      </c>
      <c r="H538" s="965" t="s">
        <v>3047</v>
      </c>
      <c r="I538" s="877">
        <v>29000000</v>
      </c>
      <c r="J538" s="843" t="s">
        <v>2988</v>
      </c>
      <c r="K538" s="269">
        <v>2017</v>
      </c>
      <c r="L538" s="519">
        <v>42893</v>
      </c>
      <c r="M538" s="844">
        <v>42920</v>
      </c>
      <c r="N538" s="844">
        <v>43194</v>
      </c>
      <c r="O538" s="1099" t="str">
        <f>IF(+Modificaciones!I538=0,"",VLOOKUP(E538,Modificaciones!$B$7:$I$2400,8,0))</f>
        <v/>
      </c>
      <c r="P538" s="115">
        <f>COUNTA(Modificaciones!J538,Modificaciones!L538,Modificaciones!N538,Modificaciones!P538)</f>
        <v>0</v>
      </c>
      <c r="Q538" s="116">
        <f>VLOOKUP(E538,Modificaciones!$B$7:$R$2300,17,0)</f>
        <v>0</v>
      </c>
      <c r="R538" s="117">
        <f>COUNTA(Modificaciones!T538,Modificaciones!V538,Modificaciones!X538,Modificaciones!Z538)</f>
        <v>0</v>
      </c>
      <c r="S538" s="118" t="str">
        <f>IF(Modificaciones!AA538=0,"",VLOOKUP(E538,Modificaciones!$B$7:$AA$2400,26,0))</f>
        <v/>
      </c>
      <c r="T538" s="119" t="str">
        <f>IF(Modificaciones!AB538=0,"",VLOOKUP(E538,Modificaciones!$B$7:$AB$2400,27,0))</f>
        <v/>
      </c>
      <c r="U538" s="1080" t="str">
        <f>+Modificaciones!AC538</f>
        <v/>
      </c>
      <c r="V538" s="825" t="str">
        <f>+Modificaciones!AK538</f>
        <v/>
      </c>
      <c r="W538" s="825">
        <f t="shared" si="99"/>
        <v>43194</v>
      </c>
      <c r="X538" s="59">
        <f t="shared" si="97"/>
        <v>29000000</v>
      </c>
      <c r="Y538" s="151">
        <f>VLOOKUP(E538,Modificaciones!$B$7:$BE$2300,56,0)</f>
        <v>28999767</v>
      </c>
      <c r="Z538" s="84">
        <f t="shared" si="96"/>
        <v>233</v>
      </c>
      <c r="AA538" s="283" t="s">
        <v>2989</v>
      </c>
      <c r="AB538" s="823">
        <f t="shared" si="98"/>
        <v>0.99999196551724134</v>
      </c>
      <c r="AC538" s="40">
        <f t="shared" ca="1" si="100"/>
        <v>1</v>
      </c>
      <c r="AD538" s="41">
        <f t="shared" ca="1" si="101"/>
        <v>8.0344827586564804E-6</v>
      </c>
      <c r="AE538" s="181" t="str">
        <f t="shared" ca="1" si="102"/>
        <v/>
      </c>
      <c r="AF538" s="42" t="str">
        <f t="shared" si="105"/>
        <v>SI</v>
      </c>
      <c r="AG538" s="1017" t="s">
        <v>4920</v>
      </c>
      <c r="AH538" s="152" t="s">
        <v>1255</v>
      </c>
      <c r="AI538" s="255" t="s">
        <v>1297</v>
      </c>
      <c r="AJ538" s="152" t="s">
        <v>1441</v>
      </c>
      <c r="AK538" s="255" t="s">
        <v>560</v>
      </c>
      <c r="AL538" s="153" t="s">
        <v>1379</v>
      </c>
      <c r="AM538" s="279" t="s">
        <v>3795</v>
      </c>
      <c r="AN538" s="161" t="str">
        <f t="shared" ca="1" si="103"/>
        <v>TERMINO</v>
      </c>
      <c r="AO538" s="160" t="s">
        <v>576</v>
      </c>
      <c r="AP538" s="406" t="s">
        <v>390</v>
      </c>
      <c r="AQ538" s="819" t="str">
        <f>IFERROR(VLOOKUP(E538,'liquidaciones '!$B$2:$C$1048576,2,0),"NO")</f>
        <v>LIQUIDADO</v>
      </c>
      <c r="AR538" s="909">
        <f>IFERROR(VLOOKUP(E538,'liquidaciones '!$B$2:$I$1048576,8,0),"")</f>
        <v>0</v>
      </c>
      <c r="AS538" s="406"/>
      <c r="AT538" s="156" t="str">
        <f t="shared" ca="1" si="104"/>
        <v>NO</v>
      </c>
      <c r="AU538" s="406" t="s">
        <v>3050</v>
      </c>
      <c r="AV538" s="406" t="s">
        <v>3774</v>
      </c>
      <c r="AW538" s="930" t="s">
        <v>560</v>
      </c>
      <c r="AX538" s="928"/>
      <c r="AY538" s="928"/>
    </row>
    <row r="539" spans="3:51" ht="61.2" x14ac:dyDescent="0.3">
      <c r="C539" s="837">
        <v>196</v>
      </c>
      <c r="D539" s="837"/>
      <c r="E539" s="120" t="s">
        <v>2992</v>
      </c>
      <c r="F539" s="414" t="s">
        <v>2993</v>
      </c>
      <c r="G539" s="873" t="s">
        <v>2994</v>
      </c>
      <c r="H539" s="967" t="s">
        <v>2995</v>
      </c>
      <c r="I539" s="877">
        <v>578014000</v>
      </c>
      <c r="J539" s="843" t="s">
        <v>3000</v>
      </c>
      <c r="K539" s="269">
        <v>2017</v>
      </c>
      <c r="L539" s="519">
        <v>42929</v>
      </c>
      <c r="M539" s="844">
        <v>42933</v>
      </c>
      <c r="N539" s="844">
        <v>43117</v>
      </c>
      <c r="O539" s="1099" t="str">
        <f>IF(+Modificaciones!I539=0,"",VLOOKUP(E539,Modificaciones!$B$7:$I$2400,8,0))</f>
        <v/>
      </c>
      <c r="P539" s="115">
        <f>COUNTA(Modificaciones!J539,Modificaciones!L539,Modificaciones!N539,Modificaciones!P539)</f>
        <v>1</v>
      </c>
      <c r="Q539" s="116">
        <f>VLOOKUP(E539,Modificaciones!$B$7:$R$2300,17,0)</f>
        <v>303988189</v>
      </c>
      <c r="R539" s="117">
        <f>COUNTA(Modificaciones!T539,Modificaciones!V539,Modificaciones!X539,Modificaciones!Z539)</f>
        <v>2</v>
      </c>
      <c r="S539" s="118" t="str">
        <f>IF(Modificaciones!AA539=0,"",VLOOKUP(E539,Modificaciones!$B$7:$AA$2400,26,0))</f>
        <v>3 meses y 25 días</v>
      </c>
      <c r="T539" s="119">
        <f>IF(Modificaciones!AB539=0,"",VLOOKUP(E539,Modificaciones!$B$7:$AB$2400,27,0))</f>
        <v>43231</v>
      </c>
      <c r="U539" s="1080" t="str">
        <f>+Modificaciones!AC539</f>
        <v/>
      </c>
      <c r="V539" s="825" t="str">
        <f>+Modificaciones!AK539</f>
        <v/>
      </c>
      <c r="W539" s="825">
        <f t="shared" si="99"/>
        <v>43231</v>
      </c>
      <c r="X539" s="59">
        <f t="shared" si="97"/>
        <v>882002189</v>
      </c>
      <c r="Y539" s="151">
        <f>VLOOKUP(E539,Modificaciones!$B$7:$BE$2300,56,0)</f>
        <v>880108950</v>
      </c>
      <c r="Z539" s="84">
        <f t="shared" si="96"/>
        <v>1893239</v>
      </c>
      <c r="AA539" s="84" t="s">
        <v>1877</v>
      </c>
      <c r="AB539" s="823">
        <f t="shared" si="98"/>
        <v>0.99785347584891315</v>
      </c>
      <c r="AC539" s="40">
        <f t="shared" ca="1" si="100"/>
        <v>1</v>
      </c>
      <c r="AD539" s="41">
        <f t="shared" ca="1" si="101"/>
        <v>2.1465241510868482E-3</v>
      </c>
      <c r="AE539" s="181" t="str">
        <f t="shared" ca="1" si="102"/>
        <v/>
      </c>
      <c r="AF539" s="42" t="str">
        <f t="shared" si="105"/>
        <v>NO</v>
      </c>
      <c r="AG539" s="1017" t="s">
        <v>4920</v>
      </c>
      <c r="AH539" s="152" t="s">
        <v>1255</v>
      </c>
      <c r="AI539" s="255" t="s">
        <v>1126</v>
      </c>
      <c r="AJ539" s="152"/>
      <c r="AK539" s="255" t="s">
        <v>560</v>
      </c>
      <c r="AL539" s="279"/>
      <c r="AM539" s="279" t="s">
        <v>3795</v>
      </c>
      <c r="AN539" s="161" t="str">
        <f t="shared" ca="1" si="103"/>
        <v>TERMINO</v>
      </c>
      <c r="AO539" s="284" t="s">
        <v>575</v>
      </c>
      <c r="AP539" s="406" t="s">
        <v>390</v>
      </c>
      <c r="AQ539" s="819" t="str">
        <f>IFERROR(VLOOKUP(E539,'liquidaciones '!$B$2:$C$1048576,2,0),"NO")</f>
        <v>LIQUIDADO</v>
      </c>
      <c r="AR539" s="909" t="str">
        <f>IFERROR(VLOOKUP(E539,'liquidaciones '!$B$2:$I$1048576,8,0),"")</f>
        <v>JUAN DIEGO ESPITIA</v>
      </c>
      <c r="AS539" s="406"/>
      <c r="AT539" s="156" t="str">
        <f t="shared" ca="1" si="104"/>
        <v>NO</v>
      </c>
      <c r="AU539" s="406" t="s">
        <v>3050</v>
      </c>
      <c r="AV539" s="406" t="s">
        <v>1378</v>
      </c>
      <c r="AW539" s="930" t="s">
        <v>560</v>
      </c>
      <c r="AX539" s="928"/>
      <c r="AY539" s="928"/>
    </row>
    <row r="540" spans="3:51" ht="30.6" x14ac:dyDescent="0.3">
      <c r="C540" s="837"/>
      <c r="D540" s="837"/>
      <c r="E540" s="120" t="s">
        <v>2996</v>
      </c>
      <c r="F540" s="414" t="s">
        <v>1598</v>
      </c>
      <c r="G540" s="873" t="s">
        <v>2997</v>
      </c>
      <c r="H540" s="967" t="s">
        <v>2998</v>
      </c>
      <c r="I540" s="877">
        <v>70086000</v>
      </c>
      <c r="J540" s="843" t="s">
        <v>3001</v>
      </c>
      <c r="K540" s="269">
        <v>2017</v>
      </c>
      <c r="L540" s="519">
        <v>42921</v>
      </c>
      <c r="M540" s="844">
        <v>42930</v>
      </c>
      <c r="N540" s="844">
        <v>43053</v>
      </c>
      <c r="O540" s="1099" t="str">
        <f>IF(+Modificaciones!I540=0,"",VLOOKUP(E540,Modificaciones!$B$7:$I$2400,8,0))</f>
        <v/>
      </c>
      <c r="P540" s="115">
        <f>COUNTA(Modificaciones!J540,Modificaciones!L540,Modificaciones!N540,Modificaciones!P540)</f>
        <v>0</v>
      </c>
      <c r="Q540" s="116">
        <f>VLOOKUP(E540,Modificaciones!$B$7:$R$2300,17,0)</f>
        <v>0</v>
      </c>
      <c r="R540" s="117">
        <f>COUNTA(Modificaciones!T540,Modificaciones!V540,Modificaciones!X540,Modificaciones!Z540)</f>
        <v>0</v>
      </c>
      <c r="S540" s="118" t="str">
        <f>IF(Modificaciones!AA540=0,"",VLOOKUP(E540,Modificaciones!$B$7:$AA$2400,26,0))</f>
        <v/>
      </c>
      <c r="T540" s="119" t="str">
        <f>IF(Modificaciones!AB540=0,"",VLOOKUP(E540,Modificaciones!$B$7:$AB$2400,27,0))</f>
        <v/>
      </c>
      <c r="U540" s="1080" t="str">
        <f>+Modificaciones!AC540</f>
        <v/>
      </c>
      <c r="V540" s="825" t="str">
        <f>+Modificaciones!AK540</f>
        <v/>
      </c>
      <c r="W540" s="825">
        <f t="shared" si="99"/>
        <v>43053</v>
      </c>
      <c r="X540" s="59">
        <f t="shared" si="97"/>
        <v>70086000</v>
      </c>
      <c r="Y540" s="151">
        <f>VLOOKUP(E540,Modificaciones!$B$7:$BE$2300,56,0)</f>
        <v>70086000</v>
      </c>
      <c r="Z540" s="84">
        <f t="shared" si="96"/>
        <v>0</v>
      </c>
      <c r="AA540" s="283" t="s">
        <v>2999</v>
      </c>
      <c r="AB540" s="823">
        <f t="shared" si="98"/>
        <v>1</v>
      </c>
      <c r="AC540" s="40">
        <f t="shared" ca="1" si="100"/>
        <v>1</v>
      </c>
      <c r="AD540" s="41">
        <f t="shared" ca="1" si="101"/>
        <v>0</v>
      </c>
      <c r="AE540" s="181" t="str">
        <f t="shared" ca="1" si="102"/>
        <v/>
      </c>
      <c r="AF540" s="42" t="str">
        <f t="shared" si="105"/>
        <v>SI</v>
      </c>
      <c r="AG540" s="1017" t="s">
        <v>4920</v>
      </c>
      <c r="AH540" s="152" t="s">
        <v>1256</v>
      </c>
      <c r="AI540" s="255" t="s">
        <v>1601</v>
      </c>
      <c r="AJ540" s="152" t="s">
        <v>1438</v>
      </c>
      <c r="AK540" s="255" t="s">
        <v>560</v>
      </c>
      <c r="AL540" s="279" t="s">
        <v>1508</v>
      </c>
      <c r="AM540" s="279" t="s">
        <v>3795</v>
      </c>
      <c r="AN540" s="161" t="str">
        <f t="shared" ca="1" si="103"/>
        <v>TERMINO</v>
      </c>
      <c r="AO540" s="160" t="s">
        <v>576</v>
      </c>
      <c r="AP540" s="406" t="s">
        <v>390</v>
      </c>
      <c r="AQ540" s="819" t="str">
        <f>IFERROR(VLOOKUP(E540,'liquidaciones '!$B$2:$C$1048576,2,0),"NO")</f>
        <v>LIQUIDADO</v>
      </c>
      <c r="AR540" s="909">
        <f>IFERROR(VLOOKUP(E540,'liquidaciones '!$B$2:$I$1048576,8,0),"")</f>
        <v>0</v>
      </c>
      <c r="AS540" s="406"/>
      <c r="AT540" s="156" t="str">
        <f t="shared" ca="1" si="104"/>
        <v>NO</v>
      </c>
      <c r="AU540" s="406" t="s">
        <v>3512</v>
      </c>
      <c r="AV540" s="406" t="s">
        <v>3778</v>
      </c>
      <c r="AW540" s="930" t="s">
        <v>560</v>
      </c>
      <c r="AX540" s="928"/>
      <c r="AY540" s="928"/>
    </row>
    <row r="541" spans="3:51" ht="20.399999999999999" x14ac:dyDescent="0.3">
      <c r="C541" s="837">
        <v>199</v>
      </c>
      <c r="D541" s="837"/>
      <c r="E541" s="120" t="s">
        <v>3048</v>
      </c>
      <c r="F541" s="414" t="s">
        <v>1856</v>
      </c>
      <c r="G541" s="863">
        <v>860025639</v>
      </c>
      <c r="H541" s="968" t="s">
        <v>3049</v>
      </c>
      <c r="I541" s="84">
        <v>15000000</v>
      </c>
      <c r="J541" s="843" t="s">
        <v>3048</v>
      </c>
      <c r="K541" s="269">
        <v>2017</v>
      </c>
      <c r="L541" s="519">
        <v>42906</v>
      </c>
      <c r="M541" s="872">
        <v>42948</v>
      </c>
      <c r="N541" s="872">
        <v>43236</v>
      </c>
      <c r="O541" s="1099" t="str">
        <f>IF(+Modificaciones!I541=0,"",VLOOKUP(E541,Modificaciones!$B$7:$I$2400,8,0))</f>
        <v/>
      </c>
      <c r="P541" s="115">
        <f>COUNTA(Modificaciones!J541,Modificaciones!L541,Modificaciones!N541,Modificaciones!P541)</f>
        <v>1</v>
      </c>
      <c r="Q541" s="116">
        <f>VLOOKUP(E541,Modificaciones!$B$7:$R$2300,17,0)</f>
        <v>6193880</v>
      </c>
      <c r="R541" s="117">
        <f>COUNTA(Modificaciones!T541,Modificaciones!V541,Modificaciones!X541,Modificaciones!Z541)</f>
        <v>1</v>
      </c>
      <c r="S541" s="118" t="str">
        <f>IF(Modificaciones!AA541=0,"",VLOOKUP(E541,Modificaciones!$B$7:$AA$2400,26,0))</f>
        <v>2 meses y 15 días</v>
      </c>
      <c r="T541" s="119">
        <f>IF(Modificaciones!AB541=0,"",VLOOKUP(E541,Modificaciones!$B$7:$AB$2400,27,0))</f>
        <v>43312</v>
      </c>
      <c r="U541" s="1080" t="str">
        <f>+Modificaciones!AC541</f>
        <v/>
      </c>
      <c r="V541" s="825" t="str">
        <f>+Modificaciones!AK541</f>
        <v/>
      </c>
      <c r="W541" s="825">
        <f t="shared" si="99"/>
        <v>43312</v>
      </c>
      <c r="X541" s="59">
        <f t="shared" si="97"/>
        <v>21193880</v>
      </c>
      <c r="Y541" s="151">
        <f>VLOOKUP(E541,Modificaciones!$B$7:$BE$2300,56,0)</f>
        <v>18350880</v>
      </c>
      <c r="Z541" s="84">
        <f t="shared" si="96"/>
        <v>2843000</v>
      </c>
      <c r="AA541" s="283" t="s">
        <v>2989</v>
      </c>
      <c r="AB541" s="823">
        <f t="shared" si="98"/>
        <v>0.8658575022600864</v>
      </c>
      <c r="AC541" s="40">
        <f t="shared" ca="1" si="100"/>
        <v>1</v>
      </c>
      <c r="AD541" s="41">
        <f t="shared" ca="1" si="101"/>
        <v>0.1341424977399136</v>
      </c>
      <c r="AE541" s="181" t="str">
        <f t="shared" ca="1" si="102"/>
        <v/>
      </c>
      <c r="AF541" s="42" t="str">
        <f t="shared" si="105"/>
        <v>NO</v>
      </c>
      <c r="AG541" s="1017" t="s">
        <v>4920</v>
      </c>
      <c r="AH541" s="152" t="s">
        <v>1255</v>
      </c>
      <c r="AI541" s="255" t="s">
        <v>1169</v>
      </c>
      <c r="AJ541" s="152" t="s">
        <v>1441</v>
      </c>
      <c r="AK541" s="255" t="s">
        <v>560</v>
      </c>
      <c r="AL541" s="279"/>
      <c r="AM541" s="279" t="s">
        <v>2830</v>
      </c>
      <c r="AN541" s="161" t="str">
        <f t="shared" ca="1" si="103"/>
        <v>TERMINO</v>
      </c>
      <c r="AO541" s="160" t="s">
        <v>582</v>
      </c>
      <c r="AP541" s="406" t="s">
        <v>390</v>
      </c>
      <c r="AQ541" s="819" t="str">
        <f>IFERROR(VLOOKUP(E541,'liquidaciones '!$B$2:$C$1048576,2,0),"NO")</f>
        <v>LIQUIDADO</v>
      </c>
      <c r="AR541" s="909" t="str">
        <f>IFERROR(VLOOKUP(E541,'liquidaciones '!$B$2:$I$1048576,8,0),"")</f>
        <v>JUAN DIEGO ESPITIA</v>
      </c>
      <c r="AS541" s="406"/>
      <c r="AT541" s="156" t="str">
        <f t="shared" ca="1" si="104"/>
        <v>NO</v>
      </c>
      <c r="AU541" s="406" t="s">
        <v>4225</v>
      </c>
      <c r="AV541" s="406" t="s">
        <v>3774</v>
      </c>
      <c r="AW541" s="930" t="s">
        <v>3938</v>
      </c>
      <c r="AX541" s="928"/>
      <c r="AY541" s="928"/>
    </row>
    <row r="542" spans="3:51" ht="40.799999999999997" x14ac:dyDescent="0.3">
      <c r="C542" s="837"/>
      <c r="D542" s="837"/>
      <c r="E542" s="120" t="s">
        <v>3051</v>
      </c>
      <c r="F542" s="414" t="s">
        <v>152</v>
      </c>
      <c r="G542" s="863" t="s">
        <v>2796</v>
      </c>
      <c r="H542" s="969" t="s">
        <v>3052</v>
      </c>
      <c r="I542" s="84">
        <v>196663000</v>
      </c>
      <c r="J542" s="843" t="s">
        <v>3054</v>
      </c>
      <c r="K542" s="269">
        <v>2017</v>
      </c>
      <c r="L542" s="519">
        <v>42927</v>
      </c>
      <c r="M542" s="844">
        <v>42937</v>
      </c>
      <c r="N542" s="844">
        <v>43180</v>
      </c>
      <c r="O542" s="1099" t="str">
        <f>IF(+Modificaciones!I542=0,"",VLOOKUP(E542,Modificaciones!$B$7:$I$2400,8,0))</f>
        <v/>
      </c>
      <c r="P542" s="115">
        <f>COUNTA(Modificaciones!J542,Modificaciones!L542,Modificaciones!N542,Modificaciones!P542)</f>
        <v>2</v>
      </c>
      <c r="Q542" s="116">
        <f>VLOOKUP(E542,Modificaciones!$B$7:$R$2300,17,0)</f>
        <v>83761101</v>
      </c>
      <c r="R542" s="117">
        <f>COUNTA(Modificaciones!T542,Modificaciones!V542,Modificaciones!X542,Modificaciones!Z542)</f>
        <v>2</v>
      </c>
      <c r="S542" s="118" t="str">
        <f>IF(Modificaciones!AA542=0,"",VLOOKUP(E542,Modificaciones!$B$7:$AA$2400,26,0))</f>
        <v>4 meses y 18 días</v>
      </c>
      <c r="T542" s="119">
        <f>IF(Modificaciones!AB542=0,"",VLOOKUP(E542,Modificaciones!$B$7:$AB$2400,27,0))</f>
        <v>43320</v>
      </c>
      <c r="U542" s="1080" t="str">
        <f>+Modificaciones!AC542</f>
        <v/>
      </c>
      <c r="V542" s="825" t="str">
        <f>+Modificaciones!AK542</f>
        <v/>
      </c>
      <c r="W542" s="825">
        <f t="shared" si="99"/>
        <v>43320</v>
      </c>
      <c r="X542" s="59">
        <f t="shared" si="97"/>
        <v>280424101</v>
      </c>
      <c r="Y542" s="151">
        <f>VLOOKUP(E542,Modificaciones!$B$7:$BE$2300,56,0)</f>
        <v>280201542</v>
      </c>
      <c r="Z542" s="84">
        <f t="shared" si="96"/>
        <v>222559</v>
      </c>
      <c r="AA542" s="283" t="s">
        <v>3053</v>
      </c>
      <c r="AB542" s="823">
        <f t="shared" si="98"/>
        <v>0.99920634852993606</v>
      </c>
      <c r="AC542" s="40">
        <f t="shared" ca="1" si="100"/>
        <v>1</v>
      </c>
      <c r="AD542" s="41">
        <f t="shared" ca="1" si="101"/>
        <v>7.9365147006393855E-4</v>
      </c>
      <c r="AE542" s="181" t="str">
        <f t="shared" ca="1" si="102"/>
        <v/>
      </c>
      <c r="AF542" s="42" t="str">
        <f t="shared" si="105"/>
        <v>SI</v>
      </c>
      <c r="AG542" s="1017" t="s">
        <v>4920</v>
      </c>
      <c r="AH542" s="152" t="s">
        <v>1256</v>
      </c>
      <c r="AI542" s="255" t="s">
        <v>1935</v>
      </c>
      <c r="AJ542" s="152" t="s">
        <v>1438</v>
      </c>
      <c r="AK542" s="255" t="s">
        <v>560</v>
      </c>
      <c r="AL542" s="279" t="s">
        <v>1508</v>
      </c>
      <c r="AM542" s="279" t="s">
        <v>3795</v>
      </c>
      <c r="AN542" s="161" t="str">
        <f t="shared" ca="1" si="103"/>
        <v>TERMINO</v>
      </c>
      <c r="AO542" s="284" t="s">
        <v>575</v>
      </c>
      <c r="AP542" s="155" t="s">
        <v>390</v>
      </c>
      <c r="AQ542" s="819" t="str">
        <f>IFERROR(VLOOKUP(E542,'liquidaciones '!$B$2:$C$1048576,2,0),"NO")</f>
        <v>LIQUIDADO</v>
      </c>
      <c r="AR542" s="909">
        <f>IFERROR(VLOOKUP(E542,'liquidaciones '!$B$2:$I$1048576,8,0),"")</f>
        <v>0</v>
      </c>
      <c r="AS542" s="406"/>
      <c r="AT542" s="156" t="str">
        <f t="shared" ca="1" si="104"/>
        <v>NO</v>
      </c>
      <c r="AU542" s="406" t="s">
        <v>3512</v>
      </c>
      <c r="AV542" s="406" t="s">
        <v>3778</v>
      </c>
      <c r="AW542" s="930" t="s">
        <v>560</v>
      </c>
      <c r="AX542" s="928"/>
      <c r="AY542" s="928"/>
    </row>
    <row r="543" spans="3:51" ht="30.6" x14ac:dyDescent="0.3">
      <c r="C543" s="837">
        <v>178</v>
      </c>
      <c r="D543" s="837"/>
      <c r="E543" s="120" t="s">
        <v>3055</v>
      </c>
      <c r="F543" s="414" t="s">
        <v>73</v>
      </c>
      <c r="G543" s="863">
        <v>830012587</v>
      </c>
      <c r="H543" s="969" t="s">
        <v>4881</v>
      </c>
      <c r="I543" s="84">
        <v>909999990</v>
      </c>
      <c r="J543" s="843" t="s">
        <v>3055</v>
      </c>
      <c r="K543" s="269">
        <v>2017</v>
      </c>
      <c r="L543" s="519">
        <v>42933</v>
      </c>
      <c r="M543" s="844">
        <v>42948</v>
      </c>
      <c r="N543" s="844">
        <v>43221</v>
      </c>
      <c r="O543" s="1099" t="str">
        <f>IF(+Modificaciones!I543=0,"",VLOOKUP(E543,Modificaciones!$B$7:$I$2400,8,0))</f>
        <v/>
      </c>
      <c r="P543" s="115">
        <f>COUNTA(Modificaciones!J543,Modificaciones!L543,Modificaciones!N543,Modificaciones!P543)</f>
        <v>2</v>
      </c>
      <c r="Q543" s="116">
        <f>VLOOKUP(E543,Modificaciones!$B$7:$R$2300,17,0)</f>
        <v>331319780</v>
      </c>
      <c r="R543" s="117">
        <f>COUNTA(Modificaciones!T543,Modificaciones!V543,Modificaciones!X543,Modificaciones!Z543)</f>
        <v>2</v>
      </c>
      <c r="S543" s="118" t="str">
        <f>IF(Modificaciones!AA543=0,"",VLOOKUP(E543,Modificaciones!$B$7:$AA$2400,26,0))</f>
        <v>3 meses</v>
      </c>
      <c r="T543" s="119">
        <f>IF(Modificaciones!AB543=0,"",VLOOKUP(E543,Modificaciones!$B$7:$AB$2400,27,0))</f>
        <v>43311</v>
      </c>
      <c r="U543" s="1080" t="str">
        <f>+Modificaciones!AC543</f>
        <v/>
      </c>
      <c r="V543" s="825" t="str">
        <f>+Modificaciones!AK543</f>
        <v/>
      </c>
      <c r="W543" s="825">
        <f t="shared" si="99"/>
        <v>43311</v>
      </c>
      <c r="X543" s="59">
        <f t="shared" si="97"/>
        <v>1241319770</v>
      </c>
      <c r="Y543" s="151">
        <f>VLOOKUP(E543,Modificaciones!$B$7:$BE$2300,56,0)</f>
        <v>1221704174</v>
      </c>
      <c r="Z543" s="84">
        <f t="shared" si="96"/>
        <v>19615596</v>
      </c>
      <c r="AA543" s="283" t="s">
        <v>1889</v>
      </c>
      <c r="AB543" s="823">
        <f t="shared" si="98"/>
        <v>0.98419778974437833</v>
      </c>
      <c r="AC543" s="40">
        <f t="shared" ca="1" si="100"/>
        <v>1</v>
      </c>
      <c r="AD543" s="41">
        <f t="shared" ca="1" si="101"/>
        <v>1.5802210255621674E-2</v>
      </c>
      <c r="AE543" s="181" t="str">
        <f t="shared" ca="1" si="102"/>
        <v/>
      </c>
      <c r="AF543" s="42" t="str">
        <f t="shared" si="105"/>
        <v>NO</v>
      </c>
      <c r="AG543" s="732" t="s">
        <v>1718</v>
      </c>
      <c r="AH543" s="152" t="s">
        <v>1255</v>
      </c>
      <c r="AI543" s="152" t="s">
        <v>1291</v>
      </c>
      <c r="AJ543" s="152" t="s">
        <v>1429</v>
      </c>
      <c r="AK543" s="255" t="s">
        <v>564</v>
      </c>
      <c r="AL543" s="279"/>
      <c r="AM543" s="279" t="s">
        <v>2830</v>
      </c>
      <c r="AN543" s="161" t="str">
        <f t="shared" ca="1" si="103"/>
        <v>TERMINO</v>
      </c>
      <c r="AO543" s="284" t="s">
        <v>582</v>
      </c>
      <c r="AP543" s="406" t="s">
        <v>390</v>
      </c>
      <c r="AQ543" s="819" t="str">
        <f>IFERROR(VLOOKUP(E543,'liquidaciones '!$B$2:$C$1048576,2,0),"NO")</f>
        <v>LIQUIDADO</v>
      </c>
      <c r="AR543" s="909" t="str">
        <f>IFERROR(VLOOKUP(E543,'liquidaciones '!$B$2:$I$1048576,8,0),"")</f>
        <v>JUAN DIEGO ESPITIA</v>
      </c>
      <c r="AS543" s="406"/>
      <c r="AT543" s="156" t="str">
        <f t="shared" ca="1" si="104"/>
        <v>NO</v>
      </c>
      <c r="AU543" s="406" t="s">
        <v>2973</v>
      </c>
      <c r="AV543" s="406" t="s">
        <v>3782</v>
      </c>
      <c r="AW543" s="930" t="s">
        <v>3920</v>
      </c>
      <c r="AX543" s="928"/>
      <c r="AY543" s="928"/>
    </row>
    <row r="544" spans="3:51" ht="28.8" x14ac:dyDescent="0.3">
      <c r="C544" s="837"/>
      <c r="D544" s="837"/>
      <c r="E544" s="120" t="s">
        <v>3056</v>
      </c>
      <c r="F544" s="414" t="s">
        <v>2505</v>
      </c>
      <c r="G544" s="874" t="s">
        <v>2506</v>
      </c>
      <c r="H544" s="969" t="s">
        <v>3057</v>
      </c>
      <c r="I544" s="84">
        <v>3007941</v>
      </c>
      <c r="J544" s="843" t="s">
        <v>3994</v>
      </c>
      <c r="K544" s="269">
        <v>2017</v>
      </c>
      <c r="L544" s="519">
        <v>42944</v>
      </c>
      <c r="M544" s="844">
        <v>42944</v>
      </c>
      <c r="N544" s="844">
        <v>43006</v>
      </c>
      <c r="O544" s="1099" t="str">
        <f>IF(+Modificaciones!I544=0,"",VLOOKUP(E544,Modificaciones!$B$7:$I$2400,8,0))</f>
        <v/>
      </c>
      <c r="P544" s="115">
        <f>COUNTA(Modificaciones!J544,Modificaciones!L544,Modificaciones!N544,Modificaciones!P544)</f>
        <v>0</v>
      </c>
      <c r="Q544" s="116">
        <f>VLOOKUP(E544,Modificaciones!$B$7:$R$2300,17,0)</f>
        <v>0</v>
      </c>
      <c r="R544" s="117">
        <f>COUNTA(Modificaciones!T544,Modificaciones!V544,Modificaciones!X544,Modificaciones!Z544)</f>
        <v>0</v>
      </c>
      <c r="S544" s="118" t="str">
        <f>IF(Modificaciones!AA544=0,"",VLOOKUP(E544,Modificaciones!$B$7:$AA$2400,26,0))</f>
        <v/>
      </c>
      <c r="T544" s="119" t="str">
        <f>IF(Modificaciones!AB544=0,"",VLOOKUP(E544,Modificaciones!$B$7:$AB$2400,27,0))</f>
        <v/>
      </c>
      <c r="U544" s="1080" t="str">
        <f>+Modificaciones!AC544</f>
        <v/>
      </c>
      <c r="V544" s="825" t="str">
        <f>+Modificaciones!AK544</f>
        <v/>
      </c>
      <c r="W544" s="825">
        <f t="shared" si="99"/>
        <v>43006</v>
      </c>
      <c r="X544" s="59">
        <f t="shared" si="97"/>
        <v>3007941</v>
      </c>
      <c r="Y544" s="151">
        <f>VLOOKUP(E544,Modificaciones!$B$7:$BE$2300,56,0)</f>
        <v>3007941</v>
      </c>
      <c r="Z544" s="84">
        <f t="shared" si="96"/>
        <v>0</v>
      </c>
      <c r="AA544" s="283" t="s">
        <v>1894</v>
      </c>
      <c r="AB544" s="823">
        <f t="shared" si="98"/>
        <v>1</v>
      </c>
      <c r="AC544" s="40">
        <f t="shared" ca="1" si="100"/>
        <v>1</v>
      </c>
      <c r="AD544" s="41">
        <f t="shared" ca="1" si="101"/>
        <v>0</v>
      </c>
      <c r="AE544" s="181" t="str">
        <f t="shared" ca="1" si="102"/>
        <v/>
      </c>
      <c r="AF544" s="42" t="str">
        <f t="shared" si="105"/>
        <v>SI</v>
      </c>
      <c r="AG544" s="838"/>
      <c r="AH544" s="841"/>
      <c r="AI544" s="841" t="s">
        <v>3058</v>
      </c>
      <c r="AJ544" s="838"/>
      <c r="AK544" s="838"/>
      <c r="AL544" s="838"/>
      <c r="AM544" s="279" t="s">
        <v>2830</v>
      </c>
      <c r="AN544" s="161" t="str">
        <f t="shared" ca="1" si="103"/>
        <v>TERMINO</v>
      </c>
      <c r="AO544" s="414" t="s">
        <v>2722</v>
      </c>
      <c r="AP544" s="406"/>
      <c r="AQ544" s="819" t="str">
        <f>IFERROR(VLOOKUP(E544,'liquidaciones '!$B$2:$C$1048576,2,0),"NO")</f>
        <v>LIQUIDADO</v>
      </c>
      <c r="AR544" s="909">
        <f>IFERROR(VLOOKUP(E544,'liquidaciones '!$B$2:$I$1048576,8,0),"")</f>
        <v>0</v>
      </c>
      <c r="AS544" s="406"/>
      <c r="AT544" s="156" t="str">
        <f t="shared" ca="1" si="104"/>
        <v>NO</v>
      </c>
      <c r="AU544" s="156" t="s">
        <v>2973</v>
      </c>
      <c r="AV544" s="406"/>
      <c r="AX544" s="928"/>
      <c r="AY544" s="928"/>
    </row>
    <row r="545" spans="3:51" ht="30.6" x14ac:dyDescent="0.3">
      <c r="C545" s="837"/>
      <c r="D545" s="837"/>
      <c r="E545" s="120" t="s">
        <v>3059</v>
      </c>
      <c r="F545" s="414" t="s">
        <v>3060</v>
      </c>
      <c r="G545" s="863">
        <v>79983036</v>
      </c>
      <c r="H545" s="969" t="s">
        <v>3061</v>
      </c>
      <c r="I545" s="84">
        <v>13125000</v>
      </c>
      <c r="J545" s="843" t="s">
        <v>3059</v>
      </c>
      <c r="K545" s="269">
        <v>2017</v>
      </c>
      <c r="L545" s="519">
        <v>42944</v>
      </c>
      <c r="M545" s="844">
        <v>42949</v>
      </c>
      <c r="N545" s="844">
        <v>43159</v>
      </c>
      <c r="O545" s="1099" t="str">
        <f>IF(+Modificaciones!I545=0,"",VLOOKUP(E545,Modificaciones!$B$7:$I$2400,8,0))</f>
        <v/>
      </c>
      <c r="P545" s="115">
        <f>COUNTA(Modificaciones!J545,Modificaciones!L545,Modificaciones!N545,Modificaciones!P545)</f>
        <v>0</v>
      </c>
      <c r="Q545" s="116">
        <f>VLOOKUP(E545,Modificaciones!$B$7:$R$2300,17,0)</f>
        <v>0</v>
      </c>
      <c r="R545" s="117">
        <f>COUNTA(Modificaciones!T545,Modificaciones!V545,Modificaciones!X545,Modificaciones!Z545)</f>
        <v>0</v>
      </c>
      <c r="S545" s="118" t="str">
        <f>IF(Modificaciones!AA545=0,"",VLOOKUP(E545,Modificaciones!$B$7:$AA$2400,26,0))</f>
        <v/>
      </c>
      <c r="T545" s="119" t="str">
        <f>IF(Modificaciones!AB545=0,"",VLOOKUP(E545,Modificaciones!$B$7:$AB$2400,27,0))</f>
        <v/>
      </c>
      <c r="U545" s="1080" t="str">
        <f>+Modificaciones!AC545</f>
        <v/>
      </c>
      <c r="V545" s="825" t="str">
        <f>+Modificaciones!AK545</f>
        <v/>
      </c>
      <c r="W545" s="825">
        <f t="shared" si="99"/>
        <v>43159</v>
      </c>
      <c r="X545" s="59">
        <f t="shared" si="97"/>
        <v>13125000</v>
      </c>
      <c r="Y545" s="151">
        <f>VLOOKUP(E545,Modificaciones!$B$7:$BE$2300,56,0)</f>
        <v>10687500</v>
      </c>
      <c r="Z545" s="84">
        <f t="shared" si="96"/>
        <v>2437500</v>
      </c>
      <c r="AA545" s="283" t="s">
        <v>1094</v>
      </c>
      <c r="AB545" s="823">
        <f t="shared" si="98"/>
        <v>0.81428571428571428</v>
      </c>
      <c r="AC545" s="40">
        <f t="shared" ca="1" si="100"/>
        <v>1</v>
      </c>
      <c r="AD545" s="41">
        <f t="shared" ca="1" si="101"/>
        <v>0.18571428571428572</v>
      </c>
      <c r="AE545" s="181" t="str">
        <f t="shared" ca="1" si="102"/>
        <v/>
      </c>
      <c r="AF545" s="42" t="str">
        <f t="shared" si="105"/>
        <v>NO</v>
      </c>
      <c r="AG545" s="732" t="s">
        <v>5773</v>
      </c>
      <c r="AH545" s="152" t="s">
        <v>1255</v>
      </c>
      <c r="AI545" s="255" t="s">
        <v>3062</v>
      </c>
      <c r="AJ545" s="152" t="s">
        <v>1436</v>
      </c>
      <c r="AK545" s="255" t="s">
        <v>561</v>
      </c>
      <c r="AL545" s="838"/>
      <c r="AM545" s="279" t="s">
        <v>3796</v>
      </c>
      <c r="AN545" s="161" t="str">
        <f t="shared" ca="1" si="103"/>
        <v>TERMINO</v>
      </c>
      <c r="AO545" s="284" t="s">
        <v>582</v>
      </c>
      <c r="AP545" s="406" t="s">
        <v>391</v>
      </c>
      <c r="AQ545" s="819" t="str">
        <f>IFERROR(VLOOKUP(E545,'liquidaciones '!$B$2:$C$1048576,2,0),"NO")</f>
        <v>LIQUIDADO</v>
      </c>
      <c r="AR545" s="909">
        <f>IFERROR(VLOOKUP(E545,'liquidaciones '!$B$2:$I$1048576,8,0),"")</f>
        <v>0</v>
      </c>
      <c r="AS545" s="406"/>
      <c r="AT545" s="156" t="str">
        <f t="shared" ca="1" si="104"/>
        <v>NO</v>
      </c>
      <c r="AU545" s="156" t="s">
        <v>3050</v>
      </c>
      <c r="AV545" s="406"/>
      <c r="AW545" s="930" t="s">
        <v>4178</v>
      </c>
      <c r="AX545" s="928"/>
      <c r="AY545" s="928"/>
    </row>
    <row r="546" spans="3:51" ht="40.799999999999997" x14ac:dyDescent="0.3">
      <c r="C546" s="837">
        <v>73</v>
      </c>
      <c r="D546" s="837"/>
      <c r="E546" s="120" t="s">
        <v>3063</v>
      </c>
      <c r="F546" s="414" t="s">
        <v>2124</v>
      </c>
      <c r="G546" s="863">
        <v>830083523</v>
      </c>
      <c r="H546" s="969" t="s">
        <v>2653</v>
      </c>
      <c r="I546" s="84">
        <v>8320000</v>
      </c>
      <c r="J546" s="843" t="s">
        <v>3063</v>
      </c>
      <c r="K546" s="269">
        <v>2017</v>
      </c>
      <c r="L546" s="519">
        <v>42934</v>
      </c>
      <c r="M546" s="844">
        <v>42941</v>
      </c>
      <c r="N546" s="844">
        <v>43215</v>
      </c>
      <c r="O546" s="1099" t="str">
        <f>IF(+Modificaciones!I546=0,"",VLOOKUP(E546,Modificaciones!$B$7:$I$2400,8,0))</f>
        <v/>
      </c>
      <c r="P546" s="115">
        <f>COUNTA(Modificaciones!J546,Modificaciones!L546,Modificaciones!N546,Modificaciones!P546)</f>
        <v>1</v>
      </c>
      <c r="Q546" s="116">
        <f>VLOOKUP(E546,Modificaciones!$B$7:$R$2300,17,0)</f>
        <v>2002963</v>
      </c>
      <c r="R546" s="117">
        <f>COUNTA(Modificaciones!T546,Modificaciones!V546,Modificaciones!X546,Modificaciones!Z546)</f>
        <v>1</v>
      </c>
      <c r="S546" s="118" t="str">
        <f>IF(Modificaciones!AA546=0,"",VLOOKUP(E546,Modificaciones!$B$7:$AA$2400,26,0))</f>
        <v>2 meses y 5 días</v>
      </c>
      <c r="T546" s="119">
        <f>IF(Modificaciones!AB546=0,"",VLOOKUP(E546,Modificaciones!$B$7:$AB$2400,27,0))</f>
        <v>43280</v>
      </c>
      <c r="U546" s="1080" t="str">
        <f>+Modificaciones!AC546</f>
        <v/>
      </c>
      <c r="V546" s="825" t="str">
        <f>+Modificaciones!AK546</f>
        <v/>
      </c>
      <c r="W546" s="825">
        <f t="shared" si="99"/>
        <v>43280</v>
      </c>
      <c r="X546" s="59">
        <f t="shared" si="97"/>
        <v>10322963</v>
      </c>
      <c r="Y546" s="151">
        <f>VLOOKUP(E546,Modificaciones!$B$7:$BE$2300,56,0)</f>
        <v>10322959</v>
      </c>
      <c r="Z546" s="84">
        <f t="shared" si="96"/>
        <v>4</v>
      </c>
      <c r="AA546" s="283" t="s">
        <v>3064</v>
      </c>
      <c r="AB546" s="823">
        <f t="shared" si="98"/>
        <v>0.99999961251435276</v>
      </c>
      <c r="AC546" s="40">
        <f t="shared" ca="1" si="100"/>
        <v>1</v>
      </c>
      <c r="AD546" s="41">
        <f t="shared" ca="1" si="101"/>
        <v>3.874856472352306E-7</v>
      </c>
      <c r="AE546" s="181" t="str">
        <f t="shared" ca="1" si="102"/>
        <v/>
      </c>
      <c r="AF546" s="42" t="str">
        <f t="shared" si="105"/>
        <v>SI</v>
      </c>
      <c r="AG546" s="838"/>
      <c r="AH546" s="152" t="s">
        <v>1256</v>
      </c>
      <c r="AI546" s="255" t="s">
        <v>2108</v>
      </c>
      <c r="AJ546" s="152" t="s">
        <v>1438</v>
      </c>
      <c r="AK546" s="255" t="s">
        <v>560</v>
      </c>
      <c r="AL546" s="279" t="s">
        <v>1508</v>
      </c>
      <c r="AM546" s="279" t="s">
        <v>3795</v>
      </c>
      <c r="AN546" s="161" t="str">
        <f t="shared" ca="1" si="103"/>
        <v>TERMINO</v>
      </c>
      <c r="AO546" s="284" t="s">
        <v>582</v>
      </c>
      <c r="AP546" s="406" t="s">
        <v>390</v>
      </c>
      <c r="AQ546" s="819" t="str">
        <f>IFERROR(VLOOKUP(E546,'liquidaciones '!$B$2:$C$1048576,2,0),"NO")</f>
        <v>LIQUIDADO</v>
      </c>
      <c r="AR546" s="909" t="str">
        <f>IFERROR(VLOOKUP(E546,'liquidaciones '!$B$2:$I$1048576,8,0),"")</f>
        <v>JUAN DIEGO ESPITIA</v>
      </c>
      <c r="AS546" s="406"/>
      <c r="AT546" s="156" t="str">
        <f t="shared" ca="1" si="104"/>
        <v>NO</v>
      </c>
      <c r="AU546" s="406" t="s">
        <v>3512</v>
      </c>
      <c r="AV546" s="406" t="s">
        <v>3778</v>
      </c>
      <c r="AW546" s="930" t="s">
        <v>560</v>
      </c>
      <c r="AX546" s="928"/>
      <c r="AY546" s="928"/>
    </row>
    <row r="547" spans="3:51" ht="51.75" customHeight="1" x14ac:dyDescent="0.3">
      <c r="C547" s="837">
        <v>299</v>
      </c>
      <c r="D547" s="837"/>
      <c r="E547" s="120" t="s">
        <v>3065</v>
      </c>
      <c r="F547" s="414" t="s">
        <v>22</v>
      </c>
      <c r="G547" s="863" t="s">
        <v>3066</v>
      </c>
      <c r="H547" s="969" t="s">
        <v>3067</v>
      </c>
      <c r="I547" s="84">
        <v>59500000</v>
      </c>
      <c r="J547" s="843" t="s">
        <v>3065</v>
      </c>
      <c r="K547" s="269">
        <v>2017</v>
      </c>
      <c r="L547" s="519">
        <v>42941</v>
      </c>
      <c r="M547" s="844">
        <v>42955</v>
      </c>
      <c r="N547" s="844">
        <v>43320</v>
      </c>
      <c r="O547" s="1099" t="str">
        <f>IF(+Modificaciones!I547=0,"",VLOOKUP(E547,Modificaciones!$B$7:$I$2400,8,0))</f>
        <v/>
      </c>
      <c r="P547" s="115">
        <f>COUNTA(Modificaciones!J547,Modificaciones!L547,Modificaciones!N547,Modificaciones!P547)</f>
        <v>0</v>
      </c>
      <c r="Q547" s="116">
        <f>VLOOKUP(E547,Modificaciones!$B$7:$R$2300,17,0)</f>
        <v>0</v>
      </c>
      <c r="R547" s="117">
        <f>COUNTA(Modificaciones!T547,Modificaciones!V547,Modificaciones!X547,Modificaciones!Z547)</f>
        <v>0</v>
      </c>
      <c r="S547" s="118" t="str">
        <f>IF(Modificaciones!AA547=0,"",VLOOKUP(E547,Modificaciones!$B$7:$AA$2400,26,0))</f>
        <v/>
      </c>
      <c r="T547" s="119" t="str">
        <f>IF(Modificaciones!AB547=0,"",VLOOKUP(E547,Modificaciones!$B$7:$AB$2400,27,0))</f>
        <v/>
      </c>
      <c r="U547" s="1080" t="str">
        <f>+Modificaciones!AC547</f>
        <v/>
      </c>
      <c r="V547" s="825" t="str">
        <f>+Modificaciones!AK547</f>
        <v/>
      </c>
      <c r="W547" s="825">
        <f t="shared" si="99"/>
        <v>43320</v>
      </c>
      <c r="X547" s="59">
        <f t="shared" si="97"/>
        <v>59500000</v>
      </c>
      <c r="Y547" s="151">
        <f>VLOOKUP(E547,Modificaciones!$B$7:$BE$2300,56,0)</f>
        <v>59500000</v>
      </c>
      <c r="Z547" s="84">
        <f t="shared" si="96"/>
        <v>0</v>
      </c>
      <c r="AA547" s="869" t="s">
        <v>3068</v>
      </c>
      <c r="AB547" s="823">
        <f t="shared" si="98"/>
        <v>1</v>
      </c>
      <c r="AC547" s="40">
        <f t="shared" ca="1" si="100"/>
        <v>1</v>
      </c>
      <c r="AD547" s="41">
        <f t="shared" ca="1" si="101"/>
        <v>0</v>
      </c>
      <c r="AE547" s="181" t="str">
        <f t="shared" ca="1" si="102"/>
        <v/>
      </c>
      <c r="AF547" s="42" t="str">
        <f t="shared" si="105"/>
        <v>SI</v>
      </c>
      <c r="AG547" s="1017" t="s">
        <v>4920</v>
      </c>
      <c r="AH547" s="152" t="s">
        <v>1256</v>
      </c>
      <c r="AI547" s="841" t="s">
        <v>3069</v>
      </c>
      <c r="AJ547" s="152" t="s">
        <v>1438</v>
      </c>
      <c r="AK547" s="255" t="s">
        <v>560</v>
      </c>
      <c r="AL547" s="279" t="s">
        <v>1508</v>
      </c>
      <c r="AM547" s="279" t="s">
        <v>3795</v>
      </c>
      <c r="AN547" s="161" t="str">
        <f t="shared" ca="1" si="103"/>
        <v>TERMINO</v>
      </c>
      <c r="AO547" s="284" t="s">
        <v>582</v>
      </c>
      <c r="AP547" s="406" t="s">
        <v>390</v>
      </c>
      <c r="AQ547" s="819" t="str">
        <f>IFERROR(VLOOKUP(E547,'liquidaciones '!$B$2:$C$1048576,2,0),"NO")</f>
        <v>LIQUIDADO</v>
      </c>
      <c r="AR547" s="909" t="str">
        <f>IFERROR(VLOOKUP(E547,'liquidaciones '!$B$2:$I$1048576,8,0),"")</f>
        <v>JUAN DIEGO ESPITIA</v>
      </c>
      <c r="AS547" s="406"/>
      <c r="AT547" s="156" t="str">
        <f t="shared" ca="1" si="104"/>
        <v>NO</v>
      </c>
      <c r="AU547" s="406" t="s">
        <v>3512</v>
      </c>
      <c r="AV547" s="406" t="s">
        <v>3778</v>
      </c>
      <c r="AW547" s="930" t="s">
        <v>560</v>
      </c>
      <c r="AX547" s="928"/>
      <c r="AY547" s="928"/>
    </row>
    <row r="548" spans="3:51" ht="61.2" x14ac:dyDescent="0.3">
      <c r="C548" s="837">
        <v>146</v>
      </c>
      <c r="D548" s="837"/>
      <c r="E548" s="120" t="s">
        <v>3070</v>
      </c>
      <c r="F548" s="414" t="s">
        <v>3071</v>
      </c>
      <c r="G548" s="863">
        <v>100392583</v>
      </c>
      <c r="H548" s="965" t="s">
        <v>3072</v>
      </c>
      <c r="I548" s="84">
        <v>39900000</v>
      </c>
      <c r="J548" s="843" t="s">
        <v>3070</v>
      </c>
      <c r="K548" s="269">
        <v>2017</v>
      </c>
      <c r="L548" s="519">
        <v>42961</v>
      </c>
      <c r="M548" s="844">
        <v>42969</v>
      </c>
      <c r="N548" s="844">
        <v>43181</v>
      </c>
      <c r="O548" s="1099" t="str">
        <f>IF(+Modificaciones!I548=0,"",VLOOKUP(E548,Modificaciones!$B$7:$I$2400,8,0))</f>
        <v/>
      </c>
      <c r="P548" s="115">
        <f>COUNTA(Modificaciones!J548,Modificaciones!L548,Modificaciones!N548,Modificaciones!P548)</f>
        <v>1</v>
      </c>
      <c r="Q548" s="116">
        <f>VLOOKUP(E548,Modificaciones!$B$7:$R$2300,17,0)</f>
        <v>18620000</v>
      </c>
      <c r="R548" s="117">
        <f>COUNTA(Modificaciones!T548,Modificaciones!V548,Modificaciones!X548,Modificaciones!Z548)</f>
        <v>1</v>
      </c>
      <c r="S548" s="118" t="str">
        <f>IF(Modificaciones!AA548=0,"",VLOOKUP(E548,Modificaciones!$B$7:$AA$2400,26,0))</f>
        <v>3 meses y 8 días</v>
      </c>
      <c r="T548" s="119">
        <f>IF(Modificaciones!AB548=0,"",VLOOKUP(E548,Modificaciones!$B$7:$AB$2400,27,0))</f>
        <v>43281</v>
      </c>
      <c r="U548" s="1080" t="str">
        <f>+Modificaciones!AC548</f>
        <v/>
      </c>
      <c r="V548" s="825" t="str">
        <f>+Modificaciones!AK548</f>
        <v/>
      </c>
      <c r="W548" s="825">
        <f t="shared" si="99"/>
        <v>43281</v>
      </c>
      <c r="X548" s="59">
        <f t="shared" si="97"/>
        <v>58520000</v>
      </c>
      <c r="Y548" s="151">
        <f>VLOOKUP(E548,Modificaciones!$B$7:$BE$2300,56,0)</f>
        <v>58520000</v>
      </c>
      <c r="Z548" s="84">
        <f t="shared" si="96"/>
        <v>0</v>
      </c>
      <c r="AA548" s="283" t="s">
        <v>1094</v>
      </c>
      <c r="AB548" s="823">
        <f t="shared" si="98"/>
        <v>1</v>
      </c>
      <c r="AC548" s="40">
        <f t="shared" ca="1" si="100"/>
        <v>1</v>
      </c>
      <c r="AD548" s="41">
        <f t="shared" ca="1" si="101"/>
        <v>0</v>
      </c>
      <c r="AE548" s="181" t="str">
        <f t="shared" ca="1" si="102"/>
        <v/>
      </c>
      <c r="AF548" s="42" t="str">
        <f t="shared" si="105"/>
        <v>SI</v>
      </c>
      <c r="AG548" s="732" t="s">
        <v>5773</v>
      </c>
      <c r="AH548" s="152" t="s">
        <v>1256</v>
      </c>
      <c r="AI548" s="152" t="s">
        <v>2171</v>
      </c>
      <c r="AJ548" s="152" t="s">
        <v>1176</v>
      </c>
      <c r="AK548" s="255" t="s">
        <v>559</v>
      </c>
      <c r="AL548" s="279"/>
      <c r="AM548" s="279" t="s">
        <v>2830</v>
      </c>
      <c r="AN548" s="161" t="str">
        <f t="shared" ca="1" si="103"/>
        <v>TERMINO</v>
      </c>
      <c r="AO548" s="160" t="s">
        <v>582</v>
      </c>
      <c r="AP548" s="406" t="s">
        <v>391</v>
      </c>
      <c r="AQ548" s="819" t="str">
        <f>IFERROR(VLOOKUP(E548,'liquidaciones '!$B$2:$C$1048576,2,0),"NO")</f>
        <v>LIQUIDADO</v>
      </c>
      <c r="AR548" s="909" t="str">
        <f>IFERROR(VLOOKUP(E548,'liquidaciones '!$B$2:$I$1048576,8,0),"")</f>
        <v>JUAN DIEGO ESPITIA</v>
      </c>
      <c r="AS548" s="406"/>
      <c r="AT548" s="156" t="str">
        <f t="shared" ca="1" si="104"/>
        <v>NO</v>
      </c>
      <c r="AU548" s="156" t="s">
        <v>3050</v>
      </c>
      <c r="AV548" s="406"/>
      <c r="AW548" s="930" t="s">
        <v>3938</v>
      </c>
      <c r="AX548" s="928"/>
      <c r="AY548" s="928"/>
    </row>
    <row r="549" spans="3:51" ht="20.399999999999999" x14ac:dyDescent="0.3">
      <c r="C549" s="837">
        <v>168</v>
      </c>
      <c r="D549" s="837"/>
      <c r="E549" s="120" t="s">
        <v>3073</v>
      </c>
      <c r="F549" s="414" t="s">
        <v>15</v>
      </c>
      <c r="G549" s="874">
        <v>830067096</v>
      </c>
      <c r="H549" s="965" t="s">
        <v>3074</v>
      </c>
      <c r="I549" s="84">
        <v>8010000</v>
      </c>
      <c r="J549" s="843" t="s">
        <v>3073</v>
      </c>
      <c r="K549" s="269">
        <v>2017</v>
      </c>
      <c r="L549" s="519">
        <v>42962</v>
      </c>
      <c r="M549" s="844">
        <v>42965</v>
      </c>
      <c r="N549" s="844">
        <v>43330</v>
      </c>
      <c r="O549" s="1099" t="str">
        <f>IF(+Modificaciones!I549=0,"",VLOOKUP(E549,Modificaciones!$B$7:$I$2400,8,0))</f>
        <v/>
      </c>
      <c r="P549" s="115">
        <f>COUNTA(Modificaciones!J549,Modificaciones!L549,Modificaciones!N549,Modificaciones!P549)</f>
        <v>0</v>
      </c>
      <c r="Q549" s="116">
        <f>VLOOKUP(E549,Modificaciones!$B$7:$R$2300,17,0)</f>
        <v>0</v>
      </c>
      <c r="R549" s="117">
        <f>COUNTA(Modificaciones!T549,Modificaciones!V549,Modificaciones!X549,Modificaciones!Z549)</f>
        <v>0</v>
      </c>
      <c r="S549" s="118" t="str">
        <f>IF(Modificaciones!AA549=0,"",VLOOKUP(E549,Modificaciones!$B$7:$AA$2400,26,0))</f>
        <v/>
      </c>
      <c r="T549" s="119" t="str">
        <f>IF(Modificaciones!AB549=0,"",VLOOKUP(E549,Modificaciones!$B$7:$AB$2400,27,0))</f>
        <v/>
      </c>
      <c r="U549" s="1080" t="str">
        <f>+Modificaciones!AC549</f>
        <v/>
      </c>
      <c r="V549" s="825" t="str">
        <f>+Modificaciones!AK549</f>
        <v/>
      </c>
      <c r="W549" s="825">
        <f t="shared" si="99"/>
        <v>43330</v>
      </c>
      <c r="X549" s="59">
        <f t="shared" si="97"/>
        <v>8010000</v>
      </c>
      <c r="Y549" s="151">
        <f>VLOOKUP(E549,Modificaciones!$B$7:$BE$2300,56,0)</f>
        <v>8010000</v>
      </c>
      <c r="Z549" s="84">
        <f t="shared" si="96"/>
        <v>0</v>
      </c>
      <c r="AA549" s="283" t="s">
        <v>1894</v>
      </c>
      <c r="AB549" s="823">
        <f t="shared" si="98"/>
        <v>1</v>
      </c>
      <c r="AC549" s="40">
        <f t="shared" ca="1" si="100"/>
        <v>1</v>
      </c>
      <c r="AD549" s="41">
        <f t="shared" ca="1" si="101"/>
        <v>0</v>
      </c>
      <c r="AE549" s="181" t="str">
        <f t="shared" ca="1" si="102"/>
        <v/>
      </c>
      <c r="AF549" s="42" t="str">
        <f t="shared" si="105"/>
        <v>SI</v>
      </c>
      <c r="AG549" s="732" t="s">
        <v>1713</v>
      </c>
      <c r="AH549" s="152"/>
      <c r="AI549" s="275" t="s">
        <v>1124</v>
      </c>
      <c r="AJ549" s="152" t="s">
        <v>1429</v>
      </c>
      <c r="AK549" s="255" t="s">
        <v>564</v>
      </c>
      <c r="AL549" s="279"/>
      <c r="AM549" s="279" t="s">
        <v>2830</v>
      </c>
      <c r="AN549" s="161" t="str">
        <f t="shared" ca="1" si="103"/>
        <v>TERMINO</v>
      </c>
      <c r="AO549" s="284" t="s">
        <v>582</v>
      </c>
      <c r="AP549" s="406" t="s">
        <v>390</v>
      </c>
      <c r="AQ549" s="819" t="str">
        <f>IFERROR(VLOOKUP(E549,'liquidaciones '!$B$2:$C$1048576,2,0),"NO")</f>
        <v>EN TRÁMITE</v>
      </c>
      <c r="AR549" s="909">
        <f>IFERROR(VLOOKUP(E549,'liquidaciones '!$B$2:$I$1048576,8,0),"")</f>
        <v>0</v>
      </c>
      <c r="AS549" s="406"/>
      <c r="AT549" s="156" t="str">
        <f t="shared" ca="1" si="104"/>
        <v>SI</v>
      </c>
      <c r="AU549" s="156" t="s">
        <v>3050</v>
      </c>
      <c r="AV549" s="406"/>
      <c r="AW549" s="930" t="s">
        <v>3920</v>
      </c>
      <c r="AX549" s="928"/>
      <c r="AY549" s="928"/>
    </row>
    <row r="550" spans="3:51" ht="30.6" x14ac:dyDescent="0.3">
      <c r="C550" s="837"/>
      <c r="D550" s="837"/>
      <c r="E550" s="120" t="s">
        <v>3502</v>
      </c>
      <c r="F550" s="414" t="s">
        <v>3503</v>
      </c>
      <c r="G550" s="863">
        <v>1030659160</v>
      </c>
      <c r="H550" s="969" t="s">
        <v>3504</v>
      </c>
      <c r="I550" s="84">
        <v>15750000</v>
      </c>
      <c r="J550" s="843" t="s">
        <v>3502</v>
      </c>
      <c r="K550" s="269">
        <v>2017</v>
      </c>
      <c r="L550" s="519">
        <v>42963</v>
      </c>
      <c r="M550" s="844">
        <v>42971</v>
      </c>
      <c r="N550" s="844">
        <v>43183</v>
      </c>
      <c r="O550" s="1099" t="str">
        <f>IF(+Modificaciones!I550=0,"",VLOOKUP(E550,Modificaciones!$B$7:$I$2400,8,0))</f>
        <v/>
      </c>
      <c r="P550" s="115">
        <f>COUNTA(Modificaciones!J550,Modificaciones!L550,Modificaciones!N550,Modificaciones!P550)</f>
        <v>1</v>
      </c>
      <c r="Q550" s="116">
        <f>VLOOKUP(E550,Modificaciones!$B$7:$R$2300,17,0)</f>
        <v>7125000</v>
      </c>
      <c r="R550" s="117">
        <f>COUNTA(Modificaciones!T550,Modificaciones!V550,Modificaciones!X550,Modificaciones!Z550)</f>
        <v>1</v>
      </c>
      <c r="S550" s="118" t="str">
        <f>IF(Modificaciones!AA550=0,"",VLOOKUP(E550,Modificaciones!$B$7:$AA$2400,26,0))</f>
        <v>3 meses y 5 días calendario</v>
      </c>
      <c r="T550" s="119">
        <f>IF(Modificaciones!AB550=0,"",VLOOKUP(E550,Modificaciones!$B$7:$AB$2400,27,0))</f>
        <v>43280</v>
      </c>
      <c r="U550" s="1080" t="str">
        <f>+Modificaciones!AC550</f>
        <v/>
      </c>
      <c r="V550" s="825" t="str">
        <f>+Modificaciones!AK550</f>
        <v/>
      </c>
      <c r="W550" s="825">
        <f t="shared" si="99"/>
        <v>43280</v>
      </c>
      <c r="X550" s="59">
        <f t="shared" si="97"/>
        <v>22875000</v>
      </c>
      <c r="Y550" s="151">
        <f>VLOOKUP(E550,Modificaciones!$B$7:$BE$2300,56,0)</f>
        <v>22875000</v>
      </c>
      <c r="Z550" s="84">
        <f t="shared" si="96"/>
        <v>0</v>
      </c>
      <c r="AA550" s="283" t="s">
        <v>1094</v>
      </c>
      <c r="AB550" s="823">
        <f t="shared" si="98"/>
        <v>1</v>
      </c>
      <c r="AC550" s="40">
        <f t="shared" ca="1" si="100"/>
        <v>1</v>
      </c>
      <c r="AD550" s="41">
        <f t="shared" ca="1" si="101"/>
        <v>0</v>
      </c>
      <c r="AE550" s="181" t="str">
        <f t="shared" ca="1" si="102"/>
        <v/>
      </c>
      <c r="AF550" s="42" t="str">
        <f t="shared" si="105"/>
        <v>SI</v>
      </c>
      <c r="AG550" s="732" t="s">
        <v>5773</v>
      </c>
      <c r="AH550" s="841" t="s">
        <v>1255</v>
      </c>
      <c r="AI550" s="255" t="s">
        <v>3062</v>
      </c>
      <c r="AJ550" s="152" t="s">
        <v>1436</v>
      </c>
      <c r="AK550" s="255" t="s">
        <v>561</v>
      </c>
      <c r="AL550" s="838"/>
      <c r="AM550" s="279" t="s">
        <v>3796</v>
      </c>
      <c r="AN550" s="161" t="str">
        <f t="shared" ca="1" si="103"/>
        <v>TERMINO</v>
      </c>
      <c r="AO550" s="284" t="s">
        <v>582</v>
      </c>
      <c r="AP550" s="406" t="s">
        <v>391</v>
      </c>
      <c r="AQ550" s="819" t="str">
        <f>IFERROR(VLOOKUP(E550,'liquidaciones '!$B$2:$C$1048576,2,0),"NO")</f>
        <v>EN TRÁMITE</v>
      </c>
      <c r="AR550" s="909" t="str">
        <f>IFERROR(VLOOKUP(E550,'liquidaciones '!$B$2:$I$1048576,8,0),"")</f>
        <v>JUAN DIEGO ESPITIA</v>
      </c>
      <c r="AS550" s="406"/>
      <c r="AT550" s="156" t="str">
        <f t="shared" ca="1" si="104"/>
        <v>NO</v>
      </c>
      <c r="AU550" s="156" t="s">
        <v>1509</v>
      </c>
      <c r="AV550" s="406"/>
      <c r="AW550" s="930" t="s">
        <v>4178</v>
      </c>
      <c r="AX550" s="928"/>
      <c r="AY550" s="928"/>
    </row>
    <row r="551" spans="3:51" ht="28.8" x14ac:dyDescent="0.3">
      <c r="C551" s="837">
        <v>165</v>
      </c>
      <c r="D551" s="837"/>
      <c r="E551" s="120" t="s">
        <v>3513</v>
      </c>
      <c r="F551" s="414" t="s">
        <v>12</v>
      </c>
      <c r="G551" s="863">
        <v>805006014</v>
      </c>
      <c r="H551" s="969" t="s">
        <v>3514</v>
      </c>
      <c r="I551" s="84">
        <v>1878120</v>
      </c>
      <c r="J551" s="843" t="s">
        <v>3515</v>
      </c>
      <c r="K551" s="269">
        <v>2017</v>
      </c>
      <c r="L551" s="519">
        <v>42961</v>
      </c>
      <c r="M551" s="844">
        <v>42963</v>
      </c>
      <c r="N551" s="844">
        <v>43327</v>
      </c>
      <c r="O551" s="1099" t="str">
        <f>IF(+Modificaciones!I551=0,"",VLOOKUP(E551,Modificaciones!$B$7:$I$2400,8,0))</f>
        <v/>
      </c>
      <c r="P551" s="115">
        <f>COUNTA(Modificaciones!J551,Modificaciones!L551,Modificaciones!N551,Modificaciones!P551)</f>
        <v>0</v>
      </c>
      <c r="Q551" s="116">
        <f>VLOOKUP(E551,Modificaciones!$B$7:$R$2300,17,0)</f>
        <v>0</v>
      </c>
      <c r="R551" s="117">
        <f>COUNTA(Modificaciones!T551,Modificaciones!V551,Modificaciones!X551,Modificaciones!Z551)</f>
        <v>0</v>
      </c>
      <c r="S551" s="118" t="str">
        <f>IF(Modificaciones!AA551=0,"",VLOOKUP(E551,Modificaciones!$B$7:$AA$2400,26,0))</f>
        <v/>
      </c>
      <c r="T551" s="119" t="str">
        <f>IF(Modificaciones!AB551=0,"",VLOOKUP(E551,Modificaciones!$B$7:$AB$2400,27,0))</f>
        <v/>
      </c>
      <c r="U551" s="1080" t="str">
        <f>+Modificaciones!AC551</f>
        <v/>
      </c>
      <c r="V551" s="825" t="str">
        <f>+Modificaciones!AK551</f>
        <v/>
      </c>
      <c r="W551" s="825">
        <f t="shared" si="99"/>
        <v>43327</v>
      </c>
      <c r="X551" s="59">
        <f t="shared" si="97"/>
        <v>1878120</v>
      </c>
      <c r="Y551" s="151">
        <f>VLOOKUP(E551,Modificaciones!$B$7:$BE$2300,56,0)</f>
        <v>1878120</v>
      </c>
      <c r="Z551" s="84">
        <f t="shared" si="96"/>
        <v>0</v>
      </c>
      <c r="AA551" s="283" t="s">
        <v>1894</v>
      </c>
      <c r="AB551" s="823">
        <f t="shared" si="98"/>
        <v>1</v>
      </c>
      <c r="AC551" s="40">
        <f t="shared" ca="1" si="100"/>
        <v>1</v>
      </c>
      <c r="AD551" s="41">
        <f t="shared" ca="1" si="101"/>
        <v>0</v>
      </c>
      <c r="AE551" s="181" t="str">
        <f t="shared" ca="1" si="102"/>
        <v/>
      </c>
      <c r="AF551" s="42" t="str">
        <f t="shared" si="105"/>
        <v>SI</v>
      </c>
      <c r="AG551" s="732" t="s">
        <v>1713</v>
      </c>
      <c r="AH551" s="152" t="s">
        <v>1255</v>
      </c>
      <c r="AI551" s="152" t="s">
        <v>1132</v>
      </c>
      <c r="AJ551" s="152" t="s">
        <v>1441</v>
      </c>
      <c r="AK551" s="255" t="s">
        <v>560</v>
      </c>
      <c r="AL551" s="279"/>
      <c r="AM551" s="279" t="s">
        <v>2830</v>
      </c>
      <c r="AN551" s="161" t="str">
        <f t="shared" ca="1" si="103"/>
        <v>TERMINO</v>
      </c>
      <c r="AO551" s="160" t="s">
        <v>576</v>
      </c>
      <c r="AP551" s="155" t="s">
        <v>390</v>
      </c>
      <c r="AQ551" s="819" t="str">
        <f>IFERROR(VLOOKUP(E551,'liquidaciones '!$B$2:$C$1048576,2,0),"NO")</f>
        <v>EN TRÁMITE</v>
      </c>
      <c r="AR551" s="909" t="str">
        <f>IFERROR(VLOOKUP(E551,'liquidaciones '!$B$2:$I$1048576,8,0),"")</f>
        <v>JUAN DIEGO ESPITIA</v>
      </c>
      <c r="AS551" s="406"/>
      <c r="AT551" s="156" t="str">
        <f t="shared" ca="1" si="104"/>
        <v>NO</v>
      </c>
      <c r="AU551" s="156" t="s">
        <v>2973</v>
      </c>
      <c r="AV551" s="406"/>
      <c r="AW551" s="930" t="s">
        <v>3920</v>
      </c>
      <c r="AX551" s="928"/>
      <c r="AY551" s="928"/>
    </row>
    <row r="552" spans="3:51" ht="30.6" x14ac:dyDescent="0.3">
      <c r="C552" s="837">
        <v>210</v>
      </c>
      <c r="D552" s="837"/>
      <c r="E552" s="120" t="s">
        <v>3548</v>
      </c>
      <c r="F552" s="414" t="s">
        <v>3549</v>
      </c>
      <c r="G552" s="863">
        <v>900207129</v>
      </c>
      <c r="H552" s="969" t="s">
        <v>3550</v>
      </c>
      <c r="I552" s="84">
        <v>3790032</v>
      </c>
      <c r="J552" s="843" t="s">
        <v>3703</v>
      </c>
      <c r="K552" s="269">
        <v>2017</v>
      </c>
      <c r="L552" s="519">
        <v>42971</v>
      </c>
      <c r="M552" s="872">
        <v>42982</v>
      </c>
      <c r="N552" s="872">
        <v>43073</v>
      </c>
      <c r="O552" s="1099" t="str">
        <f>IF(+Modificaciones!I552=0,"",VLOOKUP(E552,Modificaciones!$B$7:$I$2400,8,0))</f>
        <v/>
      </c>
      <c r="P552" s="115">
        <f>COUNTA(Modificaciones!J552,Modificaciones!L552,Modificaciones!N552,Modificaciones!P552)</f>
        <v>0</v>
      </c>
      <c r="Q552" s="116">
        <f>VLOOKUP(E552,Modificaciones!$B$7:$R$2300,17,0)</f>
        <v>0</v>
      </c>
      <c r="R552" s="117">
        <f>COUNTA(Modificaciones!T552,Modificaciones!V552,Modificaciones!X552,Modificaciones!Z552)</f>
        <v>0</v>
      </c>
      <c r="S552" s="118" t="str">
        <f>IF(Modificaciones!AA552=0,"",VLOOKUP(E552,Modificaciones!$B$7:$AA$2400,26,0))</f>
        <v/>
      </c>
      <c r="T552" s="119" t="str">
        <f>IF(Modificaciones!AB552=0,"",VLOOKUP(E552,Modificaciones!$B$7:$AB$2400,27,0))</f>
        <v/>
      </c>
      <c r="U552" s="1080" t="str">
        <f>+Modificaciones!AC552</f>
        <v/>
      </c>
      <c r="V552" s="825" t="str">
        <f>+Modificaciones!AK552</f>
        <v/>
      </c>
      <c r="W552" s="825">
        <f t="shared" si="99"/>
        <v>43073</v>
      </c>
      <c r="X552" s="59">
        <f t="shared" si="97"/>
        <v>3790032</v>
      </c>
      <c r="Y552" s="151">
        <f>VLOOKUP(E552,Modificaciones!$B$7:$BE$2300,56,0)</f>
        <v>3790020</v>
      </c>
      <c r="Z552" s="84">
        <f t="shared" si="96"/>
        <v>12</v>
      </c>
      <c r="AA552" s="283" t="s">
        <v>1894</v>
      </c>
      <c r="AB552" s="823">
        <f t="shared" si="98"/>
        <v>0.99999683379982018</v>
      </c>
      <c r="AC552" s="40">
        <f t="shared" ca="1" si="100"/>
        <v>1</v>
      </c>
      <c r="AD552" s="41">
        <f t="shared" ca="1" si="101"/>
        <v>3.1662001798160588E-6</v>
      </c>
      <c r="AE552" s="181" t="str">
        <f t="shared" ca="1" si="102"/>
        <v/>
      </c>
      <c r="AF552" s="42" t="str">
        <f t="shared" si="105"/>
        <v>SI</v>
      </c>
      <c r="AG552" s="732" t="s">
        <v>1711</v>
      </c>
      <c r="AH552" s="152" t="s">
        <v>1255</v>
      </c>
      <c r="AI552" s="255" t="s">
        <v>1301</v>
      </c>
      <c r="AJ552" s="152" t="s">
        <v>1434</v>
      </c>
      <c r="AK552" s="255" t="s">
        <v>560</v>
      </c>
      <c r="AL552" s="279" t="s">
        <v>1388</v>
      </c>
      <c r="AM552" s="279" t="s">
        <v>3795</v>
      </c>
      <c r="AN552" s="161" t="str">
        <f t="shared" ca="1" si="103"/>
        <v>TERMINO</v>
      </c>
      <c r="AO552" s="284" t="s">
        <v>576</v>
      </c>
      <c r="AP552" s="406" t="s">
        <v>391</v>
      </c>
      <c r="AQ552" s="819" t="str">
        <f>IFERROR(VLOOKUP(E552,'liquidaciones '!$B$2:$C$1048576,2,0),"NO")</f>
        <v>LIQUIDADO</v>
      </c>
      <c r="AR552" s="909">
        <f>IFERROR(VLOOKUP(E552,'liquidaciones '!$B$2:$I$1048576,8,0),"")</f>
        <v>0</v>
      </c>
      <c r="AS552" s="406"/>
      <c r="AT552" s="156" t="str">
        <f t="shared" ca="1" si="104"/>
        <v>NO</v>
      </c>
      <c r="AU552" s="156" t="s">
        <v>3050</v>
      </c>
      <c r="AV552" s="406" t="s">
        <v>3783</v>
      </c>
      <c r="AW552" s="930" t="s">
        <v>560</v>
      </c>
      <c r="AX552" s="928"/>
      <c r="AY552" s="928"/>
    </row>
    <row r="553" spans="3:51" ht="51" x14ac:dyDescent="0.3">
      <c r="C553" s="837">
        <v>151</v>
      </c>
      <c r="D553" s="837"/>
      <c r="E553" s="120" t="s">
        <v>3552</v>
      </c>
      <c r="F553" s="414" t="s">
        <v>3396</v>
      </c>
      <c r="G553" s="863" t="s">
        <v>3553</v>
      </c>
      <c r="H553" s="969" t="s">
        <v>3554</v>
      </c>
      <c r="I553" s="84">
        <v>6956740</v>
      </c>
      <c r="J553" s="843" t="s">
        <v>3552</v>
      </c>
      <c r="K553" s="269">
        <v>2017</v>
      </c>
      <c r="L553" s="519">
        <v>42964</v>
      </c>
      <c r="M553" s="844">
        <v>42986</v>
      </c>
      <c r="N553" s="844">
        <v>43108</v>
      </c>
      <c r="O553" s="1099" t="str">
        <f>IF(+Modificaciones!I553=0,"",VLOOKUP(E553,Modificaciones!$B$7:$I$2400,8,0))</f>
        <v/>
      </c>
      <c r="P553" s="115">
        <f>COUNTA(Modificaciones!J553,Modificaciones!L553,Modificaciones!N553,Modificaciones!P553)</f>
        <v>0</v>
      </c>
      <c r="Q553" s="116">
        <f>VLOOKUP(E553,Modificaciones!$B$7:$R$2300,17,0)</f>
        <v>0</v>
      </c>
      <c r="R553" s="117">
        <f>COUNTA(Modificaciones!T553,Modificaciones!V553,Modificaciones!X553,Modificaciones!Z553)</f>
        <v>0</v>
      </c>
      <c r="S553" s="118" t="str">
        <f>IF(Modificaciones!AA553=0,"",VLOOKUP(E553,Modificaciones!$B$7:$AA$2400,26,0))</f>
        <v/>
      </c>
      <c r="T553" s="119" t="str">
        <f>IF(Modificaciones!AB553=0,"",VLOOKUP(E553,Modificaciones!$B$7:$AB$2400,27,0))</f>
        <v/>
      </c>
      <c r="U553" s="1080" t="str">
        <f>+Modificaciones!AC553</f>
        <v/>
      </c>
      <c r="V553" s="825" t="str">
        <f>+Modificaciones!AK553</f>
        <v/>
      </c>
      <c r="W553" s="825">
        <f t="shared" si="99"/>
        <v>43108</v>
      </c>
      <c r="X553" s="59">
        <f t="shared" si="97"/>
        <v>6956740</v>
      </c>
      <c r="Y553" s="151">
        <f>VLOOKUP(E553,Modificaciones!$B$7:$BE$2300,56,0)</f>
        <v>6956740</v>
      </c>
      <c r="Z553" s="84">
        <f t="shared" si="96"/>
        <v>0</v>
      </c>
      <c r="AA553" s="283" t="s">
        <v>3555</v>
      </c>
      <c r="AB553" s="823">
        <f t="shared" si="98"/>
        <v>1</v>
      </c>
      <c r="AC553" s="40">
        <f t="shared" ca="1" si="100"/>
        <v>1</v>
      </c>
      <c r="AD553" s="41">
        <f t="shared" ca="1" si="101"/>
        <v>0</v>
      </c>
      <c r="AE553" s="181" t="str">
        <f t="shared" ca="1" si="102"/>
        <v/>
      </c>
      <c r="AF553" s="42" t="str">
        <f t="shared" si="105"/>
        <v>SI</v>
      </c>
      <c r="AG553" s="1017" t="s">
        <v>4920</v>
      </c>
      <c r="AH553" s="152" t="s">
        <v>1255</v>
      </c>
      <c r="AI553" s="255" t="s">
        <v>1973</v>
      </c>
      <c r="AJ553" s="152"/>
      <c r="AK553" s="255" t="s">
        <v>563</v>
      </c>
      <c r="AL553" s="279" t="s">
        <v>1974</v>
      </c>
      <c r="AM553" s="279" t="s">
        <v>3797</v>
      </c>
      <c r="AN553" s="161" t="str">
        <f t="shared" ca="1" si="103"/>
        <v>TERMINO</v>
      </c>
      <c r="AO553" s="284" t="s">
        <v>582</v>
      </c>
      <c r="AP553" s="406" t="s">
        <v>390</v>
      </c>
      <c r="AQ553" s="819" t="str">
        <f>IFERROR(VLOOKUP(E553,'liquidaciones '!$B$2:$C$1048576,2,0),"NO")</f>
        <v>LIQUIDADO</v>
      </c>
      <c r="AR553" s="909">
        <f>IFERROR(VLOOKUP(E553,'liquidaciones '!$B$2:$I$1048576,8,0),"")</f>
        <v>0</v>
      </c>
      <c r="AS553" s="406"/>
      <c r="AT553" s="156" t="str">
        <f t="shared" ca="1" si="104"/>
        <v>NO</v>
      </c>
      <c r="AU553" s="156" t="s">
        <v>2973</v>
      </c>
      <c r="AV553" s="406"/>
      <c r="AW553" s="930" t="s">
        <v>4026</v>
      </c>
      <c r="AX553" s="928"/>
      <c r="AY553" s="928"/>
    </row>
    <row r="554" spans="3:51" ht="30.6" x14ac:dyDescent="0.3">
      <c r="C554" s="837"/>
      <c r="D554" s="837"/>
      <c r="E554" s="120" t="s">
        <v>3556</v>
      </c>
      <c r="F554" s="834" t="s">
        <v>203</v>
      </c>
      <c r="G554" s="874">
        <v>860049921</v>
      </c>
      <c r="H554" s="969" t="s">
        <v>3640</v>
      </c>
      <c r="I554" s="84">
        <v>5217555</v>
      </c>
      <c r="J554" s="843" t="s">
        <v>3556</v>
      </c>
      <c r="K554" s="269">
        <v>2017</v>
      </c>
      <c r="L554" s="519">
        <v>42970</v>
      </c>
      <c r="M554" s="844">
        <v>42986</v>
      </c>
      <c r="N554" s="844">
        <v>43108</v>
      </c>
      <c r="O554" s="1099" t="str">
        <f>IF(+Modificaciones!I554=0,"",VLOOKUP(E554,Modificaciones!$B$7:$I$2400,8,0))</f>
        <v/>
      </c>
      <c r="P554" s="115">
        <f>COUNTA(Modificaciones!J554,Modificaciones!L554,Modificaciones!N554,Modificaciones!P554)</f>
        <v>0</v>
      </c>
      <c r="Q554" s="116">
        <f>VLOOKUP(E554,Modificaciones!$B$7:$R$2300,17,0)</f>
        <v>0</v>
      </c>
      <c r="R554" s="117">
        <f>COUNTA(Modificaciones!T554,Modificaciones!V554,Modificaciones!X554,Modificaciones!Z554)</f>
        <v>0</v>
      </c>
      <c r="S554" s="118" t="str">
        <f>IF(Modificaciones!AA554=0,"",VLOOKUP(E554,Modificaciones!$B$7:$AA$2400,26,0))</f>
        <v/>
      </c>
      <c r="T554" s="119" t="str">
        <f>IF(Modificaciones!AB554=0,"",VLOOKUP(E554,Modificaciones!$B$7:$AB$2400,27,0))</f>
        <v/>
      </c>
      <c r="U554" s="1080" t="str">
        <f>+Modificaciones!AC554</f>
        <v/>
      </c>
      <c r="V554" s="825" t="str">
        <f>+Modificaciones!AK554</f>
        <v/>
      </c>
      <c r="W554" s="825">
        <f t="shared" si="99"/>
        <v>43108</v>
      </c>
      <c r="X554" s="59">
        <f t="shared" si="97"/>
        <v>5217555</v>
      </c>
      <c r="Y554" s="151">
        <f>VLOOKUP(E554,Modificaciones!$B$7:$BE$2300,56,0)</f>
        <v>5217555</v>
      </c>
      <c r="Z554" s="84">
        <f t="shared" si="96"/>
        <v>0</v>
      </c>
      <c r="AA554" s="283" t="s">
        <v>3557</v>
      </c>
      <c r="AB554" s="823">
        <f t="shared" si="98"/>
        <v>1</v>
      </c>
      <c r="AC554" s="40">
        <f t="shared" ca="1" si="100"/>
        <v>1</v>
      </c>
      <c r="AD554" s="41">
        <f t="shared" ca="1" si="101"/>
        <v>0</v>
      </c>
      <c r="AE554" s="181" t="str">
        <f t="shared" ca="1" si="102"/>
        <v/>
      </c>
      <c r="AF554" s="42" t="str">
        <f t="shared" si="105"/>
        <v>SI</v>
      </c>
      <c r="AG554" s="1017" t="s">
        <v>4920</v>
      </c>
      <c r="AH554" s="152" t="s">
        <v>1255</v>
      </c>
      <c r="AI554" s="275" t="s">
        <v>1349</v>
      </c>
      <c r="AJ554" s="152" t="s">
        <v>1430</v>
      </c>
      <c r="AK554" s="255" t="s">
        <v>563</v>
      </c>
      <c r="AL554" s="279"/>
      <c r="AM554" s="279" t="s">
        <v>3797</v>
      </c>
      <c r="AN554" s="161" t="str">
        <f t="shared" ca="1" si="103"/>
        <v>TERMINO</v>
      </c>
      <c r="AO554" s="160" t="s">
        <v>582</v>
      </c>
      <c r="AP554" s="406" t="s">
        <v>390</v>
      </c>
      <c r="AQ554" s="819" t="str">
        <f>IFERROR(VLOOKUP(E554,'liquidaciones '!$B$2:$C$1048576,2,0),"NO")</f>
        <v>LIQUIDADO</v>
      </c>
      <c r="AR554" s="909">
        <f>IFERROR(VLOOKUP(E554,'liquidaciones '!$B$2:$I$1048576,8,0),"")</f>
        <v>0</v>
      </c>
      <c r="AS554" s="406"/>
      <c r="AT554" s="156" t="str">
        <f t="shared" ca="1" si="104"/>
        <v>NO</v>
      </c>
      <c r="AU554" s="156" t="s">
        <v>2973</v>
      </c>
      <c r="AV554" s="406"/>
      <c r="AW554" s="930" t="s">
        <v>4026</v>
      </c>
      <c r="AX554" s="928"/>
      <c r="AY554" s="928"/>
    </row>
    <row r="555" spans="3:51" ht="71.400000000000006" x14ac:dyDescent="0.3">
      <c r="C555" s="837">
        <v>197</v>
      </c>
      <c r="D555" s="837"/>
      <c r="E555" s="120" t="s">
        <v>3558</v>
      </c>
      <c r="F555" s="414" t="s">
        <v>3947</v>
      </c>
      <c r="G555" s="863" t="s">
        <v>3559</v>
      </c>
      <c r="H555" s="969" t="s">
        <v>3560</v>
      </c>
      <c r="I555" s="84">
        <v>259000000</v>
      </c>
      <c r="J555" s="843" t="s">
        <v>3561</v>
      </c>
      <c r="K555" s="269">
        <v>2017</v>
      </c>
      <c r="L555" s="519">
        <v>42975</v>
      </c>
      <c r="M555" s="844">
        <v>42990</v>
      </c>
      <c r="N555" s="844">
        <v>43355</v>
      </c>
      <c r="O555" s="1099" t="str">
        <f>IF(+Modificaciones!I555=0,"",VLOOKUP(E555,Modificaciones!$B$7:$I$2400,8,0))</f>
        <v/>
      </c>
      <c r="P555" s="115">
        <f>COUNTA(Modificaciones!J555,Modificaciones!L555,Modificaciones!N555,Modificaciones!P555)</f>
        <v>2</v>
      </c>
      <c r="Q555" s="116">
        <f>VLOOKUP(E555,Modificaciones!$B$7:$R$2300,17,0)</f>
        <v>137140000</v>
      </c>
      <c r="R555" s="117">
        <f>COUNTA(Modificaciones!T555,Modificaciones!V555,Modificaciones!X555,Modificaciones!Z555)</f>
        <v>2</v>
      </c>
      <c r="S555" s="118" t="str">
        <f>IF(Modificaciones!AA555=0,"",VLOOKUP(E555,Modificaciones!$B$7:$AA$2400,26,0))</f>
        <v>3 meses y 19 días calendario</v>
      </c>
      <c r="T555" s="119">
        <f>IF(Modificaciones!AB555=0,"",VLOOKUP(E555,Modificaciones!$B$7:$AB$2400,27,0))</f>
        <v>43465</v>
      </c>
      <c r="U555" s="1080" t="str">
        <f>+Modificaciones!AC555</f>
        <v/>
      </c>
      <c r="V555" s="825" t="str">
        <f>+Modificaciones!AK555</f>
        <v/>
      </c>
      <c r="W555" s="825">
        <f t="shared" si="99"/>
        <v>43465</v>
      </c>
      <c r="X555" s="59">
        <f t="shared" si="97"/>
        <v>396140000</v>
      </c>
      <c r="Y555" s="151">
        <f>VLOOKUP(E555,Modificaciones!$B$7:$BE$2300,56,0)</f>
        <v>381600942</v>
      </c>
      <c r="Z555" s="84">
        <f t="shared" si="96"/>
        <v>14539058</v>
      </c>
      <c r="AA555" s="283"/>
      <c r="AB555" s="823">
        <f t="shared" si="98"/>
        <v>0.96329818246074617</v>
      </c>
      <c r="AC555" s="40">
        <f t="shared" ca="1" si="100"/>
        <v>1</v>
      </c>
      <c r="AD555" s="41">
        <f t="shared" ca="1" si="101"/>
        <v>3.6701817539253834E-2</v>
      </c>
      <c r="AE555" s="181" t="str">
        <f t="shared" ca="1" si="102"/>
        <v/>
      </c>
      <c r="AF555" s="42" t="str">
        <f t="shared" si="105"/>
        <v>NO</v>
      </c>
      <c r="AG555" s="732" t="s">
        <v>1716</v>
      </c>
      <c r="AH555" s="152" t="s">
        <v>1255</v>
      </c>
      <c r="AI555" s="255" t="s">
        <v>2553</v>
      </c>
      <c r="AJ555" s="152"/>
      <c r="AL555" s="279" t="s">
        <v>1379</v>
      </c>
      <c r="AM555" s="279" t="s">
        <v>2830</v>
      </c>
      <c r="AN555" s="161" t="str">
        <f t="shared" ca="1" si="103"/>
        <v>TERMINO</v>
      </c>
      <c r="AO555" s="284" t="s">
        <v>574</v>
      </c>
      <c r="AP555" s="155" t="s">
        <v>390</v>
      </c>
      <c r="AQ555" s="819" t="str">
        <f>IFERROR(VLOOKUP(E555,'liquidaciones '!$B$2:$C$1048576,2,0),"NO")</f>
        <v>DEVUELTO</v>
      </c>
      <c r="AR555" s="909" t="str">
        <f>IFERROR(VLOOKUP(E555,'liquidaciones '!$B$2:$I$1048576,8,0),"")</f>
        <v>MARIA ALEJANDRA SANCHEZ</v>
      </c>
      <c r="AS555" s="406"/>
      <c r="AT555" s="156" t="str">
        <f t="shared" ca="1" si="104"/>
        <v>SI</v>
      </c>
      <c r="AU555" s="156" t="s">
        <v>4244</v>
      </c>
      <c r="AV555" s="406"/>
      <c r="AW555" s="930" t="s">
        <v>3938</v>
      </c>
      <c r="AX555" s="928"/>
      <c r="AY555" s="928"/>
    </row>
    <row r="556" spans="3:51" ht="31.5" customHeight="1" x14ac:dyDescent="0.3">
      <c r="C556" s="837">
        <v>170</v>
      </c>
      <c r="D556" s="837"/>
      <c r="E556" s="120" t="s">
        <v>3566</v>
      </c>
      <c r="F556" s="414" t="s">
        <v>3567</v>
      </c>
      <c r="G556" s="863">
        <v>901017183</v>
      </c>
      <c r="H556" s="969" t="s">
        <v>3568</v>
      </c>
      <c r="I556" s="84">
        <v>840000</v>
      </c>
      <c r="J556" s="843" t="s">
        <v>3566</v>
      </c>
      <c r="K556" s="269">
        <v>2017</v>
      </c>
      <c r="L556" s="519">
        <v>42983</v>
      </c>
      <c r="M556" s="844">
        <v>43069</v>
      </c>
      <c r="N556" s="844">
        <v>43434</v>
      </c>
      <c r="O556" s="1099" t="str">
        <f>IF(+Modificaciones!I556=0,"",VLOOKUP(E556,Modificaciones!$B$7:$I$2400,8,0))</f>
        <v/>
      </c>
      <c r="P556" s="115">
        <f>COUNTA(Modificaciones!J556,Modificaciones!L556,Modificaciones!N556,Modificaciones!P556)</f>
        <v>0</v>
      </c>
      <c r="Q556" s="116">
        <f>VLOOKUP(E556,Modificaciones!$B$7:$R$2300,17,0)</f>
        <v>0</v>
      </c>
      <c r="R556" s="117">
        <f>COUNTA(Modificaciones!T556,Modificaciones!V556,Modificaciones!X556,Modificaciones!Z556)</f>
        <v>0</v>
      </c>
      <c r="S556" s="118" t="str">
        <f>IF(Modificaciones!AA556=0,"",VLOOKUP(E556,Modificaciones!$B$7:$AA$2400,26,0))</f>
        <v/>
      </c>
      <c r="T556" s="119" t="str">
        <f>IF(Modificaciones!AB556=0,"",VLOOKUP(E556,Modificaciones!$B$7:$AB$2400,27,0))</f>
        <v/>
      </c>
      <c r="U556" s="1080" t="str">
        <f>+Modificaciones!AC556</f>
        <v/>
      </c>
      <c r="V556" s="825" t="str">
        <f>+Modificaciones!AK556</f>
        <v/>
      </c>
      <c r="W556" s="825">
        <f t="shared" si="99"/>
        <v>43434</v>
      </c>
      <c r="X556" s="59">
        <f t="shared" si="97"/>
        <v>840000</v>
      </c>
      <c r="Y556" s="151">
        <f>VLOOKUP(E556,Modificaciones!$B$7:$BE$2300,56,0)</f>
        <v>840000</v>
      </c>
      <c r="Z556" s="84">
        <f t="shared" si="96"/>
        <v>0</v>
      </c>
      <c r="AA556" s="283" t="s">
        <v>2113</v>
      </c>
      <c r="AB556" s="823">
        <f t="shared" si="98"/>
        <v>1</v>
      </c>
      <c r="AC556" s="40">
        <f t="shared" ca="1" si="100"/>
        <v>1</v>
      </c>
      <c r="AD556" s="41">
        <f t="shared" ca="1" si="101"/>
        <v>0</v>
      </c>
      <c r="AE556" s="181" t="str">
        <f t="shared" ca="1" si="102"/>
        <v/>
      </c>
      <c r="AF556" s="42" t="str">
        <f t="shared" si="105"/>
        <v>SI</v>
      </c>
      <c r="AG556" s="732" t="s">
        <v>1713</v>
      </c>
      <c r="AH556" s="152" t="s">
        <v>1255</v>
      </c>
      <c r="AI556" s="255" t="s">
        <v>1124</v>
      </c>
      <c r="AJ556" s="152" t="s">
        <v>1429</v>
      </c>
      <c r="AK556" s="255" t="s">
        <v>564</v>
      </c>
      <c r="AL556" s="279"/>
      <c r="AM556" s="279" t="s">
        <v>3798</v>
      </c>
      <c r="AN556" s="161" t="str">
        <f t="shared" ca="1" si="103"/>
        <v>TERMINO</v>
      </c>
      <c r="AO556" s="284" t="s">
        <v>582</v>
      </c>
      <c r="AP556" s="155" t="s">
        <v>390</v>
      </c>
      <c r="AQ556" s="819" t="str">
        <f>IFERROR(VLOOKUP(E556,'liquidaciones '!$B$2:$C$1048576,2,0),"NO")</f>
        <v>LIQUIDADO</v>
      </c>
      <c r="AR556" s="909" t="str">
        <f>IFERROR(VLOOKUP(E556,'liquidaciones '!$B$2:$I$1048576,8,0),"")</f>
        <v>JUAN DIEGO ESPITIA</v>
      </c>
      <c r="AS556" s="406"/>
      <c r="AT556" s="156" t="str">
        <f t="shared" ca="1" si="104"/>
        <v>SI</v>
      </c>
      <c r="AU556" s="156" t="s">
        <v>2960</v>
      </c>
      <c r="AV556" s="406"/>
      <c r="AW556" s="930" t="s">
        <v>3920</v>
      </c>
      <c r="AX556" s="928"/>
      <c r="AY556" s="928"/>
    </row>
    <row r="557" spans="3:51" ht="40.799999999999997" x14ac:dyDescent="0.3">
      <c r="C557" s="837">
        <v>206</v>
      </c>
      <c r="D557" s="837"/>
      <c r="E557" s="120" t="s">
        <v>3569</v>
      </c>
      <c r="F557" s="414" t="s">
        <v>3570</v>
      </c>
      <c r="G557" s="863" t="s">
        <v>3571</v>
      </c>
      <c r="H557" s="969" t="s">
        <v>3572</v>
      </c>
      <c r="I557" s="84">
        <v>855382000</v>
      </c>
      <c r="J557" s="843" t="s">
        <v>3573</v>
      </c>
      <c r="K557" s="269">
        <v>2017</v>
      </c>
      <c r="L557" s="519">
        <v>42984</v>
      </c>
      <c r="M557" s="844">
        <v>42999</v>
      </c>
      <c r="N557" s="844">
        <v>43241</v>
      </c>
      <c r="O557" s="1099" t="str">
        <f>IF(+Modificaciones!I557=0,"",VLOOKUP(E557,Modificaciones!$B$7:$I$2400,8,0))</f>
        <v/>
      </c>
      <c r="P557" s="115">
        <f>COUNTA(Modificaciones!J557,Modificaciones!L557,Modificaciones!N557,Modificaciones!P557)</f>
        <v>0</v>
      </c>
      <c r="Q557" s="116">
        <f>VLOOKUP(E557,Modificaciones!$B$7:$R$2300,17,0)</f>
        <v>0</v>
      </c>
      <c r="R557" s="117">
        <f>COUNTA(Modificaciones!T557,Modificaciones!V557,Modificaciones!X557,Modificaciones!Z557)</f>
        <v>3</v>
      </c>
      <c r="S557" s="118" t="str">
        <f>IF(Modificaciones!AA557=0,"",VLOOKUP(E557,Modificaciones!$B$7:$AA$2400,26,0))</f>
        <v>4 meses y 10 días</v>
      </c>
      <c r="T557" s="119">
        <f>IF(Modificaciones!AB557=0,"",VLOOKUP(E557,Modificaciones!$B$7:$AB$2400,27,0))</f>
        <v>43373</v>
      </c>
      <c r="U557" s="1080" t="str">
        <f>+Modificaciones!AC557</f>
        <v/>
      </c>
      <c r="V557" s="825" t="str">
        <f>+Modificaciones!AK557</f>
        <v/>
      </c>
      <c r="W557" s="825">
        <f t="shared" si="99"/>
        <v>43373</v>
      </c>
      <c r="X557" s="59">
        <f t="shared" si="97"/>
        <v>855382000</v>
      </c>
      <c r="Y557" s="151">
        <f>VLOOKUP(E557,Modificaciones!$B$7:$BE$2300,56,0)</f>
        <v>762489588</v>
      </c>
      <c r="Z557" s="84">
        <f t="shared" si="96"/>
        <v>92892412</v>
      </c>
      <c r="AA557" s="283" t="s">
        <v>2659</v>
      </c>
      <c r="AB557" s="823">
        <f t="shared" si="98"/>
        <v>0.8914024237124466</v>
      </c>
      <c r="AC557" s="40">
        <f t="shared" ca="1" si="100"/>
        <v>1</v>
      </c>
      <c r="AD557" s="41">
        <f t="shared" ca="1" si="101"/>
        <v>0.1085975762875534</v>
      </c>
      <c r="AE557" s="181" t="str">
        <f t="shared" ca="1" si="102"/>
        <v/>
      </c>
      <c r="AF557" s="42" t="str">
        <f t="shared" si="105"/>
        <v>NO</v>
      </c>
      <c r="AG557" s="1017" t="s">
        <v>4920</v>
      </c>
      <c r="AH557" s="152" t="s">
        <v>1255</v>
      </c>
      <c r="AI557" s="255" t="s">
        <v>1279</v>
      </c>
      <c r="AJ557" s="152" t="s">
        <v>1434</v>
      </c>
      <c r="AK557" s="255" t="s">
        <v>560</v>
      </c>
      <c r="AL557" s="279" t="s">
        <v>1385</v>
      </c>
      <c r="AM557" s="279" t="s">
        <v>3795</v>
      </c>
      <c r="AN557" s="161" t="str">
        <f t="shared" ca="1" si="103"/>
        <v>TERMINO</v>
      </c>
      <c r="AO557" s="284" t="s">
        <v>573</v>
      </c>
      <c r="AP557" s="406" t="s">
        <v>390</v>
      </c>
      <c r="AQ557" s="819" t="str">
        <f>IFERROR(VLOOKUP(E557,'liquidaciones '!$B$2:$C$1048576,2,0),"NO")</f>
        <v>LIQUIDADO</v>
      </c>
      <c r="AR557" s="909" t="str">
        <f>IFERROR(VLOOKUP(E557,'liquidaciones '!$B$2:$I$1048576,8,0),"")</f>
        <v>JUAN DIEGO ESPITIA</v>
      </c>
      <c r="AS557" s="406"/>
      <c r="AT557" s="156" t="str">
        <f t="shared" ca="1" si="104"/>
        <v>SI</v>
      </c>
      <c r="AU557" s="156" t="s">
        <v>1509</v>
      </c>
      <c r="AV557" s="406" t="s">
        <v>3779</v>
      </c>
      <c r="AW557" s="930" t="s">
        <v>560</v>
      </c>
      <c r="AX557" s="928"/>
      <c r="AY557" s="928"/>
    </row>
    <row r="558" spans="3:51" ht="40.799999999999997" x14ac:dyDescent="0.3">
      <c r="C558" s="837">
        <v>154</v>
      </c>
      <c r="D558" s="837"/>
      <c r="E558" s="120" t="s">
        <v>3574</v>
      </c>
      <c r="F558" s="996" t="s">
        <v>3575</v>
      </c>
      <c r="G558" s="863">
        <v>52733413</v>
      </c>
      <c r="H558" s="965" t="s">
        <v>2501</v>
      </c>
      <c r="I558" s="84">
        <v>22800000</v>
      </c>
      <c r="J558" s="843" t="s">
        <v>3574</v>
      </c>
      <c r="K558" s="269">
        <v>2017</v>
      </c>
      <c r="L558" s="519">
        <v>42984</v>
      </c>
      <c r="M558" s="844">
        <v>42997</v>
      </c>
      <c r="N558" s="844">
        <v>43119</v>
      </c>
      <c r="O558" s="1099" t="str">
        <f>IF(+Modificaciones!I558=0,"",VLOOKUP(E558,Modificaciones!$B$7:$I$2400,8,0))</f>
        <v/>
      </c>
      <c r="P558" s="115">
        <f>COUNTA(Modificaciones!J558,Modificaciones!L558,Modificaciones!N558,Modificaciones!P558)</f>
        <v>0</v>
      </c>
      <c r="Q558" s="116">
        <f>VLOOKUP(E558,Modificaciones!$B$7:$R$2300,17,0)</f>
        <v>0</v>
      </c>
      <c r="R558" s="117">
        <f>COUNTA(Modificaciones!T558,Modificaciones!V558,Modificaciones!X558,Modificaciones!Z558)</f>
        <v>0</v>
      </c>
      <c r="S558" s="118" t="str">
        <f>IF(Modificaciones!AA558=0,"",VLOOKUP(E558,Modificaciones!$B$7:$AA$2400,26,0))</f>
        <v/>
      </c>
      <c r="T558" s="119" t="str">
        <f>IF(Modificaciones!AB558=0,"",VLOOKUP(E558,Modificaciones!$B$7:$AB$2400,27,0))</f>
        <v/>
      </c>
      <c r="U558" s="1080" t="str">
        <f>+Modificaciones!AC558</f>
        <v/>
      </c>
      <c r="V558" s="825" t="str">
        <f>+Modificaciones!AK558</f>
        <v/>
      </c>
      <c r="W558" s="825">
        <f t="shared" si="99"/>
        <v>43119</v>
      </c>
      <c r="X558" s="59">
        <f t="shared" si="97"/>
        <v>22800000</v>
      </c>
      <c r="Y558" s="151">
        <f>VLOOKUP(E558,Modificaciones!$B$7:$BE$2300,56,0)</f>
        <v>22800000</v>
      </c>
      <c r="Z558" s="84">
        <f t="shared" si="96"/>
        <v>0</v>
      </c>
      <c r="AA558" s="283" t="s">
        <v>1966</v>
      </c>
      <c r="AB558" s="823">
        <f t="shared" si="98"/>
        <v>1</v>
      </c>
      <c r="AC558" s="40">
        <f t="shared" ca="1" si="100"/>
        <v>1</v>
      </c>
      <c r="AD558" s="41">
        <f t="shared" ca="1" si="101"/>
        <v>0</v>
      </c>
      <c r="AE558" s="181" t="str">
        <f t="shared" ca="1" si="102"/>
        <v/>
      </c>
      <c r="AF558" s="42" t="str">
        <f t="shared" si="105"/>
        <v>SI</v>
      </c>
      <c r="AG558" s="732" t="s">
        <v>5773</v>
      </c>
      <c r="AH558" s="152" t="s">
        <v>1255</v>
      </c>
      <c r="AI558" s="255" t="s">
        <v>1967</v>
      </c>
      <c r="AJ558" s="152" t="s">
        <v>1428</v>
      </c>
      <c r="AK558" s="255" t="s">
        <v>563</v>
      </c>
      <c r="AL558" s="279"/>
      <c r="AM558" s="279" t="s">
        <v>3795</v>
      </c>
      <c r="AN558" s="161" t="str">
        <f t="shared" ca="1" si="103"/>
        <v>TERMINO</v>
      </c>
      <c r="AO558" s="284" t="s">
        <v>582</v>
      </c>
      <c r="AP558" s="406" t="s">
        <v>391</v>
      </c>
      <c r="AQ558" s="819" t="str">
        <f>IFERROR(VLOOKUP(E558,'liquidaciones '!$B$2:$C$1048576,2,0),"NO")</f>
        <v>LIQUIDADO</v>
      </c>
      <c r="AR558" s="909">
        <f>IFERROR(VLOOKUP(E558,'liquidaciones '!$B$2:$I$1048576,8,0),"")</f>
        <v>0</v>
      </c>
      <c r="AS558" s="406"/>
      <c r="AT558" s="156" t="str">
        <f t="shared" ca="1" si="104"/>
        <v>NO</v>
      </c>
      <c r="AU558" s="156" t="s">
        <v>3050</v>
      </c>
      <c r="AV558" s="406" t="s">
        <v>3817</v>
      </c>
      <c r="AW558" s="930" t="s">
        <v>560</v>
      </c>
      <c r="AX558" s="928"/>
      <c r="AY558" s="928"/>
    </row>
    <row r="559" spans="3:51" ht="112.2" x14ac:dyDescent="0.3">
      <c r="C559" s="837">
        <v>226</v>
      </c>
      <c r="D559" s="837"/>
      <c r="E559" s="120" t="s">
        <v>3581</v>
      </c>
      <c r="F559" s="414" t="s">
        <v>3582</v>
      </c>
      <c r="G559" s="863">
        <v>900446648</v>
      </c>
      <c r="H559" s="969" t="s">
        <v>3583</v>
      </c>
      <c r="I559" s="84">
        <v>12595436</v>
      </c>
      <c r="J559" s="843" t="s">
        <v>3585</v>
      </c>
      <c r="K559" s="269">
        <v>2017</v>
      </c>
      <c r="L559" s="519">
        <v>42993</v>
      </c>
      <c r="M559" s="844">
        <v>42999</v>
      </c>
      <c r="N559" s="844">
        <v>43364</v>
      </c>
      <c r="O559" s="1099" t="str">
        <f>IF(+Modificaciones!I559=0,"",VLOOKUP(E559,Modificaciones!$B$7:$I$2400,8,0))</f>
        <v/>
      </c>
      <c r="P559" s="115">
        <f>COUNTA(Modificaciones!J559,Modificaciones!L559,Modificaciones!N559,Modificaciones!P559)</f>
        <v>0</v>
      </c>
      <c r="Q559" s="116">
        <f>VLOOKUP(E559,Modificaciones!$B$7:$R$2300,17,0)</f>
        <v>0</v>
      </c>
      <c r="R559" s="117">
        <f>COUNTA(Modificaciones!T559,Modificaciones!V559,Modificaciones!X559,Modificaciones!Z559)</f>
        <v>0</v>
      </c>
      <c r="S559" s="118" t="str">
        <f>IF(Modificaciones!AA559=0,"",VLOOKUP(E559,Modificaciones!$B$7:$AA$2400,26,0))</f>
        <v/>
      </c>
      <c r="T559" s="119" t="str">
        <f>IF(Modificaciones!AB559=0,"",VLOOKUP(E559,Modificaciones!$B$7:$AB$2400,27,0))</f>
        <v/>
      </c>
      <c r="U559" s="1080" t="str">
        <f>+Modificaciones!AC559</f>
        <v/>
      </c>
      <c r="V559" s="825" t="str">
        <f>+Modificaciones!AK559</f>
        <v/>
      </c>
      <c r="W559" s="825">
        <f t="shared" si="99"/>
        <v>43364</v>
      </c>
      <c r="X559" s="59">
        <f t="shared" si="97"/>
        <v>12595436</v>
      </c>
      <c r="Y559" s="151">
        <f>VLOOKUP(E559,Modificaciones!$B$7:$BE$2300,56,0)</f>
        <v>12595436</v>
      </c>
      <c r="Z559" s="84">
        <f t="shared" si="96"/>
        <v>0</v>
      </c>
      <c r="AA559" s="288" t="s">
        <v>3584</v>
      </c>
      <c r="AB559" s="823">
        <f t="shared" si="98"/>
        <v>1</v>
      </c>
      <c r="AC559" s="40">
        <f t="shared" ca="1" si="100"/>
        <v>1</v>
      </c>
      <c r="AD559" s="41">
        <f t="shared" ca="1" si="101"/>
        <v>0</v>
      </c>
      <c r="AE559" s="181" t="str">
        <f t="shared" ca="1" si="102"/>
        <v/>
      </c>
      <c r="AF559" s="42" t="str">
        <f t="shared" si="105"/>
        <v>SI</v>
      </c>
      <c r="AG559" s="838" t="s">
        <v>1711</v>
      </c>
      <c r="AH559" s="841" t="s">
        <v>1256</v>
      </c>
      <c r="AI559" s="841" t="s">
        <v>1173</v>
      </c>
      <c r="AJ559" s="152" t="s">
        <v>1438</v>
      </c>
      <c r="AK559" s="255" t="s">
        <v>560</v>
      </c>
      <c r="AL559" s="279" t="s">
        <v>1508</v>
      </c>
      <c r="AM559" s="279" t="s">
        <v>3795</v>
      </c>
      <c r="AN559" s="161" t="str">
        <f t="shared" ca="1" si="103"/>
        <v>TERMINO</v>
      </c>
      <c r="AO559" s="414" t="s">
        <v>2901</v>
      </c>
      <c r="AP559" s="406" t="s">
        <v>390</v>
      </c>
      <c r="AQ559" s="819" t="str">
        <f>IFERROR(VLOOKUP(E559,'liquidaciones '!$B$2:$C$1048576,2,0),"NO")</f>
        <v>LIQUIDADO</v>
      </c>
      <c r="AR559" s="909" t="str">
        <f>IFERROR(VLOOKUP(E559,'liquidaciones '!$B$2:$I$1048576,8,0),"")</f>
        <v>JUAN DIEGO ESPITIA</v>
      </c>
      <c r="AS559" s="406"/>
      <c r="AT559" s="156" t="str">
        <f t="shared" ca="1" si="104"/>
        <v>SI</v>
      </c>
      <c r="AU559" s="156" t="s">
        <v>4209</v>
      </c>
      <c r="AV559" s="406" t="s">
        <v>3778</v>
      </c>
      <c r="AW559" s="930" t="s">
        <v>560</v>
      </c>
      <c r="AX559" s="928"/>
      <c r="AY559" s="928"/>
    </row>
    <row r="560" spans="3:51" ht="28.8" x14ac:dyDescent="0.3">
      <c r="C560" s="837">
        <v>187</v>
      </c>
      <c r="D560" s="837"/>
      <c r="E560" s="120" t="s">
        <v>3586</v>
      </c>
      <c r="F560" s="414" t="s">
        <v>3587</v>
      </c>
      <c r="G560" s="863">
        <v>830085106</v>
      </c>
      <c r="H560" s="969" t="s">
        <v>3588</v>
      </c>
      <c r="I560" s="84">
        <v>6711600</v>
      </c>
      <c r="J560" s="843" t="s">
        <v>3590</v>
      </c>
      <c r="K560" s="269">
        <v>2017</v>
      </c>
      <c r="L560" s="519">
        <v>42996</v>
      </c>
      <c r="M560" s="844">
        <v>43004</v>
      </c>
      <c r="N560" s="844">
        <v>43185</v>
      </c>
      <c r="O560" s="1099" t="str">
        <f>IF(+Modificaciones!I560=0,"",VLOOKUP(E560,Modificaciones!$B$7:$I$2400,8,0))</f>
        <v/>
      </c>
      <c r="P560" s="115">
        <f>COUNTA(Modificaciones!J560,Modificaciones!L560,Modificaciones!N560,Modificaciones!P560)</f>
        <v>0</v>
      </c>
      <c r="Q560" s="116">
        <f>VLOOKUP(E560,Modificaciones!$B$7:$R$2300,17,0)</f>
        <v>0</v>
      </c>
      <c r="R560" s="117">
        <f>COUNTA(Modificaciones!T560,Modificaciones!V560,Modificaciones!X560,Modificaciones!Z560)</f>
        <v>0</v>
      </c>
      <c r="S560" s="118" t="str">
        <f>IF(Modificaciones!AA560=0,"",VLOOKUP(E560,Modificaciones!$B$7:$AA$2400,26,0))</f>
        <v/>
      </c>
      <c r="T560" s="119" t="str">
        <f>IF(Modificaciones!AB560=0,"",VLOOKUP(E560,Modificaciones!$B$7:$AB$2400,27,0))</f>
        <v/>
      </c>
      <c r="U560" s="1080" t="str">
        <f>+Modificaciones!AC560</f>
        <v/>
      </c>
      <c r="V560" s="825" t="str">
        <f>+Modificaciones!AK560</f>
        <v/>
      </c>
      <c r="W560" s="825">
        <f t="shared" si="99"/>
        <v>43185</v>
      </c>
      <c r="X560" s="59">
        <f t="shared" si="97"/>
        <v>6711600</v>
      </c>
      <c r="Y560" s="151">
        <f>VLOOKUP(E560,Modificaciones!$B$7:$BE$2300,56,0)</f>
        <v>6711600</v>
      </c>
      <c r="Z560" s="84">
        <f t="shared" si="96"/>
        <v>0</v>
      </c>
      <c r="AA560" s="283" t="s">
        <v>1957</v>
      </c>
      <c r="AB560" s="823">
        <f t="shared" si="98"/>
        <v>1</v>
      </c>
      <c r="AC560" s="40">
        <f t="shared" ca="1" si="100"/>
        <v>1</v>
      </c>
      <c r="AD560" s="41">
        <f t="shared" ca="1" si="101"/>
        <v>0</v>
      </c>
      <c r="AE560" s="181" t="str">
        <f t="shared" ca="1" si="102"/>
        <v/>
      </c>
      <c r="AF560" s="42" t="str">
        <f t="shared" si="105"/>
        <v>SI</v>
      </c>
      <c r="AG560" s="732" t="s">
        <v>1712</v>
      </c>
      <c r="AH560" s="152" t="s">
        <v>1255</v>
      </c>
      <c r="AI560" s="255" t="s">
        <v>1958</v>
      </c>
      <c r="AJ560" s="152" t="s">
        <v>1441</v>
      </c>
      <c r="AK560" s="255" t="s">
        <v>560</v>
      </c>
      <c r="AL560" s="279"/>
      <c r="AM560" s="279" t="s">
        <v>3795</v>
      </c>
      <c r="AN560" s="161" t="str">
        <f t="shared" ca="1" si="103"/>
        <v>TERMINO</v>
      </c>
      <c r="AO560" s="284" t="s">
        <v>576</v>
      </c>
      <c r="AP560" s="155" t="s">
        <v>390</v>
      </c>
      <c r="AQ560" s="819" t="str">
        <f>IFERROR(VLOOKUP(E560,'liquidaciones '!$B$2:$C$1048576,2,0),"NO")</f>
        <v>LIQUIDADO</v>
      </c>
      <c r="AR560" s="909">
        <f>IFERROR(VLOOKUP(E560,'liquidaciones '!$B$2:$I$1048576,8,0),"")</f>
        <v>0</v>
      </c>
      <c r="AS560" s="406"/>
      <c r="AT560" s="156" t="str">
        <f t="shared" ca="1" si="104"/>
        <v>NO</v>
      </c>
      <c r="AU560" s="156" t="s">
        <v>1509</v>
      </c>
      <c r="AV560" s="406" t="s">
        <v>1378</v>
      </c>
      <c r="AW560" s="930" t="s">
        <v>560</v>
      </c>
      <c r="AX560" s="928"/>
      <c r="AY560" s="928"/>
    </row>
    <row r="561" spans="3:51" ht="20.399999999999999" x14ac:dyDescent="0.3">
      <c r="C561" s="837">
        <v>171</v>
      </c>
      <c r="D561" s="837"/>
      <c r="E561" s="120" t="s">
        <v>3589</v>
      </c>
      <c r="F561" s="414" t="s">
        <v>2115</v>
      </c>
      <c r="G561" s="874">
        <v>860007590</v>
      </c>
      <c r="H561" s="965" t="s">
        <v>2644</v>
      </c>
      <c r="I561" s="84">
        <v>1185000</v>
      </c>
      <c r="J561" s="843" t="s">
        <v>3589</v>
      </c>
      <c r="K561" s="269">
        <v>2017</v>
      </c>
      <c r="L561" s="519">
        <v>42998</v>
      </c>
      <c r="M561" s="844">
        <v>43010</v>
      </c>
      <c r="N561" s="844">
        <v>43375</v>
      </c>
      <c r="O561" s="1099" t="str">
        <f>IF(+Modificaciones!I561=0,"",VLOOKUP(E561,Modificaciones!$B$7:$I$2400,8,0))</f>
        <v/>
      </c>
      <c r="P561" s="115">
        <f>COUNTA(Modificaciones!J561,Modificaciones!L561,Modificaciones!N561,Modificaciones!P561)</f>
        <v>0</v>
      </c>
      <c r="Q561" s="116">
        <f>VLOOKUP(E561,Modificaciones!$B$7:$R$2300,17,0)</f>
        <v>0</v>
      </c>
      <c r="R561" s="117">
        <f>COUNTA(Modificaciones!T561,Modificaciones!V561,Modificaciones!X561,Modificaciones!Z561)</f>
        <v>0</v>
      </c>
      <c r="S561" s="118" t="str">
        <f>IF(Modificaciones!AA561=0,"",VLOOKUP(E561,Modificaciones!$B$7:$AA$2400,26,0))</f>
        <v/>
      </c>
      <c r="T561" s="119" t="str">
        <f>IF(Modificaciones!AB561=0,"",VLOOKUP(E561,Modificaciones!$B$7:$AB$2400,27,0))</f>
        <v/>
      </c>
      <c r="U561" s="1080" t="str">
        <f>+Modificaciones!AC561</f>
        <v/>
      </c>
      <c r="V561" s="825" t="str">
        <f>+Modificaciones!AK561</f>
        <v/>
      </c>
      <c r="W561" s="825">
        <f t="shared" si="99"/>
        <v>43375</v>
      </c>
      <c r="X561" s="59">
        <f t="shared" si="97"/>
        <v>1185000</v>
      </c>
      <c r="Y561" s="151">
        <f>VLOOKUP(E561,Modificaciones!$B$7:$BE$2300,56,0)</f>
        <v>1185000</v>
      </c>
      <c r="Z561" s="84">
        <f t="shared" si="96"/>
        <v>0</v>
      </c>
      <c r="AA561" s="283" t="s">
        <v>1894</v>
      </c>
      <c r="AB561" s="823">
        <f t="shared" si="98"/>
        <v>1</v>
      </c>
      <c r="AC561" s="40">
        <f t="shared" ca="1" si="100"/>
        <v>1</v>
      </c>
      <c r="AD561" s="41">
        <f t="shared" ca="1" si="101"/>
        <v>0</v>
      </c>
      <c r="AE561" s="181" t="str">
        <f t="shared" ca="1" si="102"/>
        <v/>
      </c>
      <c r="AF561" s="42" t="str">
        <f t="shared" si="105"/>
        <v>SI</v>
      </c>
      <c r="AG561" s="732" t="s">
        <v>1713</v>
      </c>
      <c r="AH561" s="152" t="s">
        <v>1255</v>
      </c>
      <c r="AI561" s="255" t="s">
        <v>1124</v>
      </c>
      <c r="AJ561" s="152" t="s">
        <v>1429</v>
      </c>
      <c r="AK561" s="255" t="s">
        <v>564</v>
      </c>
      <c r="AL561" s="279"/>
      <c r="AM561" s="279" t="s">
        <v>3798</v>
      </c>
      <c r="AN561" s="161" t="str">
        <f t="shared" ca="1" si="103"/>
        <v>TERMINO</v>
      </c>
      <c r="AO561" s="284" t="s">
        <v>582</v>
      </c>
      <c r="AP561" s="155" t="s">
        <v>390</v>
      </c>
      <c r="AQ561" s="819" t="str">
        <f>IFERROR(VLOOKUP(E561,'liquidaciones '!$B$2:$C$1048576,2,0),"NO")</f>
        <v>LIQUIDADO</v>
      </c>
      <c r="AR561" s="909" t="str">
        <f>IFERROR(VLOOKUP(E561,'liquidaciones '!$B$2:$I$1048576,8,0),"")</f>
        <v>JUAN DIEGO ESPITIA</v>
      </c>
      <c r="AS561" s="406"/>
      <c r="AT561" s="156" t="str">
        <f t="shared" ca="1" si="104"/>
        <v>SI</v>
      </c>
      <c r="AU561" s="156" t="s">
        <v>3050</v>
      </c>
      <c r="AV561" s="406"/>
      <c r="AW561" s="930" t="s">
        <v>3920</v>
      </c>
      <c r="AX561" s="928"/>
      <c r="AY561" s="928"/>
    </row>
    <row r="562" spans="3:51" ht="40.799999999999997" x14ac:dyDescent="0.3">
      <c r="C562" s="837"/>
      <c r="D562" s="837"/>
      <c r="E562" s="120" t="s">
        <v>3592</v>
      </c>
      <c r="F562" s="414" t="s">
        <v>3593</v>
      </c>
      <c r="G562" s="863">
        <v>1022949330</v>
      </c>
      <c r="H562" s="969" t="s">
        <v>3594</v>
      </c>
      <c r="I562" s="84">
        <v>7500000</v>
      </c>
      <c r="J562" s="843" t="s">
        <v>3592</v>
      </c>
      <c r="K562" s="269">
        <v>2017</v>
      </c>
      <c r="L562" s="519">
        <v>42999</v>
      </c>
      <c r="M562" s="844">
        <v>43006</v>
      </c>
      <c r="N562" s="844">
        <v>43100</v>
      </c>
      <c r="O562" s="1099" t="str">
        <f>IF(+Modificaciones!I562=0,"",VLOOKUP(E562,Modificaciones!$B$7:$I$2400,8,0))</f>
        <v/>
      </c>
      <c r="P562" s="115">
        <f>COUNTA(Modificaciones!J562,Modificaciones!L562,Modificaciones!N562,Modificaciones!P562)</f>
        <v>0</v>
      </c>
      <c r="Q562" s="116">
        <f>VLOOKUP(E562,Modificaciones!$B$7:$R$2300,17,0)</f>
        <v>0</v>
      </c>
      <c r="R562" s="117">
        <f>COUNTA(Modificaciones!T562,Modificaciones!V562,Modificaciones!X562,Modificaciones!Z562)</f>
        <v>1</v>
      </c>
      <c r="S562" s="118" t="str">
        <f>IF(Modificaciones!AA562=0,"",VLOOKUP(E562,Modificaciones!$B$7:$AA$2400,26,0))</f>
        <v>13 días calendario</v>
      </c>
      <c r="T562" s="119">
        <f>IF(Modificaciones!AB562=0,"",VLOOKUP(E562,Modificaciones!$B$7:$AB$2400,27,0))</f>
        <v>43125</v>
      </c>
      <c r="U562" s="1080" t="str">
        <f>+Modificaciones!AC562</f>
        <v/>
      </c>
      <c r="V562" s="825" t="str">
        <f>+Modificaciones!AK562</f>
        <v/>
      </c>
      <c r="W562" s="825">
        <f t="shared" si="99"/>
        <v>43125</v>
      </c>
      <c r="X562" s="59">
        <f t="shared" si="97"/>
        <v>7500000</v>
      </c>
      <c r="Y562" s="151">
        <f>VLOOKUP(E562,Modificaciones!$B$7:$BE$2300,56,0)</f>
        <v>7375000</v>
      </c>
      <c r="Z562" s="84">
        <f t="shared" si="96"/>
        <v>125000</v>
      </c>
      <c r="AA562" s="283" t="s">
        <v>1966</v>
      </c>
      <c r="AB562" s="823">
        <f t="shared" si="98"/>
        <v>0.98333333333333328</v>
      </c>
      <c r="AC562" s="40">
        <f t="shared" ca="1" si="100"/>
        <v>1</v>
      </c>
      <c r="AD562" s="41">
        <f t="shared" ca="1" si="101"/>
        <v>1.6666666666666718E-2</v>
      </c>
      <c r="AE562" s="181" t="str">
        <f t="shared" ca="1" si="102"/>
        <v/>
      </c>
      <c r="AF562" s="42" t="str">
        <f t="shared" ref="AF562:AF593" si="106">IF(AB562&lt;=99.9%,"NO","SI")</f>
        <v>NO</v>
      </c>
      <c r="AG562" s="732" t="s">
        <v>5773</v>
      </c>
      <c r="AH562" s="152" t="s">
        <v>1255</v>
      </c>
      <c r="AI562" s="255" t="s">
        <v>3595</v>
      </c>
      <c r="AJ562" s="838" t="s">
        <v>3596</v>
      </c>
      <c r="AK562" s="255" t="s">
        <v>560</v>
      </c>
      <c r="AL562" s="838" t="s">
        <v>3597</v>
      </c>
      <c r="AM562" s="279" t="s">
        <v>3795</v>
      </c>
      <c r="AN562" s="161" t="str">
        <f t="shared" ca="1" si="103"/>
        <v>TERMINO</v>
      </c>
      <c r="AO562" s="284" t="s">
        <v>582</v>
      </c>
      <c r="AP562" s="406" t="s">
        <v>391</v>
      </c>
      <c r="AQ562" s="819" t="str">
        <f>IFERROR(VLOOKUP(E562,'liquidaciones '!$B$2:$C$1048576,2,0),"NO")</f>
        <v>LIQUIDADO</v>
      </c>
      <c r="AR562" s="909">
        <f>IFERROR(VLOOKUP(E562,'liquidaciones '!$B$2:$I$1048576,8,0),"")</f>
        <v>0</v>
      </c>
      <c r="AS562" s="406"/>
      <c r="AT562" s="156" t="str">
        <f t="shared" ca="1" si="104"/>
        <v>NO</v>
      </c>
      <c r="AU562" s="156" t="s">
        <v>3564</v>
      </c>
      <c r="AV562" s="406" t="s">
        <v>3774</v>
      </c>
      <c r="AW562" s="930" t="s">
        <v>560</v>
      </c>
      <c r="AX562" s="928"/>
      <c r="AY562" s="928"/>
    </row>
    <row r="563" spans="3:51" ht="51" x14ac:dyDescent="0.3">
      <c r="C563" s="837">
        <v>86</v>
      </c>
      <c r="D563" s="837"/>
      <c r="E563" s="120" t="s">
        <v>3598</v>
      </c>
      <c r="F563" s="414" t="s">
        <v>1861</v>
      </c>
      <c r="G563" s="863">
        <v>830124848</v>
      </c>
      <c r="H563" s="965" t="s">
        <v>3599</v>
      </c>
      <c r="I563" s="84">
        <v>30000000</v>
      </c>
      <c r="J563" s="843" t="s">
        <v>3600</v>
      </c>
      <c r="K563" s="269">
        <v>2017</v>
      </c>
      <c r="L563" s="519">
        <v>42993</v>
      </c>
      <c r="M563" s="844">
        <v>43020</v>
      </c>
      <c r="N563" s="844">
        <v>43202</v>
      </c>
      <c r="O563" s="1099" t="str">
        <f>IF(+Modificaciones!I563=0,"",VLOOKUP(E563,Modificaciones!$B$7:$I$2400,8,0))</f>
        <v/>
      </c>
      <c r="P563" s="115">
        <f>COUNTA(Modificaciones!J563,Modificaciones!L563,Modificaciones!N563,Modificaciones!P563)</f>
        <v>1</v>
      </c>
      <c r="Q563" s="116">
        <f>VLOOKUP(E563,Modificaciones!$B$7:$R$2300,17,0)</f>
        <v>10000000</v>
      </c>
      <c r="R563" s="117">
        <f>COUNTA(Modificaciones!T563,Modificaciones!V563,Modificaciones!X563,Modificaciones!Z563)</f>
        <v>2</v>
      </c>
      <c r="S563" s="118" t="str">
        <f>IF(Modificaciones!AA563=0,"",VLOOKUP(E563,Modificaciones!$B$7:$AA$2400,26,0))</f>
        <v>3 meses</v>
      </c>
      <c r="T563" s="119">
        <f>IF(Modificaciones!AB563=0,"",VLOOKUP(E563,Modificaciones!$B$7:$AB$2400,27,0))</f>
        <v>43293</v>
      </c>
      <c r="U563" s="1080" t="str">
        <f>+Modificaciones!AC563</f>
        <v/>
      </c>
      <c r="V563" s="825" t="str">
        <f>+Modificaciones!AK563</f>
        <v/>
      </c>
      <c r="W563" s="825">
        <f t="shared" si="99"/>
        <v>43293</v>
      </c>
      <c r="X563" s="59">
        <f t="shared" si="97"/>
        <v>40000000</v>
      </c>
      <c r="Y563" s="151">
        <f>VLOOKUP(E563,Modificaciones!$B$7:$BE$2300,56,0)</f>
        <v>39991153</v>
      </c>
      <c r="Z563" s="84">
        <f t="shared" si="96"/>
        <v>8847</v>
      </c>
      <c r="AA563" s="283" t="s">
        <v>1863</v>
      </c>
      <c r="AB563" s="823">
        <f t="shared" si="98"/>
        <v>0.99977882500000004</v>
      </c>
      <c r="AC563" s="40">
        <f t="shared" ca="1" si="100"/>
        <v>1</v>
      </c>
      <c r="AD563" s="41">
        <f t="shared" ca="1" si="101"/>
        <v>2.2117499999996237E-4</v>
      </c>
      <c r="AE563" s="181" t="str">
        <f t="shared" ca="1" si="102"/>
        <v/>
      </c>
      <c r="AF563" s="42" t="str">
        <f t="shared" si="106"/>
        <v>SI</v>
      </c>
      <c r="AG563" s="1017" t="s">
        <v>4920</v>
      </c>
      <c r="AH563" s="152" t="s">
        <v>1256</v>
      </c>
      <c r="AI563" s="275" t="s">
        <v>1165</v>
      </c>
      <c r="AJ563" s="152" t="s">
        <v>1438</v>
      </c>
      <c r="AK563" s="255" t="s">
        <v>560</v>
      </c>
      <c r="AL563" s="279" t="s">
        <v>1508</v>
      </c>
      <c r="AM563" s="279" t="s">
        <v>3795</v>
      </c>
      <c r="AN563" s="161" t="str">
        <f t="shared" ca="1" si="103"/>
        <v>TERMINO</v>
      </c>
      <c r="AO563" s="284" t="s">
        <v>576</v>
      </c>
      <c r="AP563" s="406" t="s">
        <v>390</v>
      </c>
      <c r="AQ563" s="819" t="str">
        <f>IFERROR(VLOOKUP(E563,'liquidaciones '!$B$2:$C$1048576,2,0),"NO")</f>
        <v>LIQUIDADO</v>
      </c>
      <c r="AR563" s="909" t="str">
        <f>IFERROR(VLOOKUP(E563,'liquidaciones '!$B$2:$I$1048576,8,0),"")</f>
        <v>JUAN DIEGO ESPITIA</v>
      </c>
      <c r="AS563" s="406"/>
      <c r="AT563" s="156" t="str">
        <f t="shared" ca="1" si="104"/>
        <v>NO</v>
      </c>
      <c r="AU563" s="406" t="s">
        <v>3512</v>
      </c>
      <c r="AV563" s="406" t="s">
        <v>3778</v>
      </c>
      <c r="AW563" s="930" t="s">
        <v>560</v>
      </c>
      <c r="AX563" s="928"/>
      <c r="AY563" s="928"/>
    </row>
    <row r="564" spans="3:51" ht="81.599999999999994" x14ac:dyDescent="0.3">
      <c r="C564" s="837">
        <v>166</v>
      </c>
      <c r="D564" s="837"/>
      <c r="E564" s="120" t="s">
        <v>3601</v>
      </c>
      <c r="F564" s="414" t="s">
        <v>3602</v>
      </c>
      <c r="G564" s="863">
        <v>800109177</v>
      </c>
      <c r="H564" s="965" t="s">
        <v>3032</v>
      </c>
      <c r="I564" s="84">
        <v>975000</v>
      </c>
      <c r="J564" s="843" t="s">
        <v>4536</v>
      </c>
      <c r="K564" s="269">
        <v>2017</v>
      </c>
      <c r="L564" s="519">
        <v>43003</v>
      </c>
      <c r="M564" s="844">
        <v>43034</v>
      </c>
      <c r="N564" s="844">
        <v>43399</v>
      </c>
      <c r="O564" s="1099" t="str">
        <f>IF(+Modificaciones!I564=0,"",VLOOKUP(E564,Modificaciones!$B$7:$I$2400,8,0))</f>
        <v/>
      </c>
      <c r="P564" s="115">
        <f>COUNTA(Modificaciones!J564,Modificaciones!L564,Modificaciones!N564,Modificaciones!P564)</f>
        <v>0</v>
      </c>
      <c r="Q564" s="116">
        <f>VLOOKUP(E564,Modificaciones!$B$7:$R$2300,17,0)</f>
        <v>0</v>
      </c>
      <c r="R564" s="117">
        <f>COUNTA(Modificaciones!T564,Modificaciones!V564,Modificaciones!X564,Modificaciones!Z564)</f>
        <v>0</v>
      </c>
      <c r="S564" s="118" t="str">
        <f>IF(Modificaciones!AA564=0,"",VLOOKUP(E564,Modificaciones!$B$7:$AA$2400,26,0))</f>
        <v/>
      </c>
      <c r="T564" s="119" t="str">
        <f>IF(Modificaciones!AB564=0,"",VLOOKUP(E564,Modificaciones!$B$7:$AB$2400,27,0))</f>
        <v/>
      </c>
      <c r="U564" s="1080" t="str">
        <f>+Modificaciones!AC564</f>
        <v/>
      </c>
      <c r="V564" s="825" t="str">
        <f>+Modificaciones!AK564</f>
        <v/>
      </c>
      <c r="W564" s="825">
        <f t="shared" si="99"/>
        <v>43399</v>
      </c>
      <c r="X564" s="59">
        <f t="shared" si="97"/>
        <v>975000</v>
      </c>
      <c r="Y564" s="151">
        <f>VLOOKUP(E564,Modificaciones!$B$7:$BE$2300,56,0)</f>
        <v>975000</v>
      </c>
      <c r="Z564" s="84">
        <f t="shared" si="96"/>
        <v>0</v>
      </c>
      <c r="AA564" s="288" t="s">
        <v>1230</v>
      </c>
      <c r="AB564" s="823">
        <f t="shared" si="98"/>
        <v>1</v>
      </c>
      <c r="AC564" s="40">
        <f t="shared" ca="1" si="100"/>
        <v>1</v>
      </c>
      <c r="AD564" s="41">
        <f t="shared" ca="1" si="101"/>
        <v>0</v>
      </c>
      <c r="AE564" s="181" t="str">
        <f t="shared" ca="1" si="102"/>
        <v/>
      </c>
      <c r="AF564" s="42" t="str">
        <f t="shared" si="106"/>
        <v>SI</v>
      </c>
      <c r="AG564" s="838"/>
      <c r="AH564" s="152" t="s">
        <v>1256</v>
      </c>
      <c r="AI564" s="275" t="s">
        <v>1141</v>
      </c>
      <c r="AJ564" s="152" t="s">
        <v>1429</v>
      </c>
      <c r="AK564" s="255" t="s">
        <v>564</v>
      </c>
      <c r="AL564" s="153"/>
      <c r="AM564" s="279" t="s">
        <v>2830</v>
      </c>
      <c r="AN564" s="161" t="str">
        <f t="shared" ca="1" si="103"/>
        <v>TERMINO</v>
      </c>
      <c r="AO564" s="160" t="s">
        <v>576</v>
      </c>
      <c r="AP564" s="406" t="s">
        <v>390</v>
      </c>
      <c r="AQ564" s="819" t="str">
        <f>IFERROR(VLOOKUP(E564,'liquidaciones '!$B$2:$C$1048576,2,0),"NO")</f>
        <v>EN TRÁMITE</v>
      </c>
      <c r="AR564" s="909" t="str">
        <f>IFERROR(VLOOKUP(E564,'liquidaciones '!$B$2:$I$1048576,8,0),"")</f>
        <v>JUAN DIEGO ESPÍTIA</v>
      </c>
      <c r="AS564" s="406"/>
      <c r="AT564" s="156" t="str">
        <f t="shared" ca="1" si="104"/>
        <v>SI</v>
      </c>
      <c r="AU564" s="156" t="s">
        <v>4225</v>
      </c>
      <c r="AV564" s="406"/>
      <c r="AW564" s="930" t="s">
        <v>3938</v>
      </c>
      <c r="AX564" s="928"/>
      <c r="AY564" s="275" t="s">
        <v>4660</v>
      </c>
    </row>
    <row r="565" spans="3:51" ht="153" x14ac:dyDescent="0.3">
      <c r="C565" s="837">
        <v>179</v>
      </c>
      <c r="D565" s="837"/>
      <c r="E565" s="120" t="s">
        <v>3603</v>
      </c>
      <c r="F565" s="414" t="s">
        <v>3608</v>
      </c>
      <c r="G565" s="863">
        <v>900749719</v>
      </c>
      <c r="H565" s="969" t="s">
        <v>3604</v>
      </c>
      <c r="I565" s="84">
        <v>241357373</v>
      </c>
      <c r="J565" s="843" t="s">
        <v>3605</v>
      </c>
      <c r="K565" s="269">
        <v>2017</v>
      </c>
      <c r="L565" s="519">
        <v>42993</v>
      </c>
      <c r="M565" s="844">
        <v>43053</v>
      </c>
      <c r="N565" s="844">
        <v>43172</v>
      </c>
      <c r="O565" s="1099" t="str">
        <f>IF(+Modificaciones!I565=0,"",VLOOKUP(E565,Modificaciones!$B$7:$I$2400,8,0))</f>
        <v/>
      </c>
      <c r="P565" s="115">
        <f>COUNTA(Modificaciones!J565,Modificaciones!L565,Modificaciones!N565,Modificaciones!P565)</f>
        <v>1</v>
      </c>
      <c r="Q565" s="116">
        <f>VLOOKUP(E565,Modificaciones!$B$7:$R$2300,17,0)</f>
        <v>85040124</v>
      </c>
      <c r="R565" s="117">
        <f>COUNTA(Modificaciones!T565,Modificaciones!V565,Modificaciones!X565,Modificaciones!Z565)</f>
        <v>2</v>
      </c>
      <c r="S565" s="118" t="str">
        <f>IF(Modificaciones!AA565=0,"",VLOOKUP(E565,Modificaciones!$B$7:$AA$2400,26,0))</f>
        <v>2 meses y 15 días calendario</v>
      </c>
      <c r="T565" s="119">
        <f>IF(Modificaciones!AB565=0,"",VLOOKUP(E565,Modificaciones!$B$7:$AB$2400,27,0))</f>
        <v>43248</v>
      </c>
      <c r="U565" s="1080" t="str">
        <f>+Modificaciones!AC565</f>
        <v/>
      </c>
      <c r="V565" s="825" t="str">
        <f>+Modificaciones!AK565</f>
        <v/>
      </c>
      <c r="W565" s="825">
        <f t="shared" si="99"/>
        <v>43248</v>
      </c>
      <c r="X565" s="59">
        <f t="shared" si="97"/>
        <v>326397497</v>
      </c>
      <c r="Y565" s="151">
        <f>VLOOKUP(E565,Modificaciones!$B$7:$BE$2300,56,0)</f>
        <v>253990286</v>
      </c>
      <c r="Z565" s="84">
        <f t="shared" si="96"/>
        <v>72407211</v>
      </c>
      <c r="AA565" s="288" t="s">
        <v>3606</v>
      </c>
      <c r="AB565" s="823">
        <f t="shared" si="98"/>
        <v>0.77816248082319084</v>
      </c>
      <c r="AC565" s="40">
        <f t="shared" ca="1" si="100"/>
        <v>1</v>
      </c>
      <c r="AD565" s="41">
        <f t="shared" ca="1" si="101"/>
        <v>0.22183751917680916</v>
      </c>
      <c r="AE565" s="181" t="str">
        <f t="shared" ca="1" si="102"/>
        <v/>
      </c>
      <c r="AF565" s="42" t="str">
        <f t="shared" si="106"/>
        <v>NO</v>
      </c>
      <c r="AG565" s="732" t="s">
        <v>1716</v>
      </c>
      <c r="AH565" s="152" t="s">
        <v>1255</v>
      </c>
      <c r="AI565" s="255" t="s">
        <v>3607</v>
      </c>
      <c r="AJ565" s="152"/>
      <c r="AL565" s="279" t="s">
        <v>3597</v>
      </c>
      <c r="AM565" s="279" t="s">
        <v>2830</v>
      </c>
      <c r="AN565" s="161" t="str">
        <f t="shared" ca="1" si="103"/>
        <v>TERMINO</v>
      </c>
      <c r="AO565" s="284" t="s">
        <v>574</v>
      </c>
      <c r="AP565" s="406" t="s">
        <v>390</v>
      </c>
      <c r="AQ565" s="819" t="str">
        <f>IFERROR(VLOOKUP(E565,'liquidaciones '!$B$2:$C$1048576,2,0),"NO")</f>
        <v>LIQUIDADO</v>
      </c>
      <c r="AR565" s="909" t="str">
        <f>IFERROR(VLOOKUP(E565,'liquidaciones '!$B$2:$I$1048576,8,0),"")</f>
        <v>JUAN DIEGO ESPITIA</v>
      </c>
      <c r="AS565" s="406"/>
      <c r="AT565" s="156" t="str">
        <f t="shared" ca="1" si="104"/>
        <v>NO</v>
      </c>
      <c r="AU565" s="156" t="s">
        <v>3564</v>
      </c>
      <c r="AV565" s="406"/>
      <c r="AW565" s="930" t="s">
        <v>3938</v>
      </c>
      <c r="AX565" s="928"/>
      <c r="AY565" s="928"/>
    </row>
    <row r="566" spans="3:51" ht="61.2" x14ac:dyDescent="0.3">
      <c r="C566" s="837"/>
      <c r="D566" s="837"/>
      <c r="E566" s="120" t="s">
        <v>3611</v>
      </c>
      <c r="F566" s="414" t="s">
        <v>3612</v>
      </c>
      <c r="G566" s="863">
        <v>52390138</v>
      </c>
      <c r="H566" s="969" t="s">
        <v>3613</v>
      </c>
      <c r="I566" s="84">
        <v>12000000</v>
      </c>
      <c r="J566" s="843" t="s">
        <v>3611</v>
      </c>
      <c r="K566" s="269">
        <v>2017</v>
      </c>
      <c r="L566" s="519">
        <v>43010</v>
      </c>
      <c r="M566" s="844">
        <v>43014</v>
      </c>
      <c r="N566" s="844">
        <v>43106</v>
      </c>
      <c r="O566" s="1099" t="str">
        <f>IF(+Modificaciones!I566=0,"",VLOOKUP(E566,Modificaciones!$B$7:$I$2400,8,0))</f>
        <v/>
      </c>
      <c r="P566" s="115">
        <f>COUNTA(Modificaciones!J566,Modificaciones!L566,Modificaciones!N566,Modificaciones!P566)</f>
        <v>0</v>
      </c>
      <c r="Q566" s="116">
        <f>VLOOKUP(E566,Modificaciones!$B$7:$R$2300,17,0)</f>
        <v>0</v>
      </c>
      <c r="R566" s="117">
        <f>COUNTA(Modificaciones!T566,Modificaciones!V566,Modificaciones!X566,Modificaciones!Z566)</f>
        <v>0</v>
      </c>
      <c r="S566" s="118" t="str">
        <f>IF(Modificaciones!AA566=0,"",VLOOKUP(E566,Modificaciones!$B$7:$AA$2400,26,0))</f>
        <v/>
      </c>
      <c r="T566" s="119" t="str">
        <f>IF(Modificaciones!AB566=0,"",VLOOKUP(E566,Modificaciones!$B$7:$AB$2400,27,0))</f>
        <v/>
      </c>
      <c r="U566" s="1080" t="str">
        <f>+Modificaciones!AC566</f>
        <v/>
      </c>
      <c r="V566" s="825" t="str">
        <f>+Modificaciones!AK566</f>
        <v/>
      </c>
      <c r="W566" s="825">
        <f t="shared" si="99"/>
        <v>43106</v>
      </c>
      <c r="X566" s="59">
        <f t="shared" si="97"/>
        <v>12000000</v>
      </c>
      <c r="Y566" s="151">
        <f>VLOOKUP(E566,Modificaciones!$B$7:$BE$2300,56,0)</f>
        <v>12000000</v>
      </c>
      <c r="Z566" s="84">
        <f t="shared" si="96"/>
        <v>0</v>
      </c>
      <c r="AA566" s="283" t="s">
        <v>1094</v>
      </c>
      <c r="AB566" s="823">
        <f t="shared" si="98"/>
        <v>1</v>
      </c>
      <c r="AC566" s="40">
        <f t="shared" ca="1" si="100"/>
        <v>1</v>
      </c>
      <c r="AD566" s="41">
        <f t="shared" ca="1" si="101"/>
        <v>0</v>
      </c>
      <c r="AE566" s="181" t="str">
        <f t="shared" ca="1" si="102"/>
        <v/>
      </c>
      <c r="AF566" s="42" t="str">
        <f t="shared" si="106"/>
        <v>SI</v>
      </c>
      <c r="AG566" s="732" t="s">
        <v>5773</v>
      </c>
      <c r="AH566" s="152" t="s">
        <v>1255</v>
      </c>
      <c r="AI566" s="152" t="s">
        <v>2494</v>
      </c>
      <c r="AJ566" s="152" t="s">
        <v>1429</v>
      </c>
      <c r="AK566" s="255" t="s">
        <v>564</v>
      </c>
      <c r="AL566" s="838"/>
      <c r="AM566" s="279" t="s">
        <v>3798</v>
      </c>
      <c r="AN566" s="161" t="str">
        <f t="shared" ca="1" si="103"/>
        <v>TERMINO</v>
      </c>
      <c r="AO566" s="284" t="s">
        <v>582</v>
      </c>
      <c r="AP566" s="406" t="s">
        <v>391</v>
      </c>
      <c r="AQ566" s="819" t="str">
        <f>IFERROR(VLOOKUP(E566,'liquidaciones '!$B$2:$C$1048576,2,0),"NO")</f>
        <v>LIQUIDADO</v>
      </c>
      <c r="AR566" s="909">
        <f>IFERROR(VLOOKUP(E566,'liquidaciones '!$B$2:$I$1048576,8,0),"")</f>
        <v>0</v>
      </c>
      <c r="AS566" s="406"/>
      <c r="AT566" s="156" t="str">
        <f t="shared" ca="1" si="104"/>
        <v>NO</v>
      </c>
      <c r="AU566" s="156" t="s">
        <v>2973</v>
      </c>
      <c r="AV566" s="406"/>
      <c r="AW566" s="930" t="s">
        <v>3920</v>
      </c>
      <c r="AX566" s="928"/>
      <c r="AY566" s="928"/>
    </row>
    <row r="567" spans="3:51" ht="224.4" x14ac:dyDescent="0.3">
      <c r="C567" s="837"/>
      <c r="D567" s="837"/>
      <c r="E567" s="120" t="s">
        <v>3615</v>
      </c>
      <c r="F567" s="414" t="s">
        <v>3616</v>
      </c>
      <c r="G567" s="863" t="s">
        <v>3617</v>
      </c>
      <c r="H567" s="969" t="s">
        <v>3618</v>
      </c>
      <c r="I567" s="84">
        <v>103000000</v>
      </c>
      <c r="J567" s="843" t="s">
        <v>3615</v>
      </c>
      <c r="K567" s="269">
        <v>2017</v>
      </c>
      <c r="L567" s="519">
        <v>43007</v>
      </c>
      <c r="M567" s="844">
        <v>43018</v>
      </c>
      <c r="N567" s="844">
        <v>43383</v>
      </c>
      <c r="O567" s="1099" t="str">
        <f>IF(+Modificaciones!I567=0,"",VLOOKUP(E567,Modificaciones!$B$7:$I$2400,8,0))</f>
        <v/>
      </c>
      <c r="P567" s="115">
        <f>COUNTA(Modificaciones!J567,Modificaciones!L567,Modificaciones!N567,Modificaciones!P567)</f>
        <v>0</v>
      </c>
      <c r="Q567" s="116">
        <f>VLOOKUP(E567,Modificaciones!$B$7:$R$2300,17,0)</f>
        <v>0</v>
      </c>
      <c r="R567" s="117">
        <f>COUNTA(Modificaciones!T567,Modificaciones!V567,Modificaciones!X567,Modificaciones!Z567)</f>
        <v>0</v>
      </c>
      <c r="S567" s="118" t="str">
        <f>IF(Modificaciones!AA567=0,"",VLOOKUP(E567,Modificaciones!$B$7:$AA$2400,26,0))</f>
        <v/>
      </c>
      <c r="T567" s="119" t="str">
        <f>IF(Modificaciones!AB567=0,"",VLOOKUP(E567,Modificaciones!$B$7:$AB$2400,27,0))</f>
        <v/>
      </c>
      <c r="U567" s="1080" t="str">
        <f>+Modificaciones!AC567</f>
        <v/>
      </c>
      <c r="V567" s="825" t="str">
        <f>+Modificaciones!AK567</f>
        <v/>
      </c>
      <c r="W567" s="825">
        <f t="shared" si="99"/>
        <v>43383</v>
      </c>
      <c r="X567" s="59">
        <f t="shared" si="97"/>
        <v>103000000</v>
      </c>
      <c r="Y567" s="151">
        <f>VLOOKUP(E567,Modificaciones!$B$7:$BE$2300,56,0)</f>
        <v>98313777</v>
      </c>
      <c r="Z567" s="84">
        <f t="shared" si="96"/>
        <v>4686223</v>
      </c>
      <c r="AA567" s="288" t="s">
        <v>3619</v>
      </c>
      <c r="AB567" s="823">
        <f t="shared" si="98"/>
        <v>0.9545026893203884</v>
      </c>
      <c r="AC567" s="40">
        <f t="shared" ca="1" si="100"/>
        <v>1</v>
      </c>
      <c r="AD567" s="41">
        <f t="shared" ca="1" si="101"/>
        <v>4.5497310679611602E-2</v>
      </c>
      <c r="AE567" s="181" t="str">
        <f t="shared" ca="1" si="102"/>
        <v/>
      </c>
      <c r="AF567" s="42" t="str">
        <f t="shared" si="106"/>
        <v>NO</v>
      </c>
      <c r="AG567" s="1017" t="s">
        <v>4920</v>
      </c>
      <c r="AH567" s="841" t="s">
        <v>1256</v>
      </c>
      <c r="AI567" s="841" t="s">
        <v>2966</v>
      </c>
      <c r="AJ567" s="152" t="s">
        <v>1438</v>
      </c>
      <c r="AK567" s="255" t="s">
        <v>560</v>
      </c>
      <c r="AL567" s="838"/>
      <c r="AM567" s="279" t="s">
        <v>3795</v>
      </c>
      <c r="AN567" s="161" t="str">
        <f t="shared" ca="1" si="103"/>
        <v>TERMINO</v>
      </c>
      <c r="AO567" s="414"/>
      <c r="AP567" s="406" t="s">
        <v>390</v>
      </c>
      <c r="AQ567" s="819" t="str">
        <f>IFERROR(VLOOKUP(E567,'liquidaciones '!$B$2:$C$1048576,2,0),"NO")</f>
        <v>LIQUIDADO</v>
      </c>
      <c r="AR567" s="909" t="str">
        <f>IFERROR(VLOOKUP(E567,'liquidaciones '!$B$2:$I$1048576,8,0),"")</f>
        <v>JUAN DIEGO ESPITIA</v>
      </c>
      <c r="AS567" s="406"/>
      <c r="AT567" s="156" t="str">
        <f t="shared" ca="1" si="104"/>
        <v>SI</v>
      </c>
      <c r="AU567" s="156" t="s">
        <v>4209</v>
      </c>
      <c r="AV567" s="406" t="s">
        <v>3778</v>
      </c>
      <c r="AW567" s="930" t="s">
        <v>560</v>
      </c>
      <c r="AX567" s="928"/>
      <c r="AY567" s="928"/>
    </row>
    <row r="568" spans="3:51" ht="30.6" x14ac:dyDescent="0.3">
      <c r="C568" s="837">
        <v>172</v>
      </c>
      <c r="D568" s="837"/>
      <c r="E568" s="120" t="s">
        <v>3620</v>
      </c>
      <c r="F568" s="414" t="s">
        <v>2145</v>
      </c>
      <c r="G568" s="863">
        <v>860536029</v>
      </c>
      <c r="H568" s="965" t="s">
        <v>2661</v>
      </c>
      <c r="I568" s="84">
        <v>960000</v>
      </c>
      <c r="J568" s="843" t="s">
        <v>3620</v>
      </c>
      <c r="K568" s="269">
        <v>2017</v>
      </c>
      <c r="L568" s="519">
        <v>42986</v>
      </c>
      <c r="M568" s="844">
        <v>43013</v>
      </c>
      <c r="N568" s="844">
        <v>43378</v>
      </c>
      <c r="O568" s="1099" t="str">
        <f>IF(+Modificaciones!I568=0,"",VLOOKUP(E568,Modificaciones!$B$7:$I$2400,8,0))</f>
        <v/>
      </c>
      <c r="P568" s="115">
        <f>COUNTA(Modificaciones!J568,Modificaciones!L568,Modificaciones!N568,Modificaciones!P568)</f>
        <v>0</v>
      </c>
      <c r="Q568" s="116">
        <f>VLOOKUP(E568,Modificaciones!$B$7:$R$2300,17,0)</f>
        <v>0</v>
      </c>
      <c r="R568" s="117">
        <f>COUNTA(Modificaciones!T568,Modificaciones!V568,Modificaciones!X568,Modificaciones!Z568)</f>
        <v>0</v>
      </c>
      <c r="S568" s="118" t="str">
        <f>IF(Modificaciones!AA568=0,"",VLOOKUP(E568,Modificaciones!$B$7:$AA$2400,26,0))</f>
        <v/>
      </c>
      <c r="T568" s="119" t="str">
        <f>IF(Modificaciones!AB568=0,"",VLOOKUP(E568,Modificaciones!$B$7:$AB$2400,27,0))</f>
        <v/>
      </c>
      <c r="U568" s="1080" t="str">
        <f>+Modificaciones!AC568</f>
        <v/>
      </c>
      <c r="V568" s="825" t="str">
        <f>+Modificaciones!AK568</f>
        <v/>
      </c>
      <c r="W568" s="825">
        <f t="shared" si="99"/>
        <v>43378</v>
      </c>
      <c r="X568" s="59">
        <f t="shared" si="97"/>
        <v>960000</v>
      </c>
      <c r="Y568" s="151">
        <f>VLOOKUP(E568,Modificaciones!$B$7:$BE$2300,56,0)</f>
        <v>960000</v>
      </c>
      <c r="Z568" s="84">
        <f t="shared" si="96"/>
        <v>0</v>
      </c>
      <c r="AA568" s="283" t="s">
        <v>1894</v>
      </c>
      <c r="AB568" s="823">
        <f t="shared" si="98"/>
        <v>1</v>
      </c>
      <c r="AC568" s="40">
        <f t="shared" ca="1" si="100"/>
        <v>1</v>
      </c>
      <c r="AD568" s="41">
        <f t="shared" ca="1" si="101"/>
        <v>0</v>
      </c>
      <c r="AE568" s="181" t="str">
        <f t="shared" ca="1" si="102"/>
        <v/>
      </c>
      <c r="AF568" s="42" t="str">
        <f t="shared" si="106"/>
        <v>SI</v>
      </c>
      <c r="AG568" s="1017" t="s">
        <v>4920</v>
      </c>
      <c r="AH568" s="152" t="s">
        <v>1255</v>
      </c>
      <c r="AI568" s="255" t="s">
        <v>1124</v>
      </c>
      <c r="AJ568" s="152" t="s">
        <v>1429</v>
      </c>
      <c r="AK568" s="255" t="s">
        <v>564</v>
      </c>
      <c r="AL568" s="279"/>
      <c r="AM568" s="279" t="s">
        <v>3798</v>
      </c>
      <c r="AN568" s="161" t="str">
        <f t="shared" ca="1" si="103"/>
        <v>TERMINO</v>
      </c>
      <c r="AO568" s="284" t="s">
        <v>582</v>
      </c>
      <c r="AP568" s="406" t="s">
        <v>390</v>
      </c>
      <c r="AQ568" s="819" t="str">
        <f>IFERROR(VLOOKUP(E568,'liquidaciones '!$B$2:$C$1048576,2,0),"NO")</f>
        <v>LIQUIDADO</v>
      </c>
      <c r="AR568" s="909" t="str">
        <f>IFERROR(VLOOKUP(E568,'liquidaciones '!$B$2:$I$1048576,8,0),"")</f>
        <v>JUAN DIEGO ESPITIA</v>
      </c>
      <c r="AS568" s="406"/>
      <c r="AT568" s="156" t="str">
        <f t="shared" ca="1" si="104"/>
        <v>SI</v>
      </c>
      <c r="AU568" s="156" t="s">
        <v>1509</v>
      </c>
      <c r="AV568" s="406"/>
      <c r="AW568" s="930" t="s">
        <v>3920</v>
      </c>
      <c r="AX568" s="928"/>
      <c r="AY568" s="928"/>
    </row>
    <row r="569" spans="3:51" ht="28.8" x14ac:dyDescent="0.3">
      <c r="C569" s="837">
        <v>208</v>
      </c>
      <c r="D569" s="837"/>
      <c r="E569" s="120" t="s">
        <v>3641</v>
      </c>
      <c r="F569" s="414" t="s">
        <v>3642</v>
      </c>
      <c r="G569" s="863">
        <v>900619795</v>
      </c>
      <c r="H569" s="969" t="s">
        <v>3643</v>
      </c>
      <c r="I569" s="84">
        <v>23058000</v>
      </c>
      <c r="J569" s="843" t="s">
        <v>3648</v>
      </c>
      <c r="K569" s="269">
        <v>2017</v>
      </c>
      <c r="L569" s="519">
        <v>43013</v>
      </c>
      <c r="M569" s="844">
        <v>43033</v>
      </c>
      <c r="N569" s="844">
        <v>43156</v>
      </c>
      <c r="O569" s="1099" t="str">
        <f>IF(+Modificaciones!I569=0,"",VLOOKUP(E569,Modificaciones!$B$7:$I$2400,8,0))</f>
        <v/>
      </c>
      <c r="P569" s="115">
        <f>COUNTA(Modificaciones!J569,Modificaciones!L569,Modificaciones!N569,Modificaciones!P569)</f>
        <v>0</v>
      </c>
      <c r="Q569" s="116">
        <f>VLOOKUP(E569,Modificaciones!$B$7:$R$2300,17,0)</f>
        <v>0</v>
      </c>
      <c r="R569" s="117">
        <f>COUNTA(Modificaciones!T569,Modificaciones!V569,Modificaciones!X569,Modificaciones!Z569)</f>
        <v>0</v>
      </c>
      <c r="S569" s="118" t="str">
        <f>IF(Modificaciones!AA569=0,"",VLOOKUP(E569,Modificaciones!$B$7:$AA$2400,26,0))</f>
        <v/>
      </c>
      <c r="T569" s="119" t="str">
        <f>IF(Modificaciones!AB569=0,"",VLOOKUP(E569,Modificaciones!$B$7:$AB$2400,27,0))</f>
        <v/>
      </c>
      <c r="U569" s="1080" t="str">
        <f>+Modificaciones!AC569</f>
        <v/>
      </c>
      <c r="V569" s="825" t="str">
        <f>+Modificaciones!AK569</f>
        <v/>
      </c>
      <c r="W569" s="825">
        <f t="shared" si="99"/>
        <v>43156</v>
      </c>
      <c r="X569" s="59">
        <f t="shared" si="97"/>
        <v>23058000</v>
      </c>
      <c r="Y569" s="151">
        <f>VLOOKUP(E569,Modificaciones!$B$7:$BE$2300,56,0)</f>
        <v>21231623</v>
      </c>
      <c r="Z569" s="84">
        <f t="shared" si="96"/>
        <v>1826377</v>
      </c>
      <c r="AA569" s="283" t="s">
        <v>2195</v>
      </c>
      <c r="AB569" s="823">
        <f t="shared" si="98"/>
        <v>0.92079204614450516</v>
      </c>
      <c r="AC569" s="40">
        <f t="shared" ca="1" si="100"/>
        <v>1</v>
      </c>
      <c r="AD569" s="41">
        <f t="shared" ca="1" si="101"/>
        <v>7.9207953855494839E-2</v>
      </c>
      <c r="AE569" s="181" t="str">
        <f t="shared" ca="1" si="102"/>
        <v/>
      </c>
      <c r="AF569" s="42" t="str">
        <f t="shared" si="106"/>
        <v>NO</v>
      </c>
      <c r="AG569" s="732" t="s">
        <v>1711</v>
      </c>
      <c r="AH569" s="152" t="s">
        <v>1255</v>
      </c>
      <c r="AI569" s="255" t="s">
        <v>1303</v>
      </c>
      <c r="AJ569" s="152" t="s">
        <v>1434</v>
      </c>
      <c r="AK569" s="255" t="s">
        <v>560</v>
      </c>
      <c r="AL569" s="279" t="s">
        <v>1387</v>
      </c>
      <c r="AM569" s="279" t="s">
        <v>3795</v>
      </c>
      <c r="AN569" s="161" t="str">
        <f t="shared" ca="1" si="103"/>
        <v>TERMINO</v>
      </c>
      <c r="AO569" s="284" t="s">
        <v>576</v>
      </c>
      <c r="AP569" s="406" t="s">
        <v>390</v>
      </c>
      <c r="AQ569" s="819" t="str">
        <f>IFERROR(VLOOKUP(E569,'liquidaciones '!$B$2:$C$1048576,2,0),"NO")</f>
        <v>LIQUIDADO</v>
      </c>
      <c r="AR569" s="909" t="str">
        <f>IFERROR(VLOOKUP(E569,'liquidaciones '!$B$2:$I$1048576,8,0),"")</f>
        <v>JUAN DIEGO ESPITIA</v>
      </c>
      <c r="AS569" s="406"/>
      <c r="AT569" s="156" t="str">
        <f t="shared" ca="1" si="104"/>
        <v>NO</v>
      </c>
      <c r="AU569" s="156" t="s">
        <v>1509</v>
      </c>
      <c r="AV569" s="406" t="s">
        <v>3783</v>
      </c>
      <c r="AW569" s="930" t="s">
        <v>560</v>
      </c>
      <c r="AX569" s="928"/>
      <c r="AY569" s="928"/>
    </row>
    <row r="570" spans="3:51" ht="30.6" x14ac:dyDescent="0.3">
      <c r="C570" s="837"/>
      <c r="D570" s="837"/>
      <c r="E570" s="120" t="s">
        <v>3645</v>
      </c>
      <c r="F570" s="414" t="s">
        <v>3644</v>
      </c>
      <c r="G570" s="863" t="s">
        <v>3646</v>
      </c>
      <c r="H570" s="969" t="s">
        <v>3647</v>
      </c>
      <c r="I570" s="84">
        <v>5087000</v>
      </c>
      <c r="J570" s="843" t="s">
        <v>3649</v>
      </c>
      <c r="K570" s="269">
        <v>2017</v>
      </c>
      <c r="L570" s="519">
        <v>43013</v>
      </c>
      <c r="M570" s="844">
        <v>43028</v>
      </c>
      <c r="N570" s="844">
        <v>43393</v>
      </c>
      <c r="O570" s="1099" t="str">
        <f>IF(+Modificaciones!I570=0,"",VLOOKUP(E570,Modificaciones!$B$7:$I$2400,8,0))</f>
        <v/>
      </c>
      <c r="P570" s="115">
        <f>COUNTA(Modificaciones!J570,Modificaciones!L570,Modificaciones!N570,Modificaciones!P570)</f>
        <v>0</v>
      </c>
      <c r="Q570" s="116">
        <f>VLOOKUP(E570,Modificaciones!$B$7:$R$2300,17,0)</f>
        <v>0</v>
      </c>
      <c r="R570" s="117">
        <f>COUNTA(Modificaciones!T570,Modificaciones!V570,Modificaciones!X570,Modificaciones!Z570)</f>
        <v>0</v>
      </c>
      <c r="S570" s="118" t="str">
        <f>IF(Modificaciones!AA570=0,"",VLOOKUP(E570,Modificaciones!$B$7:$AA$2400,26,0))</f>
        <v/>
      </c>
      <c r="T570" s="119" t="str">
        <f>IF(Modificaciones!AB570=0,"",VLOOKUP(E570,Modificaciones!$B$7:$AB$2400,27,0))</f>
        <v/>
      </c>
      <c r="U570" s="1080" t="str">
        <f>+Modificaciones!AC570</f>
        <v/>
      </c>
      <c r="V570" s="825" t="str">
        <f>+Modificaciones!AK570</f>
        <v/>
      </c>
      <c r="W570" s="825">
        <f t="shared" si="99"/>
        <v>43393</v>
      </c>
      <c r="X570" s="59">
        <f t="shared" si="97"/>
        <v>5087000</v>
      </c>
      <c r="Y570" s="151">
        <f>VLOOKUP(E570,Modificaciones!$B$7:$BE$2300,56,0)</f>
        <v>5083999</v>
      </c>
      <c r="Z570" s="84">
        <f t="shared" ref="Z570:Z600" si="107">X570-Y570</f>
        <v>3001</v>
      </c>
      <c r="AA570" s="283" t="s">
        <v>1631</v>
      </c>
      <c r="AB570" s="823">
        <f t="shared" si="98"/>
        <v>0.9994100648712404</v>
      </c>
      <c r="AC570" s="40">
        <f t="shared" ca="1" si="100"/>
        <v>1</v>
      </c>
      <c r="AD570" s="41">
        <f t="shared" ca="1" si="101"/>
        <v>5.8993512875959997E-4</v>
      </c>
      <c r="AE570" s="181" t="str">
        <f t="shared" ca="1" si="102"/>
        <v/>
      </c>
      <c r="AF570" s="42" t="str">
        <f t="shared" si="106"/>
        <v>SI</v>
      </c>
      <c r="AG570" s="1017" t="s">
        <v>4920</v>
      </c>
      <c r="AH570" s="152" t="s">
        <v>1255</v>
      </c>
      <c r="AI570" s="255" t="s">
        <v>1510</v>
      </c>
      <c r="AJ570" s="152" t="s">
        <v>1441</v>
      </c>
      <c r="AK570" s="255" t="s">
        <v>560</v>
      </c>
      <c r="AL570" s="279" t="s">
        <v>3597</v>
      </c>
      <c r="AM570" s="279" t="s">
        <v>3795</v>
      </c>
      <c r="AN570" s="161" t="str">
        <f t="shared" ca="1" si="103"/>
        <v>TERMINO</v>
      </c>
      <c r="AO570" s="284" t="s">
        <v>576</v>
      </c>
      <c r="AP570" s="155" t="s">
        <v>390</v>
      </c>
      <c r="AQ570" s="819" t="str">
        <f>IFERROR(VLOOKUP(E570,'liquidaciones '!$B$2:$C$1048576,2,0),"NO")</f>
        <v>LIQUIDADO</v>
      </c>
      <c r="AR570" s="909" t="str">
        <f>IFERROR(VLOOKUP(E570,'liquidaciones '!$B$2:$I$1048576,8,0),"")</f>
        <v>JUAN DIEGO ESPITIA</v>
      </c>
      <c r="AS570" s="406"/>
      <c r="AT570" s="156" t="str">
        <f t="shared" ca="1" si="104"/>
        <v>SI</v>
      </c>
      <c r="AU570" s="156" t="s">
        <v>3050</v>
      </c>
      <c r="AV570" s="406" t="s">
        <v>3774</v>
      </c>
      <c r="AW570" s="930" t="s">
        <v>560</v>
      </c>
      <c r="AX570" s="928"/>
      <c r="AY570" s="275" t="s">
        <v>4915</v>
      </c>
    </row>
    <row r="571" spans="3:51" ht="112.2" x14ac:dyDescent="0.3">
      <c r="C571" s="837"/>
      <c r="D571" s="837"/>
      <c r="E571" s="120" t="s">
        <v>3663</v>
      </c>
      <c r="F571" s="414" t="s">
        <v>3654</v>
      </c>
      <c r="G571" s="863">
        <v>79789613</v>
      </c>
      <c r="H571" s="969" t="s">
        <v>3655</v>
      </c>
      <c r="I571" s="84">
        <v>9000000</v>
      </c>
      <c r="J571" s="843" t="s">
        <v>3656</v>
      </c>
      <c r="K571" s="269">
        <v>2017</v>
      </c>
      <c r="L571" s="519">
        <v>43025</v>
      </c>
      <c r="M571" s="844">
        <v>43034</v>
      </c>
      <c r="N571" s="844">
        <v>43185</v>
      </c>
      <c r="O571" s="1099" t="str">
        <f>IF(+Modificaciones!I571=0,"",VLOOKUP(E571,Modificaciones!$B$7:$I$2400,8,0))</f>
        <v/>
      </c>
      <c r="P571" s="115">
        <f>COUNTA(Modificaciones!J571,Modificaciones!L571,Modificaciones!N571,Modificaciones!P571)</f>
        <v>1</v>
      </c>
      <c r="Q571" s="116">
        <f>VLOOKUP(E571,Modificaciones!$B$7:$R$2300,17,0)</f>
        <v>4133333</v>
      </c>
      <c r="R571" s="117">
        <f>COUNTA(Modificaciones!T571,Modificaciones!V571,Modificaciones!X571,Modificaciones!Z571)</f>
        <v>2</v>
      </c>
      <c r="S571" s="118" t="str">
        <f>IF(Modificaciones!AA571=0,"",VLOOKUP(E571,Modificaciones!$B$7:$AA$2400,26,0))</f>
        <v>3 meses y 2 días calendario</v>
      </c>
      <c r="T571" s="119">
        <f>IF(Modificaciones!AB571=0,"",VLOOKUP(E571,Modificaciones!$B$7:$AB$2400,27,0))</f>
        <v>43278</v>
      </c>
      <c r="U571" s="1080" t="str">
        <f>+Modificaciones!AC571</f>
        <v/>
      </c>
      <c r="V571" s="825" t="str">
        <f>+Modificaciones!AK571</f>
        <v/>
      </c>
      <c r="W571" s="825">
        <f t="shared" si="99"/>
        <v>43278</v>
      </c>
      <c r="X571" s="59">
        <f t="shared" si="97"/>
        <v>13133333</v>
      </c>
      <c r="Y571" s="151">
        <f>VLOOKUP(E571,Modificaciones!$B$7:$BE$2300,56,0)</f>
        <v>13133333</v>
      </c>
      <c r="Z571" s="84">
        <f t="shared" si="107"/>
        <v>0</v>
      </c>
      <c r="AA571" s="288" t="s">
        <v>3657</v>
      </c>
      <c r="AB571" s="823">
        <f t="shared" si="98"/>
        <v>1</v>
      </c>
      <c r="AC571" s="40">
        <f t="shared" ca="1" si="100"/>
        <v>1</v>
      </c>
      <c r="AD571" s="41">
        <f t="shared" ca="1" si="101"/>
        <v>0</v>
      </c>
      <c r="AE571" s="181" t="str">
        <f t="shared" ca="1" si="102"/>
        <v/>
      </c>
      <c r="AF571" s="42" t="str">
        <f t="shared" si="106"/>
        <v>SI</v>
      </c>
      <c r="AG571" s="732" t="s">
        <v>1716</v>
      </c>
      <c r="AH571" s="152" t="s">
        <v>1255</v>
      </c>
      <c r="AI571" s="255" t="s">
        <v>2553</v>
      </c>
      <c r="AJ571" s="152"/>
      <c r="AL571" s="279" t="s">
        <v>3597</v>
      </c>
      <c r="AM571" s="279" t="s">
        <v>2830</v>
      </c>
      <c r="AN571" s="161" t="str">
        <f t="shared" ca="1" si="103"/>
        <v>TERMINO</v>
      </c>
      <c r="AO571" s="284" t="s">
        <v>574</v>
      </c>
      <c r="AP571" s="406" t="s">
        <v>390</v>
      </c>
      <c r="AQ571" s="819" t="str">
        <f>IFERROR(VLOOKUP(E571,'liquidaciones '!$B$2:$C$1048576,2,0),"NO")</f>
        <v>LIQUIDADO</v>
      </c>
      <c r="AR571" s="909" t="str">
        <f>IFERROR(VLOOKUP(E571,'liquidaciones '!$B$2:$I$1048576,8,0),"")</f>
        <v>MARTHA SANCHEZ</v>
      </c>
      <c r="AS571" s="406"/>
      <c r="AT571" s="156" t="str">
        <f t="shared" ca="1" si="104"/>
        <v>NO</v>
      </c>
      <c r="AU571" s="156" t="s">
        <v>3564</v>
      </c>
      <c r="AV571" s="406"/>
      <c r="AW571" s="930" t="s">
        <v>3938</v>
      </c>
      <c r="AX571" s="928"/>
      <c r="AY571" s="928"/>
    </row>
    <row r="572" spans="3:51" ht="40.799999999999997" x14ac:dyDescent="0.3">
      <c r="C572" s="837">
        <v>209</v>
      </c>
      <c r="D572" s="837"/>
      <c r="E572" s="120" t="s">
        <v>3651</v>
      </c>
      <c r="F572" s="414" t="s">
        <v>2582</v>
      </c>
      <c r="G572" s="863">
        <v>80807003</v>
      </c>
      <c r="H572" s="969" t="s">
        <v>3652</v>
      </c>
      <c r="I572" s="84">
        <v>4606000</v>
      </c>
      <c r="J572" s="843" t="s">
        <v>3653</v>
      </c>
      <c r="K572" s="269">
        <v>2017</v>
      </c>
      <c r="L572" s="519">
        <v>43026</v>
      </c>
      <c r="M572" s="844">
        <v>43041</v>
      </c>
      <c r="N572" s="844">
        <v>43133</v>
      </c>
      <c r="O572" s="1099" t="str">
        <f>IF(+Modificaciones!I572=0,"",VLOOKUP(E572,Modificaciones!$B$7:$I$2400,8,0))</f>
        <v/>
      </c>
      <c r="P572" s="115">
        <f>COUNTA(Modificaciones!J572,Modificaciones!L572,Modificaciones!N572,Modificaciones!P572)</f>
        <v>0</v>
      </c>
      <c r="Q572" s="116">
        <f>VLOOKUP(E572,Modificaciones!$B$7:$R$2300,17,0)</f>
        <v>0</v>
      </c>
      <c r="R572" s="117">
        <f>COUNTA(Modificaciones!T572,Modificaciones!V572,Modificaciones!X572,Modificaciones!Z572)</f>
        <v>0</v>
      </c>
      <c r="S572" s="118" t="str">
        <f>IF(Modificaciones!AA572=0,"",VLOOKUP(E572,Modificaciones!$B$7:$AA$2400,26,0))</f>
        <v/>
      </c>
      <c r="T572" s="119" t="str">
        <f>IF(Modificaciones!AB572=0,"",VLOOKUP(E572,Modificaciones!$B$7:$AB$2400,27,0))</f>
        <v/>
      </c>
      <c r="U572" s="1080" t="str">
        <f>+Modificaciones!AC572</f>
        <v/>
      </c>
      <c r="V572" s="825" t="str">
        <f>+Modificaciones!AK572</f>
        <v/>
      </c>
      <c r="W572" s="825">
        <f t="shared" si="99"/>
        <v>43133</v>
      </c>
      <c r="X572" s="59">
        <f t="shared" si="97"/>
        <v>4606000</v>
      </c>
      <c r="Y572" s="151">
        <f>VLOOKUP(E572,Modificaciones!$B$7:$BE$2300,56,0)</f>
        <v>2576666</v>
      </c>
      <c r="Z572" s="84">
        <f t="shared" si="107"/>
        <v>2029334</v>
      </c>
      <c r="AA572" s="283" t="s">
        <v>2584</v>
      </c>
      <c r="AB572" s="823">
        <f t="shared" si="98"/>
        <v>0.55941511072514116</v>
      </c>
      <c r="AC572" s="40">
        <f t="shared" ca="1" si="100"/>
        <v>1</v>
      </c>
      <c r="AD572" s="41">
        <f t="shared" ca="1" si="101"/>
        <v>0.44058488927485884</v>
      </c>
      <c r="AE572" s="181" t="str">
        <f t="shared" ca="1" si="102"/>
        <v/>
      </c>
      <c r="AF572" s="42" t="str">
        <f t="shared" si="106"/>
        <v>NO</v>
      </c>
      <c r="AG572" s="1017" t="s">
        <v>4920</v>
      </c>
      <c r="AH572" s="152" t="s">
        <v>1255</v>
      </c>
      <c r="AI572" s="152" t="s">
        <v>1299</v>
      </c>
      <c r="AJ572" s="152" t="s">
        <v>1441</v>
      </c>
      <c r="AK572" s="255" t="s">
        <v>560</v>
      </c>
      <c r="AL572" s="153" t="s">
        <v>3597</v>
      </c>
      <c r="AM572" s="279" t="s">
        <v>3795</v>
      </c>
      <c r="AN572" s="161" t="str">
        <f t="shared" ca="1" si="103"/>
        <v>TERMINO</v>
      </c>
      <c r="AO572" s="284" t="s">
        <v>576</v>
      </c>
      <c r="AP572" s="406" t="s">
        <v>390</v>
      </c>
      <c r="AQ572" s="819" t="str">
        <f>IFERROR(VLOOKUP(E572,'liquidaciones '!$B$2:$C$1048576,2,0),"NO")</f>
        <v>LIQUIDADO</v>
      </c>
      <c r="AR572" s="909">
        <f>IFERROR(VLOOKUP(E572,'liquidaciones '!$B$2:$I$1048576,8,0),"")</f>
        <v>0</v>
      </c>
      <c r="AS572" s="406"/>
      <c r="AT572" s="156" t="str">
        <f t="shared" ca="1" si="104"/>
        <v>NO</v>
      </c>
      <c r="AU572" s="156" t="s">
        <v>1509</v>
      </c>
      <c r="AV572" s="406" t="s">
        <v>3783</v>
      </c>
      <c r="AW572" s="930" t="s">
        <v>560</v>
      </c>
      <c r="AX572" s="928"/>
      <c r="AY572" s="928"/>
    </row>
    <row r="573" spans="3:51" ht="28.8" x14ac:dyDescent="0.3">
      <c r="C573" s="837"/>
      <c r="D573" s="837"/>
      <c r="E573" s="120" t="s">
        <v>3658</v>
      </c>
      <c r="F573" s="414" t="s">
        <v>2712</v>
      </c>
      <c r="G573" s="874" t="s">
        <v>2713</v>
      </c>
      <c r="H573" s="965" t="s">
        <v>3659</v>
      </c>
      <c r="I573" s="84">
        <v>6717550</v>
      </c>
      <c r="J573" s="843" t="s">
        <v>3660</v>
      </c>
      <c r="K573" s="269">
        <v>2017</v>
      </c>
      <c r="L573" s="519">
        <v>43013</v>
      </c>
      <c r="M573" s="844">
        <v>43033</v>
      </c>
      <c r="N573" s="844">
        <v>43107</v>
      </c>
      <c r="O573" s="1099" t="str">
        <f>IF(+Modificaciones!I573=0,"",VLOOKUP(E573,Modificaciones!$B$7:$I$2400,8,0))</f>
        <v/>
      </c>
      <c r="P573" s="115">
        <f>COUNTA(Modificaciones!J573,Modificaciones!L573,Modificaciones!N573,Modificaciones!P573)</f>
        <v>0</v>
      </c>
      <c r="Q573" s="116">
        <f>VLOOKUP(E573,Modificaciones!$B$7:$R$2300,17,0)</f>
        <v>0</v>
      </c>
      <c r="R573" s="117">
        <f>COUNTA(Modificaciones!T573,Modificaciones!V573,Modificaciones!X573,Modificaciones!Z573)</f>
        <v>0</v>
      </c>
      <c r="S573" s="118" t="str">
        <f>IF(Modificaciones!AA573=0,"",VLOOKUP(E573,Modificaciones!$B$7:$AA$2400,26,0))</f>
        <v/>
      </c>
      <c r="T573" s="119" t="str">
        <f>IF(Modificaciones!AB573=0,"",VLOOKUP(E573,Modificaciones!$B$7:$AB$2400,27,0))</f>
        <v/>
      </c>
      <c r="U573" s="1080" t="str">
        <f>+Modificaciones!AC573</f>
        <v/>
      </c>
      <c r="V573" s="825" t="str">
        <f>+Modificaciones!AK573</f>
        <v/>
      </c>
      <c r="W573" s="825">
        <f t="shared" si="99"/>
        <v>43107</v>
      </c>
      <c r="X573" s="59">
        <f t="shared" si="97"/>
        <v>6717550</v>
      </c>
      <c r="Y573" s="151">
        <f>VLOOKUP(E573,Modificaciones!$B$7:$BE$2300,56,0)</f>
        <v>6717550</v>
      </c>
      <c r="Z573" s="84">
        <f t="shared" si="107"/>
        <v>0</v>
      </c>
      <c r="AA573" s="283" t="s">
        <v>1894</v>
      </c>
      <c r="AB573" s="823">
        <f t="shared" si="98"/>
        <v>1</v>
      </c>
      <c r="AC573" s="40">
        <f t="shared" ca="1" si="100"/>
        <v>1</v>
      </c>
      <c r="AD573" s="41">
        <f t="shared" ca="1" si="101"/>
        <v>0</v>
      </c>
      <c r="AE573" s="181" t="str">
        <f t="shared" ca="1" si="102"/>
        <v/>
      </c>
      <c r="AF573" s="42" t="str">
        <f t="shared" si="106"/>
        <v>SI</v>
      </c>
      <c r="AG573" s="732" t="s">
        <v>1711</v>
      </c>
      <c r="AH573" s="152" t="s">
        <v>1255</v>
      </c>
      <c r="AI573" s="255" t="s">
        <v>2716</v>
      </c>
      <c r="AJ573" s="152" t="s">
        <v>1434</v>
      </c>
      <c r="AK573" s="255" t="s">
        <v>560</v>
      </c>
      <c r="AL573" s="279" t="s">
        <v>1388</v>
      </c>
      <c r="AM573" s="279" t="s">
        <v>3795</v>
      </c>
      <c r="AN573" s="161" t="str">
        <f t="shared" ca="1" si="103"/>
        <v>TERMINO</v>
      </c>
      <c r="AO573" s="284" t="s">
        <v>576</v>
      </c>
      <c r="AP573" s="406" t="s">
        <v>391</v>
      </c>
      <c r="AQ573" s="819" t="str">
        <f>IFERROR(VLOOKUP(E573,'liquidaciones '!$B$2:$C$1048576,2,0),"NO")</f>
        <v>LIQUIDADO</v>
      </c>
      <c r="AR573" s="909">
        <f>IFERROR(VLOOKUP(E573,'liquidaciones '!$B$2:$I$1048576,8,0),"")</f>
        <v>0</v>
      </c>
      <c r="AS573" s="406"/>
      <c r="AT573" s="156" t="str">
        <f t="shared" ca="1" si="104"/>
        <v>NO</v>
      </c>
      <c r="AU573" s="156" t="s">
        <v>3050</v>
      </c>
      <c r="AV573" s="406" t="s">
        <v>3783</v>
      </c>
      <c r="AW573" s="930" t="s">
        <v>560</v>
      </c>
      <c r="AX573" s="928"/>
      <c r="AY573" s="928"/>
    </row>
    <row r="574" spans="3:51" ht="20.399999999999999" x14ac:dyDescent="0.3">
      <c r="C574" s="837"/>
      <c r="D574" s="837"/>
      <c r="E574" s="120" t="s">
        <v>3650</v>
      </c>
      <c r="F574" s="414" t="s">
        <v>33</v>
      </c>
      <c r="G574" s="874">
        <v>860509265</v>
      </c>
      <c r="H574" s="965" t="s">
        <v>3664</v>
      </c>
      <c r="I574" s="84">
        <v>870000</v>
      </c>
      <c r="J574" s="843" t="s">
        <v>3650</v>
      </c>
      <c r="K574" s="269">
        <v>2017</v>
      </c>
      <c r="L574" s="519">
        <v>43032</v>
      </c>
      <c r="M574" s="844">
        <v>43040</v>
      </c>
      <c r="N574" s="844">
        <v>43405</v>
      </c>
      <c r="O574" s="1099" t="str">
        <f>IF(+Modificaciones!I574=0,"",VLOOKUP(E574,Modificaciones!$B$7:$I$2400,8,0))</f>
        <v/>
      </c>
      <c r="P574" s="115">
        <f>COUNTA(Modificaciones!J574,Modificaciones!L574,Modificaciones!N574,Modificaciones!P574)</f>
        <v>0</v>
      </c>
      <c r="Q574" s="116">
        <f>VLOOKUP(E574,Modificaciones!$B$7:$R$2300,17,0)</f>
        <v>0</v>
      </c>
      <c r="R574" s="117">
        <f>COUNTA(Modificaciones!T574,Modificaciones!V574,Modificaciones!X574,Modificaciones!Z574)</f>
        <v>0</v>
      </c>
      <c r="S574" s="118" t="str">
        <f>IF(Modificaciones!AA574=0,"",VLOOKUP(E574,Modificaciones!$B$7:$AA$2400,26,0))</f>
        <v/>
      </c>
      <c r="T574" s="119" t="str">
        <f>IF(Modificaciones!AB574=0,"",VLOOKUP(E574,Modificaciones!$B$7:$AB$2400,27,0))</f>
        <v/>
      </c>
      <c r="U574" s="1080" t="str">
        <f>+Modificaciones!AC574</f>
        <v/>
      </c>
      <c r="V574" s="825" t="str">
        <f>+Modificaciones!AK574</f>
        <v/>
      </c>
      <c r="W574" s="825">
        <f t="shared" si="99"/>
        <v>43405</v>
      </c>
      <c r="X574" s="59">
        <f t="shared" si="97"/>
        <v>870000</v>
      </c>
      <c r="Y574" s="151">
        <f>VLOOKUP(E574,Modificaciones!$B$7:$BE$2300,56,0)</f>
        <v>870000</v>
      </c>
      <c r="Z574" s="84">
        <f t="shared" si="107"/>
        <v>0</v>
      </c>
      <c r="AA574" s="283" t="s">
        <v>1894</v>
      </c>
      <c r="AB574" s="823">
        <f t="shared" si="98"/>
        <v>1</v>
      </c>
      <c r="AC574" s="40">
        <f t="shared" ca="1" si="100"/>
        <v>1</v>
      </c>
      <c r="AD574" s="41">
        <f t="shared" ca="1" si="101"/>
        <v>0</v>
      </c>
      <c r="AE574" s="181" t="str">
        <f t="shared" ca="1" si="102"/>
        <v/>
      </c>
      <c r="AF574" s="42" t="str">
        <f t="shared" si="106"/>
        <v>SI</v>
      </c>
      <c r="AG574" s="732" t="s">
        <v>1713</v>
      </c>
      <c r="AH574" s="152" t="s">
        <v>1255</v>
      </c>
      <c r="AI574" s="275" t="s">
        <v>1468</v>
      </c>
      <c r="AJ574" s="152" t="s">
        <v>1429</v>
      </c>
      <c r="AK574" s="255" t="s">
        <v>564</v>
      </c>
      <c r="AL574" s="279"/>
      <c r="AM574" s="279" t="s">
        <v>3798</v>
      </c>
      <c r="AN574" s="161" t="str">
        <f t="shared" ca="1" si="103"/>
        <v>TERMINO</v>
      </c>
      <c r="AO574" s="160" t="s">
        <v>582</v>
      </c>
      <c r="AP574" s="406" t="s">
        <v>390</v>
      </c>
      <c r="AQ574" s="819" t="str">
        <f>IFERROR(VLOOKUP(E574,'liquidaciones '!$B$2:$C$1048576,2,0),"NO")</f>
        <v>LIQUIDADO</v>
      </c>
      <c r="AR574" s="909" t="str">
        <f>IFERROR(VLOOKUP(E574,'liquidaciones '!$B$2:$I$1048576,8,0),"")</f>
        <v>JUAN DIEGO ESPITIA</v>
      </c>
      <c r="AS574" s="406"/>
      <c r="AT574" s="156" t="str">
        <f t="shared" ca="1" si="104"/>
        <v>SI</v>
      </c>
      <c r="AU574" s="156" t="s">
        <v>3050</v>
      </c>
      <c r="AV574" s="406"/>
      <c r="AW574" s="930" t="s">
        <v>3920</v>
      </c>
      <c r="AX574" s="928"/>
      <c r="AY574" s="928"/>
    </row>
    <row r="575" spans="3:51" ht="173.4" x14ac:dyDescent="0.3">
      <c r="C575" s="837"/>
      <c r="D575" s="837"/>
      <c r="E575" s="120" t="s">
        <v>3667</v>
      </c>
      <c r="F575" s="414" t="s">
        <v>3668</v>
      </c>
      <c r="G575" s="863">
        <v>830067856</v>
      </c>
      <c r="H575" s="969" t="s">
        <v>3669</v>
      </c>
      <c r="I575" s="84">
        <v>40817000</v>
      </c>
      <c r="J575" s="843" t="s">
        <v>3671</v>
      </c>
      <c r="K575" s="269">
        <v>2017</v>
      </c>
      <c r="L575" s="519">
        <v>43011</v>
      </c>
      <c r="M575" s="844">
        <v>43040</v>
      </c>
      <c r="N575" s="844">
        <v>43132</v>
      </c>
      <c r="O575" s="1099" t="str">
        <f>IF(+Modificaciones!I575=0,"",VLOOKUP(E575,Modificaciones!$B$7:$I$2400,8,0))</f>
        <v/>
      </c>
      <c r="P575" s="115">
        <f>COUNTA(Modificaciones!J575,Modificaciones!L575,Modificaciones!N575,Modificaciones!P575)</f>
        <v>0</v>
      </c>
      <c r="Q575" s="116">
        <f>VLOOKUP(E575,Modificaciones!$B$7:$R$2300,17,0)</f>
        <v>0</v>
      </c>
      <c r="R575" s="117">
        <f>COUNTA(Modificaciones!T575,Modificaciones!V575,Modificaciones!X575,Modificaciones!Z575)</f>
        <v>1</v>
      </c>
      <c r="S575" s="118" t="str">
        <f>IF(Modificaciones!AA575=0,"",VLOOKUP(E575,Modificaciones!$B$7:$AA$2400,26,0))</f>
        <v>1 mes</v>
      </c>
      <c r="T575" s="119">
        <f>IF(Modificaciones!AB575=0,"",VLOOKUP(E575,Modificaciones!$B$7:$AB$2400,27,0))</f>
        <v>43160</v>
      </c>
      <c r="U575" s="1080" t="str">
        <f>+Modificaciones!AC575</f>
        <v/>
      </c>
      <c r="V575" s="825" t="str">
        <f>+Modificaciones!AK575</f>
        <v/>
      </c>
      <c r="W575" s="825">
        <f t="shared" si="99"/>
        <v>43160</v>
      </c>
      <c r="X575" s="59">
        <f t="shared" si="97"/>
        <v>40817000</v>
      </c>
      <c r="Y575" s="151">
        <f>VLOOKUP(E575,Modificaciones!$B$7:$BE$2300,56,0)</f>
        <v>8613400</v>
      </c>
      <c r="Z575" s="84">
        <f t="shared" si="107"/>
        <v>32203600</v>
      </c>
      <c r="AA575" s="288" t="s">
        <v>3670</v>
      </c>
      <c r="AB575" s="823">
        <f t="shared" si="98"/>
        <v>0.2110248180905015</v>
      </c>
      <c r="AC575" s="40">
        <f t="shared" ca="1" si="100"/>
        <v>1</v>
      </c>
      <c r="AD575" s="41">
        <f t="shared" ca="1" si="101"/>
        <v>0.78897518190949856</v>
      </c>
      <c r="AE575" s="181" t="str">
        <f t="shared" ca="1" si="102"/>
        <v/>
      </c>
      <c r="AF575" s="42" t="str">
        <f t="shared" si="106"/>
        <v>NO</v>
      </c>
      <c r="AG575" s="1023" t="s">
        <v>3673</v>
      </c>
      <c r="AH575" s="841" t="s">
        <v>1255</v>
      </c>
      <c r="AI575" s="841" t="s">
        <v>3672</v>
      </c>
      <c r="AJ575" s="152" t="s">
        <v>1441</v>
      </c>
      <c r="AK575" s="255" t="s">
        <v>560</v>
      </c>
      <c r="AL575" s="153" t="s">
        <v>3597</v>
      </c>
      <c r="AM575" s="279" t="s">
        <v>2830</v>
      </c>
      <c r="AN575" s="161" t="str">
        <f t="shared" ca="1" si="103"/>
        <v>TERMINO</v>
      </c>
      <c r="AO575" s="284" t="s">
        <v>576</v>
      </c>
      <c r="AP575" s="406" t="s">
        <v>390</v>
      </c>
      <c r="AQ575" s="819" t="str">
        <f>IFERROR(VLOOKUP(E575,'liquidaciones '!$B$2:$C$1048576,2,0),"NO")</f>
        <v>EN TRÁMITE</v>
      </c>
      <c r="AR575" s="909" t="str">
        <f>IFERROR(VLOOKUP(E575,'liquidaciones '!$B$2:$I$1048576,8,0),"")</f>
        <v>JUAN DIEGO ESPITIA</v>
      </c>
      <c r="AS575" s="406"/>
      <c r="AT575" s="156" t="str">
        <f t="shared" ca="1" si="104"/>
        <v>NO</v>
      </c>
      <c r="AU575" s="156" t="s">
        <v>3564</v>
      </c>
      <c r="AV575" s="406"/>
      <c r="AW575" s="930" t="s">
        <v>3938</v>
      </c>
      <c r="AX575" s="928"/>
      <c r="AY575" s="928"/>
    </row>
    <row r="576" spans="3:51" ht="51" x14ac:dyDescent="0.3">
      <c r="C576" s="837">
        <v>192</v>
      </c>
      <c r="D576" s="837"/>
      <c r="E576" s="120" t="s">
        <v>3676</v>
      </c>
      <c r="F576" s="414" t="s">
        <v>38</v>
      </c>
      <c r="G576" s="863">
        <v>830053669</v>
      </c>
      <c r="H576" s="969" t="s">
        <v>3677</v>
      </c>
      <c r="I576" s="84">
        <v>38989000</v>
      </c>
      <c r="J576" s="843" t="s">
        <v>3678</v>
      </c>
      <c r="K576" s="269">
        <v>2017</v>
      </c>
      <c r="L576" s="519">
        <v>43040</v>
      </c>
      <c r="M576" s="844">
        <v>43048</v>
      </c>
      <c r="N576" s="844">
        <v>43259</v>
      </c>
      <c r="O576" s="1099" t="str">
        <f>IF(+Modificaciones!I576=0,"",VLOOKUP(E576,Modificaciones!$B$7:$I$2400,8,0))</f>
        <v/>
      </c>
      <c r="P576" s="115">
        <f>COUNTA(Modificaciones!J576,Modificaciones!L576,Modificaciones!N576,Modificaciones!P576)</f>
        <v>0</v>
      </c>
      <c r="Q576" s="116">
        <f>VLOOKUP(E576,Modificaciones!$B$7:$R$2300,17,0)</f>
        <v>0</v>
      </c>
      <c r="R576" s="117">
        <f>COUNTA(Modificaciones!T576,Modificaciones!V576,Modificaciones!X576,Modificaciones!Z576)</f>
        <v>1</v>
      </c>
      <c r="S576" s="118" t="str">
        <f>IF(Modificaciones!AA576=0,"",VLOOKUP(E576,Modificaciones!$B$7:$AA$2400,26,0))</f>
        <v>2 meses y 23 días</v>
      </c>
      <c r="T576" s="119">
        <f>IF(Modificaciones!AB576=0,"",VLOOKUP(E576,Modificaciones!$B$7:$AB$2400,27,0))</f>
        <v>43343</v>
      </c>
      <c r="U576" s="1080" t="str">
        <f>+Modificaciones!AC576</f>
        <v/>
      </c>
      <c r="V576" s="825" t="str">
        <f>+Modificaciones!AK576</f>
        <v/>
      </c>
      <c r="W576" s="825">
        <f t="shared" si="99"/>
        <v>43343</v>
      </c>
      <c r="X576" s="59">
        <f t="shared" si="97"/>
        <v>38989000</v>
      </c>
      <c r="Y576" s="151">
        <f>VLOOKUP(E576,Modificaciones!$B$7:$BE$2300,56,0)</f>
        <v>17831193</v>
      </c>
      <c r="Z576" s="84">
        <f t="shared" si="107"/>
        <v>21157807</v>
      </c>
      <c r="AA576" s="283" t="s">
        <v>1962</v>
      </c>
      <c r="AB576" s="823">
        <f t="shared" si="98"/>
        <v>0.4573390699941009</v>
      </c>
      <c r="AC576" s="40">
        <f t="shared" ca="1" si="100"/>
        <v>1</v>
      </c>
      <c r="AD576" s="41">
        <f t="shared" ca="1" si="101"/>
        <v>0.5426609300058991</v>
      </c>
      <c r="AE576" s="181" t="str">
        <f t="shared" ca="1" si="102"/>
        <v/>
      </c>
      <c r="AF576" s="42" t="str">
        <f t="shared" si="106"/>
        <v>NO</v>
      </c>
      <c r="AG576" s="1017" t="s">
        <v>4920</v>
      </c>
      <c r="AH576" s="152" t="s">
        <v>1255</v>
      </c>
      <c r="AI576" s="255" t="s">
        <v>1139</v>
      </c>
      <c r="AJ576" s="152" t="s">
        <v>1441</v>
      </c>
      <c r="AK576" s="255" t="s">
        <v>560</v>
      </c>
      <c r="AL576" s="153" t="s">
        <v>1378</v>
      </c>
      <c r="AM576" s="279" t="s">
        <v>2830</v>
      </c>
      <c r="AN576" s="161" t="str">
        <f t="shared" ca="1" si="103"/>
        <v>TERMINO</v>
      </c>
      <c r="AO576" s="284" t="s">
        <v>575</v>
      </c>
      <c r="AP576" s="406" t="s">
        <v>390</v>
      </c>
      <c r="AQ576" s="819" t="str">
        <f>IFERROR(VLOOKUP(E576,'liquidaciones '!$B$2:$C$1048576,2,0),"NO")</f>
        <v>LIQUIDADO</v>
      </c>
      <c r="AR576" s="909" t="str">
        <f>IFERROR(VLOOKUP(E576,'liquidaciones '!$B$2:$I$1048576,8,0),"")</f>
        <v>JUAN DIEGO ESPITIA</v>
      </c>
      <c r="AS576" s="406"/>
      <c r="AT576" s="156" t="str">
        <f t="shared" ca="1" si="104"/>
        <v>SI</v>
      </c>
      <c r="AU576" s="156" t="s">
        <v>3050</v>
      </c>
      <c r="AV576" s="406"/>
      <c r="AW576" s="930" t="s">
        <v>3938</v>
      </c>
      <c r="AX576" s="928"/>
      <c r="AY576" s="928"/>
    </row>
    <row r="577" spans="3:51" ht="81.599999999999994" x14ac:dyDescent="0.3">
      <c r="C577" s="837"/>
      <c r="D577" s="837"/>
      <c r="E577" s="120" t="s">
        <v>3679</v>
      </c>
      <c r="F577" s="414" t="s">
        <v>3680</v>
      </c>
      <c r="G577" s="863">
        <v>91156558</v>
      </c>
      <c r="H577" s="969" t="s">
        <v>3681</v>
      </c>
      <c r="I577" s="84">
        <v>7000000</v>
      </c>
      <c r="J577" s="843" t="s">
        <v>3679</v>
      </c>
      <c r="K577" s="269">
        <v>2017</v>
      </c>
      <c r="L577" s="519">
        <v>43040</v>
      </c>
      <c r="M577" s="844">
        <v>43048</v>
      </c>
      <c r="N577" s="844">
        <v>43108</v>
      </c>
      <c r="O577" s="1099" t="str">
        <f>IF(+Modificaciones!I577=0,"",VLOOKUP(E577,Modificaciones!$B$7:$I$2400,8,0))</f>
        <v/>
      </c>
      <c r="P577" s="115">
        <f>COUNTA(Modificaciones!J577,Modificaciones!L577,Modificaciones!N577,Modificaciones!P577)</f>
        <v>0</v>
      </c>
      <c r="Q577" s="116">
        <f>VLOOKUP(E577,Modificaciones!$B$7:$R$2300,17,0)</f>
        <v>0</v>
      </c>
      <c r="R577" s="117">
        <f>COUNTA(Modificaciones!T577,Modificaciones!V577,Modificaciones!X577,Modificaciones!Z577)</f>
        <v>0</v>
      </c>
      <c r="S577" s="118" t="str">
        <f>IF(Modificaciones!AA577=0,"",VLOOKUP(E577,Modificaciones!$B$7:$AA$2400,26,0))</f>
        <v/>
      </c>
      <c r="T577" s="119" t="str">
        <f>IF(Modificaciones!AB577=0,"",VLOOKUP(E577,Modificaciones!$B$7:$AB$2400,27,0))</f>
        <v/>
      </c>
      <c r="U577" s="1080" t="str">
        <f>+Modificaciones!AC577</f>
        <v/>
      </c>
      <c r="V577" s="825" t="str">
        <f>+Modificaciones!AK577</f>
        <v/>
      </c>
      <c r="W577" s="825">
        <f t="shared" si="99"/>
        <v>43108</v>
      </c>
      <c r="X577" s="59">
        <f t="shared" si="97"/>
        <v>7000000</v>
      </c>
      <c r="Y577" s="151">
        <f>VLOOKUP(E577,Modificaciones!$B$7:$BE$2300,56,0)</f>
        <v>7000000</v>
      </c>
      <c r="Z577" s="84">
        <f t="shared" si="107"/>
        <v>0</v>
      </c>
      <c r="AA577" s="287" t="s">
        <v>3682</v>
      </c>
      <c r="AB577" s="823">
        <f t="shared" si="98"/>
        <v>1</v>
      </c>
      <c r="AC577" s="40">
        <f t="shared" ca="1" si="100"/>
        <v>1</v>
      </c>
      <c r="AD577" s="41">
        <f t="shared" ca="1" si="101"/>
        <v>0</v>
      </c>
      <c r="AE577" s="181" t="str">
        <f t="shared" ca="1" si="102"/>
        <v/>
      </c>
      <c r="AF577" s="42" t="str">
        <f t="shared" si="106"/>
        <v>SI</v>
      </c>
      <c r="AG577" s="1017" t="s">
        <v>4920</v>
      </c>
      <c r="AH577" s="152" t="s">
        <v>1255</v>
      </c>
      <c r="AI577" s="255" t="s">
        <v>1306</v>
      </c>
      <c r="AJ577" s="838"/>
      <c r="AK577" s="838"/>
      <c r="AL577" s="838"/>
      <c r="AM577" s="279" t="s">
        <v>2830</v>
      </c>
      <c r="AN577" s="161" t="str">
        <f t="shared" ca="1" si="103"/>
        <v>TERMINO</v>
      </c>
      <c r="AO577" s="284" t="s">
        <v>582</v>
      </c>
      <c r="AP577" s="155" t="s">
        <v>390</v>
      </c>
      <c r="AQ577" s="819" t="str">
        <f>IFERROR(VLOOKUP(E577,'liquidaciones '!$B$2:$C$1048576,2,0),"NO")</f>
        <v>LIQUIDADO</v>
      </c>
      <c r="AR577" s="909">
        <f>IFERROR(VLOOKUP(E577,'liquidaciones '!$B$2:$I$1048576,8,0),"")</f>
        <v>0</v>
      </c>
      <c r="AS577" s="406"/>
      <c r="AT577" s="156" t="str">
        <f t="shared" ca="1" si="104"/>
        <v>NO</v>
      </c>
      <c r="AU577" s="156" t="s">
        <v>1509</v>
      </c>
      <c r="AV577" s="406"/>
      <c r="AW577" s="930" t="s">
        <v>3938</v>
      </c>
      <c r="AX577" s="928"/>
      <c r="AY577" s="928"/>
    </row>
    <row r="578" spans="3:51" ht="20.399999999999999" x14ac:dyDescent="0.3">
      <c r="C578" s="837">
        <v>76</v>
      </c>
      <c r="D578" s="837"/>
      <c r="E578" s="120" t="s">
        <v>3683</v>
      </c>
      <c r="F578" s="414" t="s">
        <v>2023</v>
      </c>
      <c r="G578" s="863">
        <v>800198591</v>
      </c>
      <c r="H578" s="969" t="s">
        <v>2546</v>
      </c>
      <c r="I578" s="84">
        <v>228000000</v>
      </c>
      <c r="J578" s="843" t="s">
        <v>3683</v>
      </c>
      <c r="K578" s="269">
        <v>2017</v>
      </c>
      <c r="L578" s="519">
        <v>43042</v>
      </c>
      <c r="M578" s="844">
        <v>43075</v>
      </c>
      <c r="N578" s="844">
        <v>43439</v>
      </c>
      <c r="O578" s="1099" t="str">
        <f>IF(+Modificaciones!I578=0,"",VLOOKUP(E578,Modificaciones!$B$7:$I$2400,8,0))</f>
        <v/>
      </c>
      <c r="P578" s="115">
        <f>COUNTA(Modificaciones!J578,Modificaciones!L578,Modificaciones!N578,Modificaciones!P578)</f>
        <v>0</v>
      </c>
      <c r="Q578" s="116">
        <f>VLOOKUP(E578,Modificaciones!$B$7:$R$2300,17,0)</f>
        <v>0</v>
      </c>
      <c r="R578" s="117">
        <f>COUNTA(Modificaciones!T578,Modificaciones!V578,Modificaciones!X578,Modificaciones!Z578)</f>
        <v>0</v>
      </c>
      <c r="S578" s="118" t="str">
        <f>IF(Modificaciones!AA578=0,"",VLOOKUP(E578,Modificaciones!$B$7:$AA$2400,26,0))</f>
        <v/>
      </c>
      <c r="T578" s="119" t="str">
        <f>IF(Modificaciones!AB578=0,"",VLOOKUP(E578,Modificaciones!$B$7:$AB$2400,27,0))</f>
        <v/>
      </c>
      <c r="U578" s="1080" t="str">
        <f>+Modificaciones!AC578</f>
        <v/>
      </c>
      <c r="V578" s="825" t="str">
        <f>+Modificaciones!AK578</f>
        <v/>
      </c>
      <c r="W578" s="825">
        <f t="shared" si="99"/>
        <v>43439</v>
      </c>
      <c r="X578" s="59">
        <f t="shared" si="97"/>
        <v>228000000</v>
      </c>
      <c r="Y578" s="151">
        <f>VLOOKUP(E578,Modificaciones!$B$7:$BE$2300,56,0)</f>
        <v>228000000</v>
      </c>
      <c r="Z578" s="84">
        <f t="shared" si="107"/>
        <v>0</v>
      </c>
      <c r="AA578" s="283" t="s">
        <v>2205</v>
      </c>
      <c r="AB578" s="823">
        <f t="shared" si="98"/>
        <v>1</v>
      </c>
      <c r="AC578" s="40">
        <f t="shared" ca="1" si="100"/>
        <v>1</v>
      </c>
      <c r="AD578" s="41">
        <f t="shared" ca="1" si="101"/>
        <v>0</v>
      </c>
      <c r="AE578" s="181" t="str">
        <f t="shared" ca="1" si="102"/>
        <v/>
      </c>
      <c r="AF578" s="42" t="str">
        <f t="shared" si="106"/>
        <v>SI</v>
      </c>
      <c r="AG578" s="1017" t="s">
        <v>4920</v>
      </c>
      <c r="AH578" s="152" t="s">
        <v>1256</v>
      </c>
      <c r="AI578" s="152" t="s">
        <v>1173</v>
      </c>
      <c r="AJ578" s="152" t="s">
        <v>1438</v>
      </c>
      <c r="AK578" s="255" t="s">
        <v>560</v>
      </c>
      <c r="AL578" s="279" t="s">
        <v>1508</v>
      </c>
      <c r="AM578" s="279" t="s">
        <v>3795</v>
      </c>
      <c r="AN578" s="161" t="str">
        <f t="shared" ca="1" si="103"/>
        <v>TERMINO</v>
      </c>
      <c r="AO578" s="284" t="s">
        <v>582</v>
      </c>
      <c r="AP578" s="406" t="s">
        <v>390</v>
      </c>
      <c r="AQ578" s="819" t="str">
        <f>IFERROR(VLOOKUP(E578,'liquidaciones '!$B$2:$C$1048576,2,0),"NO")</f>
        <v>EN TRÁMITE</v>
      </c>
      <c r="AR578" s="909" t="str">
        <f>IFERROR(VLOOKUP(E578,'liquidaciones '!$B$2:$I$1048576,8,0),"")</f>
        <v>JUAN DIEGO ESPITIA</v>
      </c>
      <c r="AS578" s="406"/>
      <c r="AT578" s="156" t="str">
        <f t="shared" ca="1" si="104"/>
        <v>SI</v>
      </c>
      <c r="AU578" s="156" t="s">
        <v>4209</v>
      </c>
      <c r="AV578" s="406" t="s">
        <v>3778</v>
      </c>
      <c r="AW578" s="930" t="s">
        <v>560</v>
      </c>
      <c r="AX578" s="928"/>
      <c r="AY578" s="930" t="s">
        <v>4668</v>
      </c>
    </row>
    <row r="579" spans="3:51" ht="40.799999999999997" x14ac:dyDescent="0.3">
      <c r="C579" s="837">
        <v>188</v>
      </c>
      <c r="D579" s="837"/>
      <c r="E579" s="120" t="s">
        <v>3684</v>
      </c>
      <c r="F579" s="414" t="s">
        <v>2646</v>
      </c>
      <c r="G579" s="863">
        <v>830113914</v>
      </c>
      <c r="H579" s="969" t="s">
        <v>3685</v>
      </c>
      <c r="I579" s="84">
        <v>79741000</v>
      </c>
      <c r="J579" s="843" t="s">
        <v>3692</v>
      </c>
      <c r="K579" s="269">
        <v>2017</v>
      </c>
      <c r="L579" s="519" t="s">
        <v>3686</v>
      </c>
      <c r="M579" s="844">
        <v>43059</v>
      </c>
      <c r="N579" s="844">
        <v>43286</v>
      </c>
      <c r="O579" s="1099" t="str">
        <f>IF(+Modificaciones!I579=0,"",VLOOKUP(E579,Modificaciones!$B$7:$I$2400,8,0))</f>
        <v/>
      </c>
      <c r="P579" s="115">
        <f>COUNTA(Modificaciones!J579,Modificaciones!L579,Modificaciones!N579,Modificaciones!P579)</f>
        <v>0</v>
      </c>
      <c r="Q579" s="116">
        <f>VLOOKUP(E579,Modificaciones!$B$7:$R$2300,17,0)</f>
        <v>0</v>
      </c>
      <c r="R579" s="117">
        <f>COUNTA(Modificaciones!T579,Modificaciones!V579,Modificaciones!X579,Modificaciones!Z579)</f>
        <v>0</v>
      </c>
      <c r="S579" s="118" t="str">
        <f>IF(Modificaciones!AA579=0,"",VLOOKUP(E579,Modificaciones!$B$7:$AA$2400,26,0))</f>
        <v/>
      </c>
      <c r="T579" s="119" t="str">
        <f>IF(Modificaciones!AB579=0,"",VLOOKUP(E579,Modificaciones!$B$7:$AB$2400,27,0))</f>
        <v/>
      </c>
      <c r="U579" s="1080" t="str">
        <f>+Modificaciones!AC579</f>
        <v/>
      </c>
      <c r="V579" s="825" t="str">
        <f>+Modificaciones!AK579</f>
        <v/>
      </c>
      <c r="W579" s="825">
        <f t="shared" si="99"/>
        <v>43286</v>
      </c>
      <c r="X579" s="59">
        <f t="shared" si="97"/>
        <v>79741000</v>
      </c>
      <c r="Y579" s="151">
        <f>VLOOKUP(E579,Modificaciones!$B$7:$BE$2300,56,0)</f>
        <v>79740999</v>
      </c>
      <c r="Z579" s="84">
        <f t="shared" si="107"/>
        <v>1</v>
      </c>
      <c r="AA579" s="283" t="s">
        <v>2005</v>
      </c>
      <c r="AB579" s="926">
        <f>(Y579*100%)/X579</f>
        <v>0.99999998745939978</v>
      </c>
      <c r="AC579" s="40">
        <f t="shared" ca="1" si="100"/>
        <v>1</v>
      </c>
      <c r="AD579" s="41">
        <f t="shared" ca="1" si="101"/>
        <v>1.2540600224930643E-8</v>
      </c>
      <c r="AE579" s="181" t="str">
        <f t="shared" ca="1" si="102"/>
        <v/>
      </c>
      <c r="AF579" s="42" t="str">
        <f t="shared" si="106"/>
        <v>SI</v>
      </c>
      <c r="AG579" s="732" t="s">
        <v>1712</v>
      </c>
      <c r="AH579" s="152" t="s">
        <v>1255</v>
      </c>
      <c r="AI579" s="152" t="s">
        <v>1129</v>
      </c>
      <c r="AJ579" s="152" t="s">
        <v>1441</v>
      </c>
      <c r="AK579" s="255" t="s">
        <v>560</v>
      </c>
      <c r="AL579" s="158" t="s">
        <v>1378</v>
      </c>
      <c r="AM579" s="279" t="s">
        <v>3795</v>
      </c>
      <c r="AN579" s="161" t="str">
        <f t="shared" ca="1" si="103"/>
        <v>TERMINO</v>
      </c>
      <c r="AO579" s="284" t="s">
        <v>575</v>
      </c>
      <c r="AP579" s="406" t="s">
        <v>390</v>
      </c>
      <c r="AQ579" s="819" t="str">
        <f>IFERROR(VLOOKUP(E579,'liquidaciones '!$B$2:$C$1048576,2,0),"NO")</f>
        <v>LIQUIDADO</v>
      </c>
      <c r="AR579" s="909" t="str">
        <f>IFERROR(VLOOKUP(E579,'liquidaciones '!$B$2:$I$1048576,8,0),"")</f>
        <v>JUAN DIEGO ESPITIA</v>
      </c>
      <c r="AS579" s="406"/>
      <c r="AT579" s="156" t="str">
        <f t="shared" ca="1" si="104"/>
        <v>NO</v>
      </c>
      <c r="AU579" s="156" t="s">
        <v>1509</v>
      </c>
      <c r="AV579" s="406" t="s">
        <v>1378</v>
      </c>
      <c r="AW579" s="930" t="s">
        <v>560</v>
      </c>
      <c r="AX579" s="928"/>
      <c r="AY579" s="930" t="s">
        <v>4658</v>
      </c>
    </row>
    <row r="580" spans="3:51" ht="163.19999999999999" x14ac:dyDescent="0.3">
      <c r="C580" s="837"/>
      <c r="D580" s="837"/>
      <c r="E580" s="120" t="s">
        <v>3687</v>
      </c>
      <c r="F580" s="414" t="s">
        <v>2433</v>
      </c>
      <c r="G580" s="874">
        <v>900475780</v>
      </c>
      <c r="H580" s="965" t="s">
        <v>3688</v>
      </c>
      <c r="I580" s="84">
        <v>2840000000</v>
      </c>
      <c r="J580" s="843" t="s">
        <v>3687</v>
      </c>
      <c r="K580" s="269">
        <v>2017</v>
      </c>
      <c r="L580" s="519">
        <v>43048</v>
      </c>
      <c r="M580" s="844">
        <v>43101</v>
      </c>
      <c r="N580" s="844">
        <v>43312</v>
      </c>
      <c r="O580" s="1099" t="str">
        <f>IF(+Modificaciones!I580=0,"",VLOOKUP(E580,Modificaciones!$B$7:$I$2400,8,0))</f>
        <v/>
      </c>
      <c r="P580" s="115">
        <f>COUNTA(Modificaciones!J580,Modificaciones!L580,Modificaciones!N580,Modificaciones!P580)</f>
        <v>0</v>
      </c>
      <c r="Q580" s="116">
        <f>VLOOKUP(E580,Modificaciones!$B$7:$R$2300,17,0)</f>
        <v>0</v>
      </c>
      <c r="R580" s="117">
        <f>COUNTA(Modificaciones!T580,Modificaciones!V580,Modificaciones!X580,Modificaciones!Z580)</f>
        <v>0</v>
      </c>
      <c r="S580" s="118" t="str">
        <f>IF(Modificaciones!AA580=0,"",VLOOKUP(E580,Modificaciones!$B$7:$AA$2400,26,0))</f>
        <v/>
      </c>
      <c r="T580" s="119" t="str">
        <f>IF(Modificaciones!AB580=0,"",VLOOKUP(E580,Modificaciones!$B$7:$AB$2400,27,0))</f>
        <v/>
      </c>
      <c r="U580" s="1080" t="str">
        <f>+Modificaciones!AC580</f>
        <v/>
      </c>
      <c r="V580" s="825" t="str">
        <f>+Modificaciones!AK580</f>
        <v/>
      </c>
      <c r="W580" s="825">
        <f t="shared" si="99"/>
        <v>43312</v>
      </c>
      <c r="X580" s="59">
        <f t="shared" si="97"/>
        <v>2840000000</v>
      </c>
      <c r="Y580" s="151">
        <f>VLOOKUP(E580,Modificaciones!$B$7:$BE$2300,56,0)</f>
        <v>2792222710</v>
      </c>
      <c r="Z580" s="84">
        <f t="shared" si="107"/>
        <v>47777290</v>
      </c>
      <c r="AA580" s="288" t="s">
        <v>3689</v>
      </c>
      <c r="AB580" s="823">
        <f t="shared" si="98"/>
        <v>0.98317701056338025</v>
      </c>
      <c r="AC580" s="40">
        <f t="shared" ca="1" si="100"/>
        <v>1</v>
      </c>
      <c r="AD580" s="41">
        <f t="shared" ca="1" si="101"/>
        <v>1.6822989436619751E-2</v>
      </c>
      <c r="AE580" s="181" t="str">
        <f t="shared" ca="1" si="102"/>
        <v/>
      </c>
      <c r="AF580" s="42" t="str">
        <f t="shared" si="106"/>
        <v>NO</v>
      </c>
      <c r="AG580" s="732" t="s">
        <v>1718</v>
      </c>
      <c r="AH580" s="152" t="s">
        <v>1255</v>
      </c>
      <c r="AI580" s="255" t="s">
        <v>1507</v>
      </c>
      <c r="AJ580" s="152" t="s">
        <v>1441</v>
      </c>
      <c r="AK580" s="255" t="s">
        <v>560</v>
      </c>
      <c r="AL580" s="279" t="s">
        <v>1318</v>
      </c>
      <c r="AM580" s="279" t="s">
        <v>2830</v>
      </c>
      <c r="AN580" s="161" t="str">
        <f t="shared" ca="1" si="103"/>
        <v>TERMINO</v>
      </c>
      <c r="AO580" s="160" t="s">
        <v>582</v>
      </c>
      <c r="AP580" s="406" t="s">
        <v>390</v>
      </c>
      <c r="AQ580" s="819" t="str">
        <f>IFERROR(VLOOKUP(E580,'liquidaciones '!$B$2:$C$1048576,2,0),"NO")</f>
        <v>LIQUIDADO</v>
      </c>
      <c r="AR580" s="909" t="str">
        <f>IFERROR(VLOOKUP(E580,'liquidaciones '!$B$2:$I$1048576,8,0),"")</f>
        <v>SONIA CACERES</v>
      </c>
      <c r="AS580" s="406"/>
      <c r="AT580" s="156" t="str">
        <f t="shared" ca="1" si="104"/>
        <v>NO</v>
      </c>
      <c r="AU580" s="156" t="s">
        <v>2972</v>
      </c>
      <c r="AV580" s="406"/>
      <c r="AW580" s="930" t="s">
        <v>3938</v>
      </c>
      <c r="AX580" s="928"/>
      <c r="AY580" s="928"/>
    </row>
    <row r="581" spans="3:51" ht="30.6" x14ac:dyDescent="0.3">
      <c r="C581" s="837"/>
      <c r="D581" s="837"/>
      <c r="E581" s="120" t="s">
        <v>3690</v>
      </c>
      <c r="F581" s="414" t="s">
        <v>70</v>
      </c>
      <c r="G581" s="863">
        <v>860506170</v>
      </c>
      <c r="H581" s="969" t="s">
        <v>3691</v>
      </c>
      <c r="I581" s="84">
        <v>191000000</v>
      </c>
      <c r="J581" s="843" t="s">
        <v>3690</v>
      </c>
      <c r="K581" s="269">
        <v>2017</v>
      </c>
      <c r="L581" s="519">
        <v>43047</v>
      </c>
      <c r="M581" s="844">
        <v>43061</v>
      </c>
      <c r="N581" s="844">
        <v>43425</v>
      </c>
      <c r="O581" s="1099" t="str">
        <f>IF(+Modificaciones!I581=0,"",VLOOKUP(E581,Modificaciones!$B$7:$I$2400,8,0))</f>
        <v/>
      </c>
      <c r="P581" s="115">
        <f>COUNTA(Modificaciones!J581,Modificaciones!L581,Modificaciones!N581,Modificaciones!P581)</f>
        <v>0</v>
      </c>
      <c r="Q581" s="116">
        <f>VLOOKUP(E581,Modificaciones!$B$7:$R$2300,17,0)</f>
        <v>0</v>
      </c>
      <c r="R581" s="117">
        <f>COUNTA(Modificaciones!T581,Modificaciones!V581,Modificaciones!X581,Modificaciones!Z581)</f>
        <v>3</v>
      </c>
      <c r="S581" s="118" t="str">
        <f>IF(Modificaciones!AA581=0,"",VLOOKUP(E581,Modificaciones!$B$7:$AA$2400,26,0))</f>
        <v>16 meses y 25 días calendario</v>
      </c>
      <c r="T581" s="119">
        <f>IF(Modificaciones!AB581=0,"",VLOOKUP(E581,Modificaciones!$B$7:$AB$2400,27,0))</f>
        <v>43936</v>
      </c>
      <c r="U581" s="1080" t="str">
        <f>+Modificaciones!AC581</f>
        <v/>
      </c>
      <c r="V581" s="825" t="str">
        <f>+Modificaciones!AK581</f>
        <v/>
      </c>
      <c r="W581" s="825">
        <f t="shared" si="99"/>
        <v>43936</v>
      </c>
      <c r="X581" s="59">
        <f t="shared" si="97"/>
        <v>191000000</v>
      </c>
      <c r="Y581" s="151">
        <f>VLOOKUP(E581,Modificaciones!$B$7:$BE$2300,56,0)</f>
        <v>191000000</v>
      </c>
      <c r="Z581" s="84">
        <f t="shared" si="107"/>
        <v>0</v>
      </c>
      <c r="AA581" s="283"/>
      <c r="AB581" s="823">
        <f t="shared" si="98"/>
        <v>1</v>
      </c>
      <c r="AC581" s="40">
        <f t="shared" ca="1" si="100"/>
        <v>1</v>
      </c>
      <c r="AD581" s="41">
        <f t="shared" ca="1" si="101"/>
        <v>0</v>
      </c>
      <c r="AE581" s="181" t="str">
        <f t="shared" ca="1" si="102"/>
        <v/>
      </c>
      <c r="AF581" s="42" t="str">
        <f t="shared" si="106"/>
        <v>SI</v>
      </c>
      <c r="AG581" s="732" t="s">
        <v>1718</v>
      </c>
      <c r="AH581" s="152" t="s">
        <v>1255</v>
      </c>
      <c r="AI581" s="841"/>
      <c r="AJ581" s="152" t="s">
        <v>1441</v>
      </c>
      <c r="AK581" s="255" t="s">
        <v>560</v>
      </c>
      <c r="AL581" s="153" t="s">
        <v>3597</v>
      </c>
      <c r="AM581" s="279" t="s">
        <v>2830</v>
      </c>
      <c r="AN581" s="161" t="str">
        <f t="shared" ca="1" si="103"/>
        <v>TERMINO</v>
      </c>
      <c r="AO581" s="160" t="s">
        <v>582</v>
      </c>
      <c r="AP581" s="406" t="s">
        <v>390</v>
      </c>
      <c r="AQ581" s="819" t="str">
        <f>IFERROR(VLOOKUP(E581,'liquidaciones '!$B$2:$C$1048576,2,0),"NO")</f>
        <v>NO</v>
      </c>
      <c r="AR581" s="909" t="str">
        <f>IFERROR(VLOOKUP(E581,'liquidaciones '!$B$2:$I$1048576,8,0),"")</f>
        <v/>
      </c>
      <c r="AS581" s="406"/>
      <c r="AT581" s="156" t="str">
        <f t="shared" ca="1" si="104"/>
        <v>SI</v>
      </c>
      <c r="AU581" s="156" t="s">
        <v>4244</v>
      </c>
      <c r="AV581" s="406"/>
      <c r="AW581" s="930" t="s">
        <v>3938</v>
      </c>
      <c r="AX581" s="930" t="s">
        <v>5547</v>
      </c>
      <c r="AY581" s="928"/>
    </row>
    <row r="582" spans="3:51" ht="30.6" x14ac:dyDescent="0.3">
      <c r="C582" s="837">
        <v>84</v>
      </c>
      <c r="D582" s="837"/>
      <c r="E582" s="120" t="s">
        <v>3694</v>
      </c>
      <c r="F582" s="414" t="s">
        <v>1337</v>
      </c>
      <c r="G582" s="863">
        <v>899999115</v>
      </c>
      <c r="H582" s="969" t="s">
        <v>3695</v>
      </c>
      <c r="I582" s="84">
        <v>68129166</v>
      </c>
      <c r="J582" s="843" t="s">
        <v>3694</v>
      </c>
      <c r="K582" s="269">
        <v>2017</v>
      </c>
      <c r="L582" s="519">
        <v>43046</v>
      </c>
      <c r="M582" s="844">
        <v>43053</v>
      </c>
      <c r="N582" s="844">
        <v>43234</v>
      </c>
      <c r="O582" s="1099" t="str">
        <f>IF(+Modificaciones!I582=0,"",VLOOKUP(E582,Modificaciones!$B$7:$I$2400,8,0))</f>
        <v/>
      </c>
      <c r="P582" s="115">
        <f>COUNTA(Modificaciones!J582,Modificaciones!L582,Modificaciones!N582,Modificaciones!P582)</f>
        <v>1</v>
      </c>
      <c r="Q582" s="116">
        <f>VLOOKUP(E582,Modificaciones!$B$7:$R$2300,17,0)</f>
        <v>22709722</v>
      </c>
      <c r="R582" s="117">
        <f>COUNTA(Modificaciones!T582,Modificaciones!V582,Modificaciones!X582,Modificaciones!Z582)</f>
        <v>1</v>
      </c>
      <c r="S582" s="118" t="str">
        <f>IF(Modificaciones!AA582=0,"",VLOOKUP(E582,Modificaciones!$B$7:$AA$2400,26,0))</f>
        <v>2 meses</v>
      </c>
      <c r="T582" s="119">
        <f>IF(Modificaciones!AB582=0,"",VLOOKUP(E582,Modificaciones!$B$7:$AB$2400,27,0))</f>
        <v>43294</v>
      </c>
      <c r="U582" s="1080" t="str">
        <f>+Modificaciones!AC582</f>
        <v/>
      </c>
      <c r="V582" s="825" t="str">
        <f>+Modificaciones!AK582</f>
        <v/>
      </c>
      <c r="W582" s="825">
        <f t="shared" si="99"/>
        <v>43294</v>
      </c>
      <c r="X582" s="59">
        <f t="shared" si="97"/>
        <v>90838888</v>
      </c>
      <c r="Y582" s="151">
        <f>VLOOKUP(E582,Modificaciones!$B$7:$BE$2300,56,0)</f>
        <v>90838884</v>
      </c>
      <c r="Z582" s="84">
        <f t="shared" si="107"/>
        <v>4</v>
      </c>
      <c r="AA582" s="283" t="s">
        <v>3696</v>
      </c>
      <c r="AB582" s="823">
        <f t="shared" si="98"/>
        <v>0.99999995596599556</v>
      </c>
      <c r="AC582" s="40">
        <f t="shared" ca="1" si="100"/>
        <v>1</v>
      </c>
      <c r="AD582" s="41">
        <f t="shared" ca="1" si="101"/>
        <v>4.4034004442750074E-8</v>
      </c>
      <c r="AE582" s="181" t="str">
        <f t="shared" ca="1" si="102"/>
        <v/>
      </c>
      <c r="AF582" s="42" t="str">
        <f t="shared" si="106"/>
        <v>SI</v>
      </c>
      <c r="AG582" s="1017" t="s">
        <v>4920</v>
      </c>
      <c r="AH582" s="152" t="s">
        <v>1256</v>
      </c>
      <c r="AI582" s="255" t="s">
        <v>1605</v>
      </c>
      <c r="AJ582" s="152" t="s">
        <v>1438</v>
      </c>
      <c r="AK582" s="255" t="s">
        <v>560</v>
      </c>
      <c r="AL582" s="279" t="s">
        <v>1508</v>
      </c>
      <c r="AM582" s="279" t="s">
        <v>3795</v>
      </c>
      <c r="AN582" s="161" t="str">
        <f t="shared" ca="1" si="103"/>
        <v>TERMINO</v>
      </c>
      <c r="AO582" s="284" t="s">
        <v>582</v>
      </c>
      <c r="AP582" s="406" t="s">
        <v>390</v>
      </c>
      <c r="AQ582" s="819" t="str">
        <f>IFERROR(VLOOKUP(E582,'liquidaciones '!$B$2:$C$1048576,2,0),"NO")</f>
        <v>LIQUIDADO</v>
      </c>
      <c r="AR582" s="909" t="str">
        <f>IFERROR(VLOOKUP(E582,'liquidaciones '!$B$2:$I$1048576,8,0),"")</f>
        <v>JUAN DIEGO ESPITIA</v>
      </c>
      <c r="AS582" s="406"/>
      <c r="AT582" s="156" t="str">
        <f t="shared" ca="1" si="104"/>
        <v>NO</v>
      </c>
      <c r="AU582" s="156" t="s">
        <v>3512</v>
      </c>
      <c r="AV582" s="406" t="s">
        <v>3778</v>
      </c>
      <c r="AW582" s="930" t="s">
        <v>560</v>
      </c>
      <c r="AX582" s="928"/>
      <c r="AY582" s="928"/>
    </row>
    <row r="583" spans="3:51" ht="28.8" x14ac:dyDescent="0.3">
      <c r="C583" s="837"/>
      <c r="D583" s="837"/>
      <c r="E583" s="120" t="s">
        <v>3697</v>
      </c>
      <c r="F583" s="414" t="s">
        <v>3698</v>
      </c>
      <c r="G583" s="863" t="s">
        <v>3699</v>
      </c>
      <c r="H583" s="969" t="s">
        <v>3700</v>
      </c>
      <c r="I583" s="84">
        <v>1380207</v>
      </c>
      <c r="J583" s="843" t="s">
        <v>3701</v>
      </c>
      <c r="K583" s="269">
        <v>2017</v>
      </c>
      <c r="L583" s="519">
        <v>43042</v>
      </c>
      <c r="M583" s="844">
        <v>43060</v>
      </c>
      <c r="N583" s="844">
        <v>43089</v>
      </c>
      <c r="O583" s="1099" t="str">
        <f>IF(+Modificaciones!I583=0,"",VLOOKUP(E583,Modificaciones!$B$7:$I$2400,8,0))</f>
        <v/>
      </c>
      <c r="P583" s="115">
        <f>COUNTA(Modificaciones!J583,Modificaciones!L583,Modificaciones!N583,Modificaciones!P583)</f>
        <v>0</v>
      </c>
      <c r="Q583" s="116">
        <f>VLOOKUP(E583,Modificaciones!$B$7:$R$2300,17,0)</f>
        <v>0</v>
      </c>
      <c r="R583" s="117">
        <f>COUNTA(Modificaciones!T583,Modificaciones!V583,Modificaciones!X583,Modificaciones!Z583)</f>
        <v>0</v>
      </c>
      <c r="S583" s="118" t="str">
        <f>IF(Modificaciones!AA583=0,"",VLOOKUP(E583,Modificaciones!$B$7:$AA$2400,26,0))</f>
        <v/>
      </c>
      <c r="T583" s="119" t="str">
        <f>IF(Modificaciones!AB583=0,"",VLOOKUP(E583,Modificaciones!$B$7:$AB$2400,27,0))</f>
        <v/>
      </c>
      <c r="U583" s="1080" t="str">
        <f>+Modificaciones!AC583</f>
        <v/>
      </c>
      <c r="V583" s="825" t="str">
        <f>+Modificaciones!AK583</f>
        <v/>
      </c>
      <c r="W583" s="825">
        <f t="shared" si="99"/>
        <v>43089</v>
      </c>
      <c r="X583" s="59">
        <f t="shared" ref="X583:X646" si="108">I583+Q583</f>
        <v>1380207</v>
      </c>
      <c r="Y583" s="151">
        <f>VLOOKUP(E583,Modificaciones!$B$7:$BE$2300,56,0)</f>
        <v>1380207</v>
      </c>
      <c r="Z583" s="84">
        <f t="shared" si="107"/>
        <v>0</v>
      </c>
      <c r="AA583" s="283" t="s">
        <v>1894</v>
      </c>
      <c r="AB583" s="823">
        <f t="shared" ref="AB583:AB600" si="109">(Y583*100%)/X583</f>
        <v>1</v>
      </c>
      <c r="AC583" s="40">
        <f t="shared" ca="1" si="100"/>
        <v>1</v>
      </c>
      <c r="AD583" s="41">
        <f t="shared" ca="1" si="101"/>
        <v>0</v>
      </c>
      <c r="AE583" s="181" t="str">
        <f t="shared" ca="1" si="102"/>
        <v/>
      </c>
      <c r="AF583" s="42" t="str">
        <f t="shared" si="106"/>
        <v>SI</v>
      </c>
      <c r="AG583" s="838"/>
      <c r="AH583" s="841"/>
      <c r="AI583" s="841"/>
      <c r="AJ583" s="838"/>
      <c r="AK583" s="838"/>
      <c r="AL583" s="838"/>
      <c r="AM583" s="279" t="s">
        <v>2830</v>
      </c>
      <c r="AN583" s="161" t="str">
        <f t="shared" ca="1" si="103"/>
        <v>TERMINO</v>
      </c>
      <c r="AO583" s="284" t="s">
        <v>576</v>
      </c>
      <c r="AP583" s="406"/>
      <c r="AQ583" s="819" t="str">
        <f>IFERROR(VLOOKUP(E583,'liquidaciones '!$B$2:$C$1048576,2,0),"NO")</f>
        <v>LIQUIDADO</v>
      </c>
      <c r="AR583" s="909">
        <f>IFERROR(VLOOKUP(E583,'liquidaciones '!$B$2:$I$1048576,8,0),"")</f>
        <v>0</v>
      </c>
      <c r="AS583" s="406"/>
      <c r="AT583" s="156" t="str">
        <f t="shared" ca="1" si="104"/>
        <v>NO</v>
      </c>
      <c r="AU583" s="156" t="s">
        <v>3050</v>
      </c>
      <c r="AV583" s="406"/>
      <c r="AW583" s="930" t="s">
        <v>3938</v>
      </c>
      <c r="AX583" s="928"/>
      <c r="AY583" s="928"/>
    </row>
    <row r="584" spans="3:51" ht="40.799999999999997" x14ac:dyDescent="0.3">
      <c r="C584" s="837">
        <v>190</v>
      </c>
      <c r="D584" s="837"/>
      <c r="E584" s="120" t="s">
        <v>3704</v>
      </c>
      <c r="F584" s="414" t="s">
        <v>2557</v>
      </c>
      <c r="G584" s="874" t="s">
        <v>2558</v>
      </c>
      <c r="H584" s="969" t="s">
        <v>3705</v>
      </c>
      <c r="I584" s="84">
        <v>6512000</v>
      </c>
      <c r="J584" s="843" t="s">
        <v>3706</v>
      </c>
      <c r="K584" s="269">
        <v>2017</v>
      </c>
      <c r="L584" s="519">
        <v>43053</v>
      </c>
      <c r="M584" s="844">
        <v>43070</v>
      </c>
      <c r="N584" s="844">
        <v>43190</v>
      </c>
      <c r="O584" s="1099" t="str">
        <f>IF(+Modificaciones!I584=0,"",VLOOKUP(E584,Modificaciones!$B$7:$I$2400,8,0))</f>
        <v/>
      </c>
      <c r="P584" s="115">
        <f>COUNTA(Modificaciones!J584,Modificaciones!L584,Modificaciones!N584,Modificaciones!P584)</f>
        <v>0</v>
      </c>
      <c r="Q584" s="116">
        <f>VLOOKUP(E584,Modificaciones!$B$7:$R$2300,17,0)</f>
        <v>0</v>
      </c>
      <c r="R584" s="117">
        <f>COUNTA(Modificaciones!T584,Modificaciones!V584,Modificaciones!X584,Modificaciones!Z584)</f>
        <v>2</v>
      </c>
      <c r="S584" s="118" t="str">
        <f>IF(Modificaciones!AA584=0,"",VLOOKUP(E584,Modificaciones!$B$7:$AA$2400,26,0))</f>
        <v>3 meses</v>
      </c>
      <c r="T584" s="119">
        <f>IF(Modificaciones!AB584=0,"",VLOOKUP(E584,Modificaciones!$B$7:$AB$2400,27,0))</f>
        <v>43281</v>
      </c>
      <c r="U584" s="1080" t="str">
        <f>+Modificaciones!AC584</f>
        <v/>
      </c>
      <c r="V584" s="825" t="str">
        <f>+Modificaciones!AK584</f>
        <v/>
      </c>
      <c r="W584" s="825">
        <f t="shared" ref="W584:W647" si="110">MAX(N584,O584,T584,V584)</f>
        <v>43281</v>
      </c>
      <c r="X584" s="59">
        <f t="shared" si="108"/>
        <v>6512000</v>
      </c>
      <c r="Y584" s="151">
        <f>VLOOKUP(E584,Modificaciones!$B$7:$BE$2300,56,0)</f>
        <v>3000000</v>
      </c>
      <c r="Z584" s="84">
        <f t="shared" si="107"/>
        <v>3512000</v>
      </c>
      <c r="AA584" s="288" t="s">
        <v>1186</v>
      </c>
      <c r="AB584" s="823">
        <f t="shared" si="109"/>
        <v>0.4606879606879607</v>
      </c>
      <c r="AC584" s="40">
        <f t="shared" ref="AC584:AC647" ca="1" si="111">IF((($F$3-M584)*100%/(W584-M584))&gt;100%,100%,(($F$3-M584)*100%/(W584-M584)))</f>
        <v>1</v>
      </c>
      <c r="AD584" s="41">
        <f t="shared" ref="AD584:AD647" ca="1" si="112">AC584-AB584</f>
        <v>0.5393120393120393</v>
      </c>
      <c r="AE584" s="181" t="str">
        <f t="shared" ref="AE584:AE647" ca="1" si="113">IF(AC584&lt;100%,W584-$F$3,"")</f>
        <v/>
      </c>
      <c r="AF584" s="42" t="str">
        <f t="shared" si="106"/>
        <v>NO</v>
      </c>
      <c r="AG584" s="838"/>
      <c r="AH584" s="152" t="s">
        <v>1255</v>
      </c>
      <c r="AI584" s="255" t="s">
        <v>1135</v>
      </c>
      <c r="AJ584" s="152" t="s">
        <v>1441</v>
      </c>
      <c r="AK584" s="255" t="s">
        <v>560</v>
      </c>
      <c r="AL584" s="153" t="s">
        <v>1379</v>
      </c>
      <c r="AM584" s="279" t="s">
        <v>3795</v>
      </c>
      <c r="AN584" s="161" t="str">
        <f t="shared" ref="AN584:AN647" ca="1" si="114">IF(W584&gt;=$F$3,"EN EJECUCIÓN","TERMINO")</f>
        <v>TERMINO</v>
      </c>
      <c r="AO584" s="160" t="s">
        <v>576</v>
      </c>
      <c r="AP584" s="406" t="s">
        <v>390</v>
      </c>
      <c r="AQ584" s="819" t="str">
        <f>IFERROR(VLOOKUP(E584,'liquidaciones '!$B$2:$C$1048576,2,0),"NO")</f>
        <v>LIQUIDADO</v>
      </c>
      <c r="AR584" s="909" t="str">
        <f>IFERROR(VLOOKUP(E584,'liquidaciones '!$B$2:$I$1048576,8,0),"")</f>
        <v>JUAN DIEGO ESPITIA</v>
      </c>
      <c r="AS584" s="406"/>
      <c r="AT584" s="156" t="str">
        <f t="shared" ref="AT584:AT647" ca="1" si="115">IF((TODAY()-W584&lt;900),"SI","NO")</f>
        <v>NO</v>
      </c>
      <c r="AU584" s="156" t="s">
        <v>2960</v>
      </c>
      <c r="AV584" s="406" t="s">
        <v>1378</v>
      </c>
      <c r="AW584" s="930" t="s">
        <v>560</v>
      </c>
      <c r="AX584" s="928"/>
      <c r="AY584" s="928"/>
    </row>
    <row r="585" spans="3:51" ht="30.6" x14ac:dyDescent="0.3">
      <c r="C585" s="837">
        <v>202</v>
      </c>
      <c r="D585" s="837"/>
      <c r="E585" s="120" t="s">
        <v>3708</v>
      </c>
      <c r="F585" s="414" t="s">
        <v>3709</v>
      </c>
      <c r="G585" s="863" t="s">
        <v>3710</v>
      </c>
      <c r="H585" s="969" t="s">
        <v>3724</v>
      </c>
      <c r="I585" s="84">
        <v>405331000</v>
      </c>
      <c r="J585" s="843" t="s">
        <v>3711</v>
      </c>
      <c r="K585" s="269">
        <v>2017</v>
      </c>
      <c r="L585" s="519">
        <v>43063</v>
      </c>
      <c r="M585" s="844">
        <v>43070</v>
      </c>
      <c r="N585" s="844">
        <v>43312</v>
      </c>
      <c r="O585" s="1099" t="str">
        <f>IF(+Modificaciones!I585=0,"",VLOOKUP(E585,Modificaciones!$B$7:$I$2400,8,0))</f>
        <v/>
      </c>
      <c r="P585" s="115">
        <f>COUNTA(Modificaciones!J585,Modificaciones!L585,Modificaciones!N585,Modificaciones!P585)</f>
        <v>0</v>
      </c>
      <c r="Q585" s="116">
        <f>VLOOKUP(E585,Modificaciones!$B$7:$R$2300,17,0)</f>
        <v>0</v>
      </c>
      <c r="R585" s="117">
        <f>COUNTA(Modificaciones!T585,Modificaciones!V585,Modificaciones!X585,Modificaciones!Z585)</f>
        <v>1</v>
      </c>
      <c r="S585" s="118" t="str">
        <f>IF(Modificaciones!AA585=0,"",VLOOKUP(E585,Modificaciones!$B$7:$AA$2400,26,0))</f>
        <v>3 meses</v>
      </c>
      <c r="T585" s="119">
        <f>IF(Modificaciones!AB585=0,"",VLOOKUP(E585,Modificaciones!$B$7:$AB$2400,27,0))</f>
        <v>43404</v>
      </c>
      <c r="U585" s="1080" t="str">
        <f>+Modificaciones!AC585</f>
        <v/>
      </c>
      <c r="V585" s="825" t="str">
        <f>+Modificaciones!AK585</f>
        <v/>
      </c>
      <c r="W585" s="825">
        <f t="shared" si="110"/>
        <v>43404</v>
      </c>
      <c r="X585" s="59">
        <f t="shared" si="108"/>
        <v>405331000</v>
      </c>
      <c r="Y585" s="151">
        <f>VLOOKUP(E585,Modificaciones!$B$7:$BE$2300,56,0)</f>
        <v>232376000</v>
      </c>
      <c r="Z585" s="84">
        <f t="shared" si="107"/>
        <v>172955000</v>
      </c>
      <c r="AA585" s="283" t="s">
        <v>1877</v>
      </c>
      <c r="AB585" s="823">
        <f t="shared" si="109"/>
        <v>0.57329935287456424</v>
      </c>
      <c r="AC585" s="40">
        <f t="shared" ca="1" si="111"/>
        <v>1</v>
      </c>
      <c r="AD585" s="41">
        <f t="shared" ca="1" si="112"/>
        <v>0.42670064712543576</v>
      </c>
      <c r="AE585" s="181" t="str">
        <f t="shared" ca="1" si="113"/>
        <v/>
      </c>
      <c r="AF585" s="42" t="str">
        <f t="shared" si="106"/>
        <v>NO</v>
      </c>
      <c r="AG585" s="1017" t="s">
        <v>4920</v>
      </c>
      <c r="AH585" s="152" t="s">
        <v>1255</v>
      </c>
      <c r="AI585" s="255" t="s">
        <v>1282</v>
      </c>
      <c r="AJ585" s="152" t="s">
        <v>1434</v>
      </c>
      <c r="AK585" s="255" t="s">
        <v>560</v>
      </c>
      <c r="AL585" s="279" t="s">
        <v>1385</v>
      </c>
      <c r="AM585" s="279" t="s">
        <v>3795</v>
      </c>
      <c r="AN585" s="161" t="str">
        <f t="shared" ca="1" si="114"/>
        <v>TERMINO</v>
      </c>
      <c r="AO585" s="284"/>
      <c r="AP585" s="406" t="s">
        <v>390</v>
      </c>
      <c r="AQ585" s="819" t="str">
        <f>IFERROR(VLOOKUP(E585,'liquidaciones '!$B$2:$C$1048576,2,0),"NO")</f>
        <v>LIQUIDADO</v>
      </c>
      <c r="AR585" s="909" t="str">
        <f>IFERROR(VLOOKUP(E585,'liquidaciones '!$B$2:$I$1048576,8,0),"")</f>
        <v>JUAN DIEGO ESPITIA</v>
      </c>
      <c r="AS585" s="406"/>
      <c r="AT585" s="156" t="str">
        <f t="shared" ca="1" si="115"/>
        <v>SI</v>
      </c>
      <c r="AU585" s="156" t="s">
        <v>3050</v>
      </c>
      <c r="AV585" s="406" t="s">
        <v>3779</v>
      </c>
      <c r="AW585" s="930" t="s">
        <v>560</v>
      </c>
      <c r="AX585" s="928"/>
      <c r="AY585" s="275" t="s">
        <v>4777</v>
      </c>
    </row>
    <row r="586" spans="3:51" ht="28.8" x14ac:dyDescent="0.3">
      <c r="C586" s="837"/>
      <c r="D586" s="837"/>
      <c r="E586" s="120" t="s">
        <v>3715</v>
      </c>
      <c r="F586" s="414" t="s">
        <v>3714</v>
      </c>
      <c r="G586" s="863" t="s">
        <v>3716</v>
      </c>
      <c r="H586" s="969" t="s">
        <v>3717</v>
      </c>
      <c r="I586" s="84">
        <v>242533577</v>
      </c>
      <c r="J586" s="843" t="s">
        <v>3720</v>
      </c>
      <c r="K586" s="269">
        <v>2017</v>
      </c>
      <c r="L586" s="519">
        <v>43068</v>
      </c>
      <c r="M586" s="844">
        <v>43068</v>
      </c>
      <c r="N586" s="844">
        <v>43082</v>
      </c>
      <c r="O586" s="1099" t="str">
        <f>IF(+Modificaciones!I586=0,"",VLOOKUP(E586,Modificaciones!$B$7:$I$2400,8,0))</f>
        <v/>
      </c>
      <c r="P586" s="115">
        <f>COUNTA(Modificaciones!J586,Modificaciones!L586,Modificaciones!N586,Modificaciones!P586)</f>
        <v>0</v>
      </c>
      <c r="Q586" s="116">
        <f>VLOOKUP(E586,Modificaciones!$B$7:$R$2300,17,0)</f>
        <v>0</v>
      </c>
      <c r="R586" s="117">
        <f>COUNTA(Modificaciones!T586,Modificaciones!V586,Modificaciones!X586,Modificaciones!Z586)</f>
        <v>0</v>
      </c>
      <c r="S586" s="118" t="str">
        <f>IF(Modificaciones!AA586=0,"",VLOOKUP(E586,Modificaciones!$B$7:$AA$2400,26,0))</f>
        <v/>
      </c>
      <c r="T586" s="119" t="str">
        <f>IF(Modificaciones!AB586=0,"",VLOOKUP(E586,Modificaciones!$B$7:$AB$2400,27,0))</f>
        <v/>
      </c>
      <c r="U586" s="1080" t="str">
        <f>+Modificaciones!AC586</f>
        <v/>
      </c>
      <c r="V586" s="825" t="str">
        <f>+Modificaciones!AK586</f>
        <v/>
      </c>
      <c r="W586" s="825">
        <f t="shared" si="110"/>
        <v>43082</v>
      </c>
      <c r="X586" s="59">
        <f t="shared" si="108"/>
        <v>242533577</v>
      </c>
      <c r="Y586" s="151">
        <f>VLOOKUP(E586,Modificaciones!$B$7:$BE$2300,56,0)</f>
        <v>242531342</v>
      </c>
      <c r="Z586" s="84">
        <f t="shared" si="107"/>
        <v>2235</v>
      </c>
      <c r="AA586" s="283"/>
      <c r="AB586" s="823">
        <f t="shared" si="109"/>
        <v>0.99999078478111092</v>
      </c>
      <c r="AC586" s="40">
        <f t="shared" ca="1" si="111"/>
        <v>1</v>
      </c>
      <c r="AD586" s="41">
        <f t="shared" ca="1" si="112"/>
        <v>9.2152188890803899E-6</v>
      </c>
      <c r="AE586" s="181" t="str">
        <f t="shared" ca="1" si="113"/>
        <v/>
      </c>
      <c r="AF586" s="42" t="str">
        <f t="shared" si="106"/>
        <v>SI</v>
      </c>
      <c r="AG586" s="1017" t="s">
        <v>4920</v>
      </c>
      <c r="AH586" s="152" t="s">
        <v>1256</v>
      </c>
      <c r="AI586" s="870" t="s">
        <v>3719</v>
      </c>
      <c r="AJ586" s="152" t="s">
        <v>1438</v>
      </c>
      <c r="AK586" s="255" t="s">
        <v>560</v>
      </c>
      <c r="AL586" s="279" t="s">
        <v>1508</v>
      </c>
      <c r="AM586" s="279" t="s">
        <v>3795</v>
      </c>
      <c r="AN586" s="161" t="str">
        <f t="shared" ca="1" si="114"/>
        <v>TERMINO</v>
      </c>
      <c r="AO586" s="284" t="s">
        <v>2722</v>
      </c>
      <c r="AP586" s="406"/>
      <c r="AQ586" s="819" t="str">
        <f>IFERROR(VLOOKUP(E586,'liquidaciones '!$B$2:$C$1048576,2,0),"NO")</f>
        <v>LIQUIDADO</v>
      </c>
      <c r="AR586" s="909">
        <f>IFERROR(VLOOKUP(E586,'liquidaciones '!$B$2:$I$1048576,8,0),"")</f>
        <v>0</v>
      </c>
      <c r="AS586" s="406"/>
      <c r="AT586" s="156" t="str">
        <f t="shared" ca="1" si="115"/>
        <v>NO</v>
      </c>
      <c r="AU586" s="156" t="s">
        <v>3512</v>
      </c>
      <c r="AV586" s="406" t="s">
        <v>3778</v>
      </c>
      <c r="AW586" s="930" t="s">
        <v>560</v>
      </c>
      <c r="AX586" s="928"/>
      <c r="AY586" s="928"/>
    </row>
    <row r="587" spans="3:51" ht="28.8" x14ac:dyDescent="0.3">
      <c r="C587" s="837"/>
      <c r="D587" s="837"/>
      <c r="E587" s="120" t="s">
        <v>3721</v>
      </c>
      <c r="F587" s="414" t="s">
        <v>3722</v>
      </c>
      <c r="G587" s="863" t="s">
        <v>3553</v>
      </c>
      <c r="H587" s="969" t="s">
        <v>3723</v>
      </c>
      <c r="I587" s="84">
        <v>102161000</v>
      </c>
      <c r="J587" s="843" t="s">
        <v>3711</v>
      </c>
      <c r="K587" s="269">
        <v>2017</v>
      </c>
      <c r="L587" s="519">
        <v>43063</v>
      </c>
      <c r="M587" s="844">
        <v>43080</v>
      </c>
      <c r="N587" s="844">
        <v>43322</v>
      </c>
      <c r="O587" s="1099" t="str">
        <f>IF(+Modificaciones!I587=0,"",VLOOKUP(E587,Modificaciones!$B$7:$I$2400,8,0))</f>
        <v/>
      </c>
      <c r="P587" s="115">
        <f>COUNTA(Modificaciones!J587,Modificaciones!L587,Modificaciones!N587,Modificaciones!P587)</f>
        <v>0</v>
      </c>
      <c r="Q587" s="116">
        <f>VLOOKUP(E587,Modificaciones!$B$7:$R$2300,17,0)</f>
        <v>0</v>
      </c>
      <c r="R587" s="117">
        <f>COUNTA(Modificaciones!T587,Modificaciones!V587,Modificaciones!X587,Modificaciones!Z587)</f>
        <v>1</v>
      </c>
      <c r="S587" s="118" t="str">
        <f>IF(Modificaciones!AA587=0,"",VLOOKUP(E587,Modificaciones!$B$7:$AA$2400,26,0))</f>
        <v>3 meses</v>
      </c>
      <c r="T587" s="119">
        <f>IF(Modificaciones!AB587=0,"",VLOOKUP(E587,Modificaciones!$B$7:$AB$2400,27,0))</f>
        <v>43414</v>
      </c>
      <c r="U587" s="1080" t="str">
        <f>+Modificaciones!AC587</f>
        <v/>
      </c>
      <c r="V587" s="825" t="str">
        <f>+Modificaciones!AK587</f>
        <v/>
      </c>
      <c r="W587" s="825">
        <f t="shared" si="110"/>
        <v>43414</v>
      </c>
      <c r="X587" s="59">
        <f t="shared" si="108"/>
        <v>102161000</v>
      </c>
      <c r="Y587" s="151">
        <f>VLOOKUP(E587,Modificaciones!$B$7:$BE$2300,56,0)</f>
        <v>56764190</v>
      </c>
      <c r="Z587" s="84">
        <f t="shared" si="107"/>
        <v>45396810</v>
      </c>
      <c r="AA587" s="283" t="s">
        <v>1877</v>
      </c>
      <c r="AB587" s="823">
        <f t="shared" si="109"/>
        <v>0.55563463552627712</v>
      </c>
      <c r="AC587" s="40">
        <f t="shared" ca="1" si="111"/>
        <v>1</v>
      </c>
      <c r="AD587" s="41">
        <f t="shared" ca="1" si="112"/>
        <v>0.44436536447372288</v>
      </c>
      <c r="AE587" s="181" t="str">
        <f t="shared" ca="1" si="113"/>
        <v/>
      </c>
      <c r="AF587" s="42" t="str">
        <f t="shared" si="106"/>
        <v>NO</v>
      </c>
      <c r="AG587" s="1017" t="s">
        <v>4920</v>
      </c>
      <c r="AH587" s="152" t="s">
        <v>1255</v>
      </c>
      <c r="AI587" s="255" t="s">
        <v>1282</v>
      </c>
      <c r="AJ587" s="152" t="s">
        <v>1434</v>
      </c>
      <c r="AK587" s="255" t="s">
        <v>560</v>
      </c>
      <c r="AL587" s="279" t="s">
        <v>1385</v>
      </c>
      <c r="AM587" s="279" t="s">
        <v>3795</v>
      </c>
      <c r="AN587" s="161" t="str">
        <f t="shared" ca="1" si="114"/>
        <v>TERMINO</v>
      </c>
      <c r="AO587" s="414"/>
      <c r="AP587" s="406" t="s">
        <v>390</v>
      </c>
      <c r="AQ587" s="819" t="str">
        <f>IFERROR(VLOOKUP(E587,'liquidaciones '!$B$2:$C$1048576,2,0),"NO")</f>
        <v>LIQUIDADO</v>
      </c>
      <c r="AR587" s="909" t="str">
        <f>IFERROR(VLOOKUP(E587,'liquidaciones '!$B$2:$I$1048576,8,0),"")</f>
        <v>JUAN DIEGO ESPITIA</v>
      </c>
      <c r="AS587" s="406"/>
      <c r="AT587" s="156" t="str">
        <f t="shared" ca="1" si="115"/>
        <v>SI</v>
      </c>
      <c r="AU587" s="156" t="s">
        <v>4245</v>
      </c>
      <c r="AV587" s="406" t="s">
        <v>3779</v>
      </c>
      <c r="AW587" s="930" t="s">
        <v>560</v>
      </c>
      <c r="AX587" s="928"/>
      <c r="AY587" s="928"/>
    </row>
    <row r="588" spans="3:51" ht="30.6" x14ac:dyDescent="0.3">
      <c r="C588" s="837"/>
      <c r="D588" s="837"/>
      <c r="E588" s="120" t="s">
        <v>3727</v>
      </c>
      <c r="F588" s="414" t="s">
        <v>3728</v>
      </c>
      <c r="G588" s="863">
        <v>901132826</v>
      </c>
      <c r="H588" s="969" t="s">
        <v>3729</v>
      </c>
      <c r="I588" s="84">
        <v>120149000</v>
      </c>
      <c r="J588" s="843" t="s">
        <v>3730</v>
      </c>
      <c r="K588" s="269">
        <v>2017</v>
      </c>
      <c r="L588" s="519">
        <v>43063</v>
      </c>
      <c r="M588" s="872">
        <v>43083</v>
      </c>
      <c r="N588" s="872">
        <v>43447</v>
      </c>
      <c r="O588" s="1099" t="str">
        <f>IF(+Modificaciones!I588=0,"",VLOOKUP(E588,Modificaciones!$B$7:$I$2400,8,0))</f>
        <v/>
      </c>
      <c r="P588" s="115">
        <f>COUNTA(Modificaciones!J588,Modificaciones!L588,Modificaciones!N588,Modificaciones!P588)</f>
        <v>1</v>
      </c>
      <c r="Q588" s="116">
        <f>VLOOKUP(E588,Modificaciones!$B$7:$R$2300,17,0)</f>
        <v>30037250</v>
      </c>
      <c r="R588" s="117">
        <f>COUNTA(Modificaciones!T588,Modificaciones!V588,Modificaciones!X588,Modificaciones!Z588)</f>
        <v>1</v>
      </c>
      <c r="S588" s="118" t="str">
        <f>IF(Modificaciones!AA588=0,"",VLOOKUP(E588,Modificaciones!$B$7:$AA$2400,26,0))</f>
        <v>3 meses</v>
      </c>
      <c r="T588" s="119">
        <f>IF(Modificaciones!AB588=0,"",VLOOKUP(E588,Modificaciones!$B$7:$AB$2400,27,0))</f>
        <v>43537</v>
      </c>
      <c r="U588" s="1080" t="str">
        <f>+Modificaciones!AC588</f>
        <v/>
      </c>
      <c r="V588" s="825" t="str">
        <f>+Modificaciones!AK588</f>
        <v/>
      </c>
      <c r="W588" s="825">
        <f t="shared" si="110"/>
        <v>43537</v>
      </c>
      <c r="X588" s="59">
        <f t="shared" si="108"/>
        <v>150186250</v>
      </c>
      <c r="Y588" s="151">
        <f>VLOOKUP(E588,Modificaciones!$B$7:$BE$2300,56,0)</f>
        <v>130672313</v>
      </c>
      <c r="Z588" s="84">
        <f t="shared" si="107"/>
        <v>19513937</v>
      </c>
      <c r="AA588" s="283" t="s">
        <v>3731</v>
      </c>
      <c r="AB588" s="823">
        <f t="shared" si="109"/>
        <v>0.87006841838051086</v>
      </c>
      <c r="AC588" s="40">
        <f t="shared" ca="1" si="111"/>
        <v>1</v>
      </c>
      <c r="AD588" s="41">
        <f t="shared" ca="1" si="112"/>
        <v>0.12993158161948914</v>
      </c>
      <c r="AE588" s="181" t="str">
        <f t="shared" ca="1" si="113"/>
        <v/>
      </c>
      <c r="AF588" s="42" t="str">
        <f t="shared" si="106"/>
        <v>NO</v>
      </c>
      <c r="AG588" s="1017" t="s">
        <v>4920</v>
      </c>
      <c r="AH588" s="152" t="s">
        <v>1256</v>
      </c>
      <c r="AI588" s="255" t="s">
        <v>2079</v>
      </c>
      <c r="AJ588" s="152" t="s">
        <v>1438</v>
      </c>
      <c r="AK588" s="255" t="s">
        <v>560</v>
      </c>
      <c r="AL588" s="279" t="s">
        <v>1508</v>
      </c>
      <c r="AM588" s="279" t="s">
        <v>2830</v>
      </c>
      <c r="AN588" s="161" t="str">
        <f t="shared" ca="1" si="114"/>
        <v>TERMINO</v>
      </c>
      <c r="AO588" s="284" t="s">
        <v>575</v>
      </c>
      <c r="AP588" s="406" t="s">
        <v>390</v>
      </c>
      <c r="AQ588" s="819" t="str">
        <f>IFERROR(VLOOKUP(E588,'liquidaciones '!$B$2:$C$1048576,2,0),"NO")</f>
        <v>LIQUIDADO</v>
      </c>
      <c r="AR588" s="909" t="str">
        <f>IFERROR(VLOOKUP(E588,'liquidaciones '!$B$2:$I$1048576,8,0),"")</f>
        <v>JUAN DIEGO ESPITIA</v>
      </c>
      <c r="AS588" s="406"/>
      <c r="AT588" s="156" t="str">
        <f t="shared" ca="1" si="115"/>
        <v>SI</v>
      </c>
      <c r="AU588" s="156" t="s">
        <v>4209</v>
      </c>
      <c r="AV588" s="406" t="s">
        <v>3778</v>
      </c>
      <c r="AW588" s="930" t="s">
        <v>560</v>
      </c>
      <c r="AX588" s="928"/>
      <c r="AY588" s="275" t="s">
        <v>4672</v>
      </c>
    </row>
    <row r="589" spans="3:51" ht="102" x14ac:dyDescent="0.3">
      <c r="C589" s="837">
        <v>78</v>
      </c>
      <c r="D589" s="837"/>
      <c r="E589" s="120" t="s">
        <v>3735</v>
      </c>
      <c r="F589" s="414" t="s">
        <v>3736</v>
      </c>
      <c r="G589" s="863">
        <v>900280686</v>
      </c>
      <c r="H589" s="969" t="s">
        <v>3737</v>
      </c>
      <c r="I589" s="84">
        <v>11637012</v>
      </c>
      <c r="J589" s="843" t="s">
        <v>3743</v>
      </c>
      <c r="K589" s="269">
        <v>2017</v>
      </c>
      <c r="L589" s="519">
        <v>43075</v>
      </c>
      <c r="M589" s="844">
        <v>43096</v>
      </c>
      <c r="N589" s="844">
        <v>43369</v>
      </c>
      <c r="O589" s="1099" t="str">
        <f>IF(+Modificaciones!I589=0,"",VLOOKUP(E589,Modificaciones!$B$7:$I$2400,8,0))</f>
        <v/>
      </c>
      <c r="P589" s="115">
        <f>COUNTA(Modificaciones!J589,Modificaciones!L589,Modificaciones!N589,Modificaciones!P589)</f>
        <v>0</v>
      </c>
      <c r="Q589" s="116">
        <f>VLOOKUP(E589,Modificaciones!$B$7:$R$2300,17,0)</f>
        <v>0</v>
      </c>
      <c r="R589" s="117">
        <f>COUNTA(Modificaciones!T589,Modificaciones!V589,Modificaciones!X589,Modificaciones!Z589)</f>
        <v>0</v>
      </c>
      <c r="S589" s="118" t="str">
        <f>IF(Modificaciones!AA589=0,"",VLOOKUP(E589,Modificaciones!$B$7:$AA$2400,26,0))</f>
        <v/>
      </c>
      <c r="T589" s="119" t="str">
        <f>IF(Modificaciones!AB589=0,"",VLOOKUP(E589,Modificaciones!$B$7:$AB$2400,27,0))</f>
        <v/>
      </c>
      <c r="U589" s="1080" t="str">
        <f>+Modificaciones!AC589</f>
        <v/>
      </c>
      <c r="V589" s="825" t="str">
        <f>+Modificaciones!AK589</f>
        <v/>
      </c>
      <c r="W589" s="825">
        <f t="shared" si="110"/>
        <v>43369</v>
      </c>
      <c r="X589" s="59">
        <f t="shared" si="108"/>
        <v>11637012</v>
      </c>
      <c r="Y589" s="151">
        <f>VLOOKUP(E589,Modificaciones!$B$7:$BE$2300,56,0)</f>
        <v>11637012</v>
      </c>
      <c r="Z589" s="84">
        <f t="shared" si="107"/>
        <v>0</v>
      </c>
      <c r="AA589" s="288" t="s">
        <v>3738</v>
      </c>
      <c r="AB589" s="823">
        <f t="shared" si="109"/>
        <v>1</v>
      </c>
      <c r="AC589" s="40">
        <f t="shared" ca="1" si="111"/>
        <v>1</v>
      </c>
      <c r="AD589" s="41">
        <f t="shared" ca="1" si="112"/>
        <v>0</v>
      </c>
      <c r="AE589" s="181" t="str">
        <f t="shared" ca="1" si="113"/>
        <v/>
      </c>
      <c r="AF589" s="42" t="str">
        <f t="shared" si="106"/>
        <v>SI</v>
      </c>
      <c r="AG589" s="1017" t="s">
        <v>4920</v>
      </c>
      <c r="AH589" s="152" t="s">
        <v>1256</v>
      </c>
      <c r="AI589" s="255" t="s">
        <v>2784</v>
      </c>
      <c r="AJ589" s="152" t="s">
        <v>1438</v>
      </c>
      <c r="AK589" s="255" t="s">
        <v>560</v>
      </c>
      <c r="AL589" s="279" t="s">
        <v>1508</v>
      </c>
      <c r="AM589" s="279" t="s">
        <v>3795</v>
      </c>
      <c r="AN589" s="161" t="str">
        <f t="shared" ca="1" si="114"/>
        <v>TERMINO</v>
      </c>
      <c r="AO589" s="284" t="s">
        <v>576</v>
      </c>
      <c r="AP589" s="406" t="s">
        <v>390</v>
      </c>
      <c r="AQ589" s="819" t="str">
        <f>IFERROR(VLOOKUP(E589,'liquidaciones '!$B$2:$C$1048576,2,0),"NO")</f>
        <v>LIQUIDADO</v>
      </c>
      <c r="AR589" s="909" t="str">
        <f>IFERROR(VLOOKUP(E589,'liquidaciones '!$B$2:$I$1048576,8,0),"")</f>
        <v>JUAN DIEGO ESPITIA</v>
      </c>
      <c r="AS589" s="406"/>
      <c r="AT589" s="156" t="str">
        <f t="shared" ca="1" si="115"/>
        <v>SI</v>
      </c>
      <c r="AU589" s="156" t="s">
        <v>4209</v>
      </c>
      <c r="AV589" s="406" t="s">
        <v>3778</v>
      </c>
      <c r="AW589" s="930" t="s">
        <v>560</v>
      </c>
      <c r="AX589" s="928"/>
      <c r="AY589" s="275" t="s">
        <v>4659</v>
      </c>
    </row>
    <row r="590" spans="3:51" ht="30.6" x14ac:dyDescent="0.3">
      <c r="C590" s="837"/>
      <c r="D590" s="837"/>
      <c r="E590" s="120" t="s">
        <v>3739</v>
      </c>
      <c r="F590" s="414" t="s">
        <v>3741</v>
      </c>
      <c r="G590" s="863">
        <v>900908055</v>
      </c>
      <c r="H590" s="969" t="s">
        <v>3740</v>
      </c>
      <c r="I590" s="84">
        <v>571200</v>
      </c>
      <c r="J590" s="843" t="s">
        <v>3742</v>
      </c>
      <c r="K590" s="269">
        <v>2017</v>
      </c>
      <c r="L590" s="519">
        <v>43074</v>
      </c>
      <c r="M590" s="844">
        <v>43088</v>
      </c>
      <c r="N590" s="844">
        <v>43269</v>
      </c>
      <c r="O590" s="1099" t="str">
        <f>IF(+Modificaciones!I590=0,"",VLOOKUP(E590,Modificaciones!$B$7:$I$2400,8,0))</f>
        <v/>
      </c>
      <c r="P590" s="115">
        <f>COUNTA(Modificaciones!J590,Modificaciones!L590,Modificaciones!N590,Modificaciones!P590)</f>
        <v>0</v>
      </c>
      <c r="Q590" s="116">
        <f>VLOOKUP(E590,Modificaciones!$B$7:$R$2300,17,0)</f>
        <v>0</v>
      </c>
      <c r="R590" s="117">
        <f>COUNTA(Modificaciones!T590,Modificaciones!V590,Modificaciones!X590,Modificaciones!Z590)</f>
        <v>0</v>
      </c>
      <c r="S590" s="118" t="str">
        <f>IF(Modificaciones!AA590=0,"",VLOOKUP(E590,Modificaciones!$B$7:$AA$2400,26,0))</f>
        <v/>
      </c>
      <c r="T590" s="119" t="str">
        <f>IF(Modificaciones!AB590=0,"",VLOOKUP(E590,Modificaciones!$B$7:$AB$2400,27,0))</f>
        <v/>
      </c>
      <c r="U590" s="1080" t="str">
        <f>+Modificaciones!AC590</f>
        <v/>
      </c>
      <c r="V590" s="825" t="str">
        <f>+Modificaciones!AK590</f>
        <v/>
      </c>
      <c r="W590" s="825">
        <f t="shared" si="110"/>
        <v>43269</v>
      </c>
      <c r="X590" s="59">
        <f t="shared" si="108"/>
        <v>571200</v>
      </c>
      <c r="Y590" s="151">
        <f>VLOOKUP(E590,Modificaciones!$B$7:$BE$2300,56,0)</f>
        <v>0</v>
      </c>
      <c r="Z590" s="84">
        <f t="shared" si="107"/>
        <v>571200</v>
      </c>
      <c r="AA590" s="283" t="s">
        <v>1894</v>
      </c>
      <c r="AB590" s="823">
        <f t="shared" si="109"/>
        <v>0</v>
      </c>
      <c r="AC590" s="40">
        <f t="shared" ca="1" si="111"/>
        <v>1</v>
      </c>
      <c r="AD590" s="41">
        <f t="shared" ca="1" si="112"/>
        <v>1</v>
      </c>
      <c r="AE590" s="181" t="str">
        <f t="shared" ca="1" si="113"/>
        <v/>
      </c>
      <c r="AF590" s="42" t="str">
        <f t="shared" si="106"/>
        <v>NO</v>
      </c>
      <c r="AG590" s="838"/>
      <c r="AH590" s="152" t="s">
        <v>1255</v>
      </c>
      <c r="AI590" s="255" t="s">
        <v>1503</v>
      </c>
      <c r="AJ590" s="152" t="s">
        <v>1441</v>
      </c>
      <c r="AK590" s="255" t="s">
        <v>560</v>
      </c>
      <c r="AL590" s="279"/>
      <c r="AM590" s="279" t="s">
        <v>2830</v>
      </c>
      <c r="AN590" s="161" t="str">
        <f t="shared" ca="1" si="114"/>
        <v>TERMINO</v>
      </c>
      <c r="AO590" s="414"/>
      <c r="AP590" s="406" t="s">
        <v>390</v>
      </c>
      <c r="AQ590" s="819" t="str">
        <f>IFERROR(VLOOKUP(E590,'liquidaciones '!$B$2:$C$1048576,2,0),"NO")</f>
        <v>NO</v>
      </c>
      <c r="AR590" s="909" t="str">
        <f>IFERROR(VLOOKUP(E590,'liquidaciones '!$B$2:$I$1048576,8,0),"")</f>
        <v/>
      </c>
      <c r="AS590" s="406"/>
      <c r="AT590" s="156" t="str">
        <f t="shared" ca="1" si="115"/>
        <v>NO</v>
      </c>
      <c r="AU590" s="156" t="s">
        <v>2973</v>
      </c>
      <c r="AV590" s="406"/>
      <c r="AW590" s="930" t="s">
        <v>3938</v>
      </c>
      <c r="AX590" s="928"/>
      <c r="AY590" s="928"/>
    </row>
    <row r="591" spans="3:51" ht="40.799999999999997" x14ac:dyDescent="0.3">
      <c r="C591" s="837">
        <v>79</v>
      </c>
      <c r="D591" s="837"/>
      <c r="E591" s="120" t="s">
        <v>3744</v>
      </c>
      <c r="F591" s="414" t="s">
        <v>1366</v>
      </c>
      <c r="G591" s="863">
        <v>79797614</v>
      </c>
      <c r="H591" s="969" t="s">
        <v>3745</v>
      </c>
      <c r="I591" s="84">
        <v>12500004</v>
      </c>
      <c r="J591" s="843" t="s">
        <v>3753</v>
      </c>
      <c r="K591" s="269">
        <v>2017</v>
      </c>
      <c r="L591" s="519">
        <v>43060</v>
      </c>
      <c r="M591" s="844">
        <v>43096</v>
      </c>
      <c r="N591" s="844">
        <v>43460</v>
      </c>
      <c r="O591" s="1099" t="str">
        <f>IF(+Modificaciones!I591=0,"",VLOOKUP(E591,Modificaciones!$B$7:$I$2400,8,0))</f>
        <v/>
      </c>
      <c r="P591" s="115">
        <f>COUNTA(Modificaciones!J591,Modificaciones!L591,Modificaciones!N591,Modificaciones!P591)</f>
        <v>1</v>
      </c>
      <c r="Q591" s="116">
        <f>VLOOKUP(E591,Modificaciones!$B$7:$R$2300,17,0)</f>
        <v>3125001</v>
      </c>
      <c r="R591" s="117">
        <f>COUNTA(Modificaciones!T591,Modificaciones!V591,Modificaciones!X591,Modificaciones!Z591)</f>
        <v>1</v>
      </c>
      <c r="S591" s="118" t="str">
        <f>IF(Modificaciones!AA591=0,"",VLOOKUP(E591,Modificaciones!$B$7:$AA$2400,26,0))</f>
        <v>3 meses</v>
      </c>
      <c r="T591" s="119">
        <f>IF(Modificaciones!AB591=0,"",VLOOKUP(E591,Modificaciones!$B$7:$AB$2400,27,0))</f>
        <v>43550</v>
      </c>
      <c r="U591" s="1080" t="str">
        <f>+Modificaciones!AC591</f>
        <v/>
      </c>
      <c r="V591" s="825" t="str">
        <f>+Modificaciones!AK591</f>
        <v/>
      </c>
      <c r="W591" s="825">
        <f t="shared" si="110"/>
        <v>43550</v>
      </c>
      <c r="X591" s="59">
        <f t="shared" si="108"/>
        <v>15625005</v>
      </c>
      <c r="Y591" s="151">
        <f>VLOOKUP(E591,Modificaciones!$B$7:$BE$2300,56,0)</f>
        <v>15625005</v>
      </c>
      <c r="Z591" s="84">
        <f t="shared" si="107"/>
        <v>0</v>
      </c>
      <c r="AA591" s="283" t="s">
        <v>1094</v>
      </c>
      <c r="AB591" s="823">
        <f t="shared" si="109"/>
        <v>1</v>
      </c>
      <c r="AC591" s="40">
        <f t="shared" ca="1" si="111"/>
        <v>1</v>
      </c>
      <c r="AD591" s="41">
        <f t="shared" ca="1" si="112"/>
        <v>0</v>
      </c>
      <c r="AE591" s="181" t="str">
        <f t="shared" ca="1" si="113"/>
        <v/>
      </c>
      <c r="AF591" s="42" t="str">
        <f t="shared" si="106"/>
        <v>SI</v>
      </c>
      <c r="AG591" s="838"/>
      <c r="AH591" s="152" t="s">
        <v>1256</v>
      </c>
      <c r="AI591" s="255" t="s">
        <v>1368</v>
      </c>
      <c r="AJ591" s="152" t="s">
        <v>1438</v>
      </c>
      <c r="AK591" s="255" t="s">
        <v>560</v>
      </c>
      <c r="AL591" s="279" t="s">
        <v>1508</v>
      </c>
      <c r="AM591" s="279" t="s">
        <v>3795</v>
      </c>
      <c r="AN591" s="161" t="str">
        <f t="shared" ca="1" si="114"/>
        <v>TERMINO</v>
      </c>
      <c r="AO591" s="284" t="s">
        <v>576</v>
      </c>
      <c r="AP591" s="406" t="s">
        <v>390</v>
      </c>
      <c r="AQ591" s="819" t="str">
        <f>IFERROR(VLOOKUP(E591,'liquidaciones '!$B$2:$C$1048576,2,0),"NO")</f>
        <v>LIQUIDADO</v>
      </c>
      <c r="AR591" s="909" t="str">
        <f>IFERROR(VLOOKUP(E591,'liquidaciones '!$B$2:$I$1048576,8,0),"")</f>
        <v>JUAN DIEGO ESPITIA</v>
      </c>
      <c r="AS591" s="406"/>
      <c r="AT591" s="156" t="str">
        <f t="shared" ca="1" si="115"/>
        <v>SI</v>
      </c>
      <c r="AU591" s="156" t="s">
        <v>4209</v>
      </c>
      <c r="AV591" s="406" t="s">
        <v>3778</v>
      </c>
      <c r="AW591" s="930" t="s">
        <v>560</v>
      </c>
      <c r="AX591" s="928"/>
      <c r="AY591" s="275" t="s">
        <v>4661</v>
      </c>
    </row>
    <row r="592" spans="3:51" ht="50.25" customHeight="1" x14ac:dyDescent="0.3">
      <c r="C592" s="837"/>
      <c r="D592" s="837"/>
      <c r="E592" s="120" t="s">
        <v>3748</v>
      </c>
      <c r="F592" s="414" t="s">
        <v>2624</v>
      </c>
      <c r="G592" s="874">
        <v>900699012</v>
      </c>
      <c r="H592" s="965" t="s">
        <v>2726</v>
      </c>
      <c r="I592" s="84">
        <v>16300000</v>
      </c>
      <c r="J592" s="843" t="s">
        <v>5256</v>
      </c>
      <c r="K592" s="269">
        <v>2017</v>
      </c>
      <c r="L592" s="519">
        <v>43075</v>
      </c>
      <c r="M592" s="844">
        <v>43091</v>
      </c>
      <c r="N592" s="844">
        <v>43152</v>
      </c>
      <c r="O592" s="1099" t="str">
        <f>IF(+Modificaciones!I592=0,"",VLOOKUP(E592,Modificaciones!$B$7:$I$2400,8,0))</f>
        <v/>
      </c>
      <c r="P592" s="115">
        <f>COUNTA(Modificaciones!J592,Modificaciones!L592,Modificaciones!N592,Modificaciones!P592)</f>
        <v>0</v>
      </c>
      <c r="Q592" s="116">
        <f>VLOOKUP(E592,Modificaciones!$B$7:$R$2300,17,0)</f>
        <v>0</v>
      </c>
      <c r="R592" s="117">
        <f>COUNTA(Modificaciones!T592,Modificaciones!V592,Modificaciones!X592,Modificaciones!Z592)</f>
        <v>0</v>
      </c>
      <c r="S592" s="118" t="str">
        <f>IF(Modificaciones!AA592=0,"",VLOOKUP(E592,Modificaciones!$B$7:$AA$2400,26,0))</f>
        <v/>
      </c>
      <c r="T592" s="119" t="str">
        <f>IF(Modificaciones!AB592=0,"",VLOOKUP(E592,Modificaciones!$B$7:$AB$2400,27,0))</f>
        <v/>
      </c>
      <c r="U592" s="1080" t="str">
        <f>+Modificaciones!AC592</f>
        <v/>
      </c>
      <c r="V592" s="825" t="str">
        <f>+Modificaciones!AK592</f>
        <v/>
      </c>
      <c r="W592" s="825">
        <f t="shared" si="110"/>
        <v>43152</v>
      </c>
      <c r="X592" s="59">
        <f t="shared" si="108"/>
        <v>16300000</v>
      </c>
      <c r="Y592" s="151">
        <f>VLOOKUP(E592,Modificaciones!$B$7:$BE$2300,56,0)</f>
        <v>16300000</v>
      </c>
      <c r="Z592" s="84">
        <f t="shared" si="107"/>
        <v>0</v>
      </c>
      <c r="AA592" s="283" t="s">
        <v>2270</v>
      </c>
      <c r="AB592" s="823">
        <f t="shared" si="109"/>
        <v>1</v>
      </c>
      <c r="AC592" s="40">
        <f t="shared" ca="1" si="111"/>
        <v>1</v>
      </c>
      <c r="AD592" s="41">
        <f t="shared" ca="1" si="112"/>
        <v>0</v>
      </c>
      <c r="AE592" s="181" t="str">
        <f t="shared" ca="1" si="113"/>
        <v/>
      </c>
      <c r="AF592" s="42" t="str">
        <f t="shared" si="106"/>
        <v>SI</v>
      </c>
      <c r="AG592" s="838"/>
      <c r="AH592" s="152" t="s">
        <v>1255</v>
      </c>
      <c r="AI592" s="255" t="s">
        <v>1487</v>
      </c>
      <c r="AJ592" s="152" t="s">
        <v>1441</v>
      </c>
      <c r="AK592" s="255" t="s">
        <v>560</v>
      </c>
      <c r="AL592" s="279" t="s">
        <v>1379</v>
      </c>
      <c r="AM592" s="279" t="s">
        <v>3795</v>
      </c>
      <c r="AN592" s="161" t="str">
        <f t="shared" ca="1" si="114"/>
        <v>TERMINO</v>
      </c>
      <c r="AO592" s="284" t="s">
        <v>576</v>
      </c>
      <c r="AP592" s="406" t="s">
        <v>390</v>
      </c>
      <c r="AQ592" s="819" t="str">
        <f>IFERROR(VLOOKUP(E592,'liquidaciones '!$B$2:$C$1048576,2,0),"NO")</f>
        <v>EN TRÁMITE</v>
      </c>
      <c r="AR592" s="909">
        <f>IFERROR(VLOOKUP(E592,'liquidaciones '!$B$2:$I$1048576,8,0),"")</f>
        <v>0</v>
      </c>
      <c r="AS592" s="406"/>
      <c r="AT592" s="156" t="str">
        <f t="shared" ca="1" si="115"/>
        <v>NO</v>
      </c>
      <c r="AU592" s="931" t="s">
        <v>1509</v>
      </c>
      <c r="AV592" s="406"/>
      <c r="AW592" s="930" t="s">
        <v>3938</v>
      </c>
      <c r="AX592" s="928"/>
      <c r="AY592" s="928"/>
    </row>
    <row r="593" spans="3:51" ht="30.6" x14ac:dyDescent="0.3">
      <c r="C593" s="837">
        <v>207</v>
      </c>
      <c r="D593" s="837"/>
      <c r="E593" s="120" t="s">
        <v>3751</v>
      </c>
      <c r="F593" s="414" t="s">
        <v>3749</v>
      </c>
      <c r="G593" s="874">
        <v>890900608</v>
      </c>
      <c r="H593" s="969" t="s">
        <v>3750</v>
      </c>
      <c r="I593" s="84">
        <v>35410320</v>
      </c>
      <c r="J593" s="843" t="s">
        <v>3754</v>
      </c>
      <c r="K593" s="269">
        <v>2017</v>
      </c>
      <c r="L593" s="519">
        <v>43076</v>
      </c>
      <c r="M593" s="844">
        <v>43091</v>
      </c>
      <c r="N593" s="844">
        <v>43211</v>
      </c>
      <c r="O593" s="1099" t="str">
        <f>IF(+Modificaciones!I593=0,"",VLOOKUP(E593,Modificaciones!$B$7:$I$2400,8,0))</f>
        <v/>
      </c>
      <c r="P593" s="115">
        <f>COUNTA(Modificaciones!J593,Modificaciones!L593,Modificaciones!N593,Modificaciones!P593)</f>
        <v>0</v>
      </c>
      <c r="Q593" s="116">
        <f>VLOOKUP(E593,Modificaciones!$B$7:$R$2300,17,0)</f>
        <v>0</v>
      </c>
      <c r="R593" s="117">
        <f>COUNTA(Modificaciones!T593,Modificaciones!V593,Modificaciones!X593,Modificaciones!Z593)</f>
        <v>0</v>
      </c>
      <c r="S593" s="118" t="str">
        <f>IF(Modificaciones!AA593=0,"",VLOOKUP(E593,Modificaciones!$B$7:$AA$2400,26,0))</f>
        <v/>
      </c>
      <c r="T593" s="119" t="str">
        <f>IF(Modificaciones!AB593=0,"",VLOOKUP(E593,Modificaciones!$B$7:$AB$2400,27,0))</f>
        <v/>
      </c>
      <c r="U593" s="1080" t="str">
        <f>+Modificaciones!AC593</f>
        <v/>
      </c>
      <c r="V593" s="825" t="str">
        <f>+Modificaciones!AK593</f>
        <v/>
      </c>
      <c r="W593" s="825">
        <f t="shared" si="110"/>
        <v>43211</v>
      </c>
      <c r="X593" s="59">
        <f t="shared" si="108"/>
        <v>35410320</v>
      </c>
      <c r="Y593" s="151">
        <f>VLOOKUP(E593,Modificaciones!$B$7:$BE$2300,56,0)</f>
        <v>31126053</v>
      </c>
      <c r="Z593" s="84">
        <f t="shared" si="107"/>
        <v>4284267</v>
      </c>
      <c r="AA593" s="283" t="s">
        <v>2735</v>
      </c>
      <c r="AB593" s="823">
        <f t="shared" si="109"/>
        <v>0.87901077990823018</v>
      </c>
      <c r="AC593" s="40">
        <f t="shared" ca="1" si="111"/>
        <v>1</v>
      </c>
      <c r="AD593" s="41">
        <f t="shared" ca="1" si="112"/>
        <v>0.12098922009176982</v>
      </c>
      <c r="AE593" s="181" t="str">
        <f t="shared" ca="1" si="113"/>
        <v/>
      </c>
      <c r="AF593" s="42" t="str">
        <f t="shared" si="106"/>
        <v>NO</v>
      </c>
      <c r="AG593" s="732" t="s">
        <v>1711</v>
      </c>
      <c r="AH593" s="152" t="s">
        <v>1255</v>
      </c>
      <c r="AI593" s="255" t="s">
        <v>1483</v>
      </c>
      <c r="AJ593" s="152" t="s">
        <v>1434</v>
      </c>
      <c r="AK593" s="255" t="s">
        <v>560</v>
      </c>
      <c r="AL593" s="279" t="s">
        <v>1385</v>
      </c>
      <c r="AM593" s="279" t="s">
        <v>3795</v>
      </c>
      <c r="AN593" s="161" t="str">
        <f t="shared" ca="1" si="114"/>
        <v>TERMINO</v>
      </c>
      <c r="AO593" s="284" t="s">
        <v>574</v>
      </c>
      <c r="AP593" s="406" t="s">
        <v>390</v>
      </c>
      <c r="AQ593" s="819" t="str">
        <f>IFERROR(VLOOKUP(E593,'liquidaciones '!$B$2:$C$1048576,2,0),"NO")</f>
        <v>LIQUIDADO</v>
      </c>
      <c r="AR593" s="909" t="str">
        <f>IFERROR(VLOOKUP(E593,'liquidaciones '!$B$2:$I$1048576,8,0),"")</f>
        <v>JUAN DIEGO ESPITIA</v>
      </c>
      <c r="AS593" s="406"/>
      <c r="AT593" s="156" t="str">
        <f t="shared" ca="1" si="115"/>
        <v>NO</v>
      </c>
      <c r="AU593" s="938" t="s">
        <v>1509</v>
      </c>
      <c r="AV593" s="406"/>
      <c r="AW593" s="930" t="s">
        <v>3938</v>
      </c>
      <c r="AX593" s="928"/>
      <c r="AY593" s="928"/>
    </row>
    <row r="594" spans="3:51" ht="40.799999999999997" x14ac:dyDescent="0.3">
      <c r="C594" s="837"/>
      <c r="D594" s="837"/>
      <c r="E594" s="120" t="s">
        <v>3755</v>
      </c>
      <c r="F594" s="414" t="s">
        <v>3756</v>
      </c>
      <c r="G594" s="863" t="s">
        <v>3757</v>
      </c>
      <c r="H594" s="969" t="s">
        <v>3758</v>
      </c>
      <c r="I594" s="84">
        <v>165980000</v>
      </c>
      <c r="J594" s="843" t="s">
        <v>3763</v>
      </c>
      <c r="K594" s="269">
        <v>2017</v>
      </c>
      <c r="L594" s="519">
        <v>43090</v>
      </c>
      <c r="M594" s="844">
        <v>43092</v>
      </c>
      <c r="N594" s="844">
        <v>43402</v>
      </c>
      <c r="O594" s="1099" t="str">
        <f>IF(+Modificaciones!I594=0,"",VLOOKUP(E594,Modificaciones!$B$7:$I$2400,8,0))</f>
        <v/>
      </c>
      <c r="P594" s="115">
        <f>COUNTA(Modificaciones!J594,Modificaciones!L594,Modificaciones!N594,Modificaciones!P594)</f>
        <v>0</v>
      </c>
      <c r="Q594" s="116">
        <f>VLOOKUP(E594,Modificaciones!$B$7:$R$2300,17,0)</f>
        <v>0</v>
      </c>
      <c r="R594" s="117">
        <f>COUNTA(Modificaciones!T594,Modificaciones!V594,Modificaciones!X594,Modificaciones!Z594)</f>
        <v>0</v>
      </c>
      <c r="S594" s="118" t="str">
        <f>IF(Modificaciones!AA594=0,"",VLOOKUP(E594,Modificaciones!$B$7:$AA$2400,26,0))</f>
        <v/>
      </c>
      <c r="T594" s="119" t="str">
        <f>IF(Modificaciones!AB594=0,"",VLOOKUP(E594,Modificaciones!$B$7:$AB$2400,27,0))</f>
        <v/>
      </c>
      <c r="U594" s="1080" t="str">
        <f>+Modificaciones!AC594</f>
        <v/>
      </c>
      <c r="V594" s="825" t="str">
        <f>+Modificaciones!AK594</f>
        <v/>
      </c>
      <c r="W594" s="825">
        <f t="shared" si="110"/>
        <v>43402</v>
      </c>
      <c r="X594" s="59">
        <f t="shared" si="108"/>
        <v>165980000</v>
      </c>
      <c r="Y594" s="151">
        <f>VLOOKUP(E594,Modificaciones!$B$7:$BE$2300,56,0)</f>
        <v>162615666</v>
      </c>
      <c r="Z594" s="84">
        <f t="shared" si="107"/>
        <v>3364334</v>
      </c>
      <c r="AA594" s="283"/>
      <c r="AB594" s="823">
        <f t="shared" si="109"/>
        <v>0.97973048560067477</v>
      </c>
      <c r="AC594" s="40">
        <f t="shared" ca="1" si="111"/>
        <v>1</v>
      </c>
      <c r="AD594" s="41">
        <f t="shared" ca="1" si="112"/>
        <v>2.0269514399325228E-2</v>
      </c>
      <c r="AE594" s="181" t="str">
        <f t="shared" ca="1" si="113"/>
        <v/>
      </c>
      <c r="AF594" s="42" t="str">
        <f t="shared" ref="AF594:AF600" si="116">IF(AB594&lt;=99.9%,"NO","SI")</f>
        <v>NO</v>
      </c>
      <c r="AG594" s="1017" t="s">
        <v>4920</v>
      </c>
      <c r="AH594" s="152" t="s">
        <v>1255</v>
      </c>
      <c r="AI594" s="255" t="s">
        <v>2073</v>
      </c>
      <c r="AJ594" s="152"/>
      <c r="AK594" s="255" t="s">
        <v>559</v>
      </c>
      <c r="AL594" s="279"/>
      <c r="AM594" s="279" t="s">
        <v>2830</v>
      </c>
      <c r="AN594" s="161" t="str">
        <f t="shared" ca="1" si="114"/>
        <v>TERMINO</v>
      </c>
      <c r="AO594" s="284" t="s">
        <v>574</v>
      </c>
      <c r="AP594" s="406" t="s">
        <v>390</v>
      </c>
      <c r="AQ594" s="819" t="str">
        <f>IFERROR(VLOOKUP(E594,'liquidaciones '!$B$2:$C$1048576,2,0),"NO")</f>
        <v>LIQUIDADO</v>
      </c>
      <c r="AR594" s="909" t="str">
        <f>IFERROR(VLOOKUP(E594,'liquidaciones '!$B$2:$I$1048576,8,0),"")</f>
        <v>JUAN DIEGO ESPÍTIA</v>
      </c>
      <c r="AS594" s="406"/>
      <c r="AT594" s="156" t="str">
        <f t="shared" ca="1" si="115"/>
        <v>SI</v>
      </c>
      <c r="AU594" s="406" t="s">
        <v>3050</v>
      </c>
      <c r="AV594" s="406"/>
      <c r="AW594" s="930" t="s">
        <v>3938</v>
      </c>
      <c r="AX594" s="928"/>
      <c r="AY594" s="928"/>
    </row>
    <row r="595" spans="3:51" ht="30.6" x14ac:dyDescent="0.3">
      <c r="C595" s="837"/>
      <c r="D595" s="837"/>
      <c r="E595" s="120" t="s">
        <v>3759</v>
      </c>
      <c r="F595" s="414" t="s">
        <v>3760</v>
      </c>
      <c r="G595" s="863">
        <v>830006901</v>
      </c>
      <c r="H595" s="969" t="s">
        <v>3764</v>
      </c>
      <c r="I595" s="84">
        <v>219937796</v>
      </c>
      <c r="J595" s="843" t="s">
        <v>3765</v>
      </c>
      <c r="K595" s="269">
        <v>2017</v>
      </c>
      <c r="L595" s="519">
        <v>43088</v>
      </c>
      <c r="M595" s="844">
        <v>43089</v>
      </c>
      <c r="N595" s="844">
        <v>43144</v>
      </c>
      <c r="O595" s="1099" t="str">
        <f>IF(+Modificaciones!I595=0,"",VLOOKUP(E595,Modificaciones!$B$7:$I$2400,8,0))</f>
        <v/>
      </c>
      <c r="P595" s="115">
        <f>COUNTA(Modificaciones!J595,Modificaciones!L595,Modificaciones!N595,Modificaciones!P595)</f>
        <v>0</v>
      </c>
      <c r="Q595" s="116">
        <f>VLOOKUP(E595,Modificaciones!$B$7:$R$2300,17,0)</f>
        <v>0</v>
      </c>
      <c r="R595" s="117">
        <f>COUNTA(Modificaciones!T595,Modificaciones!V595,Modificaciones!X595,Modificaciones!Z595)</f>
        <v>0</v>
      </c>
      <c r="S595" s="118" t="str">
        <f>IF(Modificaciones!AA595=0,"",VLOOKUP(E595,Modificaciones!$B$7:$AA$2400,26,0))</f>
        <v/>
      </c>
      <c r="T595" s="119" t="str">
        <f>IF(Modificaciones!AB595=0,"",VLOOKUP(E595,Modificaciones!$B$7:$AB$2400,27,0))</f>
        <v/>
      </c>
      <c r="U595" s="1080" t="str">
        <f>+Modificaciones!AC595</f>
        <v/>
      </c>
      <c r="V595" s="825" t="str">
        <f>+Modificaciones!AK595</f>
        <v/>
      </c>
      <c r="W595" s="825">
        <f t="shared" si="110"/>
        <v>43144</v>
      </c>
      <c r="X595" s="59">
        <f t="shared" si="108"/>
        <v>219937796</v>
      </c>
      <c r="Y595" s="151">
        <f>VLOOKUP(E595,Modificaciones!$B$7:$BE$2300,56,0)</f>
        <v>219785882</v>
      </c>
      <c r="Z595" s="84">
        <f t="shared" si="107"/>
        <v>151914</v>
      </c>
      <c r="AA595" s="283" t="s">
        <v>2776</v>
      </c>
      <c r="AB595" s="823">
        <f t="shared" si="109"/>
        <v>0.9993092865220855</v>
      </c>
      <c r="AC595" s="40">
        <f t="shared" ca="1" si="111"/>
        <v>1</v>
      </c>
      <c r="AD595" s="41">
        <f t="shared" ca="1" si="112"/>
        <v>6.9071347791449522E-4</v>
      </c>
      <c r="AE595" s="181" t="str">
        <f t="shared" ca="1" si="113"/>
        <v/>
      </c>
      <c r="AF595" s="42" t="str">
        <f t="shared" si="116"/>
        <v>SI</v>
      </c>
      <c r="AG595" s="732" t="s">
        <v>1711</v>
      </c>
      <c r="AH595" s="152" t="s">
        <v>1255</v>
      </c>
      <c r="AI595" s="255" t="s">
        <v>2777</v>
      </c>
      <c r="AJ595" s="838"/>
      <c r="AK595" s="838"/>
      <c r="AL595" s="838"/>
      <c r="AM595" s="279" t="s">
        <v>2830</v>
      </c>
      <c r="AN595" s="161" t="str">
        <f t="shared" ca="1" si="114"/>
        <v>TERMINO</v>
      </c>
      <c r="AO595" s="284" t="s">
        <v>2722</v>
      </c>
      <c r="AP595" s="406"/>
      <c r="AQ595" s="819" t="str">
        <f>IFERROR(VLOOKUP(E595,'liquidaciones '!$B$2:$C$1048576,2,0),"NO")</f>
        <v>LIQUIDADO</v>
      </c>
      <c r="AR595" s="909" t="str">
        <f>IFERROR(VLOOKUP(E595,'liquidaciones '!$B$2:$I$1048576,8,0),"")</f>
        <v>JUAN DIEGO ESPITIA</v>
      </c>
      <c r="AS595" s="406"/>
      <c r="AT595" s="156" t="str">
        <f t="shared" ca="1" si="115"/>
        <v>NO</v>
      </c>
      <c r="AU595" s="406" t="s">
        <v>1509</v>
      </c>
      <c r="AV595" s="406"/>
      <c r="AW595" s="930" t="s">
        <v>3938</v>
      </c>
      <c r="AX595" s="928"/>
      <c r="AY595" s="928"/>
    </row>
    <row r="596" spans="3:51" ht="91.8" x14ac:dyDescent="0.3">
      <c r="C596" s="837"/>
      <c r="D596" s="837"/>
      <c r="E596" s="120" t="s">
        <v>3761</v>
      </c>
      <c r="F596" s="414" t="s">
        <v>2069</v>
      </c>
      <c r="G596" s="863">
        <v>901140878</v>
      </c>
      <c r="H596" s="969" t="s">
        <v>3791</v>
      </c>
      <c r="I596" s="84">
        <v>147000000</v>
      </c>
      <c r="J596" s="843" t="s">
        <v>3763</v>
      </c>
      <c r="K596" s="269">
        <v>2017</v>
      </c>
      <c r="L596" s="519">
        <v>43090</v>
      </c>
      <c r="M596" s="844">
        <v>43092</v>
      </c>
      <c r="N596" s="844">
        <v>43356</v>
      </c>
      <c r="O596" s="1099" t="str">
        <f>IF(+Modificaciones!I596=0,"",VLOOKUP(E596,Modificaciones!$B$7:$I$2400,8,0))</f>
        <v/>
      </c>
      <c r="P596" s="115">
        <f>COUNTA(Modificaciones!J596,Modificaciones!L596,Modificaciones!N596,Modificaciones!P596)</f>
        <v>2</v>
      </c>
      <c r="Q596" s="116">
        <f>VLOOKUP(E596,Modificaciones!$B$7:$R$2300,17,0)</f>
        <v>28639250</v>
      </c>
      <c r="R596" s="117">
        <f>COUNTA(Modificaciones!T596,Modificaciones!V596,Modificaciones!X596,Modificaciones!Z596)</f>
        <v>1</v>
      </c>
      <c r="S596" s="118" t="str">
        <f>IF(Modificaciones!AA596=0,"",VLOOKUP(E596,Modificaciones!$B$7:$AA$2400,26,0))</f>
        <v>46 días calendario</v>
      </c>
      <c r="T596" s="119">
        <f>IF(Modificaciones!AB596=0,"",VLOOKUP(E596,Modificaciones!$B$7:$AB$2400,27,0))</f>
        <v>43402</v>
      </c>
      <c r="U596" s="1080" t="str">
        <f>+Modificaciones!AC596</f>
        <v/>
      </c>
      <c r="V596" s="825" t="str">
        <f>+Modificaciones!AK596</f>
        <v/>
      </c>
      <c r="W596" s="825">
        <f t="shared" si="110"/>
        <v>43402</v>
      </c>
      <c r="X596" s="59">
        <f t="shared" si="108"/>
        <v>175639250</v>
      </c>
      <c r="Y596" s="151">
        <f>VLOOKUP(E596,Modificaciones!$B$7:$BE$2300,56,0)</f>
        <v>174865405</v>
      </c>
      <c r="Z596" s="84">
        <f t="shared" si="107"/>
        <v>773845</v>
      </c>
      <c r="AA596" s="283"/>
      <c r="AB596" s="823">
        <f t="shared" si="109"/>
        <v>0.99559412261211544</v>
      </c>
      <c r="AC596" s="40">
        <f t="shared" ca="1" si="111"/>
        <v>1</v>
      </c>
      <c r="AD596" s="41">
        <f t="shared" ca="1" si="112"/>
        <v>4.4058773878845603E-3</v>
      </c>
      <c r="AE596" s="181" t="str">
        <f t="shared" ca="1" si="113"/>
        <v/>
      </c>
      <c r="AF596" s="42" t="str">
        <f t="shared" si="116"/>
        <v>NO</v>
      </c>
      <c r="AG596" s="1017" t="s">
        <v>4920</v>
      </c>
      <c r="AH596" s="152" t="s">
        <v>1255</v>
      </c>
      <c r="AI596" s="255" t="s">
        <v>3762</v>
      </c>
      <c r="AJ596" s="838"/>
      <c r="AK596" s="255" t="s">
        <v>559</v>
      </c>
      <c r="AL596" s="838"/>
      <c r="AM596" s="279" t="s">
        <v>2830</v>
      </c>
      <c r="AN596" s="161" t="str">
        <f t="shared" ca="1" si="114"/>
        <v>TERMINO</v>
      </c>
      <c r="AO596" s="284" t="s">
        <v>574</v>
      </c>
      <c r="AP596" s="406" t="s">
        <v>390</v>
      </c>
      <c r="AQ596" s="819" t="str">
        <f>IFERROR(VLOOKUP(E596,'liquidaciones '!$B$2:$C$1048576,2,0),"NO")</f>
        <v>LIQUIDADO</v>
      </c>
      <c r="AR596" s="909" t="str">
        <f>IFERROR(VLOOKUP(E596,'liquidaciones '!$B$2:$I$1048576,8,0),"")</f>
        <v>JUAN DIEGO ESPITIA</v>
      </c>
      <c r="AS596" s="406"/>
      <c r="AT596" s="156" t="str">
        <f t="shared" ca="1" si="115"/>
        <v>SI</v>
      </c>
      <c r="AU596" s="406" t="s">
        <v>3050</v>
      </c>
      <c r="AV596" s="406"/>
      <c r="AW596" s="930" t="s">
        <v>3938</v>
      </c>
      <c r="AX596" s="928"/>
      <c r="AY596" s="928"/>
    </row>
    <row r="597" spans="3:51" ht="28.8" x14ac:dyDescent="0.3">
      <c r="C597" s="837"/>
      <c r="D597" s="837"/>
      <c r="E597" s="120" t="s">
        <v>3766</v>
      </c>
      <c r="F597" s="414" t="s">
        <v>3714</v>
      </c>
      <c r="G597" s="863" t="s">
        <v>3716</v>
      </c>
      <c r="H597" s="969" t="s">
        <v>3767</v>
      </c>
      <c r="I597" s="84">
        <v>43945784</v>
      </c>
      <c r="J597" s="843" t="s">
        <v>3768</v>
      </c>
      <c r="K597" s="269">
        <v>2017</v>
      </c>
      <c r="L597" s="519">
        <v>43090</v>
      </c>
      <c r="M597" s="844">
        <v>43090</v>
      </c>
      <c r="N597" s="844">
        <v>43137</v>
      </c>
      <c r="O597" s="1099" t="str">
        <f>IF(+Modificaciones!I597=0,"",VLOOKUP(E597,Modificaciones!$B$7:$I$2400,8,0))</f>
        <v/>
      </c>
      <c r="P597" s="115">
        <f>COUNTA(Modificaciones!J597,Modificaciones!L597,Modificaciones!N597,Modificaciones!P597)</f>
        <v>0</v>
      </c>
      <c r="Q597" s="116">
        <f>VLOOKUP(E597,Modificaciones!$B$7:$R$2300,17,0)</f>
        <v>0</v>
      </c>
      <c r="R597" s="117">
        <f>COUNTA(Modificaciones!T597,Modificaciones!V597,Modificaciones!X597,Modificaciones!Z597)</f>
        <v>0</v>
      </c>
      <c r="S597" s="118" t="str">
        <f>IF(Modificaciones!AA597=0,"",VLOOKUP(E597,Modificaciones!$B$7:$AA$2400,26,0))</f>
        <v/>
      </c>
      <c r="T597" s="119" t="str">
        <f>IF(Modificaciones!AB597=0,"",VLOOKUP(E597,Modificaciones!$B$7:$AB$2400,27,0))</f>
        <v/>
      </c>
      <c r="U597" s="1080" t="str">
        <f>+Modificaciones!AC597</f>
        <v/>
      </c>
      <c r="V597" s="825" t="str">
        <f>+Modificaciones!AK597</f>
        <v/>
      </c>
      <c r="W597" s="825">
        <f t="shared" si="110"/>
        <v>43137</v>
      </c>
      <c r="X597" s="59">
        <f t="shared" si="108"/>
        <v>43945784</v>
      </c>
      <c r="Y597" s="151">
        <f>VLOOKUP(E597,Modificaciones!$B$7:$BE$2300,56,0)</f>
        <v>43945455</v>
      </c>
      <c r="Z597" s="84">
        <f t="shared" si="107"/>
        <v>329</v>
      </c>
      <c r="AA597" s="283"/>
      <c r="AB597" s="823">
        <f t="shared" si="109"/>
        <v>0.9999925135025467</v>
      </c>
      <c r="AC597" s="40">
        <f t="shared" ca="1" si="111"/>
        <v>1</v>
      </c>
      <c r="AD597" s="41">
        <f t="shared" ca="1" si="112"/>
        <v>7.4864974533017659E-6</v>
      </c>
      <c r="AE597" s="181" t="str">
        <f t="shared" ca="1" si="113"/>
        <v/>
      </c>
      <c r="AF597" s="42" t="str">
        <f t="shared" si="116"/>
        <v>SI</v>
      </c>
      <c r="AG597" s="732" t="s">
        <v>1711</v>
      </c>
      <c r="AH597" s="152" t="s">
        <v>1256</v>
      </c>
      <c r="AI597" s="255" t="s">
        <v>1990</v>
      </c>
      <c r="AJ597" s="152" t="s">
        <v>1438</v>
      </c>
      <c r="AK597" s="255" t="s">
        <v>560</v>
      </c>
      <c r="AL597" s="279" t="s">
        <v>1508</v>
      </c>
      <c r="AM597" s="279" t="s">
        <v>3795</v>
      </c>
      <c r="AN597" s="161" t="str">
        <f t="shared" ca="1" si="114"/>
        <v>TERMINO</v>
      </c>
      <c r="AO597" s="284" t="s">
        <v>2722</v>
      </c>
      <c r="AP597" s="406"/>
      <c r="AQ597" s="819" t="str">
        <f>IFERROR(VLOOKUP(E597,'liquidaciones '!$B$2:$C$1048576,2,0),"NO")</f>
        <v>LIQUIDADO</v>
      </c>
      <c r="AR597" s="909" t="str">
        <f>IFERROR(VLOOKUP(E597,'liquidaciones '!$B$2:$I$1048576,8,0),"")</f>
        <v>JUAN DIEGO ESPITIA</v>
      </c>
      <c r="AS597" s="406"/>
      <c r="AT597" s="156" t="str">
        <f t="shared" ca="1" si="115"/>
        <v>NO</v>
      </c>
      <c r="AU597" s="156" t="s">
        <v>3512</v>
      </c>
      <c r="AV597" s="406" t="s">
        <v>3778</v>
      </c>
      <c r="AW597" s="930" t="s">
        <v>560</v>
      </c>
      <c r="AX597" s="928"/>
      <c r="AY597" s="928"/>
    </row>
    <row r="598" spans="3:51" ht="132.6" x14ac:dyDescent="0.3">
      <c r="C598" s="837"/>
      <c r="D598" s="837"/>
      <c r="E598" s="120" t="s">
        <v>3769</v>
      </c>
      <c r="F598" s="414" t="s">
        <v>3770</v>
      </c>
      <c r="G598" s="863">
        <v>9002546914</v>
      </c>
      <c r="H598" s="969" t="s">
        <v>3789</v>
      </c>
      <c r="I598" s="84">
        <v>474509835</v>
      </c>
      <c r="J598" s="843" t="s">
        <v>3802</v>
      </c>
      <c r="K598" s="269">
        <v>2017</v>
      </c>
      <c r="L598" s="519">
        <v>43096</v>
      </c>
      <c r="M598" s="844">
        <v>43104</v>
      </c>
      <c r="N598" s="844">
        <v>43468</v>
      </c>
      <c r="O598" s="1099" t="str">
        <f>IF(+Modificaciones!I598=0,"",VLOOKUP(E598,Modificaciones!$B$7:$I$2400,8,0))</f>
        <v/>
      </c>
      <c r="P598" s="115">
        <f>COUNTA(Modificaciones!J598,Modificaciones!L598,Modificaciones!N598,Modificaciones!P598)</f>
        <v>0</v>
      </c>
      <c r="Q598" s="116">
        <f>VLOOKUP(E598,Modificaciones!$B$7:$R$2300,17,0)</f>
        <v>0</v>
      </c>
      <c r="R598" s="117">
        <f>COUNTA(Modificaciones!T598,Modificaciones!V598,Modificaciones!X598,Modificaciones!Z598)</f>
        <v>0</v>
      </c>
      <c r="S598" s="118" t="str">
        <f>IF(Modificaciones!AA598=0,"",VLOOKUP(E598,Modificaciones!$B$7:$AA$2400,26,0))</f>
        <v/>
      </c>
      <c r="T598" s="119" t="str">
        <f>IF(Modificaciones!AB598=0,"",VLOOKUP(E598,Modificaciones!$B$7:$AB$2400,27,0))</f>
        <v/>
      </c>
      <c r="U598" s="1080" t="str">
        <f>+Modificaciones!AC598</f>
        <v/>
      </c>
      <c r="V598" s="825" t="str">
        <f>+Modificaciones!AK598</f>
        <v/>
      </c>
      <c r="W598" s="825">
        <f t="shared" si="110"/>
        <v>43468</v>
      </c>
      <c r="X598" s="59">
        <f t="shared" si="108"/>
        <v>474509835</v>
      </c>
      <c r="Y598" s="151">
        <f>VLOOKUP(E598,Modificaciones!$B$7:$BE$2300,56,0)</f>
        <v>474509835</v>
      </c>
      <c r="Z598" s="84">
        <f t="shared" si="107"/>
        <v>0</v>
      </c>
      <c r="AA598" s="288" t="s">
        <v>3771</v>
      </c>
      <c r="AB598" s="823">
        <f t="shared" si="109"/>
        <v>1</v>
      </c>
      <c r="AC598" s="40">
        <f t="shared" ca="1" si="111"/>
        <v>1</v>
      </c>
      <c r="AD598" s="41">
        <f t="shared" ca="1" si="112"/>
        <v>0</v>
      </c>
      <c r="AE598" s="181" t="str">
        <f t="shared" ca="1" si="113"/>
        <v/>
      </c>
      <c r="AF598" s="42" t="str">
        <f t="shared" si="116"/>
        <v>SI</v>
      </c>
      <c r="AG598" s="838"/>
      <c r="AH598" s="841"/>
      <c r="AI598" s="841"/>
      <c r="AJ598" s="838"/>
      <c r="AK598" s="838"/>
      <c r="AL598" s="838"/>
      <c r="AM598" s="279" t="s">
        <v>3795</v>
      </c>
      <c r="AN598" s="161" t="str">
        <f t="shared" ca="1" si="114"/>
        <v>TERMINO</v>
      </c>
      <c r="AO598" s="414"/>
      <c r="AP598" s="406"/>
      <c r="AQ598" s="819" t="str">
        <f>IFERROR(VLOOKUP(E598,'liquidaciones '!$B$2:$C$1048576,2,0),"NO")</f>
        <v>EN TRÁMITE</v>
      </c>
      <c r="AR598" s="909" t="str">
        <f>IFERROR(VLOOKUP(E598,'liquidaciones '!$B$2:$I$1048576,8,0),"")</f>
        <v>JUAN DIEGO ESPITIA</v>
      </c>
      <c r="AS598" s="406"/>
      <c r="AT598" s="156" t="str">
        <f t="shared" ca="1" si="115"/>
        <v>SI</v>
      </c>
      <c r="AU598" s="931" t="s">
        <v>4209</v>
      </c>
      <c r="AV598" s="406" t="s">
        <v>3778</v>
      </c>
      <c r="AW598" s="930" t="s">
        <v>560</v>
      </c>
      <c r="AX598" s="928"/>
      <c r="AY598" s="928"/>
    </row>
    <row r="599" spans="3:51" ht="122.4" x14ac:dyDescent="0.3">
      <c r="C599" s="837"/>
      <c r="D599" s="837"/>
      <c r="E599" s="120" t="s">
        <v>3772</v>
      </c>
      <c r="F599" s="414" t="s">
        <v>3790</v>
      </c>
      <c r="G599" s="863" t="s">
        <v>3785</v>
      </c>
      <c r="H599" s="969" t="s">
        <v>3786</v>
      </c>
      <c r="I599" s="84">
        <v>259718863</v>
      </c>
      <c r="J599" s="843" t="s">
        <v>3799</v>
      </c>
      <c r="K599" s="269">
        <v>2017</v>
      </c>
      <c r="L599" s="519">
        <v>43097</v>
      </c>
      <c r="M599" s="844">
        <v>43116</v>
      </c>
      <c r="N599" s="844">
        <v>43235</v>
      </c>
      <c r="O599" s="1099" t="str">
        <f>IF(+Modificaciones!I599=0,"",VLOOKUP(E599,Modificaciones!$B$7:$I$2400,8,0))</f>
        <v/>
      </c>
      <c r="P599" s="115">
        <f>COUNTA(Modificaciones!J599,Modificaciones!L599,Modificaciones!N599,Modificaciones!P599)</f>
        <v>1</v>
      </c>
      <c r="Q599" s="116">
        <f>VLOOKUP(E599,Modificaciones!$B$7:$R$2300,17,0)</f>
        <v>97171827</v>
      </c>
      <c r="R599" s="117">
        <f>COUNTA(Modificaciones!T599,Modificaciones!V599,Modificaciones!X599,Modificaciones!Z599)</f>
        <v>1</v>
      </c>
      <c r="S599" s="118" t="str">
        <f>IF(Modificaciones!AA599=0,"",VLOOKUP(E599,Modificaciones!$B$7:$AA$2400,26,0))</f>
        <v>2 meses</v>
      </c>
      <c r="T599" s="119">
        <f>IF(Modificaciones!AB599=0,"",VLOOKUP(E599,Modificaciones!$B$7:$AB$2400,27,0))</f>
        <v>43296</v>
      </c>
      <c r="U599" s="1080" t="str">
        <f>+Modificaciones!AC599</f>
        <v/>
      </c>
      <c r="V599" s="825" t="str">
        <f>+Modificaciones!AK599</f>
        <v/>
      </c>
      <c r="W599" s="825">
        <f t="shared" si="110"/>
        <v>43296</v>
      </c>
      <c r="X599" s="59">
        <f t="shared" si="108"/>
        <v>356890690</v>
      </c>
      <c r="Y599" s="151">
        <f>VLOOKUP(E599,Modificaciones!$B$7:$BE$2300,56,0)</f>
        <v>356890690</v>
      </c>
      <c r="Z599" s="84">
        <f t="shared" si="107"/>
        <v>0</v>
      </c>
      <c r="AA599" s="288" t="s">
        <v>3787</v>
      </c>
      <c r="AB599" s="823">
        <f t="shared" si="109"/>
        <v>1</v>
      </c>
      <c r="AC599" s="40">
        <f t="shared" ca="1" si="111"/>
        <v>1</v>
      </c>
      <c r="AD599" s="41">
        <f t="shared" ca="1" si="112"/>
        <v>0</v>
      </c>
      <c r="AE599" s="181" t="str">
        <f t="shared" ca="1" si="113"/>
        <v/>
      </c>
      <c r="AF599" s="42" t="str">
        <f t="shared" si="116"/>
        <v>SI</v>
      </c>
      <c r="AG599" s="838" t="s">
        <v>1716</v>
      </c>
      <c r="AH599" s="841" t="s">
        <v>1255</v>
      </c>
      <c r="AI599" s="841" t="s">
        <v>3788</v>
      </c>
      <c r="AJ599" s="838"/>
      <c r="AK599" s="255" t="s">
        <v>559</v>
      </c>
      <c r="AL599" s="838"/>
      <c r="AM599" s="279" t="s">
        <v>2830</v>
      </c>
      <c r="AN599" s="161" t="str">
        <f t="shared" ca="1" si="114"/>
        <v>TERMINO</v>
      </c>
      <c r="AO599" s="284" t="s">
        <v>574</v>
      </c>
      <c r="AP599" s="406" t="s">
        <v>390</v>
      </c>
      <c r="AQ599" s="819" t="str">
        <f>IFERROR(VLOOKUP(E599,'liquidaciones '!$B$2:$C$1048576,2,0),"NO")</f>
        <v>LIQUIDADO</v>
      </c>
      <c r="AR599" s="909" t="str">
        <f>IFERROR(VLOOKUP(E599,'liquidaciones '!$B$2:$I$1048576,8,0),"")</f>
        <v>JUAN DIEGO ESPITIA</v>
      </c>
      <c r="AS599" s="406"/>
      <c r="AT599" s="156" t="str">
        <f t="shared" ca="1" si="115"/>
        <v>NO</v>
      </c>
      <c r="AU599" s="931" t="s">
        <v>3564</v>
      </c>
      <c r="AV599" s="406"/>
      <c r="AW599" s="930" t="s">
        <v>3938</v>
      </c>
      <c r="AX599" s="928"/>
      <c r="AY599" s="928"/>
    </row>
    <row r="600" spans="3:51" ht="40.799999999999997" x14ac:dyDescent="0.3">
      <c r="C600" s="837">
        <v>221</v>
      </c>
      <c r="D600" s="837"/>
      <c r="E600" s="120" t="s">
        <v>3792</v>
      </c>
      <c r="F600" s="414" t="s">
        <v>3793</v>
      </c>
      <c r="G600" s="863" t="s">
        <v>3794</v>
      </c>
      <c r="H600" s="969" t="s">
        <v>3800</v>
      </c>
      <c r="I600" s="84">
        <v>223899975</v>
      </c>
      <c r="J600" s="843" t="s">
        <v>3801</v>
      </c>
      <c r="K600" s="269">
        <v>2017</v>
      </c>
      <c r="L600" s="519">
        <v>43098</v>
      </c>
      <c r="M600" s="844">
        <v>43112</v>
      </c>
      <c r="N600" s="844">
        <v>43201</v>
      </c>
      <c r="O600" s="1099" t="str">
        <f>IF(+Modificaciones!I600=0,"",VLOOKUP(E600,Modificaciones!$B$7:$I$2400,8,0))</f>
        <v/>
      </c>
      <c r="P600" s="115">
        <f>COUNTA(Modificaciones!J600,Modificaciones!L600,Modificaciones!N600,Modificaciones!P600)</f>
        <v>0</v>
      </c>
      <c r="Q600" s="116">
        <f>VLOOKUP(E600,Modificaciones!$B$7:$R$2300,17,0)</f>
        <v>0</v>
      </c>
      <c r="R600" s="117">
        <f>COUNTA(Modificaciones!T600,Modificaciones!V600,Modificaciones!X600,Modificaciones!Z600)</f>
        <v>0</v>
      </c>
      <c r="S600" s="118" t="str">
        <f>IF(Modificaciones!AA600=0,"",VLOOKUP(E600,Modificaciones!$B$7:$AA$2400,26,0))</f>
        <v/>
      </c>
      <c r="T600" s="119" t="str">
        <f>IF(Modificaciones!AB600=0,"",VLOOKUP(E600,Modificaciones!$B$7:$AB$2400,27,0))</f>
        <v/>
      </c>
      <c r="U600" s="1080" t="str">
        <f>+Modificaciones!AC600</f>
        <v/>
      </c>
      <c r="V600" s="825" t="str">
        <f>+Modificaciones!AK600</f>
        <v/>
      </c>
      <c r="W600" s="825">
        <f t="shared" si="110"/>
        <v>43201</v>
      </c>
      <c r="X600" s="59">
        <f t="shared" si="108"/>
        <v>223899975</v>
      </c>
      <c r="Y600" s="151">
        <f>VLOOKUP(E600,Modificaciones!$B$7:$BE$2300,56,0)</f>
        <v>223899974</v>
      </c>
      <c r="Z600" s="84">
        <f t="shared" si="107"/>
        <v>1</v>
      </c>
      <c r="AA600" s="283" t="s">
        <v>1894</v>
      </c>
      <c r="AB600" s="823">
        <f t="shared" si="109"/>
        <v>0.99999999553371988</v>
      </c>
      <c r="AC600" s="40">
        <f t="shared" ca="1" si="111"/>
        <v>1</v>
      </c>
      <c r="AD600" s="41">
        <f t="shared" ca="1" si="112"/>
        <v>4.4662801235162419E-9</v>
      </c>
      <c r="AE600" s="181" t="str">
        <f t="shared" ca="1" si="113"/>
        <v/>
      </c>
      <c r="AF600" s="42" t="str">
        <f t="shared" si="116"/>
        <v>SI</v>
      </c>
      <c r="AG600" s="838"/>
      <c r="AH600" s="152" t="s">
        <v>1256</v>
      </c>
      <c r="AI600" s="275" t="s">
        <v>1175</v>
      </c>
      <c r="AJ600" s="152" t="s">
        <v>1438</v>
      </c>
      <c r="AK600" s="255" t="s">
        <v>560</v>
      </c>
      <c r="AL600" s="153" t="s">
        <v>1508</v>
      </c>
      <c r="AM600" s="279" t="s">
        <v>3795</v>
      </c>
      <c r="AN600" s="161" t="str">
        <f t="shared" ca="1" si="114"/>
        <v>TERMINO</v>
      </c>
      <c r="AO600" s="414"/>
      <c r="AP600" s="406" t="s">
        <v>390</v>
      </c>
      <c r="AQ600" s="819" t="str">
        <f>IFERROR(VLOOKUP(E600,'liquidaciones '!$B$2:$C$1048576,2,0),"NO")</f>
        <v>LIQUIDADO</v>
      </c>
      <c r="AR600" s="909" t="str">
        <f>IFERROR(VLOOKUP(E600,'liquidaciones '!$B$2:$I$1048576,8,0),"")</f>
        <v>MANUEL ROJAS</v>
      </c>
      <c r="AS600" s="406"/>
      <c r="AT600" s="156" t="str">
        <f t="shared" ca="1" si="115"/>
        <v>NO</v>
      </c>
      <c r="AU600" s="931" t="s">
        <v>3512</v>
      </c>
      <c r="AV600" s="406" t="s">
        <v>3778</v>
      </c>
      <c r="AW600" s="930" t="s">
        <v>560</v>
      </c>
      <c r="AX600" s="928"/>
      <c r="AY600" s="928"/>
    </row>
    <row r="601" spans="3:51" ht="28.8" x14ac:dyDescent="0.3">
      <c r="C601" s="837">
        <v>120</v>
      </c>
      <c r="D601" s="837"/>
      <c r="E601" s="120" t="s">
        <v>3812</v>
      </c>
      <c r="F601" s="414" t="s">
        <v>3813</v>
      </c>
      <c r="G601" s="874" t="s">
        <v>3814</v>
      </c>
      <c r="H601" s="965" t="s">
        <v>402</v>
      </c>
      <c r="I601" s="84">
        <v>344000000</v>
      </c>
      <c r="J601" s="843" t="s">
        <v>3818</v>
      </c>
      <c r="K601" s="269">
        <v>2018</v>
      </c>
      <c r="L601" s="519">
        <v>43115</v>
      </c>
      <c r="M601" s="844">
        <v>43121</v>
      </c>
      <c r="N601" s="844">
        <v>43378</v>
      </c>
      <c r="O601" s="1099" t="str">
        <f>IF(+Modificaciones!I601=0,"",VLOOKUP(E601,Modificaciones!$B$7:$I$2400,8,0))</f>
        <v/>
      </c>
      <c r="P601" s="115">
        <f>COUNTA(Modificaciones!J601,Modificaciones!L601,Modificaciones!N601,Modificaciones!P601)</f>
        <v>0</v>
      </c>
      <c r="Q601" s="116">
        <f>VLOOKUP(E601,Modificaciones!$B$7:$R$2300,17,0)</f>
        <v>0</v>
      </c>
      <c r="R601" s="117">
        <f>COUNTA(Modificaciones!T601,Modificaciones!V601,Modificaciones!X601,Modificaciones!Z601)</f>
        <v>0</v>
      </c>
      <c r="S601" s="118" t="str">
        <f>IF(Modificaciones!AA601=0,"",VLOOKUP(E601,Modificaciones!$B$7:$AA$2400,26,0))</f>
        <v/>
      </c>
      <c r="T601" s="119" t="str">
        <f>IF(Modificaciones!AB601=0,"",VLOOKUP(E601,Modificaciones!$B$7:$AB$2400,27,0))</f>
        <v/>
      </c>
      <c r="U601" s="1080" t="str">
        <f>+Modificaciones!AC601</f>
        <v/>
      </c>
      <c r="V601" s="825" t="str">
        <f>+Modificaciones!AK601</f>
        <v/>
      </c>
      <c r="W601" s="825">
        <f t="shared" si="110"/>
        <v>43378</v>
      </c>
      <c r="X601" s="59">
        <f t="shared" si="108"/>
        <v>344000000</v>
      </c>
      <c r="Y601" s="151">
        <f>VLOOKUP(E601,Modificaciones!$B$7:$BE$2300,56,0)</f>
        <v>337991310</v>
      </c>
      <c r="Z601" s="84">
        <f t="shared" ref="Z601:Z606" si="117">X601-Y601</f>
        <v>6008690</v>
      </c>
      <c r="AA601" s="283"/>
      <c r="AB601" s="823">
        <f t="shared" ref="AB601:AB606" si="118">(Y601*100%)/X601</f>
        <v>0.98253287790697674</v>
      </c>
      <c r="AC601" s="40">
        <f t="shared" ca="1" si="111"/>
        <v>1</v>
      </c>
      <c r="AD601" s="41">
        <f t="shared" ca="1" si="112"/>
        <v>1.7467122093023257E-2</v>
      </c>
      <c r="AE601" s="181" t="str">
        <f t="shared" ca="1" si="113"/>
        <v/>
      </c>
      <c r="AF601" s="42" t="str">
        <f t="shared" ref="AF601:AF606" si="119">IF(AB601&lt;=99.9%,"NO","SI")</f>
        <v>NO</v>
      </c>
      <c r="AG601" s="838"/>
      <c r="AH601" s="152" t="s">
        <v>1255</v>
      </c>
      <c r="AI601" s="255" t="s">
        <v>1138</v>
      </c>
      <c r="AJ601" s="152"/>
      <c r="AK601" s="255" t="s">
        <v>560</v>
      </c>
      <c r="AL601" s="279" t="s">
        <v>1318</v>
      </c>
      <c r="AM601" s="279" t="s">
        <v>2830</v>
      </c>
      <c r="AN601" s="161" t="str">
        <f t="shared" ca="1" si="114"/>
        <v>TERMINO</v>
      </c>
      <c r="AO601" s="414"/>
      <c r="AP601" s="406"/>
      <c r="AQ601" s="819" t="str">
        <f>IFERROR(VLOOKUP(E601,'liquidaciones '!$B$2:$C$1048576,2,0),"NO")</f>
        <v>LIQUIDADO</v>
      </c>
      <c r="AR601" s="909" t="str">
        <f>IFERROR(VLOOKUP(E601,'liquidaciones '!$B$2:$I$1048576,8,0),"")</f>
        <v>JUAN DIEGO ESPITIA</v>
      </c>
      <c r="AS601" s="406"/>
      <c r="AT601" s="156" t="str">
        <f t="shared" ca="1" si="115"/>
        <v>SI</v>
      </c>
      <c r="AU601" s="406" t="s">
        <v>1509</v>
      </c>
      <c r="AV601" s="406"/>
      <c r="AW601" s="930" t="s">
        <v>3938</v>
      </c>
      <c r="AX601" s="928"/>
      <c r="AY601" s="928"/>
    </row>
    <row r="602" spans="3:51" ht="20.399999999999999" x14ac:dyDescent="0.3">
      <c r="C602" s="837">
        <v>106</v>
      </c>
      <c r="D602" s="837"/>
      <c r="E602" s="120" t="s">
        <v>3824</v>
      </c>
      <c r="F602" s="414" t="s">
        <v>3680</v>
      </c>
      <c r="G602" s="863">
        <v>91156558</v>
      </c>
      <c r="H602" s="969" t="s">
        <v>3825</v>
      </c>
      <c r="I602" s="84">
        <v>7300000</v>
      </c>
      <c r="J602" s="843" t="s">
        <v>3824</v>
      </c>
      <c r="K602" s="269">
        <v>2018</v>
      </c>
      <c r="L602" s="519">
        <v>43125</v>
      </c>
      <c r="M602" s="844">
        <v>43129</v>
      </c>
      <c r="N602" s="844">
        <v>43187</v>
      </c>
      <c r="O602" s="1099" t="str">
        <f>IF(+Modificaciones!I602=0,"",VLOOKUP(E602,Modificaciones!$B$7:$I$2400,8,0))</f>
        <v/>
      </c>
      <c r="P602" s="115">
        <f>COUNTA(Modificaciones!J602,Modificaciones!L602,Modificaciones!N602,Modificaciones!P602)</f>
        <v>0</v>
      </c>
      <c r="Q602" s="116">
        <f>VLOOKUP(E602,Modificaciones!$B$7:$R$2300,17,0)</f>
        <v>0</v>
      </c>
      <c r="R602" s="117">
        <f>COUNTA(Modificaciones!T602,Modificaciones!V602,Modificaciones!X602,Modificaciones!Z602)</f>
        <v>0</v>
      </c>
      <c r="S602" s="118" t="str">
        <f>IF(Modificaciones!AA602=0,"",VLOOKUP(E602,Modificaciones!$B$7:$AA$2400,26,0))</f>
        <v/>
      </c>
      <c r="T602" s="119" t="str">
        <f>IF(Modificaciones!AB602=0,"",VLOOKUP(E602,Modificaciones!$B$7:$AB$2400,27,0))</f>
        <v/>
      </c>
      <c r="U602" s="1080" t="str">
        <f>+Modificaciones!AC602</f>
        <v/>
      </c>
      <c r="V602" s="825" t="str">
        <f>+Modificaciones!AK602</f>
        <v/>
      </c>
      <c r="W602" s="825">
        <f t="shared" si="110"/>
        <v>43187</v>
      </c>
      <c r="X602" s="59">
        <f t="shared" si="108"/>
        <v>7300000</v>
      </c>
      <c r="Y602" s="151">
        <f>VLOOKUP(E602,Modificaciones!$B$7:$BE$2300,56,0)</f>
        <v>7300000</v>
      </c>
      <c r="Z602" s="84">
        <f t="shared" si="117"/>
        <v>0</v>
      </c>
      <c r="AA602" s="283"/>
      <c r="AB602" s="823">
        <f t="shared" si="118"/>
        <v>1</v>
      </c>
      <c r="AC602" s="40">
        <f t="shared" ca="1" si="111"/>
        <v>1</v>
      </c>
      <c r="AD602" s="41">
        <f t="shared" ca="1" si="112"/>
        <v>0</v>
      </c>
      <c r="AE602" s="181" t="str">
        <f t="shared" ca="1" si="113"/>
        <v/>
      </c>
      <c r="AF602" s="42" t="str">
        <f t="shared" si="119"/>
        <v>SI</v>
      </c>
      <c r="AG602" s="1017" t="s">
        <v>4920</v>
      </c>
      <c r="AH602" s="152" t="s">
        <v>1255</v>
      </c>
      <c r="AI602" s="255" t="s">
        <v>1306</v>
      </c>
      <c r="AJ602" s="838"/>
      <c r="AK602" s="838"/>
      <c r="AL602" s="838"/>
      <c r="AM602" s="279" t="s">
        <v>2830</v>
      </c>
      <c r="AN602" s="161" t="str">
        <f t="shared" ca="1" si="114"/>
        <v>TERMINO</v>
      </c>
      <c r="AO602" s="284" t="s">
        <v>582</v>
      </c>
      <c r="AP602" s="155" t="s">
        <v>390</v>
      </c>
      <c r="AQ602" s="819" t="str">
        <f>IFERROR(VLOOKUP(E602,'liquidaciones '!$B$2:$C$1048576,2,0),"NO")</f>
        <v>LIQUIDADO</v>
      </c>
      <c r="AR602" s="909" t="str">
        <f>IFERROR(VLOOKUP(E602,'liquidaciones '!$B$2:$I$1048576,8,0),"")</f>
        <v>MANUEL EDUARDO ROJAS</v>
      </c>
      <c r="AS602" s="406"/>
      <c r="AT602" s="156" t="str">
        <f t="shared" ca="1" si="115"/>
        <v>NO</v>
      </c>
      <c r="AU602" s="931" t="s">
        <v>2973</v>
      </c>
      <c r="AV602" s="406"/>
      <c r="AW602" s="930" t="s">
        <v>3938</v>
      </c>
      <c r="AX602" s="928"/>
      <c r="AY602" s="928"/>
    </row>
    <row r="603" spans="3:51" ht="30.6" x14ac:dyDescent="0.3">
      <c r="C603" s="837"/>
      <c r="D603" s="837"/>
      <c r="E603" s="120" t="s">
        <v>3826</v>
      </c>
      <c r="F603" s="414" t="s">
        <v>1030</v>
      </c>
      <c r="G603" s="863" t="s">
        <v>3827</v>
      </c>
      <c r="H603" s="969" t="s">
        <v>3828</v>
      </c>
      <c r="I603" s="84">
        <v>4300000</v>
      </c>
      <c r="J603" s="843" t="s">
        <v>3826</v>
      </c>
      <c r="K603" s="269">
        <v>2018</v>
      </c>
      <c r="L603" s="519">
        <v>43125</v>
      </c>
      <c r="M603" s="844">
        <v>43133</v>
      </c>
      <c r="N603" s="844">
        <v>43252</v>
      </c>
      <c r="O603" s="1099" t="str">
        <f>IF(+Modificaciones!I603=0,"",VLOOKUP(E603,Modificaciones!$B$7:$I$2400,8,0))</f>
        <v/>
      </c>
      <c r="P603" s="115">
        <f>COUNTA(Modificaciones!J603,Modificaciones!L603,Modificaciones!N603,Modificaciones!P603)</f>
        <v>0</v>
      </c>
      <c r="Q603" s="116">
        <f>VLOOKUP(E603,Modificaciones!$B$7:$R$2300,17,0)</f>
        <v>0</v>
      </c>
      <c r="R603" s="117">
        <f>COUNTA(Modificaciones!T603,Modificaciones!V603,Modificaciones!X603,Modificaciones!Z603)</f>
        <v>2</v>
      </c>
      <c r="S603" s="118" t="str">
        <f>IF(Modificaciones!AA603=0,"",VLOOKUP(E603,Modificaciones!$B$7:$AA$2400,26,0))</f>
        <v>2 meses y 29 días</v>
      </c>
      <c r="T603" s="119">
        <f>IF(Modificaciones!AB603=0,"",VLOOKUP(E603,Modificaciones!$B$7:$AB$2400,27,0))</f>
        <v>43342</v>
      </c>
      <c r="U603" s="1080" t="str">
        <f>+Modificaciones!AC603</f>
        <v/>
      </c>
      <c r="V603" s="825" t="str">
        <f>+Modificaciones!AK603</f>
        <v/>
      </c>
      <c r="W603" s="825">
        <f t="shared" si="110"/>
        <v>43342</v>
      </c>
      <c r="X603" s="59">
        <f t="shared" si="108"/>
        <v>4300000</v>
      </c>
      <c r="Y603" s="151">
        <f>VLOOKUP(E603,Modificaciones!$B$7:$BE$2300,56,0)</f>
        <v>4300000</v>
      </c>
      <c r="Z603" s="84">
        <f t="shared" si="117"/>
        <v>0</v>
      </c>
      <c r="AA603" s="283"/>
      <c r="AB603" s="823">
        <f t="shared" si="118"/>
        <v>1</v>
      </c>
      <c r="AC603" s="40">
        <f t="shared" ca="1" si="111"/>
        <v>1</v>
      </c>
      <c r="AD603" s="41">
        <f t="shared" ca="1" si="112"/>
        <v>0</v>
      </c>
      <c r="AE603" s="181" t="str">
        <f t="shared" ca="1" si="113"/>
        <v/>
      </c>
      <c r="AF603" s="42" t="str">
        <f t="shared" si="119"/>
        <v>SI</v>
      </c>
      <c r="AG603" s="838"/>
      <c r="AH603" s="152" t="s">
        <v>1255</v>
      </c>
      <c r="AI603" s="255" t="s">
        <v>1290</v>
      </c>
      <c r="AJ603" s="838"/>
      <c r="AK603" s="255" t="s">
        <v>564</v>
      </c>
      <c r="AL603" s="838"/>
      <c r="AM603" s="279" t="s">
        <v>2830</v>
      </c>
      <c r="AN603" s="161" t="str">
        <f t="shared" ca="1" si="114"/>
        <v>TERMINO</v>
      </c>
      <c r="AO603" s="284" t="s">
        <v>582</v>
      </c>
      <c r="AP603" s="406" t="s">
        <v>390</v>
      </c>
      <c r="AQ603" s="819" t="str">
        <f>IFERROR(VLOOKUP(E603,'liquidaciones '!$B$2:$C$1048576,2,0),"NO")</f>
        <v>LIQUIDADO</v>
      </c>
      <c r="AR603" s="909" t="str">
        <f>IFERROR(VLOOKUP(E603,'liquidaciones '!$B$2:$I$1048576,8,0),"")</f>
        <v>JUAN DIEGO ESPITIA</v>
      </c>
      <c r="AS603" s="406"/>
      <c r="AT603" s="156" t="str">
        <f t="shared" ca="1" si="115"/>
        <v>SI</v>
      </c>
      <c r="AU603" s="156" t="s">
        <v>2960</v>
      </c>
      <c r="AV603" s="406"/>
      <c r="AW603" s="930" t="s">
        <v>3938</v>
      </c>
      <c r="AX603" s="928"/>
      <c r="AY603" s="275" t="s">
        <v>5132</v>
      </c>
    </row>
    <row r="604" spans="3:51" ht="40.799999999999997" x14ac:dyDescent="0.3">
      <c r="C604" s="837">
        <v>116</v>
      </c>
      <c r="D604" s="837"/>
      <c r="E604" s="120" t="s">
        <v>3829</v>
      </c>
      <c r="F604" s="414" t="s">
        <v>3593</v>
      </c>
      <c r="G604" s="863">
        <v>1022949330</v>
      </c>
      <c r="H604" s="969" t="s">
        <v>3594</v>
      </c>
      <c r="I604" s="84">
        <v>9982000</v>
      </c>
      <c r="J604" s="843" t="s">
        <v>3829</v>
      </c>
      <c r="K604" s="269">
        <v>2018</v>
      </c>
      <c r="L604" s="519">
        <v>43124</v>
      </c>
      <c r="M604" s="844">
        <v>43129</v>
      </c>
      <c r="N604" s="844">
        <v>43284</v>
      </c>
      <c r="O604" s="1099" t="str">
        <f>IF(+Modificaciones!I604=0,"",VLOOKUP(E604,Modificaciones!$B$7:$I$2400,8,0))</f>
        <v/>
      </c>
      <c r="P604" s="115">
        <f>COUNTA(Modificaciones!J604,Modificaciones!L604,Modificaciones!N604,Modificaciones!P604)</f>
        <v>0</v>
      </c>
      <c r="Q604" s="116">
        <f>VLOOKUP(E604,Modificaciones!$B$7:$R$2300,17,0)</f>
        <v>0</v>
      </c>
      <c r="R604" s="117">
        <f>COUNTA(Modificaciones!T604,Modificaciones!V604,Modificaciones!X604,Modificaciones!Z604)</f>
        <v>0</v>
      </c>
      <c r="S604" s="118" t="str">
        <f>IF(Modificaciones!AA604=0,"",VLOOKUP(E604,Modificaciones!$B$7:$AA$2400,26,0))</f>
        <v/>
      </c>
      <c r="T604" s="119" t="str">
        <f>IF(Modificaciones!AB604=0,"",VLOOKUP(E604,Modificaciones!$B$7:$AB$2400,27,0))</f>
        <v/>
      </c>
      <c r="U604" s="1080" t="str">
        <f>+Modificaciones!AC604</f>
        <v/>
      </c>
      <c r="V604" s="825" t="str">
        <f>+Modificaciones!AK604</f>
        <v/>
      </c>
      <c r="W604" s="825">
        <f t="shared" si="110"/>
        <v>43284</v>
      </c>
      <c r="X604" s="59">
        <f t="shared" si="108"/>
        <v>9982000</v>
      </c>
      <c r="Y604" s="151">
        <f>VLOOKUP(E604,Modificaciones!$B$7:$BE$2300,56,0)</f>
        <v>9982000</v>
      </c>
      <c r="Z604" s="84">
        <f t="shared" si="117"/>
        <v>0</v>
      </c>
      <c r="AA604" s="283" t="s">
        <v>1966</v>
      </c>
      <c r="AB604" s="823">
        <f t="shared" si="118"/>
        <v>1</v>
      </c>
      <c r="AC604" s="40">
        <f t="shared" ca="1" si="111"/>
        <v>1</v>
      </c>
      <c r="AD604" s="41">
        <f t="shared" ca="1" si="112"/>
        <v>0</v>
      </c>
      <c r="AE604" s="181" t="str">
        <f t="shared" ca="1" si="113"/>
        <v/>
      </c>
      <c r="AF604" s="42" t="str">
        <f t="shared" si="119"/>
        <v>SI</v>
      </c>
      <c r="AG604" s="732" t="s">
        <v>5773</v>
      </c>
      <c r="AH604" s="152" t="s">
        <v>1255</v>
      </c>
      <c r="AI604" s="255" t="s">
        <v>3595</v>
      </c>
      <c r="AJ604" s="838" t="s">
        <v>3596</v>
      </c>
      <c r="AK604" s="255" t="s">
        <v>560</v>
      </c>
      <c r="AL604" s="838" t="s">
        <v>3597</v>
      </c>
      <c r="AM604" s="279" t="s">
        <v>3795</v>
      </c>
      <c r="AN604" s="161" t="str">
        <f t="shared" ca="1" si="114"/>
        <v>TERMINO</v>
      </c>
      <c r="AO604" s="284" t="s">
        <v>582</v>
      </c>
      <c r="AP604" s="406" t="s">
        <v>391</v>
      </c>
      <c r="AQ604" s="819" t="str">
        <f>IFERROR(VLOOKUP(E604,'liquidaciones '!$B$2:$C$1048576,2,0),"NO")</f>
        <v>LIQUIDADO</v>
      </c>
      <c r="AR604" s="909" t="str">
        <f>IFERROR(VLOOKUP(E604,'liquidaciones '!$B$2:$I$1048576,8,0),"")</f>
        <v>GABINO HERNANDEZ</v>
      </c>
      <c r="AS604" s="406"/>
      <c r="AT604" s="156" t="str">
        <f t="shared" ca="1" si="115"/>
        <v>NO</v>
      </c>
      <c r="AU604" s="156" t="s">
        <v>3564</v>
      </c>
      <c r="AV604" s="406" t="s">
        <v>3774</v>
      </c>
      <c r="AW604" s="930" t="s">
        <v>560</v>
      </c>
      <c r="AX604" s="928"/>
      <c r="AY604" s="928"/>
    </row>
    <row r="605" spans="3:51" ht="30.6" x14ac:dyDescent="0.3">
      <c r="C605" s="837">
        <v>85</v>
      </c>
      <c r="D605" s="837"/>
      <c r="E605" s="120" t="s">
        <v>3830</v>
      </c>
      <c r="F605" s="414" t="s">
        <v>3831</v>
      </c>
      <c r="G605" s="863">
        <v>79730476</v>
      </c>
      <c r="H605" s="967" t="s">
        <v>2903</v>
      </c>
      <c r="I605" s="84">
        <v>70452000</v>
      </c>
      <c r="J605" s="843" t="s">
        <v>3830</v>
      </c>
      <c r="K605" s="269">
        <v>2018</v>
      </c>
      <c r="L605" s="519">
        <v>43126</v>
      </c>
      <c r="M605" s="844">
        <v>43132</v>
      </c>
      <c r="N605" s="844">
        <v>43496</v>
      </c>
      <c r="O605" s="1099" t="str">
        <f>IF(+Modificaciones!I605=0,"",VLOOKUP(E605,Modificaciones!$B$7:$I$2400,8,0))</f>
        <v/>
      </c>
      <c r="P605" s="115">
        <f>COUNTA(Modificaciones!J605,Modificaciones!L605,Modificaciones!N605,Modificaciones!P605)</f>
        <v>0</v>
      </c>
      <c r="Q605" s="116">
        <f>VLOOKUP(E605,Modificaciones!$B$7:$R$2300,17,0)</f>
        <v>0</v>
      </c>
      <c r="R605" s="117">
        <f>COUNTA(Modificaciones!T605,Modificaciones!V605,Modificaciones!X605,Modificaciones!Z605)</f>
        <v>0</v>
      </c>
      <c r="S605" s="118" t="str">
        <f>IF(Modificaciones!AA605=0,"",VLOOKUP(E605,Modificaciones!$B$7:$AA$2400,26,0))</f>
        <v/>
      </c>
      <c r="T605" s="119" t="str">
        <f>IF(Modificaciones!AB605=0,"",VLOOKUP(E605,Modificaciones!$B$7:$AB$2400,27,0))</f>
        <v/>
      </c>
      <c r="U605" s="1080" t="str">
        <f>+Modificaciones!AC605</f>
        <v/>
      </c>
      <c r="V605" s="825" t="str">
        <f>+Modificaciones!AK605</f>
        <v/>
      </c>
      <c r="W605" s="825">
        <f t="shared" si="110"/>
        <v>43496</v>
      </c>
      <c r="X605" s="59">
        <f t="shared" si="108"/>
        <v>70452000</v>
      </c>
      <c r="Y605" s="151">
        <f>VLOOKUP(E605,Modificaciones!$B$7:$BE$2300,56,0)</f>
        <v>70452000</v>
      </c>
      <c r="Z605" s="84">
        <f t="shared" si="117"/>
        <v>0</v>
      </c>
      <c r="AA605" s="283" t="s">
        <v>1094</v>
      </c>
      <c r="AB605" s="823">
        <f t="shared" si="118"/>
        <v>1</v>
      </c>
      <c r="AC605" s="40">
        <f t="shared" ca="1" si="111"/>
        <v>1</v>
      </c>
      <c r="AD605" s="41">
        <f t="shared" ca="1" si="112"/>
        <v>0</v>
      </c>
      <c r="AE605" s="181" t="str">
        <f t="shared" ca="1" si="113"/>
        <v/>
      </c>
      <c r="AF605" s="42" t="str">
        <f t="shared" si="119"/>
        <v>SI</v>
      </c>
      <c r="AG605" s="732" t="s">
        <v>5773</v>
      </c>
      <c r="AH605" s="152" t="s">
        <v>1255</v>
      </c>
      <c r="AI605" s="152" t="s">
        <v>2173</v>
      </c>
      <c r="AJ605" s="152" t="s">
        <v>1176</v>
      </c>
      <c r="AK605" s="255" t="s">
        <v>559</v>
      </c>
      <c r="AL605" s="153"/>
      <c r="AM605" s="279" t="s">
        <v>2830</v>
      </c>
      <c r="AN605" s="161" t="str">
        <f t="shared" ca="1" si="114"/>
        <v>TERMINO</v>
      </c>
      <c r="AO605" s="160" t="s">
        <v>582</v>
      </c>
      <c r="AP605" s="155" t="s">
        <v>391</v>
      </c>
      <c r="AQ605" s="819" t="str">
        <f>IFERROR(VLOOKUP(E605,'liquidaciones '!$B$2:$C$1048576,2,0),"NO")</f>
        <v>LIQUIDADO</v>
      </c>
      <c r="AR605" s="909" t="str">
        <f>IFERROR(VLOOKUP(E605,'liquidaciones '!$B$2:$I$1048576,8,0),"")</f>
        <v>JUAN DIEGO ESPÍTIA</v>
      </c>
      <c r="AS605" s="406"/>
      <c r="AT605" s="156" t="str">
        <f t="shared" ca="1" si="115"/>
        <v>SI</v>
      </c>
      <c r="AU605" s="406" t="s">
        <v>1509</v>
      </c>
      <c r="AV605" s="406"/>
      <c r="AW605" s="930" t="s">
        <v>3938</v>
      </c>
      <c r="AX605" s="928"/>
      <c r="AY605" s="928"/>
    </row>
    <row r="606" spans="3:51" ht="20.399999999999999" x14ac:dyDescent="0.3">
      <c r="C606" s="837">
        <v>58</v>
      </c>
      <c r="D606" s="837"/>
      <c r="E606" s="120" t="s">
        <v>3834</v>
      </c>
      <c r="F606" s="867" t="s">
        <v>3833</v>
      </c>
      <c r="G606" s="873">
        <v>860001022</v>
      </c>
      <c r="H606" s="967" t="s">
        <v>2845</v>
      </c>
      <c r="I606" s="84">
        <v>1379700</v>
      </c>
      <c r="J606" s="843" t="s">
        <v>3839</v>
      </c>
      <c r="K606" s="269">
        <v>2018</v>
      </c>
      <c r="L606" s="519">
        <v>43126</v>
      </c>
      <c r="M606" s="519">
        <v>43185</v>
      </c>
      <c r="N606" s="519">
        <v>43549</v>
      </c>
      <c r="O606" s="1099" t="str">
        <f>IF(+Modificaciones!I606=0,"",VLOOKUP(E606,Modificaciones!$B$7:$I$2400,8,0))</f>
        <v/>
      </c>
      <c r="P606" s="115">
        <f>COUNTA(Modificaciones!J606,Modificaciones!L606,Modificaciones!N606,Modificaciones!P606)</f>
        <v>0</v>
      </c>
      <c r="Q606" s="116">
        <f>VLOOKUP(E606,Modificaciones!$B$7:$R$2300,17,0)</f>
        <v>0</v>
      </c>
      <c r="R606" s="117">
        <f>COUNTA(Modificaciones!T606,Modificaciones!V606,Modificaciones!X606,Modificaciones!Z606)</f>
        <v>0</v>
      </c>
      <c r="S606" s="118" t="str">
        <f>IF(Modificaciones!AA606=0,"",VLOOKUP(E606,Modificaciones!$B$7:$AA$2400,26,0))</f>
        <v/>
      </c>
      <c r="T606" s="119" t="str">
        <f>IF(Modificaciones!AB606=0,"",VLOOKUP(E606,Modificaciones!$B$7:$AB$2400,27,0))</f>
        <v/>
      </c>
      <c r="U606" s="1080" t="str">
        <f>+Modificaciones!AC606</f>
        <v/>
      </c>
      <c r="V606" s="825" t="str">
        <f>+Modificaciones!AK606</f>
        <v/>
      </c>
      <c r="W606" s="825">
        <f t="shared" si="110"/>
        <v>43549</v>
      </c>
      <c r="X606" s="59">
        <f t="shared" si="108"/>
        <v>1379700</v>
      </c>
      <c r="Y606" s="151">
        <f>VLOOKUP(E606,Modificaciones!$B$7:$BE$2300,56,0)</f>
        <v>1379700</v>
      </c>
      <c r="Z606" s="84">
        <f t="shared" si="117"/>
        <v>0</v>
      </c>
      <c r="AA606" s="283" t="s">
        <v>1894</v>
      </c>
      <c r="AB606" s="823">
        <f t="shared" si="118"/>
        <v>1</v>
      </c>
      <c r="AC606" s="40">
        <f t="shared" ca="1" si="111"/>
        <v>1</v>
      </c>
      <c r="AD606" s="41">
        <f t="shared" ca="1" si="112"/>
        <v>0</v>
      </c>
      <c r="AE606" s="181" t="str">
        <f t="shared" ca="1" si="113"/>
        <v/>
      </c>
      <c r="AF606" s="42" t="str">
        <f t="shared" si="119"/>
        <v>SI</v>
      </c>
      <c r="AG606" s="1017" t="s">
        <v>4920</v>
      </c>
      <c r="AH606" s="841" t="s">
        <v>1255</v>
      </c>
      <c r="AI606" s="841" t="s">
        <v>1124</v>
      </c>
      <c r="AJ606" s="838"/>
      <c r="AK606" s="551" t="s">
        <v>564</v>
      </c>
      <c r="AL606" s="838"/>
      <c r="AM606" s="279" t="s">
        <v>3798</v>
      </c>
      <c r="AN606" s="161" t="str">
        <f t="shared" ca="1" si="114"/>
        <v>TERMINO</v>
      </c>
      <c r="AO606" s="414"/>
      <c r="AP606" s="406"/>
      <c r="AQ606" s="819" t="str">
        <f>IFERROR(VLOOKUP(E606,'liquidaciones '!$B$2:$C$1048576,2,0),"NO")</f>
        <v>LIQUIDADO</v>
      </c>
      <c r="AR606" s="909" t="str">
        <f>IFERROR(VLOOKUP(E606,'liquidaciones '!$B$2:$I$1048576,8,0),"")</f>
        <v>JUAN DIEGO ESPITIA</v>
      </c>
      <c r="AS606" s="406"/>
      <c r="AT606" s="156" t="str">
        <f t="shared" ca="1" si="115"/>
        <v>SI</v>
      </c>
      <c r="AU606" s="156" t="s">
        <v>2960</v>
      </c>
      <c r="AV606" s="406"/>
      <c r="AW606" s="930" t="s">
        <v>3920</v>
      </c>
      <c r="AX606" s="928"/>
      <c r="AY606" s="275" t="s">
        <v>4670</v>
      </c>
    </row>
    <row r="607" spans="3:51" ht="40.799999999999997" x14ac:dyDescent="0.3">
      <c r="C607" s="837"/>
      <c r="D607" s="837"/>
      <c r="E607" s="120" t="s">
        <v>3835</v>
      </c>
      <c r="F607" s="414" t="s">
        <v>3836</v>
      </c>
      <c r="G607" s="863">
        <v>9395124</v>
      </c>
      <c r="H607" s="969" t="s">
        <v>3837</v>
      </c>
      <c r="I607" s="84">
        <v>77000000</v>
      </c>
      <c r="J607" s="843" t="s">
        <v>3835</v>
      </c>
      <c r="K607" s="269">
        <v>2018</v>
      </c>
      <c r="L607" s="519">
        <v>43126</v>
      </c>
      <c r="M607" s="519">
        <v>43132</v>
      </c>
      <c r="N607" s="519">
        <v>43326</v>
      </c>
      <c r="O607" s="1099" t="str">
        <f>IF(+Modificaciones!I607=0,"",VLOOKUP(E607,Modificaciones!$B$7:$I$2400,8,0))</f>
        <v/>
      </c>
      <c r="P607" s="115">
        <f>COUNTA(Modificaciones!J607,Modificaciones!L607,Modificaciones!N607,Modificaciones!P607)</f>
        <v>0</v>
      </c>
      <c r="Q607" s="116">
        <f>VLOOKUP(E607,Modificaciones!$B$7:$R$2300,17,0)</f>
        <v>0</v>
      </c>
      <c r="R607" s="117">
        <f>COUNTA(Modificaciones!T607,Modificaciones!V607,Modificaciones!X607,Modificaciones!Z607)</f>
        <v>0</v>
      </c>
      <c r="S607" s="118" t="str">
        <f>IF(Modificaciones!AA607=0,"",VLOOKUP(E607,Modificaciones!$B$7:$AA$2400,26,0))</f>
        <v/>
      </c>
      <c r="T607" s="119" t="str">
        <f>IF(Modificaciones!AB607=0,"",VLOOKUP(E607,Modificaciones!$B$7:$AB$2400,27,0))</f>
        <v/>
      </c>
      <c r="U607" s="1080" t="str">
        <f>+Modificaciones!AC607</f>
        <v/>
      </c>
      <c r="V607" s="825" t="str">
        <f>+Modificaciones!AK607</f>
        <v/>
      </c>
      <c r="W607" s="825">
        <f t="shared" si="110"/>
        <v>43326</v>
      </c>
      <c r="X607" s="59">
        <f t="shared" si="108"/>
        <v>77000000</v>
      </c>
      <c r="Y607" s="151">
        <f>VLOOKUP(E607,Modificaciones!$B$7:$BE$2300,56,0)</f>
        <v>45266667</v>
      </c>
      <c r="Z607" s="84">
        <f t="shared" ref="Z607:Z645" si="120">X607-Y607</f>
        <v>31733333</v>
      </c>
      <c r="AA607" s="283" t="s">
        <v>1094</v>
      </c>
      <c r="AB607" s="823">
        <f t="shared" ref="AB607:AB645" si="121">(Y607*100%)/X607</f>
        <v>0.58787879220779216</v>
      </c>
      <c r="AC607" s="40">
        <f t="shared" ca="1" si="111"/>
        <v>1</v>
      </c>
      <c r="AD607" s="41">
        <f t="shared" ca="1" si="112"/>
        <v>0.41212120779220784</v>
      </c>
      <c r="AE607" s="181" t="str">
        <f t="shared" ca="1" si="113"/>
        <v/>
      </c>
      <c r="AF607" s="42" t="str">
        <f t="shared" ref="AF607:AF645" si="122">IF(AB607&lt;=99.9%,"NO","SI")</f>
        <v>NO</v>
      </c>
      <c r="AG607" s="732" t="s">
        <v>5773</v>
      </c>
      <c r="AH607" s="841" t="s">
        <v>1255</v>
      </c>
      <c r="AI607" s="152" t="s">
        <v>3838</v>
      </c>
      <c r="AJ607" s="838"/>
      <c r="AK607" s="255" t="s">
        <v>559</v>
      </c>
      <c r="AL607" s="838"/>
      <c r="AM607" s="279" t="s">
        <v>2830</v>
      </c>
      <c r="AN607" s="161" t="str">
        <f t="shared" ca="1" si="114"/>
        <v>TERMINO</v>
      </c>
      <c r="AO607" s="160" t="s">
        <v>582</v>
      </c>
      <c r="AP607" s="155" t="s">
        <v>391</v>
      </c>
      <c r="AQ607" s="819" t="str">
        <f>IFERROR(VLOOKUP(E607,'liquidaciones '!$B$2:$C$1048576,2,0),"NO")</f>
        <v>EN TRÁMITE</v>
      </c>
      <c r="AR607" s="909">
        <f>IFERROR(VLOOKUP(E607,'liquidaciones '!$B$2:$I$1048576,8,0),"")</f>
        <v>0</v>
      </c>
      <c r="AS607" s="406"/>
      <c r="AT607" s="156" t="str">
        <f t="shared" ca="1" si="115"/>
        <v>NO</v>
      </c>
      <c r="AU607" s="939" t="s">
        <v>3050</v>
      </c>
      <c r="AV607" s="406"/>
      <c r="AW607" s="930" t="s">
        <v>4178</v>
      </c>
      <c r="AX607" s="928"/>
      <c r="AY607" s="928"/>
    </row>
    <row r="608" spans="3:51" ht="40.799999999999997" x14ac:dyDescent="0.3">
      <c r="C608" s="837"/>
      <c r="D608" s="837"/>
      <c r="E608" s="120" t="s">
        <v>3847</v>
      </c>
      <c r="F608" s="414" t="s">
        <v>3575</v>
      </c>
      <c r="G608" s="863">
        <v>52733413</v>
      </c>
      <c r="H608" s="965" t="s">
        <v>2501</v>
      </c>
      <c r="I608" s="84">
        <v>70452000</v>
      </c>
      <c r="J608" s="843" t="s">
        <v>3847</v>
      </c>
      <c r="K608" s="269">
        <v>2018</v>
      </c>
      <c r="L608" s="519">
        <v>43125</v>
      </c>
      <c r="M608" s="519">
        <v>43136</v>
      </c>
      <c r="N608" s="519">
        <v>43500</v>
      </c>
      <c r="O608" s="1099" t="str">
        <f>IF(+Modificaciones!I608=0,"",VLOOKUP(E608,Modificaciones!$B$7:$I$2400,8,0))</f>
        <v/>
      </c>
      <c r="P608" s="115">
        <f>COUNTA(Modificaciones!J608,Modificaciones!L608,Modificaciones!N608,Modificaciones!P608)</f>
        <v>0</v>
      </c>
      <c r="Q608" s="116">
        <f>VLOOKUP(E608,Modificaciones!$B$7:$R$2300,17,0)</f>
        <v>0</v>
      </c>
      <c r="R608" s="117">
        <f>COUNTA(Modificaciones!T608,Modificaciones!V608,Modificaciones!X608,Modificaciones!Z608)</f>
        <v>0</v>
      </c>
      <c r="S608" s="118" t="str">
        <f>IF(Modificaciones!AA608=0,"",VLOOKUP(E608,Modificaciones!$B$7:$AA$2400,26,0))</f>
        <v/>
      </c>
      <c r="T608" s="119" t="str">
        <f>IF(Modificaciones!AB608=0,"",VLOOKUP(E608,Modificaciones!$B$7:$AB$2400,27,0))</f>
        <v/>
      </c>
      <c r="U608" s="1080" t="str">
        <f>+Modificaciones!AC608</f>
        <v/>
      </c>
      <c r="V608" s="825" t="str">
        <f>+Modificaciones!AK608</f>
        <v/>
      </c>
      <c r="W608" s="825">
        <f t="shared" si="110"/>
        <v>43500</v>
      </c>
      <c r="X608" s="59">
        <f t="shared" si="108"/>
        <v>70452000</v>
      </c>
      <c r="Y608" s="151">
        <f>VLOOKUP(E608,Modificaciones!$B$7:$BE$2300,56,0)</f>
        <v>70452000</v>
      </c>
      <c r="Z608" s="84">
        <f t="shared" si="120"/>
        <v>0</v>
      </c>
      <c r="AA608" s="283" t="s">
        <v>1966</v>
      </c>
      <c r="AB608" s="823">
        <f t="shared" si="121"/>
        <v>1</v>
      </c>
      <c r="AC608" s="40">
        <f t="shared" ca="1" si="111"/>
        <v>1</v>
      </c>
      <c r="AD608" s="41">
        <f t="shared" ca="1" si="112"/>
        <v>0</v>
      </c>
      <c r="AE608" s="181" t="str">
        <f t="shared" ca="1" si="113"/>
        <v/>
      </c>
      <c r="AF608" s="42" t="str">
        <f t="shared" si="122"/>
        <v>SI</v>
      </c>
      <c r="AG608" s="732" t="s">
        <v>5773</v>
      </c>
      <c r="AH608" s="152" t="s">
        <v>1255</v>
      </c>
      <c r="AI608" s="255" t="s">
        <v>1967</v>
      </c>
      <c r="AJ608" s="152" t="s">
        <v>1428</v>
      </c>
      <c r="AK608" s="255" t="s">
        <v>563</v>
      </c>
      <c r="AL608" s="279"/>
      <c r="AM608" s="279" t="s">
        <v>3795</v>
      </c>
      <c r="AN608" s="161" t="str">
        <f t="shared" ca="1" si="114"/>
        <v>TERMINO</v>
      </c>
      <c r="AO608" s="284" t="s">
        <v>582</v>
      </c>
      <c r="AP608" s="406" t="s">
        <v>390</v>
      </c>
      <c r="AQ608" s="819" t="str">
        <f>IFERROR(VLOOKUP(E608,'liquidaciones '!$B$2:$C$1048576,2,0),"NO")</f>
        <v>LIQUIDADO</v>
      </c>
      <c r="AR608" s="909" t="str">
        <f>IFERROR(VLOOKUP(E608,'liquidaciones '!$B$2:$I$1048576,8,0),"")</f>
        <v>MARTHA SANCHEZ</v>
      </c>
      <c r="AS608" s="406"/>
      <c r="AT608" s="156" t="str">
        <f t="shared" ca="1" si="115"/>
        <v>SI</v>
      </c>
      <c r="AU608" s="156" t="s">
        <v>3050</v>
      </c>
      <c r="AV608" s="406" t="s">
        <v>3817</v>
      </c>
      <c r="AW608" s="930" t="s">
        <v>560</v>
      </c>
      <c r="AX608" s="928"/>
      <c r="AY608" s="928"/>
    </row>
    <row r="609" spans="3:51" ht="30.6" x14ac:dyDescent="0.3">
      <c r="C609" s="837"/>
      <c r="D609" s="837"/>
      <c r="E609" s="120" t="s">
        <v>3848</v>
      </c>
      <c r="F609" s="414" t="s">
        <v>3849</v>
      </c>
      <c r="G609" s="863">
        <v>80734819</v>
      </c>
      <c r="H609" s="969" t="s">
        <v>2908</v>
      </c>
      <c r="I609" s="84">
        <v>21286908</v>
      </c>
      <c r="J609" s="843" t="s">
        <v>3848</v>
      </c>
      <c r="K609" s="269">
        <v>2018</v>
      </c>
      <c r="L609" s="519">
        <v>43126</v>
      </c>
      <c r="M609" s="519">
        <v>43132</v>
      </c>
      <c r="N609" s="519">
        <v>43312</v>
      </c>
      <c r="O609" s="1099" t="str">
        <f>IF(+Modificaciones!I609=0,"",VLOOKUP(E609,Modificaciones!$B$7:$I$2400,8,0))</f>
        <v/>
      </c>
      <c r="P609" s="115">
        <f>COUNTA(Modificaciones!J609,Modificaciones!L609,Modificaciones!N609,Modificaciones!P609)</f>
        <v>0</v>
      </c>
      <c r="Q609" s="116">
        <f>VLOOKUP(E609,Modificaciones!$B$7:$R$2300,17,0)</f>
        <v>0</v>
      </c>
      <c r="R609" s="117">
        <f>COUNTA(Modificaciones!T609,Modificaciones!V609,Modificaciones!X609,Modificaciones!Z609)</f>
        <v>0</v>
      </c>
      <c r="S609" s="118" t="str">
        <f>IF(Modificaciones!AA609=0,"",VLOOKUP(E609,Modificaciones!$B$7:$AA$2400,26,0))</f>
        <v/>
      </c>
      <c r="T609" s="119" t="str">
        <f>IF(Modificaciones!AB609=0,"",VLOOKUP(E609,Modificaciones!$B$7:$AB$2400,27,0))</f>
        <v/>
      </c>
      <c r="U609" s="1080" t="str">
        <f>+Modificaciones!AC609</f>
        <v/>
      </c>
      <c r="V609" s="825" t="str">
        <f>+Modificaciones!AK609</f>
        <v/>
      </c>
      <c r="W609" s="825">
        <f t="shared" si="110"/>
        <v>43312</v>
      </c>
      <c r="X609" s="59">
        <f t="shared" si="108"/>
        <v>21286908</v>
      </c>
      <c r="Y609" s="151">
        <f>VLOOKUP(E609,Modificaciones!$B$7:$BE$2300,56,0)</f>
        <v>21286908</v>
      </c>
      <c r="Z609" s="84">
        <f t="shared" si="120"/>
        <v>0</v>
      </c>
      <c r="AA609" s="283" t="s">
        <v>1966</v>
      </c>
      <c r="AB609" s="823">
        <f t="shared" si="121"/>
        <v>1</v>
      </c>
      <c r="AC609" s="40">
        <f t="shared" ca="1" si="111"/>
        <v>1</v>
      </c>
      <c r="AD609" s="41">
        <f t="shared" ca="1" si="112"/>
        <v>0</v>
      </c>
      <c r="AE609" s="181" t="str">
        <f t="shared" ca="1" si="113"/>
        <v/>
      </c>
      <c r="AF609" s="42" t="str">
        <f t="shared" si="122"/>
        <v>SI</v>
      </c>
      <c r="AG609" s="732" t="s">
        <v>5773</v>
      </c>
      <c r="AH609" s="152" t="s">
        <v>1255</v>
      </c>
      <c r="AI609" s="152" t="s">
        <v>2177</v>
      </c>
      <c r="AJ609" s="152" t="s">
        <v>1438</v>
      </c>
      <c r="AK609" s="255" t="s">
        <v>560</v>
      </c>
      <c r="AL609" s="279" t="s">
        <v>1508</v>
      </c>
      <c r="AM609" s="279" t="s">
        <v>3795</v>
      </c>
      <c r="AN609" s="161" t="str">
        <f t="shared" ca="1" si="114"/>
        <v>TERMINO</v>
      </c>
      <c r="AO609" s="160" t="s">
        <v>582</v>
      </c>
      <c r="AP609" s="406" t="s">
        <v>391</v>
      </c>
      <c r="AQ609" s="819" t="str">
        <f>IFERROR(VLOOKUP(E609,'liquidaciones '!$B$2:$C$1048576,2,0),"NO")</f>
        <v>LIQUIDADO</v>
      </c>
      <c r="AR609" s="909" t="str">
        <f>IFERROR(VLOOKUP(E609,'liquidaciones '!$B$2:$I$1048576,8,0),"")</f>
        <v>GABINO HERNANDEZ</v>
      </c>
      <c r="AS609" s="406"/>
      <c r="AT609" s="156" t="str">
        <f t="shared" ca="1" si="115"/>
        <v>NO</v>
      </c>
      <c r="AU609" s="406" t="s">
        <v>3512</v>
      </c>
      <c r="AV609" s="406" t="s">
        <v>3778</v>
      </c>
      <c r="AW609" s="930" t="s">
        <v>560</v>
      </c>
      <c r="AX609" s="928"/>
      <c r="AY609" s="928"/>
    </row>
    <row r="610" spans="3:51" ht="40.799999999999997" x14ac:dyDescent="0.3">
      <c r="C610" s="837">
        <v>279</v>
      </c>
      <c r="D610" s="837"/>
      <c r="E610" s="120" t="s">
        <v>3853</v>
      </c>
      <c r="F610" s="414" t="s">
        <v>3924</v>
      </c>
      <c r="G610" s="863">
        <v>52961573</v>
      </c>
      <c r="H610" s="969" t="s">
        <v>3854</v>
      </c>
      <c r="I610" s="84">
        <v>56100000</v>
      </c>
      <c r="J610" s="843" t="s">
        <v>3853</v>
      </c>
      <c r="K610" s="269">
        <v>2018</v>
      </c>
      <c r="L610" s="519">
        <v>43126</v>
      </c>
      <c r="M610" s="519">
        <v>43140</v>
      </c>
      <c r="N610" s="519">
        <v>43473</v>
      </c>
      <c r="O610" s="1099" t="str">
        <f>IF(+Modificaciones!I610=0,"",VLOOKUP(E610,Modificaciones!$B$7:$I$2400,8,0))</f>
        <v/>
      </c>
      <c r="P610" s="115">
        <f>COUNTA(Modificaciones!J610,Modificaciones!L610,Modificaciones!N610,Modificaciones!P610)</f>
        <v>0</v>
      </c>
      <c r="Q610" s="116">
        <f>VLOOKUP(E610,Modificaciones!$B$7:$R$2300,17,0)</f>
        <v>0</v>
      </c>
      <c r="R610" s="117">
        <f>COUNTA(Modificaciones!T610,Modificaciones!V610,Modificaciones!X610,Modificaciones!Z610)</f>
        <v>1</v>
      </c>
      <c r="S610" s="118" t="str">
        <f>IF(Modificaciones!AA610=0,"",VLOOKUP(E610,Modificaciones!$B$7:$AA$2400,26,0))</f>
        <v>45 días calendario</v>
      </c>
      <c r="T610" s="119">
        <f>IF(Modificaciones!AB610=0,"",VLOOKUP(E610,Modificaciones!$B$7:$AB$2400,27,0))</f>
        <v>43518</v>
      </c>
      <c r="U610" s="1080" t="str">
        <f>+Modificaciones!AC610</f>
        <v/>
      </c>
      <c r="V610" s="825" t="str">
        <f>+Modificaciones!AK610</f>
        <v/>
      </c>
      <c r="W610" s="825">
        <f t="shared" si="110"/>
        <v>43518</v>
      </c>
      <c r="X610" s="59">
        <f t="shared" si="108"/>
        <v>56100000</v>
      </c>
      <c r="Y610" s="151">
        <f>VLOOKUP(E610,Modificaciones!$B$7:$BE$2300,56,0)</f>
        <v>55930000</v>
      </c>
      <c r="Z610" s="84">
        <f t="shared" si="120"/>
        <v>170000</v>
      </c>
      <c r="AA610" s="283" t="s">
        <v>1966</v>
      </c>
      <c r="AB610" s="823">
        <f t="shared" si="121"/>
        <v>0.99696969696969695</v>
      </c>
      <c r="AC610" s="40">
        <f t="shared" ca="1" si="111"/>
        <v>1</v>
      </c>
      <c r="AD610" s="41">
        <f t="shared" ca="1" si="112"/>
        <v>3.0303030303030498E-3</v>
      </c>
      <c r="AE610" s="181" t="str">
        <f t="shared" ca="1" si="113"/>
        <v/>
      </c>
      <c r="AF610" s="42" t="str">
        <f t="shared" si="122"/>
        <v>NO</v>
      </c>
      <c r="AG610" s="732" t="s">
        <v>5773</v>
      </c>
      <c r="AH610" s="152" t="s">
        <v>1255</v>
      </c>
      <c r="AI610" s="152" t="s">
        <v>3855</v>
      </c>
      <c r="AJ610" s="838"/>
      <c r="AK610" s="551" t="s">
        <v>564</v>
      </c>
      <c r="AL610" s="838"/>
      <c r="AM610" s="279" t="s">
        <v>3856</v>
      </c>
      <c r="AN610" s="161" t="str">
        <f t="shared" ca="1" si="114"/>
        <v>TERMINO</v>
      </c>
      <c r="AO610" s="160" t="s">
        <v>582</v>
      </c>
      <c r="AP610" s="406" t="s">
        <v>391</v>
      </c>
      <c r="AQ610" s="819" t="str">
        <f>IFERROR(VLOOKUP(E610,'liquidaciones '!$B$2:$C$1048576,2,0),"NO")</f>
        <v>DEVUELTO</v>
      </c>
      <c r="AR610" s="909" t="str">
        <f>IFERROR(VLOOKUP(E610,'liquidaciones '!$B$2:$I$1048576,8,0),"")</f>
        <v>MARTHA SANCHEZ</v>
      </c>
      <c r="AS610" s="406"/>
      <c r="AT610" s="156" t="str">
        <f t="shared" ca="1" si="115"/>
        <v>SI</v>
      </c>
      <c r="AU610" s="930" t="s">
        <v>4804</v>
      </c>
      <c r="AV610" s="406"/>
      <c r="AW610" s="930" t="s">
        <v>4178</v>
      </c>
      <c r="AX610" s="928"/>
      <c r="AY610" s="928"/>
    </row>
    <row r="611" spans="3:51" ht="61.2" x14ac:dyDescent="0.3">
      <c r="C611" s="837"/>
      <c r="D611" s="837"/>
      <c r="E611" s="120" t="s">
        <v>3865</v>
      </c>
      <c r="F611" s="414" t="s">
        <v>3902</v>
      </c>
      <c r="G611" s="863">
        <v>52334577</v>
      </c>
      <c r="H611" s="969" t="s">
        <v>4671</v>
      </c>
      <c r="I611" s="84">
        <v>49440000</v>
      </c>
      <c r="J611" s="843" t="s">
        <v>3865</v>
      </c>
      <c r="K611" s="269">
        <v>2018</v>
      </c>
      <c r="L611" s="519">
        <v>43126</v>
      </c>
      <c r="M611" s="844">
        <v>43196</v>
      </c>
      <c r="N611" s="844">
        <v>43560</v>
      </c>
      <c r="O611" s="1099" t="str">
        <f>IF(+Modificaciones!I611=0,"",VLOOKUP(E611,Modificaciones!$B$7:$I$2400,8,0))</f>
        <v/>
      </c>
      <c r="P611" s="115">
        <f>COUNTA(Modificaciones!J611,Modificaciones!L611,Modificaciones!N611,Modificaciones!P611)</f>
        <v>0</v>
      </c>
      <c r="Q611" s="116">
        <f>VLOOKUP(E611,Modificaciones!$B$7:$R$2300,17,0)</f>
        <v>0</v>
      </c>
      <c r="R611" s="117">
        <f>COUNTA(Modificaciones!T611,Modificaciones!V611,Modificaciones!X611,Modificaciones!Z611)</f>
        <v>0</v>
      </c>
      <c r="S611" s="118" t="str">
        <f>IF(Modificaciones!AA611=0,"",VLOOKUP(E611,Modificaciones!$B$7:$AA$2400,26,0))</f>
        <v/>
      </c>
      <c r="T611" s="119" t="str">
        <f>IF(Modificaciones!AB611=0,"",VLOOKUP(E611,Modificaciones!$B$7:$AB$2400,27,0))</f>
        <v/>
      </c>
      <c r="U611" s="1080" t="str">
        <f>+Modificaciones!AC611</f>
        <v/>
      </c>
      <c r="V611" s="825" t="str">
        <f>+Modificaciones!AK611</f>
        <v/>
      </c>
      <c r="W611" s="825">
        <f t="shared" si="110"/>
        <v>43560</v>
      </c>
      <c r="X611" s="59">
        <f t="shared" si="108"/>
        <v>49440000</v>
      </c>
      <c r="Y611" s="151">
        <f>VLOOKUP(E611,Modificaciones!$B$7:$BE$2300,56,0)</f>
        <v>49440000</v>
      </c>
      <c r="Z611" s="84">
        <f t="shared" si="120"/>
        <v>0</v>
      </c>
      <c r="AA611" s="283" t="s">
        <v>1966</v>
      </c>
      <c r="AB611" s="823">
        <f t="shared" si="121"/>
        <v>1</v>
      </c>
      <c r="AC611" s="40">
        <f t="shared" ca="1" si="111"/>
        <v>1</v>
      </c>
      <c r="AD611" s="41">
        <f t="shared" ca="1" si="112"/>
        <v>0</v>
      </c>
      <c r="AE611" s="181" t="str">
        <f t="shared" ca="1" si="113"/>
        <v/>
      </c>
      <c r="AF611" s="42" t="str">
        <f t="shared" si="122"/>
        <v>SI</v>
      </c>
      <c r="AG611" s="732" t="s">
        <v>5773</v>
      </c>
      <c r="AH611" s="152" t="s">
        <v>1255</v>
      </c>
      <c r="AI611" s="152" t="s">
        <v>3855</v>
      </c>
      <c r="AJ611" s="838"/>
      <c r="AK611" s="551" t="s">
        <v>564</v>
      </c>
      <c r="AL611" s="838"/>
      <c r="AM611" s="279" t="s">
        <v>3798</v>
      </c>
      <c r="AN611" s="161" t="str">
        <f t="shared" ca="1" si="114"/>
        <v>TERMINO</v>
      </c>
      <c r="AO611" s="160" t="s">
        <v>582</v>
      </c>
      <c r="AP611" s="406" t="s">
        <v>391</v>
      </c>
      <c r="AQ611" s="819" t="str">
        <f>IFERROR(VLOOKUP(E611,'liquidaciones '!$B$2:$C$1048576,2,0),"NO")</f>
        <v>LIQUIDADO</v>
      </c>
      <c r="AR611" s="909" t="str">
        <f>IFERROR(VLOOKUP(E611,'liquidaciones '!$B$2:$I$1048576,8,0),"")</f>
        <v>GABINO HERNANDEZ</v>
      </c>
      <c r="AS611" s="406"/>
      <c r="AT611" s="156" t="str">
        <f t="shared" ca="1" si="115"/>
        <v>SI</v>
      </c>
      <c r="AU611" s="930" t="s">
        <v>4804</v>
      </c>
      <c r="AV611" s="406"/>
      <c r="AW611" s="930" t="s">
        <v>3920</v>
      </c>
      <c r="AX611" s="928"/>
      <c r="AY611" s="275" t="s">
        <v>4707</v>
      </c>
    </row>
    <row r="612" spans="3:51" ht="28.8" x14ac:dyDescent="0.3">
      <c r="C612" s="837"/>
      <c r="D612" s="837"/>
      <c r="E612" s="120" t="s">
        <v>3870</v>
      </c>
      <c r="F612" s="414" t="s">
        <v>2360</v>
      </c>
      <c r="G612" s="863">
        <v>800103052</v>
      </c>
      <c r="H612" s="969" t="s">
        <v>3871</v>
      </c>
      <c r="I612" s="84">
        <v>203714167</v>
      </c>
      <c r="J612" s="843" t="s">
        <v>5255</v>
      </c>
      <c r="K612" s="269">
        <v>2018</v>
      </c>
      <c r="L612" s="519">
        <v>43125</v>
      </c>
      <c r="M612" s="519">
        <v>43126</v>
      </c>
      <c r="N612" s="519">
        <v>43465</v>
      </c>
      <c r="O612" s="1099" t="str">
        <f>IF(+Modificaciones!I612=0,"",VLOOKUP(E612,Modificaciones!$B$7:$I$2400,8,0))</f>
        <v/>
      </c>
      <c r="P612" s="115">
        <f>COUNTA(Modificaciones!J612,Modificaciones!L612,Modificaciones!N612,Modificaciones!P612)</f>
        <v>0</v>
      </c>
      <c r="Q612" s="116">
        <f>VLOOKUP(E612,Modificaciones!$B$7:$R$2300,17,0)</f>
        <v>0</v>
      </c>
      <c r="R612" s="117">
        <f>COUNTA(Modificaciones!T612,Modificaciones!V612,Modificaciones!X612,Modificaciones!Z612)</f>
        <v>0</v>
      </c>
      <c r="S612" s="118" t="str">
        <f>IF(Modificaciones!AA612=0,"",VLOOKUP(E612,Modificaciones!$B$7:$AA$2400,26,0))</f>
        <v/>
      </c>
      <c r="T612" s="119" t="str">
        <f>IF(Modificaciones!AB612=0,"",VLOOKUP(E612,Modificaciones!$B$7:$AB$2400,27,0))</f>
        <v/>
      </c>
      <c r="U612" s="1080" t="str">
        <f>+Modificaciones!AC612</f>
        <v/>
      </c>
      <c r="V612" s="825" t="str">
        <f>+Modificaciones!AK612</f>
        <v/>
      </c>
      <c r="W612" s="825">
        <f t="shared" si="110"/>
        <v>43465</v>
      </c>
      <c r="X612" s="59">
        <f t="shared" si="108"/>
        <v>203714167</v>
      </c>
      <c r="Y612" s="151">
        <f>VLOOKUP(E612,Modificaciones!$B$7:$BE$2300,56,0)</f>
        <v>203714167</v>
      </c>
      <c r="Z612" s="84">
        <f t="shared" si="120"/>
        <v>0</v>
      </c>
      <c r="AA612" s="283"/>
      <c r="AB612" s="823">
        <f t="shared" si="121"/>
        <v>1</v>
      </c>
      <c r="AC612" s="40">
        <f t="shared" ca="1" si="111"/>
        <v>1</v>
      </c>
      <c r="AD612" s="41">
        <f t="shared" ca="1" si="112"/>
        <v>0</v>
      </c>
      <c r="AE612" s="181" t="str">
        <f t="shared" ca="1" si="113"/>
        <v/>
      </c>
      <c r="AF612" s="42" t="str">
        <f t="shared" si="122"/>
        <v>SI</v>
      </c>
      <c r="AG612" s="1017" t="s">
        <v>4920</v>
      </c>
      <c r="AH612" s="841" t="s">
        <v>1256</v>
      </c>
      <c r="AI612" s="841" t="s">
        <v>3872</v>
      </c>
      <c r="AJ612" s="152" t="s">
        <v>1438</v>
      </c>
      <c r="AK612" s="255" t="s">
        <v>560</v>
      </c>
      <c r="AL612" s="279" t="s">
        <v>1508</v>
      </c>
      <c r="AM612" s="279" t="s">
        <v>3873</v>
      </c>
      <c r="AN612" s="161" t="str">
        <f t="shared" ca="1" si="114"/>
        <v>TERMINO</v>
      </c>
      <c r="AO612" s="284" t="s">
        <v>2722</v>
      </c>
      <c r="AP612" s="406" t="s">
        <v>391</v>
      </c>
      <c r="AQ612" s="819" t="str">
        <f>IFERROR(VLOOKUP(E612,'liquidaciones '!$B$2:$C$1048576,2,0),"NO")</f>
        <v>DEVUELTO</v>
      </c>
      <c r="AR612" s="909" t="str">
        <f>IFERROR(VLOOKUP(E612,'liquidaciones '!$B$2:$I$1048576,8,0),"")</f>
        <v>JUAN DIEGO ESPITIA</v>
      </c>
      <c r="AS612" s="406"/>
      <c r="AT612" s="156" t="str">
        <f t="shared" ca="1" si="115"/>
        <v>SI</v>
      </c>
      <c r="AU612" s="939" t="s">
        <v>4209</v>
      </c>
      <c r="AV612" s="406" t="s">
        <v>3778</v>
      </c>
      <c r="AW612" s="930" t="s">
        <v>560</v>
      </c>
      <c r="AX612" s="928"/>
      <c r="AY612" s="928"/>
    </row>
    <row r="613" spans="3:51" ht="20.399999999999999" x14ac:dyDescent="0.3">
      <c r="C613" s="837">
        <v>200</v>
      </c>
      <c r="D613" s="837"/>
      <c r="E613" s="120" t="s">
        <v>3879</v>
      </c>
      <c r="F613" s="834" t="s">
        <v>2769</v>
      </c>
      <c r="G613" s="874" t="s">
        <v>2770</v>
      </c>
      <c r="H613" s="965" t="s">
        <v>2771</v>
      </c>
      <c r="I613" s="84">
        <v>426827</v>
      </c>
      <c r="J613" s="843" t="s">
        <v>3879</v>
      </c>
      <c r="K613" s="269">
        <v>2018</v>
      </c>
      <c r="L613" s="519">
        <v>43126</v>
      </c>
      <c r="M613" s="519">
        <v>43220</v>
      </c>
      <c r="N613" s="519">
        <v>43584</v>
      </c>
      <c r="O613" s="1099" t="str">
        <f>IF(+Modificaciones!I613=0,"",VLOOKUP(E613,Modificaciones!$B$7:$I$2400,8,0))</f>
        <v/>
      </c>
      <c r="P613" s="115">
        <f>COUNTA(Modificaciones!J613,Modificaciones!L613,Modificaciones!N613,Modificaciones!P613)</f>
        <v>0</v>
      </c>
      <c r="Q613" s="116">
        <f>VLOOKUP(E613,Modificaciones!$B$7:$R$2300,17,0)</f>
        <v>0</v>
      </c>
      <c r="R613" s="117">
        <f>COUNTA(Modificaciones!T613,Modificaciones!V613,Modificaciones!X613,Modificaciones!Z613)</f>
        <v>0</v>
      </c>
      <c r="S613" s="118" t="str">
        <f>IF(Modificaciones!AA613=0,"",VLOOKUP(E613,Modificaciones!$B$7:$AA$2400,26,0))</f>
        <v/>
      </c>
      <c r="T613" s="119" t="str">
        <f>IF(Modificaciones!AB613=0,"",VLOOKUP(E613,Modificaciones!$B$7:$AB$2400,27,0))</f>
        <v/>
      </c>
      <c r="U613" s="1080" t="str">
        <f>+Modificaciones!AC613</f>
        <v/>
      </c>
      <c r="V613" s="825" t="str">
        <f>+Modificaciones!AK613</f>
        <v/>
      </c>
      <c r="W613" s="825">
        <f t="shared" si="110"/>
        <v>43584</v>
      </c>
      <c r="X613" s="59">
        <f t="shared" si="108"/>
        <v>426827</v>
      </c>
      <c r="Y613" s="151">
        <f>VLOOKUP(E613,Modificaciones!$B$7:$BE$2300,56,0)</f>
        <v>426827</v>
      </c>
      <c r="Z613" s="84">
        <f t="shared" si="120"/>
        <v>0</v>
      </c>
      <c r="AA613" s="283" t="s">
        <v>1894</v>
      </c>
      <c r="AB613" s="823">
        <f t="shared" si="121"/>
        <v>1</v>
      </c>
      <c r="AC613" s="40">
        <f t="shared" ca="1" si="111"/>
        <v>1</v>
      </c>
      <c r="AD613" s="41">
        <f t="shared" ca="1" si="112"/>
        <v>0</v>
      </c>
      <c r="AE613" s="181" t="str">
        <f t="shared" ca="1" si="113"/>
        <v/>
      </c>
      <c r="AF613" s="42" t="str">
        <f t="shared" si="122"/>
        <v>SI</v>
      </c>
      <c r="AG613" s="1017" t="s">
        <v>4920</v>
      </c>
      <c r="AH613" s="152" t="s">
        <v>1256</v>
      </c>
      <c r="AI613" s="275" t="s">
        <v>1470</v>
      </c>
      <c r="AJ613" s="152" t="s">
        <v>1438</v>
      </c>
      <c r="AK613" s="255" t="s">
        <v>560</v>
      </c>
      <c r="AL613" s="153" t="s">
        <v>1508</v>
      </c>
      <c r="AM613" s="279" t="s">
        <v>3880</v>
      </c>
      <c r="AN613" s="161" t="str">
        <f t="shared" ca="1" si="114"/>
        <v>TERMINO</v>
      </c>
      <c r="AO613" s="284" t="s">
        <v>582</v>
      </c>
      <c r="AP613" s="155" t="s">
        <v>390</v>
      </c>
      <c r="AQ613" s="819" t="str">
        <f>IFERROR(VLOOKUP(E613,'liquidaciones '!$B$2:$C$1048576,2,0),"NO")</f>
        <v>DEVUELTO</v>
      </c>
      <c r="AR613" s="909" t="str">
        <f>IFERROR(VLOOKUP(E613,'liquidaciones '!$B$2:$I$1048576,8,0),"")</f>
        <v>MARIA ALEJANDRA SANCHEZ</v>
      </c>
      <c r="AS613" s="406"/>
      <c r="AT613" s="156" t="str">
        <f t="shared" ca="1" si="115"/>
        <v>SI</v>
      </c>
      <c r="AU613" s="939" t="s">
        <v>4209</v>
      </c>
      <c r="AV613" s="406"/>
      <c r="AW613" s="930" t="s">
        <v>3938</v>
      </c>
      <c r="AX613" s="928"/>
      <c r="AY613" s="275" t="s">
        <v>5041</v>
      </c>
    </row>
    <row r="614" spans="3:51" ht="51" x14ac:dyDescent="0.3">
      <c r="C614" s="837">
        <v>287</v>
      </c>
      <c r="D614" s="837"/>
      <c r="E614" s="120" t="s">
        <v>3881</v>
      </c>
      <c r="F614" s="414" t="s">
        <v>3882</v>
      </c>
      <c r="G614" s="863">
        <v>52713367</v>
      </c>
      <c r="H614" s="969" t="s">
        <v>3883</v>
      </c>
      <c r="I614" s="84">
        <v>11634980</v>
      </c>
      <c r="J614" s="843" t="s">
        <v>3884</v>
      </c>
      <c r="K614" s="269">
        <v>2018</v>
      </c>
      <c r="L614" s="519">
        <v>43168</v>
      </c>
      <c r="M614" s="519">
        <v>43194</v>
      </c>
      <c r="N614" s="519">
        <v>43254</v>
      </c>
      <c r="O614" s="1099" t="str">
        <f>IF(+Modificaciones!I614=0,"",VLOOKUP(E614,Modificaciones!$B$7:$I$2400,8,0))</f>
        <v/>
      </c>
      <c r="P614" s="115">
        <f>COUNTA(Modificaciones!J614,Modificaciones!L614,Modificaciones!N614,Modificaciones!P614)</f>
        <v>0</v>
      </c>
      <c r="Q614" s="116">
        <f>VLOOKUP(E614,Modificaciones!$B$7:$R$2300,17,0)</f>
        <v>0</v>
      </c>
      <c r="R614" s="117">
        <f>COUNTA(Modificaciones!T614,Modificaciones!V614,Modificaciones!X614,Modificaciones!Z614)</f>
        <v>0</v>
      </c>
      <c r="S614" s="118" t="str">
        <f>IF(Modificaciones!AA614=0,"",VLOOKUP(E614,Modificaciones!$B$7:$AA$2400,26,0))</f>
        <v/>
      </c>
      <c r="T614" s="119" t="str">
        <f>IF(Modificaciones!AB614=0,"",VLOOKUP(E614,Modificaciones!$B$7:$AB$2400,27,0))</f>
        <v/>
      </c>
      <c r="U614" s="1080" t="str">
        <f>+Modificaciones!AC614</f>
        <v/>
      </c>
      <c r="V614" s="825" t="str">
        <f>+Modificaciones!AK614</f>
        <v/>
      </c>
      <c r="W614" s="825">
        <f t="shared" si="110"/>
        <v>43254</v>
      </c>
      <c r="X614" s="59">
        <f t="shared" si="108"/>
        <v>11634980</v>
      </c>
      <c r="Y614" s="151">
        <f>VLOOKUP(E614,Modificaciones!$B$7:$BE$2300,56,0)</f>
        <v>11618540</v>
      </c>
      <c r="Z614" s="84">
        <f t="shared" si="120"/>
        <v>16440</v>
      </c>
      <c r="AA614" s="283" t="s">
        <v>1894</v>
      </c>
      <c r="AB614" s="823">
        <f t="shared" si="121"/>
        <v>0.99858701948778594</v>
      </c>
      <c r="AC614" s="40">
        <f t="shared" ca="1" si="111"/>
        <v>1</v>
      </c>
      <c r="AD614" s="41">
        <f t="shared" ca="1" si="112"/>
        <v>1.4129805122140571E-3</v>
      </c>
      <c r="AE614" s="181" t="str">
        <f t="shared" ca="1" si="113"/>
        <v/>
      </c>
      <c r="AF614" s="42" t="str">
        <f t="shared" si="122"/>
        <v>NO</v>
      </c>
      <c r="AG614" s="732" t="s">
        <v>1711</v>
      </c>
      <c r="AH614" s="152" t="s">
        <v>1255</v>
      </c>
      <c r="AI614" s="255" t="s">
        <v>1465</v>
      </c>
      <c r="AJ614" s="152"/>
      <c r="AL614" s="279"/>
      <c r="AM614" s="279" t="s">
        <v>3873</v>
      </c>
      <c r="AN614" s="161" t="str">
        <f t="shared" ca="1" si="114"/>
        <v>TERMINO</v>
      </c>
      <c r="AO614" s="284" t="s">
        <v>576</v>
      </c>
      <c r="AP614" s="155" t="s">
        <v>391</v>
      </c>
      <c r="AQ614" s="819" t="str">
        <f>IFERROR(VLOOKUP(E614,'liquidaciones '!$B$2:$C$1048576,2,0),"NO")</f>
        <v>LIQUIDADO</v>
      </c>
      <c r="AR614" s="909" t="str">
        <f>IFERROR(VLOOKUP(E614,'liquidaciones '!$B$2:$I$1048576,8,0),"")</f>
        <v>JUAN DIEGO ESPITIA</v>
      </c>
      <c r="AS614" s="406"/>
      <c r="AT614" s="156" t="str">
        <f t="shared" ca="1" si="115"/>
        <v>NO</v>
      </c>
      <c r="AU614" s="939" t="s">
        <v>1509</v>
      </c>
      <c r="AV614" s="406" t="s">
        <v>3922</v>
      </c>
      <c r="AW614" s="930" t="s">
        <v>560</v>
      </c>
      <c r="AX614" s="928"/>
      <c r="AY614" s="275" t="s">
        <v>4788</v>
      </c>
    </row>
    <row r="615" spans="3:51" ht="179.25" customHeight="1" x14ac:dyDescent="0.3">
      <c r="C615" s="837">
        <v>5</v>
      </c>
      <c r="D615" s="837"/>
      <c r="E615" s="120" t="s">
        <v>3885</v>
      </c>
      <c r="F615" s="414" t="s">
        <v>2152</v>
      </c>
      <c r="G615" s="873" t="s">
        <v>2983</v>
      </c>
      <c r="H615" s="967" t="s">
        <v>2864</v>
      </c>
      <c r="I615" s="84">
        <v>9705000</v>
      </c>
      <c r="J615" s="843" t="s">
        <v>3886</v>
      </c>
      <c r="K615" s="269">
        <v>2018</v>
      </c>
      <c r="L615" s="519">
        <v>43168</v>
      </c>
      <c r="M615" s="519">
        <v>43201</v>
      </c>
      <c r="N615" s="519">
        <v>43565</v>
      </c>
      <c r="O615" s="1099" t="str">
        <f>IF(+Modificaciones!I615=0,"",VLOOKUP(E615,Modificaciones!$B$7:$I$2400,8,0))</f>
        <v/>
      </c>
      <c r="P615" s="115">
        <f>COUNTA(Modificaciones!J615,Modificaciones!L615,Modificaciones!N615,Modificaciones!P615)</f>
        <v>0</v>
      </c>
      <c r="Q615" s="116">
        <f>VLOOKUP(E615,Modificaciones!$B$7:$R$2300,17,0)</f>
        <v>0</v>
      </c>
      <c r="R615" s="117">
        <f>COUNTA(Modificaciones!T615,Modificaciones!V615,Modificaciones!X615,Modificaciones!Z615)</f>
        <v>1</v>
      </c>
      <c r="S615" s="118" t="str">
        <f>IF(Modificaciones!AA615=0,"",VLOOKUP(E615,Modificaciones!$B$7:$AA$2400,26,0))</f>
        <v>2 meses</v>
      </c>
      <c r="T615" s="119">
        <f>IF(Modificaciones!AB615=0,"",VLOOKUP(E615,Modificaciones!$B$7:$AB$2400,27,0))</f>
        <v>43626</v>
      </c>
      <c r="U615" s="1080" t="str">
        <f>+Modificaciones!AC615</f>
        <v/>
      </c>
      <c r="V615" s="825" t="str">
        <f>+Modificaciones!AK615</f>
        <v/>
      </c>
      <c r="W615" s="825">
        <f>MAX(N615,O615,T615,V615)</f>
        <v>43626</v>
      </c>
      <c r="X615" s="59">
        <f t="shared" si="108"/>
        <v>9705000</v>
      </c>
      <c r="Y615" s="151">
        <f>VLOOKUP(E615,Modificaciones!$B$7:$BE$2300,56,0)</f>
        <v>7645000</v>
      </c>
      <c r="Z615" s="84">
        <f t="shared" si="120"/>
        <v>2060000</v>
      </c>
      <c r="AA615" s="288" t="s">
        <v>4191</v>
      </c>
      <c r="AB615" s="823">
        <f t="shared" si="121"/>
        <v>0.78773827923750639</v>
      </c>
      <c r="AC615" s="40">
        <f t="shared" ca="1" si="111"/>
        <v>1</v>
      </c>
      <c r="AD615" s="41">
        <f t="shared" ca="1" si="112"/>
        <v>0.21226172076249361</v>
      </c>
      <c r="AE615" s="181" t="str">
        <f t="shared" ca="1" si="113"/>
        <v/>
      </c>
      <c r="AF615" s="42" t="str">
        <f t="shared" si="122"/>
        <v>NO</v>
      </c>
      <c r="AG615" s="1017" t="s">
        <v>4920</v>
      </c>
      <c r="AH615" s="152" t="s">
        <v>1255</v>
      </c>
      <c r="AI615" s="275" t="s">
        <v>1143</v>
      </c>
      <c r="AJ615" s="152" t="s">
        <v>1441</v>
      </c>
      <c r="AK615" s="255" t="s">
        <v>560</v>
      </c>
      <c r="AL615" s="153" t="s">
        <v>1379</v>
      </c>
      <c r="AM615" s="279" t="s">
        <v>3873</v>
      </c>
      <c r="AN615" s="161" t="str">
        <f t="shared" ca="1" si="114"/>
        <v>TERMINO</v>
      </c>
      <c r="AO615" s="284" t="s">
        <v>576</v>
      </c>
      <c r="AP615" s="406" t="s">
        <v>390</v>
      </c>
      <c r="AQ615" s="819" t="str">
        <f>IFERROR(VLOOKUP(E615,'liquidaciones '!$B$2:$C$1048576,2,0),"NO")</f>
        <v>NO</v>
      </c>
      <c r="AR615" s="909" t="str">
        <f>IFERROR(VLOOKUP(E615,'liquidaciones '!$B$2:$I$1048576,8,0),"")</f>
        <v/>
      </c>
      <c r="AS615" s="406"/>
      <c r="AT615" s="156" t="str">
        <f t="shared" ca="1" si="115"/>
        <v>SI</v>
      </c>
      <c r="AU615" s="156" t="s">
        <v>4245</v>
      </c>
      <c r="AV615" s="406" t="s">
        <v>4861</v>
      </c>
      <c r="AW615" s="930" t="s">
        <v>3887</v>
      </c>
      <c r="AX615" s="275" t="s">
        <v>4860</v>
      </c>
      <c r="AY615" s="275" t="s">
        <v>4669</v>
      </c>
    </row>
    <row r="616" spans="3:51" ht="28.8" x14ac:dyDescent="0.3">
      <c r="C616" s="837"/>
      <c r="D616" s="837"/>
      <c r="E616" s="120" t="s">
        <v>3891</v>
      </c>
      <c r="F616" s="414" t="s">
        <v>3892</v>
      </c>
      <c r="G616" s="863" t="s">
        <v>3893</v>
      </c>
      <c r="H616" s="969" t="s">
        <v>3894</v>
      </c>
      <c r="I616" s="84">
        <v>18899730</v>
      </c>
      <c r="J616" s="843" t="s">
        <v>3896</v>
      </c>
      <c r="K616" s="269">
        <v>2018</v>
      </c>
      <c r="L616" s="519">
        <v>43182</v>
      </c>
      <c r="M616" s="519">
        <v>43182</v>
      </c>
      <c r="N616" s="519">
        <v>43193</v>
      </c>
      <c r="O616" s="1099" t="str">
        <f>IF(+Modificaciones!I616=0,"",VLOOKUP(E616,Modificaciones!$B$7:$I$2400,8,0))</f>
        <v/>
      </c>
      <c r="P616" s="115">
        <f>COUNTA(Modificaciones!J616,Modificaciones!L616,Modificaciones!N616,Modificaciones!P616)</f>
        <v>0</v>
      </c>
      <c r="Q616" s="116">
        <f>VLOOKUP(E616,Modificaciones!$B$7:$R$2300,17,0)</f>
        <v>0</v>
      </c>
      <c r="R616" s="117">
        <f>COUNTA(Modificaciones!T616,Modificaciones!V616,Modificaciones!X616,Modificaciones!Z616)</f>
        <v>0</v>
      </c>
      <c r="S616" s="118" t="str">
        <f>IF(Modificaciones!AA616=0,"",VLOOKUP(E616,Modificaciones!$B$7:$AA$2400,26,0))</f>
        <v/>
      </c>
      <c r="T616" s="119" t="str">
        <f>IF(Modificaciones!AB616=0,"",VLOOKUP(E616,Modificaciones!$B$7:$AB$2400,27,0))</f>
        <v/>
      </c>
      <c r="U616" s="1080" t="str">
        <f>+Modificaciones!AC616</f>
        <v/>
      </c>
      <c r="V616" s="825" t="str">
        <f>+Modificaciones!AK616</f>
        <v/>
      </c>
      <c r="W616" s="825">
        <f t="shared" si="110"/>
        <v>43193</v>
      </c>
      <c r="X616" s="59">
        <f t="shared" si="108"/>
        <v>18899730</v>
      </c>
      <c r="Y616" s="151">
        <f>VLOOKUP(E616,Modificaciones!$B$7:$BE$2300,56,0)</f>
        <v>18899730</v>
      </c>
      <c r="Z616" s="84">
        <f t="shared" si="120"/>
        <v>0</v>
      </c>
      <c r="AA616" s="283" t="s">
        <v>1894</v>
      </c>
      <c r="AB616" s="823">
        <f t="shared" si="121"/>
        <v>1</v>
      </c>
      <c r="AC616" s="40">
        <f t="shared" ca="1" si="111"/>
        <v>1</v>
      </c>
      <c r="AD616" s="41">
        <f t="shared" ca="1" si="112"/>
        <v>0</v>
      </c>
      <c r="AE616" s="181" t="str">
        <f t="shared" ca="1" si="113"/>
        <v/>
      </c>
      <c r="AF616" s="42" t="str">
        <f t="shared" si="122"/>
        <v>SI</v>
      </c>
      <c r="AG616" s="838"/>
      <c r="AH616" s="841"/>
      <c r="AI616" s="255" t="s">
        <v>2743</v>
      </c>
      <c r="AJ616" s="838"/>
      <c r="AK616" s="838"/>
      <c r="AL616" s="838"/>
      <c r="AM616" s="279" t="s">
        <v>3873</v>
      </c>
      <c r="AN616" s="161" t="str">
        <f t="shared" ca="1" si="114"/>
        <v>TERMINO</v>
      </c>
      <c r="AO616" s="284" t="s">
        <v>2722</v>
      </c>
      <c r="AP616" s="406"/>
      <c r="AQ616" s="819" t="str">
        <f>IFERROR(VLOOKUP(E616,'liquidaciones '!$B$2:$C$1048576,2,0),"NO")</f>
        <v>LIQUIDADO</v>
      </c>
      <c r="AR616" s="909">
        <f>IFERROR(VLOOKUP(E616,'liquidaciones '!$B$2:$I$1048576,8,0),"")</f>
        <v>0</v>
      </c>
      <c r="AS616" s="406"/>
      <c r="AT616" s="156" t="str">
        <f t="shared" ca="1" si="115"/>
        <v>NO</v>
      </c>
      <c r="AU616" s="939" t="s">
        <v>3512</v>
      </c>
      <c r="AV616" s="406" t="s">
        <v>3778</v>
      </c>
      <c r="AW616" s="930" t="s">
        <v>560</v>
      </c>
      <c r="AX616" s="928"/>
      <c r="AY616" s="928"/>
    </row>
    <row r="617" spans="3:51" ht="40.799999999999997" x14ac:dyDescent="0.3">
      <c r="C617" s="837">
        <v>138</v>
      </c>
      <c r="D617" s="837"/>
      <c r="E617" s="120" t="s">
        <v>3917</v>
      </c>
      <c r="F617" s="414" t="s">
        <v>3918</v>
      </c>
      <c r="G617" s="863">
        <v>800000457</v>
      </c>
      <c r="H617" s="967" t="s">
        <v>3919</v>
      </c>
      <c r="I617" s="84">
        <v>490000000</v>
      </c>
      <c r="J617" s="843" t="s">
        <v>3921</v>
      </c>
      <c r="K617" s="269">
        <v>2018</v>
      </c>
      <c r="L617" s="519">
        <v>43203</v>
      </c>
      <c r="M617" s="519">
        <v>43213</v>
      </c>
      <c r="N617" s="519">
        <v>43577</v>
      </c>
      <c r="O617" s="1099" t="str">
        <f>IF(+Modificaciones!I617=0,"",VLOOKUP(E617,Modificaciones!$B$7:$I$2400,8,0))</f>
        <v/>
      </c>
      <c r="P617" s="115">
        <f>COUNTA(Modificaciones!J617,Modificaciones!L617,Modificaciones!N617,Modificaciones!P617)</f>
        <v>2</v>
      </c>
      <c r="Q617" s="116">
        <f>VLOOKUP(E617,Modificaciones!$B$7:$R$2300,17,0)</f>
        <v>122000000</v>
      </c>
      <c r="R617" s="117">
        <f>COUNTA(Modificaciones!T617,Modificaciones!V617,Modificaciones!X617,Modificaciones!Z617)</f>
        <v>0</v>
      </c>
      <c r="S617" s="118" t="str">
        <f>IF(Modificaciones!AA617=0,"",VLOOKUP(E617,Modificaciones!$B$7:$AA$2400,26,0))</f>
        <v/>
      </c>
      <c r="T617" s="119" t="str">
        <f>IF(Modificaciones!AB617=0,"",VLOOKUP(E617,Modificaciones!$B$7:$AB$2400,27,0))</f>
        <v/>
      </c>
      <c r="U617" s="1080" t="str">
        <f>+Modificaciones!AC617</f>
        <v/>
      </c>
      <c r="V617" s="825" t="str">
        <f>+Modificaciones!AK617</f>
        <v/>
      </c>
      <c r="W617" s="825">
        <f t="shared" si="110"/>
        <v>43577</v>
      </c>
      <c r="X617" s="59">
        <f t="shared" si="108"/>
        <v>612000000</v>
      </c>
      <c r="Y617" s="151">
        <f>VLOOKUP(E617,Modificaciones!$B$7:$BE$2300,56,0)</f>
        <v>611999638</v>
      </c>
      <c r="Z617" s="84">
        <f t="shared" si="120"/>
        <v>362</v>
      </c>
      <c r="AA617" s="283" t="s">
        <v>2837</v>
      </c>
      <c r="AB617" s="823">
        <f t="shared" si="121"/>
        <v>0.99999940849673208</v>
      </c>
      <c r="AC617" s="40">
        <f t="shared" ca="1" si="111"/>
        <v>1</v>
      </c>
      <c r="AD617" s="41">
        <f t="shared" ca="1" si="112"/>
        <v>5.9150326792156704E-7</v>
      </c>
      <c r="AE617" s="181" t="str">
        <f t="shared" ca="1" si="113"/>
        <v/>
      </c>
      <c r="AF617" s="42" t="str">
        <f t="shared" si="122"/>
        <v>SI</v>
      </c>
      <c r="AG617" s="838"/>
      <c r="AH617" s="152" t="s">
        <v>1255</v>
      </c>
      <c r="AI617" s="255" t="s">
        <v>1531</v>
      </c>
      <c r="AJ617" s="152" t="s">
        <v>1429</v>
      </c>
      <c r="AK617" s="255" t="s">
        <v>564</v>
      </c>
      <c r="AL617" s="279"/>
      <c r="AM617" s="279" t="s">
        <v>3798</v>
      </c>
      <c r="AN617" s="161" t="str">
        <f t="shared" ca="1" si="114"/>
        <v>TERMINO</v>
      </c>
      <c r="AO617" s="284" t="s">
        <v>575</v>
      </c>
      <c r="AP617" s="406" t="s">
        <v>390</v>
      </c>
      <c r="AQ617" s="819" t="str">
        <f>IFERROR(VLOOKUP(E617,'liquidaciones '!$B$2:$C$1048576,2,0),"NO")</f>
        <v>LIQUIDADO</v>
      </c>
      <c r="AR617" s="909" t="str">
        <f>IFERROR(VLOOKUP(E617,'liquidaciones '!$B$2:$I$1048576,8,0),"")</f>
        <v>JUAN DIEGO ESPITIA ROA</v>
      </c>
      <c r="AS617" s="406"/>
      <c r="AT617" s="156" t="str">
        <f t="shared" ca="1" si="115"/>
        <v>SI</v>
      </c>
      <c r="AU617" s="930" t="s">
        <v>4804</v>
      </c>
      <c r="AV617" s="406"/>
      <c r="AW617" s="930" t="s">
        <v>3920</v>
      </c>
      <c r="AX617" s="928"/>
      <c r="AY617" s="275" t="s">
        <v>4657</v>
      </c>
    </row>
    <row r="618" spans="3:51" ht="51" x14ac:dyDescent="0.3">
      <c r="C618" s="837"/>
      <c r="D618" s="837"/>
      <c r="E618" s="120" t="s">
        <v>3926</v>
      </c>
      <c r="F618" s="414" t="s">
        <v>2832</v>
      </c>
      <c r="G618" s="863" t="s">
        <v>3927</v>
      </c>
      <c r="H618" s="969" t="s">
        <v>3928</v>
      </c>
      <c r="I618" s="84">
        <v>69997918</v>
      </c>
      <c r="J618" s="843" t="s">
        <v>3930</v>
      </c>
      <c r="K618" s="269">
        <v>2018</v>
      </c>
      <c r="L618" s="519">
        <v>43201</v>
      </c>
      <c r="M618" s="519">
        <v>43214</v>
      </c>
      <c r="N618" s="519">
        <v>43578</v>
      </c>
      <c r="O618" s="1099" t="str">
        <f>IF(+Modificaciones!I618=0,"",VLOOKUP(E618,Modificaciones!$B$7:$I$2400,8,0))</f>
        <v/>
      </c>
      <c r="P618" s="115">
        <f>COUNTA(Modificaciones!J618,Modificaciones!L618,Modificaciones!N618,Modificaciones!P618)</f>
        <v>0</v>
      </c>
      <c r="Q618" s="116">
        <f>VLOOKUP(E618,Modificaciones!$B$7:$R$2300,17,0)</f>
        <v>0</v>
      </c>
      <c r="R618" s="117">
        <f>COUNTA(Modificaciones!T618,Modificaciones!V618,Modificaciones!X618,Modificaciones!Z618)</f>
        <v>0</v>
      </c>
      <c r="S618" s="118" t="str">
        <f>IF(Modificaciones!AA618=0,"",VLOOKUP(E618,Modificaciones!$B$7:$AA$2400,26,0))</f>
        <v/>
      </c>
      <c r="T618" s="119" t="str">
        <f>IF(Modificaciones!AB618=0,"",VLOOKUP(E618,Modificaciones!$B$7:$AB$2400,27,0))</f>
        <v/>
      </c>
      <c r="U618" s="1080" t="str">
        <f>+Modificaciones!AC618</f>
        <v/>
      </c>
      <c r="V618" s="825" t="str">
        <f>+Modificaciones!AK618</f>
        <v/>
      </c>
      <c r="W618" s="825">
        <f t="shared" si="110"/>
        <v>43578</v>
      </c>
      <c r="X618" s="59">
        <f t="shared" si="108"/>
        <v>69997918</v>
      </c>
      <c r="Y618" s="151">
        <f>VLOOKUP(E618,Modificaciones!$B$7:$BE$2300,56,0)</f>
        <v>69997918</v>
      </c>
      <c r="Z618" s="84">
        <f t="shared" si="120"/>
        <v>0</v>
      </c>
      <c r="AA618" s="287" t="s">
        <v>3929</v>
      </c>
      <c r="AB618" s="823">
        <f t="shared" si="121"/>
        <v>1</v>
      </c>
      <c r="AC618" s="40">
        <f t="shared" ca="1" si="111"/>
        <v>1</v>
      </c>
      <c r="AD618" s="41">
        <f t="shared" ca="1" si="112"/>
        <v>0</v>
      </c>
      <c r="AE618" s="181" t="str">
        <f t="shared" ca="1" si="113"/>
        <v/>
      </c>
      <c r="AF618" s="42" t="str">
        <f t="shared" si="122"/>
        <v>SI</v>
      </c>
      <c r="AG618" s="1017" t="s">
        <v>4920</v>
      </c>
      <c r="AH618" s="152" t="s">
        <v>1256</v>
      </c>
      <c r="AI618" s="255" t="s">
        <v>1466</v>
      </c>
      <c r="AJ618" s="152" t="s">
        <v>1438</v>
      </c>
      <c r="AK618" s="255" t="s">
        <v>560</v>
      </c>
      <c r="AL618" s="279" t="s">
        <v>1508</v>
      </c>
      <c r="AM618" s="279" t="s">
        <v>3873</v>
      </c>
      <c r="AN618" s="161" t="str">
        <f t="shared" ca="1" si="114"/>
        <v>TERMINO</v>
      </c>
      <c r="AO618" s="284" t="s">
        <v>576</v>
      </c>
      <c r="AP618" s="155" t="s">
        <v>390</v>
      </c>
      <c r="AQ618" s="819" t="str">
        <f>IFERROR(VLOOKUP(E618,'liquidaciones '!$B$2:$C$1048576,2,0),"NO")</f>
        <v>LIQUIDADO</v>
      </c>
      <c r="AR618" s="909" t="str">
        <f>IFERROR(VLOOKUP(E618,'liquidaciones '!$B$2:$I$1048576,8,0),"")</f>
        <v>JUAN DIEGO ESPITIA</v>
      </c>
      <c r="AS618" s="406"/>
      <c r="AT618" s="156" t="str">
        <f t="shared" ca="1" si="115"/>
        <v>SI</v>
      </c>
      <c r="AU618" s="406" t="s">
        <v>4209</v>
      </c>
      <c r="AV618" s="406" t="s">
        <v>3778</v>
      </c>
      <c r="AW618" s="930" t="s">
        <v>3887</v>
      </c>
      <c r="AX618" s="928"/>
      <c r="AY618" s="275" t="s">
        <v>4780</v>
      </c>
    </row>
    <row r="619" spans="3:51" ht="28.8" x14ac:dyDescent="0.3">
      <c r="C619" s="411">
        <v>176</v>
      </c>
      <c r="D619" s="837"/>
      <c r="E619" s="120" t="s">
        <v>3932</v>
      </c>
      <c r="F619" s="414" t="s">
        <v>3931</v>
      </c>
      <c r="G619" s="863">
        <v>830073623</v>
      </c>
      <c r="H619" s="969" t="s">
        <v>2980</v>
      </c>
      <c r="I619" s="84">
        <v>26614000</v>
      </c>
      <c r="J619" s="843" t="s">
        <v>3933</v>
      </c>
      <c r="K619" s="269">
        <v>2018</v>
      </c>
      <c r="L619" s="519">
        <v>43215</v>
      </c>
      <c r="M619" s="519">
        <v>43227</v>
      </c>
      <c r="N619" s="519">
        <v>43287</v>
      </c>
      <c r="O619" s="1099" t="str">
        <f>IF(+Modificaciones!I619=0,"",VLOOKUP(E619,Modificaciones!$B$7:$I$2400,8,0))</f>
        <v/>
      </c>
      <c r="P619" s="115">
        <f>COUNTA(Modificaciones!J619,Modificaciones!L619,Modificaciones!N619,Modificaciones!P619)</f>
        <v>0</v>
      </c>
      <c r="Q619" s="116">
        <f>VLOOKUP(E619,Modificaciones!$B$7:$R$2300,17,0)</f>
        <v>0</v>
      </c>
      <c r="R619" s="117">
        <f>COUNTA(Modificaciones!T619,Modificaciones!V619,Modificaciones!X619,Modificaciones!Z619)</f>
        <v>0</v>
      </c>
      <c r="S619" s="118" t="str">
        <f>IF(Modificaciones!AA619=0,"",VLOOKUP(E619,Modificaciones!$B$7:$AA$2400,26,0))</f>
        <v/>
      </c>
      <c r="T619" s="119" t="str">
        <f>IF(Modificaciones!AB619=0,"",VLOOKUP(E619,Modificaciones!$B$7:$AB$2400,27,0))</f>
        <v/>
      </c>
      <c r="U619" s="1080" t="str">
        <f>+Modificaciones!AC619</f>
        <v/>
      </c>
      <c r="V619" s="825" t="str">
        <f>+Modificaciones!AK619</f>
        <v/>
      </c>
      <c r="W619" s="825">
        <f t="shared" si="110"/>
        <v>43287</v>
      </c>
      <c r="X619" s="59">
        <f t="shared" si="108"/>
        <v>26614000</v>
      </c>
      <c r="Y619" s="151">
        <f>VLOOKUP(E619,Modificaciones!$B$7:$BE$2300,56,0)</f>
        <v>26614000</v>
      </c>
      <c r="Z619" s="84">
        <f t="shared" si="120"/>
        <v>0</v>
      </c>
      <c r="AA619" s="283" t="s">
        <v>1819</v>
      </c>
      <c r="AB619" s="823">
        <f t="shared" si="121"/>
        <v>1</v>
      </c>
      <c r="AC619" s="40">
        <f t="shared" ca="1" si="111"/>
        <v>1</v>
      </c>
      <c r="AD619" s="41">
        <f t="shared" ca="1" si="112"/>
        <v>0</v>
      </c>
      <c r="AE619" s="181" t="str">
        <f t="shared" ca="1" si="113"/>
        <v/>
      </c>
      <c r="AF619" s="42" t="str">
        <f t="shared" si="122"/>
        <v>SI</v>
      </c>
      <c r="AG619" s="732" t="s">
        <v>1711</v>
      </c>
      <c r="AH619" s="152" t="s">
        <v>1256</v>
      </c>
      <c r="AI619" s="255" t="s">
        <v>1310</v>
      </c>
      <c r="AJ619" s="152" t="s">
        <v>1438</v>
      </c>
      <c r="AK619" s="255" t="s">
        <v>560</v>
      </c>
      <c r="AL619" s="279" t="s">
        <v>1508</v>
      </c>
      <c r="AM619" s="279" t="s">
        <v>3873</v>
      </c>
      <c r="AN619" s="161" t="str">
        <f t="shared" ca="1" si="114"/>
        <v>TERMINO</v>
      </c>
      <c r="AO619" s="284" t="s">
        <v>576</v>
      </c>
      <c r="AP619" s="155" t="s">
        <v>391</v>
      </c>
      <c r="AQ619" s="819" t="str">
        <f>IFERROR(VLOOKUP(E619,'liquidaciones '!$B$2:$C$1048576,2,0),"NO")</f>
        <v>LIQUIDADO</v>
      </c>
      <c r="AR619" s="909" t="str">
        <f>IFERROR(VLOOKUP(E619,'liquidaciones '!$B$2:$I$1048576,8,0),"")</f>
        <v>JUAN DIEGO ESPITIA</v>
      </c>
      <c r="AS619" s="406"/>
      <c r="AT619" s="156" t="str">
        <f t="shared" ca="1" si="115"/>
        <v>NO</v>
      </c>
      <c r="AU619" s="406" t="s">
        <v>3512</v>
      </c>
      <c r="AV619" s="406" t="s">
        <v>3778</v>
      </c>
      <c r="AW619" s="930" t="s">
        <v>560</v>
      </c>
      <c r="AX619" s="928"/>
      <c r="AY619" s="275" t="s">
        <v>4706</v>
      </c>
    </row>
    <row r="620" spans="3:51" ht="30.6" x14ac:dyDescent="0.3">
      <c r="C620" s="866">
        <v>30</v>
      </c>
      <c r="D620" s="837"/>
      <c r="E620" s="120" t="s">
        <v>3934</v>
      </c>
      <c r="F620" s="414" t="s">
        <v>3935</v>
      </c>
      <c r="G620" s="863">
        <v>900693270</v>
      </c>
      <c r="H620" s="969" t="s">
        <v>3936</v>
      </c>
      <c r="I620" s="84">
        <v>35650000</v>
      </c>
      <c r="J620" s="843" t="s">
        <v>3937</v>
      </c>
      <c r="K620" s="269">
        <v>2018</v>
      </c>
      <c r="L620" s="519">
        <v>43194</v>
      </c>
      <c r="M620" s="519">
        <v>43217</v>
      </c>
      <c r="N620" s="519">
        <v>43581</v>
      </c>
      <c r="O620" s="1099" t="str">
        <f>IF(+Modificaciones!I620=0,"",VLOOKUP(E620,Modificaciones!$B$7:$I$2400,8,0))</f>
        <v/>
      </c>
      <c r="P620" s="115">
        <f>COUNTA(Modificaciones!J620,Modificaciones!L620,Modificaciones!N620,Modificaciones!P620)</f>
        <v>0</v>
      </c>
      <c r="Q620" s="116">
        <f>VLOOKUP(E620,Modificaciones!$B$7:$R$2300,17,0)</f>
        <v>0</v>
      </c>
      <c r="R620" s="117">
        <f>COUNTA(Modificaciones!T620,Modificaciones!V620,Modificaciones!X620,Modificaciones!Z620)</f>
        <v>0</v>
      </c>
      <c r="S620" s="118" t="str">
        <f>IF(Modificaciones!AA620=0,"",VLOOKUP(E620,Modificaciones!$B$7:$AA$2400,26,0))</f>
        <v/>
      </c>
      <c r="T620" s="119" t="str">
        <f>IF(Modificaciones!AB620=0,"",VLOOKUP(E620,Modificaciones!$B$7:$AB$2400,27,0))</f>
        <v/>
      </c>
      <c r="U620" s="1080" t="str">
        <f>+Modificaciones!AC620</f>
        <v/>
      </c>
      <c r="V620" s="825" t="str">
        <f>+Modificaciones!AK620</f>
        <v/>
      </c>
      <c r="W620" s="825">
        <f t="shared" si="110"/>
        <v>43581</v>
      </c>
      <c r="X620" s="59">
        <f t="shared" si="108"/>
        <v>35650000</v>
      </c>
      <c r="Y620" s="151">
        <f>VLOOKUP(E620,Modificaciones!$B$7:$BE$2300,56,0)</f>
        <v>9063043</v>
      </c>
      <c r="Z620" s="84">
        <f t="shared" si="120"/>
        <v>26586957</v>
      </c>
      <c r="AA620" s="283" t="s">
        <v>1094</v>
      </c>
      <c r="AB620" s="823">
        <f t="shared" si="121"/>
        <v>0.25422280504908834</v>
      </c>
      <c r="AC620" s="40">
        <f t="shared" ca="1" si="111"/>
        <v>1</v>
      </c>
      <c r="AD620" s="41">
        <f t="shared" ca="1" si="112"/>
        <v>0.74577719495091166</v>
      </c>
      <c r="AE620" s="181" t="str">
        <f t="shared" ca="1" si="113"/>
        <v/>
      </c>
      <c r="AF620" s="42" t="str">
        <f t="shared" si="122"/>
        <v>NO</v>
      </c>
      <c r="AG620" s="1017" t="s">
        <v>4920</v>
      </c>
      <c r="AH620" s="152" t="s">
        <v>1255</v>
      </c>
      <c r="AI620" s="255" t="s">
        <v>1125</v>
      </c>
      <c r="AJ620" s="152" t="s">
        <v>1441</v>
      </c>
      <c r="AK620" s="255" t="s">
        <v>560</v>
      </c>
      <c r="AL620" s="153" t="s">
        <v>1318</v>
      </c>
      <c r="AM620" s="279" t="s">
        <v>2830</v>
      </c>
      <c r="AN620" s="161" t="str">
        <f t="shared" ca="1" si="114"/>
        <v>TERMINO</v>
      </c>
      <c r="AO620" s="284" t="s">
        <v>576</v>
      </c>
      <c r="AP620" s="155" t="s">
        <v>390</v>
      </c>
      <c r="AQ620" s="819" t="str">
        <f>IFERROR(VLOOKUP(E620,'liquidaciones '!$B$2:$C$1048576,2,0),"NO")</f>
        <v>LIQUIDADO</v>
      </c>
      <c r="AR620" s="909" t="str">
        <f>IFERROR(VLOOKUP(E620,'liquidaciones '!$B$2:$I$1048576,8,0),"")</f>
        <v>JUAN DIEGO ESPÍTIA</v>
      </c>
      <c r="AS620" s="406"/>
      <c r="AT620" s="156" t="str">
        <f t="shared" ca="1" si="115"/>
        <v>SI</v>
      </c>
      <c r="AU620" s="406" t="s">
        <v>4299</v>
      </c>
      <c r="AV620" s="406" t="s">
        <v>4575</v>
      </c>
      <c r="AW620" s="930" t="s">
        <v>560</v>
      </c>
      <c r="AX620" s="928"/>
      <c r="AY620" s="275" t="s">
        <v>4786</v>
      </c>
    </row>
    <row r="621" spans="3:51" ht="61.2" x14ac:dyDescent="0.3">
      <c r="C621" s="837"/>
      <c r="D621" s="837"/>
      <c r="E621" s="120" t="s">
        <v>3942</v>
      </c>
      <c r="F621" s="414" t="s">
        <v>3943</v>
      </c>
      <c r="G621" s="863">
        <v>900424713</v>
      </c>
      <c r="H621" s="969" t="s">
        <v>3945</v>
      </c>
      <c r="I621" s="84">
        <v>55000000</v>
      </c>
      <c r="J621" s="843" t="s">
        <v>3944</v>
      </c>
      <c r="K621" s="269">
        <v>2018</v>
      </c>
      <c r="L621" s="519">
        <v>43220</v>
      </c>
      <c r="M621" s="519">
        <v>43227</v>
      </c>
      <c r="N621" s="519">
        <v>43287</v>
      </c>
      <c r="O621" s="1099" t="str">
        <f>IF(+Modificaciones!I621=0,"",VLOOKUP(E621,Modificaciones!$B$7:$I$2400,8,0))</f>
        <v/>
      </c>
      <c r="P621" s="115">
        <f>COUNTA(Modificaciones!J621,Modificaciones!L621,Modificaciones!N621,Modificaciones!P621)</f>
        <v>0</v>
      </c>
      <c r="Q621" s="116">
        <f>VLOOKUP(E621,Modificaciones!$B$7:$R$2300,17,0)</f>
        <v>0</v>
      </c>
      <c r="R621" s="117">
        <f>COUNTA(Modificaciones!T621,Modificaciones!V621,Modificaciones!X621,Modificaciones!Z621)</f>
        <v>1</v>
      </c>
      <c r="S621" s="118" t="str">
        <f>IF(Modificaciones!AA621=0,"",VLOOKUP(E621,Modificaciones!$B$7:$AA$2400,26,0))</f>
        <v>1 mes y 4 días</v>
      </c>
      <c r="T621" s="119">
        <f>IF(Modificaciones!AB621=0,"",VLOOKUP(E621,Modificaciones!$B$7:$AB$2400,27,0))</f>
        <v>43322</v>
      </c>
      <c r="U621" s="1080" t="str">
        <f>+Modificaciones!AC621</f>
        <v/>
      </c>
      <c r="V621" s="825" t="str">
        <f>+Modificaciones!AK621</f>
        <v/>
      </c>
      <c r="W621" s="825">
        <f t="shared" si="110"/>
        <v>43322</v>
      </c>
      <c r="X621" s="59">
        <f t="shared" si="108"/>
        <v>55000000</v>
      </c>
      <c r="Y621" s="151">
        <f>VLOOKUP(E621,Modificaciones!$B$7:$BE$2300,56,0)</f>
        <v>37200300</v>
      </c>
      <c r="Z621" s="84">
        <f t="shared" si="120"/>
        <v>17799700</v>
      </c>
      <c r="AA621" s="283" t="s">
        <v>1094</v>
      </c>
      <c r="AB621" s="823">
        <f t="shared" si="121"/>
        <v>0.67636909090909092</v>
      </c>
      <c r="AC621" s="40">
        <f t="shared" ca="1" si="111"/>
        <v>1</v>
      </c>
      <c r="AD621" s="41">
        <f t="shared" ca="1" si="112"/>
        <v>0.32363090909090908</v>
      </c>
      <c r="AE621" s="181" t="str">
        <f t="shared" ca="1" si="113"/>
        <v/>
      </c>
      <c r="AF621" s="42" t="str">
        <f t="shared" si="122"/>
        <v>NO</v>
      </c>
      <c r="AG621" s="1017" t="s">
        <v>4920</v>
      </c>
      <c r="AH621" s="152" t="s">
        <v>1255</v>
      </c>
      <c r="AI621" s="255" t="s">
        <v>1300</v>
      </c>
      <c r="AJ621" s="152" t="s">
        <v>1434</v>
      </c>
      <c r="AK621" s="255" t="s">
        <v>560</v>
      </c>
      <c r="AL621" s="153" t="s">
        <v>1385</v>
      </c>
      <c r="AM621" s="279" t="s">
        <v>3873</v>
      </c>
      <c r="AN621" s="161" t="str">
        <f t="shared" ca="1" si="114"/>
        <v>TERMINO</v>
      </c>
      <c r="AO621" s="284" t="s">
        <v>574</v>
      </c>
      <c r="AP621" s="155" t="s">
        <v>390</v>
      </c>
      <c r="AQ621" s="819" t="str">
        <f>IFERROR(VLOOKUP(E621,'liquidaciones '!$B$2:$C$1048576,2,0),"NO")</f>
        <v>LIQUIDADO</v>
      </c>
      <c r="AR621" s="909" t="str">
        <f>IFERROR(VLOOKUP(E621,'liquidaciones '!$B$2:$I$1048576,8,0),"")</f>
        <v>JUAN DIEGO ESPITIA</v>
      </c>
      <c r="AS621" s="406"/>
      <c r="AT621" s="156" t="str">
        <f t="shared" ca="1" si="115"/>
        <v>NO</v>
      </c>
      <c r="AU621" s="406" t="s">
        <v>3050</v>
      </c>
      <c r="AV621" s="406" t="s">
        <v>3779</v>
      </c>
      <c r="AW621" s="930" t="s">
        <v>3887</v>
      </c>
      <c r="AX621" s="928"/>
      <c r="AY621" s="275" t="s">
        <v>4712</v>
      </c>
    </row>
    <row r="622" spans="3:51" ht="28.8" x14ac:dyDescent="0.3">
      <c r="C622" s="837"/>
      <c r="D622" s="837"/>
      <c r="E622" s="120" t="s">
        <v>3950</v>
      </c>
      <c r="F622" s="414" t="s">
        <v>3951</v>
      </c>
      <c r="G622" s="863">
        <v>900011339</v>
      </c>
      <c r="H622" s="969" t="s">
        <v>3952</v>
      </c>
      <c r="I622" s="84">
        <v>19027386</v>
      </c>
      <c r="J622" s="843" t="s">
        <v>3959</v>
      </c>
      <c r="K622" s="269">
        <v>2018</v>
      </c>
      <c r="L622" s="519">
        <v>43217</v>
      </c>
      <c r="M622" s="519">
        <v>43231</v>
      </c>
      <c r="N622" s="519">
        <v>43322</v>
      </c>
      <c r="O622" s="1099" t="str">
        <f>IF(+Modificaciones!I622=0,"",VLOOKUP(E622,Modificaciones!$B$7:$I$2400,8,0))</f>
        <v/>
      </c>
      <c r="P622" s="115">
        <f>COUNTA(Modificaciones!J622,Modificaciones!L622,Modificaciones!N622,Modificaciones!P622)</f>
        <v>0</v>
      </c>
      <c r="Q622" s="116">
        <f>VLOOKUP(E622,Modificaciones!$B$7:$R$2300,17,0)</f>
        <v>0</v>
      </c>
      <c r="R622" s="117">
        <f>COUNTA(Modificaciones!T622,Modificaciones!V622,Modificaciones!X622,Modificaciones!Z622)</f>
        <v>0</v>
      </c>
      <c r="S622" s="118" t="str">
        <f>IF(Modificaciones!AA622=0,"",VLOOKUP(E622,Modificaciones!$B$7:$AA$2400,26,0))</f>
        <v/>
      </c>
      <c r="T622" s="119" t="str">
        <f>IF(Modificaciones!AB622=0,"",VLOOKUP(E622,Modificaciones!$B$7:$AB$2400,27,0))</f>
        <v/>
      </c>
      <c r="U622" s="1080" t="str">
        <f>+Modificaciones!AC622</f>
        <v/>
      </c>
      <c r="V622" s="825" t="str">
        <f>+Modificaciones!AK622</f>
        <v/>
      </c>
      <c r="W622" s="825">
        <f t="shared" si="110"/>
        <v>43322</v>
      </c>
      <c r="X622" s="59">
        <f t="shared" si="108"/>
        <v>19027386</v>
      </c>
      <c r="Y622" s="151">
        <f>VLOOKUP(E622,Modificaciones!$B$7:$BE$2300,56,0)</f>
        <v>19027386</v>
      </c>
      <c r="Z622" s="84">
        <f t="shared" si="120"/>
        <v>0</v>
      </c>
      <c r="AA622" s="283" t="s">
        <v>1894</v>
      </c>
      <c r="AB622" s="823">
        <f t="shared" si="121"/>
        <v>1</v>
      </c>
      <c r="AC622" s="40">
        <f t="shared" ca="1" si="111"/>
        <v>1</v>
      </c>
      <c r="AD622" s="41">
        <f t="shared" ca="1" si="112"/>
        <v>0</v>
      </c>
      <c r="AE622" s="181" t="str">
        <f t="shared" ca="1" si="113"/>
        <v/>
      </c>
      <c r="AF622" s="42" t="str">
        <f t="shared" si="122"/>
        <v>SI</v>
      </c>
      <c r="AG622" s="838" t="s">
        <v>1711</v>
      </c>
      <c r="AH622" s="841" t="s">
        <v>1256</v>
      </c>
      <c r="AI622" s="870" t="s">
        <v>3953</v>
      </c>
      <c r="AJ622" s="414" t="s">
        <v>1438</v>
      </c>
      <c r="AK622" s="255" t="s">
        <v>560</v>
      </c>
      <c r="AL622" s="279" t="s">
        <v>1508</v>
      </c>
      <c r="AM622" s="279" t="s">
        <v>3873</v>
      </c>
      <c r="AN622" s="161" t="str">
        <f t="shared" ca="1" si="114"/>
        <v>TERMINO</v>
      </c>
      <c r="AO622" s="284" t="s">
        <v>576</v>
      </c>
      <c r="AP622" s="406" t="s">
        <v>390</v>
      </c>
      <c r="AQ622" s="819" t="str">
        <f>IFERROR(VLOOKUP(E622,'liquidaciones '!$B$2:$C$1048576,2,0),"NO")</f>
        <v>LIQUIDADO</v>
      </c>
      <c r="AR622" s="909" t="str">
        <f>IFERROR(VLOOKUP(E622,'liquidaciones '!$B$2:$I$1048576,8,0),"")</f>
        <v>JUAN DIEGO ESPITIA</v>
      </c>
      <c r="AS622" s="406"/>
      <c r="AT622" s="156" t="str">
        <f t="shared" ca="1" si="115"/>
        <v>NO</v>
      </c>
      <c r="AU622" s="406" t="s">
        <v>3512</v>
      </c>
      <c r="AV622" s="406" t="s">
        <v>3778</v>
      </c>
      <c r="AW622" s="930" t="s">
        <v>560</v>
      </c>
      <c r="AX622" s="928"/>
      <c r="AY622" s="928"/>
    </row>
    <row r="623" spans="3:51" ht="71.400000000000006" x14ac:dyDescent="0.3">
      <c r="C623" s="837">
        <v>65</v>
      </c>
      <c r="D623" s="837"/>
      <c r="E623" s="120" t="s">
        <v>3955</v>
      </c>
      <c r="F623" s="414" t="s">
        <v>4015</v>
      </c>
      <c r="G623" s="863" t="s">
        <v>3956</v>
      </c>
      <c r="H623" s="967" t="s">
        <v>3957</v>
      </c>
      <c r="I623" s="84">
        <v>1083000000</v>
      </c>
      <c r="J623" s="843" t="s">
        <v>3958</v>
      </c>
      <c r="K623" s="269">
        <v>2018</v>
      </c>
      <c r="L623" s="519">
        <v>43230</v>
      </c>
      <c r="M623" s="519">
        <v>43232</v>
      </c>
      <c r="N623" s="519">
        <v>43523</v>
      </c>
      <c r="O623" s="1099" t="str">
        <f>IF(+Modificaciones!I623=0,"",VLOOKUP(E623,Modificaciones!$B$7:$I$2400,8,0))</f>
        <v/>
      </c>
      <c r="P623" s="115">
        <f>COUNTA(Modificaciones!J623,Modificaciones!L623,Modificaciones!N623,Modificaciones!P623)</f>
        <v>1</v>
      </c>
      <c r="Q623" s="116">
        <f>VLOOKUP(E623,Modificaciones!$B$7:$R$2300,17,0)</f>
        <v>25500000</v>
      </c>
      <c r="R623" s="117">
        <f>COUNTA(Modificaciones!T623,Modificaciones!V623,Modificaciones!X623,Modificaciones!Z623)</f>
        <v>2</v>
      </c>
      <c r="S623" s="118" t="str">
        <f>IF(Modificaciones!AA623=0,"",VLOOKUP(E623,Modificaciones!$B$7:$AA$2400,26,0))</f>
        <v>3 meses y 3 días</v>
      </c>
      <c r="T623" s="119">
        <f>IF(Modificaciones!AB623=0,"",VLOOKUP(E623,Modificaciones!$B$7:$AB$2400,27,0))</f>
        <v>43615</v>
      </c>
      <c r="U623" s="1080" t="str">
        <f>+Modificaciones!AC623</f>
        <v/>
      </c>
      <c r="V623" s="825" t="str">
        <f>+Modificaciones!AK623</f>
        <v/>
      </c>
      <c r="W623" s="825">
        <f t="shared" si="110"/>
        <v>43615</v>
      </c>
      <c r="X623" s="59">
        <f t="shared" si="108"/>
        <v>1108500000</v>
      </c>
      <c r="Y623" s="151">
        <f>VLOOKUP(E623,Modificaciones!$B$7:$BE$2300,56,0)</f>
        <v>1101053656</v>
      </c>
      <c r="Z623" s="84">
        <f t="shared" si="120"/>
        <v>7446344</v>
      </c>
      <c r="AA623" s="84" t="s">
        <v>1877</v>
      </c>
      <c r="AB623" s="823">
        <f t="shared" si="121"/>
        <v>0.99328250428506992</v>
      </c>
      <c r="AC623" s="40">
        <f t="shared" ca="1" si="111"/>
        <v>1</v>
      </c>
      <c r="AD623" s="41">
        <f t="shared" ca="1" si="112"/>
        <v>6.7174957149300774E-3</v>
      </c>
      <c r="AE623" s="181" t="str">
        <f t="shared" ca="1" si="113"/>
        <v/>
      </c>
      <c r="AF623" s="42" t="str">
        <f t="shared" si="122"/>
        <v>NO</v>
      </c>
      <c r="AG623" s="1017" t="s">
        <v>4920</v>
      </c>
      <c r="AH623" s="152" t="s">
        <v>1255</v>
      </c>
      <c r="AI623" s="255" t="s">
        <v>1126</v>
      </c>
      <c r="AJ623" s="152"/>
      <c r="AK623" s="255" t="s">
        <v>560</v>
      </c>
      <c r="AL623" s="279"/>
      <c r="AM623" s="279" t="s">
        <v>3873</v>
      </c>
      <c r="AN623" s="161" t="str">
        <f t="shared" ca="1" si="114"/>
        <v>TERMINO</v>
      </c>
      <c r="AO623" s="284" t="s">
        <v>575</v>
      </c>
      <c r="AP623" s="406" t="s">
        <v>390</v>
      </c>
      <c r="AQ623" s="819" t="str">
        <f>IFERROR(VLOOKUP(E623,'liquidaciones '!$B$2:$C$1048576,2,0),"NO")</f>
        <v>LIQUIDADO</v>
      </c>
      <c r="AR623" s="909" t="str">
        <f>IFERROR(VLOOKUP(E623,'liquidaciones '!$B$2:$I$1048576,8,0),"")</f>
        <v>JUAN DIEGO ESPÍTIA</v>
      </c>
      <c r="AS623" s="406"/>
      <c r="AT623" s="156" t="str">
        <f t="shared" ca="1" si="115"/>
        <v>SI</v>
      </c>
      <c r="AU623" s="406" t="s">
        <v>5045</v>
      </c>
      <c r="AV623" s="406" t="s">
        <v>1378</v>
      </c>
      <c r="AW623" s="930" t="s">
        <v>560</v>
      </c>
      <c r="AX623" s="275" t="s">
        <v>4858</v>
      </c>
      <c r="AY623" s="275" t="s">
        <v>4664</v>
      </c>
    </row>
    <row r="624" spans="3:51" ht="28.8" x14ac:dyDescent="0.3">
      <c r="C624" s="837"/>
      <c r="D624" s="837"/>
      <c r="E624" s="120" t="s">
        <v>3960</v>
      </c>
      <c r="F624" s="834" t="s">
        <v>3386</v>
      </c>
      <c r="G624" s="998" t="s">
        <v>3961</v>
      </c>
      <c r="H624" s="828" t="s">
        <v>3962</v>
      </c>
      <c r="I624" s="947">
        <v>6682215</v>
      </c>
      <c r="J624" s="843" t="s">
        <v>3964</v>
      </c>
      <c r="K624" s="269">
        <v>2018</v>
      </c>
      <c r="L624" s="519">
        <v>43228</v>
      </c>
      <c r="M624" s="519">
        <v>43228</v>
      </c>
      <c r="N624" s="519">
        <v>43236</v>
      </c>
      <c r="O624" s="1099" t="str">
        <f>IF(+Modificaciones!I624=0,"",VLOOKUP(E624,Modificaciones!$B$7:$I$2400,8,0))</f>
        <v/>
      </c>
      <c r="P624" s="115">
        <f>COUNTA(Modificaciones!J624,Modificaciones!L624,Modificaciones!N624,Modificaciones!P624)</f>
        <v>0</v>
      </c>
      <c r="Q624" s="116">
        <f>VLOOKUP(E624,Modificaciones!$B$7:$R$2300,17,0)</f>
        <v>0</v>
      </c>
      <c r="R624" s="117">
        <f>COUNTA(Modificaciones!T624,Modificaciones!V624,Modificaciones!X624,Modificaciones!Z624)</f>
        <v>0</v>
      </c>
      <c r="S624" s="118" t="str">
        <f>IF(Modificaciones!AA624=0,"",VLOOKUP(E624,Modificaciones!$B$7:$AA$2400,26,0))</f>
        <v/>
      </c>
      <c r="T624" s="119" t="str">
        <f>IF(Modificaciones!AB624=0,"",VLOOKUP(E624,Modificaciones!$B$7:$AB$2400,27,0))</f>
        <v/>
      </c>
      <c r="U624" s="1080" t="str">
        <f>+Modificaciones!AC624</f>
        <v/>
      </c>
      <c r="V624" s="825" t="str">
        <f>+Modificaciones!AK624</f>
        <v/>
      </c>
      <c r="W624" s="825">
        <f t="shared" si="110"/>
        <v>43236</v>
      </c>
      <c r="X624" s="59">
        <f t="shared" si="108"/>
        <v>6682215</v>
      </c>
      <c r="Y624" s="151">
        <f>VLOOKUP(E624,Modificaciones!$B$7:$BE$2300,56,0)</f>
        <v>6682215</v>
      </c>
      <c r="Z624" s="84">
        <f t="shared" si="120"/>
        <v>0</v>
      </c>
      <c r="AA624" s="283" t="s">
        <v>1894</v>
      </c>
      <c r="AB624" s="823">
        <f t="shared" si="121"/>
        <v>1</v>
      </c>
      <c r="AC624" s="40">
        <f t="shared" ca="1" si="111"/>
        <v>1</v>
      </c>
      <c r="AD624" s="41">
        <f t="shared" ca="1" si="112"/>
        <v>0</v>
      </c>
      <c r="AE624" s="181" t="str">
        <f t="shared" ca="1" si="113"/>
        <v/>
      </c>
      <c r="AF624" s="42" t="str">
        <f t="shared" si="122"/>
        <v>SI</v>
      </c>
      <c r="AG624" s="838" t="s">
        <v>1711</v>
      </c>
      <c r="AH624" s="841" t="s">
        <v>1256</v>
      </c>
      <c r="AI624" s="870" t="s">
        <v>3963</v>
      </c>
      <c r="AJ624" s="414" t="s">
        <v>1438</v>
      </c>
      <c r="AK624" s="255" t="s">
        <v>560</v>
      </c>
      <c r="AL624" s="279" t="s">
        <v>1508</v>
      </c>
      <c r="AM624" s="279" t="s">
        <v>3873</v>
      </c>
      <c r="AN624" s="161" t="str">
        <f t="shared" ca="1" si="114"/>
        <v>TERMINO</v>
      </c>
      <c r="AO624" s="284" t="s">
        <v>2722</v>
      </c>
      <c r="AP624" s="406"/>
      <c r="AQ624" s="819" t="str">
        <f>IFERROR(VLOOKUP(E624,'liquidaciones '!$B$2:$C$1048576,2,0),"NO")</f>
        <v>LIQUIDADO</v>
      </c>
      <c r="AR624" s="909">
        <f>IFERROR(VLOOKUP(E624,'liquidaciones '!$B$2:$I$1048576,8,0),"")</f>
        <v>0</v>
      </c>
      <c r="AS624" s="406"/>
      <c r="AT624" s="156" t="str">
        <f t="shared" ca="1" si="115"/>
        <v>NO</v>
      </c>
      <c r="AU624" s="406" t="s">
        <v>3512</v>
      </c>
      <c r="AV624" s="406" t="s">
        <v>3778</v>
      </c>
      <c r="AW624" s="930" t="s">
        <v>560</v>
      </c>
      <c r="AX624" s="928"/>
      <c r="AY624" s="928"/>
    </row>
    <row r="625" spans="3:51" ht="81.599999999999994" x14ac:dyDescent="0.3">
      <c r="C625" s="837"/>
      <c r="D625" s="837"/>
      <c r="E625" s="120" t="s">
        <v>3965</v>
      </c>
      <c r="F625" s="414" t="s">
        <v>3966</v>
      </c>
      <c r="G625" s="863" t="s">
        <v>3967</v>
      </c>
      <c r="H625" s="969" t="s">
        <v>3968</v>
      </c>
      <c r="I625" s="84">
        <v>49203666</v>
      </c>
      <c r="J625" s="843" t="s">
        <v>3976</v>
      </c>
      <c r="K625" s="269">
        <v>2018</v>
      </c>
      <c r="L625" s="519">
        <v>43228</v>
      </c>
      <c r="M625" s="519">
        <v>43237</v>
      </c>
      <c r="N625" s="519">
        <v>43328</v>
      </c>
      <c r="O625" s="1099" t="str">
        <f>IF(+Modificaciones!I625=0,"",VLOOKUP(E625,Modificaciones!$B$7:$I$2400,8,0))</f>
        <v/>
      </c>
      <c r="P625" s="115">
        <f>COUNTA(Modificaciones!J625,Modificaciones!L625,Modificaciones!N625,Modificaciones!P625)</f>
        <v>0</v>
      </c>
      <c r="Q625" s="116">
        <f>VLOOKUP(E625,Modificaciones!$B$7:$R$2300,17,0)</f>
        <v>0</v>
      </c>
      <c r="R625" s="117">
        <f>COUNTA(Modificaciones!T625,Modificaciones!V625,Modificaciones!X625,Modificaciones!Z625)</f>
        <v>0</v>
      </c>
      <c r="S625" s="118" t="str">
        <f>IF(Modificaciones!AA625=0,"",VLOOKUP(E625,Modificaciones!$B$7:$AA$2400,26,0))</f>
        <v/>
      </c>
      <c r="T625" s="119" t="str">
        <f>IF(Modificaciones!AB625=0,"",VLOOKUP(E625,Modificaciones!$B$7:$AB$2400,27,0))</f>
        <v/>
      </c>
      <c r="U625" s="1080" t="str">
        <f>+Modificaciones!AC625</f>
        <v/>
      </c>
      <c r="V625" s="825" t="str">
        <f>+Modificaciones!AK625</f>
        <v/>
      </c>
      <c r="W625" s="825">
        <f t="shared" si="110"/>
        <v>43328</v>
      </c>
      <c r="X625" s="59">
        <f t="shared" si="108"/>
        <v>49203666</v>
      </c>
      <c r="Y625" s="151">
        <f>VLOOKUP(E625,Modificaciones!$B$7:$BE$2300,56,0)</f>
        <v>49203666</v>
      </c>
      <c r="Z625" s="84">
        <f t="shared" si="120"/>
        <v>0</v>
      </c>
      <c r="AA625" s="288" t="s">
        <v>3969</v>
      </c>
      <c r="AB625" s="823">
        <f t="shared" si="121"/>
        <v>1</v>
      </c>
      <c r="AC625" s="40">
        <f t="shared" ca="1" si="111"/>
        <v>1</v>
      </c>
      <c r="AD625" s="41">
        <f t="shared" ca="1" si="112"/>
        <v>0</v>
      </c>
      <c r="AE625" s="181" t="str">
        <f t="shared" ca="1" si="113"/>
        <v/>
      </c>
      <c r="AF625" s="42" t="str">
        <f t="shared" si="122"/>
        <v>SI</v>
      </c>
      <c r="AG625" s="838" t="s">
        <v>1711</v>
      </c>
      <c r="AH625" s="841" t="s">
        <v>1256</v>
      </c>
      <c r="AI625" s="841" t="s">
        <v>3970</v>
      </c>
      <c r="AJ625" s="414" t="s">
        <v>1438</v>
      </c>
      <c r="AK625" s="255" t="s">
        <v>560</v>
      </c>
      <c r="AL625" s="279" t="s">
        <v>1508</v>
      </c>
      <c r="AM625" s="279" t="s">
        <v>3873</v>
      </c>
      <c r="AN625" s="161" t="str">
        <f t="shared" ca="1" si="114"/>
        <v>TERMINO</v>
      </c>
      <c r="AO625" s="414" t="s">
        <v>574</v>
      </c>
      <c r="AP625" s="406" t="s">
        <v>390</v>
      </c>
      <c r="AQ625" s="819" t="str">
        <f>IFERROR(VLOOKUP(E625,'liquidaciones '!$B$2:$C$1048576,2,0),"NO")</f>
        <v>LIQUIDADO</v>
      </c>
      <c r="AR625" s="909" t="str">
        <f>IFERROR(VLOOKUP(E625,'liquidaciones '!$B$2:$I$1048576,8,0),"")</f>
        <v>JUAN DIEGO ESPITIA</v>
      </c>
      <c r="AS625" s="406"/>
      <c r="AT625" s="156" t="str">
        <f t="shared" ca="1" si="115"/>
        <v>NO</v>
      </c>
      <c r="AU625" s="406" t="s">
        <v>3512</v>
      </c>
      <c r="AV625" s="406" t="s">
        <v>3778</v>
      </c>
      <c r="AW625" s="930" t="s">
        <v>560</v>
      </c>
      <c r="AX625" s="928"/>
      <c r="AY625" s="928"/>
    </row>
    <row r="626" spans="3:51" ht="40.799999999999997" x14ac:dyDescent="0.3">
      <c r="C626" s="837">
        <v>62</v>
      </c>
      <c r="D626" s="837"/>
      <c r="E626" s="120" t="s">
        <v>3971</v>
      </c>
      <c r="F626" s="414" t="s">
        <v>3972</v>
      </c>
      <c r="G626" s="863" t="s">
        <v>3973</v>
      </c>
      <c r="H626" s="965" t="s">
        <v>3974</v>
      </c>
      <c r="I626" s="84">
        <v>33190000</v>
      </c>
      <c r="J626" s="843" t="s">
        <v>3975</v>
      </c>
      <c r="K626" s="269">
        <v>2018</v>
      </c>
      <c r="L626" s="519">
        <v>43228</v>
      </c>
      <c r="M626" s="519">
        <v>43241</v>
      </c>
      <c r="N626" s="519">
        <v>43516</v>
      </c>
      <c r="O626" s="1099" t="str">
        <f>IF(+Modificaciones!I626=0,"",VLOOKUP(E626,Modificaciones!$B$7:$I$2400,8,0))</f>
        <v/>
      </c>
      <c r="P626" s="115">
        <f>COUNTA(Modificaciones!J626,Modificaciones!L626,Modificaciones!N626,Modificaciones!P626)</f>
        <v>0</v>
      </c>
      <c r="Q626" s="116">
        <f>VLOOKUP(E626,Modificaciones!$B$7:$R$2300,17,0)</f>
        <v>0</v>
      </c>
      <c r="R626" s="117">
        <f>COUNTA(Modificaciones!T626,Modificaciones!V626,Modificaciones!X626,Modificaciones!Z626)</f>
        <v>0</v>
      </c>
      <c r="S626" s="118" t="str">
        <f>IF(Modificaciones!AA626=0,"",VLOOKUP(E626,Modificaciones!$B$7:$AA$2400,26,0))</f>
        <v/>
      </c>
      <c r="T626" s="119" t="str">
        <f>IF(Modificaciones!AB626=0,"",VLOOKUP(E626,Modificaciones!$B$7:$AB$2400,27,0))</f>
        <v/>
      </c>
      <c r="U626" s="1080" t="str">
        <f>+Modificaciones!AC626</f>
        <v/>
      </c>
      <c r="V626" s="825" t="str">
        <f>+Modificaciones!AK626</f>
        <v/>
      </c>
      <c r="W626" s="825">
        <f t="shared" si="110"/>
        <v>43516</v>
      </c>
      <c r="X626" s="59">
        <f t="shared" si="108"/>
        <v>33190000</v>
      </c>
      <c r="Y626" s="151">
        <f>VLOOKUP(E626,Modificaciones!$B$7:$BE$2300,56,0)</f>
        <v>33189925</v>
      </c>
      <c r="Z626" s="84">
        <f t="shared" si="120"/>
        <v>75</v>
      </c>
      <c r="AA626" s="283" t="s">
        <v>2989</v>
      </c>
      <c r="AB626" s="823">
        <f t="shared" si="121"/>
        <v>0.99999774028321786</v>
      </c>
      <c r="AC626" s="40">
        <f t="shared" ca="1" si="111"/>
        <v>1</v>
      </c>
      <c r="AD626" s="41">
        <f t="shared" ca="1" si="112"/>
        <v>2.2597167821380992E-6</v>
      </c>
      <c r="AE626" s="181" t="str">
        <f t="shared" ca="1" si="113"/>
        <v/>
      </c>
      <c r="AF626" s="42" t="str">
        <f t="shared" si="122"/>
        <v>SI</v>
      </c>
      <c r="AG626" s="1017" t="s">
        <v>4920</v>
      </c>
      <c r="AH626" s="152" t="s">
        <v>1255</v>
      </c>
      <c r="AI626" s="255" t="s">
        <v>1297</v>
      </c>
      <c r="AJ626" s="152" t="s">
        <v>1441</v>
      </c>
      <c r="AK626" s="255" t="s">
        <v>560</v>
      </c>
      <c r="AL626" s="153" t="s">
        <v>1379</v>
      </c>
      <c r="AM626" s="279" t="s">
        <v>3873</v>
      </c>
      <c r="AN626" s="161" t="str">
        <f t="shared" ca="1" si="114"/>
        <v>TERMINO</v>
      </c>
      <c r="AO626" s="160" t="s">
        <v>576</v>
      </c>
      <c r="AP626" s="406" t="s">
        <v>390</v>
      </c>
      <c r="AQ626" s="819" t="str">
        <f>IFERROR(VLOOKUP(E626,'liquidaciones '!$B$2:$C$1048576,2,0),"NO")</f>
        <v>DEVUELTO</v>
      </c>
      <c r="AR626" s="909" t="str">
        <f>IFERROR(VLOOKUP(E626,'liquidaciones '!$B$2:$I$1048576,8,0),"")</f>
        <v xml:space="preserve">JUAN DIEGO ESPITIA </v>
      </c>
      <c r="AS626" s="406"/>
      <c r="AT626" s="156" t="str">
        <f t="shared" ca="1" si="115"/>
        <v>SI</v>
      </c>
      <c r="AU626" s="406" t="s">
        <v>4805</v>
      </c>
      <c r="AV626" s="406" t="s">
        <v>3774</v>
      </c>
      <c r="AW626" s="930" t="s">
        <v>560</v>
      </c>
      <c r="AX626" s="928"/>
      <c r="AY626" s="930"/>
    </row>
    <row r="627" spans="3:51" ht="28.8" x14ac:dyDescent="0.3">
      <c r="C627" s="837">
        <v>133</v>
      </c>
      <c r="D627" s="837"/>
      <c r="E627" s="120" t="s">
        <v>3979</v>
      </c>
      <c r="F627" s="414" t="s">
        <v>3980</v>
      </c>
      <c r="G627" s="863" t="s">
        <v>3981</v>
      </c>
      <c r="H627" s="969" t="s">
        <v>3982</v>
      </c>
      <c r="I627" s="84">
        <v>46208000</v>
      </c>
      <c r="J627" s="843" t="s">
        <v>3986</v>
      </c>
      <c r="K627" s="269">
        <v>2018</v>
      </c>
      <c r="L627" s="519">
        <v>43236</v>
      </c>
      <c r="M627" s="519">
        <v>43244</v>
      </c>
      <c r="N627" s="519">
        <v>43608</v>
      </c>
      <c r="O627" s="1099" t="str">
        <f>IF(+Modificaciones!I627=0,"",VLOOKUP(E627,Modificaciones!$B$7:$I$2400,8,0))</f>
        <v/>
      </c>
      <c r="P627" s="115">
        <f>COUNTA(Modificaciones!J627,Modificaciones!L627,Modificaciones!N627,Modificaciones!P627)</f>
        <v>0</v>
      </c>
      <c r="Q627" s="116">
        <f>VLOOKUP(E627,Modificaciones!$B$7:$R$2300,17,0)</f>
        <v>0</v>
      </c>
      <c r="R627" s="117">
        <f>COUNTA(Modificaciones!T627,Modificaciones!V627,Modificaciones!X627,Modificaciones!Z627)</f>
        <v>0</v>
      </c>
      <c r="S627" s="118" t="str">
        <f>IF(Modificaciones!AA627=0,"",VLOOKUP(E627,Modificaciones!$B$7:$AA$2400,26,0))</f>
        <v/>
      </c>
      <c r="T627" s="119" t="str">
        <f>IF(Modificaciones!AB627=0,"",VLOOKUP(E627,Modificaciones!$B$7:$AB$2400,27,0))</f>
        <v/>
      </c>
      <c r="U627" s="1080" t="str">
        <f>+Modificaciones!AC627</f>
        <v/>
      </c>
      <c r="V627" s="825" t="str">
        <f>+Modificaciones!AK627</f>
        <v/>
      </c>
      <c r="W627" s="825">
        <f t="shared" si="110"/>
        <v>43608</v>
      </c>
      <c r="X627" s="59">
        <f t="shared" si="108"/>
        <v>46208000</v>
      </c>
      <c r="Y627" s="151">
        <f>VLOOKUP(E627,Modificaciones!$B$7:$BE$2300,56,0)</f>
        <v>46204931</v>
      </c>
      <c r="Z627" s="84">
        <f t="shared" si="120"/>
        <v>3069</v>
      </c>
      <c r="AA627" s="283" t="s">
        <v>3983</v>
      </c>
      <c r="AB627" s="823">
        <f t="shared" si="121"/>
        <v>0.99993358292936285</v>
      </c>
      <c r="AC627" s="40">
        <f t="shared" ca="1" si="111"/>
        <v>1</v>
      </c>
      <c r="AD627" s="41">
        <f t="shared" ca="1" si="112"/>
        <v>6.6417070637148079E-5</v>
      </c>
      <c r="AE627" s="181" t="str">
        <f t="shared" ca="1" si="113"/>
        <v/>
      </c>
      <c r="AF627" s="42" t="str">
        <f t="shared" si="122"/>
        <v>SI</v>
      </c>
      <c r="AG627" s="732" t="s">
        <v>1712</v>
      </c>
      <c r="AH627" s="152" t="s">
        <v>1255</v>
      </c>
      <c r="AI627" s="255" t="s">
        <v>1134</v>
      </c>
      <c r="AJ627" s="152"/>
      <c r="AK627" s="255" t="s">
        <v>562</v>
      </c>
      <c r="AL627" s="279" t="s">
        <v>3784</v>
      </c>
      <c r="AM627" s="279" t="s">
        <v>3984</v>
      </c>
      <c r="AN627" s="161" t="str">
        <f t="shared" ca="1" si="114"/>
        <v>TERMINO</v>
      </c>
      <c r="AO627" s="160" t="s">
        <v>576</v>
      </c>
      <c r="AP627" s="406" t="s">
        <v>390</v>
      </c>
      <c r="AQ627" s="819" t="str">
        <f>IFERROR(VLOOKUP(E627,'liquidaciones '!$B$2:$C$1048576,2,0),"NO")</f>
        <v>NO</v>
      </c>
      <c r="AR627" s="909" t="str">
        <f>IFERROR(VLOOKUP(E627,'liquidaciones '!$B$2:$I$1048576,8,0),"")</f>
        <v/>
      </c>
      <c r="AS627" s="406"/>
      <c r="AT627" s="156" t="str">
        <f t="shared" ca="1" si="115"/>
        <v>SI</v>
      </c>
      <c r="AU627" s="156" t="s">
        <v>4245</v>
      </c>
      <c r="AV627" s="406" t="s">
        <v>3784</v>
      </c>
      <c r="AW627" s="930" t="s">
        <v>3985</v>
      </c>
      <c r="AX627" s="928"/>
      <c r="AY627" s="275" t="s">
        <v>4876</v>
      </c>
    </row>
    <row r="628" spans="3:51" ht="51" x14ac:dyDescent="0.3">
      <c r="C628" s="837">
        <v>1</v>
      </c>
      <c r="D628" s="837"/>
      <c r="E628" s="120" t="s">
        <v>3997</v>
      </c>
      <c r="F628" s="414" t="s">
        <v>3998</v>
      </c>
      <c r="G628" s="863">
        <v>811044253</v>
      </c>
      <c r="H628" s="969" t="s">
        <v>3999</v>
      </c>
      <c r="I628" s="84">
        <v>314000000</v>
      </c>
      <c r="J628" s="843" t="s">
        <v>4000</v>
      </c>
      <c r="K628" s="269">
        <v>2018</v>
      </c>
      <c r="L628" s="519">
        <v>43250</v>
      </c>
      <c r="M628" s="519">
        <v>43252</v>
      </c>
      <c r="N628" s="519">
        <v>43510</v>
      </c>
      <c r="O628" s="1099" t="str">
        <f>IF(+Modificaciones!I628=0,"",VLOOKUP(E628,Modificaciones!$B$7:$I$2400,8,0))</f>
        <v/>
      </c>
      <c r="P628" s="115">
        <f>COUNTA(Modificaciones!J628,Modificaciones!L628,Modificaciones!N628,Modificaciones!P628)</f>
        <v>2</v>
      </c>
      <c r="Q628" s="116">
        <f>VLOOKUP(E628,Modificaciones!$B$7:$R$2300,17,0)</f>
        <v>97744384</v>
      </c>
      <c r="R628" s="117">
        <f>COUNTA(Modificaciones!T628,Modificaciones!V628,Modificaciones!X628,Modificaciones!Z628)</f>
        <v>3</v>
      </c>
      <c r="S628" s="118" t="str">
        <f>IF(Modificaciones!AA628=0,"",VLOOKUP(E628,Modificaciones!$B$7:$AA$2400,26,0))</f>
        <v>4 mes</v>
      </c>
      <c r="T628" s="119">
        <f>IF(Modificaciones!AB628=0,"",VLOOKUP(E628,Modificaciones!$B$7:$AB$2400,27,0))</f>
        <v>43631</v>
      </c>
      <c r="U628" s="1080" t="str">
        <f>+Modificaciones!AC628</f>
        <v/>
      </c>
      <c r="V628" s="825" t="str">
        <f>+Modificaciones!AK628</f>
        <v/>
      </c>
      <c r="W628" s="825">
        <f t="shared" si="110"/>
        <v>43631</v>
      </c>
      <c r="X628" s="59">
        <f t="shared" si="108"/>
        <v>411744384</v>
      </c>
      <c r="Y628" s="151">
        <f>VLOOKUP(E628,Modificaciones!$B$7:$BE$2300,56,0)</f>
        <v>406162753</v>
      </c>
      <c r="Z628" s="84">
        <f t="shared" si="120"/>
        <v>5581631</v>
      </c>
      <c r="AA628" s="283" t="s">
        <v>2756</v>
      </c>
      <c r="AB628" s="823">
        <f t="shared" si="121"/>
        <v>0.98644394139447444</v>
      </c>
      <c r="AC628" s="40">
        <f t="shared" ca="1" si="111"/>
        <v>1</v>
      </c>
      <c r="AD628" s="41">
        <f t="shared" ca="1" si="112"/>
        <v>1.3556058605525556E-2</v>
      </c>
      <c r="AE628" s="181" t="str">
        <f t="shared" ca="1" si="113"/>
        <v/>
      </c>
      <c r="AF628" s="42" t="str">
        <f t="shared" si="122"/>
        <v>NO</v>
      </c>
      <c r="AG628" s="1017" t="s">
        <v>4920</v>
      </c>
      <c r="AH628" s="152" t="s">
        <v>1255</v>
      </c>
      <c r="AI628" s="255" t="s">
        <v>1137</v>
      </c>
      <c r="AJ628" s="152" t="s">
        <v>1441</v>
      </c>
      <c r="AK628" s="255" t="s">
        <v>560</v>
      </c>
      <c r="AL628" s="153" t="s">
        <v>1378</v>
      </c>
      <c r="AM628" s="279" t="s">
        <v>3873</v>
      </c>
      <c r="AN628" s="161" t="str">
        <f t="shared" ca="1" si="114"/>
        <v>TERMINO</v>
      </c>
      <c r="AO628" s="414" t="s">
        <v>573</v>
      </c>
      <c r="AP628" s="406" t="s">
        <v>390</v>
      </c>
      <c r="AQ628" s="819" t="str">
        <f>IFERROR(VLOOKUP(E628,'liquidaciones '!$B$2:$C$1048576,2,0),"NO")</f>
        <v>LIQUIDADO</v>
      </c>
      <c r="AR628" s="909" t="str">
        <f>IFERROR(VLOOKUP(E628,'liquidaciones '!$B$2:$I$1048576,8,0),"")</f>
        <v>JUAN DIEGO ESPITIA</v>
      </c>
      <c r="AS628" s="406"/>
      <c r="AT628" s="156" t="str">
        <f t="shared" ca="1" si="115"/>
        <v>SI</v>
      </c>
      <c r="AU628" s="406" t="s">
        <v>4803</v>
      </c>
      <c r="AV628" s="406" t="s">
        <v>1378</v>
      </c>
      <c r="AW628" s="930" t="s">
        <v>560</v>
      </c>
      <c r="AX628" s="930" t="s">
        <v>4893</v>
      </c>
      <c r="AY628" s="275" t="s">
        <v>4705</v>
      </c>
    </row>
    <row r="629" spans="3:51" ht="71.400000000000006" x14ac:dyDescent="0.3">
      <c r="C629" s="837">
        <v>11</v>
      </c>
      <c r="D629" s="837"/>
      <c r="E629" s="120" t="s">
        <v>4002</v>
      </c>
      <c r="F629" s="414" t="s">
        <v>4003</v>
      </c>
      <c r="G629" s="863">
        <v>900152368</v>
      </c>
      <c r="H629" s="969" t="s">
        <v>4004</v>
      </c>
      <c r="I629" s="84">
        <v>4600000</v>
      </c>
      <c r="J629" s="843" t="s">
        <v>4005</v>
      </c>
      <c r="K629" s="269">
        <v>2018</v>
      </c>
      <c r="L629" s="519">
        <v>43252</v>
      </c>
      <c r="M629" s="519">
        <v>43272</v>
      </c>
      <c r="N629" s="519">
        <v>43636</v>
      </c>
      <c r="O629" s="1099" t="str">
        <f>IF(+Modificaciones!I629=0,"",VLOOKUP(E629,Modificaciones!$B$7:$I$2400,8,0))</f>
        <v/>
      </c>
      <c r="P629" s="115">
        <f>COUNTA(Modificaciones!J629,Modificaciones!L629,Modificaciones!N629,Modificaciones!P629)</f>
        <v>0</v>
      </c>
      <c r="Q629" s="116">
        <f>VLOOKUP(E629,Modificaciones!$B$7:$R$2300,17,0)</f>
        <v>0</v>
      </c>
      <c r="R629" s="117">
        <f>COUNTA(Modificaciones!T629,Modificaciones!V629,Modificaciones!X629,Modificaciones!Z629)</f>
        <v>1</v>
      </c>
      <c r="S629" s="118" t="str">
        <f>IF(Modificaciones!AA629=0,"",VLOOKUP(E629,Modificaciones!$B$7:$AA$2400,26,0))</f>
        <v/>
      </c>
      <c r="T629" s="119">
        <f>IF(Modificaciones!AB629=0,"",VLOOKUP(E629,Modificaciones!$B$7:$AB$2400,27,0))</f>
        <v>43666</v>
      </c>
      <c r="U629" s="1080" t="str">
        <f>+Modificaciones!AC629</f>
        <v/>
      </c>
      <c r="V629" s="825" t="str">
        <f>+Modificaciones!AK629</f>
        <v/>
      </c>
      <c r="W629" s="825">
        <f t="shared" si="110"/>
        <v>43666</v>
      </c>
      <c r="X629" s="59">
        <f t="shared" si="108"/>
        <v>4600000</v>
      </c>
      <c r="Y629" s="151">
        <f>VLOOKUP(E629,Modificaciones!$B$7:$BE$2300,56,0)</f>
        <v>3935620</v>
      </c>
      <c r="Z629" s="84">
        <f t="shared" si="120"/>
        <v>664380</v>
      </c>
      <c r="AA629" s="283" t="s">
        <v>2984</v>
      </c>
      <c r="AB629" s="823">
        <f t="shared" si="121"/>
        <v>0.85556956521739136</v>
      </c>
      <c r="AC629" s="40">
        <f t="shared" ca="1" si="111"/>
        <v>1</v>
      </c>
      <c r="AD629" s="41">
        <f t="shared" ca="1" si="112"/>
        <v>0.14443043478260864</v>
      </c>
      <c r="AE629" s="181" t="str">
        <f t="shared" ca="1" si="113"/>
        <v/>
      </c>
      <c r="AF629" s="42" t="str">
        <f t="shared" si="122"/>
        <v>NO</v>
      </c>
      <c r="AG629" s="1017" t="s">
        <v>4920</v>
      </c>
      <c r="AH629" s="152" t="s">
        <v>1255</v>
      </c>
      <c r="AI629" s="255" t="s">
        <v>1171</v>
      </c>
      <c r="AJ629" s="152" t="s">
        <v>1441</v>
      </c>
      <c r="AK629" s="255" t="s">
        <v>560</v>
      </c>
      <c r="AL629" s="838" t="s">
        <v>3597</v>
      </c>
      <c r="AM629" s="279" t="s">
        <v>3873</v>
      </c>
      <c r="AN629" s="161" t="str">
        <f t="shared" ca="1" si="114"/>
        <v>TERMINO</v>
      </c>
      <c r="AO629" s="160" t="s">
        <v>576</v>
      </c>
      <c r="AP629" s="155" t="s">
        <v>390</v>
      </c>
      <c r="AQ629" s="819" t="str">
        <f>IFERROR(VLOOKUP(E629,'liquidaciones '!$B$2:$C$1048576,2,0),"NO")</f>
        <v>NO</v>
      </c>
      <c r="AR629" s="909" t="str">
        <f>IFERROR(VLOOKUP(E629,'liquidaciones '!$B$2:$I$1048576,8,0),"")</f>
        <v/>
      </c>
      <c r="AS629" s="406"/>
      <c r="AT629" s="156" t="str">
        <f t="shared" ca="1" si="115"/>
        <v>SI</v>
      </c>
      <c r="AU629" s="156" t="s">
        <v>4245</v>
      </c>
      <c r="AV629" s="406" t="s">
        <v>4861</v>
      </c>
      <c r="AW629" s="930" t="s">
        <v>560</v>
      </c>
      <c r="AX629" s="930" t="s">
        <v>4983</v>
      </c>
      <c r="AY629" s="275" t="s">
        <v>4979</v>
      </c>
    </row>
    <row r="630" spans="3:51" ht="40.799999999999997" x14ac:dyDescent="0.3">
      <c r="C630" s="837">
        <v>112</v>
      </c>
      <c r="D630" s="837"/>
      <c r="E630" s="120" t="s">
        <v>4022</v>
      </c>
      <c r="F630" s="414" t="s">
        <v>3722</v>
      </c>
      <c r="G630" s="863" t="s">
        <v>3553</v>
      </c>
      <c r="H630" s="969" t="s">
        <v>4023</v>
      </c>
      <c r="I630" s="84">
        <v>7663600</v>
      </c>
      <c r="J630" s="843" t="s">
        <v>4027</v>
      </c>
      <c r="K630" s="269">
        <v>2018</v>
      </c>
      <c r="L630" s="519">
        <v>43251</v>
      </c>
      <c r="M630" s="519">
        <v>43263</v>
      </c>
      <c r="N630" s="519">
        <v>43384</v>
      </c>
      <c r="O630" s="1099" t="str">
        <f>IF(+Modificaciones!I630=0,"",VLOOKUP(E630,Modificaciones!$B$7:$I$2400,8,0))</f>
        <v/>
      </c>
      <c r="P630" s="115">
        <f>COUNTA(Modificaciones!J630,Modificaciones!L630,Modificaciones!N630,Modificaciones!P630)</f>
        <v>0</v>
      </c>
      <c r="Q630" s="116">
        <f>VLOOKUP(E630,Modificaciones!$B$7:$R$2300,17,0)</f>
        <v>0</v>
      </c>
      <c r="R630" s="117">
        <f>COUNTA(Modificaciones!T630,Modificaciones!V630,Modificaciones!X630,Modificaciones!Z630)</f>
        <v>1</v>
      </c>
      <c r="S630" s="118" t="str">
        <f>IF(Modificaciones!AA630=0,"",VLOOKUP(E630,Modificaciones!$B$7:$AA$2400,26,0))</f>
        <v>2 meses</v>
      </c>
      <c r="T630" s="119">
        <f>IF(Modificaciones!AB630=0,"",VLOOKUP(E630,Modificaciones!$B$7:$AB$2400,27,0))</f>
        <v>43445</v>
      </c>
      <c r="U630" s="1080" t="str">
        <f>+Modificaciones!AC630</f>
        <v/>
      </c>
      <c r="V630" s="825" t="str">
        <f>+Modificaciones!AK630</f>
        <v/>
      </c>
      <c r="W630" s="825">
        <f t="shared" si="110"/>
        <v>43445</v>
      </c>
      <c r="X630" s="59">
        <f t="shared" si="108"/>
        <v>7663600</v>
      </c>
      <c r="Y630" s="151">
        <f>VLOOKUP(E630,Modificaciones!$B$7:$BE$2300,56,0)</f>
        <v>7663600</v>
      </c>
      <c r="Z630" s="84">
        <f t="shared" si="120"/>
        <v>0</v>
      </c>
      <c r="AA630" s="283" t="s">
        <v>4024</v>
      </c>
      <c r="AB630" s="823">
        <f t="shared" si="121"/>
        <v>1</v>
      </c>
      <c r="AC630" s="40">
        <f t="shared" ca="1" si="111"/>
        <v>1</v>
      </c>
      <c r="AD630" s="41">
        <f t="shared" ca="1" si="112"/>
        <v>0</v>
      </c>
      <c r="AE630" s="181" t="str">
        <f t="shared" ca="1" si="113"/>
        <v/>
      </c>
      <c r="AF630" s="42" t="str">
        <f t="shared" si="122"/>
        <v>SI</v>
      </c>
      <c r="AG630" s="838"/>
      <c r="AH630" s="152" t="s">
        <v>1255</v>
      </c>
      <c r="AI630" s="275" t="s">
        <v>1349</v>
      </c>
      <c r="AJ630" s="152" t="s">
        <v>1430</v>
      </c>
      <c r="AK630" s="255" t="s">
        <v>563</v>
      </c>
      <c r="AL630" s="153"/>
      <c r="AM630" s="279" t="s">
        <v>4025</v>
      </c>
      <c r="AN630" s="161" t="str">
        <f t="shared" ca="1" si="114"/>
        <v>TERMINO</v>
      </c>
      <c r="AO630" s="160" t="s">
        <v>576</v>
      </c>
      <c r="AP630" s="406" t="s">
        <v>390</v>
      </c>
      <c r="AQ630" s="819" t="str">
        <f>IFERROR(VLOOKUP(E630,'liquidaciones '!$B$2:$C$1048576,2,0),"NO")</f>
        <v>LIQUIDADO</v>
      </c>
      <c r="AR630" s="909" t="str">
        <f>IFERROR(VLOOKUP(E630,'liquidaciones '!$B$2:$I$1048576,8,0),"")</f>
        <v>JUAN DIEGO ESPITIA</v>
      </c>
      <c r="AS630" s="406"/>
      <c r="AT630" s="156" t="str">
        <f t="shared" ca="1" si="115"/>
        <v>SI</v>
      </c>
      <c r="AU630" s="156" t="s">
        <v>4245</v>
      </c>
      <c r="AV630" s="406" t="s">
        <v>4227</v>
      </c>
      <c r="AW630" s="930" t="s">
        <v>4026</v>
      </c>
      <c r="AX630" s="928"/>
      <c r="AY630" s="275" t="s">
        <v>5063</v>
      </c>
    </row>
    <row r="631" spans="3:51" ht="30.6" x14ac:dyDescent="0.3">
      <c r="C631" s="837">
        <v>263</v>
      </c>
      <c r="D631" s="837"/>
      <c r="E631" s="120" t="s">
        <v>4049</v>
      </c>
      <c r="F631" s="414" t="s">
        <v>152</v>
      </c>
      <c r="G631" s="863">
        <v>800015583</v>
      </c>
      <c r="H631" s="969" t="s">
        <v>4050</v>
      </c>
      <c r="I631" s="84">
        <v>13499360</v>
      </c>
      <c r="J631" s="843" t="s">
        <v>4048</v>
      </c>
      <c r="K631" s="269">
        <v>2018</v>
      </c>
      <c r="L631" s="519">
        <v>43224</v>
      </c>
      <c r="M631" s="519">
        <v>43332</v>
      </c>
      <c r="N631" s="519">
        <v>43392</v>
      </c>
      <c r="O631" s="1099" t="str">
        <f>IF(+Modificaciones!I631=0,"",VLOOKUP(E631,Modificaciones!$B$7:$I$2400,8,0))</f>
        <v/>
      </c>
      <c r="P631" s="115">
        <f>COUNTA(Modificaciones!J631,Modificaciones!L631,Modificaciones!N631,Modificaciones!P631)</f>
        <v>0</v>
      </c>
      <c r="Q631" s="116">
        <f>VLOOKUP(E631,Modificaciones!$B$7:$R$2300,17,0)</f>
        <v>0</v>
      </c>
      <c r="R631" s="117">
        <f>COUNTA(Modificaciones!T631,Modificaciones!V631,Modificaciones!X631,Modificaciones!Z631)</f>
        <v>0</v>
      </c>
      <c r="S631" s="118" t="str">
        <f>IF(Modificaciones!AA631=0,"",VLOOKUP(E631,Modificaciones!$B$7:$AA$2400,26,0))</f>
        <v/>
      </c>
      <c r="T631" s="119" t="str">
        <f>IF(Modificaciones!AB631=0,"",VLOOKUP(E631,Modificaciones!$B$7:$AB$2400,27,0))</f>
        <v/>
      </c>
      <c r="U631" s="1080" t="str">
        <f>+Modificaciones!AC631</f>
        <v/>
      </c>
      <c r="V631" s="825" t="str">
        <f>+Modificaciones!AK631</f>
        <v/>
      </c>
      <c r="W631" s="825">
        <f t="shared" si="110"/>
        <v>43392</v>
      </c>
      <c r="X631" s="59">
        <f t="shared" si="108"/>
        <v>13499360</v>
      </c>
      <c r="Y631" s="151">
        <f>VLOOKUP(E631,Modificaciones!$B$7:$BE$2300,56,0)</f>
        <v>13499360</v>
      </c>
      <c r="Z631" s="84">
        <f t="shared" si="120"/>
        <v>0</v>
      </c>
      <c r="AA631" s="283" t="s">
        <v>4051</v>
      </c>
      <c r="AB631" s="823">
        <f t="shared" si="121"/>
        <v>1</v>
      </c>
      <c r="AC631" s="40">
        <f t="shared" ca="1" si="111"/>
        <v>1</v>
      </c>
      <c r="AD631" s="41">
        <f t="shared" ca="1" si="112"/>
        <v>0</v>
      </c>
      <c r="AE631" s="181" t="str">
        <f t="shared" ca="1" si="113"/>
        <v/>
      </c>
      <c r="AF631" s="42" t="str">
        <f t="shared" si="122"/>
        <v>SI</v>
      </c>
      <c r="AG631" s="838"/>
      <c r="AH631" s="841" t="s">
        <v>1256</v>
      </c>
      <c r="AI631" s="841" t="s">
        <v>4052</v>
      </c>
      <c r="AJ631" s="414" t="s">
        <v>1438</v>
      </c>
      <c r="AK631" s="255" t="s">
        <v>560</v>
      </c>
      <c r="AL631" s="279" t="s">
        <v>1508</v>
      </c>
      <c r="AM631" s="279" t="s">
        <v>3873</v>
      </c>
      <c r="AN631" s="161" t="str">
        <f t="shared" ca="1" si="114"/>
        <v>TERMINO</v>
      </c>
      <c r="AO631" s="160" t="s">
        <v>576</v>
      </c>
      <c r="AP631" s="406" t="s">
        <v>391</v>
      </c>
      <c r="AQ631" s="819" t="str">
        <f>IFERROR(VLOOKUP(E631,'liquidaciones '!$B$2:$C$1048576,2,0),"NO")</f>
        <v>LIQUIDADO</v>
      </c>
      <c r="AR631" s="909" t="str">
        <f>IFERROR(VLOOKUP(E631,'liquidaciones '!$B$2:$I$1048576,8,0),"")</f>
        <v>JUAN DIEGO ESPITIA</v>
      </c>
      <c r="AS631" s="406"/>
      <c r="AT631" s="156" t="str">
        <f t="shared" ca="1" si="115"/>
        <v>SI</v>
      </c>
      <c r="AU631" s="406" t="s">
        <v>4209</v>
      </c>
      <c r="AV631" s="406" t="s">
        <v>3778</v>
      </c>
      <c r="AW631" s="930" t="s">
        <v>560</v>
      </c>
      <c r="AX631" s="928"/>
      <c r="AY631" s="275"/>
    </row>
    <row r="632" spans="3:51" ht="122.4" x14ac:dyDescent="0.3">
      <c r="C632" s="837">
        <v>193</v>
      </c>
      <c r="D632" s="837"/>
      <c r="E632" s="120" t="s">
        <v>4068</v>
      </c>
      <c r="F632" s="414" t="s">
        <v>2094</v>
      </c>
      <c r="G632" s="863">
        <v>830099766</v>
      </c>
      <c r="H632" s="969" t="s">
        <v>4069</v>
      </c>
      <c r="I632" s="84">
        <v>57462030</v>
      </c>
      <c r="J632" s="843" t="s">
        <v>4068</v>
      </c>
      <c r="K632" s="269">
        <v>2018</v>
      </c>
      <c r="L632" s="519">
        <v>43280</v>
      </c>
      <c r="M632" s="519">
        <v>43304</v>
      </c>
      <c r="N632" s="519">
        <v>43577</v>
      </c>
      <c r="O632" s="1099" t="str">
        <f>IF(+Modificaciones!I632=0,"",VLOOKUP(E632,Modificaciones!$B$7:$I$2400,8,0))</f>
        <v/>
      </c>
      <c r="P632" s="115">
        <f>COUNTA(Modificaciones!J632,Modificaciones!L632,Modificaciones!N632,Modificaciones!P632)</f>
        <v>0</v>
      </c>
      <c r="Q632" s="116">
        <f>VLOOKUP(E632,Modificaciones!$B$7:$R$2300,17,0)</f>
        <v>0</v>
      </c>
      <c r="R632" s="117">
        <f>COUNTA(Modificaciones!T632,Modificaciones!V632,Modificaciones!X632,Modificaciones!Z632)</f>
        <v>0</v>
      </c>
      <c r="S632" s="118" t="str">
        <f>IF(Modificaciones!AA632=0,"",VLOOKUP(E632,Modificaciones!$B$7:$AA$2400,26,0))</f>
        <v/>
      </c>
      <c r="T632" s="119" t="str">
        <f>IF(Modificaciones!AB632=0,"",VLOOKUP(E632,Modificaciones!$B$7:$AB$2400,27,0))</f>
        <v/>
      </c>
      <c r="U632" s="1080" t="str">
        <f>+Modificaciones!AC632</f>
        <v/>
      </c>
      <c r="V632" s="825" t="str">
        <f>+Modificaciones!AK632</f>
        <v/>
      </c>
      <c r="W632" s="825">
        <f t="shared" si="110"/>
        <v>43577</v>
      </c>
      <c r="X632" s="59">
        <f t="shared" si="108"/>
        <v>57462030</v>
      </c>
      <c r="Y632" s="151">
        <f>VLOOKUP(E632,Modificaciones!$B$7:$BE$2300,56,0)</f>
        <v>57462030</v>
      </c>
      <c r="Z632" s="84">
        <f t="shared" si="120"/>
        <v>0</v>
      </c>
      <c r="AA632" s="869" t="s">
        <v>4070</v>
      </c>
      <c r="AB632" s="823">
        <f t="shared" si="121"/>
        <v>1</v>
      </c>
      <c r="AC632" s="40">
        <f t="shared" ca="1" si="111"/>
        <v>1</v>
      </c>
      <c r="AD632" s="41">
        <f t="shared" ca="1" si="112"/>
        <v>0</v>
      </c>
      <c r="AE632" s="181" t="str">
        <f t="shared" ca="1" si="113"/>
        <v/>
      </c>
      <c r="AF632" s="42" t="str">
        <f t="shared" si="122"/>
        <v>SI</v>
      </c>
      <c r="AG632" s="1017" t="s">
        <v>4920</v>
      </c>
      <c r="AH632" s="152" t="s">
        <v>1256</v>
      </c>
      <c r="AI632" s="255" t="s">
        <v>2097</v>
      </c>
      <c r="AJ632" s="152" t="s">
        <v>1438</v>
      </c>
      <c r="AK632" s="255" t="s">
        <v>560</v>
      </c>
      <c r="AL632" s="279" t="s">
        <v>1508</v>
      </c>
      <c r="AM632" s="279" t="s">
        <v>4025</v>
      </c>
      <c r="AN632" s="161" t="str">
        <f t="shared" ca="1" si="114"/>
        <v>TERMINO</v>
      </c>
      <c r="AO632" s="284" t="s">
        <v>582</v>
      </c>
      <c r="AP632" s="155" t="s">
        <v>390</v>
      </c>
      <c r="AQ632" s="819" t="str">
        <f>IFERROR(VLOOKUP(E632,'liquidaciones '!$B$2:$C$1048576,2,0),"NO")</f>
        <v>DEVUELTO</v>
      </c>
      <c r="AR632" s="909" t="str">
        <f>IFERROR(VLOOKUP(E632,'liquidaciones '!$B$2:$I$1048576,8,0),"")</f>
        <v>MARTHA SANCHEZ</v>
      </c>
      <c r="AS632" s="406"/>
      <c r="AT632" s="156" t="str">
        <f t="shared" ca="1" si="115"/>
        <v>SI</v>
      </c>
      <c r="AU632" s="939" t="s">
        <v>4209</v>
      </c>
      <c r="AV632" s="406" t="s">
        <v>3778</v>
      </c>
      <c r="AW632" s="930" t="s">
        <v>560</v>
      </c>
      <c r="AX632" s="928"/>
      <c r="AY632" s="275" t="s">
        <v>4779</v>
      </c>
    </row>
    <row r="633" spans="3:51" ht="30.6" x14ac:dyDescent="0.3">
      <c r="C633" s="837"/>
      <c r="D633" s="837"/>
      <c r="E633" s="120" t="s">
        <v>4071</v>
      </c>
      <c r="F633" s="414" t="s">
        <v>4072</v>
      </c>
      <c r="G633" s="863">
        <v>19258732</v>
      </c>
      <c r="H633" s="969" t="s">
        <v>4073</v>
      </c>
      <c r="I633" s="84">
        <v>52348000</v>
      </c>
      <c r="J633" s="843" t="s">
        <v>4082</v>
      </c>
      <c r="K633" s="269">
        <v>2018</v>
      </c>
      <c r="L633" s="519">
        <v>43279</v>
      </c>
      <c r="M633" s="519">
        <v>43297</v>
      </c>
      <c r="N633" s="519">
        <v>43358</v>
      </c>
      <c r="O633" s="1099" t="str">
        <f>IF(+Modificaciones!I633=0,"",VLOOKUP(E633,Modificaciones!$B$7:$I$2400,8,0))</f>
        <v/>
      </c>
      <c r="P633" s="115">
        <f>COUNTA(Modificaciones!J633,Modificaciones!L633,Modificaciones!N633,Modificaciones!P633)</f>
        <v>0</v>
      </c>
      <c r="Q633" s="116">
        <f>VLOOKUP(E633,Modificaciones!$B$7:$R$2300,17,0)</f>
        <v>0</v>
      </c>
      <c r="R633" s="117">
        <f>COUNTA(Modificaciones!T633,Modificaciones!V633,Modificaciones!X633,Modificaciones!Z633)</f>
        <v>0</v>
      </c>
      <c r="S633" s="118" t="str">
        <f>IF(Modificaciones!AA633=0,"",VLOOKUP(E633,Modificaciones!$B$7:$AA$2400,26,0))</f>
        <v/>
      </c>
      <c r="T633" s="119" t="str">
        <f>IF(Modificaciones!AB633=0,"",VLOOKUP(E633,Modificaciones!$B$7:$AB$2400,27,0))</f>
        <v/>
      </c>
      <c r="U633" s="1080" t="str">
        <f>+Modificaciones!AC633</f>
        <v/>
      </c>
      <c r="V633" s="825" t="str">
        <f>+Modificaciones!AK633</f>
        <v/>
      </c>
      <c r="W633" s="825">
        <f t="shared" si="110"/>
        <v>43358</v>
      </c>
      <c r="X633" s="59">
        <f t="shared" si="108"/>
        <v>52348000</v>
      </c>
      <c r="Y633" s="151">
        <f>VLOOKUP(E633,Modificaciones!$B$7:$BE$2300,56,0)</f>
        <v>52348000</v>
      </c>
      <c r="Z633" s="84">
        <f t="shared" si="120"/>
        <v>0</v>
      </c>
      <c r="AA633" s="283" t="s">
        <v>1894</v>
      </c>
      <c r="AB633" s="823">
        <f t="shared" si="121"/>
        <v>1</v>
      </c>
      <c r="AC633" s="40">
        <f t="shared" ca="1" si="111"/>
        <v>1</v>
      </c>
      <c r="AD633" s="41">
        <f t="shared" ca="1" si="112"/>
        <v>0</v>
      </c>
      <c r="AE633" s="181" t="str">
        <f t="shared" ca="1" si="113"/>
        <v/>
      </c>
      <c r="AF633" s="42" t="str">
        <f t="shared" si="122"/>
        <v>SI</v>
      </c>
      <c r="AG633" s="838" t="s">
        <v>1711</v>
      </c>
      <c r="AH633" s="841" t="s">
        <v>1255</v>
      </c>
      <c r="AI633" s="841" t="s">
        <v>2403</v>
      </c>
      <c r="AJ633" s="152" t="s">
        <v>1441</v>
      </c>
      <c r="AK633" s="255" t="s">
        <v>559</v>
      </c>
      <c r="AL633" s="838" t="s">
        <v>3597</v>
      </c>
      <c r="AM633" s="279" t="s">
        <v>4025</v>
      </c>
      <c r="AN633" s="161" t="str">
        <f t="shared" ca="1" si="114"/>
        <v>TERMINO</v>
      </c>
      <c r="AO633" s="160" t="s">
        <v>576</v>
      </c>
      <c r="AP633" s="406" t="s">
        <v>391</v>
      </c>
      <c r="AQ633" s="819" t="str">
        <f>IFERROR(VLOOKUP(E633,'liquidaciones '!$B$2:$C$1048576,2,0),"NO")</f>
        <v>LIQUIDADO</v>
      </c>
      <c r="AR633" s="909" t="str">
        <f>IFERROR(VLOOKUP(E633,'liquidaciones '!$B$2:$I$1048576,8,0),"")</f>
        <v>GABINO HERNANDEZ</v>
      </c>
      <c r="AS633" s="406"/>
      <c r="AT633" s="156" t="str">
        <f t="shared" ca="1" si="115"/>
        <v>SI</v>
      </c>
      <c r="AU633" s="939" t="s">
        <v>4244</v>
      </c>
      <c r="AV633" s="406" t="s">
        <v>3774</v>
      </c>
      <c r="AW633" s="930" t="s">
        <v>559</v>
      </c>
      <c r="AX633" s="928"/>
      <c r="AY633" s="275"/>
    </row>
    <row r="634" spans="3:51" ht="102" x14ac:dyDescent="0.3">
      <c r="C634" s="837">
        <v>180</v>
      </c>
      <c r="D634" s="837"/>
      <c r="E634" s="120" t="s">
        <v>4074</v>
      </c>
      <c r="F634" s="414" t="s">
        <v>4075</v>
      </c>
      <c r="G634" s="971">
        <v>900220002</v>
      </c>
      <c r="H634" s="969" t="s">
        <v>4076</v>
      </c>
      <c r="I634" s="84">
        <v>43000000</v>
      </c>
      <c r="J634" s="843" t="s">
        <v>4083</v>
      </c>
      <c r="K634" s="269">
        <v>2018</v>
      </c>
      <c r="L634" s="519">
        <v>43278</v>
      </c>
      <c r="M634" s="519">
        <v>43286</v>
      </c>
      <c r="N634" s="519">
        <v>43650</v>
      </c>
      <c r="O634" s="1099" t="str">
        <f>IF(+Modificaciones!I634=0,"",VLOOKUP(E634,Modificaciones!$B$7:$I$2400,8,0))</f>
        <v/>
      </c>
      <c r="P634" s="115">
        <f>COUNTA(Modificaciones!J634,Modificaciones!L634,Modificaciones!N634,Modificaciones!P634)</f>
        <v>0</v>
      </c>
      <c r="Q634" s="116">
        <f>VLOOKUP(E634,Modificaciones!$B$7:$R$2300,17,0)</f>
        <v>0</v>
      </c>
      <c r="R634" s="117">
        <f>COUNTA(Modificaciones!T634,Modificaciones!V634,Modificaciones!X634,Modificaciones!Z634)</f>
        <v>0</v>
      </c>
      <c r="S634" s="118" t="str">
        <f>IF(Modificaciones!AA634=0,"",VLOOKUP(E634,Modificaciones!$B$7:$AA$2400,26,0))</f>
        <v/>
      </c>
      <c r="T634" s="119" t="str">
        <f>IF(Modificaciones!AB634=0,"",VLOOKUP(E634,Modificaciones!$B$7:$AB$2400,27,0))</f>
        <v/>
      </c>
      <c r="U634" s="1080" t="str">
        <f>+Modificaciones!AC634</f>
        <v/>
      </c>
      <c r="V634" s="825" t="str">
        <f>+Modificaciones!AK634</f>
        <v/>
      </c>
      <c r="W634" s="825">
        <f t="shared" si="110"/>
        <v>43650</v>
      </c>
      <c r="X634" s="59">
        <f t="shared" si="108"/>
        <v>43000000</v>
      </c>
      <c r="Y634" s="151">
        <f>VLOOKUP(E634,Modificaciones!$B$7:$BE$2300,56,0)</f>
        <v>42701358</v>
      </c>
      <c r="Z634" s="84">
        <f t="shared" si="120"/>
        <v>298642</v>
      </c>
      <c r="AA634" s="288" t="s">
        <v>4077</v>
      </c>
      <c r="AB634" s="823">
        <f t="shared" si="121"/>
        <v>0.99305483720930232</v>
      </c>
      <c r="AC634" s="40">
        <f t="shared" ca="1" si="111"/>
        <v>1</v>
      </c>
      <c r="AD634" s="41">
        <f t="shared" ca="1" si="112"/>
        <v>6.9451627906976787E-3</v>
      </c>
      <c r="AE634" s="181" t="str">
        <f t="shared" ca="1" si="113"/>
        <v/>
      </c>
      <c r="AF634" s="42" t="str">
        <f t="shared" si="122"/>
        <v>NO</v>
      </c>
      <c r="AG634" s="1017" t="s">
        <v>4920</v>
      </c>
      <c r="AH634" s="841" t="s">
        <v>1256</v>
      </c>
      <c r="AI634" s="841" t="s">
        <v>2966</v>
      </c>
      <c r="AJ634" s="152" t="s">
        <v>1438</v>
      </c>
      <c r="AK634" s="255" t="s">
        <v>560</v>
      </c>
      <c r="AL634" s="838"/>
      <c r="AM634" s="279" t="s">
        <v>3873</v>
      </c>
      <c r="AN634" s="161" t="str">
        <f t="shared" ca="1" si="114"/>
        <v>TERMINO</v>
      </c>
      <c r="AO634" s="284" t="s">
        <v>576</v>
      </c>
      <c r="AP634" s="406" t="s">
        <v>390</v>
      </c>
      <c r="AQ634" s="819" t="str">
        <f>IFERROR(VLOOKUP(E634,'liquidaciones '!$B$2:$C$1048576,2,0),"NO")</f>
        <v>DEVUELTO</v>
      </c>
      <c r="AR634" s="909" t="str">
        <f>IFERROR(VLOOKUP(E634,'liquidaciones '!$B$2:$I$1048576,8,0),"")</f>
        <v>MARTHA SANCHEZ</v>
      </c>
      <c r="AS634" s="406"/>
      <c r="AT634" s="156" t="str">
        <f t="shared" ca="1" si="115"/>
        <v>SI</v>
      </c>
      <c r="AU634" s="939" t="s">
        <v>4209</v>
      </c>
      <c r="AV634" s="406" t="s">
        <v>3778</v>
      </c>
      <c r="AW634" s="930" t="s">
        <v>560</v>
      </c>
      <c r="AX634" s="928"/>
      <c r="AY634" s="275"/>
    </row>
    <row r="635" spans="3:51" ht="51" x14ac:dyDescent="0.3">
      <c r="C635" s="837">
        <v>3</v>
      </c>
      <c r="D635" s="837"/>
      <c r="E635" s="120" t="s">
        <v>4078</v>
      </c>
      <c r="F635" s="414" t="s">
        <v>4079</v>
      </c>
      <c r="G635" s="863" t="s">
        <v>4080</v>
      </c>
      <c r="H635" s="969" t="s">
        <v>4081</v>
      </c>
      <c r="I635" s="84">
        <v>3059584</v>
      </c>
      <c r="J635" s="843" t="s">
        <v>4084</v>
      </c>
      <c r="K635" s="269">
        <v>2018</v>
      </c>
      <c r="L635" s="519">
        <v>43288</v>
      </c>
      <c r="M635" s="519">
        <v>43277</v>
      </c>
      <c r="N635" s="519">
        <v>43459</v>
      </c>
      <c r="O635" s="1099" t="str">
        <f>IF(+Modificaciones!I635=0,"",VLOOKUP(E635,Modificaciones!$B$7:$I$2400,8,0))</f>
        <v/>
      </c>
      <c r="P635" s="115">
        <f>COUNTA(Modificaciones!J635,Modificaciones!L635,Modificaciones!N635,Modificaciones!P635)</f>
        <v>0</v>
      </c>
      <c r="Q635" s="116">
        <f>VLOOKUP(E635,Modificaciones!$B$7:$R$2300,17,0)</f>
        <v>0</v>
      </c>
      <c r="R635" s="117">
        <f>COUNTA(Modificaciones!T635,Modificaciones!V635,Modificaciones!X635,Modificaciones!Z635)</f>
        <v>1</v>
      </c>
      <c r="S635" s="118" t="str">
        <f>IF(Modificaciones!AA635=0,"",VLOOKUP(E635,Modificaciones!$B$7:$AA$2400,26,0))</f>
        <v>1 mes</v>
      </c>
      <c r="T635" s="119">
        <f>IF(Modificaciones!AB635=0,"",VLOOKUP(E635,Modificaciones!$B$7:$AB$2400,27,0))</f>
        <v>43490</v>
      </c>
      <c r="U635" s="1080" t="str">
        <f>+Modificaciones!AC635</f>
        <v/>
      </c>
      <c r="V635" s="825" t="str">
        <f>+Modificaciones!AK635</f>
        <v/>
      </c>
      <c r="W635" s="825">
        <f t="shared" si="110"/>
        <v>43490</v>
      </c>
      <c r="X635" s="59">
        <f t="shared" si="108"/>
        <v>3059584</v>
      </c>
      <c r="Y635" s="151">
        <f>VLOOKUP(E635,Modificaciones!$B$7:$BE$2300,56,0)</f>
        <v>2433883</v>
      </c>
      <c r="Z635" s="84">
        <f t="shared" si="120"/>
        <v>625701</v>
      </c>
      <c r="AA635" s="415" t="s">
        <v>2570</v>
      </c>
      <c r="AB635" s="823">
        <f t="shared" si="121"/>
        <v>0.79549474699828471</v>
      </c>
      <c r="AC635" s="40">
        <f t="shared" ca="1" si="111"/>
        <v>1</v>
      </c>
      <c r="AD635" s="41">
        <f t="shared" ca="1" si="112"/>
        <v>0.20450525300171529</v>
      </c>
      <c r="AE635" s="181" t="str">
        <f t="shared" ca="1" si="113"/>
        <v/>
      </c>
      <c r="AF635" s="42" t="str">
        <f t="shared" si="122"/>
        <v>NO</v>
      </c>
      <c r="AG635" s="1017" t="s">
        <v>4920</v>
      </c>
      <c r="AH635" s="152" t="s">
        <v>1255</v>
      </c>
      <c r="AI635" s="255" t="s">
        <v>1167</v>
      </c>
      <c r="AJ635" s="152" t="s">
        <v>1441</v>
      </c>
      <c r="AK635" s="255" t="s">
        <v>560</v>
      </c>
      <c r="AL635" s="153" t="s">
        <v>1386</v>
      </c>
      <c r="AM635" s="279" t="s">
        <v>3873</v>
      </c>
      <c r="AN635" s="161" t="str">
        <f t="shared" ca="1" si="114"/>
        <v>TERMINO</v>
      </c>
      <c r="AO635" s="160" t="s">
        <v>576</v>
      </c>
      <c r="AP635" s="406" t="s">
        <v>390</v>
      </c>
      <c r="AQ635" s="819" t="str">
        <f>IFERROR(VLOOKUP(E635,'liquidaciones '!$B$2:$C$1048576,2,0),"NO")</f>
        <v>LIQUIDADO</v>
      </c>
      <c r="AR635" s="909" t="str">
        <f>IFERROR(VLOOKUP(E635,'liquidaciones '!$B$2:$I$1048576,8,0),"")</f>
        <v>JUAN DIEGO ESPÍTIA</v>
      </c>
      <c r="AS635" s="406"/>
      <c r="AT635" s="156" t="str">
        <f t="shared" ca="1" si="115"/>
        <v>SI</v>
      </c>
      <c r="AU635" s="939" t="s">
        <v>4226</v>
      </c>
      <c r="AV635" s="406" t="s">
        <v>3815</v>
      </c>
      <c r="AW635" s="930" t="s">
        <v>560</v>
      </c>
      <c r="AX635" s="928"/>
      <c r="AY635" s="275" t="s">
        <v>4667</v>
      </c>
    </row>
    <row r="636" spans="3:51" ht="40.799999999999997" x14ac:dyDescent="0.3">
      <c r="C636" s="837">
        <v>42</v>
      </c>
      <c r="D636" s="837"/>
      <c r="E636" s="120" t="s">
        <v>4103</v>
      </c>
      <c r="F636" s="414" t="s">
        <v>4104</v>
      </c>
      <c r="G636" s="863">
        <v>900332934</v>
      </c>
      <c r="H636" s="969" t="s">
        <v>3705</v>
      </c>
      <c r="I636" s="84">
        <v>2810000</v>
      </c>
      <c r="J636" s="843" t="s">
        <v>4105</v>
      </c>
      <c r="K636" s="269">
        <v>2018</v>
      </c>
      <c r="L636" s="519">
        <v>43286</v>
      </c>
      <c r="M636" s="519">
        <v>43311</v>
      </c>
      <c r="N636" s="519">
        <v>43494</v>
      </c>
      <c r="O636" s="1099" t="str">
        <f>IF(+Modificaciones!I636=0,"",VLOOKUP(E636,Modificaciones!$B$7:$I$2400,8,0))</f>
        <v/>
      </c>
      <c r="P636" s="115">
        <f>COUNTA(Modificaciones!J636,Modificaciones!L636,Modificaciones!N636,Modificaciones!P636)</f>
        <v>0</v>
      </c>
      <c r="Q636" s="116">
        <f>VLOOKUP(E636,Modificaciones!$B$7:$R$2300,17,0)</f>
        <v>0</v>
      </c>
      <c r="R636" s="117">
        <f>COUNTA(Modificaciones!T636,Modificaciones!V636,Modificaciones!X636,Modificaciones!Z636)</f>
        <v>0</v>
      </c>
      <c r="S636" s="118" t="str">
        <f>IF(Modificaciones!AA636=0,"",VLOOKUP(E636,Modificaciones!$B$7:$AA$2400,26,0))</f>
        <v/>
      </c>
      <c r="T636" s="119" t="str">
        <f>IF(Modificaciones!AB636=0,"",VLOOKUP(E636,Modificaciones!$B$7:$AB$2400,27,0))</f>
        <v/>
      </c>
      <c r="U636" s="1080" t="str">
        <f>+Modificaciones!AC636</f>
        <v/>
      </c>
      <c r="V636" s="825" t="str">
        <f>+Modificaciones!AK636</f>
        <v/>
      </c>
      <c r="W636" s="825">
        <f t="shared" si="110"/>
        <v>43494</v>
      </c>
      <c r="X636" s="59">
        <f t="shared" si="108"/>
        <v>2810000</v>
      </c>
      <c r="Y636" s="151">
        <f>VLOOKUP(E636,Modificaciones!$B$7:$BE$2300,56,0)</f>
        <v>2430000</v>
      </c>
      <c r="Z636" s="84">
        <f t="shared" si="120"/>
        <v>380000</v>
      </c>
      <c r="AA636" s="288" t="s">
        <v>1186</v>
      </c>
      <c r="AB636" s="823">
        <f t="shared" si="121"/>
        <v>0.86476868327402134</v>
      </c>
      <c r="AC636" s="40">
        <f t="shared" ca="1" si="111"/>
        <v>1</v>
      </c>
      <c r="AD636" s="41">
        <f t="shared" ca="1" si="112"/>
        <v>0.13523131672597866</v>
      </c>
      <c r="AE636" s="181" t="str">
        <f t="shared" ca="1" si="113"/>
        <v/>
      </c>
      <c r="AF636" s="42" t="str">
        <f t="shared" si="122"/>
        <v>NO</v>
      </c>
      <c r="AG636" s="838"/>
      <c r="AH636" s="152" t="s">
        <v>1255</v>
      </c>
      <c r="AI636" s="255" t="s">
        <v>1135</v>
      </c>
      <c r="AJ636" s="152" t="s">
        <v>1441</v>
      </c>
      <c r="AK636" s="255" t="s">
        <v>560</v>
      </c>
      <c r="AL636" s="153" t="s">
        <v>3597</v>
      </c>
      <c r="AM636" s="279" t="s">
        <v>3873</v>
      </c>
      <c r="AN636" s="161" t="str">
        <f t="shared" ca="1" si="114"/>
        <v>TERMINO</v>
      </c>
      <c r="AO636" s="160" t="s">
        <v>576</v>
      </c>
      <c r="AP636" s="406" t="s">
        <v>390</v>
      </c>
      <c r="AQ636" s="819" t="str">
        <f>IFERROR(VLOOKUP(E636,'liquidaciones '!$B$2:$C$1048576,2,0),"NO")</f>
        <v>LIQUIDADO</v>
      </c>
      <c r="AR636" s="909" t="str">
        <f>IFERROR(VLOOKUP(E636,'liquidaciones '!$B$2:$I$1048576,8,0),"")</f>
        <v>JUAN DIEGO ESPITIA</v>
      </c>
      <c r="AS636" s="406"/>
      <c r="AT636" s="156" t="str">
        <f t="shared" ca="1" si="115"/>
        <v>SI</v>
      </c>
      <c r="AU636" s="156" t="s">
        <v>1509</v>
      </c>
      <c r="AV636" s="406" t="s">
        <v>1378</v>
      </c>
      <c r="AW636" s="930" t="s">
        <v>560</v>
      </c>
      <c r="AX636" s="928"/>
      <c r="AY636" s="275" t="s">
        <v>4663</v>
      </c>
    </row>
    <row r="637" spans="3:51" ht="28.8" x14ac:dyDescent="0.3">
      <c r="C637" s="837"/>
      <c r="D637" s="837"/>
      <c r="E637" s="120" t="s">
        <v>4106</v>
      </c>
      <c r="F637" s="414" t="s">
        <v>4108</v>
      </c>
      <c r="G637" s="863">
        <v>79667596</v>
      </c>
      <c r="H637" s="969" t="s">
        <v>4107</v>
      </c>
      <c r="I637" s="84">
        <v>55138787</v>
      </c>
      <c r="J637" s="843" t="s">
        <v>4109</v>
      </c>
      <c r="K637" s="269">
        <v>2018</v>
      </c>
      <c r="L637" s="519">
        <v>43293</v>
      </c>
      <c r="M637" s="519">
        <v>43306</v>
      </c>
      <c r="N637" s="519">
        <v>43367</v>
      </c>
      <c r="O637" s="1099" t="str">
        <f>IF(+Modificaciones!I637=0,"",VLOOKUP(E637,Modificaciones!$B$7:$I$2400,8,0))</f>
        <v/>
      </c>
      <c r="P637" s="115">
        <f>COUNTA(Modificaciones!J637,Modificaciones!L637,Modificaciones!N637,Modificaciones!P637)</f>
        <v>1</v>
      </c>
      <c r="Q637" s="116">
        <f>VLOOKUP(E637,Modificaciones!$B$7:$R$2300,17,0)</f>
        <v>5125473</v>
      </c>
      <c r="R637" s="117">
        <f>COUNTA(Modificaciones!T637,Modificaciones!V637,Modificaciones!X637,Modificaciones!Z637)</f>
        <v>2</v>
      </c>
      <c r="S637" s="118" t="str">
        <f>IF(Modificaciones!AA637=0,"",VLOOKUP(E637,Modificaciones!$B$7:$AA$2400,26,0))</f>
        <v>30 días calendario</v>
      </c>
      <c r="T637" s="119">
        <f>IF(Modificaciones!AB637=0,"",VLOOKUP(E637,Modificaciones!$B$7:$AB$2400,27,0))</f>
        <v>43398</v>
      </c>
      <c r="U637" s="1080" t="str">
        <f>+Modificaciones!AC637</f>
        <v/>
      </c>
      <c r="V637" s="825" t="str">
        <f>+Modificaciones!AK637</f>
        <v/>
      </c>
      <c r="W637" s="825">
        <f t="shared" si="110"/>
        <v>43398</v>
      </c>
      <c r="X637" s="59">
        <f t="shared" si="108"/>
        <v>60264260</v>
      </c>
      <c r="Y637" s="151">
        <f>VLOOKUP(E637,Modificaciones!$B$7:$BE$2300,56,0)</f>
        <v>60179424</v>
      </c>
      <c r="Z637" s="84">
        <f t="shared" si="120"/>
        <v>84836</v>
      </c>
      <c r="AA637" s="283" t="s">
        <v>1894</v>
      </c>
      <c r="AB637" s="823">
        <f t="shared" si="121"/>
        <v>0.99859226679295487</v>
      </c>
      <c r="AC637" s="40">
        <f t="shared" ca="1" si="111"/>
        <v>1</v>
      </c>
      <c r="AD637" s="41">
        <f t="shared" ca="1" si="112"/>
        <v>1.4077332070451254E-3</v>
      </c>
      <c r="AE637" s="181" t="str">
        <f t="shared" ca="1" si="113"/>
        <v/>
      </c>
      <c r="AF637" s="42" t="str">
        <f t="shared" si="122"/>
        <v>NO</v>
      </c>
      <c r="AG637" s="838" t="s">
        <v>1711</v>
      </c>
      <c r="AH637" s="841" t="s">
        <v>1255</v>
      </c>
      <c r="AI637" s="841" t="s">
        <v>2403</v>
      </c>
      <c r="AJ637" s="152" t="s">
        <v>1441</v>
      </c>
      <c r="AK637" s="255" t="s">
        <v>559</v>
      </c>
      <c r="AL637" s="838" t="s">
        <v>3597</v>
      </c>
      <c r="AM637" s="279" t="s">
        <v>4025</v>
      </c>
      <c r="AN637" s="161" t="str">
        <f t="shared" ca="1" si="114"/>
        <v>TERMINO</v>
      </c>
      <c r="AO637" s="160" t="s">
        <v>576</v>
      </c>
      <c r="AP637" s="406" t="s">
        <v>391</v>
      </c>
      <c r="AQ637" s="819" t="str">
        <f>IFERROR(VLOOKUP(E637,'liquidaciones '!$B$2:$C$1048576,2,0),"NO")</f>
        <v>LIQUIDADO</v>
      </c>
      <c r="AR637" s="909" t="str">
        <f>IFERROR(VLOOKUP(E637,'liquidaciones '!$B$2:$I$1048576,8,0),"")</f>
        <v>JUAN DIEGO ESPÍTIA</v>
      </c>
      <c r="AS637" s="406"/>
      <c r="AT637" s="156" t="str">
        <f t="shared" ca="1" si="115"/>
        <v>SI</v>
      </c>
      <c r="AU637" s="973" t="s">
        <v>4244</v>
      </c>
      <c r="AV637" s="406" t="s">
        <v>3774</v>
      </c>
      <c r="AW637" s="930" t="s">
        <v>559</v>
      </c>
      <c r="AX637" s="928"/>
      <c r="AY637" s="275"/>
    </row>
    <row r="638" spans="3:51" ht="48.75" customHeight="1" x14ac:dyDescent="0.3">
      <c r="C638" s="837"/>
      <c r="D638" s="837"/>
      <c r="E638" s="120" t="s">
        <v>4110</v>
      </c>
      <c r="F638" s="414" t="s">
        <v>4111</v>
      </c>
      <c r="G638" s="863">
        <v>860403052</v>
      </c>
      <c r="H638" s="969" t="s">
        <v>4112</v>
      </c>
      <c r="I638" s="84">
        <v>32450000</v>
      </c>
      <c r="J638" s="843" t="s">
        <v>4113</v>
      </c>
      <c r="K638" s="269">
        <v>2018</v>
      </c>
      <c r="L638" s="519">
        <v>43299</v>
      </c>
      <c r="M638" s="519">
        <v>43308</v>
      </c>
      <c r="N638" s="519">
        <v>43399</v>
      </c>
      <c r="O638" s="1099" t="str">
        <f>IF(+Modificaciones!I638=0,"",VLOOKUP(E638,Modificaciones!$B$7:$I$2400,8,0))</f>
        <v/>
      </c>
      <c r="P638" s="115">
        <f>COUNTA(Modificaciones!J638,Modificaciones!L638,Modificaciones!N638,Modificaciones!P638)</f>
        <v>0</v>
      </c>
      <c r="Q638" s="116">
        <f>VLOOKUP(E638,Modificaciones!$B$7:$R$2300,17,0)</f>
        <v>0</v>
      </c>
      <c r="R638" s="117">
        <f>COUNTA(Modificaciones!T638,Modificaciones!V638,Modificaciones!X638,Modificaciones!Z638)</f>
        <v>1</v>
      </c>
      <c r="S638" s="118" t="str">
        <f>IF(Modificaciones!AA638=0,"",VLOOKUP(E638,Modificaciones!$B$7:$AA$2400,26,0))</f>
        <v>4 meses y 11 días</v>
      </c>
      <c r="T638" s="119">
        <f>IF(Modificaciones!AB638=0,"",VLOOKUP(E638,Modificaciones!$B$7:$AB$2400,27,0))</f>
        <v>43441</v>
      </c>
      <c r="U638" s="1080" t="str">
        <f>+Modificaciones!AC638</f>
        <v/>
      </c>
      <c r="V638" s="825" t="str">
        <f>+Modificaciones!AK638</f>
        <v/>
      </c>
      <c r="W638" s="825">
        <f t="shared" si="110"/>
        <v>43441</v>
      </c>
      <c r="X638" s="59">
        <f t="shared" si="108"/>
        <v>32450000</v>
      </c>
      <c r="Y638" s="151">
        <f>VLOOKUP(E638,Modificaciones!$B$7:$BE$2300,56,0)</f>
        <v>32450000</v>
      </c>
      <c r="Z638" s="84">
        <f t="shared" si="120"/>
        <v>0</v>
      </c>
      <c r="AA638" s="287" t="s">
        <v>4114</v>
      </c>
      <c r="AB638" s="823">
        <f t="shared" si="121"/>
        <v>1</v>
      </c>
      <c r="AC638" s="40">
        <f t="shared" ca="1" si="111"/>
        <v>1</v>
      </c>
      <c r="AD638" s="41">
        <f t="shared" ca="1" si="112"/>
        <v>0</v>
      </c>
      <c r="AE638" s="181" t="str">
        <f t="shared" ca="1" si="113"/>
        <v/>
      </c>
      <c r="AF638" s="42" t="str">
        <f t="shared" si="122"/>
        <v>SI</v>
      </c>
      <c r="AG638" s="838" t="s">
        <v>4116</v>
      </c>
      <c r="AH638" s="841" t="s">
        <v>1255</v>
      </c>
      <c r="AI638" s="841" t="s">
        <v>4115</v>
      </c>
      <c r="AJ638" s="152" t="s">
        <v>1438</v>
      </c>
      <c r="AK638" s="255" t="s">
        <v>560</v>
      </c>
      <c r="AL638" s="838" t="s">
        <v>1508</v>
      </c>
      <c r="AM638" s="279" t="s">
        <v>3873</v>
      </c>
      <c r="AN638" s="161" t="str">
        <f t="shared" ca="1" si="114"/>
        <v>TERMINO</v>
      </c>
      <c r="AO638" s="160" t="s">
        <v>576</v>
      </c>
      <c r="AP638" s="406" t="s">
        <v>390</v>
      </c>
      <c r="AQ638" s="819" t="str">
        <f>IFERROR(VLOOKUP(E638,'liquidaciones '!$B$2:$C$1048576,2,0),"NO")</f>
        <v>LIQUIDADO</v>
      </c>
      <c r="AR638" s="909" t="str">
        <f>IFERROR(VLOOKUP(E638,'liquidaciones '!$B$2:$I$1048576,8,0),"")</f>
        <v>JUAN DIEGO ESPITIA</v>
      </c>
      <c r="AS638" s="406"/>
      <c r="AT638" s="156" t="str">
        <f t="shared" ca="1" si="115"/>
        <v>SI</v>
      </c>
      <c r="AU638" s="939" t="s">
        <v>4209</v>
      </c>
      <c r="AV638" s="406" t="s">
        <v>3778</v>
      </c>
      <c r="AW638" s="930" t="s">
        <v>560</v>
      </c>
      <c r="AX638" s="928"/>
      <c r="AY638" s="275"/>
    </row>
    <row r="639" spans="3:51" ht="30.6" x14ac:dyDescent="0.3">
      <c r="C639" s="837"/>
      <c r="D639" s="837"/>
      <c r="E639" s="120" t="s">
        <v>4117</v>
      </c>
      <c r="F639" s="414" t="s">
        <v>4118</v>
      </c>
      <c r="G639" s="863">
        <v>52911222</v>
      </c>
      <c r="H639" s="967" t="s">
        <v>2884</v>
      </c>
      <c r="I639" s="84">
        <v>41097000</v>
      </c>
      <c r="J639" s="843" t="s">
        <v>4117</v>
      </c>
      <c r="K639" s="269">
        <v>2018</v>
      </c>
      <c r="L639" s="519">
        <v>43280</v>
      </c>
      <c r="M639" s="519">
        <v>43287</v>
      </c>
      <c r="N639" s="519">
        <v>43496</v>
      </c>
      <c r="O639" s="1099" t="str">
        <f>IF(+Modificaciones!I639=0,"",VLOOKUP(E639,Modificaciones!$B$7:$I$2400,8,0))</f>
        <v/>
      </c>
      <c r="P639" s="115">
        <f>COUNTA(Modificaciones!J639,Modificaciones!L639,Modificaciones!N639,Modificaciones!P639)</f>
        <v>0</v>
      </c>
      <c r="Q639" s="116">
        <f>VLOOKUP(E639,Modificaciones!$B$7:$R$2300,17,0)</f>
        <v>0</v>
      </c>
      <c r="R639" s="117">
        <f>COUNTA(Modificaciones!T639,Modificaciones!V639,Modificaciones!X639,Modificaciones!Z639)</f>
        <v>0</v>
      </c>
      <c r="S639" s="118" t="str">
        <f>IF(Modificaciones!AA639=0,"",VLOOKUP(E639,Modificaciones!$B$7:$AA$2400,26,0))</f>
        <v/>
      </c>
      <c r="T639" s="119" t="str">
        <f>IF(Modificaciones!AB639=0,"",VLOOKUP(E639,Modificaciones!$B$7:$AB$2400,27,0))</f>
        <v/>
      </c>
      <c r="U639" s="1080" t="str">
        <f>+Modificaciones!AC639</f>
        <v/>
      </c>
      <c r="V639" s="825" t="str">
        <f>+Modificaciones!AK639</f>
        <v/>
      </c>
      <c r="W639" s="825">
        <f t="shared" si="110"/>
        <v>43496</v>
      </c>
      <c r="X639" s="59">
        <f t="shared" si="108"/>
        <v>41097000</v>
      </c>
      <c r="Y639" s="151">
        <f>VLOOKUP(E639,Modificaciones!$B$7:$BE$2300,56,0)</f>
        <v>40118500</v>
      </c>
      <c r="Z639" s="84">
        <f t="shared" si="120"/>
        <v>978500</v>
      </c>
      <c r="AA639" s="283" t="s">
        <v>1094</v>
      </c>
      <c r="AB639" s="823">
        <f t="shared" si="121"/>
        <v>0.97619047619047616</v>
      </c>
      <c r="AC639" s="40">
        <f t="shared" ca="1" si="111"/>
        <v>1</v>
      </c>
      <c r="AD639" s="41">
        <f t="shared" ca="1" si="112"/>
        <v>2.3809523809523836E-2</v>
      </c>
      <c r="AE639" s="181" t="str">
        <f t="shared" ca="1" si="113"/>
        <v/>
      </c>
      <c r="AF639" s="42" t="str">
        <f t="shared" si="122"/>
        <v>NO</v>
      </c>
      <c r="AG639" s="732" t="s">
        <v>5773</v>
      </c>
      <c r="AH639" s="152" t="s">
        <v>1255</v>
      </c>
      <c r="AI639" s="152" t="s">
        <v>2494</v>
      </c>
      <c r="AJ639" s="152" t="s">
        <v>1429</v>
      </c>
      <c r="AK639" s="255" t="s">
        <v>564</v>
      </c>
      <c r="AL639" s="279"/>
      <c r="AM639" s="279" t="s">
        <v>3798</v>
      </c>
      <c r="AN639" s="161" t="str">
        <f t="shared" ca="1" si="114"/>
        <v>TERMINO</v>
      </c>
      <c r="AO639" s="284" t="s">
        <v>582</v>
      </c>
      <c r="AP639" s="155" t="s">
        <v>391</v>
      </c>
      <c r="AQ639" s="819" t="str">
        <f>IFERROR(VLOOKUP(E639,'liquidaciones '!$B$2:$C$1048576,2,0),"NO")</f>
        <v>LIQUIDADO</v>
      </c>
      <c r="AR639" s="909" t="str">
        <f>IFERROR(VLOOKUP(E639,'liquidaciones '!$B$2:$I$1048576,8,0),"")</f>
        <v>JUAN DIEGO ESPÍTIA</v>
      </c>
      <c r="AS639" s="406"/>
      <c r="AT639" s="156" t="str">
        <f t="shared" ca="1" si="115"/>
        <v>SI</v>
      </c>
      <c r="AU639" s="406" t="s">
        <v>4225</v>
      </c>
      <c r="AV639" s="406"/>
      <c r="AW639" s="930" t="s">
        <v>564</v>
      </c>
      <c r="AX639" s="928"/>
      <c r="AY639" s="275"/>
    </row>
    <row r="640" spans="3:51" ht="30.6" x14ac:dyDescent="0.3">
      <c r="C640" s="837">
        <v>154</v>
      </c>
      <c r="D640" s="837"/>
      <c r="E640" s="120" t="s">
        <v>4120</v>
      </c>
      <c r="F640" s="414" t="s">
        <v>1337</v>
      </c>
      <c r="G640" s="873" t="s">
        <v>2719</v>
      </c>
      <c r="H640" s="967" t="s">
        <v>3695</v>
      </c>
      <c r="I640" s="84">
        <v>88608961</v>
      </c>
      <c r="J640" s="843" t="s">
        <v>4120</v>
      </c>
      <c r="K640" s="269">
        <v>2018</v>
      </c>
      <c r="L640" s="519">
        <v>43280</v>
      </c>
      <c r="M640" s="519">
        <v>43295</v>
      </c>
      <c r="N640" s="519">
        <v>43537</v>
      </c>
      <c r="O640" s="1099" t="str">
        <f>IF(+Modificaciones!I640=0,"",VLOOKUP(E640,Modificaciones!$B$7:$I$2400,8,0))</f>
        <v/>
      </c>
      <c r="P640" s="115">
        <f>COUNTA(Modificaciones!J640,Modificaciones!L640,Modificaciones!N640,Modificaciones!P640)</f>
        <v>0</v>
      </c>
      <c r="Q640" s="116">
        <f>VLOOKUP(E640,Modificaciones!$B$7:$R$2300,17,0)</f>
        <v>0</v>
      </c>
      <c r="R640" s="117">
        <f>COUNTA(Modificaciones!T640,Modificaciones!V640,Modificaciones!X640,Modificaciones!Z640)</f>
        <v>0</v>
      </c>
      <c r="S640" s="118" t="str">
        <f>IF(Modificaciones!AA640=0,"",VLOOKUP(E640,Modificaciones!$B$7:$AA$2400,26,0))</f>
        <v/>
      </c>
      <c r="T640" s="119" t="str">
        <f>IF(Modificaciones!AB640=0,"",VLOOKUP(E640,Modificaciones!$B$7:$AB$2400,27,0))</f>
        <v/>
      </c>
      <c r="U640" s="1080" t="str">
        <f>+Modificaciones!AC640</f>
        <v/>
      </c>
      <c r="V640" s="825" t="str">
        <f>+Modificaciones!AK640</f>
        <v/>
      </c>
      <c r="W640" s="825">
        <f t="shared" si="110"/>
        <v>43537</v>
      </c>
      <c r="X640" s="59">
        <f t="shared" si="108"/>
        <v>88608961</v>
      </c>
      <c r="Y640" s="151">
        <f>VLOOKUP(E640,Modificaciones!$B$7:$BE$2300,56,0)</f>
        <v>88608957</v>
      </c>
      <c r="Z640" s="84">
        <f t="shared" si="120"/>
        <v>4</v>
      </c>
      <c r="AA640" s="283" t="s">
        <v>2837</v>
      </c>
      <c r="AB640" s="823">
        <f t="shared" si="121"/>
        <v>0.99999995485783877</v>
      </c>
      <c r="AC640" s="40">
        <f t="shared" ca="1" si="111"/>
        <v>1</v>
      </c>
      <c r="AD640" s="41">
        <f t="shared" ca="1" si="112"/>
        <v>4.5142161231304101E-8</v>
      </c>
      <c r="AE640" s="181" t="str">
        <f t="shared" ca="1" si="113"/>
        <v/>
      </c>
      <c r="AF640" s="42" t="str">
        <f t="shared" si="122"/>
        <v>SI</v>
      </c>
      <c r="AG640" s="1017" t="s">
        <v>4920</v>
      </c>
      <c r="AH640" s="152" t="s">
        <v>1256</v>
      </c>
      <c r="AI640" s="255" t="s">
        <v>1605</v>
      </c>
      <c r="AJ640" s="152" t="s">
        <v>1438</v>
      </c>
      <c r="AK640" s="255" t="s">
        <v>560</v>
      </c>
      <c r="AL640" s="279" t="s">
        <v>1508</v>
      </c>
      <c r="AM640" s="279" t="s">
        <v>3873</v>
      </c>
      <c r="AN640" s="161" t="str">
        <f t="shared" ca="1" si="114"/>
        <v>TERMINO</v>
      </c>
      <c r="AO640" s="284" t="s">
        <v>582</v>
      </c>
      <c r="AP640" s="155" t="s">
        <v>390</v>
      </c>
      <c r="AQ640" s="819" t="str">
        <f>IFERROR(VLOOKUP(E640,'liquidaciones '!$B$2:$C$1048576,2,0),"NO")</f>
        <v>LIQUIDADO</v>
      </c>
      <c r="AR640" s="909" t="str">
        <f>IFERROR(VLOOKUP(E640,'liquidaciones '!$B$2:$I$1048576,8,0),"")</f>
        <v>JUAN DIEGO ESPÍTIA</v>
      </c>
      <c r="AS640" s="406"/>
      <c r="AT640" s="156" t="str">
        <f t="shared" ca="1" si="115"/>
        <v>SI</v>
      </c>
      <c r="AU640" s="939" t="s">
        <v>4209</v>
      </c>
      <c r="AV640" s="406" t="s">
        <v>3778</v>
      </c>
      <c r="AW640" s="930" t="s">
        <v>560</v>
      </c>
      <c r="AX640" s="928"/>
      <c r="AY640" s="275"/>
    </row>
    <row r="641" spans="3:51" ht="81.599999999999994" x14ac:dyDescent="0.3">
      <c r="C641" s="837"/>
      <c r="D641" s="837"/>
      <c r="E641" s="120" t="s">
        <v>4122</v>
      </c>
      <c r="F641" s="414" t="s">
        <v>4123</v>
      </c>
      <c r="G641" s="863">
        <v>900254691</v>
      </c>
      <c r="H641" s="969" t="s">
        <v>4124</v>
      </c>
      <c r="I641" s="84">
        <v>135000000</v>
      </c>
      <c r="J641" s="843" t="s">
        <v>4127</v>
      </c>
      <c r="K641" s="269">
        <v>2018</v>
      </c>
      <c r="L641" s="519">
        <v>43254</v>
      </c>
      <c r="M641" s="519">
        <v>43297</v>
      </c>
      <c r="N641" s="519">
        <v>43419</v>
      </c>
      <c r="O641" s="1099" t="str">
        <f>IF(+Modificaciones!I641=0,"",VLOOKUP(E641,Modificaciones!$B$7:$I$2400,8,0))</f>
        <v/>
      </c>
      <c r="P641" s="115">
        <f>COUNTA(Modificaciones!J641,Modificaciones!L641,Modificaciones!N641,Modificaciones!P641)</f>
        <v>0</v>
      </c>
      <c r="Q641" s="116">
        <f>VLOOKUP(E641,Modificaciones!$B$7:$R$2300,17,0)</f>
        <v>0</v>
      </c>
      <c r="R641" s="117">
        <f>COUNTA(Modificaciones!T641,Modificaciones!V641,Modificaciones!X641,Modificaciones!Z641)</f>
        <v>0</v>
      </c>
      <c r="S641" s="118" t="str">
        <f>IF(Modificaciones!AA641=0,"",VLOOKUP(E641,Modificaciones!$B$7:$AA$2400,26,0))</f>
        <v/>
      </c>
      <c r="T641" s="119" t="str">
        <f>IF(Modificaciones!AB641=0,"",VLOOKUP(E641,Modificaciones!$B$7:$AB$2400,27,0))</f>
        <v/>
      </c>
      <c r="U641" s="1080" t="str">
        <f>+Modificaciones!AC641</f>
        <v/>
      </c>
      <c r="V641" s="825" t="str">
        <f>+Modificaciones!AK641</f>
        <v/>
      </c>
      <c r="W641" s="825">
        <f t="shared" si="110"/>
        <v>43419</v>
      </c>
      <c r="X641" s="59">
        <f t="shared" si="108"/>
        <v>135000000</v>
      </c>
      <c r="Y641" s="151">
        <f>VLOOKUP(E641,Modificaciones!$B$7:$BE$2300,56,0)</f>
        <v>135000000</v>
      </c>
      <c r="Z641" s="84">
        <f t="shared" si="120"/>
        <v>0</v>
      </c>
      <c r="AA641" s="288" t="s">
        <v>4125</v>
      </c>
      <c r="AB641" s="823">
        <f t="shared" si="121"/>
        <v>1</v>
      </c>
      <c r="AC641" s="40">
        <f t="shared" ca="1" si="111"/>
        <v>1</v>
      </c>
      <c r="AD641" s="41">
        <f t="shared" ca="1" si="112"/>
        <v>0</v>
      </c>
      <c r="AE641" s="181" t="str">
        <f t="shared" ca="1" si="113"/>
        <v/>
      </c>
      <c r="AF641" s="42" t="str">
        <f t="shared" si="122"/>
        <v>SI</v>
      </c>
      <c r="AG641" s="838" t="s">
        <v>1711</v>
      </c>
      <c r="AH641" s="841" t="s">
        <v>1256</v>
      </c>
      <c r="AI641" s="841" t="s">
        <v>4126</v>
      </c>
      <c r="AJ641" s="152" t="s">
        <v>1438</v>
      </c>
      <c r="AK641" s="255" t="s">
        <v>560</v>
      </c>
      <c r="AL641" s="279" t="s">
        <v>1508</v>
      </c>
      <c r="AM641" s="279" t="s">
        <v>3873</v>
      </c>
      <c r="AN641" s="161" t="str">
        <f t="shared" ca="1" si="114"/>
        <v>TERMINO</v>
      </c>
      <c r="AO641" s="284" t="s">
        <v>575</v>
      </c>
      <c r="AP641" s="406" t="s">
        <v>391</v>
      </c>
      <c r="AQ641" s="819" t="str">
        <f>IFERROR(VLOOKUP(E641,'liquidaciones '!$B$2:$C$1048576,2,0),"NO")</f>
        <v>LIQUIDADO</v>
      </c>
      <c r="AR641" s="909" t="str">
        <f>IFERROR(VLOOKUP(E641,'liquidaciones '!$B$2:$I$1048576,8,0),"")</f>
        <v>JUAN DIEGO ESPÍTIA</v>
      </c>
      <c r="AS641" s="406"/>
      <c r="AT641" s="156" t="str">
        <f t="shared" ca="1" si="115"/>
        <v>SI</v>
      </c>
      <c r="AU641" s="939" t="s">
        <v>4209</v>
      </c>
      <c r="AV641" s="406" t="s">
        <v>3778</v>
      </c>
      <c r="AW641" s="930" t="s">
        <v>560</v>
      </c>
      <c r="AX641" s="928"/>
      <c r="AY641" s="275"/>
    </row>
    <row r="642" spans="3:51" ht="40.799999999999997" x14ac:dyDescent="0.3">
      <c r="C642" s="837"/>
      <c r="D642" s="837"/>
      <c r="E642" s="120" t="s">
        <v>4136</v>
      </c>
      <c r="F642" s="414" t="s">
        <v>2910</v>
      </c>
      <c r="G642" s="873">
        <v>41690000</v>
      </c>
      <c r="H642" s="967" t="s">
        <v>2911</v>
      </c>
      <c r="I642" s="84">
        <v>27120000</v>
      </c>
      <c r="J642" s="974" t="s">
        <v>4167</v>
      </c>
      <c r="K642" s="269">
        <v>2018</v>
      </c>
      <c r="L642" s="519">
        <v>43307</v>
      </c>
      <c r="M642" s="519">
        <v>43313</v>
      </c>
      <c r="N642" s="519">
        <v>43496</v>
      </c>
      <c r="O642" s="1099" t="str">
        <f>IF(+Modificaciones!I642=0,"",VLOOKUP(E642,Modificaciones!$B$7:$I$2400,8,0))</f>
        <v/>
      </c>
      <c r="P642" s="115">
        <f>COUNTA(Modificaciones!J642,Modificaciones!L642,Modificaciones!N642,Modificaciones!P642)</f>
        <v>1</v>
      </c>
      <c r="Q642" s="116">
        <f>VLOOKUP(E642,Modificaciones!$B$7:$R$2300,17,0)</f>
        <v>13560000</v>
      </c>
      <c r="R642" s="117">
        <f>COUNTA(Modificaciones!T642,Modificaciones!V642,Modificaciones!X642,Modificaciones!Z642)</f>
        <v>1</v>
      </c>
      <c r="S642" s="118" t="str">
        <f>IF(Modificaciones!AA642=0,"",VLOOKUP(E642,Modificaciones!$B$7:$AA$2400,26,0))</f>
        <v>3 meses</v>
      </c>
      <c r="T642" s="119">
        <f>IF(Modificaciones!AB642=0,"",VLOOKUP(E642,Modificaciones!$B$7:$AB$2400,27,0))</f>
        <v>43585</v>
      </c>
      <c r="U642" s="1080" t="str">
        <f>+Modificaciones!AC642</f>
        <v/>
      </c>
      <c r="V642" s="825" t="str">
        <f>+Modificaciones!AK642</f>
        <v/>
      </c>
      <c r="W642" s="825">
        <f t="shared" si="110"/>
        <v>43585</v>
      </c>
      <c r="X642" s="59">
        <f t="shared" si="108"/>
        <v>40680000</v>
      </c>
      <c r="Y642" s="151">
        <f>VLOOKUP(E642,Modificaciones!$B$7:$BE$2300,56,0)</f>
        <v>40680000</v>
      </c>
      <c r="Z642" s="84">
        <f t="shared" si="120"/>
        <v>0</v>
      </c>
      <c r="AA642" s="283" t="s">
        <v>1094</v>
      </c>
      <c r="AB642" s="823">
        <f t="shared" si="121"/>
        <v>1</v>
      </c>
      <c r="AC642" s="40">
        <f t="shared" ca="1" si="111"/>
        <v>1</v>
      </c>
      <c r="AD642" s="41">
        <f t="shared" ca="1" si="112"/>
        <v>0</v>
      </c>
      <c r="AE642" s="181" t="str">
        <f t="shared" ca="1" si="113"/>
        <v/>
      </c>
      <c r="AF642" s="42" t="str">
        <f t="shared" si="122"/>
        <v>SI</v>
      </c>
      <c r="AG642" s="732" t="s">
        <v>5773</v>
      </c>
      <c r="AH642" s="152" t="s">
        <v>1255</v>
      </c>
      <c r="AI642" s="152" t="s">
        <v>4911</v>
      </c>
      <c r="AJ642" s="152" t="s">
        <v>1439</v>
      </c>
      <c r="AK642" s="255" t="s">
        <v>562</v>
      </c>
      <c r="AL642" s="838"/>
      <c r="AM642" s="279" t="s">
        <v>3984</v>
      </c>
      <c r="AN642" s="161" t="str">
        <f t="shared" ca="1" si="114"/>
        <v>TERMINO</v>
      </c>
      <c r="AO642" s="160" t="s">
        <v>582</v>
      </c>
      <c r="AP642" s="406" t="s">
        <v>391</v>
      </c>
      <c r="AQ642" s="819" t="str">
        <f>IFERROR(VLOOKUP(E642,'liquidaciones '!$B$2:$C$1048576,2,0),"NO")</f>
        <v>LIQUIDADO</v>
      </c>
      <c r="AR642" s="909" t="str">
        <f>IFERROR(VLOOKUP(E642,'liquidaciones '!$B$2:$I$1048576,8,0),"")</f>
        <v>GABINO HERNANDEZ</v>
      </c>
      <c r="AS642" s="406"/>
      <c r="AT642" s="156" t="str">
        <f t="shared" ca="1" si="115"/>
        <v>SI</v>
      </c>
      <c r="AU642" s="156" t="s">
        <v>4245</v>
      </c>
      <c r="AV642" s="406"/>
      <c r="AW642" s="930" t="s">
        <v>3985</v>
      </c>
      <c r="AX642" s="928"/>
      <c r="AY642" s="275" t="s">
        <v>4867</v>
      </c>
    </row>
    <row r="643" spans="3:51" ht="40.799999999999997" x14ac:dyDescent="0.3">
      <c r="C643" s="837">
        <v>73</v>
      </c>
      <c r="D643" s="837"/>
      <c r="E643" s="120" t="s">
        <v>4138</v>
      </c>
      <c r="F643" s="414" t="s">
        <v>4139</v>
      </c>
      <c r="G643" s="863">
        <v>1032424231</v>
      </c>
      <c r="H643" s="967" t="s">
        <v>2487</v>
      </c>
      <c r="I643" s="84">
        <v>32814000</v>
      </c>
      <c r="J643" s="833" t="s">
        <v>4169</v>
      </c>
      <c r="K643" s="269">
        <v>2018</v>
      </c>
      <c r="L643" s="519">
        <v>43311</v>
      </c>
      <c r="M643" s="519">
        <v>43313</v>
      </c>
      <c r="N643" s="519">
        <v>43496</v>
      </c>
      <c r="O643" s="1099" t="str">
        <f>IF(+Modificaciones!I643=0,"",VLOOKUP(E643,Modificaciones!$B$7:$I$2400,8,0))</f>
        <v/>
      </c>
      <c r="P643" s="115">
        <f>COUNTA(Modificaciones!J643,Modificaciones!L643,Modificaciones!N643,Modificaciones!P643)</f>
        <v>0</v>
      </c>
      <c r="Q643" s="116">
        <f>VLOOKUP(E643,Modificaciones!$B$7:$R$2300,17,0)</f>
        <v>0</v>
      </c>
      <c r="R643" s="117">
        <f>COUNTA(Modificaciones!T643,Modificaciones!V643,Modificaciones!X643,Modificaciones!Z643)</f>
        <v>0</v>
      </c>
      <c r="S643" s="118" t="str">
        <f>IF(Modificaciones!AA643=0,"",VLOOKUP(E643,Modificaciones!$B$7:$AA$2400,26,0))</f>
        <v/>
      </c>
      <c r="T643" s="119" t="str">
        <f>IF(Modificaciones!AB643=0,"",VLOOKUP(E643,Modificaciones!$B$7:$AB$2400,27,0))</f>
        <v/>
      </c>
      <c r="U643" s="1080" t="str">
        <f>+Modificaciones!AC643</f>
        <v/>
      </c>
      <c r="V643" s="825" t="str">
        <f>+Modificaciones!AK643</f>
        <v/>
      </c>
      <c r="W643" s="825">
        <f t="shared" si="110"/>
        <v>43496</v>
      </c>
      <c r="X643" s="59">
        <f t="shared" si="108"/>
        <v>32814000</v>
      </c>
      <c r="Y643" s="151">
        <f>VLOOKUP(E643,Modificaciones!$B$7:$BE$2300,56,0)</f>
        <v>32814000</v>
      </c>
      <c r="Z643" s="84">
        <f t="shared" si="120"/>
        <v>0</v>
      </c>
      <c r="AA643" s="283" t="s">
        <v>1094</v>
      </c>
      <c r="AB643" s="823">
        <f t="shared" si="121"/>
        <v>1</v>
      </c>
      <c r="AC643" s="40">
        <f t="shared" ca="1" si="111"/>
        <v>1</v>
      </c>
      <c r="AD643" s="41">
        <f t="shared" ca="1" si="112"/>
        <v>0</v>
      </c>
      <c r="AE643" s="181" t="str">
        <f t="shared" ca="1" si="113"/>
        <v/>
      </c>
      <c r="AF643" s="42" t="str">
        <f t="shared" si="122"/>
        <v>SI</v>
      </c>
      <c r="AG643" s="732" t="s">
        <v>5773</v>
      </c>
      <c r="AH643" s="152" t="s">
        <v>1255</v>
      </c>
      <c r="AI643" s="152" t="s">
        <v>2488</v>
      </c>
      <c r="AJ643" s="152" t="s">
        <v>1429</v>
      </c>
      <c r="AK643" s="255" t="s">
        <v>564</v>
      </c>
      <c r="AL643" s="279"/>
      <c r="AM643" s="279" t="s">
        <v>3798</v>
      </c>
      <c r="AN643" s="161" t="str">
        <f t="shared" ca="1" si="114"/>
        <v>TERMINO</v>
      </c>
      <c r="AO643" s="160" t="s">
        <v>582</v>
      </c>
      <c r="AP643" s="406" t="s">
        <v>391</v>
      </c>
      <c r="AQ643" s="819" t="str">
        <f>IFERROR(VLOOKUP(E643,'liquidaciones '!$B$2:$C$1048576,2,0),"NO")</f>
        <v>LIQUIDADO</v>
      </c>
      <c r="AR643" s="909" t="str">
        <f>IFERROR(VLOOKUP(E643,'liquidaciones '!$B$2:$I$1048576,8,0),"")</f>
        <v>MARTHA SANCHEZ</v>
      </c>
      <c r="AS643" s="406"/>
      <c r="AT643" s="156" t="str">
        <f t="shared" ca="1" si="115"/>
        <v>SI</v>
      </c>
      <c r="AU643" s="939" t="s">
        <v>1509</v>
      </c>
      <c r="AV643" s="406"/>
      <c r="AW643" s="930" t="s">
        <v>564</v>
      </c>
      <c r="AX643" s="928"/>
      <c r="AY643" s="275"/>
    </row>
    <row r="644" spans="3:51" ht="163.19999999999999" x14ac:dyDescent="0.3">
      <c r="C644" s="837">
        <v>82</v>
      </c>
      <c r="D644" s="837"/>
      <c r="E644" s="120" t="s">
        <v>4140</v>
      </c>
      <c r="F644" s="414" t="s">
        <v>2433</v>
      </c>
      <c r="G644" s="874">
        <v>900475780</v>
      </c>
      <c r="H644" s="965" t="s">
        <v>3688</v>
      </c>
      <c r="I644" s="84">
        <v>2414107000</v>
      </c>
      <c r="J644" s="833" t="s">
        <v>5217</v>
      </c>
      <c r="K644" s="269">
        <v>2018</v>
      </c>
      <c r="L644" s="519">
        <v>43312</v>
      </c>
      <c r="M644" s="519">
        <v>43313</v>
      </c>
      <c r="N644" s="519">
        <v>43488</v>
      </c>
      <c r="O644" s="1099" t="str">
        <f>IF(+Modificaciones!I644=0,"",VLOOKUP(E644,Modificaciones!$B$7:$I$2400,8,0))</f>
        <v/>
      </c>
      <c r="P644" s="115">
        <f>COUNTA(Modificaciones!J644,Modificaciones!L644,Modificaciones!N644,Modificaciones!P644)</f>
        <v>0</v>
      </c>
      <c r="Q644" s="116">
        <f>VLOOKUP(E644,Modificaciones!$B$7:$R$2300,17,0)</f>
        <v>0</v>
      </c>
      <c r="R644" s="117">
        <f>COUNTA(Modificaciones!T644,Modificaciones!V644,Modificaciones!X644,Modificaciones!Z644)</f>
        <v>0</v>
      </c>
      <c r="S644" s="118" t="str">
        <f>IF(Modificaciones!AA644=0,"",VLOOKUP(E644,Modificaciones!$B$7:$AA$2400,26,0))</f>
        <v/>
      </c>
      <c r="T644" s="119" t="str">
        <f>IF(Modificaciones!AB644=0,"",VLOOKUP(E644,Modificaciones!$B$7:$AB$2400,27,0))</f>
        <v/>
      </c>
      <c r="U644" s="1080" t="str">
        <f>+Modificaciones!AC644</f>
        <v/>
      </c>
      <c r="V644" s="825" t="str">
        <f>+Modificaciones!AK644</f>
        <v/>
      </c>
      <c r="W644" s="825">
        <f t="shared" si="110"/>
        <v>43488</v>
      </c>
      <c r="X644" s="59">
        <f t="shared" si="108"/>
        <v>2414107000</v>
      </c>
      <c r="Y644" s="151">
        <f>VLOOKUP(E644,Modificaciones!$B$7:$BE$2300,56,0)</f>
        <v>2314865613</v>
      </c>
      <c r="Z644" s="84">
        <f t="shared" si="120"/>
        <v>99241387</v>
      </c>
      <c r="AA644" s="288" t="s">
        <v>4141</v>
      </c>
      <c r="AB644" s="823">
        <f t="shared" si="121"/>
        <v>0.9588910570243987</v>
      </c>
      <c r="AC644" s="40">
        <f t="shared" ca="1" si="111"/>
        <v>1</v>
      </c>
      <c r="AD644" s="41">
        <f t="shared" ca="1" si="112"/>
        <v>4.1108942975601304E-2</v>
      </c>
      <c r="AE644" s="181" t="str">
        <f t="shared" ca="1" si="113"/>
        <v/>
      </c>
      <c r="AF644" s="42" t="str">
        <f t="shared" si="122"/>
        <v>NO</v>
      </c>
      <c r="AG644" s="732" t="s">
        <v>1718</v>
      </c>
      <c r="AH644" s="152" t="s">
        <v>1255</v>
      </c>
      <c r="AI644" s="255" t="s">
        <v>1507</v>
      </c>
      <c r="AJ644" s="152" t="s">
        <v>1441</v>
      </c>
      <c r="AK644" s="838"/>
      <c r="AL644" s="838"/>
      <c r="AM644" s="279" t="s">
        <v>2830</v>
      </c>
      <c r="AN644" s="161" t="str">
        <f t="shared" ca="1" si="114"/>
        <v>TERMINO</v>
      </c>
      <c r="AO644" s="160" t="s">
        <v>582</v>
      </c>
      <c r="AP644" s="406" t="s">
        <v>390</v>
      </c>
      <c r="AQ644" s="819" t="str">
        <f>IFERROR(VLOOKUP(E644,'liquidaciones '!$B$2:$C$1048576,2,0),"NO")</f>
        <v>LIQUIDADO</v>
      </c>
      <c r="AR644" s="909" t="str">
        <f>IFERROR(VLOOKUP(E644,'liquidaciones '!$B$2:$I$1048576,8,0),"")</f>
        <v>JUAN DIEGO ESPITIA</v>
      </c>
      <c r="AS644" s="406"/>
      <c r="AT644" s="156" t="str">
        <f t="shared" ca="1" si="115"/>
        <v>SI</v>
      </c>
      <c r="AU644" s="939" t="s">
        <v>4226</v>
      </c>
      <c r="AV644" s="406"/>
      <c r="AW644" s="930" t="s">
        <v>3938</v>
      </c>
      <c r="AX644" s="928"/>
      <c r="AY644" s="275"/>
    </row>
    <row r="645" spans="3:51" ht="61.2" x14ac:dyDescent="0.3">
      <c r="C645" s="837">
        <v>192</v>
      </c>
      <c r="D645" s="837"/>
      <c r="E645" s="120" t="s">
        <v>4142</v>
      </c>
      <c r="F645" s="414" t="s">
        <v>4143</v>
      </c>
      <c r="G645" s="863">
        <v>35510194</v>
      </c>
      <c r="H645" s="965" t="s">
        <v>4144</v>
      </c>
      <c r="I645" s="84">
        <v>32812164</v>
      </c>
      <c r="J645" s="833" t="s">
        <v>4168</v>
      </c>
      <c r="K645" s="269">
        <v>2018</v>
      </c>
      <c r="L645" s="519">
        <v>43311</v>
      </c>
      <c r="M645" s="519">
        <v>43313</v>
      </c>
      <c r="N645" s="519">
        <v>43496</v>
      </c>
      <c r="O645" s="1099" t="str">
        <f>IF(+Modificaciones!I645=0,"",VLOOKUP(E645,Modificaciones!$B$7:$I$2400,8,0))</f>
        <v/>
      </c>
      <c r="P645" s="115">
        <f>COUNTA(Modificaciones!J645,Modificaciones!L645,Modificaciones!N645,Modificaciones!P645)</f>
        <v>1</v>
      </c>
      <c r="Q645" s="116">
        <f>VLOOKUP(E645,Modificaciones!$B$7:$R$2300,17,0)</f>
        <v>10937388</v>
      </c>
      <c r="R645" s="117">
        <f>COUNTA(Modificaciones!T645,Modificaciones!V645,Modificaciones!X645,Modificaciones!Z645)</f>
        <v>1</v>
      </c>
      <c r="S645" s="118" t="str">
        <f>IF(Modificaciones!AA645=0,"",VLOOKUP(E645,Modificaciones!$B$7:$AA$2400,26,0))</f>
        <v>2 meses</v>
      </c>
      <c r="T645" s="119">
        <f>IF(Modificaciones!AB645=0,"",VLOOKUP(E645,Modificaciones!$B$7:$AB$2400,27,0))</f>
        <v>43554</v>
      </c>
      <c r="U645" s="1080" t="str">
        <f>+Modificaciones!AC645</f>
        <v/>
      </c>
      <c r="V645" s="825" t="str">
        <f>+Modificaciones!AK645</f>
        <v/>
      </c>
      <c r="W645" s="825">
        <f t="shared" si="110"/>
        <v>43554</v>
      </c>
      <c r="X645" s="59">
        <f t="shared" si="108"/>
        <v>43749552</v>
      </c>
      <c r="Y645" s="151">
        <f>VLOOKUP(E645,Modificaciones!$B$7:$BE$2300,56,0)</f>
        <v>43749552</v>
      </c>
      <c r="Z645" s="84">
        <f t="shared" si="120"/>
        <v>0</v>
      </c>
      <c r="AA645" s="283" t="s">
        <v>1094</v>
      </c>
      <c r="AB645" s="823">
        <f t="shared" si="121"/>
        <v>1</v>
      </c>
      <c r="AC645" s="40">
        <f t="shared" ca="1" si="111"/>
        <v>1</v>
      </c>
      <c r="AD645" s="41">
        <f t="shared" ca="1" si="112"/>
        <v>0</v>
      </c>
      <c r="AE645" s="181" t="str">
        <f t="shared" ca="1" si="113"/>
        <v/>
      </c>
      <c r="AF645" s="42" t="str">
        <f t="shared" si="122"/>
        <v>SI</v>
      </c>
      <c r="AG645" s="732" t="s">
        <v>5773</v>
      </c>
      <c r="AH645" s="152" t="s">
        <v>1256</v>
      </c>
      <c r="AI645" s="152" t="s">
        <v>2171</v>
      </c>
      <c r="AJ645" s="152" t="s">
        <v>1438</v>
      </c>
      <c r="AK645" s="255" t="s">
        <v>560</v>
      </c>
      <c r="AL645" s="279" t="s">
        <v>1508</v>
      </c>
      <c r="AM645" s="279" t="s">
        <v>3873</v>
      </c>
      <c r="AN645" s="161" t="str">
        <f t="shared" ca="1" si="114"/>
        <v>TERMINO</v>
      </c>
      <c r="AO645" s="160" t="s">
        <v>582</v>
      </c>
      <c r="AP645" s="406" t="s">
        <v>390</v>
      </c>
      <c r="AQ645" s="819" t="str">
        <f>IFERROR(VLOOKUP(E645,'liquidaciones '!$B$2:$C$1048576,2,0),"NO")</f>
        <v>LIQUIDADO</v>
      </c>
      <c r="AR645" s="909" t="str">
        <f>IFERROR(VLOOKUP(E645,'liquidaciones '!$B$2:$I$1048576,8,0),"")</f>
        <v>MARTHA SANCHEZ</v>
      </c>
      <c r="AS645" s="406"/>
      <c r="AT645" s="156" t="str">
        <f t="shared" ca="1" si="115"/>
        <v>SI</v>
      </c>
      <c r="AU645" s="406" t="s">
        <v>4805</v>
      </c>
      <c r="AV645" s="406" t="s">
        <v>3778</v>
      </c>
      <c r="AW645" s="930" t="s">
        <v>560</v>
      </c>
      <c r="AX645" s="928"/>
      <c r="AY645" s="275" t="s">
        <v>4681</v>
      </c>
    </row>
    <row r="646" spans="3:51" ht="51" x14ac:dyDescent="0.3">
      <c r="C646" s="837">
        <v>114</v>
      </c>
      <c r="D646" s="837"/>
      <c r="E646" s="120" t="s">
        <v>4145</v>
      </c>
      <c r="F646" s="414" t="s">
        <v>3722</v>
      </c>
      <c r="G646" s="863">
        <v>860049921</v>
      </c>
      <c r="H646" s="969" t="s">
        <v>4146</v>
      </c>
      <c r="I646" s="84">
        <v>9055900</v>
      </c>
      <c r="J646" s="843" t="s">
        <v>4171</v>
      </c>
      <c r="K646" s="269">
        <v>2018</v>
      </c>
      <c r="L646" s="519">
        <v>43299</v>
      </c>
      <c r="M646" s="519">
        <v>43315</v>
      </c>
      <c r="N646" s="519">
        <v>43436</v>
      </c>
      <c r="O646" s="1099" t="str">
        <f>IF(+Modificaciones!I646=0,"",VLOOKUP(E646,Modificaciones!$B$7:$I$2400,8,0))</f>
        <v/>
      </c>
      <c r="P646" s="115">
        <f>COUNTA(Modificaciones!J646,Modificaciones!L646,Modificaciones!N646,Modificaciones!P646)</f>
        <v>0</v>
      </c>
      <c r="Q646" s="116">
        <f>VLOOKUP(E646,Modificaciones!$B$7:$R$2300,17,0)</f>
        <v>0</v>
      </c>
      <c r="R646" s="117">
        <f>COUNTA(Modificaciones!T646,Modificaciones!V646,Modificaciones!X646,Modificaciones!Z646)</f>
        <v>0</v>
      </c>
      <c r="S646" s="118" t="str">
        <f>IF(Modificaciones!AA646=0,"",VLOOKUP(E646,Modificaciones!$B$7:$AA$2400,26,0))</f>
        <v/>
      </c>
      <c r="T646" s="119" t="str">
        <f>IF(Modificaciones!AB646=0,"",VLOOKUP(E646,Modificaciones!$B$7:$AB$2400,27,0))</f>
        <v/>
      </c>
      <c r="U646" s="1080" t="str">
        <f>+Modificaciones!AC646</f>
        <v/>
      </c>
      <c r="V646" s="825" t="str">
        <f>+Modificaciones!AK646</f>
        <v/>
      </c>
      <c r="W646" s="825">
        <f t="shared" si="110"/>
        <v>43436</v>
      </c>
      <c r="X646" s="59">
        <f t="shared" si="108"/>
        <v>9055900</v>
      </c>
      <c r="Y646" s="151">
        <f>VLOOKUP(E646,Modificaciones!$B$7:$BE$2300,56,0)</f>
        <v>9055900</v>
      </c>
      <c r="Z646" s="84">
        <f t="shared" ref="Z646:Z675" si="123">X646-Y646</f>
        <v>0</v>
      </c>
      <c r="AA646" s="283" t="s">
        <v>3555</v>
      </c>
      <c r="AB646" s="823">
        <f t="shared" ref="AB646:AB675" si="124">(Y646*100%)/X646</f>
        <v>1</v>
      </c>
      <c r="AC646" s="40">
        <f t="shared" ca="1" si="111"/>
        <v>1</v>
      </c>
      <c r="AD646" s="41">
        <f t="shared" ca="1" si="112"/>
        <v>0</v>
      </c>
      <c r="AE646" s="181" t="str">
        <f t="shared" ca="1" si="113"/>
        <v/>
      </c>
      <c r="AF646" s="42" t="str">
        <f t="shared" ref="AF646:AF675" si="125">IF(AB646&lt;=99.9%,"NO","SI")</f>
        <v>SI</v>
      </c>
      <c r="AG646" s="1017" t="s">
        <v>4920</v>
      </c>
      <c r="AH646" s="152" t="s">
        <v>1255</v>
      </c>
      <c r="AI646" s="255" t="s">
        <v>1973</v>
      </c>
      <c r="AJ646" s="152"/>
      <c r="AK646" s="255" t="s">
        <v>563</v>
      </c>
      <c r="AL646" s="838"/>
      <c r="AM646" s="279" t="s">
        <v>4025</v>
      </c>
      <c r="AN646" s="161" t="str">
        <f t="shared" ca="1" si="114"/>
        <v>TERMINO</v>
      </c>
      <c r="AO646" s="284" t="s">
        <v>582</v>
      </c>
      <c r="AP646" s="406" t="s">
        <v>390</v>
      </c>
      <c r="AQ646" s="819" t="str">
        <f>IFERROR(VLOOKUP(E646,'liquidaciones '!$B$2:$C$1048576,2,0),"NO")</f>
        <v>EN TRÁMITE</v>
      </c>
      <c r="AR646" s="909" t="str">
        <f>IFERROR(VLOOKUP(E646,'liquidaciones '!$B$2:$I$1048576,8,0),"")</f>
        <v>JUAN DIEGO ESPÍTIA</v>
      </c>
      <c r="AS646" s="406"/>
      <c r="AT646" s="156" t="str">
        <f t="shared" ca="1" si="115"/>
        <v>SI</v>
      </c>
      <c r="AU646" s="156" t="s">
        <v>4245</v>
      </c>
      <c r="AV646" s="406"/>
      <c r="AW646" s="930" t="s">
        <v>4147</v>
      </c>
      <c r="AX646" s="928"/>
      <c r="AY646" s="275" t="s">
        <v>4978</v>
      </c>
    </row>
    <row r="647" spans="3:51" ht="40.799999999999997" x14ac:dyDescent="0.3">
      <c r="C647" s="837"/>
      <c r="D647" s="837"/>
      <c r="E647" s="120" t="s">
        <v>4148</v>
      </c>
      <c r="F647" s="414" t="s">
        <v>4149</v>
      </c>
      <c r="G647" s="863">
        <v>1098792121</v>
      </c>
      <c r="H647" s="969" t="s">
        <v>4150</v>
      </c>
      <c r="I647" s="84">
        <v>18750000</v>
      </c>
      <c r="J647" s="843" t="s">
        <v>4173</v>
      </c>
      <c r="K647" s="269">
        <v>2018</v>
      </c>
      <c r="L647" s="519">
        <v>43311</v>
      </c>
      <c r="M647" s="519">
        <v>43313</v>
      </c>
      <c r="N647" s="519">
        <v>43496</v>
      </c>
      <c r="O647" s="1099" t="str">
        <f>IF(+Modificaciones!I647=0,"",VLOOKUP(E647,Modificaciones!$B$7:$I$2400,8,0))</f>
        <v/>
      </c>
      <c r="P647" s="115">
        <f>COUNTA(Modificaciones!J647,Modificaciones!L647,Modificaciones!N647,Modificaciones!P647)</f>
        <v>0</v>
      </c>
      <c r="Q647" s="116">
        <f>VLOOKUP(E647,Modificaciones!$B$7:$R$2300,17,0)</f>
        <v>0</v>
      </c>
      <c r="R647" s="117">
        <f>COUNTA(Modificaciones!T647,Modificaciones!V647,Modificaciones!X647,Modificaciones!Z647)</f>
        <v>0</v>
      </c>
      <c r="S647" s="118" t="str">
        <f>IF(Modificaciones!AA647=0,"",VLOOKUP(E647,Modificaciones!$B$7:$AA$2400,26,0))</f>
        <v/>
      </c>
      <c r="T647" s="119" t="str">
        <f>IF(Modificaciones!AB647=0,"",VLOOKUP(E647,Modificaciones!$B$7:$AB$2400,27,0))</f>
        <v/>
      </c>
      <c r="U647" s="1080" t="str">
        <f>+Modificaciones!AC647</f>
        <v/>
      </c>
      <c r="V647" s="825" t="str">
        <f>+Modificaciones!AK647</f>
        <v/>
      </c>
      <c r="W647" s="825">
        <f t="shared" si="110"/>
        <v>43496</v>
      </c>
      <c r="X647" s="59">
        <f t="shared" ref="X647:X710" si="126">I647+Q647</f>
        <v>18750000</v>
      </c>
      <c r="Y647" s="151">
        <f>VLOOKUP(E647,Modificaciones!$B$7:$BE$2300,56,0)</f>
        <v>18750000</v>
      </c>
      <c r="Z647" s="84">
        <f t="shared" si="123"/>
        <v>0</v>
      </c>
      <c r="AA647" s="283" t="s">
        <v>1094</v>
      </c>
      <c r="AB647" s="823">
        <f t="shared" si="124"/>
        <v>1</v>
      </c>
      <c r="AC647" s="40">
        <f t="shared" ca="1" si="111"/>
        <v>1</v>
      </c>
      <c r="AD647" s="41">
        <f t="shared" ca="1" si="112"/>
        <v>0</v>
      </c>
      <c r="AE647" s="181" t="str">
        <f t="shared" ca="1" si="113"/>
        <v/>
      </c>
      <c r="AF647" s="42" t="str">
        <f t="shared" si="125"/>
        <v>SI</v>
      </c>
      <c r="AG647" s="732" t="s">
        <v>5773</v>
      </c>
      <c r="AH647" s="152" t="s">
        <v>1255</v>
      </c>
      <c r="AI647" s="152" t="s">
        <v>2488</v>
      </c>
      <c r="AJ647" s="152" t="s">
        <v>1176</v>
      </c>
      <c r="AK647" s="255" t="s">
        <v>559</v>
      </c>
      <c r="AL647" s="153"/>
      <c r="AM647" s="279" t="s">
        <v>4242</v>
      </c>
      <c r="AN647" s="161" t="str">
        <f t="shared" ca="1" si="114"/>
        <v>TERMINO</v>
      </c>
      <c r="AO647" s="284" t="s">
        <v>582</v>
      </c>
      <c r="AP647" s="406" t="s">
        <v>391</v>
      </c>
      <c r="AQ647" s="819" t="str">
        <f>IFERROR(VLOOKUP(E647,'liquidaciones '!$B$2:$C$1048576,2,0),"NO")</f>
        <v>LIQUIDADO</v>
      </c>
      <c r="AR647" s="909" t="str">
        <f>IFERROR(VLOOKUP(E647,'liquidaciones '!$B$2:$I$1048576,8,0),"")</f>
        <v>MARTHA SANCHEZ</v>
      </c>
      <c r="AS647" s="406"/>
      <c r="AT647" s="156" t="str">
        <f t="shared" ca="1" si="115"/>
        <v>SI</v>
      </c>
      <c r="AU647" s="951" t="s">
        <v>3050</v>
      </c>
      <c r="AV647" s="406"/>
      <c r="AW647" s="930" t="s">
        <v>3938</v>
      </c>
      <c r="AX647" s="928"/>
      <c r="AY647" s="275"/>
    </row>
    <row r="648" spans="3:51" ht="40.799999999999997" x14ac:dyDescent="0.3">
      <c r="C648" s="837">
        <v>108</v>
      </c>
      <c r="D648" s="837"/>
      <c r="E648" s="120" t="s">
        <v>4151</v>
      </c>
      <c r="F648" s="414" t="s">
        <v>4152</v>
      </c>
      <c r="G648" s="863">
        <v>39812526</v>
      </c>
      <c r="H648" s="969" t="s">
        <v>4153</v>
      </c>
      <c r="I648" s="84">
        <v>32814000</v>
      </c>
      <c r="J648" s="843" t="s">
        <v>4588</v>
      </c>
      <c r="K648" s="269">
        <v>2018</v>
      </c>
      <c r="L648" s="519">
        <v>43313</v>
      </c>
      <c r="M648" s="519">
        <v>43315</v>
      </c>
      <c r="N648" s="519">
        <v>43496</v>
      </c>
      <c r="O648" s="1099" t="str">
        <f>IF(+Modificaciones!I648=0,"",VLOOKUP(E648,Modificaciones!$B$7:$I$2400,8,0))</f>
        <v/>
      </c>
      <c r="P648" s="115">
        <f>COUNTA(Modificaciones!J648,Modificaciones!L648,Modificaciones!N648,Modificaciones!P648)</f>
        <v>1</v>
      </c>
      <c r="Q648" s="116">
        <f>VLOOKUP(E648,Modificaciones!$B$7:$R$2300,17,0)</f>
        <v>16042400</v>
      </c>
      <c r="R648" s="117">
        <f>COUNTA(Modificaciones!T648,Modificaciones!V648,Modificaciones!X648,Modificaciones!Z648)</f>
        <v>1</v>
      </c>
      <c r="S648" s="118" t="str">
        <f>IF(Modificaciones!AA648=0,"",VLOOKUP(E648,Modificaciones!$B$7:$AA$2400,26,0))</f>
        <v>2 meses y 28 días</v>
      </c>
      <c r="T648" s="119">
        <f>IF(Modificaciones!AB648=0,"",VLOOKUP(E648,Modificaciones!$B$7:$AB$2400,27,0))</f>
        <v>43585</v>
      </c>
      <c r="U648" s="1080" t="str">
        <f>+Modificaciones!AC648</f>
        <v/>
      </c>
      <c r="V648" s="825" t="str">
        <f>+Modificaciones!AK648</f>
        <v/>
      </c>
      <c r="W648" s="825">
        <f t="shared" ref="W648:W711" si="127">MAX(N648,O648,T648,V648)</f>
        <v>43585</v>
      </c>
      <c r="X648" s="59">
        <f t="shared" si="126"/>
        <v>48856400</v>
      </c>
      <c r="Y648" s="151">
        <f>VLOOKUP(E648,Modificaciones!$B$7:$BE$2300,56,0)</f>
        <v>48856000</v>
      </c>
      <c r="Z648" s="84">
        <f t="shared" si="123"/>
        <v>400</v>
      </c>
      <c r="AA648" s="283" t="s">
        <v>1094</v>
      </c>
      <c r="AB648" s="823">
        <f t="shared" si="124"/>
        <v>0.99999181274101245</v>
      </c>
      <c r="AC648" s="40">
        <f t="shared" ref="AC648:AC711" ca="1" si="128">IF((($F$3-M648)*100%/(W648-M648))&gt;100%,100%,(($F$3-M648)*100%/(W648-M648)))</f>
        <v>1</v>
      </c>
      <c r="AD648" s="41">
        <f t="shared" ref="AD648:AD711" ca="1" si="129">AC648-AB648</f>
        <v>8.1872589875464641E-6</v>
      </c>
      <c r="AE648" s="181" t="str">
        <f t="shared" ref="AE648:AE711" ca="1" si="130">IF(AC648&lt;100%,W648-$F$3,"")</f>
        <v/>
      </c>
      <c r="AF648" s="42" t="str">
        <f t="shared" si="125"/>
        <v>SI</v>
      </c>
      <c r="AG648" s="732" t="s">
        <v>5773</v>
      </c>
      <c r="AH648" s="152" t="s">
        <v>1255</v>
      </c>
      <c r="AI648" s="152" t="s">
        <v>2485</v>
      </c>
      <c r="AJ648" s="152"/>
      <c r="AK648" s="255" t="s">
        <v>562</v>
      </c>
      <c r="AL648" s="279"/>
      <c r="AM648" s="279" t="s">
        <v>3984</v>
      </c>
      <c r="AN648" s="161" t="str">
        <f t="shared" ref="AN648:AN711" ca="1" si="131">IF(W648&gt;=$F$3,"EN EJECUCIÓN","TERMINO")</f>
        <v>TERMINO</v>
      </c>
      <c r="AO648" s="284" t="s">
        <v>582</v>
      </c>
      <c r="AP648" s="155" t="s">
        <v>391</v>
      </c>
      <c r="AQ648" s="819" t="str">
        <f>IFERROR(VLOOKUP(E648,'liquidaciones '!$B$2:$C$1048576,2,0),"NO")</f>
        <v>DEVUELTO</v>
      </c>
      <c r="AR648" s="909" t="str">
        <f>IFERROR(VLOOKUP(E648,'liquidaciones '!$B$2:$I$1048576,8,0),"")</f>
        <v>MARIA ALEJANDRA SANCHEZ</v>
      </c>
      <c r="AS648" s="406"/>
      <c r="AT648" s="156" t="str">
        <f t="shared" ref="AT648:AT711" ca="1" si="132">IF((TODAY()-W648&lt;900),"SI","NO")</f>
        <v>SI</v>
      </c>
      <c r="AU648" s="406" t="s">
        <v>4805</v>
      </c>
      <c r="AV648" s="406"/>
      <c r="AW648" s="930" t="s">
        <v>3985</v>
      </c>
      <c r="AX648" s="928"/>
      <c r="AY648" s="275" t="s">
        <v>4903</v>
      </c>
    </row>
    <row r="649" spans="3:51" ht="30.6" x14ac:dyDescent="0.3">
      <c r="C649" s="837"/>
      <c r="D649" s="837"/>
      <c r="E649" s="120" t="s">
        <v>4154</v>
      </c>
      <c r="F649" s="414" t="s">
        <v>4155</v>
      </c>
      <c r="G649" s="863">
        <v>92030702</v>
      </c>
      <c r="H649" s="969" t="s">
        <v>4156</v>
      </c>
      <c r="I649" s="84">
        <v>32814000</v>
      </c>
      <c r="J649" s="843" t="s">
        <v>4172</v>
      </c>
      <c r="K649" s="269">
        <v>2018</v>
      </c>
      <c r="L649" s="519">
        <v>43313</v>
      </c>
      <c r="M649" s="519">
        <v>43315</v>
      </c>
      <c r="N649" s="519">
        <v>43496</v>
      </c>
      <c r="O649" s="1099" t="str">
        <f>IF(+Modificaciones!I649=0,"",VLOOKUP(E649,Modificaciones!$B$7:$I$2400,8,0))</f>
        <v/>
      </c>
      <c r="P649" s="115">
        <f>COUNTA(Modificaciones!J649,Modificaciones!L649,Modificaciones!N649,Modificaciones!P649)</f>
        <v>1</v>
      </c>
      <c r="Q649" s="116">
        <f>VLOOKUP(E649,Modificaciones!$B$7:$R$2300,17,0)</f>
        <v>16042400</v>
      </c>
      <c r="R649" s="117">
        <f>COUNTA(Modificaciones!T649,Modificaciones!V649,Modificaciones!X649,Modificaciones!Z649)</f>
        <v>1</v>
      </c>
      <c r="S649" s="118" t="str">
        <f>IF(Modificaciones!AA649=0,"",VLOOKUP(E649,Modificaciones!$B$7:$AA$2400,26,0))</f>
        <v>2 meses y 28 días calendario</v>
      </c>
      <c r="T649" s="119">
        <f>IF(Modificaciones!AB649=0,"",VLOOKUP(E649,Modificaciones!$B$7:$AB$2400,27,0))</f>
        <v>43585</v>
      </c>
      <c r="U649" s="1080" t="str">
        <f>+Modificaciones!AC649</f>
        <v/>
      </c>
      <c r="V649" s="825" t="str">
        <f>+Modificaciones!AK649</f>
        <v/>
      </c>
      <c r="W649" s="825">
        <f t="shared" si="127"/>
        <v>43585</v>
      </c>
      <c r="X649" s="59">
        <f t="shared" si="126"/>
        <v>48856400</v>
      </c>
      <c r="Y649" s="151">
        <f>VLOOKUP(E649,Modificaciones!$B$7:$BE$2300,56,0)</f>
        <v>48856400</v>
      </c>
      <c r="Z649" s="84">
        <f t="shared" si="123"/>
        <v>0</v>
      </c>
      <c r="AA649" s="283" t="s">
        <v>1094</v>
      </c>
      <c r="AB649" s="823">
        <f t="shared" si="124"/>
        <v>1</v>
      </c>
      <c r="AC649" s="40">
        <f t="shared" ca="1" si="128"/>
        <v>1</v>
      </c>
      <c r="AD649" s="41">
        <f t="shared" ca="1" si="129"/>
        <v>0</v>
      </c>
      <c r="AE649" s="181" t="str">
        <f t="shared" ca="1" si="130"/>
        <v/>
      </c>
      <c r="AF649" s="42" t="str">
        <f t="shared" si="125"/>
        <v>SI</v>
      </c>
      <c r="AG649" s="732" t="s">
        <v>5773</v>
      </c>
      <c r="AH649" s="152" t="s">
        <v>1255</v>
      </c>
      <c r="AI649" s="152" t="s">
        <v>2491</v>
      </c>
      <c r="AJ649" s="152" t="s">
        <v>2498</v>
      </c>
      <c r="AK649" s="255" t="s">
        <v>4612</v>
      </c>
      <c r="AL649" s="279"/>
      <c r="AM649" s="279" t="s">
        <v>4025</v>
      </c>
      <c r="AN649" s="161" t="str">
        <f t="shared" ca="1" si="131"/>
        <v>TERMINO</v>
      </c>
      <c r="AO649" s="284" t="s">
        <v>582</v>
      </c>
      <c r="AP649" s="155" t="s">
        <v>391</v>
      </c>
      <c r="AQ649" s="819" t="str">
        <f>IFERROR(VLOOKUP(E649,'liquidaciones '!$B$2:$C$1048576,2,0),"NO")</f>
        <v>LIQUIDADO</v>
      </c>
      <c r="AR649" s="909" t="str">
        <f>IFERROR(VLOOKUP(E649,'liquidaciones '!$B$2:$I$1048576,8,0),"")</f>
        <v>GABINO HERNANDEZ</v>
      </c>
      <c r="AS649" s="406"/>
      <c r="AT649" s="156" t="str">
        <f t="shared" ca="1" si="132"/>
        <v>SI</v>
      </c>
      <c r="AU649" s="156" t="s">
        <v>4245</v>
      </c>
      <c r="AV649" s="406"/>
      <c r="AW649" s="930" t="s">
        <v>3938</v>
      </c>
      <c r="AX649" s="928"/>
      <c r="AY649" s="275" t="s">
        <v>4977</v>
      </c>
    </row>
    <row r="650" spans="3:51" ht="30.6" x14ac:dyDescent="0.3">
      <c r="C650" s="837"/>
      <c r="D650" s="837"/>
      <c r="E650" s="120" t="s">
        <v>4157</v>
      </c>
      <c r="F650" s="414" t="s">
        <v>4158</v>
      </c>
      <c r="G650" s="863">
        <v>1013610856</v>
      </c>
      <c r="H650" s="969" t="s">
        <v>4159</v>
      </c>
      <c r="I650" s="84">
        <v>21286909</v>
      </c>
      <c r="J650" s="833" t="s">
        <v>4170</v>
      </c>
      <c r="K650" s="269">
        <v>2018</v>
      </c>
      <c r="L650" s="519">
        <v>43313</v>
      </c>
      <c r="M650" s="519">
        <v>43315</v>
      </c>
      <c r="N650" s="519">
        <v>43496</v>
      </c>
      <c r="O650" s="1099" t="str">
        <f>IF(+Modificaciones!I650=0,"",VLOOKUP(E650,Modificaciones!$B$7:$I$2400,8,0))</f>
        <v/>
      </c>
      <c r="P650" s="115">
        <f>COUNTA(Modificaciones!J650,Modificaciones!L650,Modificaciones!N650,Modificaciones!P650)</f>
        <v>1</v>
      </c>
      <c r="Q650" s="116">
        <f>VLOOKUP(E650,Modificaciones!$B$7:$R$2300,17,0)</f>
        <v>6740854</v>
      </c>
      <c r="R650" s="117">
        <f>COUNTA(Modificaciones!T650,Modificaciones!V650,Modificaciones!X650,Modificaciones!Z650)</f>
        <v>1</v>
      </c>
      <c r="S650" s="118" t="str">
        <f>IF(Modificaciones!AA650=0,"",VLOOKUP(E650,Modificaciones!$B$7:$AA$2400,26,0))</f>
        <v>1 mes y 27 días</v>
      </c>
      <c r="T650" s="119">
        <f>IF(Modificaciones!AB650=0,"",VLOOKUP(E650,Modificaciones!$B$7:$AB$2400,27,0))</f>
        <v>43554</v>
      </c>
      <c r="U650" s="1080" t="str">
        <f>+Modificaciones!AC650</f>
        <v/>
      </c>
      <c r="V650" s="825" t="str">
        <f>+Modificaciones!AK650</f>
        <v/>
      </c>
      <c r="W650" s="825">
        <f t="shared" si="127"/>
        <v>43554</v>
      </c>
      <c r="X650" s="59">
        <f t="shared" si="126"/>
        <v>28027763</v>
      </c>
      <c r="Y650" s="151">
        <f>VLOOKUP(E650,Modificaciones!$B$7:$BE$2300,56,0)</f>
        <v>28027763</v>
      </c>
      <c r="Z650" s="84">
        <f t="shared" si="123"/>
        <v>0</v>
      </c>
      <c r="AA650" s="283" t="s">
        <v>1094</v>
      </c>
      <c r="AB650" s="823">
        <f t="shared" si="124"/>
        <v>1</v>
      </c>
      <c r="AC650" s="40">
        <f t="shared" ca="1" si="128"/>
        <v>1</v>
      </c>
      <c r="AD650" s="41">
        <f t="shared" ca="1" si="129"/>
        <v>0</v>
      </c>
      <c r="AE650" s="181" t="str">
        <f t="shared" ca="1" si="130"/>
        <v/>
      </c>
      <c r="AF650" s="42" t="str">
        <f t="shared" si="125"/>
        <v>SI</v>
      </c>
      <c r="AG650" s="732" t="s">
        <v>5773</v>
      </c>
      <c r="AH650" s="152" t="s">
        <v>1255</v>
      </c>
      <c r="AI650" s="152" t="s">
        <v>2177</v>
      </c>
      <c r="AJ650" s="152" t="s">
        <v>1438</v>
      </c>
      <c r="AK650" s="255" t="s">
        <v>560</v>
      </c>
      <c r="AL650" s="279" t="s">
        <v>1508</v>
      </c>
      <c r="AM650" s="279" t="s">
        <v>3873</v>
      </c>
      <c r="AN650" s="161" t="str">
        <f t="shared" ca="1" si="131"/>
        <v>TERMINO</v>
      </c>
      <c r="AO650" s="160" t="s">
        <v>582</v>
      </c>
      <c r="AP650" s="406" t="s">
        <v>391</v>
      </c>
      <c r="AQ650" s="819" t="str">
        <f>IFERROR(VLOOKUP(E650,'liquidaciones '!$B$2:$C$1048576,2,0),"NO")</f>
        <v>DEVUELTO</v>
      </c>
      <c r="AR650" s="909" t="str">
        <f>IFERROR(VLOOKUP(E650,'liquidaciones '!$B$2:$I$1048576,8,0),"")</f>
        <v>GABINO HERNANDEZ</v>
      </c>
      <c r="AS650" s="406"/>
      <c r="AT650" s="156" t="str">
        <f t="shared" ca="1" si="132"/>
        <v>SI</v>
      </c>
      <c r="AU650" s="406" t="s">
        <v>4805</v>
      </c>
      <c r="AV650" s="406" t="s">
        <v>3778</v>
      </c>
      <c r="AW650" s="930" t="s">
        <v>560</v>
      </c>
      <c r="AX650" s="928"/>
      <c r="AY650" s="275" t="s">
        <v>4875</v>
      </c>
    </row>
    <row r="651" spans="3:51" ht="51" x14ac:dyDescent="0.3">
      <c r="C651" s="837"/>
      <c r="D651" s="837"/>
      <c r="E651" s="120" t="s">
        <v>4160</v>
      </c>
      <c r="F651" s="414" t="s">
        <v>4161</v>
      </c>
      <c r="G651" s="863">
        <v>79629653</v>
      </c>
      <c r="H651" s="967" t="s">
        <v>1543</v>
      </c>
      <c r="I651" s="84">
        <v>37500000</v>
      </c>
      <c r="J651" s="833" t="s">
        <v>4839</v>
      </c>
      <c r="K651" s="269">
        <v>2018</v>
      </c>
      <c r="L651" s="519">
        <v>43313</v>
      </c>
      <c r="M651" s="519">
        <v>43315</v>
      </c>
      <c r="N651" s="519">
        <v>43496</v>
      </c>
      <c r="O651" s="1099" t="str">
        <f>IF(+Modificaciones!I651=0,"",VLOOKUP(E651,Modificaciones!$B$7:$I$2400,8,0))</f>
        <v/>
      </c>
      <c r="P651" s="115">
        <f>COUNTA(Modificaciones!J651,Modificaciones!L651,Modificaciones!N651,Modificaciones!P651)</f>
        <v>1</v>
      </c>
      <c r="Q651" s="116">
        <f>VLOOKUP(E651,Modificaciones!$B$7:$R$2300,17,0)</f>
        <v>18333333</v>
      </c>
      <c r="R651" s="117">
        <f>COUNTA(Modificaciones!T651,Modificaciones!V651,Modificaciones!X651,Modificaciones!Z651)</f>
        <v>1</v>
      </c>
      <c r="S651" s="118" t="str">
        <f>IF(Modificaciones!AA651=0,"",VLOOKUP(E651,Modificaciones!$B$7:$AA$2400,26,0))</f>
        <v>2 meses y 28 días</v>
      </c>
      <c r="T651" s="119">
        <f>IF(Modificaciones!AB651=0,"",VLOOKUP(E651,Modificaciones!$B$7:$AB$2400,27,0))</f>
        <v>43585</v>
      </c>
      <c r="U651" s="1080" t="str">
        <f>+Modificaciones!AC651</f>
        <v/>
      </c>
      <c r="V651" s="825" t="str">
        <f>+Modificaciones!AK651</f>
        <v/>
      </c>
      <c r="W651" s="825">
        <f t="shared" si="127"/>
        <v>43585</v>
      </c>
      <c r="X651" s="59">
        <f t="shared" si="126"/>
        <v>55833333</v>
      </c>
      <c r="Y651" s="151">
        <f>VLOOKUP(E651,Modificaciones!$B$7:$BE$2300,56,0)</f>
        <v>55833333</v>
      </c>
      <c r="Z651" s="84">
        <f t="shared" si="123"/>
        <v>0</v>
      </c>
      <c r="AA651" s="283" t="s">
        <v>1094</v>
      </c>
      <c r="AB651" s="823">
        <f t="shared" si="124"/>
        <v>1</v>
      </c>
      <c r="AC651" s="40">
        <f t="shared" ca="1" si="128"/>
        <v>1</v>
      </c>
      <c r="AD651" s="41">
        <f t="shared" ca="1" si="129"/>
        <v>0</v>
      </c>
      <c r="AE651" s="181" t="str">
        <f t="shared" ca="1" si="130"/>
        <v/>
      </c>
      <c r="AF651" s="42" t="str">
        <f t="shared" si="125"/>
        <v>SI</v>
      </c>
      <c r="AG651" s="732" t="s">
        <v>5773</v>
      </c>
      <c r="AH651" s="152" t="s">
        <v>1255</v>
      </c>
      <c r="AI651" s="152" t="s">
        <v>2169</v>
      </c>
      <c r="AJ651" s="152"/>
      <c r="AK651" s="255" t="s">
        <v>560</v>
      </c>
      <c r="AL651" s="838"/>
      <c r="AM651" s="279" t="s">
        <v>3873</v>
      </c>
      <c r="AN651" s="161" t="str">
        <f t="shared" ca="1" si="131"/>
        <v>TERMINO</v>
      </c>
      <c r="AO651" s="284" t="s">
        <v>582</v>
      </c>
      <c r="AP651" s="155" t="s">
        <v>391</v>
      </c>
      <c r="AQ651" s="819" t="str">
        <f>IFERROR(VLOOKUP(E651,'liquidaciones '!$B$2:$C$1048576,2,0),"NO")</f>
        <v>LIQUIDADO</v>
      </c>
      <c r="AR651" s="909" t="str">
        <f>IFERROR(VLOOKUP(E651,'liquidaciones '!$B$2:$I$1048576,8,0),"")</f>
        <v>GABINO HERNANDEZ</v>
      </c>
      <c r="AS651" s="406"/>
      <c r="AT651" s="156" t="str">
        <f t="shared" ca="1" si="132"/>
        <v>SI</v>
      </c>
      <c r="AU651" s="406" t="s">
        <v>4805</v>
      </c>
      <c r="AV651" s="406"/>
      <c r="AW651" s="930" t="s">
        <v>560</v>
      </c>
      <c r="AX651" s="928"/>
      <c r="AY651" s="275" t="s">
        <v>4799</v>
      </c>
    </row>
    <row r="652" spans="3:51" ht="40.799999999999997" x14ac:dyDescent="0.3">
      <c r="C652" s="837"/>
      <c r="D652" s="837"/>
      <c r="E652" s="120" t="s">
        <v>4162</v>
      </c>
      <c r="F652" s="414" t="s">
        <v>2943</v>
      </c>
      <c r="G652" s="863">
        <v>79436393</v>
      </c>
      <c r="H652" s="967" t="s">
        <v>2827</v>
      </c>
      <c r="I652" s="84">
        <v>23819958</v>
      </c>
      <c r="J652" s="843" t="s">
        <v>4838</v>
      </c>
      <c r="K652" s="269">
        <v>2018</v>
      </c>
      <c r="L652" s="519">
        <v>43312</v>
      </c>
      <c r="M652" s="519">
        <v>43315</v>
      </c>
      <c r="N652" s="519">
        <v>43496</v>
      </c>
      <c r="O652" s="1099" t="str">
        <f>IF(+Modificaciones!I652=0,"",VLOOKUP(E652,Modificaciones!$B$7:$I$2400,8,0))</f>
        <v/>
      </c>
      <c r="P652" s="115">
        <f>COUNTA(Modificaciones!J652,Modificaciones!L652,Modificaciones!N652,Modificaciones!P652)</f>
        <v>1</v>
      </c>
      <c r="Q652" s="116">
        <f>VLOOKUP(E652,Modificaciones!$B$7:$R$2300,17,0)</f>
        <v>11645313</v>
      </c>
      <c r="R652" s="117">
        <f>COUNTA(Modificaciones!T652,Modificaciones!V652,Modificaciones!X652,Modificaciones!Z652)</f>
        <v>1</v>
      </c>
      <c r="S652" s="118" t="str">
        <f>IF(Modificaciones!AA652=0,"",VLOOKUP(E652,Modificaciones!$B$7:$AA$2400,26,0))</f>
        <v>2 meses y 28 días calendario</v>
      </c>
      <c r="T652" s="119">
        <f>IF(Modificaciones!AB652=0,"",VLOOKUP(E652,Modificaciones!$B$7:$AB$2400,27,0))</f>
        <v>43585</v>
      </c>
      <c r="U652" s="1080" t="str">
        <f>+Modificaciones!AC652</f>
        <v/>
      </c>
      <c r="V652" s="825" t="str">
        <f>+Modificaciones!AK652</f>
        <v/>
      </c>
      <c r="W652" s="825">
        <f t="shared" si="127"/>
        <v>43585</v>
      </c>
      <c r="X652" s="59">
        <f t="shared" si="126"/>
        <v>35465271</v>
      </c>
      <c r="Y652" s="151">
        <f>VLOOKUP(E652,Modificaciones!$B$7:$BE$2300,56,0)</f>
        <v>35465271</v>
      </c>
      <c r="Z652" s="84">
        <f t="shared" si="123"/>
        <v>0</v>
      </c>
      <c r="AA652" s="283" t="s">
        <v>1094</v>
      </c>
      <c r="AB652" s="823">
        <f t="shared" si="124"/>
        <v>1</v>
      </c>
      <c r="AC652" s="40">
        <f t="shared" ca="1" si="128"/>
        <v>1</v>
      </c>
      <c r="AD652" s="41">
        <f t="shared" ca="1" si="129"/>
        <v>0</v>
      </c>
      <c r="AE652" s="181" t="str">
        <f t="shared" ca="1" si="130"/>
        <v/>
      </c>
      <c r="AF652" s="42" t="str">
        <f t="shared" si="125"/>
        <v>SI</v>
      </c>
      <c r="AG652" s="732" t="s">
        <v>5773</v>
      </c>
      <c r="AH652" s="152" t="s">
        <v>1255</v>
      </c>
      <c r="AI652" s="255" t="s">
        <v>2059</v>
      </c>
      <c r="AJ652" s="152" t="s">
        <v>1436</v>
      </c>
      <c r="AK652" s="255" t="s">
        <v>561</v>
      </c>
      <c r="AL652" s="279"/>
      <c r="AM652" s="279" t="s">
        <v>3856</v>
      </c>
      <c r="AN652" s="161" t="str">
        <f t="shared" ca="1" si="131"/>
        <v>TERMINO</v>
      </c>
      <c r="AO652" s="284" t="s">
        <v>582</v>
      </c>
      <c r="AP652" s="406" t="s">
        <v>391</v>
      </c>
      <c r="AQ652" s="819" t="str">
        <f>IFERROR(VLOOKUP(E652,'liquidaciones '!$B$2:$C$1048576,2,0),"NO")</f>
        <v>LIQUIDADO</v>
      </c>
      <c r="AR652" s="909" t="str">
        <f>IFERROR(VLOOKUP(E652,'liquidaciones '!$B$2:$I$1048576,8,0),"")</f>
        <v>GABINO HERNANDEZ</v>
      </c>
      <c r="AS652" s="406"/>
      <c r="AT652" s="156" t="str">
        <f t="shared" ca="1" si="132"/>
        <v>SI</v>
      </c>
      <c r="AU652" s="406" t="s">
        <v>4299</v>
      </c>
      <c r="AV652" s="406"/>
      <c r="AW652" s="930" t="s">
        <v>4178</v>
      </c>
      <c r="AX652" s="928"/>
      <c r="AY652" s="275"/>
    </row>
    <row r="653" spans="3:51" ht="45" customHeight="1" x14ac:dyDescent="0.3">
      <c r="C653" s="837"/>
      <c r="D653" s="837"/>
      <c r="E653" s="120" t="s">
        <v>4163</v>
      </c>
      <c r="F653" s="414" t="s">
        <v>4164</v>
      </c>
      <c r="G653" s="873">
        <v>1013625644</v>
      </c>
      <c r="H653" s="965" t="s">
        <v>2482</v>
      </c>
      <c r="I653" s="84">
        <v>15613500</v>
      </c>
      <c r="J653" s="833" t="s">
        <v>4837</v>
      </c>
      <c r="K653" s="269">
        <v>2018</v>
      </c>
      <c r="L653" s="519">
        <v>43313</v>
      </c>
      <c r="M653" s="519">
        <v>43315</v>
      </c>
      <c r="N653" s="519">
        <v>43496</v>
      </c>
      <c r="O653" s="1099" t="str">
        <f>IF(+Modificaciones!I653=0,"",VLOOKUP(E653,Modificaciones!$B$7:$I$2400,8,0))</f>
        <v/>
      </c>
      <c r="P653" s="115">
        <f>COUNTA(Modificaciones!J653,Modificaciones!L653,Modificaciones!N653,Modificaciones!P653)</f>
        <v>1</v>
      </c>
      <c r="Q653" s="116">
        <f>VLOOKUP(E653,Modificaciones!$B$7:$R$2300,17,0)</f>
        <v>5031017</v>
      </c>
      <c r="R653" s="117">
        <f>COUNTA(Modificaciones!T653,Modificaciones!V653,Modificaciones!X653,Modificaciones!Z653)</f>
        <v>1</v>
      </c>
      <c r="S653" s="118" t="str">
        <f>IF(Modificaciones!AA653=0,"",VLOOKUP(E653,Modificaciones!$B$7:$AA$2400,26,0))</f>
        <v>1 mes y 28 días</v>
      </c>
      <c r="T653" s="119">
        <f>IF(Modificaciones!AB653=0,"",VLOOKUP(E653,Modificaciones!$B$7:$AB$2400,27,0))</f>
        <v>43554</v>
      </c>
      <c r="U653" s="1080" t="str">
        <f>+Modificaciones!AC653</f>
        <v/>
      </c>
      <c r="V653" s="825" t="str">
        <f>+Modificaciones!AK653</f>
        <v/>
      </c>
      <c r="W653" s="825">
        <f t="shared" si="127"/>
        <v>43554</v>
      </c>
      <c r="X653" s="59">
        <f t="shared" si="126"/>
        <v>20644517</v>
      </c>
      <c r="Y653" s="151">
        <f>VLOOKUP(E653,Modificaciones!$B$7:$BE$2300,56,0)</f>
        <v>20644516</v>
      </c>
      <c r="Z653" s="84">
        <f t="shared" si="123"/>
        <v>1</v>
      </c>
      <c r="AA653" s="283" t="s">
        <v>1094</v>
      </c>
      <c r="AB653" s="823">
        <f t="shared" si="124"/>
        <v>0.99999995156098831</v>
      </c>
      <c r="AC653" s="40">
        <f t="shared" ca="1" si="128"/>
        <v>1</v>
      </c>
      <c r="AD653" s="41">
        <f t="shared" ca="1" si="129"/>
        <v>4.8439011690604161E-8</v>
      </c>
      <c r="AE653" s="181" t="str">
        <f t="shared" ca="1" si="130"/>
        <v/>
      </c>
      <c r="AF653" s="42" t="str">
        <f t="shared" si="125"/>
        <v>SI</v>
      </c>
      <c r="AG653" s="732" t="s">
        <v>5773</v>
      </c>
      <c r="AH653" s="152" t="s">
        <v>1255</v>
      </c>
      <c r="AI653" s="152" t="s">
        <v>2178</v>
      </c>
      <c r="AJ653" s="152" t="s">
        <v>1176</v>
      </c>
      <c r="AK653" s="255" t="s">
        <v>559</v>
      </c>
      <c r="AL653" s="838"/>
      <c r="AM653" s="279" t="s">
        <v>4025</v>
      </c>
      <c r="AN653" s="161" t="str">
        <f t="shared" ca="1" si="131"/>
        <v>TERMINO</v>
      </c>
      <c r="AO653" s="284" t="s">
        <v>582</v>
      </c>
      <c r="AP653" s="155" t="s">
        <v>391</v>
      </c>
      <c r="AQ653" s="819" t="str">
        <f>IFERROR(VLOOKUP(E653,'liquidaciones '!$B$2:$C$1048576,2,0),"NO")</f>
        <v>LIQUIDADO</v>
      </c>
      <c r="AR653" s="909" t="str">
        <f>IFERROR(VLOOKUP(E653,'liquidaciones '!$B$2:$I$1048576,8,0),"")</f>
        <v>GABINO HERNANDEZ</v>
      </c>
      <c r="AS653" s="406"/>
      <c r="AT653" s="156" t="str">
        <f t="shared" ca="1" si="132"/>
        <v>SI</v>
      </c>
      <c r="AU653" s="406" t="s">
        <v>4805</v>
      </c>
      <c r="AV653" s="406"/>
      <c r="AW653" s="930" t="s">
        <v>3938</v>
      </c>
      <c r="AX653" s="928"/>
      <c r="AY653" s="275" t="s">
        <v>4778</v>
      </c>
    </row>
    <row r="654" spans="3:51" ht="61.2" x14ac:dyDescent="0.3">
      <c r="C654" s="837"/>
      <c r="D654" s="837"/>
      <c r="E654" s="120" t="s">
        <v>4165</v>
      </c>
      <c r="F654" s="414" t="s">
        <v>4338</v>
      </c>
      <c r="G654" s="863">
        <v>79965574</v>
      </c>
      <c r="H654" s="969" t="s">
        <v>4166</v>
      </c>
      <c r="I654" s="84">
        <v>28122000</v>
      </c>
      <c r="J654" s="843" t="s">
        <v>4836</v>
      </c>
      <c r="K654" s="269">
        <v>2018</v>
      </c>
      <c r="L654" s="519">
        <v>43312</v>
      </c>
      <c r="M654" s="519">
        <v>43315</v>
      </c>
      <c r="N654" s="519">
        <v>43496</v>
      </c>
      <c r="O654" s="1099" t="str">
        <f>IF(+Modificaciones!I654=0,"",VLOOKUP(E654,Modificaciones!$B$7:$I$2400,8,0))</f>
        <v/>
      </c>
      <c r="P654" s="115">
        <f>COUNTA(Modificaciones!J654,Modificaciones!L654,Modificaciones!N654,Modificaciones!P654)</f>
        <v>1</v>
      </c>
      <c r="Q654" s="116">
        <f>VLOOKUP(E654,Modificaciones!$B$7:$R$2300,17,0)</f>
        <v>9061533</v>
      </c>
      <c r="R654" s="117">
        <f>COUNTA(Modificaciones!T654,Modificaciones!V654,Modificaciones!X654,Modificaciones!Z654)</f>
        <v>1</v>
      </c>
      <c r="S654" s="118" t="str">
        <f>IF(Modificaciones!AA654=0,"",VLOOKUP(E654,Modificaciones!$B$7:$AA$2400,26,0))</f>
        <v>1 mes y 28 días</v>
      </c>
      <c r="T654" s="119">
        <f>IF(Modificaciones!AB654=0,"",VLOOKUP(E654,Modificaciones!$B$7:$AB$2400,27,0))</f>
        <v>43554</v>
      </c>
      <c r="U654" s="1080" t="str">
        <f>+Modificaciones!AC654</f>
        <v/>
      </c>
      <c r="V654" s="825" t="str">
        <f>+Modificaciones!AK654</f>
        <v/>
      </c>
      <c r="W654" s="825">
        <f t="shared" si="127"/>
        <v>43554</v>
      </c>
      <c r="X654" s="59">
        <f t="shared" si="126"/>
        <v>37183533</v>
      </c>
      <c r="Y654" s="151">
        <f>VLOOKUP(E654,Modificaciones!$B$7:$BE$2300,56,0)</f>
        <v>35464966</v>
      </c>
      <c r="Z654" s="84">
        <f t="shared" si="123"/>
        <v>1718567</v>
      </c>
      <c r="AA654" s="283" t="s">
        <v>1094</v>
      </c>
      <c r="AB654" s="823">
        <f t="shared" si="124"/>
        <v>0.95378150322617272</v>
      </c>
      <c r="AC654" s="40">
        <f t="shared" ca="1" si="128"/>
        <v>1</v>
      </c>
      <c r="AD654" s="41">
        <f t="shared" ca="1" si="129"/>
        <v>4.6218496773827278E-2</v>
      </c>
      <c r="AE654" s="181" t="str">
        <f t="shared" ca="1" si="130"/>
        <v/>
      </c>
      <c r="AF654" s="42" t="str">
        <f t="shared" si="125"/>
        <v>NO</v>
      </c>
      <c r="AG654" s="732" t="s">
        <v>5773</v>
      </c>
      <c r="AH654" s="152" t="s">
        <v>1255</v>
      </c>
      <c r="AI654" s="152" t="s">
        <v>2588</v>
      </c>
      <c r="AJ654" s="152" t="s">
        <v>1176</v>
      </c>
      <c r="AK654" s="255" t="s">
        <v>559</v>
      </c>
      <c r="AL654" s="279"/>
      <c r="AM654" s="279" t="s">
        <v>4025</v>
      </c>
      <c r="AN654" s="161" t="str">
        <f t="shared" ca="1" si="131"/>
        <v>TERMINO</v>
      </c>
      <c r="AO654" s="160" t="s">
        <v>582</v>
      </c>
      <c r="AP654" s="406" t="s">
        <v>391</v>
      </c>
      <c r="AQ654" s="819" t="str">
        <f>IFERROR(VLOOKUP(E654,'liquidaciones '!$B$2:$C$1048576,2,0),"NO")</f>
        <v>EN TRÁMITE</v>
      </c>
      <c r="AR654" s="909" t="str">
        <f>IFERROR(VLOOKUP(E654,'liquidaciones '!$B$2:$I$1048576,8,0),"")</f>
        <v>JUAN DIEGO ESPÍTIA</v>
      </c>
      <c r="AS654" s="406"/>
      <c r="AT654" s="156" t="str">
        <f t="shared" ca="1" si="132"/>
        <v>SI</v>
      </c>
      <c r="AU654" s="406" t="s">
        <v>4805</v>
      </c>
      <c r="AV654" s="406"/>
      <c r="AW654" s="930" t="s">
        <v>559</v>
      </c>
      <c r="AX654" s="928"/>
      <c r="AY654" s="275" t="s">
        <v>4682</v>
      </c>
    </row>
    <row r="655" spans="3:51" ht="40.799999999999997" x14ac:dyDescent="0.3">
      <c r="C655" s="837"/>
      <c r="D655" s="837"/>
      <c r="E655" s="120" t="s">
        <v>4174</v>
      </c>
      <c r="F655" s="414" t="s">
        <v>4175</v>
      </c>
      <c r="G655" s="863">
        <v>1030532647</v>
      </c>
      <c r="H655" s="969" t="s">
        <v>3594</v>
      </c>
      <c r="I655" s="84">
        <v>9765000</v>
      </c>
      <c r="J655" s="833" t="s">
        <v>4835</v>
      </c>
      <c r="K655" s="269">
        <v>2018</v>
      </c>
      <c r="L655" s="519">
        <v>43314</v>
      </c>
      <c r="M655" s="519">
        <v>43320</v>
      </c>
      <c r="N655" s="519">
        <v>43472</v>
      </c>
      <c r="O655" s="1099" t="str">
        <f>IF(+Modificaciones!I655=0,"",VLOOKUP(E655,Modificaciones!$B$7:$I$2400,8,0))</f>
        <v/>
      </c>
      <c r="P655" s="115">
        <f>COUNTA(Modificaciones!J655,Modificaciones!L655,Modificaciones!N655,Modificaciones!P655)</f>
        <v>1</v>
      </c>
      <c r="Q655" s="116">
        <f>VLOOKUP(E655,Modificaciones!$B$7:$R$2300,17,0)</f>
        <v>4882500</v>
      </c>
      <c r="R655" s="117">
        <f>COUNTA(Modificaciones!T655,Modificaciones!V655,Modificaciones!X655,Modificaciones!Z655)</f>
        <v>1</v>
      </c>
      <c r="S655" s="118" t="str">
        <f>IF(Modificaciones!AA655=0,"",VLOOKUP(E655,Modificaciones!$B$7:$AA$2400,26,0))</f>
        <v>2 meses y 15 días</v>
      </c>
      <c r="T655" s="119">
        <f>IF(Modificaciones!AB655=0,"",VLOOKUP(E655,Modificaciones!$B$7:$AB$2400,27,0))</f>
        <v>43553</v>
      </c>
      <c r="U655" s="1080" t="str">
        <f>+Modificaciones!AC655</f>
        <v/>
      </c>
      <c r="V655" s="825" t="str">
        <f>+Modificaciones!AK655</f>
        <v/>
      </c>
      <c r="W655" s="825">
        <f t="shared" si="127"/>
        <v>43553</v>
      </c>
      <c r="X655" s="59">
        <f t="shared" si="126"/>
        <v>14647500</v>
      </c>
      <c r="Y655" s="151">
        <f>VLOOKUP(E655,Modificaciones!$B$7:$BE$2300,56,0)</f>
        <v>14647500</v>
      </c>
      <c r="Z655" s="84">
        <f t="shared" si="123"/>
        <v>0</v>
      </c>
      <c r="AA655" s="283" t="s">
        <v>1094</v>
      </c>
      <c r="AB655" s="823">
        <f t="shared" si="124"/>
        <v>1</v>
      </c>
      <c r="AC655" s="40">
        <f t="shared" ca="1" si="128"/>
        <v>1</v>
      </c>
      <c r="AD655" s="41">
        <f t="shared" ca="1" si="129"/>
        <v>0</v>
      </c>
      <c r="AE655" s="181" t="str">
        <f t="shared" ca="1" si="130"/>
        <v/>
      </c>
      <c r="AF655" s="42" t="str">
        <f t="shared" si="125"/>
        <v>SI</v>
      </c>
      <c r="AG655" s="732" t="s">
        <v>5773</v>
      </c>
      <c r="AH655" s="152" t="s">
        <v>1255</v>
      </c>
      <c r="AI655" s="255" t="s">
        <v>3595</v>
      </c>
      <c r="AJ655" s="838" t="s">
        <v>3596</v>
      </c>
      <c r="AK655" s="255" t="s">
        <v>560</v>
      </c>
      <c r="AL655" s="838" t="s">
        <v>3597</v>
      </c>
      <c r="AM655" s="279" t="s">
        <v>3873</v>
      </c>
      <c r="AN655" s="161" t="str">
        <f t="shared" ca="1" si="131"/>
        <v>TERMINO</v>
      </c>
      <c r="AO655" s="284" t="s">
        <v>582</v>
      </c>
      <c r="AP655" s="406" t="s">
        <v>391</v>
      </c>
      <c r="AQ655" s="819" t="str">
        <f>IFERROR(VLOOKUP(E655,'liquidaciones '!$B$2:$C$1048576,2,0),"NO")</f>
        <v>EN TRÁMITE</v>
      </c>
      <c r="AR655" s="909" t="str">
        <f>IFERROR(VLOOKUP(E655,'liquidaciones '!$B$2:$I$1048576,8,0),"")</f>
        <v>JUAN DIEGO ESPITIA ROA</v>
      </c>
      <c r="AS655" s="406"/>
      <c r="AT655" s="156" t="str">
        <f t="shared" ca="1" si="132"/>
        <v>SI</v>
      </c>
      <c r="AU655" s="156" t="s">
        <v>4245</v>
      </c>
      <c r="AV655" s="406" t="s">
        <v>3774</v>
      </c>
      <c r="AW655" s="930" t="s">
        <v>560</v>
      </c>
      <c r="AX655" s="928"/>
      <c r="AY655" s="275" t="s">
        <v>4673</v>
      </c>
    </row>
    <row r="656" spans="3:51" ht="30.6" x14ac:dyDescent="0.3">
      <c r="C656" s="837"/>
      <c r="D656" s="837"/>
      <c r="E656" s="120" t="s">
        <v>4176</v>
      </c>
      <c r="F656" s="414" t="s">
        <v>4177</v>
      </c>
      <c r="G656" s="863">
        <v>1016064307</v>
      </c>
      <c r="H656" s="969" t="s">
        <v>3504</v>
      </c>
      <c r="I656" s="84">
        <v>11718000</v>
      </c>
      <c r="J656" s="833" t="s">
        <v>4834</v>
      </c>
      <c r="K656" s="269">
        <v>2018</v>
      </c>
      <c r="L656" s="519">
        <v>43314</v>
      </c>
      <c r="M656" s="519">
        <v>43320</v>
      </c>
      <c r="N656" s="519">
        <v>43496</v>
      </c>
      <c r="O656" s="1099" t="str">
        <f>IF(+Modificaciones!I656=0,"",VLOOKUP(E656,Modificaciones!$B$7:$I$2400,8,0))</f>
        <v/>
      </c>
      <c r="P656" s="115">
        <f>COUNTA(Modificaciones!J656,Modificaciones!L656,Modificaciones!N656,Modificaciones!P656)</f>
        <v>1</v>
      </c>
      <c r="Q656" s="116">
        <f>VLOOKUP(E656,Modificaciones!$B$7:$R$2300,17,0)</f>
        <v>3450300</v>
      </c>
      <c r="R656" s="117">
        <f>COUNTA(Modificaciones!T656,Modificaciones!V656,Modificaciones!X656,Modificaciones!Z656)</f>
        <v>1</v>
      </c>
      <c r="S656" s="118" t="str">
        <f>IF(Modificaciones!AA656=0,"",VLOOKUP(E656,Modificaciones!$B$7:$AA$2400,26,0))</f>
        <v>1 mes y 23 días</v>
      </c>
      <c r="T656" s="119">
        <f>IF(Modificaciones!AB656=0,"",VLOOKUP(E656,Modificaciones!$B$7:$AB$2400,27,0))</f>
        <v>43554</v>
      </c>
      <c r="U656" s="1080" t="str">
        <f>+Modificaciones!AC656</f>
        <v/>
      </c>
      <c r="V656" s="825" t="str">
        <f>+Modificaciones!AK656</f>
        <v/>
      </c>
      <c r="W656" s="825">
        <f t="shared" si="127"/>
        <v>43554</v>
      </c>
      <c r="X656" s="59">
        <f t="shared" si="126"/>
        <v>15168300</v>
      </c>
      <c r="Y656" s="151">
        <f>VLOOKUP(E656,Modificaciones!$B$7:$BE$2300,56,0)</f>
        <v>15168300</v>
      </c>
      <c r="Z656" s="84">
        <f t="shared" si="123"/>
        <v>0</v>
      </c>
      <c r="AA656" s="283" t="s">
        <v>1094</v>
      </c>
      <c r="AB656" s="823">
        <f t="shared" si="124"/>
        <v>1</v>
      </c>
      <c r="AC656" s="40">
        <f t="shared" ca="1" si="128"/>
        <v>1</v>
      </c>
      <c r="AD656" s="41">
        <f t="shared" ca="1" si="129"/>
        <v>0</v>
      </c>
      <c r="AE656" s="181" t="str">
        <f t="shared" ca="1" si="130"/>
        <v/>
      </c>
      <c r="AF656" s="42" t="str">
        <f t="shared" si="125"/>
        <v>SI</v>
      </c>
      <c r="AG656" s="732" t="s">
        <v>5773</v>
      </c>
      <c r="AH656" s="841" t="s">
        <v>1255</v>
      </c>
      <c r="AI656" s="255" t="s">
        <v>3062</v>
      </c>
      <c r="AJ656" s="152" t="s">
        <v>1436</v>
      </c>
      <c r="AK656" s="255" t="s">
        <v>561</v>
      </c>
      <c r="AL656" s="838"/>
      <c r="AM656" s="279" t="s">
        <v>3856</v>
      </c>
      <c r="AN656" s="161" t="str">
        <f t="shared" ca="1" si="131"/>
        <v>TERMINO</v>
      </c>
      <c r="AO656" s="284" t="s">
        <v>582</v>
      </c>
      <c r="AP656" s="406" t="s">
        <v>391</v>
      </c>
      <c r="AQ656" s="819" t="str">
        <f>IFERROR(VLOOKUP(E656,'liquidaciones '!$B$2:$C$1048576,2,0),"NO")</f>
        <v>LIQUIDADO</v>
      </c>
      <c r="AR656" s="909">
        <f>IFERROR(VLOOKUP(E656,'liquidaciones '!$B$2:$I$1048576,8,0),"")</f>
        <v>0</v>
      </c>
      <c r="AS656" s="406"/>
      <c r="AT656" s="156" t="str">
        <f t="shared" ca="1" si="132"/>
        <v>SI</v>
      </c>
      <c r="AU656" s="156" t="s">
        <v>4226</v>
      </c>
      <c r="AV656" s="406"/>
      <c r="AW656" s="930" t="s">
        <v>4178</v>
      </c>
      <c r="AX656" s="928"/>
      <c r="AY656" s="275" t="s">
        <v>4784</v>
      </c>
    </row>
    <row r="657" spans="3:51" ht="30.6" x14ac:dyDescent="0.3">
      <c r="C657" s="837"/>
      <c r="D657" s="837"/>
      <c r="E657" s="120" t="s">
        <v>4179</v>
      </c>
      <c r="F657" s="414" t="s">
        <v>4180</v>
      </c>
      <c r="G657" s="863">
        <v>1032397721</v>
      </c>
      <c r="H657" s="969" t="s">
        <v>4181</v>
      </c>
      <c r="I657" s="84">
        <v>11718000</v>
      </c>
      <c r="J657" s="843" t="s">
        <v>4833</v>
      </c>
      <c r="K657" s="269">
        <v>2018</v>
      </c>
      <c r="L657" s="519">
        <v>43315</v>
      </c>
      <c r="M657" s="519">
        <v>43326</v>
      </c>
      <c r="N657" s="519">
        <v>43496</v>
      </c>
      <c r="O657" s="1099" t="str">
        <f>IF(+Modificaciones!I657=0,"",VLOOKUP(E657,Modificaciones!$B$7:$I$2400,8,0))</f>
        <v/>
      </c>
      <c r="P657" s="115">
        <f>COUNTA(Modificaciones!J657,Modificaciones!L657,Modificaciones!N657,Modificaciones!P657)</f>
        <v>1</v>
      </c>
      <c r="Q657" s="116">
        <f>VLOOKUP(E657,Modificaciones!$B$7:$R$2300,17,0)</f>
        <v>3059700</v>
      </c>
      <c r="R657" s="117">
        <f>COUNTA(Modificaciones!T657,Modificaciones!V657,Modificaciones!X657,Modificaciones!Z657)</f>
        <v>1</v>
      </c>
      <c r="S657" s="118" t="str">
        <f>IF(Modificaciones!AA657=0,"",VLOOKUP(E657,Modificaciones!$B$7:$AA$2400,26,0))</f>
        <v>1 mes y 17 días</v>
      </c>
      <c r="T657" s="119">
        <f>IF(Modificaciones!AB657=0,"",VLOOKUP(E657,Modificaciones!$B$7:$AB$2400,27,0))</f>
        <v>43554</v>
      </c>
      <c r="U657" s="1080" t="str">
        <f>+Modificaciones!AC657</f>
        <v/>
      </c>
      <c r="V657" s="825" t="str">
        <f>+Modificaciones!AK657</f>
        <v/>
      </c>
      <c r="W657" s="825">
        <f t="shared" si="127"/>
        <v>43554</v>
      </c>
      <c r="X657" s="59">
        <f t="shared" si="126"/>
        <v>14777700</v>
      </c>
      <c r="Y657" s="151">
        <f>VLOOKUP(E657,Modificaciones!$B$7:$BE$2300,56,0)</f>
        <v>14777700</v>
      </c>
      <c r="Z657" s="84">
        <f t="shared" si="123"/>
        <v>0</v>
      </c>
      <c r="AA657" s="283" t="s">
        <v>1094</v>
      </c>
      <c r="AB657" s="823">
        <f t="shared" si="124"/>
        <v>1</v>
      </c>
      <c r="AC657" s="40">
        <f t="shared" ca="1" si="128"/>
        <v>1</v>
      </c>
      <c r="AD657" s="41">
        <f t="shared" ca="1" si="129"/>
        <v>0</v>
      </c>
      <c r="AE657" s="181" t="str">
        <f t="shared" ca="1" si="130"/>
        <v/>
      </c>
      <c r="AF657" s="42" t="str">
        <f t="shared" si="125"/>
        <v>SI</v>
      </c>
      <c r="AG657" s="732" t="s">
        <v>5773</v>
      </c>
      <c r="AH657" s="841" t="s">
        <v>1255</v>
      </c>
      <c r="AI657" s="255" t="s">
        <v>4182</v>
      </c>
      <c r="AJ657" s="838"/>
      <c r="AK657" s="255" t="s">
        <v>562</v>
      </c>
      <c r="AL657" s="838"/>
      <c r="AM657" s="279" t="s">
        <v>3984</v>
      </c>
      <c r="AN657" s="161" t="str">
        <f t="shared" ca="1" si="131"/>
        <v>TERMINO</v>
      </c>
      <c r="AO657" s="284" t="s">
        <v>582</v>
      </c>
      <c r="AP657" s="406" t="s">
        <v>391</v>
      </c>
      <c r="AQ657" s="819" t="str">
        <f>IFERROR(VLOOKUP(E657,'liquidaciones '!$B$2:$C$1048576,2,0),"NO")</f>
        <v>LIQUIDADO</v>
      </c>
      <c r="AR657" s="909" t="str">
        <f>IFERROR(VLOOKUP(E657,'liquidaciones '!$B$2:$I$1048576,8,0),"")</f>
        <v>JUAN DIEGO ESPÍTIA</v>
      </c>
      <c r="AS657" s="406"/>
      <c r="AT657" s="156" t="str">
        <f t="shared" ca="1" si="132"/>
        <v>SI</v>
      </c>
      <c r="AU657" s="951" t="s">
        <v>4226</v>
      </c>
      <c r="AV657" s="406"/>
      <c r="AW657" s="930" t="s">
        <v>3985</v>
      </c>
      <c r="AX657" s="928"/>
      <c r="AY657" s="275" t="s">
        <v>4787</v>
      </c>
    </row>
    <row r="658" spans="3:51" ht="30.6" x14ac:dyDescent="0.3">
      <c r="C658" s="837">
        <v>4</v>
      </c>
      <c r="D658" s="837"/>
      <c r="E658" s="120" t="s">
        <v>4183</v>
      </c>
      <c r="F658" s="414" t="s">
        <v>2520</v>
      </c>
      <c r="G658" s="863">
        <v>4831</v>
      </c>
      <c r="H658" s="965" t="s">
        <v>4184</v>
      </c>
      <c r="I658" s="84">
        <v>8400000</v>
      </c>
      <c r="J658" s="843" t="s">
        <v>4188</v>
      </c>
      <c r="K658" s="269">
        <v>2018</v>
      </c>
      <c r="L658" s="519">
        <v>43300</v>
      </c>
      <c r="M658" s="519">
        <v>43327</v>
      </c>
      <c r="N658" s="519">
        <v>43569</v>
      </c>
      <c r="O658" s="1099" t="str">
        <f>IF(+Modificaciones!I658=0,"",VLOOKUP(E658,Modificaciones!$B$7:$I$2400,8,0))</f>
        <v/>
      </c>
      <c r="P658" s="115">
        <f>COUNTA(Modificaciones!J658,Modificaciones!L658,Modificaciones!N658,Modificaciones!P658)</f>
        <v>0</v>
      </c>
      <c r="Q658" s="116">
        <f>VLOOKUP(E658,Modificaciones!$B$7:$R$2300,17,0)</f>
        <v>0</v>
      </c>
      <c r="R658" s="117">
        <f>COUNTA(Modificaciones!T658,Modificaciones!V658,Modificaciones!X658,Modificaciones!Z658)</f>
        <v>0</v>
      </c>
      <c r="S658" s="118" t="str">
        <f>IF(Modificaciones!AA658=0,"",VLOOKUP(E658,Modificaciones!$B$7:$AA$2400,26,0))</f>
        <v/>
      </c>
      <c r="T658" s="119" t="str">
        <f>IF(Modificaciones!AB658=0,"",VLOOKUP(E658,Modificaciones!$B$7:$AB$2400,27,0))</f>
        <v/>
      </c>
      <c r="U658" s="1080" t="str">
        <f>+Modificaciones!AC658</f>
        <v/>
      </c>
      <c r="V658" s="825" t="str">
        <f>+Modificaciones!AK658</f>
        <v/>
      </c>
      <c r="W658" s="825">
        <f t="shared" si="127"/>
        <v>43569</v>
      </c>
      <c r="X658" s="59">
        <f t="shared" si="126"/>
        <v>8400000</v>
      </c>
      <c r="Y658" s="151">
        <f>VLOOKUP(E658,Modificaciones!$B$7:$BE$2300,56,0)</f>
        <v>4348636</v>
      </c>
      <c r="Z658" s="84">
        <f t="shared" si="123"/>
        <v>4051364</v>
      </c>
      <c r="AA658" s="283" t="s">
        <v>1640</v>
      </c>
      <c r="AB658" s="823">
        <f t="shared" si="124"/>
        <v>0.51769476190476194</v>
      </c>
      <c r="AC658" s="40">
        <f t="shared" ca="1" si="128"/>
        <v>1</v>
      </c>
      <c r="AD658" s="41">
        <f t="shared" ca="1" si="129"/>
        <v>0.48230523809523806</v>
      </c>
      <c r="AE658" s="181" t="str">
        <f t="shared" ca="1" si="130"/>
        <v/>
      </c>
      <c r="AF658" s="42" t="str">
        <f t="shared" si="125"/>
        <v>NO</v>
      </c>
      <c r="AG658" s="1017" t="s">
        <v>4920</v>
      </c>
      <c r="AH658" s="152" t="s">
        <v>1255</v>
      </c>
      <c r="AI658" s="152" t="s">
        <v>1125</v>
      </c>
      <c r="AJ658" s="152" t="s">
        <v>1441</v>
      </c>
      <c r="AK658" s="255" t="s">
        <v>560</v>
      </c>
      <c r="AL658" s="153" t="s">
        <v>4185</v>
      </c>
      <c r="AM658" s="279" t="s">
        <v>2830</v>
      </c>
      <c r="AN658" s="161" t="str">
        <f t="shared" ca="1" si="131"/>
        <v>TERMINO</v>
      </c>
      <c r="AO658" s="160" t="s">
        <v>576</v>
      </c>
      <c r="AP658" s="155" t="s">
        <v>390</v>
      </c>
      <c r="AQ658" s="819" t="str">
        <f>IFERROR(VLOOKUP(E658,'liquidaciones '!$B$2:$C$1048576,2,0),"NO")</f>
        <v>LIQUIDADO</v>
      </c>
      <c r="AR658" s="909" t="str">
        <f>IFERROR(VLOOKUP(E658,'liquidaciones '!$B$2:$I$1048576,8,0),"")</f>
        <v>JUAN DIEGO ESPÍTIA</v>
      </c>
      <c r="AS658" s="406"/>
      <c r="AT658" s="156" t="str">
        <f t="shared" ca="1" si="132"/>
        <v>SI</v>
      </c>
      <c r="AU658" s="156" t="s">
        <v>2960</v>
      </c>
      <c r="AV658" s="406" t="s">
        <v>4575</v>
      </c>
      <c r="AW658" s="930" t="s">
        <v>560</v>
      </c>
      <c r="AX658" s="928"/>
      <c r="AY658" s="275" t="s">
        <v>4666</v>
      </c>
    </row>
    <row r="659" spans="3:51" ht="142.80000000000001" x14ac:dyDescent="0.3">
      <c r="C659" s="837">
        <v>140</v>
      </c>
      <c r="D659" s="837"/>
      <c r="E659" s="120" t="s">
        <v>4186</v>
      </c>
      <c r="F659" s="414" t="s">
        <v>73</v>
      </c>
      <c r="G659" s="863" t="s">
        <v>4187</v>
      </c>
      <c r="H659" s="969" t="s">
        <v>4881</v>
      </c>
      <c r="I659" s="84">
        <v>969949607</v>
      </c>
      <c r="J659" s="974" t="s">
        <v>4832</v>
      </c>
      <c r="K659" s="269">
        <v>2018</v>
      </c>
      <c r="L659" s="519">
        <v>43308</v>
      </c>
      <c r="M659" s="519">
        <v>43327</v>
      </c>
      <c r="N659" s="519">
        <v>43538</v>
      </c>
      <c r="O659" s="1099" t="str">
        <f>IF(+Modificaciones!I659=0,"",VLOOKUP(E659,Modificaciones!$B$7:$I$2400,8,0))</f>
        <v/>
      </c>
      <c r="P659" s="115">
        <f>COUNTA(Modificaciones!J659,Modificaciones!L659,Modificaciones!N659,Modificaciones!P659)</f>
        <v>0</v>
      </c>
      <c r="Q659" s="116">
        <f>VLOOKUP(E659,Modificaciones!$B$7:$R$2300,17,0)</f>
        <v>0</v>
      </c>
      <c r="R659" s="117">
        <f>COUNTA(Modificaciones!T659,Modificaciones!V659,Modificaciones!X659,Modificaciones!Z659)</f>
        <v>2</v>
      </c>
      <c r="S659" s="118" t="str">
        <f>IF(Modificaciones!AA659=0,"",VLOOKUP(E659,Modificaciones!$B$7:$AA$2400,26,0))</f>
        <v>2 meses</v>
      </c>
      <c r="T659" s="119">
        <f>IF(Modificaciones!AB659=0,"",VLOOKUP(E659,Modificaciones!$B$7:$AB$2400,27,0))</f>
        <v>43599</v>
      </c>
      <c r="U659" s="1080" t="str">
        <f>+Modificaciones!AC659</f>
        <v/>
      </c>
      <c r="V659" s="825" t="str">
        <f>+Modificaciones!AK659</f>
        <v/>
      </c>
      <c r="W659" s="825">
        <f t="shared" si="127"/>
        <v>43599</v>
      </c>
      <c r="X659" s="59">
        <f t="shared" si="126"/>
        <v>969949607</v>
      </c>
      <c r="Y659" s="151">
        <f>VLOOKUP(E659,Modificaciones!$B$7:$BE$2300,56,0)</f>
        <v>885198634</v>
      </c>
      <c r="Z659" s="84">
        <f t="shared" si="123"/>
        <v>84750973</v>
      </c>
      <c r="AA659" s="283" t="s">
        <v>1889</v>
      </c>
      <c r="AB659" s="823">
        <f t="shared" si="124"/>
        <v>0.91262332353313691</v>
      </c>
      <c r="AC659" s="40">
        <f t="shared" ca="1" si="128"/>
        <v>1</v>
      </c>
      <c r="AD659" s="41">
        <f t="shared" ca="1" si="129"/>
        <v>8.737667646686309E-2</v>
      </c>
      <c r="AE659" s="181" t="str">
        <f t="shared" ca="1" si="130"/>
        <v/>
      </c>
      <c r="AF659" s="42" t="str">
        <f t="shared" si="125"/>
        <v>NO</v>
      </c>
      <c r="AG659" s="732" t="s">
        <v>1718</v>
      </c>
      <c r="AH659" s="152" t="s">
        <v>1255</v>
      </c>
      <c r="AI659" s="152" t="s">
        <v>1291</v>
      </c>
      <c r="AJ659" s="152" t="s">
        <v>1429</v>
      </c>
      <c r="AK659" s="255" t="s">
        <v>564</v>
      </c>
      <c r="AL659" s="279"/>
      <c r="AM659" s="279"/>
      <c r="AN659" s="161" t="str">
        <f t="shared" ca="1" si="131"/>
        <v>TERMINO</v>
      </c>
      <c r="AO659" s="284" t="s">
        <v>582</v>
      </c>
      <c r="AP659" s="406" t="s">
        <v>390</v>
      </c>
      <c r="AQ659" s="819" t="str">
        <f>IFERROR(VLOOKUP(E659,'liquidaciones '!$B$2:$C$1048576,2,0),"NO")</f>
        <v>LIQUIDADO</v>
      </c>
      <c r="AR659" s="909" t="str">
        <f>IFERROR(VLOOKUP(E659,'liquidaciones '!$B$2:$I$1048576,8,0),"")</f>
        <v>JUAN DIEGO ESPÍTIA</v>
      </c>
      <c r="AS659" s="406"/>
      <c r="AT659" s="156" t="str">
        <f t="shared" ca="1" si="132"/>
        <v>SI</v>
      </c>
      <c r="AU659" s="930" t="s">
        <v>4804</v>
      </c>
      <c r="AV659" s="406"/>
      <c r="AW659" s="930" t="s">
        <v>3920</v>
      </c>
      <c r="AX659" s="275" t="s">
        <v>4859</v>
      </c>
      <c r="AY659" s="275" t="s">
        <v>4972</v>
      </c>
    </row>
    <row r="660" spans="3:51" ht="61.2" x14ac:dyDescent="0.3">
      <c r="C660" s="837">
        <v>132</v>
      </c>
      <c r="D660" s="837"/>
      <c r="E660" s="120" t="s">
        <v>4192</v>
      </c>
      <c r="F660" s="414" t="s">
        <v>3943</v>
      </c>
      <c r="G660" s="863">
        <v>900424713</v>
      </c>
      <c r="H660" s="969" t="s">
        <v>4193</v>
      </c>
      <c r="I660" s="84">
        <v>91200000</v>
      </c>
      <c r="J660" s="833" t="s">
        <v>4831</v>
      </c>
      <c r="K660" s="269">
        <v>2018</v>
      </c>
      <c r="L660" s="519">
        <v>43313</v>
      </c>
      <c r="M660" s="519">
        <v>43325</v>
      </c>
      <c r="N660" s="519">
        <v>43567</v>
      </c>
      <c r="O660" s="1099" t="str">
        <f>IF(+Modificaciones!I660=0,"",VLOOKUP(E660,Modificaciones!$B$7:$I$2400,8,0))</f>
        <v/>
      </c>
      <c r="P660" s="115">
        <f>COUNTA(Modificaciones!J660,Modificaciones!L660,Modificaciones!N660,Modificaciones!P660)</f>
        <v>1</v>
      </c>
      <c r="Q660" s="116">
        <f>VLOOKUP(E660,Modificaciones!$B$7:$R$2300,17,0)</f>
        <v>17000000</v>
      </c>
      <c r="R660" s="117">
        <f>COUNTA(Modificaciones!T660,Modificaciones!V660,Modificaciones!X660,Modificaciones!Z660)</f>
        <v>2</v>
      </c>
      <c r="S660" s="118" t="str">
        <f>IF(Modificaciones!AA660=0,"",VLOOKUP(E660,Modificaciones!$B$7:$AA$2400,26,0))</f>
        <v>1 mes y 20 días</v>
      </c>
      <c r="T660" s="119">
        <f>IF(Modificaciones!AB660=0,"",VLOOKUP(E660,Modificaciones!$B$7:$AB$2400,27,0))</f>
        <v>43617</v>
      </c>
      <c r="U660" s="1080" t="str">
        <f>+Modificaciones!AC660</f>
        <v/>
      </c>
      <c r="V660" s="825" t="str">
        <f>+Modificaciones!AK660</f>
        <v/>
      </c>
      <c r="W660" s="825">
        <f t="shared" si="127"/>
        <v>43617</v>
      </c>
      <c r="X660" s="59">
        <f t="shared" si="126"/>
        <v>108200000</v>
      </c>
      <c r="Y660" s="151">
        <f>VLOOKUP(E660,Modificaciones!$B$7:$BE$2300,56,0)</f>
        <v>107965476</v>
      </c>
      <c r="Z660" s="84">
        <f t="shared" si="123"/>
        <v>234524</v>
      </c>
      <c r="AA660" s="283" t="s">
        <v>1094</v>
      </c>
      <c r="AB660" s="823">
        <f t="shared" si="124"/>
        <v>0.99783249537892793</v>
      </c>
      <c r="AC660" s="40">
        <f t="shared" ca="1" si="128"/>
        <v>1</v>
      </c>
      <c r="AD660" s="41">
        <f t="shared" ca="1" si="129"/>
        <v>2.1675046210720694E-3</v>
      </c>
      <c r="AE660" s="181" t="str">
        <f t="shared" ca="1" si="130"/>
        <v/>
      </c>
      <c r="AF660" s="42" t="str">
        <f t="shared" si="125"/>
        <v>NO</v>
      </c>
      <c r="AG660" s="1017" t="s">
        <v>4920</v>
      </c>
      <c r="AH660" s="152" t="s">
        <v>1255</v>
      </c>
      <c r="AI660" s="255" t="s">
        <v>1300</v>
      </c>
      <c r="AJ660" s="152" t="s">
        <v>1434</v>
      </c>
      <c r="AK660" s="255" t="s">
        <v>560</v>
      </c>
      <c r="AL660" s="838" t="s">
        <v>4194</v>
      </c>
      <c r="AM660" s="279" t="s">
        <v>3873</v>
      </c>
      <c r="AN660" s="161" t="str">
        <f t="shared" ca="1" si="131"/>
        <v>TERMINO</v>
      </c>
      <c r="AO660" s="284" t="s">
        <v>574</v>
      </c>
      <c r="AP660" s="155" t="s">
        <v>390</v>
      </c>
      <c r="AQ660" s="819" t="str">
        <f>IFERROR(VLOOKUP(E660,'liquidaciones '!$B$2:$C$1048576,2,0),"NO")</f>
        <v>EN TRÁMITE</v>
      </c>
      <c r="AR660" s="909" t="str">
        <f>IFERROR(VLOOKUP(E660,'liquidaciones '!$B$2:$I$1048576,8,0),"")</f>
        <v>JUAN DIEGO ESPITIA</v>
      </c>
      <c r="AS660" s="406"/>
      <c r="AT660" s="156" t="str">
        <f t="shared" ca="1" si="132"/>
        <v>SI</v>
      </c>
      <c r="AU660" s="406" t="s">
        <v>5047</v>
      </c>
      <c r="AV660" s="406" t="s">
        <v>4624</v>
      </c>
      <c r="AW660" s="930" t="s">
        <v>3887</v>
      </c>
      <c r="AX660" s="275" t="s">
        <v>4857</v>
      </c>
      <c r="AY660" s="275" t="s">
        <v>4908</v>
      </c>
    </row>
    <row r="661" spans="3:51" ht="30.6" x14ac:dyDescent="0.3">
      <c r="C661" s="837"/>
      <c r="D661" s="837"/>
      <c r="E661" s="120" t="s">
        <v>4195</v>
      </c>
      <c r="F661" s="414" t="s">
        <v>4196</v>
      </c>
      <c r="G661" s="863">
        <v>1077970840</v>
      </c>
      <c r="H661" s="967" t="s">
        <v>4197</v>
      </c>
      <c r="I661" s="84">
        <v>13200000</v>
      </c>
      <c r="J661" s="843" t="s">
        <v>4607</v>
      </c>
      <c r="K661" s="269">
        <v>2018</v>
      </c>
      <c r="L661" s="519">
        <v>43320</v>
      </c>
      <c r="M661" s="519">
        <v>43326</v>
      </c>
      <c r="N661" s="519">
        <v>43496</v>
      </c>
      <c r="O661" s="1099" t="str">
        <f>IF(+Modificaciones!I661=0,"",VLOOKUP(E661,Modificaciones!$B$7:$I$2400,8,0))</f>
        <v/>
      </c>
      <c r="P661" s="115">
        <f>COUNTA(Modificaciones!J661,Modificaciones!L661,Modificaciones!N661,Modificaciones!P661)</f>
        <v>1</v>
      </c>
      <c r="Q661" s="116">
        <f>VLOOKUP(E661,Modificaciones!$B$7:$R$2300,17,0)</f>
        <v>5646667</v>
      </c>
      <c r="R661" s="117">
        <f>COUNTA(Modificaciones!T661,Modificaciones!V661,Modificaciones!X661,Modificaciones!Z661)</f>
        <v>1</v>
      </c>
      <c r="S661" s="118" t="str">
        <f>IF(Modificaciones!AA661=0,"",VLOOKUP(E661,Modificaciones!$B$7:$AA$2400,26,0))</f>
        <v>2 meses y 17 días</v>
      </c>
      <c r="T661" s="119">
        <f>IF(Modificaciones!AB661=0,"",VLOOKUP(E661,Modificaciones!$B$7:$AB$2400,27,0))</f>
        <v>43585</v>
      </c>
      <c r="U661" s="1080" t="str">
        <f>+Modificaciones!AC661</f>
        <v/>
      </c>
      <c r="V661" s="825" t="str">
        <f>+Modificaciones!AK661</f>
        <v/>
      </c>
      <c r="W661" s="825">
        <f t="shared" si="127"/>
        <v>43585</v>
      </c>
      <c r="X661" s="59">
        <f t="shared" si="126"/>
        <v>18846667</v>
      </c>
      <c r="Y661" s="151">
        <f>VLOOKUP(E661,Modificaciones!$B$7:$BE$2300,56,0)</f>
        <v>18846667</v>
      </c>
      <c r="Z661" s="84">
        <f t="shared" si="123"/>
        <v>0</v>
      </c>
      <c r="AA661" s="283" t="s">
        <v>1094</v>
      </c>
      <c r="AB661" s="823">
        <f t="shared" si="124"/>
        <v>1</v>
      </c>
      <c r="AC661" s="40">
        <f t="shared" ca="1" si="128"/>
        <v>1</v>
      </c>
      <c r="AD661" s="41">
        <f t="shared" ca="1" si="129"/>
        <v>0</v>
      </c>
      <c r="AE661" s="181" t="str">
        <f t="shared" ca="1" si="130"/>
        <v/>
      </c>
      <c r="AF661" s="42" t="str">
        <f t="shared" si="125"/>
        <v>SI</v>
      </c>
      <c r="AG661" s="732" t="s">
        <v>5773</v>
      </c>
      <c r="AH661" s="152" t="s">
        <v>1255</v>
      </c>
      <c r="AI661" s="870" t="s">
        <v>2936</v>
      </c>
      <c r="AJ661" s="152" t="s">
        <v>1176</v>
      </c>
      <c r="AK661" s="255" t="s">
        <v>559</v>
      </c>
      <c r="AL661" s="838"/>
      <c r="AM661" s="279" t="s">
        <v>4025</v>
      </c>
      <c r="AN661" s="161" t="str">
        <f t="shared" ca="1" si="131"/>
        <v>TERMINO</v>
      </c>
      <c r="AO661" s="160" t="s">
        <v>582</v>
      </c>
      <c r="AP661" s="406" t="s">
        <v>391</v>
      </c>
      <c r="AQ661" s="819" t="str">
        <f>IFERROR(VLOOKUP(E661,'liquidaciones '!$B$2:$C$1048576,2,0),"NO")</f>
        <v>LIQUIDADO</v>
      </c>
      <c r="AR661" s="909" t="str">
        <f>IFERROR(VLOOKUP(E661,'liquidaciones '!$B$2:$I$1048576,8,0),"")</f>
        <v>JUAN DIEGO ESPITIA ROA</v>
      </c>
      <c r="AS661" s="406"/>
      <c r="AT661" s="156" t="str">
        <f t="shared" ca="1" si="132"/>
        <v>SI</v>
      </c>
      <c r="AU661" s="156" t="s">
        <v>4245</v>
      </c>
      <c r="AV661" s="406"/>
      <c r="AW661" s="930" t="s">
        <v>3938</v>
      </c>
      <c r="AX661" s="928"/>
      <c r="AY661" s="275"/>
    </row>
    <row r="662" spans="3:51" ht="40.799999999999997" x14ac:dyDescent="0.3">
      <c r="C662" s="837">
        <v>424</v>
      </c>
      <c r="D662" s="837"/>
      <c r="E662" s="120" t="s">
        <v>4198</v>
      </c>
      <c r="F662" s="414" t="s">
        <v>4199</v>
      </c>
      <c r="G662" s="1058">
        <v>1102812271</v>
      </c>
      <c r="H662" s="969" t="s">
        <v>4204</v>
      </c>
      <c r="I662" s="84">
        <v>37500000</v>
      </c>
      <c r="J662" s="833" t="s">
        <v>4830</v>
      </c>
      <c r="K662" s="269">
        <v>2018</v>
      </c>
      <c r="L662" s="519">
        <v>43315</v>
      </c>
      <c r="M662" s="519">
        <v>43322</v>
      </c>
      <c r="N662" s="519">
        <v>43496</v>
      </c>
      <c r="O662" s="1099" t="str">
        <f>IF(+Modificaciones!I662=0,"",VLOOKUP(E662,Modificaciones!$B$7:$I$2400,8,0))</f>
        <v/>
      </c>
      <c r="P662" s="115">
        <f>COUNTA(Modificaciones!J662,Modificaciones!L662,Modificaciones!N662,Modificaciones!P662)</f>
        <v>0</v>
      </c>
      <c r="Q662" s="116">
        <f>VLOOKUP(E662,Modificaciones!$B$7:$R$2300,17,0)</f>
        <v>0</v>
      </c>
      <c r="R662" s="117">
        <f>COUNTA(Modificaciones!T662,Modificaciones!V662,Modificaciones!X662,Modificaciones!Z662)</f>
        <v>0</v>
      </c>
      <c r="S662" s="118" t="str">
        <f>IF(Modificaciones!AA662=0,"",VLOOKUP(E662,Modificaciones!$B$7:$AA$2400,26,0))</f>
        <v/>
      </c>
      <c r="T662" s="119" t="str">
        <f>IF(Modificaciones!AB662=0,"",VLOOKUP(E662,Modificaciones!$B$7:$AB$2400,27,0))</f>
        <v/>
      </c>
      <c r="U662" s="1080" t="str">
        <f>+Modificaciones!AC662</f>
        <v/>
      </c>
      <c r="V662" s="825" t="str">
        <f>+Modificaciones!AK662</f>
        <v/>
      </c>
      <c r="W662" s="825">
        <f t="shared" si="127"/>
        <v>43496</v>
      </c>
      <c r="X662" s="59">
        <f t="shared" si="126"/>
        <v>37500000</v>
      </c>
      <c r="Y662" s="151">
        <f>VLOOKUP(E662,Modificaciones!$B$7:$BE$2300,56,0)</f>
        <v>35625000</v>
      </c>
      <c r="Z662" s="84">
        <f t="shared" si="123"/>
        <v>1875000</v>
      </c>
      <c r="AA662" s="283" t="s">
        <v>1094</v>
      </c>
      <c r="AB662" s="823">
        <f t="shared" si="124"/>
        <v>0.95</v>
      </c>
      <c r="AC662" s="40">
        <f t="shared" ca="1" si="128"/>
        <v>1</v>
      </c>
      <c r="AD662" s="41">
        <f t="shared" ca="1" si="129"/>
        <v>5.0000000000000044E-2</v>
      </c>
      <c r="AE662" s="181" t="str">
        <f t="shared" ca="1" si="130"/>
        <v/>
      </c>
      <c r="AF662" s="42" t="str">
        <f t="shared" si="125"/>
        <v>NO</v>
      </c>
      <c r="AG662" s="732" t="s">
        <v>5773</v>
      </c>
      <c r="AH662" s="152" t="s">
        <v>1255</v>
      </c>
      <c r="AI662" s="870" t="s">
        <v>4203</v>
      </c>
      <c r="AJ662" s="838"/>
      <c r="AK662" s="255" t="s">
        <v>560</v>
      </c>
      <c r="AL662" s="838"/>
      <c r="AM662" s="279" t="s">
        <v>3873</v>
      </c>
      <c r="AN662" s="161" t="str">
        <f t="shared" ca="1" si="131"/>
        <v>TERMINO</v>
      </c>
      <c r="AO662" s="160" t="s">
        <v>582</v>
      </c>
      <c r="AP662" s="406" t="s">
        <v>391</v>
      </c>
      <c r="AQ662" s="819" t="str">
        <f>IFERROR(VLOOKUP(E662,'liquidaciones '!$B$2:$C$1048576,2,0),"NO")</f>
        <v>LIQUIDADO</v>
      </c>
      <c r="AR662" s="909" t="str">
        <f>IFERROR(VLOOKUP(E662,'liquidaciones '!$B$2:$I$1048576,8,0),"")</f>
        <v>JUAN DIEGO ESPITIA</v>
      </c>
      <c r="AS662" s="406"/>
      <c r="AT662" s="156" t="str">
        <f t="shared" ca="1" si="132"/>
        <v>SI</v>
      </c>
      <c r="AU662" s="951" t="s">
        <v>4226</v>
      </c>
      <c r="AV662" s="406"/>
      <c r="AW662" s="930" t="s">
        <v>3887</v>
      </c>
      <c r="AX662" s="928"/>
      <c r="AY662" s="275"/>
    </row>
    <row r="663" spans="3:51" ht="40.799999999999997" x14ac:dyDescent="0.3">
      <c r="C663" s="837"/>
      <c r="D663" s="837"/>
      <c r="E663" s="120" t="s">
        <v>4200</v>
      </c>
      <c r="F663" s="414" t="s">
        <v>4201</v>
      </c>
      <c r="G663" s="863">
        <v>1065587417</v>
      </c>
      <c r="H663" s="969" t="s">
        <v>4202</v>
      </c>
      <c r="I663" s="84">
        <v>16404000</v>
      </c>
      <c r="J663" s="833" t="s">
        <v>4829</v>
      </c>
      <c r="K663" s="269">
        <v>2018</v>
      </c>
      <c r="L663" s="519">
        <v>43315</v>
      </c>
      <c r="M663" s="519">
        <v>43322</v>
      </c>
      <c r="N663" s="519">
        <v>43496</v>
      </c>
      <c r="O663" s="1099" t="str">
        <f>IF(+Modificaciones!I663=0,"",VLOOKUP(E663,Modificaciones!$B$7:$I$2400,8,0))</f>
        <v/>
      </c>
      <c r="P663" s="115">
        <f>COUNTA(Modificaciones!J663,Modificaciones!L663,Modificaciones!N663,Modificaciones!P663)</f>
        <v>0</v>
      </c>
      <c r="Q663" s="116">
        <f>VLOOKUP(E663,Modificaciones!$B$7:$R$2300,17,0)</f>
        <v>0</v>
      </c>
      <c r="R663" s="117">
        <f>COUNTA(Modificaciones!T663,Modificaciones!V663,Modificaciones!X663,Modificaciones!Z663)</f>
        <v>0</v>
      </c>
      <c r="S663" s="118" t="str">
        <f>IF(Modificaciones!AA663=0,"",VLOOKUP(E663,Modificaciones!$B$7:$AA$2400,26,0))</f>
        <v/>
      </c>
      <c r="T663" s="119" t="str">
        <f>IF(Modificaciones!AB663=0,"",VLOOKUP(E663,Modificaciones!$B$7:$AB$2400,27,0))</f>
        <v/>
      </c>
      <c r="U663" s="1080" t="str">
        <f>+Modificaciones!AC663</f>
        <v/>
      </c>
      <c r="V663" s="825" t="str">
        <f>+Modificaciones!AK663</f>
        <v/>
      </c>
      <c r="W663" s="825">
        <f t="shared" si="127"/>
        <v>43496</v>
      </c>
      <c r="X663" s="59">
        <f t="shared" si="126"/>
        <v>16404000</v>
      </c>
      <c r="Y663" s="151">
        <f>VLOOKUP(E663,Modificaciones!$B$7:$BE$2300,56,0)</f>
        <v>15583800</v>
      </c>
      <c r="Z663" s="84">
        <f t="shared" si="123"/>
        <v>820200</v>
      </c>
      <c r="AA663" s="283" t="s">
        <v>1094</v>
      </c>
      <c r="AB663" s="823">
        <f t="shared" si="124"/>
        <v>0.95</v>
      </c>
      <c r="AC663" s="40">
        <f t="shared" ca="1" si="128"/>
        <v>1</v>
      </c>
      <c r="AD663" s="41">
        <f t="shared" ca="1" si="129"/>
        <v>5.0000000000000044E-2</v>
      </c>
      <c r="AE663" s="181" t="str">
        <f t="shared" ca="1" si="130"/>
        <v/>
      </c>
      <c r="AF663" s="42" t="str">
        <f t="shared" si="125"/>
        <v>NO</v>
      </c>
      <c r="AG663" s="732" t="s">
        <v>5773</v>
      </c>
      <c r="AH663" s="152" t="s">
        <v>1255</v>
      </c>
      <c r="AI663" s="870" t="s">
        <v>4203</v>
      </c>
      <c r="AJ663" s="152" t="s">
        <v>1441</v>
      </c>
      <c r="AK663" s="255" t="s">
        <v>560</v>
      </c>
      <c r="AL663" s="838"/>
      <c r="AM663" s="279" t="s">
        <v>3873</v>
      </c>
      <c r="AN663" s="161" t="str">
        <f t="shared" ca="1" si="131"/>
        <v>TERMINO</v>
      </c>
      <c r="AO663" s="160" t="s">
        <v>582</v>
      </c>
      <c r="AP663" s="406" t="s">
        <v>391</v>
      </c>
      <c r="AQ663" s="819" t="str">
        <f>IFERROR(VLOOKUP(E663,'liquidaciones '!$B$2:$C$1048576,2,0),"NO")</f>
        <v>LIQUIDADO</v>
      </c>
      <c r="AR663" s="909" t="str">
        <f>IFERROR(VLOOKUP(E663,'liquidaciones '!$B$2:$I$1048576,8,0),"")</f>
        <v>MARIA ALEJANDRA SANCHEZ</v>
      </c>
      <c r="AS663" s="406"/>
      <c r="AT663" s="156" t="str">
        <f t="shared" ca="1" si="132"/>
        <v>SI</v>
      </c>
      <c r="AU663" s="951" t="s">
        <v>1509</v>
      </c>
      <c r="AV663" s="406"/>
      <c r="AW663" s="930" t="s">
        <v>3887</v>
      </c>
      <c r="AX663" s="928"/>
      <c r="AY663" s="275"/>
    </row>
    <row r="664" spans="3:51" ht="40.799999999999997" x14ac:dyDescent="0.3">
      <c r="C664" s="837">
        <v>243</v>
      </c>
      <c r="D664" s="837"/>
      <c r="E664" s="120" t="s">
        <v>4205</v>
      </c>
      <c r="F664" s="414" t="s">
        <v>4206</v>
      </c>
      <c r="G664" s="863">
        <v>900534413</v>
      </c>
      <c r="H664" s="969" t="s">
        <v>4207</v>
      </c>
      <c r="I664" s="84">
        <v>393873426</v>
      </c>
      <c r="J664" s="843" t="s">
        <v>4828</v>
      </c>
      <c r="K664" s="269">
        <v>2018</v>
      </c>
      <c r="L664" s="519">
        <v>43308</v>
      </c>
      <c r="M664" s="519">
        <v>43322</v>
      </c>
      <c r="N664" s="519">
        <v>43366</v>
      </c>
      <c r="O664" s="1099" t="str">
        <f>IF(+Modificaciones!I664=0,"",VLOOKUP(E664,Modificaciones!$B$7:$I$2400,8,0))</f>
        <v/>
      </c>
      <c r="P664" s="115">
        <f>COUNTA(Modificaciones!J664,Modificaciones!L664,Modificaciones!N664,Modificaciones!P664)</f>
        <v>1</v>
      </c>
      <c r="Q664" s="116">
        <f>VLOOKUP(E664,Modificaciones!$B$7:$R$2300,17,0)</f>
        <v>184923315</v>
      </c>
      <c r="R664" s="117">
        <f>COUNTA(Modificaciones!T664,Modificaciones!V664,Modificaciones!X664,Modificaciones!Z664)</f>
        <v>1</v>
      </c>
      <c r="S664" s="118" t="str">
        <f>IF(Modificaciones!AA664=0,"",VLOOKUP(E664,Modificaciones!$B$7:$AA$2400,26,0))</f>
        <v xml:space="preserve">40 días </v>
      </c>
      <c r="T664" s="119">
        <f>IF(Modificaciones!AB664=0,"",VLOOKUP(E664,Modificaciones!$B$7:$AB$2400,27,0))</f>
        <v>43378</v>
      </c>
      <c r="U664" s="1080" t="str">
        <f>+Modificaciones!AC664</f>
        <v/>
      </c>
      <c r="V664" s="825" t="str">
        <f>+Modificaciones!AK664</f>
        <v/>
      </c>
      <c r="W664" s="825">
        <f t="shared" si="127"/>
        <v>43378</v>
      </c>
      <c r="X664" s="59">
        <f t="shared" si="126"/>
        <v>578796741</v>
      </c>
      <c r="Y664" s="151">
        <f>VLOOKUP(E664,Modificaciones!$B$7:$BE$2300,56,0)</f>
        <v>578796741</v>
      </c>
      <c r="Z664" s="84">
        <f t="shared" si="123"/>
        <v>0</v>
      </c>
      <c r="AA664" s="283" t="s">
        <v>1894</v>
      </c>
      <c r="AB664" s="823">
        <f t="shared" si="124"/>
        <v>1</v>
      </c>
      <c r="AC664" s="40">
        <f t="shared" ca="1" si="128"/>
        <v>1</v>
      </c>
      <c r="AD664" s="41">
        <f t="shared" ca="1" si="129"/>
        <v>0</v>
      </c>
      <c r="AE664" s="181" t="str">
        <f t="shared" ca="1" si="130"/>
        <v/>
      </c>
      <c r="AF664" s="42" t="str">
        <f t="shared" si="125"/>
        <v>SI</v>
      </c>
      <c r="AG664" s="838" t="s">
        <v>1711</v>
      </c>
      <c r="AH664" s="841" t="s">
        <v>1256</v>
      </c>
      <c r="AI664" s="841" t="s">
        <v>4208</v>
      </c>
      <c r="AJ664" s="152" t="s">
        <v>1438</v>
      </c>
      <c r="AK664" s="255" t="s">
        <v>560</v>
      </c>
      <c r="AL664" s="838" t="s">
        <v>1508</v>
      </c>
      <c r="AM664" s="279" t="s">
        <v>3873</v>
      </c>
      <c r="AN664" s="161" t="str">
        <f t="shared" ca="1" si="131"/>
        <v>TERMINO</v>
      </c>
      <c r="AO664" s="160" t="s">
        <v>995</v>
      </c>
      <c r="AP664" s="406" t="s">
        <v>391</v>
      </c>
      <c r="AQ664" s="819" t="str">
        <f>IFERROR(VLOOKUP(E664,'liquidaciones '!$B$2:$C$1048576,2,0),"NO")</f>
        <v>LIQUIDADO</v>
      </c>
      <c r="AR664" s="909" t="str">
        <f>IFERROR(VLOOKUP(E664,'liquidaciones '!$B$2:$I$1048576,8,0),"")</f>
        <v>MARTHA SANCHEZ</v>
      </c>
      <c r="AS664" s="406"/>
      <c r="AT664" s="156" t="str">
        <f t="shared" ca="1" si="132"/>
        <v>SI</v>
      </c>
      <c r="AU664" s="951" t="s">
        <v>4209</v>
      </c>
      <c r="AV664" s="406" t="s">
        <v>3778</v>
      </c>
      <c r="AW664" s="930" t="s">
        <v>3887</v>
      </c>
      <c r="AX664" s="928"/>
      <c r="AY664" s="275"/>
    </row>
    <row r="665" spans="3:51" ht="51" x14ac:dyDescent="0.3">
      <c r="C665" s="837">
        <v>185</v>
      </c>
      <c r="D665" s="837"/>
      <c r="E665" s="120" t="s">
        <v>4210</v>
      </c>
      <c r="F665" s="414" t="s">
        <v>2124</v>
      </c>
      <c r="G665" s="863">
        <v>830083523</v>
      </c>
      <c r="H665" s="969" t="s">
        <v>4212</v>
      </c>
      <c r="I665" s="84">
        <v>6735778</v>
      </c>
      <c r="J665" s="974" t="s">
        <v>4827</v>
      </c>
      <c r="K665" s="269">
        <v>2018</v>
      </c>
      <c r="L665" s="519">
        <v>43320</v>
      </c>
      <c r="M665" s="519">
        <v>43333</v>
      </c>
      <c r="N665" s="519">
        <v>43544</v>
      </c>
      <c r="O665" s="1099" t="str">
        <f>IF(+Modificaciones!I665=0,"",VLOOKUP(E665,Modificaciones!$B$7:$I$2400,8,0))</f>
        <v/>
      </c>
      <c r="P665" s="115">
        <f>COUNTA(Modificaciones!J665,Modificaciones!L665,Modificaciones!N665,Modificaciones!P665)</f>
        <v>0</v>
      </c>
      <c r="Q665" s="116">
        <f>VLOOKUP(E665,Modificaciones!$B$7:$R$2300,17,0)</f>
        <v>0</v>
      </c>
      <c r="R665" s="117">
        <f>COUNTA(Modificaciones!T665,Modificaciones!V665,Modificaciones!X665,Modificaciones!Z665)</f>
        <v>0</v>
      </c>
      <c r="S665" s="118" t="str">
        <f>IF(Modificaciones!AA665=0,"",VLOOKUP(E665,Modificaciones!$B$7:$AA$2400,26,0))</f>
        <v/>
      </c>
      <c r="T665" s="119" t="str">
        <f>IF(Modificaciones!AB665=0,"",VLOOKUP(E665,Modificaciones!$B$7:$AB$2400,27,0))</f>
        <v/>
      </c>
      <c r="U665" s="1080" t="str">
        <f>+Modificaciones!AC665</f>
        <v/>
      </c>
      <c r="V665" s="825" t="str">
        <f>+Modificaciones!AK665</f>
        <v/>
      </c>
      <c r="W665" s="825">
        <f t="shared" si="127"/>
        <v>43544</v>
      </c>
      <c r="X665" s="59">
        <f t="shared" si="126"/>
        <v>6735778</v>
      </c>
      <c r="Y665" s="151">
        <f>VLOOKUP(E665,Modificaciones!$B$7:$BE$2300,56,0)</f>
        <v>6735778</v>
      </c>
      <c r="Z665" s="84">
        <f t="shared" si="123"/>
        <v>0</v>
      </c>
      <c r="AA665" s="287" t="s">
        <v>4213</v>
      </c>
      <c r="AB665" s="823">
        <f t="shared" si="124"/>
        <v>1</v>
      </c>
      <c r="AC665" s="40">
        <f t="shared" ca="1" si="128"/>
        <v>1</v>
      </c>
      <c r="AD665" s="41">
        <f t="shared" ca="1" si="129"/>
        <v>0</v>
      </c>
      <c r="AE665" s="181" t="str">
        <f t="shared" ca="1" si="130"/>
        <v/>
      </c>
      <c r="AF665" s="42" t="str">
        <f t="shared" si="125"/>
        <v>SI</v>
      </c>
      <c r="AG665" s="838"/>
      <c r="AH665" s="152" t="s">
        <v>1256</v>
      </c>
      <c r="AI665" s="255" t="s">
        <v>2108</v>
      </c>
      <c r="AJ665" s="152" t="s">
        <v>1438</v>
      </c>
      <c r="AK665" s="255" t="s">
        <v>560</v>
      </c>
      <c r="AL665" s="279" t="s">
        <v>1508</v>
      </c>
      <c r="AM665" s="279" t="s">
        <v>3873</v>
      </c>
      <c r="AN665" s="161" t="str">
        <f t="shared" ca="1" si="131"/>
        <v>TERMINO</v>
      </c>
      <c r="AO665" s="284" t="s">
        <v>582</v>
      </c>
      <c r="AP665" s="406" t="s">
        <v>390</v>
      </c>
      <c r="AQ665" s="819" t="str">
        <f>IFERROR(VLOOKUP(E665,'liquidaciones '!$B$2:$C$1048576,2,0),"NO")</f>
        <v>LIQUIDADO</v>
      </c>
      <c r="AR665" s="909">
        <f>IFERROR(VLOOKUP(E665,'liquidaciones '!$B$2:$I$1048576,8,0),"")</f>
        <v>0</v>
      </c>
      <c r="AS665" s="406"/>
      <c r="AT665" s="156" t="str">
        <f t="shared" ca="1" si="132"/>
        <v>SI</v>
      </c>
      <c r="AU665" s="975" t="s">
        <v>4209</v>
      </c>
      <c r="AV665" s="406" t="s">
        <v>3778</v>
      </c>
      <c r="AW665" s="930" t="s">
        <v>3887</v>
      </c>
      <c r="AX665" s="928"/>
      <c r="AY665" s="275" t="s">
        <v>4662</v>
      </c>
    </row>
    <row r="666" spans="3:51" ht="28.8" x14ac:dyDescent="0.3">
      <c r="C666" s="837">
        <v>92</v>
      </c>
      <c r="D666" s="837"/>
      <c r="E666" s="120" t="s">
        <v>4211</v>
      </c>
      <c r="F666" s="414" t="s">
        <v>3760</v>
      </c>
      <c r="G666" s="863">
        <v>830006901</v>
      </c>
      <c r="H666" s="969" t="s">
        <v>4214</v>
      </c>
      <c r="I666" s="84">
        <v>200870570</v>
      </c>
      <c r="J666" s="843" t="s">
        <v>4215</v>
      </c>
      <c r="K666" s="269">
        <v>2018</v>
      </c>
      <c r="L666" s="519">
        <v>43325</v>
      </c>
      <c r="M666" s="519">
        <v>43325</v>
      </c>
      <c r="N666" s="519">
        <v>43385</v>
      </c>
      <c r="O666" s="1099" t="str">
        <f>IF(+Modificaciones!I666=0,"",VLOOKUP(E666,Modificaciones!$B$7:$I$2400,8,0))</f>
        <v/>
      </c>
      <c r="P666" s="115">
        <f>COUNTA(Modificaciones!J666,Modificaciones!L666,Modificaciones!N666,Modificaciones!P666)</f>
        <v>0</v>
      </c>
      <c r="Q666" s="116">
        <f>VLOOKUP(E666,Modificaciones!$B$7:$R$2300,17,0)</f>
        <v>0</v>
      </c>
      <c r="R666" s="117">
        <f>COUNTA(Modificaciones!T666,Modificaciones!V666,Modificaciones!X666,Modificaciones!Z666)</f>
        <v>0</v>
      </c>
      <c r="S666" s="118" t="str">
        <f>IF(Modificaciones!AA666=0,"",VLOOKUP(E666,Modificaciones!$B$7:$AA$2400,26,0))</f>
        <v/>
      </c>
      <c r="T666" s="119" t="str">
        <f>IF(Modificaciones!AB666=0,"",VLOOKUP(E666,Modificaciones!$B$7:$AB$2400,27,0))</f>
        <v/>
      </c>
      <c r="U666" s="1080" t="str">
        <f>+Modificaciones!AC666</f>
        <v/>
      </c>
      <c r="V666" s="825" t="str">
        <f>+Modificaciones!AK666</f>
        <v/>
      </c>
      <c r="W666" s="825">
        <f t="shared" si="127"/>
        <v>43385</v>
      </c>
      <c r="X666" s="59">
        <f t="shared" si="126"/>
        <v>200870570</v>
      </c>
      <c r="Y666" s="151">
        <f>VLOOKUP(E666,Modificaciones!$B$7:$BE$2300,56,0)</f>
        <v>200870204</v>
      </c>
      <c r="Z666" s="84">
        <f t="shared" si="123"/>
        <v>366</v>
      </c>
      <c r="AA666" s="283"/>
      <c r="AB666" s="823">
        <f t="shared" si="124"/>
        <v>0.99999817793119217</v>
      </c>
      <c r="AC666" s="40">
        <f t="shared" ca="1" si="128"/>
        <v>1</v>
      </c>
      <c r="AD666" s="41">
        <f t="shared" ca="1" si="129"/>
        <v>1.8220688078329772E-6</v>
      </c>
      <c r="AE666" s="181" t="str">
        <f t="shared" ca="1" si="130"/>
        <v/>
      </c>
      <c r="AF666" s="42" t="str">
        <f t="shared" si="125"/>
        <v>SI</v>
      </c>
      <c r="AG666" s="732" t="s">
        <v>1711</v>
      </c>
      <c r="AH666" s="152" t="s">
        <v>1255</v>
      </c>
      <c r="AI666" s="255" t="s">
        <v>2777</v>
      </c>
      <c r="AJ666" s="838"/>
      <c r="AK666" s="838"/>
      <c r="AL666" s="838"/>
      <c r="AM666" s="279" t="s">
        <v>3873</v>
      </c>
      <c r="AN666" s="161" t="str">
        <f t="shared" ca="1" si="131"/>
        <v>TERMINO</v>
      </c>
      <c r="AO666" s="284" t="s">
        <v>2722</v>
      </c>
      <c r="AP666" s="406"/>
      <c r="AQ666" s="819" t="str">
        <f>IFERROR(VLOOKUP(E666,'liquidaciones '!$B$2:$C$1048576,2,0),"NO")</f>
        <v>LIQUIDADO</v>
      </c>
      <c r="AR666" s="909" t="str">
        <f>IFERROR(VLOOKUP(E666,'liquidaciones '!$B$2:$I$1048576,8,0),"")</f>
        <v>JUAN DIEGO ESPITIA</v>
      </c>
      <c r="AS666" s="406"/>
      <c r="AT666" s="156" t="str">
        <f t="shared" ca="1" si="132"/>
        <v>SI</v>
      </c>
      <c r="AU666" s="406" t="s">
        <v>1509</v>
      </c>
      <c r="AV666" s="406"/>
      <c r="AW666" s="930" t="s">
        <v>560</v>
      </c>
      <c r="AX666" s="928"/>
      <c r="AY666" s="275"/>
    </row>
    <row r="667" spans="3:51" ht="30.6" x14ac:dyDescent="0.3">
      <c r="C667" s="837"/>
      <c r="D667" s="837"/>
      <c r="E667" s="120" t="s">
        <v>4216</v>
      </c>
      <c r="F667" s="414" t="s">
        <v>4217</v>
      </c>
      <c r="G667" s="863">
        <v>40031917</v>
      </c>
      <c r="H667" s="969" t="s">
        <v>2895</v>
      </c>
      <c r="I667" s="84">
        <v>37500000</v>
      </c>
      <c r="J667" s="833" t="s">
        <v>4826</v>
      </c>
      <c r="K667" s="269">
        <v>2018</v>
      </c>
      <c r="L667" s="519">
        <v>43326</v>
      </c>
      <c r="M667" s="519">
        <v>43328</v>
      </c>
      <c r="N667" s="519">
        <v>43496</v>
      </c>
      <c r="O667" s="1099" t="str">
        <f>IF(+Modificaciones!I667=0,"",VLOOKUP(E667,Modificaciones!$B$7:$I$2400,8,0))</f>
        <v/>
      </c>
      <c r="P667" s="115">
        <f>COUNTA(Modificaciones!J667,Modificaciones!L667,Modificaciones!N667,Modificaciones!P667)</f>
        <v>1</v>
      </c>
      <c r="Q667" s="116">
        <f>VLOOKUP(E667,Modificaciones!$B$7:$R$2300,17,0)</f>
        <v>9375000</v>
      </c>
      <c r="R667" s="117">
        <f>COUNTA(Modificaciones!T667,Modificaciones!V667,Modificaciones!X667,Modificaciones!Z667)</f>
        <v>1</v>
      </c>
      <c r="S667" s="118" t="str">
        <f>IF(Modificaciones!AA667=0,"",VLOOKUP(E667,Modificaciones!$B$7:$AA$2400,26,0))</f>
        <v>1 mes y 15 días</v>
      </c>
      <c r="T667" s="119">
        <f>IF(Modificaciones!AB667=0,"",VLOOKUP(E667,Modificaciones!$B$7:$AB$2400,27,0))</f>
        <v>43554</v>
      </c>
      <c r="U667" s="1080" t="str">
        <f>+Modificaciones!AC667</f>
        <v/>
      </c>
      <c r="V667" s="825" t="str">
        <f>+Modificaciones!AK667</f>
        <v/>
      </c>
      <c r="W667" s="825">
        <f t="shared" si="127"/>
        <v>43554</v>
      </c>
      <c r="X667" s="59">
        <f t="shared" si="126"/>
        <v>46875000</v>
      </c>
      <c r="Y667" s="151">
        <f>VLOOKUP(E667,Modificaciones!$B$7:$BE$2300,56,0)</f>
        <v>46875000</v>
      </c>
      <c r="Z667" s="84">
        <f t="shared" si="123"/>
        <v>0</v>
      </c>
      <c r="AA667" s="283" t="s">
        <v>1094</v>
      </c>
      <c r="AB667" s="823">
        <f t="shared" si="124"/>
        <v>1</v>
      </c>
      <c r="AC667" s="40">
        <f t="shared" ca="1" si="128"/>
        <v>1</v>
      </c>
      <c r="AD667" s="41">
        <f t="shared" ca="1" si="129"/>
        <v>0</v>
      </c>
      <c r="AE667" s="181" t="str">
        <f t="shared" ca="1" si="130"/>
        <v/>
      </c>
      <c r="AF667" s="42" t="str">
        <f t="shared" si="125"/>
        <v>SI</v>
      </c>
      <c r="AG667" s="732" t="s">
        <v>5773</v>
      </c>
      <c r="AH667" s="152" t="s">
        <v>1255</v>
      </c>
      <c r="AI667" s="152" t="s">
        <v>2588</v>
      </c>
      <c r="AJ667" s="152" t="s">
        <v>1176</v>
      </c>
      <c r="AK667" s="255" t="s">
        <v>559</v>
      </c>
      <c r="AL667" s="279"/>
      <c r="AM667" s="279" t="s">
        <v>4025</v>
      </c>
      <c r="AN667" s="161" t="str">
        <f t="shared" ca="1" si="131"/>
        <v>TERMINO</v>
      </c>
      <c r="AO667" s="284" t="s">
        <v>582</v>
      </c>
      <c r="AP667" s="155" t="s">
        <v>391</v>
      </c>
      <c r="AQ667" s="819" t="str">
        <f>IFERROR(VLOOKUP(E667,'liquidaciones '!$B$2:$C$1048576,2,0),"NO")</f>
        <v>EN TRÁMITE</v>
      </c>
      <c r="AR667" s="909" t="str">
        <f>IFERROR(VLOOKUP(E667,'liquidaciones '!$B$2:$I$1048576,8,0),"")</f>
        <v>JUAN DIEGO ESPÍTIA</v>
      </c>
      <c r="AS667" s="406"/>
      <c r="AT667" s="156" t="str">
        <f t="shared" ca="1" si="132"/>
        <v>SI</v>
      </c>
      <c r="AU667" s="406" t="s">
        <v>4805</v>
      </c>
      <c r="AV667" s="406"/>
      <c r="AW667" s="930" t="s">
        <v>3938</v>
      </c>
      <c r="AX667" s="928"/>
      <c r="AY667" s="275"/>
    </row>
    <row r="668" spans="3:51" ht="30.6" x14ac:dyDescent="0.3">
      <c r="C668" s="837"/>
      <c r="D668" s="837"/>
      <c r="E668" s="120" t="s">
        <v>4218</v>
      </c>
      <c r="F668" s="414" t="s">
        <v>2919</v>
      </c>
      <c r="G668" s="873">
        <v>1030565608</v>
      </c>
      <c r="H668" s="965" t="s">
        <v>3033</v>
      </c>
      <c r="I668" s="84">
        <v>23819958</v>
      </c>
      <c r="J668" s="833" t="s">
        <v>4825</v>
      </c>
      <c r="K668" s="269">
        <v>2018</v>
      </c>
      <c r="L668" s="519">
        <v>43325</v>
      </c>
      <c r="M668" s="519">
        <v>43327</v>
      </c>
      <c r="N668" s="519">
        <v>43496</v>
      </c>
      <c r="O668" s="1099" t="str">
        <f>IF(+Modificaciones!I668=0,"",VLOOKUP(E668,Modificaciones!$B$7:$I$2400,8,0))</f>
        <v/>
      </c>
      <c r="P668" s="115">
        <f>COUNTA(Modificaciones!J668,Modificaciones!L668,Modificaciones!N668,Modificaciones!P668)</f>
        <v>0</v>
      </c>
      <c r="Q668" s="116">
        <f>VLOOKUP(E668,Modificaciones!$B$7:$R$2300,17,0)</f>
        <v>0</v>
      </c>
      <c r="R668" s="117">
        <f>COUNTA(Modificaciones!T668,Modificaciones!V668,Modificaciones!X668,Modificaciones!Z668)</f>
        <v>0</v>
      </c>
      <c r="S668" s="118" t="str">
        <f>IF(Modificaciones!AA668=0,"",VLOOKUP(E668,Modificaciones!$B$7:$AA$2400,26,0))</f>
        <v/>
      </c>
      <c r="T668" s="119" t="str">
        <f>IF(Modificaciones!AB668=0,"",VLOOKUP(E668,Modificaciones!$B$7:$AB$2400,27,0))</f>
        <v/>
      </c>
      <c r="U668" s="1080" t="str">
        <f>+Modificaciones!AC668</f>
        <v/>
      </c>
      <c r="V668" s="825" t="str">
        <f>+Modificaciones!AK668</f>
        <v/>
      </c>
      <c r="W668" s="825">
        <f t="shared" si="127"/>
        <v>43496</v>
      </c>
      <c r="X668" s="59">
        <f t="shared" si="126"/>
        <v>23819958</v>
      </c>
      <c r="Y668" s="151">
        <f>VLOOKUP(E668,Modificaciones!$B$7:$BE$2300,56,0)</f>
        <v>21967295</v>
      </c>
      <c r="Z668" s="84">
        <f t="shared" si="123"/>
        <v>1852663</v>
      </c>
      <c r="AA668" s="283" t="s">
        <v>1094</v>
      </c>
      <c r="AB668" s="823">
        <f t="shared" si="124"/>
        <v>0.92222223901486311</v>
      </c>
      <c r="AC668" s="40">
        <f t="shared" ca="1" si="128"/>
        <v>1</v>
      </c>
      <c r="AD668" s="41">
        <f t="shared" ca="1" si="129"/>
        <v>7.777776098513689E-2</v>
      </c>
      <c r="AE668" s="181" t="str">
        <f t="shared" ca="1" si="130"/>
        <v/>
      </c>
      <c r="AF668" s="42" t="str">
        <f t="shared" si="125"/>
        <v>NO</v>
      </c>
      <c r="AG668" s="732" t="s">
        <v>5773</v>
      </c>
      <c r="AH668" s="152" t="s">
        <v>1256</v>
      </c>
      <c r="AI668" s="152" t="s">
        <v>2171</v>
      </c>
      <c r="AJ668" s="152" t="s">
        <v>1176</v>
      </c>
      <c r="AK668" s="255" t="s">
        <v>560</v>
      </c>
      <c r="AL668" s="279" t="s">
        <v>1508</v>
      </c>
      <c r="AM668" s="279" t="s">
        <v>3873</v>
      </c>
      <c r="AN668" s="161" t="str">
        <f t="shared" ca="1" si="131"/>
        <v>TERMINO</v>
      </c>
      <c r="AO668" s="160" t="s">
        <v>582</v>
      </c>
      <c r="AP668" s="406" t="s">
        <v>391</v>
      </c>
      <c r="AQ668" s="819" t="str">
        <f>IFERROR(VLOOKUP(E668,'liquidaciones '!$B$2:$C$1048576,2,0),"NO")</f>
        <v>DEVUELTO</v>
      </c>
      <c r="AR668" s="909" t="str">
        <f>IFERROR(VLOOKUP(E668,'liquidaciones '!$B$2:$I$1048576,8,0),"")</f>
        <v>JUAN DIEGO ESPÍTIA</v>
      </c>
      <c r="AS668" s="406"/>
      <c r="AT668" s="156" t="str">
        <f t="shared" ca="1" si="132"/>
        <v>SI</v>
      </c>
      <c r="AU668" s="156" t="s">
        <v>1509</v>
      </c>
      <c r="AV668" s="406" t="s">
        <v>3778</v>
      </c>
      <c r="AW668" s="930" t="s">
        <v>3887</v>
      </c>
      <c r="AX668" s="928"/>
      <c r="AY668" s="275"/>
    </row>
    <row r="669" spans="3:51" ht="51" x14ac:dyDescent="0.3">
      <c r="C669" s="837">
        <v>136</v>
      </c>
      <c r="D669" s="837"/>
      <c r="E669" s="120" t="s">
        <v>4219</v>
      </c>
      <c r="F669" s="414" t="s">
        <v>2955</v>
      </c>
      <c r="G669" s="873">
        <v>900170405</v>
      </c>
      <c r="H669" s="967" t="s">
        <v>2956</v>
      </c>
      <c r="I669" s="84">
        <v>52412300</v>
      </c>
      <c r="J669" s="833" t="s">
        <v>4824</v>
      </c>
      <c r="K669" s="269">
        <v>2018</v>
      </c>
      <c r="L669" s="519">
        <v>43326</v>
      </c>
      <c r="M669" s="519">
        <v>43335</v>
      </c>
      <c r="N669" s="519">
        <v>43577</v>
      </c>
      <c r="O669" s="1099" t="str">
        <f>IF(+Modificaciones!I669=0,"",VLOOKUP(E669,Modificaciones!$B$7:$I$2400,8,0))</f>
        <v/>
      </c>
      <c r="P669" s="115">
        <f>COUNTA(Modificaciones!J669,Modificaciones!L669,Modificaciones!N669,Modificaciones!P669)</f>
        <v>0</v>
      </c>
      <c r="Q669" s="116">
        <f>VLOOKUP(E669,Modificaciones!$B$7:$R$2300,17,0)</f>
        <v>0</v>
      </c>
      <c r="R669" s="117">
        <f>COUNTA(Modificaciones!T669,Modificaciones!V669,Modificaciones!X669,Modificaciones!Z669)</f>
        <v>1</v>
      </c>
      <c r="S669" s="118" t="str">
        <f>IF(Modificaciones!AA669=0,"",VLOOKUP(E669,Modificaciones!$B$7:$AA$2400,26,0))</f>
        <v>2 meses</v>
      </c>
      <c r="T669" s="119">
        <f>IF(Modificaciones!AB669=0,"",VLOOKUP(E669,Modificaciones!$B$7:$AB$2400,27,0))</f>
        <v>43638</v>
      </c>
      <c r="U669" s="1080" t="str">
        <f>+Modificaciones!AC669</f>
        <v/>
      </c>
      <c r="V669" s="825" t="str">
        <f>+Modificaciones!AK669</f>
        <v/>
      </c>
      <c r="W669" s="825">
        <f t="shared" si="127"/>
        <v>43638</v>
      </c>
      <c r="X669" s="59">
        <f t="shared" si="126"/>
        <v>52412300</v>
      </c>
      <c r="Y669" s="151">
        <f>VLOOKUP(E669,Modificaciones!$B$7:$BE$2300,56,0)</f>
        <v>42055784</v>
      </c>
      <c r="Z669" s="84">
        <f t="shared" si="123"/>
        <v>10356516</v>
      </c>
      <c r="AA669" s="288" t="s">
        <v>2518</v>
      </c>
      <c r="AB669" s="823">
        <f t="shared" si="124"/>
        <v>0.8024029473997516</v>
      </c>
      <c r="AC669" s="40">
        <f t="shared" ca="1" si="128"/>
        <v>1</v>
      </c>
      <c r="AD669" s="41">
        <f t="shared" ca="1" si="129"/>
        <v>0.1975970526002484</v>
      </c>
      <c r="AE669" s="181" t="str">
        <f t="shared" ca="1" si="130"/>
        <v/>
      </c>
      <c r="AF669" s="42" t="str">
        <f t="shared" si="125"/>
        <v>NO</v>
      </c>
      <c r="AG669" s="1017" t="s">
        <v>4920</v>
      </c>
      <c r="AH669" s="152" t="s">
        <v>1255</v>
      </c>
      <c r="AI669" s="275" t="s">
        <v>1174</v>
      </c>
      <c r="AJ669" s="152" t="s">
        <v>1434</v>
      </c>
      <c r="AK669" s="255" t="s">
        <v>560</v>
      </c>
      <c r="AL669" s="153" t="s">
        <v>1388</v>
      </c>
      <c r="AM669" s="279" t="s">
        <v>3873</v>
      </c>
      <c r="AN669" s="161" t="str">
        <f t="shared" ca="1" si="131"/>
        <v>TERMINO</v>
      </c>
      <c r="AO669" s="152" t="s">
        <v>577</v>
      </c>
      <c r="AP669" s="155" t="s">
        <v>390</v>
      </c>
      <c r="AQ669" s="819" t="str">
        <f>IFERROR(VLOOKUP(E669,'liquidaciones '!$B$2:$C$1048576,2,0),"NO")</f>
        <v>LIQUIDADO</v>
      </c>
      <c r="AR669" s="909" t="str">
        <f>IFERROR(VLOOKUP(E669,'liquidaciones '!$B$2:$I$1048576,8,0),"")</f>
        <v>JUAN DIEGO ESPITIA</v>
      </c>
      <c r="AS669" s="406"/>
      <c r="AT669" s="156" t="str">
        <f t="shared" ca="1" si="132"/>
        <v>SI</v>
      </c>
      <c r="AU669" s="406" t="s">
        <v>4299</v>
      </c>
      <c r="AV669" s="406" t="s">
        <v>3783</v>
      </c>
      <c r="AW669" s="930" t="s">
        <v>560</v>
      </c>
      <c r="AX669" s="928"/>
      <c r="AY669" s="275" t="s">
        <v>4794</v>
      </c>
    </row>
    <row r="670" spans="3:51" ht="30.6" x14ac:dyDescent="0.3">
      <c r="C670" s="837"/>
      <c r="D670" s="837"/>
      <c r="E670" s="120" t="s">
        <v>4220</v>
      </c>
      <c r="F670" s="414" t="s">
        <v>4221</v>
      </c>
      <c r="G670" s="863">
        <v>1018414677</v>
      </c>
      <c r="H670" s="969" t="s">
        <v>4222</v>
      </c>
      <c r="I670" s="84">
        <v>32814000</v>
      </c>
      <c r="J670" s="974" t="s">
        <v>4823</v>
      </c>
      <c r="K670" s="269">
        <v>2018</v>
      </c>
      <c r="L670" s="519">
        <v>43333</v>
      </c>
      <c r="M670" s="519">
        <v>43335</v>
      </c>
      <c r="N670" s="519">
        <v>43496</v>
      </c>
      <c r="O670" s="1099" t="str">
        <f>IF(+Modificaciones!I670=0,"",VLOOKUP(E670,Modificaciones!$B$7:$I$2400,8,0))</f>
        <v/>
      </c>
      <c r="P670" s="115">
        <f>COUNTA(Modificaciones!J670,Modificaciones!L670,Modificaciones!N670,Modificaciones!P670)</f>
        <v>0</v>
      </c>
      <c r="Q670" s="116">
        <f>VLOOKUP(E670,Modificaciones!$B$7:$R$2300,17,0)</f>
        <v>0</v>
      </c>
      <c r="R670" s="117">
        <f>COUNTA(Modificaciones!T670,Modificaciones!V670,Modificaciones!X670,Modificaciones!Z670)</f>
        <v>0</v>
      </c>
      <c r="S670" s="118" t="str">
        <f>IF(Modificaciones!AA670=0,"",VLOOKUP(E670,Modificaciones!$B$7:$AA$2400,26,0))</f>
        <v/>
      </c>
      <c r="T670" s="119" t="str">
        <f>IF(Modificaciones!AB670=0,"",VLOOKUP(E670,Modificaciones!$B$7:$AB$2400,27,0))</f>
        <v/>
      </c>
      <c r="U670" s="1080" t="str">
        <f>+Modificaciones!AC670</f>
        <v/>
      </c>
      <c r="V670" s="825" t="str">
        <f>+Modificaciones!AK670</f>
        <v/>
      </c>
      <c r="W670" s="825">
        <f t="shared" si="127"/>
        <v>43496</v>
      </c>
      <c r="X670" s="59">
        <f t="shared" si="126"/>
        <v>32814000</v>
      </c>
      <c r="Y670" s="151">
        <f>VLOOKUP(E670,Modificaciones!$B$7:$BE$2300,56,0)</f>
        <v>28803400</v>
      </c>
      <c r="Z670" s="84">
        <f t="shared" si="123"/>
        <v>4010600</v>
      </c>
      <c r="AA670" s="283" t="s">
        <v>1094</v>
      </c>
      <c r="AB670" s="823">
        <f t="shared" si="124"/>
        <v>0.87777777777777777</v>
      </c>
      <c r="AC670" s="40">
        <f t="shared" ca="1" si="128"/>
        <v>1</v>
      </c>
      <c r="AD670" s="41">
        <f t="shared" ca="1" si="129"/>
        <v>0.12222222222222223</v>
      </c>
      <c r="AE670" s="181" t="str">
        <f t="shared" ca="1" si="130"/>
        <v/>
      </c>
      <c r="AF670" s="42" t="str">
        <f t="shared" si="125"/>
        <v>NO</v>
      </c>
      <c r="AG670" s="732" t="s">
        <v>5773</v>
      </c>
      <c r="AH670" s="152" t="s">
        <v>1255</v>
      </c>
      <c r="AI670" s="152" t="s">
        <v>4223</v>
      </c>
      <c r="AJ670" s="152"/>
      <c r="AK670" s="255" t="s">
        <v>560</v>
      </c>
      <c r="AL670" s="279" t="s">
        <v>4194</v>
      </c>
      <c r="AM670" s="279" t="s">
        <v>3873</v>
      </c>
      <c r="AN670" s="161" t="str">
        <f t="shared" ca="1" si="131"/>
        <v>TERMINO</v>
      </c>
      <c r="AO670" s="160" t="s">
        <v>582</v>
      </c>
      <c r="AP670" s="406" t="s">
        <v>391</v>
      </c>
      <c r="AQ670" s="819" t="str">
        <f>IFERROR(VLOOKUP(E670,'liquidaciones '!$B$2:$C$1048576,2,0),"NO")</f>
        <v>EN TRÁMITE</v>
      </c>
      <c r="AR670" s="909" t="str">
        <f>IFERROR(VLOOKUP(E670,'liquidaciones '!$B$2:$I$1048576,8,0),"")</f>
        <v>LAURA GUTIERREZ</v>
      </c>
      <c r="AS670" s="406"/>
      <c r="AT670" s="156" t="str">
        <f t="shared" ca="1" si="132"/>
        <v>SI</v>
      </c>
      <c r="AU670" s="951" t="s">
        <v>4226</v>
      </c>
      <c r="AV670" s="406" t="s">
        <v>4194</v>
      </c>
      <c r="AW670" s="930" t="s">
        <v>560</v>
      </c>
      <c r="AX670" s="928"/>
      <c r="AY670" s="275"/>
    </row>
    <row r="671" spans="3:51" ht="48" customHeight="1" x14ac:dyDescent="0.3">
      <c r="C671" s="837">
        <v>45</v>
      </c>
      <c r="D671" s="837"/>
      <c r="E671" s="120" t="s">
        <v>4228</v>
      </c>
      <c r="F671" s="414" t="s">
        <v>2959</v>
      </c>
      <c r="G671" s="873">
        <v>900062917</v>
      </c>
      <c r="H671" s="967" t="s">
        <v>3046</v>
      </c>
      <c r="I671" s="84">
        <v>40935600</v>
      </c>
      <c r="J671" s="843" t="s">
        <v>4822</v>
      </c>
      <c r="K671" s="269">
        <v>2018</v>
      </c>
      <c r="L671" s="519">
        <v>43312</v>
      </c>
      <c r="M671" s="519">
        <v>43322</v>
      </c>
      <c r="N671" s="519">
        <v>43505</v>
      </c>
      <c r="O671" s="1099" t="str">
        <f>IF(+Modificaciones!I671=0,"",VLOOKUP(E671,Modificaciones!$B$7:$I$2400,8,0))</f>
        <v/>
      </c>
      <c r="P671" s="115">
        <f>COUNTA(Modificaciones!J671,Modificaciones!L671,Modificaciones!N671,Modificaciones!P671)</f>
        <v>0</v>
      </c>
      <c r="Q671" s="116">
        <f>VLOOKUP(E671,Modificaciones!$B$7:$R$2300,17,0)</f>
        <v>0</v>
      </c>
      <c r="R671" s="117">
        <f>COUNTA(Modificaciones!T671,Modificaciones!V671,Modificaciones!X671,Modificaciones!Z671)</f>
        <v>1</v>
      </c>
      <c r="S671" s="118" t="str">
        <f>IF(Modificaciones!AA671=0,"",VLOOKUP(E671,Modificaciones!$B$7:$AA$2400,26,0))</f>
        <v>15 días calendario</v>
      </c>
      <c r="T671" s="119">
        <f>IF(Modificaciones!AB671=0,"",VLOOKUP(E671,Modificaciones!$B$7:$AB$2400,27,0))</f>
        <v>43521</v>
      </c>
      <c r="U671" s="1080" t="str">
        <f>+Modificaciones!AC671</f>
        <v/>
      </c>
      <c r="V671" s="825" t="str">
        <f>+Modificaciones!AK671</f>
        <v/>
      </c>
      <c r="W671" s="825">
        <f t="shared" si="127"/>
        <v>43521</v>
      </c>
      <c r="X671" s="59">
        <f t="shared" si="126"/>
        <v>40935600</v>
      </c>
      <c r="Y671" s="151">
        <f>VLOOKUP(E671,Modificaciones!$B$7:$BE$2300,56,0)</f>
        <v>36218523</v>
      </c>
      <c r="Z671" s="84">
        <f t="shared" si="123"/>
        <v>4717077</v>
      </c>
      <c r="AA671" s="283" t="s">
        <v>1864</v>
      </c>
      <c r="AB671" s="823">
        <f t="shared" si="124"/>
        <v>0.88476834344677979</v>
      </c>
      <c r="AC671" s="40">
        <f t="shared" ca="1" si="128"/>
        <v>1</v>
      </c>
      <c r="AD671" s="41">
        <f t="shared" ca="1" si="129"/>
        <v>0.11523165655322021</v>
      </c>
      <c r="AE671" s="181" t="str">
        <f t="shared" ca="1" si="130"/>
        <v/>
      </c>
      <c r="AF671" s="42" t="str">
        <f t="shared" si="125"/>
        <v>NO</v>
      </c>
      <c r="AG671" s="1017" t="s">
        <v>4920</v>
      </c>
      <c r="AH671" s="152" t="s">
        <v>1255</v>
      </c>
      <c r="AI671" s="255" t="s">
        <v>1136</v>
      </c>
      <c r="AJ671" s="152" t="s">
        <v>1435</v>
      </c>
      <c r="AK671" s="255" t="s">
        <v>562</v>
      </c>
      <c r="AL671" s="153"/>
      <c r="AM671" s="279" t="s">
        <v>2830</v>
      </c>
      <c r="AN671" s="161" t="str">
        <f t="shared" ca="1" si="131"/>
        <v>TERMINO</v>
      </c>
      <c r="AO671" s="284" t="s">
        <v>575</v>
      </c>
      <c r="AP671" s="155" t="s">
        <v>390</v>
      </c>
      <c r="AQ671" s="819" t="str">
        <f>IFERROR(VLOOKUP(E671,'liquidaciones '!$B$2:$C$1048576,2,0),"NO")</f>
        <v>EN TRÁMITE</v>
      </c>
      <c r="AR671" s="909" t="str">
        <f>IFERROR(VLOOKUP(E671,'liquidaciones '!$B$2:$I$1048576,8,0),"")</f>
        <v>JUAN DIEGO ESPÍTIA</v>
      </c>
      <c r="AS671" s="406"/>
      <c r="AT671" s="156" t="str">
        <f t="shared" ca="1" si="132"/>
        <v>SI</v>
      </c>
      <c r="AU671" s="156" t="s">
        <v>2960</v>
      </c>
      <c r="AV671" s="406"/>
      <c r="AW671" s="930" t="s">
        <v>560</v>
      </c>
      <c r="AX671" s="275" t="s">
        <v>4606</v>
      </c>
      <c r="AY671" s="275" t="s">
        <v>4665</v>
      </c>
    </row>
    <row r="672" spans="3:51" ht="30.6" x14ac:dyDescent="0.3">
      <c r="C672" s="837"/>
      <c r="D672" s="837"/>
      <c r="E672" s="120" t="s">
        <v>4229</v>
      </c>
      <c r="F672" s="414" t="s">
        <v>4230</v>
      </c>
      <c r="G672" s="863">
        <v>79569100</v>
      </c>
      <c r="H672" s="969" t="s">
        <v>4231</v>
      </c>
      <c r="I672" s="84">
        <v>34375000</v>
      </c>
      <c r="J672" s="843" t="s">
        <v>4821</v>
      </c>
      <c r="K672" s="269">
        <v>2018</v>
      </c>
      <c r="L672" s="519">
        <v>43335</v>
      </c>
      <c r="M672" s="519">
        <v>43340</v>
      </c>
      <c r="N672" s="519">
        <v>43496</v>
      </c>
      <c r="O672" s="1099" t="str">
        <f>IF(+Modificaciones!I672=0,"",VLOOKUP(E672,Modificaciones!$B$7:$I$2400,8,0))</f>
        <v/>
      </c>
      <c r="P672" s="115">
        <f>COUNTA(Modificaciones!J672,Modificaciones!L672,Modificaciones!N672,Modificaciones!P672)</f>
        <v>0</v>
      </c>
      <c r="Q672" s="116">
        <f>VLOOKUP(E672,Modificaciones!$B$7:$R$2300,17,0)</f>
        <v>0</v>
      </c>
      <c r="R672" s="117">
        <f>COUNTA(Modificaciones!T672,Modificaciones!V672,Modificaciones!X672,Modificaciones!Z672)</f>
        <v>0</v>
      </c>
      <c r="S672" s="118" t="str">
        <f>IF(Modificaciones!AA672=0,"",VLOOKUP(E672,Modificaciones!$B$7:$AA$2400,26,0))</f>
        <v/>
      </c>
      <c r="T672" s="119" t="str">
        <f>IF(Modificaciones!AB672=0,"",VLOOKUP(E672,Modificaciones!$B$7:$AB$2400,27,0))</f>
        <v/>
      </c>
      <c r="U672" s="1080" t="str">
        <f>+Modificaciones!AC672</f>
        <v/>
      </c>
      <c r="V672" s="825" t="str">
        <f>+Modificaciones!AK672</f>
        <v/>
      </c>
      <c r="W672" s="825">
        <f t="shared" si="127"/>
        <v>43496</v>
      </c>
      <c r="X672" s="59">
        <f t="shared" si="126"/>
        <v>34375000</v>
      </c>
      <c r="Y672" s="151">
        <f>VLOOKUP(E672,Modificaciones!$B$7:$BE$2300,56,0)</f>
        <v>32083333</v>
      </c>
      <c r="Z672" s="84">
        <f t="shared" si="123"/>
        <v>2291667</v>
      </c>
      <c r="AA672" s="283" t="s">
        <v>1094</v>
      </c>
      <c r="AB672" s="823">
        <f t="shared" si="124"/>
        <v>0.93333332363636368</v>
      </c>
      <c r="AC672" s="40">
        <f t="shared" ca="1" si="128"/>
        <v>1</v>
      </c>
      <c r="AD672" s="41">
        <f t="shared" ca="1" si="129"/>
        <v>6.6666676363636324E-2</v>
      </c>
      <c r="AE672" s="181" t="str">
        <f t="shared" ca="1" si="130"/>
        <v/>
      </c>
      <c r="AF672" s="42" t="str">
        <f t="shared" si="125"/>
        <v>NO</v>
      </c>
      <c r="AG672" s="732" t="s">
        <v>5773</v>
      </c>
      <c r="AH672" s="152" t="s">
        <v>1256</v>
      </c>
      <c r="AI672" s="152" t="s">
        <v>4232</v>
      </c>
      <c r="AJ672" s="152" t="s">
        <v>1176</v>
      </c>
      <c r="AK672" s="255" t="s">
        <v>560</v>
      </c>
      <c r="AL672" s="279" t="s">
        <v>1508</v>
      </c>
      <c r="AM672" s="279" t="s">
        <v>3873</v>
      </c>
      <c r="AN672" s="161" t="str">
        <f t="shared" ca="1" si="131"/>
        <v>TERMINO</v>
      </c>
      <c r="AO672" s="160" t="s">
        <v>582</v>
      </c>
      <c r="AP672" s="406" t="s">
        <v>391</v>
      </c>
      <c r="AQ672" s="819" t="str">
        <f>IFERROR(VLOOKUP(E672,'liquidaciones '!$B$2:$C$1048576,2,0),"NO")</f>
        <v>DEVUELTO</v>
      </c>
      <c r="AR672" s="909" t="str">
        <f>IFERROR(VLOOKUP(E672,'liquidaciones '!$B$2:$I$1048576,8,0),"")</f>
        <v>LAURA GUTIERREZ</v>
      </c>
      <c r="AS672" s="406"/>
      <c r="AT672" s="156" t="str">
        <f t="shared" ca="1" si="132"/>
        <v>SI</v>
      </c>
      <c r="AU672" s="156" t="s">
        <v>4209</v>
      </c>
      <c r="AV672" s="406" t="s">
        <v>3778</v>
      </c>
      <c r="AW672" s="930" t="s">
        <v>3887</v>
      </c>
      <c r="AX672" s="928"/>
      <c r="AY672" s="275"/>
    </row>
    <row r="673" spans="3:51" ht="28.8" x14ac:dyDescent="0.3">
      <c r="C673" s="837"/>
      <c r="D673" s="837"/>
      <c r="E673" s="120" t="s">
        <v>4233</v>
      </c>
      <c r="F673" s="414" t="s">
        <v>4234</v>
      </c>
      <c r="G673" s="863" t="s">
        <v>4235</v>
      </c>
      <c r="H673" s="969" t="s">
        <v>4236</v>
      </c>
      <c r="I673" s="84">
        <v>966456</v>
      </c>
      <c r="J673" s="843" t="s">
        <v>4237</v>
      </c>
      <c r="K673" s="269">
        <v>2018</v>
      </c>
      <c r="L673" s="519">
        <v>43340</v>
      </c>
      <c r="M673" s="519">
        <v>43340</v>
      </c>
      <c r="N673" s="519">
        <v>43349</v>
      </c>
      <c r="O673" s="1099" t="str">
        <f>IF(+Modificaciones!I673=0,"",VLOOKUP(E673,Modificaciones!$B$7:$I$2400,8,0))</f>
        <v/>
      </c>
      <c r="P673" s="115">
        <f>COUNTA(Modificaciones!J673,Modificaciones!L673,Modificaciones!N673,Modificaciones!P673)</f>
        <v>0</v>
      </c>
      <c r="Q673" s="116">
        <f>VLOOKUP(E673,Modificaciones!$B$7:$R$2300,17,0)</f>
        <v>0</v>
      </c>
      <c r="R673" s="117">
        <f>COUNTA(Modificaciones!T673,Modificaciones!V673,Modificaciones!X673,Modificaciones!Z673)</f>
        <v>0</v>
      </c>
      <c r="S673" s="118" t="str">
        <f>IF(Modificaciones!AA673=0,"",VLOOKUP(E673,Modificaciones!$B$7:$AA$2400,26,0))</f>
        <v/>
      </c>
      <c r="T673" s="119" t="str">
        <f>IF(Modificaciones!AB673=0,"",VLOOKUP(E673,Modificaciones!$B$7:$AB$2400,27,0))</f>
        <v/>
      </c>
      <c r="U673" s="1080" t="str">
        <f>+Modificaciones!AC673</f>
        <v/>
      </c>
      <c r="V673" s="825" t="str">
        <f>+Modificaciones!AK673</f>
        <v/>
      </c>
      <c r="W673" s="825">
        <f t="shared" si="127"/>
        <v>43349</v>
      </c>
      <c r="X673" s="59">
        <f t="shared" si="126"/>
        <v>966456</v>
      </c>
      <c r="Y673" s="151">
        <f>VLOOKUP(E673,Modificaciones!$B$7:$BE$2300,56,0)</f>
        <v>966456</v>
      </c>
      <c r="Z673" s="84">
        <f t="shared" si="123"/>
        <v>0</v>
      </c>
      <c r="AA673" s="283"/>
      <c r="AB673" s="823">
        <f t="shared" si="124"/>
        <v>1</v>
      </c>
      <c r="AC673" s="40">
        <f t="shared" ca="1" si="128"/>
        <v>1</v>
      </c>
      <c r="AD673" s="41">
        <f t="shared" ca="1" si="129"/>
        <v>0</v>
      </c>
      <c r="AE673" s="181" t="str">
        <f t="shared" ca="1" si="130"/>
        <v/>
      </c>
      <c r="AF673" s="42" t="str">
        <f t="shared" si="125"/>
        <v>SI</v>
      </c>
      <c r="AG673" s="838" t="s">
        <v>1711</v>
      </c>
      <c r="AH673" s="841" t="s">
        <v>1255</v>
      </c>
      <c r="AI673" s="841" t="s">
        <v>4238</v>
      </c>
      <c r="AJ673" s="838"/>
      <c r="AK673" s="255" t="s">
        <v>560</v>
      </c>
      <c r="AL673" s="838" t="s">
        <v>1388</v>
      </c>
      <c r="AM673" s="279" t="s">
        <v>3873</v>
      </c>
      <c r="AN673" s="161" t="str">
        <f t="shared" ca="1" si="131"/>
        <v>TERMINO</v>
      </c>
      <c r="AO673" s="284" t="s">
        <v>2722</v>
      </c>
      <c r="AP673" s="406"/>
      <c r="AQ673" s="819" t="str">
        <f>IFERROR(VLOOKUP(E673,'liquidaciones '!$B$2:$C$1048576,2,0),"NO")</f>
        <v>LIQUIDADO</v>
      </c>
      <c r="AR673" s="909" t="str">
        <f>IFERROR(VLOOKUP(E673,'liquidaciones '!$B$2:$I$1048576,8,0),"")</f>
        <v>JUAN DIEGO ESPITIA</v>
      </c>
      <c r="AS673" s="406"/>
      <c r="AT673" s="156" t="str">
        <f t="shared" ca="1" si="132"/>
        <v>SI</v>
      </c>
      <c r="AU673" s="951" t="s">
        <v>1509</v>
      </c>
      <c r="AV673" s="406" t="s">
        <v>4239</v>
      </c>
      <c r="AW673" s="930" t="s">
        <v>3887</v>
      </c>
      <c r="AX673" s="928"/>
      <c r="AY673" s="275"/>
    </row>
    <row r="674" spans="3:51" ht="51" x14ac:dyDescent="0.3">
      <c r="C674" s="837">
        <v>2</v>
      </c>
      <c r="D674" s="837"/>
      <c r="E674" s="120" t="s">
        <v>4240</v>
      </c>
      <c r="F674" s="414" t="s">
        <v>38</v>
      </c>
      <c r="G674" s="863">
        <v>830053669</v>
      </c>
      <c r="H674" s="969" t="s">
        <v>4241</v>
      </c>
      <c r="I674" s="84">
        <v>17287703</v>
      </c>
      <c r="J674" s="843" t="s">
        <v>4243</v>
      </c>
      <c r="K674" s="269">
        <v>2018</v>
      </c>
      <c r="L674" s="519">
        <v>43343</v>
      </c>
      <c r="M674" s="519">
        <v>43346</v>
      </c>
      <c r="N674" s="519">
        <v>43557</v>
      </c>
      <c r="O674" s="1099" t="str">
        <f>IF(+Modificaciones!I674=0,"",VLOOKUP(E674,Modificaciones!$B$7:$I$2400,8,0))</f>
        <v/>
      </c>
      <c r="P674" s="115">
        <f>COUNTA(Modificaciones!J674,Modificaciones!L674,Modificaciones!N674,Modificaciones!P674)</f>
        <v>0</v>
      </c>
      <c r="Q674" s="116">
        <f>VLOOKUP(E674,Modificaciones!$B$7:$R$2300,17,0)</f>
        <v>0</v>
      </c>
      <c r="R674" s="117">
        <f>COUNTA(Modificaciones!T674,Modificaciones!V674,Modificaciones!X674,Modificaciones!Z674)</f>
        <v>1</v>
      </c>
      <c r="S674" s="118" t="str">
        <f>IF(Modificaciones!AA674=0,"",VLOOKUP(E674,Modificaciones!$B$7:$AA$2400,26,0))</f>
        <v>1 MES</v>
      </c>
      <c r="T674" s="119">
        <f>IF(Modificaciones!AB674=0,"",VLOOKUP(E674,Modificaciones!$B$7:$AB$2400,27,0))</f>
        <v>43587</v>
      </c>
      <c r="U674" s="1080" t="str">
        <f>+Modificaciones!AC674</f>
        <v/>
      </c>
      <c r="V674" s="825" t="str">
        <f>+Modificaciones!AK674</f>
        <v/>
      </c>
      <c r="W674" s="825">
        <f t="shared" si="127"/>
        <v>43587</v>
      </c>
      <c r="X674" s="59">
        <f t="shared" si="126"/>
        <v>17287703</v>
      </c>
      <c r="Y674" s="151">
        <f>VLOOKUP(E674,Modificaciones!$B$7:$BE$2300,56,0)</f>
        <v>17032821</v>
      </c>
      <c r="Z674" s="84">
        <f t="shared" si="123"/>
        <v>254882</v>
      </c>
      <c r="AA674" s="283" t="s">
        <v>1962</v>
      </c>
      <c r="AB674" s="823">
        <f t="shared" si="124"/>
        <v>0.98525645656915783</v>
      </c>
      <c r="AC674" s="40">
        <f t="shared" ca="1" si="128"/>
        <v>1</v>
      </c>
      <c r="AD674" s="41">
        <f t="shared" ca="1" si="129"/>
        <v>1.4743543430842165E-2</v>
      </c>
      <c r="AE674" s="181" t="str">
        <f t="shared" ca="1" si="130"/>
        <v/>
      </c>
      <c r="AF674" s="42" t="str">
        <f t="shared" si="125"/>
        <v>NO</v>
      </c>
      <c r="AG674" s="1017" t="s">
        <v>4920</v>
      </c>
      <c r="AH674" s="152" t="s">
        <v>1255</v>
      </c>
      <c r="AI674" s="255" t="s">
        <v>1139</v>
      </c>
      <c r="AJ674" s="152" t="s">
        <v>1441</v>
      </c>
      <c r="AK674" s="255" t="s">
        <v>559</v>
      </c>
      <c r="AL674" s="838"/>
      <c r="AM674" s="279" t="s">
        <v>4242</v>
      </c>
      <c r="AN674" s="161" t="str">
        <f t="shared" ca="1" si="131"/>
        <v>TERMINO</v>
      </c>
      <c r="AO674" s="284" t="s">
        <v>575</v>
      </c>
      <c r="AP674" s="406" t="s">
        <v>390</v>
      </c>
      <c r="AQ674" s="819" t="str">
        <f>IFERROR(VLOOKUP(E674,'liquidaciones '!$B$2:$C$1048576,2,0),"NO")</f>
        <v>LIQUIDADO</v>
      </c>
      <c r="AR674" s="909" t="str">
        <f>IFERROR(VLOOKUP(E674,'liquidaciones '!$B$2:$I$1048576,8,0),"")</f>
        <v>JUAN DIEGO ESPÍTIA</v>
      </c>
      <c r="AS674" s="406"/>
      <c r="AT674" s="156" t="str">
        <f t="shared" ca="1" si="132"/>
        <v>SI</v>
      </c>
      <c r="AU674" s="406" t="s">
        <v>4805</v>
      </c>
      <c r="AV674" s="406"/>
      <c r="AW674" s="930" t="s">
        <v>559</v>
      </c>
      <c r="AX674" s="928"/>
      <c r="AY674" s="278" t="s">
        <v>4714</v>
      </c>
    </row>
    <row r="675" spans="3:51" ht="40.799999999999997" x14ac:dyDescent="0.3">
      <c r="C675" s="837">
        <v>55</v>
      </c>
      <c r="D675" s="837"/>
      <c r="E675" s="120" t="s">
        <v>4246</v>
      </c>
      <c r="F675" s="414" t="s">
        <v>2115</v>
      </c>
      <c r="G675" s="874">
        <v>860007590</v>
      </c>
      <c r="H675" s="965" t="s">
        <v>2644</v>
      </c>
      <c r="I675" s="84">
        <v>1029000</v>
      </c>
      <c r="J675" s="843" t="s">
        <v>4820</v>
      </c>
      <c r="K675" s="269">
        <v>2018</v>
      </c>
      <c r="L675" s="519">
        <v>43346</v>
      </c>
      <c r="M675" s="519">
        <v>43376</v>
      </c>
      <c r="N675" s="519">
        <v>43740</v>
      </c>
      <c r="O675" s="1099" t="str">
        <f>IF(+Modificaciones!I675=0,"",VLOOKUP(E675,Modificaciones!$B$7:$I$2400,8,0))</f>
        <v/>
      </c>
      <c r="P675" s="115">
        <f>COUNTA(Modificaciones!J675,Modificaciones!L675,Modificaciones!N675,Modificaciones!P675)</f>
        <v>0</v>
      </c>
      <c r="Q675" s="116">
        <f>VLOOKUP(E675,Modificaciones!$B$7:$R$2300,17,0)</f>
        <v>0</v>
      </c>
      <c r="R675" s="117">
        <f>COUNTA(Modificaciones!T675,Modificaciones!V675,Modificaciones!X675,Modificaciones!Z675)</f>
        <v>0</v>
      </c>
      <c r="S675" s="118" t="str">
        <f>IF(Modificaciones!AA675=0,"",VLOOKUP(E675,Modificaciones!$B$7:$AA$2400,26,0))</f>
        <v/>
      </c>
      <c r="T675" s="119" t="str">
        <f>IF(Modificaciones!AB675=0,"",VLOOKUP(E675,Modificaciones!$B$7:$AB$2400,27,0))</f>
        <v/>
      </c>
      <c r="U675" s="1080" t="str">
        <f>+Modificaciones!AC675</f>
        <v/>
      </c>
      <c r="V675" s="825" t="str">
        <f>+Modificaciones!AK675</f>
        <v/>
      </c>
      <c r="W675" s="825">
        <f t="shared" si="127"/>
        <v>43740</v>
      </c>
      <c r="X675" s="59">
        <f t="shared" si="126"/>
        <v>1029000</v>
      </c>
      <c r="Y675" s="151">
        <f>VLOOKUP(E675,Modificaciones!$B$7:$BE$2300,56,0)</f>
        <v>1029000</v>
      </c>
      <c r="Z675" s="84">
        <f t="shared" si="123"/>
        <v>0</v>
      </c>
      <c r="AA675" s="283" t="s">
        <v>1894</v>
      </c>
      <c r="AB675" s="823">
        <f t="shared" si="124"/>
        <v>1</v>
      </c>
      <c r="AC675" s="40">
        <f t="shared" ca="1" si="128"/>
        <v>1</v>
      </c>
      <c r="AD675" s="41">
        <f t="shared" ca="1" si="129"/>
        <v>0</v>
      </c>
      <c r="AE675" s="181" t="str">
        <f t="shared" ca="1" si="130"/>
        <v/>
      </c>
      <c r="AF675" s="42" t="str">
        <f t="shared" si="125"/>
        <v>SI</v>
      </c>
      <c r="AG675" s="732" t="s">
        <v>1713</v>
      </c>
      <c r="AH675" s="152" t="s">
        <v>1255</v>
      </c>
      <c r="AI675" s="255" t="s">
        <v>1124</v>
      </c>
      <c r="AJ675" s="152" t="s">
        <v>1429</v>
      </c>
      <c r="AK675" s="255" t="s">
        <v>564</v>
      </c>
      <c r="AL675" s="279"/>
      <c r="AM675" s="279" t="s">
        <v>4247</v>
      </c>
      <c r="AN675" s="161" t="str">
        <f t="shared" ca="1" si="131"/>
        <v>TERMINO</v>
      </c>
      <c r="AO675" s="284" t="s">
        <v>582</v>
      </c>
      <c r="AP675" s="155" t="s">
        <v>390</v>
      </c>
      <c r="AQ675" s="819" t="str">
        <f>IFERROR(VLOOKUP(E675,'liquidaciones '!$B$2:$C$1048576,2,0),"NO")</f>
        <v>EN TRÁMITE</v>
      </c>
      <c r="AR675" s="909" t="str">
        <f>IFERROR(VLOOKUP(E675,'liquidaciones '!$B$2:$I$1048576,8,0),"")</f>
        <v>JUAN DIEGO ESPITIA</v>
      </c>
      <c r="AS675" s="406"/>
      <c r="AT675" s="156" t="str">
        <f t="shared" ca="1" si="132"/>
        <v>SI</v>
      </c>
      <c r="AU675" s="406" t="s">
        <v>4804</v>
      </c>
      <c r="AV675" s="406"/>
      <c r="AW675" s="930" t="s">
        <v>3920</v>
      </c>
      <c r="AX675" s="928"/>
      <c r="AY675" s="275" t="s">
        <v>5163</v>
      </c>
    </row>
    <row r="676" spans="3:51" ht="30.6" x14ac:dyDescent="0.3">
      <c r="C676" s="837">
        <v>61</v>
      </c>
      <c r="D676" s="837"/>
      <c r="E676" s="120" t="s">
        <v>4248</v>
      </c>
      <c r="F676" s="414" t="s">
        <v>1905</v>
      </c>
      <c r="G676" s="873">
        <v>860019063</v>
      </c>
      <c r="H676" s="967" t="s">
        <v>2841</v>
      </c>
      <c r="I676" s="84">
        <v>18450000</v>
      </c>
      <c r="J676" s="843" t="s">
        <v>4248</v>
      </c>
      <c r="K676" s="269">
        <v>2018</v>
      </c>
      <c r="L676" s="519">
        <v>43280</v>
      </c>
      <c r="M676" s="519">
        <v>43357</v>
      </c>
      <c r="N676" s="519">
        <v>43721</v>
      </c>
      <c r="O676" s="1099" t="str">
        <f>IF(+Modificaciones!I676=0,"",VLOOKUP(E676,Modificaciones!$B$7:$I$2400,8,0))</f>
        <v/>
      </c>
      <c r="P676" s="115">
        <f>COUNTA(Modificaciones!J676,Modificaciones!L676,Modificaciones!N676,Modificaciones!P676)</f>
        <v>0</v>
      </c>
      <c r="Q676" s="116">
        <f>VLOOKUP(E676,Modificaciones!$B$7:$R$2300,17,0)</f>
        <v>0</v>
      </c>
      <c r="R676" s="117">
        <f>COUNTA(Modificaciones!T676,Modificaciones!V676,Modificaciones!X676,Modificaciones!Z676)</f>
        <v>0</v>
      </c>
      <c r="S676" s="118" t="str">
        <f>IF(Modificaciones!AA676=0,"",VLOOKUP(E676,Modificaciones!$B$7:$AA$2400,26,0))</f>
        <v/>
      </c>
      <c r="T676" s="119" t="str">
        <f>IF(Modificaciones!AB676=0,"",VLOOKUP(E676,Modificaciones!$B$7:$AB$2400,27,0))</f>
        <v/>
      </c>
      <c r="U676" s="1080" t="str">
        <f>+Modificaciones!AC676</f>
        <v/>
      </c>
      <c r="V676" s="825" t="str">
        <f>+Modificaciones!AK676</f>
        <v/>
      </c>
      <c r="W676" s="825">
        <f t="shared" si="127"/>
        <v>43721</v>
      </c>
      <c r="X676" s="59">
        <f t="shared" si="126"/>
        <v>18450000</v>
      </c>
      <c r="Y676" s="151">
        <f>VLOOKUP(E676,Modificaciones!$B$7:$BE$2300,56,0)</f>
        <v>14929753</v>
      </c>
      <c r="Z676" s="84">
        <f t="shared" ref="Z676:Z691" si="133">X676-Y676</f>
        <v>3520247</v>
      </c>
      <c r="AA676" s="283" t="s">
        <v>1908</v>
      </c>
      <c r="AB676" s="823">
        <f t="shared" ref="AB676:AB691" si="134">(Y676*100%)/X676</f>
        <v>0.80920070460704607</v>
      </c>
      <c r="AC676" s="40">
        <f t="shared" ca="1" si="128"/>
        <v>1</v>
      </c>
      <c r="AD676" s="41">
        <f t="shared" ca="1" si="129"/>
        <v>0.19079929539295393</v>
      </c>
      <c r="AE676" s="181" t="str">
        <f t="shared" ca="1" si="130"/>
        <v/>
      </c>
      <c r="AF676" s="42" t="str">
        <f t="shared" ref="AF676:AF691" si="135">IF(AB676&lt;=99.9%,"NO","SI")</f>
        <v>NO</v>
      </c>
      <c r="AG676" s="1017" t="s">
        <v>4920</v>
      </c>
      <c r="AH676" s="841" t="s">
        <v>1255</v>
      </c>
      <c r="AI676" s="152" t="s">
        <v>2515</v>
      </c>
      <c r="AJ676" s="152" t="s">
        <v>1441</v>
      </c>
      <c r="AK676" s="255" t="s">
        <v>560</v>
      </c>
      <c r="AL676" s="838" t="s">
        <v>4185</v>
      </c>
      <c r="AM676" s="279" t="s">
        <v>3873</v>
      </c>
      <c r="AN676" s="161" t="str">
        <f t="shared" ca="1" si="131"/>
        <v>TERMINO</v>
      </c>
      <c r="AO676" s="284" t="s">
        <v>582</v>
      </c>
      <c r="AP676" s="406" t="s">
        <v>390</v>
      </c>
      <c r="AQ676" s="819" t="str">
        <f>IFERROR(VLOOKUP(E676,'liquidaciones '!$B$2:$C$1048576,2,0),"NO")</f>
        <v>DEVUELTO</v>
      </c>
      <c r="AR676" s="909" t="str">
        <f>IFERROR(VLOOKUP(E676,'liquidaciones '!$B$2:$I$1048576,8,0),"")</f>
        <v>JUAN DIEGO ESPÍTIA</v>
      </c>
      <c r="AS676" s="406"/>
      <c r="AT676" s="156" t="str">
        <f t="shared" ca="1" si="132"/>
        <v>SI</v>
      </c>
      <c r="AU676" s="156" t="s">
        <v>5042</v>
      </c>
      <c r="AV676" s="406" t="s">
        <v>4575</v>
      </c>
      <c r="AW676" s="930" t="s">
        <v>560</v>
      </c>
      <c r="AX676" s="928"/>
      <c r="AY676" s="275" t="s">
        <v>4970</v>
      </c>
    </row>
    <row r="677" spans="3:51" ht="51" x14ac:dyDescent="0.3">
      <c r="C677" s="837"/>
      <c r="D677" s="837"/>
      <c r="E677" s="120" t="s">
        <v>4249</v>
      </c>
      <c r="F677" s="414" t="s">
        <v>4250</v>
      </c>
      <c r="G677" s="863">
        <v>79352706</v>
      </c>
      <c r="H677" s="969" t="s">
        <v>4251</v>
      </c>
      <c r="I677" s="84">
        <v>27345000</v>
      </c>
      <c r="J677" s="843" t="s">
        <v>4819</v>
      </c>
      <c r="K677" s="269">
        <v>2018</v>
      </c>
      <c r="L677" s="519">
        <v>43346</v>
      </c>
      <c r="M677" s="519">
        <v>43349</v>
      </c>
      <c r="N677" s="519">
        <v>43496</v>
      </c>
      <c r="O677" s="1099" t="str">
        <f>IF(+Modificaciones!I677=0,"",VLOOKUP(E677,Modificaciones!$B$7:$I$2400,8,0))</f>
        <v/>
      </c>
      <c r="P677" s="115">
        <f>COUNTA(Modificaciones!J677,Modificaciones!L677,Modificaciones!N677,Modificaciones!P677)</f>
        <v>0</v>
      </c>
      <c r="Q677" s="116">
        <f>VLOOKUP(E677,Modificaciones!$B$7:$R$2300,17,0)</f>
        <v>0</v>
      </c>
      <c r="R677" s="117">
        <f>COUNTA(Modificaciones!T677,Modificaciones!V677,Modificaciones!X677,Modificaciones!Z677)</f>
        <v>0</v>
      </c>
      <c r="S677" s="118" t="str">
        <f>IF(Modificaciones!AA677=0,"",VLOOKUP(E677,Modificaciones!$B$7:$AA$2400,26,0))</f>
        <v/>
      </c>
      <c r="T677" s="119" t="str">
        <f>IF(Modificaciones!AB677=0,"",VLOOKUP(E677,Modificaciones!$B$7:$AB$2400,27,0))</f>
        <v/>
      </c>
      <c r="U677" s="1080" t="str">
        <f>+Modificaciones!AC677</f>
        <v/>
      </c>
      <c r="V677" s="825" t="str">
        <f>+Modificaciones!AK677</f>
        <v/>
      </c>
      <c r="W677" s="825">
        <f t="shared" si="127"/>
        <v>43496</v>
      </c>
      <c r="X677" s="59">
        <f t="shared" si="126"/>
        <v>27345000</v>
      </c>
      <c r="Y677" s="151">
        <f>VLOOKUP(E677,Modificaciones!$B$7:$BE$2300,56,0)</f>
        <v>26433500</v>
      </c>
      <c r="Z677" s="84">
        <f t="shared" si="133"/>
        <v>911500</v>
      </c>
      <c r="AA677" s="283" t="s">
        <v>1094</v>
      </c>
      <c r="AB677" s="823">
        <f t="shared" si="134"/>
        <v>0.96666666666666667</v>
      </c>
      <c r="AC677" s="40">
        <f t="shared" ca="1" si="128"/>
        <v>1</v>
      </c>
      <c r="AD677" s="41">
        <f t="shared" ca="1" si="129"/>
        <v>3.3333333333333326E-2</v>
      </c>
      <c r="AE677" s="181" t="str">
        <f t="shared" ca="1" si="130"/>
        <v/>
      </c>
      <c r="AF677" s="42" t="str">
        <f t="shared" si="135"/>
        <v>NO</v>
      </c>
      <c r="AG677" s="732" t="s">
        <v>5773</v>
      </c>
      <c r="AH677" s="152" t="s">
        <v>1255</v>
      </c>
      <c r="AI677" s="255" t="s">
        <v>2170</v>
      </c>
      <c r="AJ677" s="152"/>
      <c r="AK677" s="255" t="s">
        <v>559</v>
      </c>
      <c r="AL677" s="279"/>
      <c r="AM677" s="279" t="s">
        <v>4242</v>
      </c>
      <c r="AN677" s="161" t="str">
        <f t="shared" ca="1" si="131"/>
        <v>TERMINO</v>
      </c>
      <c r="AO677" s="284" t="s">
        <v>582</v>
      </c>
      <c r="AP677" s="406" t="s">
        <v>391</v>
      </c>
      <c r="AQ677" s="819" t="str">
        <f>IFERROR(VLOOKUP(E677,'liquidaciones '!$B$2:$C$1048576,2,0),"NO")</f>
        <v>EN TRÁMITE</v>
      </c>
      <c r="AR677" s="909" t="str">
        <f>IFERROR(VLOOKUP(E677,'liquidaciones '!$B$2:$I$1048576,8,0),"")</f>
        <v>JUAN DIEGO ESPÍTIA</v>
      </c>
      <c r="AS677" s="406"/>
      <c r="AT677" s="156" t="str">
        <f t="shared" ca="1" si="132"/>
        <v>SI</v>
      </c>
      <c r="AU677" s="976" t="s">
        <v>3050</v>
      </c>
      <c r="AV677" s="406"/>
      <c r="AW677" s="930" t="s">
        <v>3938</v>
      </c>
      <c r="AX677" s="928"/>
      <c r="AY677" s="275" t="s">
        <v>4798</v>
      </c>
    </row>
    <row r="678" spans="3:51" ht="40.799999999999997" x14ac:dyDescent="0.3">
      <c r="C678" s="837">
        <v>175</v>
      </c>
      <c r="D678" s="837"/>
      <c r="E678" s="120" t="s">
        <v>4252</v>
      </c>
      <c r="F678" s="414" t="s">
        <v>184</v>
      </c>
      <c r="G678" s="863" t="s">
        <v>4253</v>
      </c>
      <c r="H678" s="969" t="s">
        <v>4254</v>
      </c>
      <c r="I678" s="84">
        <v>30000000</v>
      </c>
      <c r="J678" s="843" t="s">
        <v>4255</v>
      </c>
      <c r="K678" s="269">
        <v>2018</v>
      </c>
      <c r="L678" s="519">
        <v>43340</v>
      </c>
      <c r="M678" s="519">
        <v>43355</v>
      </c>
      <c r="N678" s="519">
        <v>43535</v>
      </c>
      <c r="O678" s="1099" t="str">
        <f>IF(+Modificaciones!I678=0,"",VLOOKUP(E678,Modificaciones!$B$7:$I$2400,8,0))</f>
        <v/>
      </c>
      <c r="P678" s="115">
        <f>COUNTA(Modificaciones!J678,Modificaciones!L678,Modificaciones!N678,Modificaciones!P678)</f>
        <v>1</v>
      </c>
      <c r="Q678" s="116">
        <f>VLOOKUP(E678,Modificaciones!$B$7:$R$2300,17,0)</f>
        <v>15000000</v>
      </c>
      <c r="R678" s="117">
        <f>COUNTA(Modificaciones!T678,Modificaciones!V678,Modificaciones!X678,Modificaciones!Z678)</f>
        <v>1</v>
      </c>
      <c r="S678" s="118" t="str">
        <f>IF(Modificaciones!AA678=0,"",VLOOKUP(E678,Modificaciones!$B$7:$AA$2400,26,0))</f>
        <v>3 meses</v>
      </c>
      <c r="T678" s="119">
        <f>IF(Modificaciones!AB678=0,"",VLOOKUP(E678,Modificaciones!$B$7:$AB$2400,27,0))</f>
        <v>43626</v>
      </c>
      <c r="U678" s="1080" t="str">
        <f>+Modificaciones!AC678</f>
        <v/>
      </c>
      <c r="V678" s="825" t="str">
        <f>+Modificaciones!AK678</f>
        <v/>
      </c>
      <c r="W678" s="825">
        <f t="shared" si="127"/>
        <v>43626</v>
      </c>
      <c r="X678" s="59">
        <f t="shared" si="126"/>
        <v>45000000</v>
      </c>
      <c r="Y678" s="151">
        <f>VLOOKUP(E678,Modificaciones!$B$7:$BE$2300,56,0)</f>
        <v>41308760</v>
      </c>
      <c r="Z678" s="84">
        <f t="shared" si="133"/>
        <v>3691240</v>
      </c>
      <c r="AA678" s="283" t="s">
        <v>1863</v>
      </c>
      <c r="AB678" s="823">
        <f t="shared" si="134"/>
        <v>0.91797244444444448</v>
      </c>
      <c r="AC678" s="40">
        <f t="shared" ca="1" si="128"/>
        <v>1</v>
      </c>
      <c r="AD678" s="41">
        <f t="shared" ca="1" si="129"/>
        <v>8.202755555555552E-2</v>
      </c>
      <c r="AE678" s="181" t="str">
        <f t="shared" ca="1" si="130"/>
        <v/>
      </c>
      <c r="AF678" s="42" t="str">
        <f t="shared" si="135"/>
        <v>NO</v>
      </c>
      <c r="AG678" s="1017" t="s">
        <v>4920</v>
      </c>
      <c r="AH678" s="152" t="s">
        <v>1256</v>
      </c>
      <c r="AI678" s="275" t="s">
        <v>1165</v>
      </c>
      <c r="AJ678" s="152" t="s">
        <v>1438</v>
      </c>
      <c r="AK678" s="255" t="s">
        <v>560</v>
      </c>
      <c r="AL678" s="279" t="s">
        <v>1508</v>
      </c>
      <c r="AM678" s="279" t="s">
        <v>3873</v>
      </c>
      <c r="AN678" s="161" t="str">
        <f t="shared" ca="1" si="131"/>
        <v>TERMINO</v>
      </c>
      <c r="AO678" s="284" t="s">
        <v>576</v>
      </c>
      <c r="AP678" s="406" t="s">
        <v>390</v>
      </c>
      <c r="AQ678" s="819" t="str">
        <f>IFERROR(VLOOKUP(E678,'liquidaciones '!$B$2:$C$1048576,2,0),"NO")</f>
        <v>LIQUIDADO</v>
      </c>
      <c r="AR678" s="909" t="str">
        <f>IFERROR(VLOOKUP(E678,'liquidaciones '!$B$2:$I$1048576,8,0),"")</f>
        <v>JUAN DIEGO ESPÍTIA</v>
      </c>
      <c r="AS678" s="406"/>
      <c r="AT678" s="156" t="str">
        <f t="shared" ca="1" si="132"/>
        <v>SI</v>
      </c>
      <c r="AU678" s="976" t="s">
        <v>4209</v>
      </c>
      <c r="AV678" s="406" t="s">
        <v>3778</v>
      </c>
      <c r="AW678" s="930" t="s">
        <v>560</v>
      </c>
      <c r="AX678" s="275" t="s">
        <v>4703</v>
      </c>
      <c r="AY678" s="275" t="s">
        <v>4692</v>
      </c>
    </row>
    <row r="679" spans="3:51" ht="30.6" x14ac:dyDescent="0.3">
      <c r="C679" s="837">
        <v>9</v>
      </c>
      <c r="D679" s="837"/>
      <c r="E679" s="120" t="s">
        <v>4256</v>
      </c>
      <c r="F679" s="414" t="s">
        <v>1856</v>
      </c>
      <c r="G679" s="863">
        <v>860025639</v>
      </c>
      <c r="H679" s="969" t="s">
        <v>3049</v>
      </c>
      <c r="I679" s="84">
        <v>15450000</v>
      </c>
      <c r="J679" s="843" t="s">
        <v>4256</v>
      </c>
      <c r="K679" s="269">
        <v>2018</v>
      </c>
      <c r="L679" s="519">
        <v>43280</v>
      </c>
      <c r="M679" s="519">
        <v>43360</v>
      </c>
      <c r="N679" s="519">
        <v>43632</v>
      </c>
      <c r="O679" s="1099" t="str">
        <f>IF(+Modificaciones!I679=0,"",VLOOKUP(E679,Modificaciones!$B$7:$I$2400,8,0))</f>
        <v/>
      </c>
      <c r="P679" s="115">
        <f>COUNTA(Modificaciones!J679,Modificaciones!L679,Modificaciones!N679,Modificaciones!P679)</f>
        <v>0</v>
      </c>
      <c r="Q679" s="116">
        <f>VLOOKUP(E679,Modificaciones!$B$7:$R$2300,17,0)</f>
        <v>0</v>
      </c>
      <c r="R679" s="117">
        <f>COUNTA(Modificaciones!T679,Modificaciones!V679,Modificaciones!X679,Modificaciones!Z679)</f>
        <v>0</v>
      </c>
      <c r="S679" s="118" t="str">
        <f>IF(Modificaciones!AA679=0,"",VLOOKUP(E679,Modificaciones!$B$7:$AA$2400,26,0))</f>
        <v/>
      </c>
      <c r="T679" s="119" t="str">
        <f>IF(Modificaciones!AB679=0,"",VLOOKUP(E679,Modificaciones!$B$7:$AB$2400,27,0))</f>
        <v/>
      </c>
      <c r="U679" s="1080" t="str">
        <f>+Modificaciones!AC679</f>
        <v/>
      </c>
      <c r="V679" s="825" t="str">
        <f>+Modificaciones!AK679</f>
        <v/>
      </c>
      <c r="W679" s="825">
        <f t="shared" si="127"/>
        <v>43632</v>
      </c>
      <c r="X679" s="59">
        <f t="shared" si="126"/>
        <v>15450000</v>
      </c>
      <c r="Y679" s="151">
        <f>VLOOKUP(E679,Modificaciones!$B$7:$BE$2300,56,0)</f>
        <v>12955712</v>
      </c>
      <c r="Z679" s="84">
        <f t="shared" si="133"/>
        <v>2494288</v>
      </c>
      <c r="AA679" s="283" t="s">
        <v>2989</v>
      </c>
      <c r="AB679" s="823">
        <f t="shared" si="134"/>
        <v>0.83855741100323622</v>
      </c>
      <c r="AC679" s="40">
        <f t="shared" ca="1" si="128"/>
        <v>1</v>
      </c>
      <c r="AD679" s="41">
        <f t="shared" ca="1" si="129"/>
        <v>0.16144258899676378</v>
      </c>
      <c r="AE679" s="181" t="str">
        <f t="shared" ca="1" si="130"/>
        <v/>
      </c>
      <c r="AF679" s="42" t="str">
        <f t="shared" si="135"/>
        <v>NO</v>
      </c>
      <c r="AG679" s="1017" t="s">
        <v>4920</v>
      </c>
      <c r="AH679" s="152" t="s">
        <v>1255</v>
      </c>
      <c r="AI679" s="255" t="s">
        <v>1169</v>
      </c>
      <c r="AJ679" s="152" t="s">
        <v>1441</v>
      </c>
      <c r="AK679" s="255" t="s">
        <v>560</v>
      </c>
      <c r="AL679" s="838"/>
      <c r="AM679" s="279" t="s">
        <v>3873</v>
      </c>
      <c r="AN679" s="161" t="str">
        <f t="shared" ca="1" si="131"/>
        <v>TERMINO</v>
      </c>
      <c r="AO679" s="160" t="s">
        <v>582</v>
      </c>
      <c r="AP679" s="406" t="s">
        <v>390</v>
      </c>
      <c r="AQ679" s="819" t="str">
        <f>IFERROR(VLOOKUP(E679,'liquidaciones '!$B$2:$C$1048576,2,0),"NO")</f>
        <v>DEVUELTO</v>
      </c>
      <c r="AR679" s="909" t="str">
        <f>IFERROR(VLOOKUP(E679,'liquidaciones '!$B$2:$I$1048576,8,0),"")</f>
        <v>MARIA ALEJANDRA SANCHEZ</v>
      </c>
      <c r="AS679" s="406"/>
      <c r="AT679" s="156" t="str">
        <f t="shared" ca="1" si="132"/>
        <v>SI</v>
      </c>
      <c r="AU679" s="406" t="s">
        <v>4804</v>
      </c>
      <c r="AV679" s="406" t="s">
        <v>5044</v>
      </c>
      <c r="AW679" s="290" t="s">
        <v>560</v>
      </c>
      <c r="AX679" s="928"/>
      <c r="AY679" s="275" t="s">
        <v>4713</v>
      </c>
    </row>
    <row r="680" spans="3:51" ht="30.6" x14ac:dyDescent="0.3">
      <c r="C680" s="837"/>
      <c r="D680" s="837"/>
      <c r="E680" s="120" t="s">
        <v>4257</v>
      </c>
      <c r="F680" s="414" t="s">
        <v>4258</v>
      </c>
      <c r="G680" s="863">
        <v>51964728</v>
      </c>
      <c r="H680" s="969" t="s">
        <v>4259</v>
      </c>
      <c r="I680" s="84">
        <v>17139090</v>
      </c>
      <c r="J680" s="843" t="s">
        <v>4818</v>
      </c>
      <c r="K680" s="269">
        <v>2018</v>
      </c>
      <c r="L680" s="519">
        <v>43353</v>
      </c>
      <c r="M680" s="519">
        <v>43355</v>
      </c>
      <c r="N680" s="519">
        <v>43496</v>
      </c>
      <c r="O680" s="1099" t="str">
        <f>IF(+Modificaciones!I680=0,"",VLOOKUP(E680,Modificaciones!$B$7:$I$2400,8,0))</f>
        <v/>
      </c>
      <c r="P680" s="115">
        <f>COUNTA(Modificaciones!J680,Modificaciones!L680,Modificaciones!N680,Modificaciones!P680)</f>
        <v>0</v>
      </c>
      <c r="Q680" s="116">
        <f>VLOOKUP(E680,Modificaciones!$B$7:$R$2300,17,0)</f>
        <v>0</v>
      </c>
      <c r="R680" s="117">
        <f>COUNTA(Modificaciones!T680,Modificaciones!V680,Modificaciones!X680,Modificaciones!Z680)</f>
        <v>0</v>
      </c>
      <c r="S680" s="118" t="str">
        <f>IF(Modificaciones!AA680=0,"",VLOOKUP(E680,Modificaciones!$B$7:$AA$2400,26,0))</f>
        <v/>
      </c>
      <c r="T680" s="119" t="str">
        <f>IF(Modificaciones!AB680=0,"",VLOOKUP(E680,Modificaciones!$B$7:$AB$2400,27,0))</f>
        <v/>
      </c>
      <c r="U680" s="1080" t="str">
        <f>+Modificaciones!AC680</f>
        <v/>
      </c>
      <c r="V680" s="825" t="str">
        <f>+Modificaciones!AK680</f>
        <v/>
      </c>
      <c r="W680" s="825">
        <f t="shared" si="127"/>
        <v>43496</v>
      </c>
      <c r="X680" s="59">
        <f t="shared" si="126"/>
        <v>17139090</v>
      </c>
      <c r="Y680" s="151">
        <f>VLOOKUP(E680,Modificaciones!$B$7:$BE$2300,56,0)</f>
        <v>16438223</v>
      </c>
      <c r="Z680" s="84">
        <f t="shared" si="133"/>
        <v>700867</v>
      </c>
      <c r="AA680" s="283" t="s">
        <v>1094</v>
      </c>
      <c r="AB680" s="823">
        <f t="shared" si="134"/>
        <v>0.95910710545308997</v>
      </c>
      <c r="AC680" s="40">
        <f t="shared" ca="1" si="128"/>
        <v>1</v>
      </c>
      <c r="AD680" s="41">
        <f t="shared" ca="1" si="129"/>
        <v>4.089289454691003E-2</v>
      </c>
      <c r="AE680" s="181" t="str">
        <f t="shared" ca="1" si="130"/>
        <v/>
      </c>
      <c r="AF680" s="42" t="str">
        <f t="shared" si="135"/>
        <v>NO</v>
      </c>
      <c r="AG680" s="732" t="s">
        <v>5773</v>
      </c>
      <c r="AH680" s="152" t="s">
        <v>1255</v>
      </c>
      <c r="AI680" s="152" t="s">
        <v>4260</v>
      </c>
      <c r="AJ680" s="152" t="s">
        <v>1429</v>
      </c>
      <c r="AK680" s="255" t="s">
        <v>564</v>
      </c>
      <c r="AL680" s="279"/>
      <c r="AM680" s="279" t="s">
        <v>4247</v>
      </c>
      <c r="AN680" s="161" t="str">
        <f t="shared" ca="1" si="131"/>
        <v>TERMINO</v>
      </c>
      <c r="AO680" s="160" t="s">
        <v>582</v>
      </c>
      <c r="AP680" s="155" t="s">
        <v>391</v>
      </c>
      <c r="AQ680" s="819" t="str">
        <f>IFERROR(VLOOKUP(E680,'liquidaciones '!$B$2:$C$1048576,2,0),"NO")</f>
        <v>LIQUIDADO</v>
      </c>
      <c r="AR680" s="909" t="str">
        <f>IFERROR(VLOOKUP(E680,'liquidaciones '!$B$2:$I$1048576,8,0),"")</f>
        <v>JUAN DIEGO ESPITIA</v>
      </c>
      <c r="AS680" s="406"/>
      <c r="AT680" s="156" t="str">
        <f t="shared" ca="1" si="132"/>
        <v>SI</v>
      </c>
      <c r="AU680" s="406" t="s">
        <v>3050</v>
      </c>
      <c r="AV680" s="406"/>
      <c r="AW680" s="930" t="s">
        <v>3920</v>
      </c>
      <c r="AX680" s="928"/>
      <c r="AY680" s="275"/>
    </row>
    <row r="681" spans="3:51" ht="40.799999999999997" x14ac:dyDescent="0.3">
      <c r="C681" s="837">
        <v>188</v>
      </c>
      <c r="D681" s="837"/>
      <c r="E681" s="120" t="s">
        <v>4261</v>
      </c>
      <c r="F681" s="414" t="s">
        <v>4262</v>
      </c>
      <c r="G681" s="863">
        <v>900105979</v>
      </c>
      <c r="H681" s="969" t="s">
        <v>4263</v>
      </c>
      <c r="I681" s="84">
        <v>61010740</v>
      </c>
      <c r="J681" s="843" t="s">
        <v>4817</v>
      </c>
      <c r="K681" s="269">
        <v>2018</v>
      </c>
      <c r="L681" s="519">
        <v>43353</v>
      </c>
      <c r="M681" s="519">
        <v>43361</v>
      </c>
      <c r="N681" s="519">
        <v>43513</v>
      </c>
      <c r="O681" s="1099" t="str">
        <f>IF(+Modificaciones!I681=0,"",VLOOKUP(E681,Modificaciones!$B$7:$I$2400,8,0))</f>
        <v/>
      </c>
      <c r="P681" s="115">
        <f>COUNTA(Modificaciones!J681,Modificaciones!L681,Modificaciones!N681,Modificaciones!P681)</f>
        <v>1</v>
      </c>
      <c r="Q681" s="116">
        <f>VLOOKUP(E681,Modificaciones!$B$7:$R$2300,17,0)</f>
        <v>24404296</v>
      </c>
      <c r="R681" s="117">
        <f>COUNTA(Modificaciones!T681,Modificaciones!V681,Modificaciones!X681,Modificaciones!Z681)</f>
        <v>1</v>
      </c>
      <c r="S681" s="118" t="str">
        <f>IF(Modificaciones!AA681=0,"",VLOOKUP(E681,Modificaciones!$B$7:$AA$2400,26,0))</f>
        <v>2 meses</v>
      </c>
      <c r="T681" s="119">
        <f>IF(Modificaciones!AB681=0,"",VLOOKUP(E681,Modificaciones!$B$7:$AB$2400,27,0))</f>
        <v>43572</v>
      </c>
      <c r="U681" s="1080" t="str">
        <f>+Modificaciones!AC681</f>
        <v/>
      </c>
      <c r="V681" s="825" t="str">
        <f>+Modificaciones!AK681</f>
        <v/>
      </c>
      <c r="W681" s="825">
        <f t="shared" si="127"/>
        <v>43572</v>
      </c>
      <c r="X681" s="59">
        <f t="shared" si="126"/>
        <v>85415036</v>
      </c>
      <c r="Y681" s="151">
        <f>VLOOKUP(E681,Modificaciones!$B$7:$BE$2300,56,0)</f>
        <v>85415036</v>
      </c>
      <c r="Z681" s="84">
        <f t="shared" si="133"/>
        <v>0</v>
      </c>
      <c r="AA681" s="288" t="s">
        <v>2518</v>
      </c>
      <c r="AB681" s="823">
        <f t="shared" si="134"/>
        <v>1</v>
      </c>
      <c r="AC681" s="40">
        <f t="shared" ca="1" si="128"/>
        <v>1</v>
      </c>
      <c r="AD681" s="41">
        <f t="shared" ca="1" si="129"/>
        <v>0</v>
      </c>
      <c r="AE681" s="181" t="str">
        <f t="shared" ca="1" si="130"/>
        <v/>
      </c>
      <c r="AF681" s="42" t="str">
        <f t="shared" si="135"/>
        <v>SI</v>
      </c>
      <c r="AG681" s="1017" t="s">
        <v>4920</v>
      </c>
      <c r="AH681" s="841" t="s">
        <v>1256</v>
      </c>
      <c r="AI681" s="841" t="s">
        <v>2966</v>
      </c>
      <c r="AJ681" s="152" t="s">
        <v>1438</v>
      </c>
      <c r="AK681" s="255" t="s">
        <v>560</v>
      </c>
      <c r="AL681" s="838"/>
      <c r="AM681" s="279" t="s">
        <v>3873</v>
      </c>
      <c r="AN681" s="161" t="str">
        <f t="shared" ca="1" si="131"/>
        <v>TERMINO</v>
      </c>
      <c r="AO681" s="414" t="s">
        <v>2970</v>
      </c>
      <c r="AP681" s="406" t="s">
        <v>390</v>
      </c>
      <c r="AQ681" s="819" t="str">
        <f>IFERROR(VLOOKUP(E681,'liquidaciones '!$B$2:$C$1048576,2,0),"NO")</f>
        <v>LIQUIDADO</v>
      </c>
      <c r="AR681" s="909" t="str">
        <f>IFERROR(VLOOKUP(E681,'liquidaciones '!$B$2:$I$1048576,8,0),"")</f>
        <v>JUAN DIEGO ESPÍTIA</v>
      </c>
      <c r="AS681" s="406"/>
      <c r="AT681" s="156" t="str">
        <f t="shared" ca="1" si="132"/>
        <v>SI</v>
      </c>
      <c r="AU681" s="976" t="s">
        <v>4209</v>
      </c>
      <c r="AV681" s="406" t="s">
        <v>3778</v>
      </c>
      <c r="AW681" s="930" t="s">
        <v>560</v>
      </c>
      <c r="AX681" s="275" t="s">
        <v>4687</v>
      </c>
      <c r="AY681" s="275"/>
    </row>
    <row r="682" spans="3:51" ht="30.6" x14ac:dyDescent="0.3">
      <c r="C682" s="837"/>
      <c r="D682" s="837"/>
      <c r="E682" s="120" t="s">
        <v>4264</v>
      </c>
      <c r="F682" s="414" t="s">
        <v>4265</v>
      </c>
      <c r="G682" s="863">
        <v>52888971</v>
      </c>
      <c r="H682" s="969" t="s">
        <v>4269</v>
      </c>
      <c r="I682" s="84">
        <v>18748000</v>
      </c>
      <c r="J682" s="979" t="s">
        <v>4816</v>
      </c>
      <c r="K682" s="269">
        <v>2018</v>
      </c>
      <c r="L682" s="519">
        <v>43360</v>
      </c>
      <c r="M682" s="519">
        <v>43367</v>
      </c>
      <c r="N682" s="519">
        <v>43488</v>
      </c>
      <c r="O682" s="1099" t="str">
        <f>IF(+Modificaciones!I682=0,"",VLOOKUP(E682,Modificaciones!$B$7:$I$2400,8,0))</f>
        <v/>
      </c>
      <c r="P682" s="115">
        <f>COUNTA(Modificaciones!J682,Modificaciones!L682,Modificaciones!N682,Modificaciones!P682)</f>
        <v>0</v>
      </c>
      <c r="Q682" s="116">
        <f>VLOOKUP(E682,Modificaciones!$B$7:$R$2300,17,0)</f>
        <v>0</v>
      </c>
      <c r="R682" s="117">
        <f>COUNTA(Modificaciones!T682,Modificaciones!V682,Modificaciones!X682,Modificaciones!Z682)</f>
        <v>0</v>
      </c>
      <c r="S682" s="118" t="str">
        <f>IF(Modificaciones!AA682=0,"",VLOOKUP(E682,Modificaciones!$B$7:$AA$2400,26,0))</f>
        <v/>
      </c>
      <c r="T682" s="119" t="str">
        <f>IF(Modificaciones!AB682=0,"",VLOOKUP(E682,Modificaciones!$B$7:$AB$2400,27,0))</f>
        <v/>
      </c>
      <c r="U682" s="1080" t="str">
        <f>+Modificaciones!AC682</f>
        <v/>
      </c>
      <c r="V682" s="825" t="str">
        <f>+Modificaciones!AK682</f>
        <v/>
      </c>
      <c r="W682" s="825">
        <f t="shared" si="127"/>
        <v>43488</v>
      </c>
      <c r="X682" s="59">
        <f t="shared" si="126"/>
        <v>18748000</v>
      </c>
      <c r="Y682" s="151">
        <f>VLOOKUP(E682,Modificaciones!$B$7:$BE$2300,56,0)</f>
        <v>18748000</v>
      </c>
      <c r="Z682" s="84">
        <f t="shared" si="133"/>
        <v>0</v>
      </c>
      <c r="AA682" s="283" t="s">
        <v>1094</v>
      </c>
      <c r="AB682" s="823">
        <f t="shared" si="134"/>
        <v>1</v>
      </c>
      <c r="AC682" s="40">
        <f t="shared" ca="1" si="128"/>
        <v>1</v>
      </c>
      <c r="AD682" s="41">
        <f t="shared" ca="1" si="129"/>
        <v>0</v>
      </c>
      <c r="AE682" s="181" t="str">
        <f t="shared" ca="1" si="130"/>
        <v/>
      </c>
      <c r="AF682" s="42" t="str">
        <f t="shared" si="135"/>
        <v>SI</v>
      </c>
      <c r="AG682" s="732" t="s">
        <v>5773</v>
      </c>
      <c r="AH682" s="841" t="s">
        <v>1255</v>
      </c>
      <c r="AI682" s="870" t="s">
        <v>4266</v>
      </c>
      <c r="AJ682" s="838"/>
      <c r="AK682" s="255" t="s">
        <v>560</v>
      </c>
      <c r="AL682" s="838"/>
      <c r="AM682" s="279" t="s">
        <v>3873</v>
      </c>
      <c r="AN682" s="161" t="str">
        <f t="shared" ca="1" si="131"/>
        <v>TERMINO</v>
      </c>
      <c r="AO682" s="160" t="s">
        <v>582</v>
      </c>
      <c r="AP682" s="155" t="s">
        <v>391</v>
      </c>
      <c r="AQ682" s="819" t="str">
        <f>IFERROR(VLOOKUP(E682,'liquidaciones '!$B$2:$C$1048576,2,0),"NO")</f>
        <v>LIQUIDADO</v>
      </c>
      <c r="AR682" s="909" t="str">
        <f>IFERROR(VLOOKUP(E682,'liquidaciones '!$B$2:$I$1048576,8,0),"")</f>
        <v>MARTHA SANCHEZ</v>
      </c>
      <c r="AS682" s="406"/>
      <c r="AT682" s="156" t="str">
        <f t="shared" ca="1" si="132"/>
        <v>SI</v>
      </c>
      <c r="AU682" s="406" t="s">
        <v>4805</v>
      </c>
      <c r="AV682" s="406" t="s">
        <v>3783</v>
      </c>
      <c r="AW682" s="930" t="s">
        <v>560</v>
      </c>
      <c r="AX682" s="928"/>
      <c r="AY682" s="275"/>
    </row>
    <row r="683" spans="3:51" ht="30.6" x14ac:dyDescent="0.3">
      <c r="C683" s="837"/>
      <c r="D683" s="837"/>
      <c r="E683" s="120" t="s">
        <v>4267</v>
      </c>
      <c r="F683" s="414" t="s">
        <v>4268</v>
      </c>
      <c r="G683" s="863">
        <v>52959805</v>
      </c>
      <c r="H683" s="969" t="s">
        <v>4269</v>
      </c>
      <c r="I683" s="84">
        <v>18748000</v>
      </c>
      <c r="J683" s="977" t="s">
        <v>4816</v>
      </c>
      <c r="K683" s="269">
        <v>2018</v>
      </c>
      <c r="L683" s="519">
        <v>43360</v>
      </c>
      <c r="M683" s="519">
        <v>43367</v>
      </c>
      <c r="N683" s="519">
        <v>43488</v>
      </c>
      <c r="O683" s="1099" t="str">
        <f>IF(+Modificaciones!I683=0,"",VLOOKUP(E683,Modificaciones!$B$7:$I$2400,8,0))</f>
        <v/>
      </c>
      <c r="P683" s="115">
        <f>COUNTA(Modificaciones!J683,Modificaciones!L683,Modificaciones!N683,Modificaciones!P683)</f>
        <v>0</v>
      </c>
      <c r="Q683" s="116">
        <f>VLOOKUP(E683,Modificaciones!$B$7:$R$2300,17,0)</f>
        <v>0</v>
      </c>
      <c r="R683" s="117">
        <f>COUNTA(Modificaciones!T683,Modificaciones!V683,Modificaciones!X683,Modificaciones!Z683)</f>
        <v>0</v>
      </c>
      <c r="S683" s="118" t="str">
        <f>IF(Modificaciones!AA683=0,"",VLOOKUP(E683,Modificaciones!$B$7:$AA$2400,26,0))</f>
        <v/>
      </c>
      <c r="T683" s="119" t="str">
        <f>IF(Modificaciones!AB683=0,"",VLOOKUP(E683,Modificaciones!$B$7:$AB$2400,27,0))</f>
        <v/>
      </c>
      <c r="U683" s="1080" t="str">
        <f>+Modificaciones!AC683</f>
        <v/>
      </c>
      <c r="V683" s="825" t="str">
        <f>+Modificaciones!AK683</f>
        <v/>
      </c>
      <c r="W683" s="825">
        <f t="shared" si="127"/>
        <v>43488</v>
      </c>
      <c r="X683" s="59">
        <f t="shared" si="126"/>
        <v>18748000</v>
      </c>
      <c r="Y683" s="151">
        <f>VLOOKUP(E683,Modificaciones!$B$7:$BE$2300,56,0)</f>
        <v>18748000</v>
      </c>
      <c r="Z683" s="84">
        <f t="shared" si="133"/>
        <v>0</v>
      </c>
      <c r="AA683" s="283" t="s">
        <v>1094</v>
      </c>
      <c r="AB683" s="823">
        <f t="shared" si="134"/>
        <v>1</v>
      </c>
      <c r="AC683" s="40">
        <f t="shared" ca="1" si="128"/>
        <v>1</v>
      </c>
      <c r="AD683" s="41">
        <f t="shared" ca="1" si="129"/>
        <v>0</v>
      </c>
      <c r="AE683" s="181" t="str">
        <f t="shared" ca="1" si="130"/>
        <v/>
      </c>
      <c r="AF683" s="42" t="str">
        <f t="shared" si="135"/>
        <v>SI</v>
      </c>
      <c r="AG683" s="732" t="s">
        <v>5773</v>
      </c>
      <c r="AH683" s="841" t="s">
        <v>1255</v>
      </c>
      <c r="AI683" s="870" t="s">
        <v>4266</v>
      </c>
      <c r="AJ683" s="838"/>
      <c r="AK683" s="255" t="s">
        <v>560</v>
      </c>
      <c r="AL683" s="838"/>
      <c r="AM683" s="279" t="s">
        <v>3873</v>
      </c>
      <c r="AN683" s="161" t="str">
        <f t="shared" ca="1" si="131"/>
        <v>TERMINO</v>
      </c>
      <c r="AO683" s="160" t="s">
        <v>582</v>
      </c>
      <c r="AP683" s="155" t="s">
        <v>391</v>
      </c>
      <c r="AQ683" s="819" t="str">
        <f>IFERROR(VLOOKUP(E683,'liquidaciones '!$B$2:$C$1048576,2,0),"NO")</f>
        <v>LIQUIDADO</v>
      </c>
      <c r="AR683" s="909" t="str">
        <f>IFERROR(VLOOKUP(E683,'liquidaciones '!$B$2:$I$1048576,8,0),"")</f>
        <v>MARTHA SANCHEZ</v>
      </c>
      <c r="AS683" s="406"/>
      <c r="AT683" s="156" t="str">
        <f t="shared" ca="1" si="132"/>
        <v>SI</v>
      </c>
      <c r="AU683" s="406" t="s">
        <v>4805</v>
      </c>
      <c r="AV683" s="406" t="s">
        <v>3783</v>
      </c>
      <c r="AW683" s="930" t="s">
        <v>560</v>
      </c>
      <c r="AX683" s="928"/>
      <c r="AY683" s="275"/>
    </row>
    <row r="684" spans="3:51" ht="28.8" x14ac:dyDescent="0.3">
      <c r="C684" s="837"/>
      <c r="D684" s="837"/>
      <c r="E684" s="120" t="s">
        <v>4297</v>
      </c>
      <c r="F684" s="414" t="s">
        <v>3368</v>
      </c>
      <c r="G684" s="863">
        <v>830095213</v>
      </c>
      <c r="H684" s="965" t="s">
        <v>4298</v>
      </c>
      <c r="I684" s="84">
        <v>144000000</v>
      </c>
      <c r="J684" s="843" t="s">
        <v>4300</v>
      </c>
      <c r="K684" s="269">
        <v>2018</v>
      </c>
      <c r="L684" s="519">
        <v>43378</v>
      </c>
      <c r="M684" s="519">
        <v>43379</v>
      </c>
      <c r="N684" s="519">
        <v>43491</v>
      </c>
      <c r="O684" s="1099" t="str">
        <f>IF(+Modificaciones!I684=0,"",VLOOKUP(E684,Modificaciones!$B$7:$I$2400,8,0))</f>
        <v/>
      </c>
      <c r="P684" s="115">
        <f>COUNTA(Modificaciones!J684,Modificaciones!L684,Modificaciones!N684,Modificaciones!P684)</f>
        <v>0</v>
      </c>
      <c r="Q684" s="116">
        <f>VLOOKUP(E684,Modificaciones!$B$7:$R$2300,17,0)</f>
        <v>0</v>
      </c>
      <c r="R684" s="117">
        <f>COUNTA(Modificaciones!T684,Modificaciones!V684,Modificaciones!X684,Modificaciones!Z684)</f>
        <v>0</v>
      </c>
      <c r="S684" s="118" t="str">
        <f>IF(Modificaciones!AA684=0,"",VLOOKUP(E684,Modificaciones!$B$7:$AA$2400,26,0))</f>
        <v/>
      </c>
      <c r="T684" s="119" t="str">
        <f>IF(Modificaciones!AB684=0,"",VLOOKUP(E684,Modificaciones!$B$7:$AB$2400,27,0))</f>
        <v/>
      </c>
      <c r="U684" s="1080" t="str">
        <f>+Modificaciones!AC684</f>
        <v/>
      </c>
      <c r="V684" s="825" t="str">
        <f>+Modificaciones!AK684</f>
        <v/>
      </c>
      <c r="W684" s="825">
        <f t="shared" si="127"/>
        <v>43491</v>
      </c>
      <c r="X684" s="59">
        <f t="shared" si="126"/>
        <v>144000000</v>
      </c>
      <c r="Y684" s="151">
        <f>VLOOKUP(E684,Modificaciones!$B$7:$BE$2300,56,0)</f>
        <v>144000000</v>
      </c>
      <c r="Z684" s="84">
        <f t="shared" si="133"/>
        <v>0</v>
      </c>
      <c r="AA684" s="283"/>
      <c r="AB684" s="823">
        <f t="shared" si="134"/>
        <v>1</v>
      </c>
      <c r="AC684" s="40">
        <f t="shared" ca="1" si="128"/>
        <v>1</v>
      </c>
      <c r="AD684" s="41">
        <f t="shared" ca="1" si="129"/>
        <v>0</v>
      </c>
      <c r="AE684" s="181" t="str">
        <f t="shared" ca="1" si="130"/>
        <v/>
      </c>
      <c r="AF684" s="42" t="str">
        <f t="shared" si="135"/>
        <v>SI</v>
      </c>
      <c r="AG684" s="838"/>
      <c r="AH684" s="152" t="s">
        <v>1255</v>
      </c>
      <c r="AI684" s="255" t="s">
        <v>1138</v>
      </c>
      <c r="AJ684" s="838"/>
      <c r="AK684" s="255" t="s">
        <v>560</v>
      </c>
      <c r="AL684" s="279" t="s">
        <v>4185</v>
      </c>
      <c r="AM684" s="279" t="s">
        <v>2830</v>
      </c>
      <c r="AN684" s="161" t="str">
        <f t="shared" ca="1" si="131"/>
        <v>TERMINO</v>
      </c>
      <c r="AO684" s="414"/>
      <c r="AP684" s="406"/>
      <c r="AQ684" s="819" t="str">
        <f>IFERROR(VLOOKUP(E684,'liquidaciones '!$B$2:$C$1048576,2,0),"NO")</f>
        <v>LIQUIDADO</v>
      </c>
      <c r="AR684" s="909" t="str">
        <f>IFERROR(VLOOKUP(E684,'liquidaciones '!$B$2:$I$1048576,8,0),"")</f>
        <v>JUAN DIEGO ESPÍTIA</v>
      </c>
      <c r="AS684" s="406"/>
      <c r="AT684" s="156" t="str">
        <f t="shared" ca="1" si="132"/>
        <v>SI</v>
      </c>
      <c r="AU684" s="406" t="s">
        <v>4299</v>
      </c>
      <c r="AV684" s="406"/>
      <c r="AW684" s="930" t="s">
        <v>3938</v>
      </c>
      <c r="AX684" s="928"/>
      <c r="AY684" s="275"/>
    </row>
    <row r="685" spans="3:51" ht="40.799999999999997" x14ac:dyDescent="0.3">
      <c r="C685" s="837">
        <v>54</v>
      </c>
      <c r="D685" s="837"/>
      <c r="E685" s="120" t="s">
        <v>4307</v>
      </c>
      <c r="F685" s="414" t="s">
        <v>33</v>
      </c>
      <c r="G685" s="874">
        <v>860509265</v>
      </c>
      <c r="H685" s="965" t="s">
        <v>3664</v>
      </c>
      <c r="I685" s="84">
        <v>885000</v>
      </c>
      <c r="J685" s="977" t="s">
        <v>4815</v>
      </c>
      <c r="K685" s="269">
        <v>2018</v>
      </c>
      <c r="L685" s="519">
        <v>43374</v>
      </c>
      <c r="M685" s="519">
        <v>43406</v>
      </c>
      <c r="N685" s="519">
        <v>43770</v>
      </c>
      <c r="O685" s="1099" t="str">
        <f>IF(+Modificaciones!I685=0,"",VLOOKUP(E685,Modificaciones!$B$7:$I$2400,8,0))</f>
        <v/>
      </c>
      <c r="P685" s="115">
        <f>COUNTA(Modificaciones!J685,Modificaciones!L685,Modificaciones!N685,Modificaciones!P685)</f>
        <v>0</v>
      </c>
      <c r="Q685" s="116">
        <f>VLOOKUP(E685,Modificaciones!$B$7:$R$2300,17,0)</f>
        <v>0</v>
      </c>
      <c r="R685" s="117">
        <f>COUNTA(Modificaciones!T685,Modificaciones!V685,Modificaciones!X685,Modificaciones!Z685)</f>
        <v>0</v>
      </c>
      <c r="S685" s="118" t="str">
        <f>IF(Modificaciones!AA685=0,"",VLOOKUP(E685,Modificaciones!$B$7:$AA$2400,26,0))</f>
        <v/>
      </c>
      <c r="T685" s="119" t="str">
        <f>IF(Modificaciones!AB685=0,"",VLOOKUP(E685,Modificaciones!$B$7:$AB$2400,27,0))</f>
        <v/>
      </c>
      <c r="U685" s="1080" t="str">
        <f>+Modificaciones!AC685</f>
        <v/>
      </c>
      <c r="V685" s="825" t="str">
        <f>+Modificaciones!AK685</f>
        <v/>
      </c>
      <c r="W685" s="825">
        <f t="shared" si="127"/>
        <v>43770</v>
      </c>
      <c r="X685" s="59">
        <f t="shared" si="126"/>
        <v>885000</v>
      </c>
      <c r="Y685" s="151">
        <f>VLOOKUP(E685,Modificaciones!$B$7:$BE$2300,56,0)</f>
        <v>885000</v>
      </c>
      <c r="Z685" s="84">
        <f t="shared" si="133"/>
        <v>0</v>
      </c>
      <c r="AA685" s="283" t="s">
        <v>1894</v>
      </c>
      <c r="AB685" s="823">
        <f t="shared" si="134"/>
        <v>1</v>
      </c>
      <c r="AC685" s="40">
        <f t="shared" ca="1" si="128"/>
        <v>1</v>
      </c>
      <c r="AD685" s="41">
        <f t="shared" ca="1" si="129"/>
        <v>0</v>
      </c>
      <c r="AE685" s="181" t="str">
        <f t="shared" ca="1" si="130"/>
        <v/>
      </c>
      <c r="AF685" s="42" t="str">
        <f t="shared" si="135"/>
        <v>SI</v>
      </c>
      <c r="AG685" s="732" t="s">
        <v>1713</v>
      </c>
      <c r="AH685" s="152" t="s">
        <v>1255</v>
      </c>
      <c r="AI685" s="275" t="s">
        <v>1468</v>
      </c>
      <c r="AJ685" s="152" t="s">
        <v>1429</v>
      </c>
      <c r="AK685" s="255" t="s">
        <v>564</v>
      </c>
      <c r="AL685" s="838"/>
      <c r="AM685" s="279" t="s">
        <v>4247</v>
      </c>
      <c r="AN685" s="161" t="str">
        <f t="shared" ca="1" si="131"/>
        <v>TERMINO</v>
      </c>
      <c r="AO685" s="160" t="s">
        <v>582</v>
      </c>
      <c r="AP685" s="406" t="s">
        <v>391</v>
      </c>
      <c r="AQ685" s="819" t="str">
        <f>IFERROR(VLOOKUP(E685,'liquidaciones '!$B$2:$C$1048576,2,0),"NO")</f>
        <v>EN TRÁMITE</v>
      </c>
      <c r="AR685" s="909" t="str">
        <f>IFERROR(VLOOKUP(E685,'liquidaciones '!$B$2:$I$1048576,8,0),"")</f>
        <v>GABINO HERNANDEZ</v>
      </c>
      <c r="AS685" s="406"/>
      <c r="AT685" s="156" t="str">
        <f t="shared" ca="1" si="132"/>
        <v>SI</v>
      </c>
      <c r="AU685" s="406" t="s">
        <v>4804</v>
      </c>
      <c r="AV685" s="406" t="s">
        <v>5046</v>
      </c>
      <c r="AW685" s="930" t="s">
        <v>3920</v>
      </c>
      <c r="AX685" s="928"/>
      <c r="AY685" s="275" t="s">
        <v>5181</v>
      </c>
    </row>
    <row r="686" spans="3:51" ht="30.6" x14ac:dyDescent="0.3">
      <c r="C686" s="837">
        <v>137</v>
      </c>
      <c r="D686" s="837"/>
      <c r="E686" s="120" t="s">
        <v>4310</v>
      </c>
      <c r="F686" s="414" t="s">
        <v>4311</v>
      </c>
      <c r="G686" s="863" t="s">
        <v>4312</v>
      </c>
      <c r="H686" s="969" t="s">
        <v>3643</v>
      </c>
      <c r="I686" s="84">
        <v>11297490</v>
      </c>
      <c r="J686" s="843" t="s">
        <v>4814</v>
      </c>
      <c r="K686" s="269">
        <v>2018</v>
      </c>
      <c r="L686" s="519">
        <v>43371</v>
      </c>
      <c r="M686" s="519">
        <v>43384</v>
      </c>
      <c r="N686" s="519">
        <v>43506</v>
      </c>
      <c r="O686" s="1099" t="str">
        <f>IF(+Modificaciones!I686=0,"",VLOOKUP(E686,Modificaciones!$B$7:$I$2400,8,0))</f>
        <v/>
      </c>
      <c r="P686" s="115">
        <f>COUNTA(Modificaciones!J686,Modificaciones!L686,Modificaciones!N686,Modificaciones!P686)</f>
        <v>0</v>
      </c>
      <c r="Q686" s="116">
        <f>VLOOKUP(E686,Modificaciones!$B$7:$R$2300,17,0)</f>
        <v>0</v>
      </c>
      <c r="R686" s="117">
        <f>COUNTA(Modificaciones!T686,Modificaciones!V686,Modificaciones!X686,Modificaciones!Z686)</f>
        <v>0</v>
      </c>
      <c r="S686" s="118" t="str">
        <f>IF(Modificaciones!AA686=0,"",VLOOKUP(E686,Modificaciones!$B$7:$AA$2400,26,0))</f>
        <v/>
      </c>
      <c r="T686" s="119" t="str">
        <f>IF(Modificaciones!AB686=0,"",VLOOKUP(E686,Modificaciones!$B$7:$AB$2400,27,0))</f>
        <v/>
      </c>
      <c r="U686" s="1080" t="str">
        <f>+Modificaciones!AC686</f>
        <v/>
      </c>
      <c r="V686" s="825" t="str">
        <f>+Modificaciones!AK686</f>
        <v/>
      </c>
      <c r="W686" s="825">
        <f t="shared" si="127"/>
        <v>43506</v>
      </c>
      <c r="X686" s="59">
        <f t="shared" si="126"/>
        <v>11297490</v>
      </c>
      <c r="Y686" s="151">
        <f>VLOOKUP(E686,Modificaciones!$B$7:$BE$2300,56,0)</f>
        <v>11297489</v>
      </c>
      <c r="Z686" s="84">
        <f t="shared" si="133"/>
        <v>1</v>
      </c>
      <c r="AA686" s="283" t="s">
        <v>2195</v>
      </c>
      <c r="AB686" s="823">
        <f t="shared" si="134"/>
        <v>0.99999991148476342</v>
      </c>
      <c r="AC686" s="40">
        <f t="shared" ca="1" si="128"/>
        <v>1</v>
      </c>
      <c r="AD686" s="41">
        <f t="shared" ca="1" si="129"/>
        <v>8.8515236584818524E-8</v>
      </c>
      <c r="AE686" s="181" t="str">
        <f t="shared" ca="1" si="130"/>
        <v/>
      </c>
      <c r="AF686" s="42" t="str">
        <f t="shared" si="135"/>
        <v>SI</v>
      </c>
      <c r="AG686" s="732" t="s">
        <v>1711</v>
      </c>
      <c r="AH686" s="152" t="s">
        <v>1255</v>
      </c>
      <c r="AI686" s="255" t="s">
        <v>1303</v>
      </c>
      <c r="AJ686" s="152" t="s">
        <v>1434</v>
      </c>
      <c r="AK686" s="255" t="s">
        <v>560</v>
      </c>
      <c r="AL686" s="838"/>
      <c r="AM686" s="279" t="s">
        <v>3873</v>
      </c>
      <c r="AN686" s="161" t="str">
        <f t="shared" ca="1" si="131"/>
        <v>TERMINO</v>
      </c>
      <c r="AO686" s="284" t="s">
        <v>576</v>
      </c>
      <c r="AP686" s="406" t="s">
        <v>390</v>
      </c>
      <c r="AQ686" s="819" t="str">
        <f>IFERROR(VLOOKUP(E686,'liquidaciones '!$B$2:$C$1048576,2,0),"NO")</f>
        <v>DEVUELTO</v>
      </c>
      <c r="AR686" s="909" t="str">
        <f>IFERROR(VLOOKUP(E686,'liquidaciones '!$B$2:$I$1048576,8,0),"")</f>
        <v>MARIA ALEJANDRA SANCHEZ</v>
      </c>
      <c r="AS686" s="406"/>
      <c r="AT686" s="156" t="str">
        <f t="shared" ca="1" si="132"/>
        <v>SI</v>
      </c>
      <c r="AU686" s="976" t="s">
        <v>4299</v>
      </c>
      <c r="AV686" s="406" t="s">
        <v>4333</v>
      </c>
      <c r="AW686" s="930" t="s">
        <v>560</v>
      </c>
      <c r="AX686" s="928"/>
      <c r="AY686" s="275" t="s">
        <v>4955</v>
      </c>
    </row>
    <row r="687" spans="3:51" ht="51" x14ac:dyDescent="0.3">
      <c r="C687" s="837"/>
      <c r="D687" s="837"/>
      <c r="E687" s="120" t="s">
        <v>4318</v>
      </c>
      <c r="F687" s="414" t="s">
        <v>4314</v>
      </c>
      <c r="G687" s="863">
        <v>52196310</v>
      </c>
      <c r="H687" s="969" t="s">
        <v>4315</v>
      </c>
      <c r="I687" s="84">
        <v>31200000</v>
      </c>
      <c r="J687" s="843" t="s">
        <v>4813</v>
      </c>
      <c r="K687" s="269">
        <v>2018</v>
      </c>
      <c r="L687" s="519">
        <v>43378</v>
      </c>
      <c r="M687" s="519">
        <v>43383</v>
      </c>
      <c r="N687" s="519">
        <v>43496</v>
      </c>
      <c r="O687" s="1099" t="str">
        <f>IF(+Modificaciones!I687=0,"",VLOOKUP(E687,Modificaciones!$B$7:$I$2400,8,0))</f>
        <v/>
      </c>
      <c r="P687" s="115">
        <f>COUNTA(Modificaciones!J687,Modificaciones!L687,Modificaciones!N687,Modificaciones!P687)</f>
        <v>0</v>
      </c>
      <c r="Q687" s="116">
        <f>VLOOKUP(E687,Modificaciones!$B$7:$R$2300,17,0)</f>
        <v>0</v>
      </c>
      <c r="R687" s="117">
        <f>COUNTA(Modificaciones!T687,Modificaciones!V687,Modificaciones!X687,Modificaciones!Z687)</f>
        <v>0</v>
      </c>
      <c r="S687" s="118" t="str">
        <f>IF(Modificaciones!AA687=0,"",VLOOKUP(E687,Modificaciones!$B$7:$AA$2400,26,0))</f>
        <v/>
      </c>
      <c r="T687" s="119" t="str">
        <f>IF(Modificaciones!AB687=0,"",VLOOKUP(E687,Modificaciones!$B$7:$AB$2400,27,0))</f>
        <v/>
      </c>
      <c r="U687" s="1080" t="str">
        <f>+Modificaciones!AC687</f>
        <v/>
      </c>
      <c r="V687" s="825" t="str">
        <f>+Modificaciones!AK687</f>
        <v/>
      </c>
      <c r="W687" s="825">
        <f t="shared" si="127"/>
        <v>43496</v>
      </c>
      <c r="X687" s="59">
        <f t="shared" si="126"/>
        <v>31200000</v>
      </c>
      <c r="Y687" s="151">
        <f>VLOOKUP(E687,Modificaciones!$B$7:$BE$2300,56,0)</f>
        <v>28860000</v>
      </c>
      <c r="Z687" s="84">
        <f t="shared" si="133"/>
        <v>2340000</v>
      </c>
      <c r="AA687" s="283" t="s">
        <v>1094</v>
      </c>
      <c r="AB687" s="823">
        <f t="shared" si="134"/>
        <v>0.92500000000000004</v>
      </c>
      <c r="AC687" s="40">
        <f t="shared" ca="1" si="128"/>
        <v>1</v>
      </c>
      <c r="AD687" s="41">
        <f t="shared" ca="1" si="129"/>
        <v>7.4999999999999956E-2</v>
      </c>
      <c r="AE687" s="181" t="str">
        <f t="shared" ca="1" si="130"/>
        <v/>
      </c>
      <c r="AF687" s="42" t="str">
        <f t="shared" si="135"/>
        <v>NO</v>
      </c>
      <c r="AG687" s="732" t="s">
        <v>5773</v>
      </c>
      <c r="AH687" s="841" t="s">
        <v>1255</v>
      </c>
      <c r="AI687" s="870" t="s">
        <v>4316</v>
      </c>
      <c r="AJ687" s="838" t="s">
        <v>4317</v>
      </c>
      <c r="AK687" s="255" t="s">
        <v>559</v>
      </c>
      <c r="AL687" s="838"/>
      <c r="AM687" s="279" t="s">
        <v>4242</v>
      </c>
      <c r="AN687" s="161" t="str">
        <f t="shared" ca="1" si="131"/>
        <v>TERMINO</v>
      </c>
      <c r="AO687" s="160" t="s">
        <v>582</v>
      </c>
      <c r="AP687" s="155" t="s">
        <v>391</v>
      </c>
      <c r="AQ687" s="819" t="str">
        <f>IFERROR(VLOOKUP(E687,'liquidaciones '!$B$2:$C$1048576,2,0),"NO")</f>
        <v>EN TRÁMITE</v>
      </c>
      <c r="AR687" s="909" t="str">
        <f>IFERROR(VLOOKUP(E687,'liquidaciones '!$B$2:$I$1048576,8,0),"")</f>
        <v>MARTHA SANCHEZ</v>
      </c>
      <c r="AS687" s="406"/>
      <c r="AT687" s="156" t="str">
        <f t="shared" ca="1" si="132"/>
        <v>SI</v>
      </c>
      <c r="AU687" s="406" t="s">
        <v>4805</v>
      </c>
      <c r="AV687" s="406"/>
      <c r="AW687" s="930" t="s">
        <v>3938</v>
      </c>
      <c r="AX687" s="928"/>
      <c r="AY687" s="275"/>
    </row>
    <row r="688" spans="3:51" ht="40.799999999999997" x14ac:dyDescent="0.3">
      <c r="C688" s="837"/>
      <c r="D688" s="837"/>
      <c r="E688" s="120" t="s">
        <v>4313</v>
      </c>
      <c r="F688" s="414" t="s">
        <v>4319</v>
      </c>
      <c r="G688" s="863">
        <v>80830146</v>
      </c>
      <c r="H688" s="969" t="s">
        <v>3039</v>
      </c>
      <c r="I688" s="84">
        <v>21876000</v>
      </c>
      <c r="J688" s="843" t="s">
        <v>4322</v>
      </c>
      <c r="K688" s="269">
        <v>2018</v>
      </c>
      <c r="L688" s="519">
        <v>43378</v>
      </c>
      <c r="M688" s="519">
        <v>43383</v>
      </c>
      <c r="N688" s="519">
        <v>43496</v>
      </c>
      <c r="O688" s="1099" t="str">
        <f>IF(+Modificaciones!I688=0,"",VLOOKUP(E688,Modificaciones!$B$7:$I$2400,8,0))</f>
        <v/>
      </c>
      <c r="P688" s="115">
        <f>COUNTA(Modificaciones!J688,Modificaciones!L688,Modificaciones!N688,Modificaciones!P688)</f>
        <v>0</v>
      </c>
      <c r="Q688" s="116">
        <f>VLOOKUP(E688,Modificaciones!$B$7:$R$2300,17,0)</f>
        <v>0</v>
      </c>
      <c r="R688" s="117">
        <f>COUNTA(Modificaciones!T688,Modificaciones!V688,Modificaciones!X688,Modificaciones!Z688)</f>
        <v>0</v>
      </c>
      <c r="S688" s="118" t="str">
        <f>IF(Modificaciones!AA688=0,"",VLOOKUP(E688,Modificaciones!$B$7:$AA$2400,26,0))</f>
        <v/>
      </c>
      <c r="T688" s="119" t="str">
        <f>IF(Modificaciones!AB688=0,"",VLOOKUP(E688,Modificaciones!$B$7:$AB$2400,27,0))</f>
        <v/>
      </c>
      <c r="U688" s="1080" t="str">
        <f>+Modificaciones!AC688</f>
        <v/>
      </c>
      <c r="V688" s="825" t="str">
        <f>+Modificaciones!AK688</f>
        <v/>
      </c>
      <c r="W688" s="825">
        <f t="shared" si="127"/>
        <v>43496</v>
      </c>
      <c r="X688" s="59">
        <f t="shared" si="126"/>
        <v>21876000</v>
      </c>
      <c r="Y688" s="151">
        <f>VLOOKUP(E688,Modificaciones!$B$7:$BE$2300,56,0)</f>
        <v>20235300</v>
      </c>
      <c r="Z688" s="84">
        <f t="shared" si="133"/>
        <v>1640700</v>
      </c>
      <c r="AA688" s="283" t="s">
        <v>1094</v>
      </c>
      <c r="AB688" s="823">
        <f t="shared" si="134"/>
        <v>0.92500000000000004</v>
      </c>
      <c r="AC688" s="40">
        <f t="shared" ca="1" si="128"/>
        <v>1</v>
      </c>
      <c r="AD688" s="41">
        <f t="shared" ca="1" si="129"/>
        <v>7.4999999999999956E-2</v>
      </c>
      <c r="AE688" s="181" t="str">
        <f t="shared" ca="1" si="130"/>
        <v/>
      </c>
      <c r="AF688" s="42" t="str">
        <f t="shared" si="135"/>
        <v>NO</v>
      </c>
      <c r="AG688" s="732" t="s">
        <v>5773</v>
      </c>
      <c r="AH688" s="841" t="s">
        <v>1255</v>
      </c>
      <c r="AI688" s="870" t="s">
        <v>4320</v>
      </c>
      <c r="AJ688" s="838" t="s">
        <v>4321</v>
      </c>
      <c r="AK688" s="255" t="s">
        <v>561</v>
      </c>
      <c r="AL688" s="838"/>
      <c r="AM688" s="279" t="s">
        <v>3856</v>
      </c>
      <c r="AN688" s="161" t="str">
        <f t="shared" ca="1" si="131"/>
        <v>TERMINO</v>
      </c>
      <c r="AO688" s="160" t="s">
        <v>582</v>
      </c>
      <c r="AP688" s="155" t="s">
        <v>391</v>
      </c>
      <c r="AQ688" s="819" t="str">
        <f>IFERROR(VLOOKUP(E688,'liquidaciones '!$B$2:$C$1048576,2,0),"NO")</f>
        <v>DEVUELTO</v>
      </c>
      <c r="AR688" s="909" t="str">
        <f>IFERROR(VLOOKUP(E688,'liquidaciones '!$B$2:$I$1048576,8,0),"")</f>
        <v>GABINO HERNANDEZ</v>
      </c>
      <c r="AS688" s="406"/>
      <c r="AT688" s="156" t="str">
        <f t="shared" ca="1" si="132"/>
        <v>SI</v>
      </c>
      <c r="AU688" s="156" t="s">
        <v>4245</v>
      </c>
      <c r="AV688" s="406"/>
      <c r="AW688" s="930" t="s">
        <v>4178</v>
      </c>
      <c r="AX688" s="928"/>
      <c r="AY688" s="275"/>
    </row>
    <row r="689" spans="3:51" ht="30.6" x14ac:dyDescent="0.3">
      <c r="C689" s="837">
        <v>64</v>
      </c>
      <c r="D689" s="837"/>
      <c r="E689" s="120" t="s">
        <v>4323</v>
      </c>
      <c r="F689" s="414" t="s">
        <v>4324</v>
      </c>
      <c r="G689" s="863" t="s">
        <v>4325</v>
      </c>
      <c r="H689" s="969" t="s">
        <v>2848</v>
      </c>
      <c r="I689" s="84">
        <v>2200000</v>
      </c>
      <c r="J689" s="843" t="s">
        <v>4332</v>
      </c>
      <c r="K689" s="269">
        <v>2018</v>
      </c>
      <c r="L689" s="519">
        <v>43376</v>
      </c>
      <c r="M689" s="519">
        <v>43389</v>
      </c>
      <c r="N689" s="519">
        <v>43511</v>
      </c>
      <c r="O689" s="1099" t="str">
        <f>IF(+Modificaciones!I689=0,"",VLOOKUP(E689,Modificaciones!$B$7:$I$2400,8,0))</f>
        <v/>
      </c>
      <c r="P689" s="115">
        <f>COUNTA(Modificaciones!J689,Modificaciones!L689,Modificaciones!N689,Modificaciones!P689)</f>
        <v>0</v>
      </c>
      <c r="Q689" s="116">
        <f>VLOOKUP(E689,Modificaciones!$B$7:$R$2300,17,0)</f>
        <v>0</v>
      </c>
      <c r="R689" s="117">
        <f>COUNTA(Modificaciones!T689,Modificaciones!V689,Modificaciones!X689,Modificaciones!Z689)</f>
        <v>0</v>
      </c>
      <c r="S689" s="118" t="str">
        <f>IF(Modificaciones!AA689=0,"",VLOOKUP(E689,Modificaciones!$B$7:$AA$2400,26,0))</f>
        <v/>
      </c>
      <c r="T689" s="119" t="str">
        <f>IF(Modificaciones!AB689=0,"",VLOOKUP(E689,Modificaciones!$B$7:$AB$2400,27,0))</f>
        <v/>
      </c>
      <c r="U689" s="1080" t="str">
        <f>+Modificaciones!AC689</f>
        <v/>
      </c>
      <c r="V689" s="825" t="str">
        <f>+Modificaciones!AK689</f>
        <v/>
      </c>
      <c r="W689" s="825">
        <f t="shared" si="127"/>
        <v>43511</v>
      </c>
      <c r="X689" s="59">
        <f t="shared" si="126"/>
        <v>2200000</v>
      </c>
      <c r="Y689" s="151">
        <f>VLOOKUP(E689,Modificaciones!$B$7:$BE$2300,56,0)</f>
        <v>1447247</v>
      </c>
      <c r="Z689" s="84">
        <f t="shared" si="133"/>
        <v>752753</v>
      </c>
      <c r="AA689" s="283" t="s">
        <v>1612</v>
      </c>
      <c r="AB689" s="823">
        <f t="shared" si="134"/>
        <v>0.65783954545454548</v>
      </c>
      <c r="AC689" s="40">
        <f t="shared" ca="1" si="128"/>
        <v>1</v>
      </c>
      <c r="AD689" s="41">
        <f t="shared" ca="1" si="129"/>
        <v>0.34216045454545452</v>
      </c>
      <c r="AE689" s="181" t="str">
        <f t="shared" ca="1" si="130"/>
        <v/>
      </c>
      <c r="AF689" s="42" t="str">
        <f t="shared" si="135"/>
        <v>NO</v>
      </c>
      <c r="AG689" s="1017" t="s">
        <v>4920</v>
      </c>
      <c r="AH689" s="152" t="s">
        <v>1255</v>
      </c>
      <c r="AI689" s="255" t="s">
        <v>1382</v>
      </c>
      <c r="AJ689" s="152" t="s">
        <v>1441</v>
      </c>
      <c r="AK689" s="255" t="s">
        <v>560</v>
      </c>
      <c r="AL689" s="838" t="s">
        <v>3597</v>
      </c>
      <c r="AM689" s="279" t="s">
        <v>3873</v>
      </c>
      <c r="AN689" s="161" t="str">
        <f t="shared" ca="1" si="131"/>
        <v>TERMINO</v>
      </c>
      <c r="AO689" s="160" t="s">
        <v>576</v>
      </c>
      <c r="AP689" s="155" t="s">
        <v>390</v>
      </c>
      <c r="AQ689" s="819" t="str">
        <f>IFERROR(VLOOKUP(E689,'liquidaciones '!$B$2:$C$1048576,2,0),"NO")</f>
        <v>LIQUIDADO</v>
      </c>
      <c r="AR689" s="909" t="str">
        <f>IFERROR(VLOOKUP(E689,'liquidaciones '!$B$2:$I$1048576,8,0),"")</f>
        <v>JUAN DIEGO ESPÍTIA</v>
      </c>
      <c r="AS689" s="406"/>
      <c r="AT689" s="156" t="str">
        <f t="shared" ca="1" si="132"/>
        <v>SI</v>
      </c>
      <c r="AU689" s="406" t="s">
        <v>5045</v>
      </c>
      <c r="AV689" s="406" t="s">
        <v>3774</v>
      </c>
      <c r="AW689" s="930" t="s">
        <v>560</v>
      </c>
      <c r="AX689" s="928"/>
      <c r="AY689" s="275"/>
    </row>
    <row r="690" spans="3:51" ht="51" x14ac:dyDescent="0.3">
      <c r="C690" s="837"/>
      <c r="D690" s="837"/>
      <c r="E690" s="120" t="s">
        <v>4326</v>
      </c>
      <c r="F690" s="414" t="s">
        <v>4327</v>
      </c>
      <c r="G690" s="863">
        <v>91206998</v>
      </c>
      <c r="H690" s="969" t="s">
        <v>4328</v>
      </c>
      <c r="I690" s="84">
        <v>31200000</v>
      </c>
      <c r="J690" s="843" t="s">
        <v>4812</v>
      </c>
      <c r="K690" s="269">
        <v>2018</v>
      </c>
      <c r="L690" s="519">
        <v>43384</v>
      </c>
      <c r="M690" s="519">
        <v>43385</v>
      </c>
      <c r="N690" s="519">
        <v>43496</v>
      </c>
      <c r="O690" s="1099" t="str">
        <f>IF(+Modificaciones!I690=0,"",VLOOKUP(E690,Modificaciones!$B$7:$I$2400,8,0))</f>
        <v/>
      </c>
      <c r="P690" s="115">
        <f>COUNTA(Modificaciones!J690,Modificaciones!L690,Modificaciones!N690,Modificaciones!P690)</f>
        <v>1</v>
      </c>
      <c r="Q690" s="116">
        <f>VLOOKUP(E690,Modificaciones!$B$7:$R$2300,17,0)</f>
        <v>12480000</v>
      </c>
      <c r="R690" s="117">
        <f>COUNTA(Modificaciones!T690,Modificaciones!V690,Modificaciones!X690,Modificaciones!Z690)</f>
        <v>1</v>
      </c>
      <c r="S690" s="118" t="str">
        <f>IF(Modificaciones!AA690=0,"",VLOOKUP(E690,Modificaciones!$B$7:$AA$2400,26,0))</f>
        <v>1 mes y 18 días</v>
      </c>
      <c r="T690" s="119">
        <f>IF(Modificaciones!AB690=0,"",VLOOKUP(E690,Modificaciones!$B$7:$AB$2400,27,0))</f>
        <v>43554</v>
      </c>
      <c r="U690" s="1080" t="str">
        <f>+Modificaciones!AC690</f>
        <v/>
      </c>
      <c r="V690" s="825" t="str">
        <f>+Modificaciones!AK690</f>
        <v/>
      </c>
      <c r="W690" s="825">
        <f t="shared" si="127"/>
        <v>43554</v>
      </c>
      <c r="X690" s="59">
        <f t="shared" si="126"/>
        <v>43680000</v>
      </c>
      <c r="Y690" s="151">
        <f>VLOOKUP(E690,Modificaciones!$B$7:$BE$2300,56,0)</f>
        <v>43680000</v>
      </c>
      <c r="Z690" s="84">
        <f t="shared" si="133"/>
        <v>0</v>
      </c>
      <c r="AA690" s="283" t="s">
        <v>1094</v>
      </c>
      <c r="AB690" s="823">
        <f t="shared" si="134"/>
        <v>1</v>
      </c>
      <c r="AC690" s="40">
        <f t="shared" ca="1" si="128"/>
        <v>1</v>
      </c>
      <c r="AD690" s="41">
        <f t="shared" ca="1" si="129"/>
        <v>0</v>
      </c>
      <c r="AE690" s="181" t="str">
        <f t="shared" ca="1" si="130"/>
        <v/>
      </c>
      <c r="AF690" s="42" t="str">
        <f t="shared" si="135"/>
        <v>SI</v>
      </c>
      <c r="AG690" s="732" t="s">
        <v>5773</v>
      </c>
      <c r="AH690" s="152" t="s">
        <v>1255</v>
      </c>
      <c r="AI690" s="152" t="s">
        <v>2488</v>
      </c>
      <c r="AJ690" s="152" t="s">
        <v>1429</v>
      </c>
      <c r="AK690" s="255" t="s">
        <v>564</v>
      </c>
      <c r="AL690" s="279"/>
      <c r="AM690" s="279" t="s">
        <v>4247</v>
      </c>
      <c r="AN690" s="161" t="str">
        <f t="shared" ca="1" si="131"/>
        <v>TERMINO</v>
      </c>
      <c r="AO690" s="160" t="s">
        <v>582</v>
      </c>
      <c r="AP690" s="155" t="s">
        <v>391</v>
      </c>
      <c r="AQ690" s="819" t="str">
        <f>IFERROR(VLOOKUP(E690,'liquidaciones '!$B$2:$C$1048576,2,0),"NO")</f>
        <v>LIQUIDADO</v>
      </c>
      <c r="AR690" s="909" t="str">
        <f>IFERROR(VLOOKUP(E690,'liquidaciones '!$B$2:$I$1048576,8,0),"")</f>
        <v>GABINO HERNANDEZ</v>
      </c>
      <c r="AS690" s="406"/>
      <c r="AT690" s="156" t="str">
        <f t="shared" ca="1" si="132"/>
        <v>SI</v>
      </c>
      <c r="AU690" s="930" t="s">
        <v>4804</v>
      </c>
      <c r="AV690" s="406"/>
      <c r="AW690" s="930" t="s">
        <v>564</v>
      </c>
      <c r="AX690" s="928"/>
      <c r="AY690" s="275"/>
    </row>
    <row r="691" spans="3:51" ht="40.799999999999997" x14ac:dyDescent="0.3">
      <c r="C691" s="837">
        <v>94</v>
      </c>
      <c r="D691" s="837"/>
      <c r="E691" s="120" t="s">
        <v>4329</v>
      </c>
      <c r="F691" s="414" t="s">
        <v>4330</v>
      </c>
      <c r="G691" s="863">
        <v>1014264880</v>
      </c>
      <c r="H691" s="969" t="s">
        <v>4331</v>
      </c>
      <c r="I691" s="84">
        <v>7486640</v>
      </c>
      <c r="J691" s="843" t="s">
        <v>4811</v>
      </c>
      <c r="K691" s="269">
        <v>2018</v>
      </c>
      <c r="L691" s="519">
        <v>43381</v>
      </c>
      <c r="M691" s="519">
        <v>43385</v>
      </c>
      <c r="N691" s="519">
        <v>43496</v>
      </c>
      <c r="O691" s="1099" t="str">
        <f>IF(+Modificaciones!I691=0,"",VLOOKUP(E691,Modificaciones!$B$7:$I$2400,8,0))</f>
        <v/>
      </c>
      <c r="P691" s="115">
        <f>COUNTA(Modificaciones!J691,Modificaciones!L691,Modificaciones!N691,Modificaciones!P691)</f>
        <v>0</v>
      </c>
      <c r="Q691" s="116">
        <f>VLOOKUP(E691,Modificaciones!$B$7:$R$2300,17,0)</f>
        <v>0</v>
      </c>
      <c r="R691" s="117">
        <f>COUNTA(Modificaciones!T691,Modificaciones!V691,Modificaciones!X691,Modificaciones!Z691)</f>
        <v>0</v>
      </c>
      <c r="S691" s="118" t="str">
        <f>IF(Modificaciones!AA691=0,"",VLOOKUP(E691,Modificaciones!$B$7:$AA$2400,26,0))</f>
        <v/>
      </c>
      <c r="T691" s="119" t="str">
        <f>IF(Modificaciones!AB691=0,"",VLOOKUP(E691,Modificaciones!$B$7:$AB$2400,27,0))</f>
        <v/>
      </c>
      <c r="U691" s="1080" t="str">
        <f>+Modificaciones!AC691</f>
        <v/>
      </c>
      <c r="V691" s="825" t="str">
        <f>+Modificaciones!AK691</f>
        <v/>
      </c>
      <c r="W691" s="825">
        <f t="shared" si="127"/>
        <v>43496</v>
      </c>
      <c r="X691" s="59">
        <f t="shared" si="126"/>
        <v>7486640</v>
      </c>
      <c r="Y691" s="151">
        <f>VLOOKUP(E691,Modificaciones!$B$7:$BE$2300,56,0)</f>
        <v>6800365</v>
      </c>
      <c r="Z691" s="84">
        <f t="shared" si="133"/>
        <v>686275</v>
      </c>
      <c r="AA691" s="283" t="s">
        <v>1094</v>
      </c>
      <c r="AB691" s="823">
        <f t="shared" si="134"/>
        <v>0.90833337785708945</v>
      </c>
      <c r="AC691" s="40">
        <f t="shared" ca="1" si="128"/>
        <v>1</v>
      </c>
      <c r="AD691" s="41">
        <f t="shared" ca="1" si="129"/>
        <v>9.1666622142910548E-2</v>
      </c>
      <c r="AE691" s="181" t="str">
        <f t="shared" ca="1" si="130"/>
        <v/>
      </c>
      <c r="AF691" s="42" t="str">
        <f t="shared" si="135"/>
        <v>NO</v>
      </c>
      <c r="AG691" s="732" t="s">
        <v>5773</v>
      </c>
      <c r="AH691" s="152" t="s">
        <v>1255</v>
      </c>
      <c r="AI691" s="255" t="s">
        <v>2636</v>
      </c>
      <c r="AJ691" s="152" t="s">
        <v>1176</v>
      </c>
      <c r="AK691" s="255" t="s">
        <v>559</v>
      </c>
      <c r="AL691" s="279"/>
      <c r="AM691" s="279" t="s">
        <v>4242</v>
      </c>
      <c r="AN691" s="161" t="str">
        <f t="shared" ca="1" si="131"/>
        <v>TERMINO</v>
      </c>
      <c r="AO691" s="160" t="s">
        <v>582</v>
      </c>
      <c r="AP691" s="155" t="s">
        <v>391</v>
      </c>
      <c r="AQ691" s="819" t="str">
        <f>IFERROR(VLOOKUP(E691,'liquidaciones '!$B$2:$C$1048576,2,0),"NO")</f>
        <v>LIQUIDADO</v>
      </c>
      <c r="AR691" s="909" t="str">
        <f>IFERROR(VLOOKUP(E691,'liquidaciones '!$B$2:$I$1048576,8,0),"")</f>
        <v>MARTHA SANCHEZ</v>
      </c>
      <c r="AS691" s="406"/>
      <c r="AT691" s="156" t="str">
        <f t="shared" ca="1" si="132"/>
        <v>SI</v>
      </c>
      <c r="AU691" s="406" t="s">
        <v>4805</v>
      </c>
      <c r="AV691" s="406"/>
      <c r="AW691" s="930" t="s">
        <v>3938</v>
      </c>
      <c r="AX691" s="928"/>
      <c r="AY691" s="275"/>
    </row>
    <row r="692" spans="3:51" ht="40.799999999999997" x14ac:dyDescent="0.3">
      <c r="C692" s="837">
        <v>203</v>
      </c>
      <c r="D692" s="837"/>
      <c r="E692" s="120" t="s">
        <v>4334</v>
      </c>
      <c r="F692" s="414" t="s">
        <v>4335</v>
      </c>
      <c r="G692" s="863">
        <v>52095685</v>
      </c>
      <c r="H692" s="969" t="s">
        <v>3005</v>
      </c>
      <c r="I692" s="84">
        <v>24273392</v>
      </c>
      <c r="J692" s="843" t="s">
        <v>4810</v>
      </c>
      <c r="K692" s="269">
        <v>2018</v>
      </c>
      <c r="L692" s="519">
        <v>43381</v>
      </c>
      <c r="M692" s="519">
        <v>43389</v>
      </c>
      <c r="N692" s="519">
        <v>43496</v>
      </c>
      <c r="O692" s="1099" t="str">
        <f>IF(+Modificaciones!I692=0,"",VLOOKUP(E692,Modificaciones!$B$7:$I$2400,8,0))</f>
        <v/>
      </c>
      <c r="P692" s="115">
        <f>COUNTA(Modificaciones!J692,Modificaciones!L692,Modificaciones!N692,Modificaciones!P692)</f>
        <v>1</v>
      </c>
      <c r="Q692" s="116">
        <f>VLOOKUP(E692,Modificaciones!$B$7:$R$2300,17,0)</f>
        <v>12136696</v>
      </c>
      <c r="R692" s="117">
        <f>COUNTA(Modificaciones!T692,Modificaciones!V692,Modificaciones!X692,Modificaciones!Z692)</f>
        <v>1</v>
      </c>
      <c r="S692" s="118" t="str">
        <f>IF(Modificaciones!AA692=0,"",VLOOKUP(E692,Modificaciones!$B$7:$AA$2400,26,0))</f>
        <v>2 meses</v>
      </c>
      <c r="T692" s="119">
        <f>IF(Modificaciones!AB692=0,"",VLOOKUP(E692,Modificaciones!$B$7:$AB$2400,27,0))</f>
        <v>43570</v>
      </c>
      <c r="U692" s="1080" t="str">
        <f>+Modificaciones!AC692</f>
        <v/>
      </c>
      <c r="V692" s="825" t="str">
        <f>+Modificaciones!AK692</f>
        <v/>
      </c>
      <c r="W692" s="825">
        <f t="shared" si="127"/>
        <v>43570</v>
      </c>
      <c r="X692" s="59">
        <f t="shared" si="126"/>
        <v>36410088</v>
      </c>
      <c r="Y692" s="151">
        <f>VLOOKUP(E692,Modificaciones!$B$7:$BE$2300,56,0)</f>
        <v>36410088</v>
      </c>
      <c r="Z692" s="84">
        <f t="shared" ref="Z692:Z715" si="136">X692-Y692</f>
        <v>0</v>
      </c>
      <c r="AA692" s="283" t="s">
        <v>1094</v>
      </c>
      <c r="AB692" s="823">
        <f t="shared" ref="AB692:AB715" si="137">(Y692*100%)/X692</f>
        <v>1</v>
      </c>
      <c r="AC692" s="40">
        <f t="shared" ca="1" si="128"/>
        <v>1</v>
      </c>
      <c r="AD692" s="41">
        <f t="shared" ca="1" si="129"/>
        <v>0</v>
      </c>
      <c r="AE692" s="181" t="str">
        <f t="shared" ca="1" si="130"/>
        <v/>
      </c>
      <c r="AF692" s="42" t="str">
        <f t="shared" ref="AF692:AF715" si="138">IF(AB692&lt;=99.9%,"NO","SI")</f>
        <v>SI</v>
      </c>
      <c r="AG692" s="732" t="s">
        <v>5773</v>
      </c>
      <c r="AH692" s="152" t="s">
        <v>1255</v>
      </c>
      <c r="AI692" s="255" t="s">
        <v>2189</v>
      </c>
      <c r="AJ692" s="838"/>
      <c r="AK692" s="255" t="s">
        <v>559</v>
      </c>
      <c r="AL692" s="838"/>
      <c r="AM692" s="279" t="s">
        <v>4242</v>
      </c>
      <c r="AN692" s="161" t="str">
        <f t="shared" ca="1" si="131"/>
        <v>TERMINO</v>
      </c>
      <c r="AO692" s="284" t="s">
        <v>582</v>
      </c>
      <c r="AP692" s="406" t="s">
        <v>391</v>
      </c>
      <c r="AQ692" s="819" t="str">
        <f>IFERROR(VLOOKUP(E692,'liquidaciones '!$B$2:$C$1048576,2,0),"NO")</f>
        <v>LIQUIDADO</v>
      </c>
      <c r="AR692" s="909" t="str">
        <f>IFERROR(VLOOKUP(E692,'liquidaciones '!$B$2:$I$1048576,8,0),"")</f>
        <v>MARTHA SANCHEZ</v>
      </c>
      <c r="AS692" s="406"/>
      <c r="AT692" s="156" t="str">
        <f t="shared" ca="1" si="132"/>
        <v>SI</v>
      </c>
      <c r="AU692" s="406" t="s">
        <v>4803</v>
      </c>
      <c r="AV692" s="406"/>
      <c r="AW692" s="930" t="s">
        <v>559</v>
      </c>
      <c r="AX692" s="928"/>
      <c r="AY692" s="275" t="s">
        <v>4785</v>
      </c>
    </row>
    <row r="693" spans="3:51" ht="40.799999999999997" x14ac:dyDescent="0.3">
      <c r="C693" s="837">
        <v>56</v>
      </c>
      <c r="D693" s="837"/>
      <c r="E693" s="120" t="s">
        <v>4336</v>
      </c>
      <c r="F693" s="414" t="s">
        <v>2145</v>
      </c>
      <c r="G693" s="863">
        <v>860536029</v>
      </c>
      <c r="H693" s="969" t="s">
        <v>2661</v>
      </c>
      <c r="I693" s="84">
        <v>990000</v>
      </c>
      <c r="J693" s="843" t="s">
        <v>4809</v>
      </c>
      <c r="K693" s="269">
        <v>2018</v>
      </c>
      <c r="L693" s="519">
        <v>43381</v>
      </c>
      <c r="M693" s="519">
        <v>43384</v>
      </c>
      <c r="N693" s="519">
        <v>43748</v>
      </c>
      <c r="O693" s="1099" t="str">
        <f>IF(+Modificaciones!I693=0,"",VLOOKUP(E693,Modificaciones!$B$7:$I$2400,8,0))</f>
        <v/>
      </c>
      <c r="P693" s="115">
        <f>COUNTA(Modificaciones!J693,Modificaciones!L693,Modificaciones!N693,Modificaciones!P693)</f>
        <v>0</v>
      </c>
      <c r="Q693" s="116">
        <f>VLOOKUP(E693,Modificaciones!$B$7:$R$2300,17,0)</f>
        <v>0</v>
      </c>
      <c r="R693" s="117">
        <f>COUNTA(Modificaciones!T693,Modificaciones!V693,Modificaciones!X693,Modificaciones!Z693)</f>
        <v>0</v>
      </c>
      <c r="S693" s="118" t="str">
        <f>IF(Modificaciones!AA693=0,"",VLOOKUP(E693,Modificaciones!$B$7:$AA$2400,26,0))</f>
        <v/>
      </c>
      <c r="T693" s="119" t="str">
        <f>IF(Modificaciones!AB693=0,"",VLOOKUP(E693,Modificaciones!$B$7:$AB$2400,27,0))</f>
        <v/>
      </c>
      <c r="U693" s="1080" t="str">
        <f>+Modificaciones!AC693</f>
        <v/>
      </c>
      <c r="V693" s="825" t="str">
        <f>+Modificaciones!AK693</f>
        <v/>
      </c>
      <c r="W693" s="825">
        <f t="shared" si="127"/>
        <v>43748</v>
      </c>
      <c r="X693" s="59">
        <f t="shared" si="126"/>
        <v>990000</v>
      </c>
      <c r="Y693" s="151">
        <f>VLOOKUP(E693,Modificaciones!$B$7:$BE$2300,56,0)</f>
        <v>990000</v>
      </c>
      <c r="Z693" s="84">
        <f t="shared" si="136"/>
        <v>0</v>
      </c>
      <c r="AA693" s="283" t="s">
        <v>1894</v>
      </c>
      <c r="AB693" s="823">
        <f t="shared" si="137"/>
        <v>1</v>
      </c>
      <c r="AC693" s="40">
        <f t="shared" ca="1" si="128"/>
        <v>1</v>
      </c>
      <c r="AD693" s="41">
        <f t="shared" ca="1" si="129"/>
        <v>0</v>
      </c>
      <c r="AE693" s="181" t="str">
        <f t="shared" ca="1" si="130"/>
        <v/>
      </c>
      <c r="AF693" s="42" t="str">
        <f t="shared" si="138"/>
        <v>SI</v>
      </c>
      <c r="AG693" s="1017" t="s">
        <v>4920</v>
      </c>
      <c r="AH693" s="152" t="s">
        <v>1255</v>
      </c>
      <c r="AI693" s="255" t="s">
        <v>1124</v>
      </c>
      <c r="AJ693" s="152" t="s">
        <v>1429</v>
      </c>
      <c r="AK693" s="255" t="s">
        <v>564</v>
      </c>
      <c r="AL693" s="838"/>
      <c r="AM693" s="279" t="s">
        <v>4247</v>
      </c>
      <c r="AN693" s="161" t="str">
        <f t="shared" ca="1" si="131"/>
        <v>TERMINO</v>
      </c>
      <c r="AO693" s="284" t="s">
        <v>582</v>
      </c>
      <c r="AP693" s="406" t="s">
        <v>391</v>
      </c>
      <c r="AQ693" s="819" t="str">
        <f>IFERROR(VLOOKUP(E693,'liquidaciones '!$B$2:$C$1048576,2,0),"NO")</f>
        <v>EN TRÁMITE</v>
      </c>
      <c r="AR693" s="909" t="str">
        <f>IFERROR(VLOOKUP(E693,'liquidaciones '!$B$2:$I$1048576,8,0),"")</f>
        <v>JUAN DIEGO ESPITIA ROA</v>
      </c>
      <c r="AS693" s="406"/>
      <c r="AT693" s="156" t="str">
        <f t="shared" ca="1" si="132"/>
        <v>SI</v>
      </c>
      <c r="AU693" s="978" t="s">
        <v>4804</v>
      </c>
      <c r="AV693" s="406"/>
      <c r="AW693" s="930" t="s">
        <v>3920</v>
      </c>
      <c r="AX693" s="928"/>
      <c r="AY693" s="275" t="s">
        <v>5251</v>
      </c>
    </row>
    <row r="694" spans="3:51" ht="40.799999999999997" x14ac:dyDescent="0.3">
      <c r="C694" s="837">
        <v>57</v>
      </c>
      <c r="D694" s="837"/>
      <c r="E694" s="120" t="s">
        <v>4337</v>
      </c>
      <c r="F694" s="414" t="s">
        <v>3567</v>
      </c>
      <c r="G694" s="863">
        <v>901017183</v>
      </c>
      <c r="H694" s="969" t="s">
        <v>3568</v>
      </c>
      <c r="I694" s="84">
        <v>870000</v>
      </c>
      <c r="J694" s="843" t="s">
        <v>4808</v>
      </c>
      <c r="K694" s="269">
        <v>2018</v>
      </c>
      <c r="L694" s="519">
        <v>43381</v>
      </c>
      <c r="M694" s="519">
        <v>43437</v>
      </c>
      <c r="N694" s="519">
        <v>43801</v>
      </c>
      <c r="O694" s="1099" t="str">
        <f>IF(+Modificaciones!I694=0,"",VLOOKUP(E694,Modificaciones!$B$7:$I$2400,8,0))</f>
        <v/>
      </c>
      <c r="P694" s="115">
        <f>COUNTA(Modificaciones!J694,Modificaciones!L694,Modificaciones!N694,Modificaciones!P694)</f>
        <v>0</v>
      </c>
      <c r="Q694" s="116">
        <f>VLOOKUP(E694,Modificaciones!$B$7:$R$2300,17,0)</f>
        <v>0</v>
      </c>
      <c r="R694" s="117">
        <f>COUNTA(Modificaciones!T694,Modificaciones!V694,Modificaciones!X694,Modificaciones!Z694)</f>
        <v>0</v>
      </c>
      <c r="S694" s="118" t="str">
        <f>IF(Modificaciones!AA694=0,"",VLOOKUP(E694,Modificaciones!$B$7:$AA$2400,26,0))</f>
        <v/>
      </c>
      <c r="T694" s="119" t="str">
        <f>IF(Modificaciones!AB694=0,"",VLOOKUP(E694,Modificaciones!$B$7:$AB$2400,27,0))</f>
        <v/>
      </c>
      <c r="U694" s="1080" t="str">
        <f>+Modificaciones!AC694</f>
        <v/>
      </c>
      <c r="V694" s="825" t="str">
        <f>+Modificaciones!AK694</f>
        <v/>
      </c>
      <c r="W694" s="825">
        <f t="shared" si="127"/>
        <v>43801</v>
      </c>
      <c r="X694" s="59">
        <f t="shared" si="126"/>
        <v>870000</v>
      </c>
      <c r="Y694" s="151">
        <f>VLOOKUP(E694,Modificaciones!$B$7:$BE$2300,56,0)</f>
        <v>870000</v>
      </c>
      <c r="Z694" s="84">
        <f t="shared" si="136"/>
        <v>0</v>
      </c>
      <c r="AA694" s="283" t="s">
        <v>2113</v>
      </c>
      <c r="AB694" s="823">
        <f t="shared" si="137"/>
        <v>1</v>
      </c>
      <c r="AC694" s="40">
        <f t="shared" ca="1" si="128"/>
        <v>1</v>
      </c>
      <c r="AD694" s="41">
        <f t="shared" ca="1" si="129"/>
        <v>0</v>
      </c>
      <c r="AE694" s="181" t="str">
        <f t="shared" ca="1" si="130"/>
        <v/>
      </c>
      <c r="AF694" s="42" t="str">
        <f t="shared" si="138"/>
        <v>SI</v>
      </c>
      <c r="AG694" s="732" t="s">
        <v>1713</v>
      </c>
      <c r="AH694" s="152" t="s">
        <v>1255</v>
      </c>
      <c r="AI694" s="255" t="s">
        <v>1124</v>
      </c>
      <c r="AJ694" s="152" t="s">
        <v>1429</v>
      </c>
      <c r="AK694" s="255" t="s">
        <v>564</v>
      </c>
      <c r="AL694" s="838"/>
      <c r="AM694" s="279" t="s">
        <v>2830</v>
      </c>
      <c r="AN694" s="161" t="str">
        <f t="shared" ca="1" si="131"/>
        <v>TERMINO</v>
      </c>
      <c r="AO694" s="284" t="s">
        <v>582</v>
      </c>
      <c r="AP694" s="406" t="s">
        <v>391</v>
      </c>
      <c r="AQ694" s="819" t="str">
        <f>IFERROR(VLOOKUP(E694,'liquidaciones '!$B$2:$C$1048576,2,0),"NO")</f>
        <v>LIQUIDADO</v>
      </c>
      <c r="AR694" s="909" t="str">
        <f>IFERROR(VLOOKUP(E694,'liquidaciones '!$B$2:$I$1048576,8,0),"")</f>
        <v>MARTHA SANCHEZ</v>
      </c>
      <c r="AS694" s="406"/>
      <c r="AT694" s="156" t="str">
        <f t="shared" ca="1" si="132"/>
        <v>SI</v>
      </c>
      <c r="AU694" s="406" t="s">
        <v>4804</v>
      </c>
      <c r="AV694" s="406" t="s">
        <v>5046</v>
      </c>
      <c r="AW694" s="930" t="s">
        <v>3920</v>
      </c>
      <c r="AX694" s="928"/>
      <c r="AY694" s="275" t="s">
        <v>5188</v>
      </c>
    </row>
    <row r="695" spans="3:51" ht="40.799999999999997" x14ac:dyDescent="0.3">
      <c r="C695" s="837"/>
      <c r="D695" s="837"/>
      <c r="E695" s="120" t="s">
        <v>4340</v>
      </c>
      <c r="F695" s="414" t="s">
        <v>3722</v>
      </c>
      <c r="G695" s="863">
        <v>860049921</v>
      </c>
      <c r="H695" s="969" t="s">
        <v>4341</v>
      </c>
      <c r="I695" s="84">
        <v>11305000</v>
      </c>
      <c r="J695" s="843" t="s">
        <v>4344</v>
      </c>
      <c r="K695" s="269">
        <v>2018</v>
      </c>
      <c r="L695" s="519">
        <v>43362</v>
      </c>
      <c r="M695" s="519">
        <v>43391</v>
      </c>
      <c r="N695" s="519">
        <v>43513</v>
      </c>
      <c r="O695" s="1099" t="str">
        <f>IF(+Modificaciones!I695=0,"",VLOOKUP(E695,Modificaciones!$B$7:$I$2400,8,0))</f>
        <v/>
      </c>
      <c r="P695" s="115">
        <f>COUNTA(Modificaciones!J695,Modificaciones!L695,Modificaciones!N695,Modificaciones!P695)</f>
        <v>0</v>
      </c>
      <c r="Q695" s="116">
        <f>VLOOKUP(E695,Modificaciones!$B$7:$R$2300,17,0)</f>
        <v>0</v>
      </c>
      <c r="R695" s="117">
        <f>COUNTA(Modificaciones!T695,Modificaciones!V695,Modificaciones!X695,Modificaciones!Z695)</f>
        <v>0</v>
      </c>
      <c r="S695" s="118" t="str">
        <f>IF(Modificaciones!AA695=0,"",VLOOKUP(E695,Modificaciones!$B$7:$AA$2400,26,0))</f>
        <v/>
      </c>
      <c r="T695" s="119" t="str">
        <f>IF(Modificaciones!AB695=0,"",VLOOKUP(E695,Modificaciones!$B$7:$AB$2400,27,0))</f>
        <v/>
      </c>
      <c r="U695" s="1080" t="str">
        <f>+Modificaciones!AC695</f>
        <v/>
      </c>
      <c r="V695" s="825" t="str">
        <f>+Modificaciones!AK695</f>
        <v/>
      </c>
      <c r="W695" s="825">
        <f t="shared" si="127"/>
        <v>43513</v>
      </c>
      <c r="X695" s="59">
        <f t="shared" si="126"/>
        <v>11305000</v>
      </c>
      <c r="Y695" s="151">
        <f>VLOOKUP(E695,Modificaciones!$B$7:$BE$2300,56,0)</f>
        <v>11305000</v>
      </c>
      <c r="Z695" s="84">
        <f t="shared" si="136"/>
        <v>0</v>
      </c>
      <c r="AA695" s="283" t="s">
        <v>4342</v>
      </c>
      <c r="AB695" s="823">
        <f t="shared" si="137"/>
        <v>1</v>
      </c>
      <c r="AC695" s="40">
        <f t="shared" ca="1" si="128"/>
        <v>1</v>
      </c>
      <c r="AD695" s="41">
        <f t="shared" ca="1" si="129"/>
        <v>0</v>
      </c>
      <c r="AE695" s="181" t="str">
        <f t="shared" ca="1" si="130"/>
        <v/>
      </c>
      <c r="AF695" s="42" t="str">
        <f t="shared" si="138"/>
        <v>SI</v>
      </c>
      <c r="AG695" s="1017" t="s">
        <v>4920</v>
      </c>
      <c r="AH695" s="152" t="s">
        <v>1256</v>
      </c>
      <c r="AI695" s="255" t="s">
        <v>1601</v>
      </c>
      <c r="AJ695" s="152" t="s">
        <v>1438</v>
      </c>
      <c r="AK695" s="255" t="s">
        <v>560</v>
      </c>
      <c r="AL695" s="279" t="s">
        <v>1508</v>
      </c>
      <c r="AM695" s="279" t="s">
        <v>3873</v>
      </c>
      <c r="AN695" s="161" t="str">
        <f t="shared" ca="1" si="131"/>
        <v>TERMINO</v>
      </c>
      <c r="AO695" s="160" t="s">
        <v>576</v>
      </c>
      <c r="AP695" s="406" t="s">
        <v>390</v>
      </c>
      <c r="AQ695" s="819" t="str">
        <f>IFERROR(VLOOKUP(E695,'liquidaciones '!$B$2:$C$1048576,2,0),"NO")</f>
        <v>EN TRÁMITE</v>
      </c>
      <c r="AR695" s="909" t="str">
        <f>IFERROR(VLOOKUP(E695,'liquidaciones '!$B$2:$I$1048576,8,0),"")</f>
        <v>JUAN DIEGO ESPITIA</v>
      </c>
      <c r="AS695" s="406"/>
      <c r="AT695" s="156" t="str">
        <f t="shared" ca="1" si="132"/>
        <v>SI</v>
      </c>
      <c r="AU695" s="978" t="s">
        <v>4209</v>
      </c>
      <c r="AV695" s="406" t="s">
        <v>3778</v>
      </c>
      <c r="AW695" s="930" t="s">
        <v>560</v>
      </c>
      <c r="AX695" s="928"/>
      <c r="AY695" s="275"/>
    </row>
    <row r="696" spans="3:51" ht="163.19999999999999" x14ac:dyDescent="0.3">
      <c r="C696" s="837">
        <v>183</v>
      </c>
      <c r="D696" s="837"/>
      <c r="E696" s="120" t="s">
        <v>4345</v>
      </c>
      <c r="F696" s="414" t="s">
        <v>4346</v>
      </c>
      <c r="G696" s="863" t="s">
        <v>4347</v>
      </c>
      <c r="H696" s="969" t="s">
        <v>4348</v>
      </c>
      <c r="I696" s="84">
        <v>455925360</v>
      </c>
      <c r="J696" s="843" t="s">
        <v>4567</v>
      </c>
      <c r="K696" s="269">
        <v>2018</v>
      </c>
      <c r="L696" s="519">
        <v>43390</v>
      </c>
      <c r="M696" s="519">
        <v>43396</v>
      </c>
      <c r="N696" s="519">
        <v>43607</v>
      </c>
      <c r="O696" s="1099" t="str">
        <f>IF(+Modificaciones!I696=0,"",VLOOKUP(E696,Modificaciones!$B$7:$I$2400,8,0))</f>
        <v/>
      </c>
      <c r="P696" s="115">
        <f>COUNTA(Modificaciones!J696,Modificaciones!L696,Modificaciones!N696,Modificaciones!P696)</f>
        <v>0</v>
      </c>
      <c r="Q696" s="116">
        <f>VLOOKUP(E696,Modificaciones!$B$7:$R$2300,17,0)</f>
        <v>0</v>
      </c>
      <c r="R696" s="117">
        <f>COUNTA(Modificaciones!T696,Modificaciones!V696,Modificaciones!X696,Modificaciones!Z696)</f>
        <v>1</v>
      </c>
      <c r="S696" s="118" t="str">
        <f>IF(Modificaciones!AA696=0,"",VLOOKUP(E696,Modificaciones!$B$7:$AA$2400,26,0))</f>
        <v>20 días</v>
      </c>
      <c r="T696" s="119">
        <f>IF(Modificaciones!AB696=0,"",VLOOKUP(E696,Modificaciones!$B$7:$AB$2400,27,0))</f>
        <v>43627</v>
      </c>
      <c r="U696" s="1080" t="str">
        <f>+Modificaciones!AC696</f>
        <v/>
      </c>
      <c r="V696" s="825" t="str">
        <f>+Modificaciones!AK696</f>
        <v/>
      </c>
      <c r="W696" s="825">
        <f t="shared" si="127"/>
        <v>43627</v>
      </c>
      <c r="X696" s="59">
        <f t="shared" si="126"/>
        <v>455925360</v>
      </c>
      <c r="Y696" s="151">
        <f>VLOOKUP(E696,Modificaciones!$B$7:$BE$2300,56,0)</f>
        <v>405155506</v>
      </c>
      <c r="Z696" s="84">
        <f t="shared" si="136"/>
        <v>50769854</v>
      </c>
      <c r="AA696" s="869" t="s">
        <v>4656</v>
      </c>
      <c r="AB696" s="823">
        <f t="shared" si="137"/>
        <v>0.88864437371941762</v>
      </c>
      <c r="AC696" s="40">
        <f t="shared" ca="1" si="128"/>
        <v>1</v>
      </c>
      <c r="AD696" s="41">
        <f t="shared" ca="1" si="129"/>
        <v>0.11135562628058238</v>
      </c>
      <c r="AE696" s="181" t="str">
        <f t="shared" ca="1" si="130"/>
        <v/>
      </c>
      <c r="AF696" s="42" t="str">
        <f t="shared" si="138"/>
        <v>NO</v>
      </c>
      <c r="AG696" s="1017" t="s">
        <v>4920</v>
      </c>
      <c r="AH696" s="152" t="s">
        <v>1256</v>
      </c>
      <c r="AI696" s="255" t="s">
        <v>2183</v>
      </c>
      <c r="AJ696" s="152" t="s">
        <v>1438</v>
      </c>
      <c r="AK696" s="255" t="s">
        <v>560</v>
      </c>
      <c r="AL696" s="279" t="s">
        <v>1508</v>
      </c>
      <c r="AM696" s="279" t="s">
        <v>3873</v>
      </c>
      <c r="AN696" s="161" t="str">
        <f t="shared" ca="1" si="131"/>
        <v>TERMINO</v>
      </c>
      <c r="AO696" s="414"/>
      <c r="AP696" s="406" t="s">
        <v>390</v>
      </c>
      <c r="AQ696" s="819" t="str">
        <f>IFERROR(VLOOKUP(E696,'liquidaciones '!$B$2:$C$1048576,2,0),"NO")</f>
        <v>EN TRÁMITE</v>
      </c>
      <c r="AR696" s="909" t="str">
        <f>IFERROR(VLOOKUP(E696,'liquidaciones '!$B$2:$I$1048576,8,0),"")</f>
        <v>JUAN DIEGO ESPITIA</v>
      </c>
      <c r="AS696" s="406"/>
      <c r="AT696" s="156" t="str">
        <f t="shared" ca="1" si="132"/>
        <v>SI</v>
      </c>
      <c r="AU696" s="156" t="s">
        <v>4209</v>
      </c>
      <c r="AV696" s="406" t="s">
        <v>3778</v>
      </c>
      <c r="AW696" s="930" t="s">
        <v>560</v>
      </c>
      <c r="AX696" s="928"/>
      <c r="AY696" s="275" t="s">
        <v>4781</v>
      </c>
    </row>
    <row r="697" spans="3:51" ht="28.8" x14ac:dyDescent="0.3">
      <c r="C697" s="837"/>
      <c r="D697" s="837"/>
      <c r="E697" s="120" t="s">
        <v>4349</v>
      </c>
      <c r="F697" s="414" t="s">
        <v>2243</v>
      </c>
      <c r="G697" s="863" t="s">
        <v>4350</v>
      </c>
      <c r="H697" s="969" t="s">
        <v>4351</v>
      </c>
      <c r="I697" s="84">
        <v>77878170</v>
      </c>
      <c r="J697" s="843" t="s">
        <v>4355</v>
      </c>
      <c r="K697" s="269">
        <v>2018</v>
      </c>
      <c r="L697" s="519">
        <v>43389</v>
      </c>
      <c r="M697" s="519">
        <v>43396</v>
      </c>
      <c r="N697" s="519">
        <v>43760</v>
      </c>
      <c r="O697" s="1099" t="str">
        <f>IF(+Modificaciones!I697=0,"",VLOOKUP(E697,Modificaciones!$B$7:$I$2400,8,0))</f>
        <v/>
      </c>
      <c r="P697" s="115">
        <f>COUNTA(Modificaciones!J697,Modificaciones!L697,Modificaciones!N697,Modificaciones!P697)</f>
        <v>0</v>
      </c>
      <c r="Q697" s="116">
        <f>VLOOKUP(E697,Modificaciones!$B$7:$R$2300,17,0)</f>
        <v>0</v>
      </c>
      <c r="R697" s="117">
        <f>COUNTA(Modificaciones!T697,Modificaciones!V697,Modificaciones!X697,Modificaciones!Z697)</f>
        <v>0</v>
      </c>
      <c r="S697" s="118" t="str">
        <f>IF(Modificaciones!AA697=0,"",VLOOKUP(E697,Modificaciones!$B$7:$AA$2400,26,0))</f>
        <v/>
      </c>
      <c r="T697" s="119" t="str">
        <f>IF(Modificaciones!AB697=0,"",VLOOKUP(E697,Modificaciones!$B$7:$AB$2400,27,0))</f>
        <v/>
      </c>
      <c r="U697" s="1080" t="str">
        <f>+Modificaciones!AC697</f>
        <v/>
      </c>
      <c r="V697" s="825" t="str">
        <f>+Modificaciones!AK697</f>
        <v/>
      </c>
      <c r="W697" s="825">
        <f t="shared" si="127"/>
        <v>43760</v>
      </c>
      <c r="X697" s="59">
        <f t="shared" si="126"/>
        <v>77878170</v>
      </c>
      <c r="Y697" s="151">
        <f>VLOOKUP(E697,Modificaciones!$B$7:$BE$2300,56,0)</f>
        <v>77878170</v>
      </c>
      <c r="Z697" s="84">
        <f t="shared" si="136"/>
        <v>0</v>
      </c>
      <c r="AA697" s="283" t="s">
        <v>4352</v>
      </c>
      <c r="AB697" s="823">
        <f t="shared" si="137"/>
        <v>1</v>
      </c>
      <c r="AC697" s="40">
        <f t="shared" ca="1" si="128"/>
        <v>1</v>
      </c>
      <c r="AD697" s="41">
        <f t="shared" ca="1" si="129"/>
        <v>0</v>
      </c>
      <c r="AE697" s="181" t="str">
        <f t="shared" ca="1" si="130"/>
        <v/>
      </c>
      <c r="AF697" s="42" t="str">
        <f t="shared" si="138"/>
        <v>SI</v>
      </c>
      <c r="AG697" s="1017" t="s">
        <v>4920</v>
      </c>
      <c r="AH697" s="152" t="s">
        <v>1256</v>
      </c>
      <c r="AI697" s="255" t="s">
        <v>4353</v>
      </c>
      <c r="AJ697" s="152" t="s">
        <v>1438</v>
      </c>
      <c r="AK697" s="255" t="s">
        <v>560</v>
      </c>
      <c r="AL697" s="279" t="s">
        <v>1508</v>
      </c>
      <c r="AM697" s="279" t="s">
        <v>3873</v>
      </c>
      <c r="AN697" s="161" t="str">
        <f t="shared" ca="1" si="131"/>
        <v>TERMINO</v>
      </c>
      <c r="AO697" s="160" t="s">
        <v>576</v>
      </c>
      <c r="AP697" s="406" t="s">
        <v>390</v>
      </c>
      <c r="AQ697" s="819" t="str">
        <f>IFERROR(VLOOKUP(E697,'liquidaciones '!$B$2:$C$1048576,2,0),"NO")</f>
        <v>EN TRÁMITE</v>
      </c>
      <c r="AR697" s="909" t="str">
        <f>IFERROR(VLOOKUP(E697,'liquidaciones '!$B$2:$I$1048576,8,0),"")</f>
        <v>JUAN DIEGO ESPITIA</v>
      </c>
      <c r="AS697" s="406"/>
      <c r="AT697" s="156" t="str">
        <f t="shared" ca="1" si="132"/>
        <v>SI</v>
      </c>
      <c r="AU697" s="156" t="s">
        <v>5156</v>
      </c>
      <c r="AV697" s="406" t="s">
        <v>4852</v>
      </c>
      <c r="AW697" s="930" t="s">
        <v>560</v>
      </c>
      <c r="AX697" s="928"/>
      <c r="AY697" s="275"/>
    </row>
    <row r="698" spans="3:51" ht="102" x14ac:dyDescent="0.3">
      <c r="C698" s="837">
        <v>199</v>
      </c>
      <c r="D698" s="837"/>
      <c r="E698" s="120" t="s">
        <v>4354</v>
      </c>
      <c r="F698" s="414" t="s">
        <v>22</v>
      </c>
      <c r="G698" s="863">
        <v>830112518</v>
      </c>
      <c r="H698" s="981" t="s">
        <v>2945</v>
      </c>
      <c r="I698" s="84">
        <v>32011000</v>
      </c>
      <c r="J698" s="843" t="s">
        <v>4550</v>
      </c>
      <c r="K698" s="269">
        <v>2018</v>
      </c>
      <c r="L698" s="519">
        <v>43385</v>
      </c>
      <c r="M698" s="519">
        <v>43396</v>
      </c>
      <c r="N698" s="519">
        <v>43607</v>
      </c>
      <c r="O698" s="1099" t="str">
        <f>IF(+Modificaciones!I698=0,"",VLOOKUP(E698,Modificaciones!$B$7:$I$2400,8,0))</f>
        <v/>
      </c>
      <c r="P698" s="115">
        <f>COUNTA(Modificaciones!J698,Modificaciones!L698,Modificaciones!N698,Modificaciones!P698)</f>
        <v>0</v>
      </c>
      <c r="Q698" s="116">
        <f>VLOOKUP(E698,Modificaciones!$B$7:$R$2300,17,0)</f>
        <v>0</v>
      </c>
      <c r="R698" s="117">
        <f>COUNTA(Modificaciones!T698,Modificaciones!V698,Modificaciones!X698,Modificaciones!Z698)</f>
        <v>0</v>
      </c>
      <c r="S698" s="118" t="str">
        <f>IF(Modificaciones!AA698=0,"",VLOOKUP(E698,Modificaciones!$B$7:$AA$2400,26,0))</f>
        <v/>
      </c>
      <c r="T698" s="119" t="str">
        <f>IF(Modificaciones!AB698=0,"",VLOOKUP(E698,Modificaciones!$B$7:$AB$2400,27,0))</f>
        <v/>
      </c>
      <c r="U698" s="1080" t="str">
        <f>+Modificaciones!AC698</f>
        <v/>
      </c>
      <c r="V698" s="825" t="str">
        <f>+Modificaciones!AK698</f>
        <v/>
      </c>
      <c r="W698" s="825">
        <f t="shared" si="127"/>
        <v>43607</v>
      </c>
      <c r="X698" s="59">
        <f t="shared" si="126"/>
        <v>32011000</v>
      </c>
      <c r="Y698" s="151">
        <f>VLOOKUP(E698,Modificaciones!$B$7:$BE$2300,56,0)</f>
        <v>32011000</v>
      </c>
      <c r="Z698" s="84">
        <f t="shared" si="136"/>
        <v>0</v>
      </c>
      <c r="AA698" s="288" t="s">
        <v>2946</v>
      </c>
      <c r="AB698" s="823">
        <f t="shared" si="137"/>
        <v>1</v>
      </c>
      <c r="AC698" s="40">
        <f t="shared" ca="1" si="128"/>
        <v>1</v>
      </c>
      <c r="AD698" s="41">
        <f t="shared" ca="1" si="129"/>
        <v>0</v>
      </c>
      <c r="AE698" s="181" t="str">
        <f t="shared" ca="1" si="130"/>
        <v/>
      </c>
      <c r="AF698" s="42" t="str">
        <f t="shared" si="138"/>
        <v>SI</v>
      </c>
      <c r="AG698" s="838"/>
      <c r="AH698" s="152" t="s">
        <v>1256</v>
      </c>
      <c r="AI698" s="152" t="s">
        <v>1173</v>
      </c>
      <c r="AJ698" s="152" t="s">
        <v>1438</v>
      </c>
      <c r="AK698" s="255" t="s">
        <v>560</v>
      </c>
      <c r="AL698" s="153" t="s">
        <v>1508</v>
      </c>
      <c r="AM698" s="279" t="s">
        <v>3873</v>
      </c>
      <c r="AN698" s="161" t="str">
        <f t="shared" ca="1" si="131"/>
        <v>TERMINO</v>
      </c>
      <c r="AO698" s="160" t="s">
        <v>582</v>
      </c>
      <c r="AP698" s="155" t="s">
        <v>390</v>
      </c>
      <c r="AQ698" s="819" t="str">
        <f>IFERROR(VLOOKUP(E698,'liquidaciones '!$B$2:$C$1048576,2,0),"NO")</f>
        <v>LIQUIDADO</v>
      </c>
      <c r="AR698" s="909" t="str">
        <f>IFERROR(VLOOKUP(E698,'liquidaciones '!$B$2:$I$1048576,8,0),"")</f>
        <v>JUAN DIEGO ESPÍTIA</v>
      </c>
      <c r="AS698" s="406"/>
      <c r="AT698" s="156" t="str">
        <f t="shared" ca="1" si="132"/>
        <v>SI</v>
      </c>
      <c r="AU698" s="406" t="s">
        <v>4209</v>
      </c>
      <c r="AV698" s="406" t="s">
        <v>3778</v>
      </c>
      <c r="AW698" s="930" t="s">
        <v>560</v>
      </c>
      <c r="AX698" s="928"/>
      <c r="AY698" s="275" t="s">
        <v>4862</v>
      </c>
    </row>
    <row r="699" spans="3:51" ht="30.6" x14ac:dyDescent="0.3">
      <c r="C699" s="837">
        <v>63</v>
      </c>
      <c r="D699" s="837"/>
      <c r="E699" s="120" t="s">
        <v>4356</v>
      </c>
      <c r="F699" s="414" t="s">
        <v>4357</v>
      </c>
      <c r="G699" s="863" t="s">
        <v>1626</v>
      </c>
      <c r="H699" s="967" t="s">
        <v>4358</v>
      </c>
      <c r="I699" s="84">
        <v>1800000</v>
      </c>
      <c r="J699" s="843" t="s">
        <v>4359</v>
      </c>
      <c r="K699" s="269">
        <v>2018</v>
      </c>
      <c r="L699" s="519">
        <v>43390</v>
      </c>
      <c r="M699" s="519">
        <v>43397</v>
      </c>
      <c r="N699" s="519">
        <v>43761</v>
      </c>
      <c r="O699" s="1099" t="str">
        <f>IF(+Modificaciones!I699=0,"",VLOOKUP(E699,Modificaciones!$B$7:$I$2400,8,0))</f>
        <v/>
      </c>
      <c r="P699" s="115">
        <f>COUNTA(Modificaciones!J699,Modificaciones!L699,Modificaciones!N699,Modificaciones!P699)</f>
        <v>1</v>
      </c>
      <c r="Q699" s="116">
        <f>VLOOKUP(E699,Modificaciones!$B$7:$R$2300,17,0)</f>
        <v>500000</v>
      </c>
      <c r="R699" s="117">
        <f>COUNTA(Modificaciones!T699,Modificaciones!V699,Modificaciones!X699,Modificaciones!Z699)</f>
        <v>1</v>
      </c>
      <c r="S699" s="118" t="str">
        <f>IF(Modificaciones!AA699=0,"",VLOOKUP(E699,Modificaciones!$B$7:$AA$2400,26,0))</f>
        <v>5 MESES</v>
      </c>
      <c r="T699" s="119">
        <f>IF(Modificaciones!AB699=0,"",VLOOKUP(E699,Modificaciones!$B$7:$AB$2400,27,0))</f>
        <v>43913</v>
      </c>
      <c r="U699" s="1080" t="str">
        <f>+Modificaciones!AC699</f>
        <v/>
      </c>
      <c r="V699" s="825" t="str">
        <f>+Modificaciones!AK699</f>
        <v/>
      </c>
      <c r="W699" s="825">
        <f t="shared" si="127"/>
        <v>43913</v>
      </c>
      <c r="X699" s="59">
        <f t="shared" si="126"/>
        <v>2300000</v>
      </c>
      <c r="Y699" s="151">
        <f>VLOOKUP(E699,Modificaciones!$B$7:$BE$2300,56,0)</f>
        <v>1310000</v>
      </c>
      <c r="Z699" s="84">
        <f t="shared" si="136"/>
        <v>990000</v>
      </c>
      <c r="AA699" s="283" t="s">
        <v>1628</v>
      </c>
      <c r="AB699" s="823">
        <f t="shared" si="137"/>
        <v>0.56956521739130439</v>
      </c>
      <c r="AC699" s="40">
        <f t="shared" ca="1" si="128"/>
        <v>1</v>
      </c>
      <c r="AD699" s="41">
        <f t="shared" ca="1" si="129"/>
        <v>0.43043478260869561</v>
      </c>
      <c r="AE699" s="181" t="str">
        <f t="shared" ca="1" si="130"/>
        <v/>
      </c>
      <c r="AF699" s="42" t="str">
        <f t="shared" si="138"/>
        <v>NO</v>
      </c>
      <c r="AG699" s="838"/>
      <c r="AH699" s="152" t="s">
        <v>1255</v>
      </c>
      <c r="AI699" s="255" t="s">
        <v>1281</v>
      </c>
      <c r="AJ699" s="152"/>
      <c r="AK699" s="255" t="s">
        <v>562</v>
      </c>
      <c r="AL699" s="279"/>
      <c r="AM699" s="279" t="s">
        <v>3984</v>
      </c>
      <c r="AN699" s="161" t="str">
        <f t="shared" ca="1" si="131"/>
        <v>TERMINO</v>
      </c>
      <c r="AO699" s="284" t="s">
        <v>576</v>
      </c>
      <c r="AP699" s="406" t="s">
        <v>390</v>
      </c>
      <c r="AQ699" s="819" t="str">
        <f>IFERROR(VLOOKUP(E699,'liquidaciones '!$B$2:$C$1048576,2,0),"NO")</f>
        <v>NO</v>
      </c>
      <c r="AR699" s="909" t="str">
        <f>IFERROR(VLOOKUP(E699,'liquidaciones '!$B$2:$I$1048576,8,0),"")</f>
        <v/>
      </c>
      <c r="AS699" s="406"/>
      <c r="AT699" s="156" t="str">
        <f t="shared" ca="1" si="132"/>
        <v>SI</v>
      </c>
      <c r="AU699" s="156" t="s">
        <v>5967</v>
      </c>
      <c r="AV699" s="406"/>
      <c r="AW699" s="930" t="s">
        <v>3985</v>
      </c>
      <c r="AX699" s="928"/>
      <c r="AY699" s="275" t="s">
        <v>6314</v>
      </c>
    </row>
    <row r="700" spans="3:51" ht="42.75" customHeight="1" x14ac:dyDescent="0.3">
      <c r="C700" s="837">
        <v>135</v>
      </c>
      <c r="D700" s="837"/>
      <c r="E700" s="120" t="s">
        <v>4360</v>
      </c>
      <c r="F700" s="414" t="s">
        <v>4361</v>
      </c>
      <c r="G700" s="863">
        <v>900349363</v>
      </c>
      <c r="H700" s="969" t="s">
        <v>4362</v>
      </c>
      <c r="I700" s="84">
        <v>13629367</v>
      </c>
      <c r="J700" s="843" t="s">
        <v>4363</v>
      </c>
      <c r="K700" s="269">
        <v>2018</v>
      </c>
      <c r="L700" s="519">
        <v>43385</v>
      </c>
      <c r="M700" s="519">
        <v>43399</v>
      </c>
      <c r="N700" s="519">
        <v>43490</v>
      </c>
      <c r="O700" s="1099" t="str">
        <f>IF(+Modificaciones!I700=0,"",VLOOKUP(E700,Modificaciones!$B$7:$I$2400,8,0))</f>
        <v/>
      </c>
      <c r="P700" s="115">
        <f>COUNTA(Modificaciones!J700,Modificaciones!L700,Modificaciones!N700,Modificaciones!P700)</f>
        <v>0</v>
      </c>
      <c r="Q700" s="116">
        <f>VLOOKUP(E700,Modificaciones!$B$7:$R$2300,17,0)</f>
        <v>0</v>
      </c>
      <c r="R700" s="117">
        <f>COUNTA(Modificaciones!T700,Modificaciones!V700,Modificaciones!X700,Modificaciones!Z700)</f>
        <v>0</v>
      </c>
      <c r="S700" s="118" t="str">
        <f>IF(Modificaciones!AA700=0,"",VLOOKUP(E700,Modificaciones!$B$7:$AA$2400,26,0))</f>
        <v/>
      </c>
      <c r="T700" s="119" t="str">
        <f>IF(Modificaciones!AB700=0,"",VLOOKUP(E700,Modificaciones!$B$7:$AB$2400,27,0))</f>
        <v/>
      </c>
      <c r="U700" s="1080" t="str">
        <f>+Modificaciones!AC700</f>
        <v/>
      </c>
      <c r="V700" s="825" t="str">
        <f>+Modificaciones!AK700</f>
        <v/>
      </c>
      <c r="W700" s="825">
        <f t="shared" si="127"/>
        <v>43490</v>
      </c>
      <c r="X700" s="59">
        <f t="shared" si="126"/>
        <v>13629367</v>
      </c>
      <c r="Y700" s="151">
        <f>VLOOKUP(E700,Modificaciones!$B$7:$BE$2300,56,0)</f>
        <v>10989707</v>
      </c>
      <c r="Z700" s="84">
        <f t="shared" si="136"/>
        <v>2639660</v>
      </c>
      <c r="AA700" s="283" t="s">
        <v>1894</v>
      </c>
      <c r="AB700" s="823">
        <f t="shared" si="137"/>
        <v>0.80632556156129631</v>
      </c>
      <c r="AC700" s="40">
        <f t="shared" ca="1" si="128"/>
        <v>1</v>
      </c>
      <c r="AD700" s="41">
        <f t="shared" ca="1" si="129"/>
        <v>0.19367443843870369</v>
      </c>
      <c r="AE700" s="181" t="str">
        <f t="shared" ca="1" si="130"/>
        <v/>
      </c>
      <c r="AF700" s="42" t="str">
        <f t="shared" si="138"/>
        <v>NO</v>
      </c>
      <c r="AG700" s="732" t="s">
        <v>1711</v>
      </c>
      <c r="AH700" s="152" t="s">
        <v>1255</v>
      </c>
      <c r="AI700" s="255" t="s">
        <v>1301</v>
      </c>
      <c r="AJ700" s="152" t="s">
        <v>1434</v>
      </c>
      <c r="AK700" s="255" t="s">
        <v>560</v>
      </c>
      <c r="AL700" s="406" t="s">
        <v>4333</v>
      </c>
      <c r="AM700" s="279" t="s">
        <v>3873</v>
      </c>
      <c r="AN700" s="161" t="str">
        <f t="shared" ca="1" si="131"/>
        <v>TERMINO</v>
      </c>
      <c r="AO700" s="284" t="s">
        <v>576</v>
      </c>
      <c r="AP700" s="406" t="s">
        <v>391</v>
      </c>
      <c r="AQ700" s="819" t="str">
        <f>IFERROR(VLOOKUP(E700,'liquidaciones '!$B$2:$C$1048576,2,0),"NO")</f>
        <v>EN TRÁMITE</v>
      </c>
      <c r="AR700" s="909" t="str">
        <f>IFERROR(VLOOKUP(E700,'liquidaciones '!$B$2:$I$1048576,8,0),"")</f>
        <v>JUAN DIEGO ESPITIA</v>
      </c>
      <c r="AS700" s="406"/>
      <c r="AT700" s="156" t="str">
        <f t="shared" ca="1" si="132"/>
        <v>SI</v>
      </c>
      <c r="AU700" s="406" t="s">
        <v>4805</v>
      </c>
      <c r="AV700" s="406" t="s">
        <v>4333</v>
      </c>
      <c r="AW700" s="930" t="s">
        <v>560</v>
      </c>
      <c r="AX700" s="928"/>
      <c r="AY700" s="275" t="s">
        <v>5086</v>
      </c>
    </row>
    <row r="701" spans="3:51" ht="45.75" customHeight="1" x14ac:dyDescent="0.3">
      <c r="C701" s="837"/>
      <c r="D701" s="837"/>
      <c r="E701" s="120" t="s">
        <v>4364</v>
      </c>
      <c r="F701" s="414" t="s">
        <v>4365</v>
      </c>
      <c r="G701" s="863" t="s">
        <v>4366</v>
      </c>
      <c r="H701" s="969" t="s">
        <v>4367</v>
      </c>
      <c r="I701" s="84">
        <v>14648124</v>
      </c>
      <c r="J701" s="843" t="s">
        <v>4375</v>
      </c>
      <c r="K701" s="269">
        <v>2018</v>
      </c>
      <c r="L701" s="519">
        <v>43397</v>
      </c>
      <c r="M701" s="519">
        <v>43397</v>
      </c>
      <c r="N701" s="519">
        <v>43404</v>
      </c>
      <c r="O701" s="1099" t="str">
        <f>IF(+Modificaciones!I701=0,"",VLOOKUP(E701,Modificaciones!$B$7:$I$2400,8,0))</f>
        <v/>
      </c>
      <c r="P701" s="115">
        <f>COUNTA(Modificaciones!J701,Modificaciones!L701,Modificaciones!N701,Modificaciones!P701)</f>
        <v>0</v>
      </c>
      <c r="Q701" s="116">
        <f>VLOOKUP(E701,Modificaciones!$B$7:$R$2300,17,0)</f>
        <v>0</v>
      </c>
      <c r="R701" s="117">
        <f>COUNTA(Modificaciones!T701,Modificaciones!V701,Modificaciones!X701,Modificaciones!Z701)</f>
        <v>0</v>
      </c>
      <c r="S701" s="118" t="str">
        <f>IF(Modificaciones!AA701=0,"",VLOOKUP(E701,Modificaciones!$B$7:$AA$2400,26,0))</f>
        <v/>
      </c>
      <c r="T701" s="119" t="str">
        <f>IF(Modificaciones!AB701=0,"",VLOOKUP(E701,Modificaciones!$B$7:$AB$2400,27,0))</f>
        <v/>
      </c>
      <c r="U701" s="1080" t="str">
        <f>+Modificaciones!AC701</f>
        <v/>
      </c>
      <c r="V701" s="825" t="str">
        <f>+Modificaciones!AK701</f>
        <v/>
      </c>
      <c r="W701" s="825">
        <f t="shared" si="127"/>
        <v>43404</v>
      </c>
      <c r="X701" s="59">
        <f t="shared" si="126"/>
        <v>14648124</v>
      </c>
      <c r="Y701" s="151">
        <f>VLOOKUP(E701,Modificaciones!$B$7:$BE$2300,56,0)</f>
        <v>14648124</v>
      </c>
      <c r="Z701" s="84">
        <f t="shared" si="136"/>
        <v>0</v>
      </c>
      <c r="AA701" s="283" t="s">
        <v>1894</v>
      </c>
      <c r="AB701" s="823">
        <f t="shared" si="137"/>
        <v>1</v>
      </c>
      <c r="AC701" s="40">
        <f t="shared" ca="1" si="128"/>
        <v>1</v>
      </c>
      <c r="AD701" s="41">
        <f t="shared" ca="1" si="129"/>
        <v>0</v>
      </c>
      <c r="AE701" s="181" t="str">
        <f t="shared" ca="1" si="130"/>
        <v/>
      </c>
      <c r="AF701" s="42" t="str">
        <f t="shared" si="138"/>
        <v>SI</v>
      </c>
      <c r="AG701" s="838" t="s">
        <v>1711</v>
      </c>
      <c r="AH701" s="841" t="s">
        <v>1256</v>
      </c>
      <c r="AI701" s="841" t="s">
        <v>4208</v>
      </c>
      <c r="AJ701" s="152" t="s">
        <v>1438</v>
      </c>
      <c r="AK701" s="255" t="s">
        <v>560</v>
      </c>
      <c r="AL701" s="838" t="s">
        <v>1508</v>
      </c>
      <c r="AM701" s="279" t="s">
        <v>3873</v>
      </c>
      <c r="AN701" s="161" t="str">
        <f t="shared" ca="1" si="131"/>
        <v>TERMINO</v>
      </c>
      <c r="AO701" s="284" t="s">
        <v>2722</v>
      </c>
      <c r="AP701" s="406"/>
      <c r="AQ701" s="819" t="str">
        <f>IFERROR(VLOOKUP(E701,'liquidaciones '!$B$2:$C$1048576,2,0),"NO")</f>
        <v>EN TRÁMITE</v>
      </c>
      <c r="AR701" s="909" t="str">
        <f>IFERROR(VLOOKUP(E701,'liquidaciones '!$B$2:$I$1048576,8,0),"")</f>
        <v>Natalia Osorio</v>
      </c>
      <c r="AS701" s="406"/>
      <c r="AT701" s="156" t="str">
        <f t="shared" ca="1" si="132"/>
        <v>SI</v>
      </c>
      <c r="AU701" s="978" t="s">
        <v>4209</v>
      </c>
      <c r="AV701" s="406" t="s">
        <v>3778</v>
      </c>
      <c r="AW701" s="930" t="s">
        <v>560</v>
      </c>
      <c r="AX701" s="928"/>
      <c r="AY701" s="275"/>
    </row>
    <row r="702" spans="3:51" ht="30.6" x14ac:dyDescent="0.3">
      <c r="C702" s="837"/>
      <c r="D702" s="837"/>
      <c r="E702" s="120" t="s">
        <v>4368</v>
      </c>
      <c r="F702" s="414" t="s">
        <v>3892</v>
      </c>
      <c r="G702" s="863" t="s">
        <v>3893</v>
      </c>
      <c r="H702" s="969" t="s">
        <v>4369</v>
      </c>
      <c r="I702" s="84">
        <v>16025870</v>
      </c>
      <c r="J702" s="843" t="s">
        <v>4374</v>
      </c>
      <c r="K702" s="269">
        <v>2018</v>
      </c>
      <c r="L702" s="519">
        <v>43397</v>
      </c>
      <c r="M702" s="519">
        <v>43397</v>
      </c>
      <c r="N702" s="519">
        <v>43404</v>
      </c>
      <c r="O702" s="1099" t="str">
        <f>IF(+Modificaciones!I702=0,"",VLOOKUP(E702,Modificaciones!$B$7:$I$2400,8,0))</f>
        <v/>
      </c>
      <c r="P702" s="115">
        <f>COUNTA(Modificaciones!J702,Modificaciones!L702,Modificaciones!N702,Modificaciones!P702)</f>
        <v>0</v>
      </c>
      <c r="Q702" s="116">
        <f>VLOOKUP(E702,Modificaciones!$B$7:$R$2300,17,0)</f>
        <v>0</v>
      </c>
      <c r="R702" s="117">
        <f>COUNTA(Modificaciones!T702,Modificaciones!V702,Modificaciones!X702,Modificaciones!Z702)</f>
        <v>0</v>
      </c>
      <c r="S702" s="118" t="str">
        <f>IF(Modificaciones!AA702=0,"",VLOOKUP(E702,Modificaciones!$B$7:$AA$2400,26,0))</f>
        <v/>
      </c>
      <c r="T702" s="119" t="str">
        <f>IF(Modificaciones!AB702=0,"",VLOOKUP(E702,Modificaciones!$B$7:$AB$2400,27,0))</f>
        <v/>
      </c>
      <c r="U702" s="1080" t="str">
        <f>+Modificaciones!AC702</f>
        <v/>
      </c>
      <c r="V702" s="825" t="str">
        <f>+Modificaciones!AK702</f>
        <v/>
      </c>
      <c r="W702" s="825">
        <f t="shared" si="127"/>
        <v>43404</v>
      </c>
      <c r="X702" s="59">
        <f t="shared" si="126"/>
        <v>16025870</v>
      </c>
      <c r="Y702" s="151">
        <f>VLOOKUP(E702,Modificaciones!$B$7:$BE$2300,56,0)</f>
        <v>16025870</v>
      </c>
      <c r="Z702" s="84">
        <f t="shared" si="136"/>
        <v>0</v>
      </c>
      <c r="AA702" s="283" t="s">
        <v>1894</v>
      </c>
      <c r="AB702" s="823">
        <f t="shared" si="137"/>
        <v>1</v>
      </c>
      <c r="AC702" s="40">
        <f t="shared" ca="1" si="128"/>
        <v>1</v>
      </c>
      <c r="AD702" s="41">
        <f t="shared" ca="1" si="129"/>
        <v>0</v>
      </c>
      <c r="AE702" s="181" t="str">
        <f t="shared" ca="1" si="130"/>
        <v/>
      </c>
      <c r="AF702" s="42" t="str">
        <f t="shared" si="138"/>
        <v>SI</v>
      </c>
      <c r="AG702" s="838"/>
      <c r="AH702" s="841"/>
      <c r="AI702" s="255" t="s">
        <v>2743</v>
      </c>
      <c r="AJ702" s="838"/>
      <c r="AK702" s="838"/>
      <c r="AL702" s="838"/>
      <c r="AM702" s="279" t="s">
        <v>3873</v>
      </c>
      <c r="AN702" s="161" t="str">
        <f t="shared" ca="1" si="131"/>
        <v>TERMINO</v>
      </c>
      <c r="AO702" s="284" t="s">
        <v>2722</v>
      </c>
      <c r="AP702" s="406"/>
      <c r="AQ702" s="819" t="str">
        <f>IFERROR(VLOOKUP(E702,'liquidaciones '!$B$2:$C$1048576,2,0),"NO")</f>
        <v>NO</v>
      </c>
      <c r="AR702" s="909">
        <f>IFERROR(VLOOKUP(E702,'liquidaciones '!$B$2:$I$1048576,8,0),"")</f>
        <v>0</v>
      </c>
      <c r="AS702" s="406"/>
      <c r="AT702" s="156" t="str">
        <f t="shared" ca="1" si="132"/>
        <v>SI</v>
      </c>
      <c r="AU702" s="978" t="s">
        <v>4209</v>
      </c>
      <c r="AV702" s="406"/>
      <c r="AW702" s="930" t="s">
        <v>560</v>
      </c>
      <c r="AX702" s="928"/>
      <c r="AY702" s="275"/>
    </row>
    <row r="703" spans="3:51" ht="81.599999999999994" x14ac:dyDescent="0.3">
      <c r="C703" s="837">
        <v>134</v>
      </c>
      <c r="D703" s="837"/>
      <c r="E703" s="120" t="s">
        <v>4376</v>
      </c>
      <c r="F703" s="414" t="s">
        <v>4370</v>
      </c>
      <c r="G703" s="863" t="s">
        <v>4371</v>
      </c>
      <c r="H703" s="969" t="s">
        <v>4382</v>
      </c>
      <c r="I703" s="84">
        <v>8830300</v>
      </c>
      <c r="J703" s="843" t="s">
        <v>4373</v>
      </c>
      <c r="K703" s="269">
        <v>2018</v>
      </c>
      <c r="L703" s="519">
        <v>43383</v>
      </c>
      <c r="M703" s="519">
        <v>43402</v>
      </c>
      <c r="N703" s="519">
        <v>43524</v>
      </c>
      <c r="O703" s="1099" t="str">
        <f>IF(+Modificaciones!I703=0,"",VLOOKUP(E703,Modificaciones!$B$7:$I$2400,8,0))</f>
        <v/>
      </c>
      <c r="P703" s="115">
        <f>COUNTA(Modificaciones!J703,Modificaciones!L703,Modificaciones!N703,Modificaciones!P703)</f>
        <v>0</v>
      </c>
      <c r="Q703" s="116">
        <f>VLOOKUP(E703,Modificaciones!$B$7:$R$2300,17,0)</f>
        <v>0</v>
      </c>
      <c r="R703" s="117">
        <f>COUNTA(Modificaciones!T703,Modificaciones!V703,Modificaciones!X703,Modificaciones!Z703)</f>
        <v>1</v>
      </c>
      <c r="S703" s="118" t="str">
        <f>IF(Modificaciones!AA703=0,"",VLOOKUP(E703,Modificaciones!$B$7:$AA$2400,26,0))</f>
        <v>15 días</v>
      </c>
      <c r="T703" s="119">
        <f>IF(Modificaciones!AB703=0,"",VLOOKUP(E703,Modificaciones!$B$7:$AB$2400,27,0))</f>
        <v>43539</v>
      </c>
      <c r="U703" s="1080" t="str">
        <f>+Modificaciones!AC703</f>
        <v/>
      </c>
      <c r="V703" s="825" t="str">
        <f>+Modificaciones!AK703</f>
        <v/>
      </c>
      <c r="W703" s="825">
        <f t="shared" si="127"/>
        <v>43539</v>
      </c>
      <c r="X703" s="59">
        <f t="shared" si="126"/>
        <v>8830300</v>
      </c>
      <c r="Y703" s="151">
        <f>VLOOKUP(E703,Modificaciones!$B$7:$BE$2300,56,0)</f>
        <v>8830199</v>
      </c>
      <c r="Z703" s="84">
        <f t="shared" si="136"/>
        <v>101</v>
      </c>
      <c r="AA703" s="287" t="s">
        <v>4372</v>
      </c>
      <c r="AB703" s="823">
        <f t="shared" si="137"/>
        <v>0.99998856211000764</v>
      </c>
      <c r="AC703" s="40">
        <f t="shared" ca="1" si="128"/>
        <v>1</v>
      </c>
      <c r="AD703" s="41">
        <f t="shared" ca="1" si="129"/>
        <v>1.1437889992360617E-5</v>
      </c>
      <c r="AE703" s="181" t="str">
        <f t="shared" ca="1" si="130"/>
        <v/>
      </c>
      <c r="AF703" s="42" t="str">
        <f t="shared" si="138"/>
        <v>SI</v>
      </c>
      <c r="AG703" s="1017" t="s">
        <v>4920</v>
      </c>
      <c r="AH703" s="152" t="s">
        <v>1255</v>
      </c>
      <c r="AI703" s="152" t="s">
        <v>1299</v>
      </c>
      <c r="AJ703" s="152" t="s">
        <v>1441</v>
      </c>
      <c r="AK703" s="255" t="s">
        <v>560</v>
      </c>
      <c r="AL703" s="153"/>
      <c r="AM703" s="279" t="s">
        <v>3873</v>
      </c>
      <c r="AN703" s="161" t="str">
        <f t="shared" ca="1" si="131"/>
        <v>TERMINO</v>
      </c>
      <c r="AO703" s="284" t="s">
        <v>576</v>
      </c>
      <c r="AP703" s="406" t="s">
        <v>390</v>
      </c>
      <c r="AQ703" s="819" t="str">
        <f>IFERROR(VLOOKUP(E703,'liquidaciones '!$B$2:$C$1048576,2,0),"NO")</f>
        <v>DEVUELTO</v>
      </c>
      <c r="AR703" s="909" t="str">
        <f>IFERROR(VLOOKUP(E703,'liquidaciones '!$B$2:$I$1048576,8,0),"")</f>
        <v>MARTHA SANCHEZ</v>
      </c>
      <c r="AS703" s="406"/>
      <c r="AT703" s="156" t="str">
        <f t="shared" ca="1" si="132"/>
        <v>SI</v>
      </c>
      <c r="AU703" s="156" t="s">
        <v>4299</v>
      </c>
      <c r="AV703" s="406" t="s">
        <v>4333</v>
      </c>
      <c r="AW703" s="930" t="s">
        <v>560</v>
      </c>
      <c r="AX703" s="928"/>
      <c r="AY703" s="275" t="s">
        <v>5189</v>
      </c>
    </row>
    <row r="704" spans="3:51" ht="112.2" x14ac:dyDescent="0.3">
      <c r="C704" s="837"/>
      <c r="D704" s="837"/>
      <c r="E704" s="120" t="s">
        <v>4377</v>
      </c>
      <c r="F704" s="414" t="s">
        <v>4378</v>
      </c>
      <c r="G704" s="863" t="s">
        <v>4379</v>
      </c>
      <c r="H704" s="969" t="s">
        <v>5828</v>
      </c>
      <c r="I704" s="84">
        <v>424000000</v>
      </c>
      <c r="J704" s="843" t="s">
        <v>4807</v>
      </c>
      <c r="K704" s="269">
        <v>2018</v>
      </c>
      <c r="L704" s="519">
        <v>43399</v>
      </c>
      <c r="M704" s="519">
        <v>43403</v>
      </c>
      <c r="N704" s="519">
        <v>43857</v>
      </c>
      <c r="O704" s="1099" t="str">
        <f>IF(+Modificaciones!I704=0,"",VLOOKUP(E704,Modificaciones!$B$7:$I$2400,8,0))</f>
        <v/>
      </c>
      <c r="P704" s="115">
        <f>COUNTA(Modificaciones!J704,Modificaciones!L704,Modificaciones!N704,Modificaciones!P704)</f>
        <v>1</v>
      </c>
      <c r="Q704" s="116">
        <f>VLOOKUP(E704,Modificaciones!$B$7:$R$2300,17,0)</f>
        <v>147386567</v>
      </c>
      <c r="R704" s="117">
        <f>COUNTA(Modificaciones!T704,Modificaciones!V704,Modificaciones!X704,Modificaciones!Z704)</f>
        <v>1</v>
      </c>
      <c r="S704" s="118" t="str">
        <f>IF(Modificaciones!AA704=0,"",VLOOKUP(E704,Modificaciones!$B$7:$AA$2400,26,0))</f>
        <v>181 días para los seguros generales excepto el SOAT el cual es de 364 días y 94 días para el seguro de vida de grupo</v>
      </c>
      <c r="T704" s="119">
        <f>IF(Modificaciones!AB704=0,"",VLOOKUP(E704,Modificaciones!$B$7:$AB$2400,27,0))</f>
        <v>43951</v>
      </c>
      <c r="U704" s="1080" t="str">
        <f>+Modificaciones!AC704</f>
        <v/>
      </c>
      <c r="V704" s="825" t="str">
        <f>+Modificaciones!AK704</f>
        <v/>
      </c>
      <c r="W704" s="825">
        <f t="shared" si="127"/>
        <v>43951</v>
      </c>
      <c r="X704" s="59">
        <f t="shared" si="126"/>
        <v>571386567</v>
      </c>
      <c r="Y704" s="151">
        <f>VLOOKUP(E704,Modificaciones!$B$7:$BE$2300,56,0)</f>
        <v>567419497</v>
      </c>
      <c r="Z704" s="84">
        <f t="shared" si="136"/>
        <v>3967070</v>
      </c>
      <c r="AA704" s="287" t="s">
        <v>4381</v>
      </c>
      <c r="AB704" s="823">
        <f t="shared" si="137"/>
        <v>0.99305711714430278</v>
      </c>
      <c r="AC704" s="40">
        <f t="shared" ca="1" si="128"/>
        <v>1</v>
      </c>
      <c r="AD704" s="41">
        <f t="shared" ca="1" si="129"/>
        <v>6.9428828556972189E-3</v>
      </c>
      <c r="AE704" s="181" t="str">
        <f t="shared" ca="1" si="130"/>
        <v/>
      </c>
      <c r="AF704" s="42" t="str">
        <f t="shared" si="138"/>
        <v>NO</v>
      </c>
      <c r="AG704" s="1017" t="s">
        <v>4920</v>
      </c>
      <c r="AH704" s="152" t="s">
        <v>1255</v>
      </c>
      <c r="AI704" s="255" t="s">
        <v>4380</v>
      </c>
      <c r="AJ704" s="838"/>
      <c r="AK704" s="255" t="s">
        <v>559</v>
      </c>
      <c r="AL704" s="838"/>
      <c r="AM704" s="279" t="s">
        <v>4242</v>
      </c>
      <c r="AN704" s="161" t="str">
        <f t="shared" ca="1" si="131"/>
        <v>TERMINO</v>
      </c>
      <c r="AO704" s="284" t="s">
        <v>574</v>
      </c>
      <c r="AP704" s="406" t="s">
        <v>390</v>
      </c>
      <c r="AQ704" s="819" t="str">
        <f>IFERROR(VLOOKUP(E704,'liquidaciones '!$B$2:$C$1048576,2,0),"NO")</f>
        <v>NO</v>
      </c>
      <c r="AR704" s="909" t="str">
        <f>IFERROR(VLOOKUP(E704,'liquidaciones '!$B$2:$I$1048576,8,0),"")</f>
        <v/>
      </c>
      <c r="AS704" s="406"/>
      <c r="AT704" s="156" t="str">
        <f t="shared" ca="1" si="132"/>
        <v>SI</v>
      </c>
      <c r="AU704" s="930" t="s">
        <v>5875</v>
      </c>
      <c r="AV704" s="406"/>
      <c r="AW704" s="930" t="s">
        <v>3938</v>
      </c>
      <c r="AX704" s="928"/>
      <c r="AY704" s="275" t="s">
        <v>5546</v>
      </c>
    </row>
    <row r="705" spans="3:51" ht="122.4" x14ac:dyDescent="0.3">
      <c r="C705" s="837">
        <v>107</v>
      </c>
      <c r="D705" s="837"/>
      <c r="E705" s="120" t="s">
        <v>4383</v>
      </c>
      <c r="F705" s="414" t="s">
        <v>2007</v>
      </c>
      <c r="G705" s="863">
        <v>8600669427</v>
      </c>
      <c r="H705" s="969" t="s">
        <v>4384</v>
      </c>
      <c r="I705" s="84">
        <v>1283380716</v>
      </c>
      <c r="J705" s="843" t="s">
        <v>4589</v>
      </c>
      <c r="K705" s="269">
        <v>2018</v>
      </c>
      <c r="L705" s="519">
        <v>43391</v>
      </c>
      <c r="M705" s="519">
        <v>43404</v>
      </c>
      <c r="N705" s="519">
        <v>43768</v>
      </c>
      <c r="O705" s="1099" t="str">
        <f>IF(+Modificaciones!I705=0,"",VLOOKUP(E705,Modificaciones!$B$7:$I$2400,8,0))</f>
        <v/>
      </c>
      <c r="P705" s="115">
        <f>COUNTA(Modificaciones!J705,Modificaciones!L705,Modificaciones!N705,Modificaciones!P705)</f>
        <v>1</v>
      </c>
      <c r="Q705" s="116">
        <f>VLOOKUP(E705,Modificaciones!$B$7:$R$2300,17,0)</f>
        <v>606391218</v>
      </c>
      <c r="R705" s="117">
        <f>COUNTA(Modificaciones!T705,Modificaciones!V705,Modificaciones!X705,Modificaciones!Z705)</f>
        <v>4</v>
      </c>
      <c r="S705" s="118" t="str">
        <f>IF(Modificaciones!AA705=0,"",VLOOKUP(E705,Modificaciones!$B$7:$AA$2400,26,0))</f>
        <v>11 meses y 15 días</v>
      </c>
      <c r="T705" s="119">
        <f>IF(Modificaciones!AB705=0,"",VLOOKUP(E705,Modificaciones!$B$7:$AB$2400,27,0))</f>
        <v>44165</v>
      </c>
      <c r="U705" s="1080" t="str">
        <f>+Modificaciones!AC705</f>
        <v/>
      </c>
      <c r="V705" s="825" t="str">
        <f>+Modificaciones!AK705</f>
        <v/>
      </c>
      <c r="W705" s="825">
        <f t="shared" si="127"/>
        <v>44165</v>
      </c>
      <c r="X705" s="59">
        <f t="shared" si="126"/>
        <v>1889771934</v>
      </c>
      <c r="Y705" s="151">
        <f>VLOOKUP(E705,Modificaciones!$B$7:$BE$2300,56,0)</f>
        <v>1889736409</v>
      </c>
      <c r="Z705" s="84">
        <f t="shared" si="136"/>
        <v>35525</v>
      </c>
      <c r="AA705" s="283" t="s">
        <v>2659</v>
      </c>
      <c r="AB705" s="823">
        <f t="shared" si="137"/>
        <v>0.99998120143528391</v>
      </c>
      <c r="AC705" s="40">
        <f t="shared" ca="1" si="128"/>
        <v>1</v>
      </c>
      <c r="AD705" s="41">
        <f t="shared" ca="1" si="129"/>
        <v>1.8798564716093757E-5</v>
      </c>
      <c r="AE705" s="181" t="str">
        <f t="shared" ca="1" si="130"/>
        <v/>
      </c>
      <c r="AF705" s="42" t="str">
        <f t="shared" si="138"/>
        <v>SI</v>
      </c>
      <c r="AG705" s="1017" t="s">
        <v>4920</v>
      </c>
      <c r="AH705" s="152" t="s">
        <v>1255</v>
      </c>
      <c r="AI705" s="255" t="s">
        <v>1279</v>
      </c>
      <c r="AJ705" s="152" t="s">
        <v>1434</v>
      </c>
      <c r="AK705" s="255" t="s">
        <v>560</v>
      </c>
      <c r="AL705" s="279" t="s">
        <v>4194</v>
      </c>
      <c r="AM705" s="279" t="s">
        <v>3873</v>
      </c>
      <c r="AN705" s="161" t="str">
        <f t="shared" ca="1" si="131"/>
        <v>TERMINO</v>
      </c>
      <c r="AO705" s="284" t="s">
        <v>573</v>
      </c>
      <c r="AP705" s="406" t="s">
        <v>390</v>
      </c>
      <c r="AQ705" s="819" t="str">
        <f>IFERROR(VLOOKUP(E705,'liquidaciones '!$B$2:$C$1048576,2,0),"NO")</f>
        <v>NO</v>
      </c>
      <c r="AR705" s="909" t="str">
        <f>IFERROR(VLOOKUP(E705,'liquidaciones '!$B$2:$I$1048576,8,0),"")</f>
        <v/>
      </c>
      <c r="AS705" s="406"/>
      <c r="AT705" s="156" t="str">
        <f t="shared" ca="1" si="132"/>
        <v>SI</v>
      </c>
      <c r="AU705" s="156" t="s">
        <v>5047</v>
      </c>
      <c r="AV705" s="406" t="s">
        <v>4624</v>
      </c>
      <c r="AW705" s="930" t="s">
        <v>560</v>
      </c>
      <c r="AX705" s="406" t="s">
        <v>6336</v>
      </c>
      <c r="AY705" s="275" t="s">
        <v>6453</v>
      </c>
    </row>
    <row r="706" spans="3:51" ht="36.75" customHeight="1" x14ac:dyDescent="0.3">
      <c r="C706" s="837"/>
      <c r="D706" s="837"/>
      <c r="E706" s="120" t="s">
        <v>4386</v>
      </c>
      <c r="F706" s="414" t="s">
        <v>3386</v>
      </c>
      <c r="G706" s="863" t="s">
        <v>2506</v>
      </c>
      <c r="H706" s="969" t="s">
        <v>4367</v>
      </c>
      <c r="I706" s="84">
        <v>956795</v>
      </c>
      <c r="J706" s="843" t="s">
        <v>4388</v>
      </c>
      <c r="K706" s="269">
        <v>2018</v>
      </c>
      <c r="L706" s="519">
        <v>43403</v>
      </c>
      <c r="M706" s="519">
        <v>43403</v>
      </c>
      <c r="N706" s="519">
        <v>43411</v>
      </c>
      <c r="O706" s="1099" t="str">
        <f>IF(+Modificaciones!I706=0,"",VLOOKUP(E706,Modificaciones!$B$7:$I$2400,8,0))</f>
        <v/>
      </c>
      <c r="P706" s="115">
        <f>COUNTA(Modificaciones!J706,Modificaciones!L706,Modificaciones!N706,Modificaciones!P706)</f>
        <v>0</v>
      </c>
      <c r="Q706" s="116">
        <f>VLOOKUP(E706,Modificaciones!$B$7:$R$2300,17,0)</f>
        <v>0</v>
      </c>
      <c r="R706" s="117">
        <f>COUNTA(Modificaciones!T706,Modificaciones!V706,Modificaciones!X706,Modificaciones!Z706)</f>
        <v>0</v>
      </c>
      <c r="S706" s="118" t="str">
        <f>IF(Modificaciones!AA706=0,"",VLOOKUP(E706,Modificaciones!$B$7:$AA$2400,26,0))</f>
        <v/>
      </c>
      <c r="T706" s="119" t="str">
        <f>IF(Modificaciones!AB706=0,"",VLOOKUP(E706,Modificaciones!$B$7:$AB$2400,27,0))</f>
        <v/>
      </c>
      <c r="U706" s="1080" t="str">
        <f>+Modificaciones!AC706</f>
        <v/>
      </c>
      <c r="V706" s="825" t="str">
        <f>+Modificaciones!AK706</f>
        <v/>
      </c>
      <c r="W706" s="825">
        <f t="shared" si="127"/>
        <v>43411</v>
      </c>
      <c r="X706" s="59">
        <f t="shared" si="126"/>
        <v>956795</v>
      </c>
      <c r="Y706" s="151">
        <f>VLOOKUP(E706,Modificaciones!$B$7:$BE$2300,56,0)</f>
        <v>956795</v>
      </c>
      <c r="Z706" s="84">
        <f t="shared" si="136"/>
        <v>0</v>
      </c>
      <c r="AA706" s="283" t="s">
        <v>1894</v>
      </c>
      <c r="AB706" s="823">
        <f t="shared" si="137"/>
        <v>1</v>
      </c>
      <c r="AC706" s="40">
        <f t="shared" ca="1" si="128"/>
        <v>1</v>
      </c>
      <c r="AD706" s="41">
        <f t="shared" ca="1" si="129"/>
        <v>0</v>
      </c>
      <c r="AE706" s="181" t="str">
        <f t="shared" ca="1" si="130"/>
        <v/>
      </c>
      <c r="AF706" s="42" t="str">
        <f t="shared" si="138"/>
        <v>SI</v>
      </c>
      <c r="AG706" s="838" t="s">
        <v>1711</v>
      </c>
      <c r="AH706" s="841" t="s">
        <v>1256</v>
      </c>
      <c r="AI706" s="841" t="s">
        <v>4208</v>
      </c>
      <c r="AJ706" s="152" t="s">
        <v>1438</v>
      </c>
      <c r="AK706" s="255" t="s">
        <v>560</v>
      </c>
      <c r="AL706" s="838" t="s">
        <v>1508</v>
      </c>
      <c r="AM706" s="279" t="s">
        <v>3873</v>
      </c>
      <c r="AN706" s="161" t="str">
        <f t="shared" ca="1" si="131"/>
        <v>TERMINO</v>
      </c>
      <c r="AO706" s="284" t="s">
        <v>2722</v>
      </c>
      <c r="AP706" s="406"/>
      <c r="AQ706" s="819" t="str">
        <f>IFERROR(VLOOKUP(E706,'liquidaciones '!$B$2:$C$1048576,2,0),"NO")</f>
        <v>LIQUIDADO</v>
      </c>
      <c r="AR706" s="909" t="str">
        <f>IFERROR(VLOOKUP(E706,'liquidaciones '!$B$2:$I$1048576,8,0),"")</f>
        <v>JUAN DIEGO ESPÍTIA</v>
      </c>
      <c r="AS706" s="406"/>
      <c r="AT706" s="156" t="str">
        <f t="shared" ca="1" si="132"/>
        <v>SI</v>
      </c>
      <c r="AU706" s="982" t="s">
        <v>4209</v>
      </c>
      <c r="AV706" s="406" t="s">
        <v>3778</v>
      </c>
      <c r="AW706" s="930" t="s">
        <v>560</v>
      </c>
      <c r="AX706" s="928"/>
      <c r="AY706" s="275"/>
    </row>
    <row r="707" spans="3:51" ht="40.5" customHeight="1" x14ac:dyDescent="0.3">
      <c r="C707" s="837"/>
      <c r="D707" s="837"/>
      <c r="E707" s="120" t="s">
        <v>4387</v>
      </c>
      <c r="F707" s="414" t="s">
        <v>4234</v>
      </c>
      <c r="G707" s="863" t="s">
        <v>4235</v>
      </c>
      <c r="H707" s="969" t="s">
        <v>4367</v>
      </c>
      <c r="I707" s="84">
        <v>2890908</v>
      </c>
      <c r="J707" s="843" t="s">
        <v>4389</v>
      </c>
      <c r="K707" s="269">
        <v>2018</v>
      </c>
      <c r="L707" s="519">
        <v>43403</v>
      </c>
      <c r="M707" s="519">
        <v>43403</v>
      </c>
      <c r="N707" s="519">
        <v>43419</v>
      </c>
      <c r="O707" s="1099" t="str">
        <f>IF(+Modificaciones!I707=0,"",VLOOKUP(E707,Modificaciones!$B$7:$I$2400,8,0))</f>
        <v/>
      </c>
      <c r="P707" s="115">
        <f>COUNTA(Modificaciones!J707,Modificaciones!L707,Modificaciones!N707,Modificaciones!P707)</f>
        <v>0</v>
      </c>
      <c r="Q707" s="116">
        <f>VLOOKUP(E707,Modificaciones!$B$7:$R$2300,17,0)</f>
        <v>0</v>
      </c>
      <c r="R707" s="117">
        <f>COUNTA(Modificaciones!T707,Modificaciones!V707,Modificaciones!X707,Modificaciones!Z707)</f>
        <v>1</v>
      </c>
      <c r="S707" s="118" t="str">
        <f>IF(Modificaciones!AA707=0,"",VLOOKUP(E707,Modificaciones!$B$7:$AA$2400,26,0))</f>
        <v>8 días</v>
      </c>
      <c r="T707" s="119">
        <f>IF(Modificaciones!AB707=0,"",VLOOKUP(E707,Modificaciones!$B$7:$AB$2400,27,0))</f>
        <v>43427</v>
      </c>
      <c r="U707" s="1080" t="str">
        <f>+Modificaciones!AC707</f>
        <v/>
      </c>
      <c r="V707" s="825" t="str">
        <f>+Modificaciones!AK707</f>
        <v/>
      </c>
      <c r="W707" s="825">
        <f t="shared" si="127"/>
        <v>43427</v>
      </c>
      <c r="X707" s="59">
        <f t="shared" si="126"/>
        <v>2890908</v>
      </c>
      <c r="Y707" s="151">
        <f>VLOOKUP(E707,Modificaciones!$B$7:$BE$2300,56,0)</f>
        <v>2890908</v>
      </c>
      <c r="Z707" s="84">
        <f t="shared" si="136"/>
        <v>0</v>
      </c>
      <c r="AA707" s="283" t="s">
        <v>1894</v>
      </c>
      <c r="AB707" s="823">
        <f t="shared" si="137"/>
        <v>1</v>
      </c>
      <c r="AC707" s="40">
        <f t="shared" ca="1" si="128"/>
        <v>1</v>
      </c>
      <c r="AD707" s="41">
        <f t="shared" ca="1" si="129"/>
        <v>0</v>
      </c>
      <c r="AE707" s="181" t="str">
        <f t="shared" ca="1" si="130"/>
        <v/>
      </c>
      <c r="AF707" s="42" t="str">
        <f t="shared" si="138"/>
        <v>SI</v>
      </c>
      <c r="AG707" s="838" t="s">
        <v>1711</v>
      </c>
      <c r="AH707" s="841" t="s">
        <v>1256</v>
      </c>
      <c r="AI707" s="841" t="s">
        <v>4208</v>
      </c>
      <c r="AJ707" s="152" t="s">
        <v>1438</v>
      </c>
      <c r="AK707" s="255" t="s">
        <v>560</v>
      </c>
      <c r="AL707" s="838" t="s">
        <v>1508</v>
      </c>
      <c r="AM707" s="279" t="s">
        <v>3873</v>
      </c>
      <c r="AN707" s="161" t="str">
        <f t="shared" ca="1" si="131"/>
        <v>TERMINO</v>
      </c>
      <c r="AO707" s="284" t="s">
        <v>2722</v>
      </c>
      <c r="AP707" s="406"/>
      <c r="AQ707" s="819" t="str">
        <f>IFERROR(VLOOKUP(E707,'liquidaciones '!$B$2:$C$1048576,2,0),"NO")</f>
        <v>LIQUIDADO</v>
      </c>
      <c r="AR707" s="909" t="str">
        <f>IFERROR(VLOOKUP(E707,'liquidaciones '!$B$2:$I$1048576,8,0),"")</f>
        <v>JUAN DIEGO ESPITIA</v>
      </c>
      <c r="AS707" s="406"/>
      <c r="AT707" s="156" t="str">
        <f t="shared" ca="1" si="132"/>
        <v>SI</v>
      </c>
      <c r="AU707" s="982" t="s">
        <v>4209</v>
      </c>
      <c r="AV707" s="406" t="s">
        <v>3778</v>
      </c>
      <c r="AW707" s="930" t="s">
        <v>560</v>
      </c>
      <c r="AX707" s="928"/>
      <c r="AY707" s="275"/>
    </row>
    <row r="708" spans="3:51" ht="20.399999999999999" x14ac:dyDescent="0.3">
      <c r="C708" s="837">
        <v>242</v>
      </c>
      <c r="D708" s="837"/>
      <c r="E708" s="120" t="s">
        <v>4391</v>
      </c>
      <c r="F708" s="414" t="s">
        <v>186</v>
      </c>
      <c r="G708" s="863">
        <v>800039398</v>
      </c>
      <c r="H708" s="969" t="s">
        <v>4392</v>
      </c>
      <c r="I708" s="84">
        <v>170000000</v>
      </c>
      <c r="J708" s="843" t="s">
        <v>4806</v>
      </c>
      <c r="K708" s="269">
        <v>2018</v>
      </c>
      <c r="L708" s="519">
        <v>43399</v>
      </c>
      <c r="M708" s="519">
        <v>43411</v>
      </c>
      <c r="N708" s="519">
        <v>43530</v>
      </c>
      <c r="O708" s="1099" t="str">
        <f>IF(+Modificaciones!I708=0,"",VLOOKUP(E708,Modificaciones!$B$7:$I$2400,8,0))</f>
        <v/>
      </c>
      <c r="P708" s="115">
        <f>COUNTA(Modificaciones!J708,Modificaciones!L708,Modificaciones!N708,Modificaciones!P708)</f>
        <v>0</v>
      </c>
      <c r="Q708" s="116">
        <f>VLOOKUP(E708,Modificaciones!$B$7:$R$2300,17,0)</f>
        <v>0</v>
      </c>
      <c r="R708" s="117">
        <f>COUNTA(Modificaciones!T708,Modificaciones!V708,Modificaciones!X708,Modificaciones!Z708)</f>
        <v>0</v>
      </c>
      <c r="S708" s="118" t="str">
        <f>IF(Modificaciones!AA708=0,"",VLOOKUP(E708,Modificaciones!$B$7:$AA$2400,26,0))</f>
        <v/>
      </c>
      <c r="T708" s="119" t="str">
        <f>IF(Modificaciones!AB708=0,"",VLOOKUP(E708,Modificaciones!$B$7:$AB$2400,27,0))</f>
        <v/>
      </c>
      <c r="U708" s="1080" t="str">
        <f>+Modificaciones!AC708</f>
        <v/>
      </c>
      <c r="V708" s="825" t="str">
        <f>+Modificaciones!AK708</f>
        <v/>
      </c>
      <c r="W708" s="825">
        <f t="shared" si="127"/>
        <v>43530</v>
      </c>
      <c r="X708" s="59">
        <f t="shared" si="126"/>
        <v>170000000</v>
      </c>
      <c r="Y708" s="151">
        <f>VLOOKUP(E708,Modificaciones!$B$7:$BE$2300,56,0)</f>
        <v>170000000</v>
      </c>
      <c r="Z708" s="84">
        <f t="shared" si="136"/>
        <v>0</v>
      </c>
      <c r="AA708" s="283" t="s">
        <v>4393</v>
      </c>
      <c r="AB708" s="823">
        <f t="shared" si="137"/>
        <v>1</v>
      </c>
      <c r="AC708" s="40">
        <f t="shared" ca="1" si="128"/>
        <v>1</v>
      </c>
      <c r="AD708" s="41">
        <f t="shared" ca="1" si="129"/>
        <v>0</v>
      </c>
      <c r="AE708" s="181" t="str">
        <f t="shared" ca="1" si="130"/>
        <v/>
      </c>
      <c r="AF708" s="42" t="str">
        <f t="shared" si="138"/>
        <v>SI</v>
      </c>
      <c r="AG708" s="838" t="s">
        <v>1711</v>
      </c>
      <c r="AH708" s="841" t="s">
        <v>1256</v>
      </c>
      <c r="AI708" s="870" t="s">
        <v>4394</v>
      </c>
      <c r="AJ708" s="152" t="s">
        <v>1438</v>
      </c>
      <c r="AK708" s="255" t="s">
        <v>560</v>
      </c>
      <c r="AL708" s="838" t="s">
        <v>1508</v>
      </c>
      <c r="AM708" s="279" t="s">
        <v>3873</v>
      </c>
      <c r="AN708" s="161" t="str">
        <f t="shared" ca="1" si="131"/>
        <v>TERMINO</v>
      </c>
      <c r="AO708" s="160" t="s">
        <v>921</v>
      </c>
      <c r="AP708" s="406" t="s">
        <v>390</v>
      </c>
      <c r="AQ708" s="819" t="str">
        <f>IFERROR(VLOOKUP(E708,'liquidaciones '!$B$2:$C$1048576,2,0),"NO")</f>
        <v>LIQUIDADO</v>
      </c>
      <c r="AR708" s="909" t="str">
        <f>IFERROR(VLOOKUP(E708,'liquidaciones '!$B$2:$I$1048576,8,0),"")</f>
        <v>JUAN DIEGO ESPITIA</v>
      </c>
      <c r="AS708" s="406"/>
      <c r="AT708" s="156" t="str">
        <f t="shared" ca="1" si="132"/>
        <v>SI</v>
      </c>
      <c r="AU708" s="983" t="s">
        <v>4209</v>
      </c>
      <c r="AV708" s="406" t="s">
        <v>3778</v>
      </c>
      <c r="AW708" s="930" t="s">
        <v>560</v>
      </c>
      <c r="AX708" s="928"/>
      <c r="AY708" s="275"/>
    </row>
    <row r="709" spans="3:51" ht="28.8" x14ac:dyDescent="0.3">
      <c r="C709" s="837"/>
      <c r="D709" s="837"/>
      <c r="E709" s="120" t="s">
        <v>4395</v>
      </c>
      <c r="F709" s="414" t="s">
        <v>4396</v>
      </c>
      <c r="G709" s="863" t="s">
        <v>4397</v>
      </c>
      <c r="H709" s="969" t="s">
        <v>4415</v>
      </c>
      <c r="I709" s="84">
        <v>4141200</v>
      </c>
      <c r="J709" s="843" t="s">
        <v>4399</v>
      </c>
      <c r="K709" s="269">
        <v>2018</v>
      </c>
      <c r="L709" s="519">
        <v>43395</v>
      </c>
      <c r="M709" s="519">
        <v>43413</v>
      </c>
      <c r="N709" s="519">
        <v>43473</v>
      </c>
      <c r="O709" s="1099" t="str">
        <f>IF(+Modificaciones!I709=0,"",VLOOKUP(E709,Modificaciones!$B$7:$I$2400,8,0))</f>
        <v/>
      </c>
      <c r="P709" s="115">
        <f>COUNTA(Modificaciones!J709,Modificaciones!L709,Modificaciones!N709,Modificaciones!P709)</f>
        <v>0</v>
      </c>
      <c r="Q709" s="116">
        <f>VLOOKUP(E709,Modificaciones!$B$7:$R$2300,17,0)</f>
        <v>0</v>
      </c>
      <c r="R709" s="117">
        <f>COUNTA(Modificaciones!T709,Modificaciones!V709,Modificaciones!X709,Modificaciones!Z709)</f>
        <v>0</v>
      </c>
      <c r="S709" s="118" t="str">
        <f>IF(Modificaciones!AA709=0,"",VLOOKUP(E709,Modificaciones!$B$7:$AA$2400,26,0))</f>
        <v/>
      </c>
      <c r="T709" s="119" t="str">
        <f>IF(Modificaciones!AB709=0,"",VLOOKUP(E709,Modificaciones!$B$7:$AB$2400,27,0))</f>
        <v/>
      </c>
      <c r="U709" s="1080" t="str">
        <f>+Modificaciones!AC709</f>
        <v/>
      </c>
      <c r="V709" s="825" t="str">
        <f>+Modificaciones!AK709</f>
        <v/>
      </c>
      <c r="W709" s="825">
        <f t="shared" si="127"/>
        <v>43473</v>
      </c>
      <c r="X709" s="59">
        <f t="shared" si="126"/>
        <v>4141200</v>
      </c>
      <c r="Y709" s="151">
        <f>VLOOKUP(E709,Modificaciones!$B$7:$BE$2300,56,0)</f>
        <v>4141200</v>
      </c>
      <c r="Z709" s="84">
        <f t="shared" si="136"/>
        <v>0</v>
      </c>
      <c r="AA709" s="283" t="s">
        <v>1894</v>
      </c>
      <c r="AB709" s="823">
        <f t="shared" si="137"/>
        <v>1</v>
      </c>
      <c r="AC709" s="40">
        <f t="shared" ca="1" si="128"/>
        <v>1</v>
      </c>
      <c r="AD709" s="41">
        <f t="shared" ca="1" si="129"/>
        <v>0</v>
      </c>
      <c r="AE709" s="181" t="str">
        <f t="shared" ca="1" si="130"/>
        <v/>
      </c>
      <c r="AF709" s="42" t="str">
        <f t="shared" si="138"/>
        <v>SI</v>
      </c>
      <c r="AG709" s="838" t="s">
        <v>1711</v>
      </c>
      <c r="AH709" s="841" t="s">
        <v>1255</v>
      </c>
      <c r="AI709" s="870" t="s">
        <v>4398</v>
      </c>
      <c r="AJ709" s="152" t="s">
        <v>1434</v>
      </c>
      <c r="AK709" s="255" t="s">
        <v>560</v>
      </c>
      <c r="AL709" s="406" t="s">
        <v>4333</v>
      </c>
      <c r="AM709" s="279" t="s">
        <v>3873</v>
      </c>
      <c r="AN709" s="161" t="str">
        <f t="shared" ca="1" si="131"/>
        <v>TERMINO</v>
      </c>
      <c r="AO709" s="284" t="s">
        <v>576</v>
      </c>
      <c r="AP709" s="406" t="s">
        <v>390</v>
      </c>
      <c r="AQ709" s="819" t="str">
        <f>IFERROR(VLOOKUP(E709,'liquidaciones '!$B$2:$C$1048576,2,0),"NO")</f>
        <v>LIQUIDADO</v>
      </c>
      <c r="AR709" s="909" t="str">
        <f>IFERROR(VLOOKUP(E709,'liquidaciones '!$B$2:$I$1048576,8,0),"")</f>
        <v>JUAN DIEGO ESPÍTIA</v>
      </c>
      <c r="AS709" s="406"/>
      <c r="AT709" s="156" t="str">
        <f t="shared" ca="1" si="132"/>
        <v>SI</v>
      </c>
      <c r="AU709" s="406" t="s">
        <v>4805</v>
      </c>
      <c r="AV709" s="406" t="s">
        <v>4333</v>
      </c>
      <c r="AW709" s="930" t="s">
        <v>560</v>
      </c>
      <c r="AX709" s="928"/>
      <c r="AY709" s="275"/>
    </row>
    <row r="710" spans="3:51" ht="28.8" x14ac:dyDescent="0.3">
      <c r="C710" s="837"/>
      <c r="D710" s="837"/>
      <c r="E710" s="120" t="s">
        <v>4404</v>
      </c>
      <c r="F710" s="414" t="s">
        <v>4234</v>
      </c>
      <c r="G710" s="863" t="s">
        <v>4235</v>
      </c>
      <c r="H710" s="969" t="s">
        <v>4405</v>
      </c>
      <c r="I710" s="84">
        <v>9127570</v>
      </c>
      <c r="J710" s="843" t="s">
        <v>4406</v>
      </c>
      <c r="K710" s="269">
        <v>2018</v>
      </c>
      <c r="L710" s="519">
        <v>43406</v>
      </c>
      <c r="M710" s="519">
        <v>43406</v>
      </c>
      <c r="N710" s="519">
        <v>43417</v>
      </c>
      <c r="O710" s="1099" t="str">
        <f>IF(+Modificaciones!I710=0,"",VLOOKUP(E710,Modificaciones!$B$7:$I$2400,8,0))</f>
        <v/>
      </c>
      <c r="P710" s="115">
        <f>COUNTA(Modificaciones!J710,Modificaciones!L710,Modificaciones!N710,Modificaciones!P710)</f>
        <v>1</v>
      </c>
      <c r="Q710" s="116">
        <f>VLOOKUP(E710,Modificaciones!$B$7:$R$2300,17,0)</f>
        <v>188804</v>
      </c>
      <c r="R710" s="117">
        <f>COUNTA(Modificaciones!T710,Modificaciones!V710,Modificaciones!X710,Modificaciones!Z710)</f>
        <v>1</v>
      </c>
      <c r="S710" s="118" t="str">
        <f>IF(Modificaciones!AA710=0,"",VLOOKUP(E710,Modificaciones!$B$7:$AA$2400,26,0))</f>
        <v>8 días</v>
      </c>
      <c r="T710" s="119">
        <f>IF(Modificaciones!AB710=0,"",VLOOKUP(E710,Modificaciones!$B$7:$AB$2400,27,0))</f>
        <v>43427</v>
      </c>
      <c r="U710" s="1080" t="str">
        <f>+Modificaciones!AC710</f>
        <v/>
      </c>
      <c r="V710" s="825" t="str">
        <f>+Modificaciones!AK710</f>
        <v/>
      </c>
      <c r="W710" s="825">
        <f t="shared" si="127"/>
        <v>43427</v>
      </c>
      <c r="X710" s="59">
        <f t="shared" si="126"/>
        <v>9316374</v>
      </c>
      <c r="Y710" s="151">
        <f>VLOOKUP(E710,Modificaciones!$B$7:$BE$2300,56,0)</f>
        <v>9316374</v>
      </c>
      <c r="Z710" s="84">
        <f t="shared" si="136"/>
        <v>0</v>
      </c>
      <c r="AA710" s="283" t="s">
        <v>1894</v>
      </c>
      <c r="AB710" s="823">
        <f t="shared" si="137"/>
        <v>1</v>
      </c>
      <c r="AC710" s="40">
        <f t="shared" ca="1" si="128"/>
        <v>1</v>
      </c>
      <c r="AD710" s="41">
        <f t="shared" ca="1" si="129"/>
        <v>0</v>
      </c>
      <c r="AE710" s="181" t="str">
        <f t="shared" ca="1" si="130"/>
        <v/>
      </c>
      <c r="AF710" s="42" t="str">
        <f t="shared" si="138"/>
        <v>SI</v>
      </c>
      <c r="AG710" s="838" t="s">
        <v>1711</v>
      </c>
      <c r="AH710" s="841" t="s">
        <v>1256</v>
      </c>
      <c r="AI710" s="870" t="s">
        <v>4407</v>
      </c>
      <c r="AJ710" s="152"/>
      <c r="AL710" s="838"/>
      <c r="AM710" s="279" t="s">
        <v>3873</v>
      </c>
      <c r="AN710" s="161" t="str">
        <f t="shared" ca="1" si="131"/>
        <v>TERMINO</v>
      </c>
      <c r="AO710" s="284" t="s">
        <v>2722</v>
      </c>
      <c r="AP710" s="406"/>
      <c r="AQ710" s="819" t="str">
        <f>IFERROR(VLOOKUP(E710,'liquidaciones '!$B$2:$C$1048576,2,0),"NO")</f>
        <v>LIQUIDADO</v>
      </c>
      <c r="AR710" s="909" t="str">
        <f>IFERROR(VLOOKUP(E710,'liquidaciones '!$B$2:$I$1048576,8,0),"")</f>
        <v>JUAN DIEGO ESPÍTIA</v>
      </c>
      <c r="AS710" s="406"/>
      <c r="AT710" s="156" t="str">
        <f t="shared" ca="1" si="132"/>
        <v>SI</v>
      </c>
      <c r="AU710" s="978" t="s">
        <v>4209</v>
      </c>
      <c r="AV710" s="406"/>
      <c r="AW710" s="930" t="s">
        <v>560</v>
      </c>
      <c r="AX710" s="928"/>
      <c r="AY710" s="275"/>
    </row>
    <row r="711" spans="3:51" ht="28.8" x14ac:dyDescent="0.3">
      <c r="C711" s="837"/>
      <c r="D711" s="837"/>
      <c r="E711" s="120" t="s">
        <v>4420</v>
      </c>
      <c r="F711" s="414" t="s">
        <v>3636</v>
      </c>
      <c r="G711" s="863">
        <v>805006014</v>
      </c>
      <c r="H711" s="969" t="s">
        <v>4421</v>
      </c>
      <c r="I711" s="84">
        <v>2166888</v>
      </c>
      <c r="J711" s="843" t="s">
        <v>4422</v>
      </c>
      <c r="K711" s="269">
        <v>2018</v>
      </c>
      <c r="L711" s="519">
        <v>43362</v>
      </c>
      <c r="M711" s="519">
        <v>43419</v>
      </c>
      <c r="N711" s="519">
        <v>43783</v>
      </c>
      <c r="O711" s="1099" t="str">
        <f>IF(+Modificaciones!I711=0,"",VLOOKUP(E711,Modificaciones!$B$7:$I$2400,8,0))</f>
        <v/>
      </c>
      <c r="P711" s="115">
        <f>COUNTA(Modificaciones!J711,Modificaciones!L711,Modificaciones!N711,Modificaciones!P711)</f>
        <v>0</v>
      </c>
      <c r="Q711" s="116">
        <f>VLOOKUP(E711,Modificaciones!$B$7:$R$2300,17,0)</f>
        <v>0</v>
      </c>
      <c r="R711" s="117">
        <f>COUNTA(Modificaciones!T711,Modificaciones!V711,Modificaciones!X711,Modificaciones!Z711)</f>
        <v>0</v>
      </c>
      <c r="S711" s="118" t="str">
        <f>IF(Modificaciones!AA711=0,"",VLOOKUP(E711,Modificaciones!$B$7:$AA$2400,26,0))</f>
        <v/>
      </c>
      <c r="T711" s="119" t="str">
        <f>IF(Modificaciones!AB711=0,"",VLOOKUP(E711,Modificaciones!$B$7:$AB$2400,27,0))</f>
        <v/>
      </c>
      <c r="U711" s="1080" t="str">
        <f>+Modificaciones!AC711</f>
        <v/>
      </c>
      <c r="V711" s="825" t="str">
        <f>+Modificaciones!AK711</f>
        <v/>
      </c>
      <c r="W711" s="825">
        <f t="shared" si="127"/>
        <v>43783</v>
      </c>
      <c r="X711" s="59">
        <f t="shared" ref="X711:X774" si="139">I711+Q711</f>
        <v>2166888</v>
      </c>
      <c r="Y711" s="151">
        <f>VLOOKUP(E711,Modificaciones!$B$7:$BE$2300,56,0)</f>
        <v>2150577</v>
      </c>
      <c r="Z711" s="84">
        <f t="shared" si="136"/>
        <v>16311</v>
      </c>
      <c r="AA711" s="283" t="s">
        <v>1894</v>
      </c>
      <c r="AB711" s="823">
        <f t="shared" si="137"/>
        <v>0.9924726151051646</v>
      </c>
      <c r="AC711" s="40">
        <f t="shared" ca="1" si="128"/>
        <v>1</v>
      </c>
      <c r="AD711" s="41">
        <f t="shared" ca="1" si="129"/>
        <v>7.5273848948353983E-3</v>
      </c>
      <c r="AE711" s="181" t="str">
        <f t="shared" ca="1" si="130"/>
        <v/>
      </c>
      <c r="AF711" s="42" t="str">
        <f t="shared" si="138"/>
        <v>NO</v>
      </c>
      <c r="AG711" s="732" t="s">
        <v>1713</v>
      </c>
      <c r="AH711" s="152" t="s">
        <v>1255</v>
      </c>
      <c r="AI711" s="152" t="s">
        <v>1132</v>
      </c>
      <c r="AJ711" s="152" t="s">
        <v>1441</v>
      </c>
      <c r="AK711" s="255" t="s">
        <v>559</v>
      </c>
      <c r="AL711" s="838"/>
      <c r="AM711" s="279" t="s">
        <v>4242</v>
      </c>
      <c r="AN711" s="161" t="str">
        <f t="shared" ca="1" si="131"/>
        <v>TERMINO</v>
      </c>
      <c r="AO711" s="160" t="s">
        <v>576</v>
      </c>
      <c r="AP711" s="155" t="s">
        <v>390</v>
      </c>
      <c r="AQ711" s="819" t="str">
        <f>IFERROR(VLOOKUP(E711,'liquidaciones '!$B$2:$C$1048576,2,0),"NO")</f>
        <v>EN TRÁMITE</v>
      </c>
      <c r="AR711" s="909" t="str">
        <f>IFERROR(VLOOKUP(E711,'liquidaciones '!$B$2:$I$1048576,8,0),"")</f>
        <v>JUAN DIEGO ESPITIA</v>
      </c>
      <c r="AS711" s="406"/>
      <c r="AT711" s="156" t="str">
        <f t="shared" ca="1" si="132"/>
        <v>SI</v>
      </c>
      <c r="AU711" s="978" t="s">
        <v>5042</v>
      </c>
      <c r="AV711" s="406" t="s">
        <v>5044</v>
      </c>
      <c r="AW711" s="290" t="s">
        <v>560</v>
      </c>
      <c r="AX711" s="928"/>
      <c r="AY711" s="275" t="s">
        <v>5182</v>
      </c>
    </row>
    <row r="712" spans="3:51" ht="30.6" x14ac:dyDescent="0.3">
      <c r="C712" s="837"/>
      <c r="D712" s="837"/>
      <c r="E712" s="120" t="s">
        <v>4423</v>
      </c>
      <c r="F712" s="414" t="s">
        <v>4424</v>
      </c>
      <c r="G712" s="863">
        <v>36454156</v>
      </c>
      <c r="H712" s="969" t="s">
        <v>4427</v>
      </c>
      <c r="I712" s="84">
        <v>23436000</v>
      </c>
      <c r="J712" s="843" t="s">
        <v>4425</v>
      </c>
      <c r="K712" s="269">
        <v>2018</v>
      </c>
      <c r="L712" s="519">
        <v>43413</v>
      </c>
      <c r="M712" s="519">
        <v>43419</v>
      </c>
      <c r="N712" s="519">
        <v>43496</v>
      </c>
      <c r="O712" s="1099" t="str">
        <f>IF(+Modificaciones!I712=0,"",VLOOKUP(E712,Modificaciones!$B$7:$I$2400,8,0))</f>
        <v/>
      </c>
      <c r="P712" s="115">
        <f>COUNTA(Modificaciones!J712,Modificaciones!L712,Modificaciones!N712,Modificaciones!P712)</f>
        <v>1</v>
      </c>
      <c r="Q712" s="116">
        <f>VLOOKUP(E712,Modificaciones!$B$7:$R$2300,17,0)</f>
        <v>11718000</v>
      </c>
      <c r="R712" s="117">
        <f>COUNTA(Modificaciones!T712,Modificaciones!V712,Modificaciones!X712,Modificaciones!Z712)</f>
        <v>1</v>
      </c>
      <c r="S712" s="118" t="str">
        <f>IF(Modificaciones!AA712=0,"",VLOOKUP(E712,Modificaciones!$B$7:$AA$2400,26,0))</f>
        <v>4 meses y 15 días</v>
      </c>
      <c r="T712" s="119">
        <f>IF(Modificaciones!AB712=0,"",VLOOKUP(E712,Modificaciones!$B$7:$AB$2400,27,0))</f>
        <v>43554</v>
      </c>
      <c r="U712" s="1080" t="str">
        <f>+Modificaciones!AC712</f>
        <v/>
      </c>
      <c r="V712" s="825" t="str">
        <f>+Modificaciones!AK712</f>
        <v/>
      </c>
      <c r="W712" s="825">
        <f t="shared" ref="W712:W775" si="140">MAX(N712,O712,T712,V712)</f>
        <v>43554</v>
      </c>
      <c r="X712" s="59">
        <f t="shared" si="139"/>
        <v>35154000</v>
      </c>
      <c r="Y712" s="151">
        <f>VLOOKUP(E712,Modificaciones!$B$7:$BE$2300,56,0)</f>
        <v>35154000</v>
      </c>
      <c r="Z712" s="84">
        <f t="shared" si="136"/>
        <v>0</v>
      </c>
      <c r="AA712" s="283" t="s">
        <v>1094</v>
      </c>
      <c r="AB712" s="823">
        <f t="shared" si="137"/>
        <v>1</v>
      </c>
      <c r="AC712" s="40">
        <f t="shared" ref="AC712:AC775" ca="1" si="141">IF((($F$3-M712)*100%/(W712-M712))&gt;100%,100%,(($F$3-M712)*100%/(W712-M712)))</f>
        <v>1</v>
      </c>
      <c r="AD712" s="41">
        <f t="shared" ref="AD712:AD775" ca="1" si="142">AC712-AB712</f>
        <v>0</v>
      </c>
      <c r="AE712" s="181" t="str">
        <f t="shared" ref="AE712:AE775" ca="1" si="143">IF(AC712&lt;100%,W712-$F$3,"")</f>
        <v/>
      </c>
      <c r="AF712" s="42" t="str">
        <f t="shared" si="138"/>
        <v>SI</v>
      </c>
      <c r="AG712" s="732" t="s">
        <v>5773</v>
      </c>
      <c r="AH712" s="152" t="s">
        <v>1255</v>
      </c>
      <c r="AI712" s="255" t="s">
        <v>4426</v>
      </c>
      <c r="AJ712" s="838"/>
      <c r="AK712" s="255" t="s">
        <v>559</v>
      </c>
      <c r="AL712" s="838"/>
      <c r="AM712" s="279" t="s">
        <v>4242</v>
      </c>
      <c r="AN712" s="161" t="str">
        <f t="shared" ref="AN712:AN775" ca="1" si="144">IF(W712&gt;=$F$3,"EN EJECUCIÓN","TERMINO")</f>
        <v>TERMINO</v>
      </c>
      <c r="AO712" s="284" t="s">
        <v>582</v>
      </c>
      <c r="AP712" s="406" t="s">
        <v>391</v>
      </c>
      <c r="AQ712" s="819" t="str">
        <f>IFERROR(VLOOKUP(E712,'liquidaciones '!$B$2:$C$1048576,2,0),"NO")</f>
        <v>LIQUIDADO</v>
      </c>
      <c r="AR712" s="909" t="str">
        <f>IFERROR(VLOOKUP(E712,'liquidaciones '!$B$2:$I$1048576,8,0),"")</f>
        <v>MARTHA SANCHEZ</v>
      </c>
      <c r="AS712" s="406"/>
      <c r="AT712" s="156" t="str">
        <f t="shared" ref="AT712:AT775" ca="1" si="145">IF((TODAY()-W712&lt;900),"SI","NO")</f>
        <v>SI</v>
      </c>
      <c r="AU712" s="156" t="s">
        <v>4245</v>
      </c>
      <c r="AV712" s="406"/>
      <c r="AW712" s="930" t="s">
        <v>3938</v>
      </c>
      <c r="AX712" s="928"/>
      <c r="AY712" s="275"/>
    </row>
    <row r="713" spans="3:51" ht="51" x14ac:dyDescent="0.3">
      <c r="C713" s="837"/>
      <c r="D713" s="837"/>
      <c r="E713" s="120" t="s">
        <v>4430</v>
      </c>
      <c r="F713" s="414" t="s">
        <v>4431</v>
      </c>
      <c r="G713" s="863">
        <v>800200439</v>
      </c>
      <c r="H713" s="969" t="s">
        <v>4432</v>
      </c>
      <c r="I713" s="84">
        <v>7176890</v>
      </c>
      <c r="J713" s="843" t="s">
        <v>4433</v>
      </c>
      <c r="K713" s="269">
        <v>2018</v>
      </c>
      <c r="L713" s="519">
        <v>43412</v>
      </c>
      <c r="M713" s="519">
        <v>43424</v>
      </c>
      <c r="N713" s="519">
        <v>43515</v>
      </c>
      <c r="O713" s="1099" t="str">
        <f>IF(+Modificaciones!I713=0,"",VLOOKUP(E713,Modificaciones!$B$7:$I$2400,8,0))</f>
        <v/>
      </c>
      <c r="P713" s="115">
        <f>COUNTA(Modificaciones!J713,Modificaciones!L713,Modificaciones!N713,Modificaciones!P713)</f>
        <v>0</v>
      </c>
      <c r="Q713" s="116">
        <f>VLOOKUP(E713,Modificaciones!$B$7:$R$2300,17,0)</f>
        <v>0</v>
      </c>
      <c r="R713" s="117">
        <f>COUNTA(Modificaciones!T713,Modificaciones!V713,Modificaciones!X713,Modificaciones!Z713)</f>
        <v>0</v>
      </c>
      <c r="S713" s="118" t="str">
        <f>IF(Modificaciones!AA713=0,"",VLOOKUP(E713,Modificaciones!$B$7:$AA$2400,26,0))</f>
        <v/>
      </c>
      <c r="T713" s="119" t="str">
        <f>IF(Modificaciones!AB713=0,"",VLOOKUP(E713,Modificaciones!$B$7:$AB$2400,27,0))</f>
        <v/>
      </c>
      <c r="U713" s="1080" t="str">
        <f>+Modificaciones!AC713</f>
        <v/>
      </c>
      <c r="V713" s="825" t="str">
        <f>+Modificaciones!AK713</f>
        <v/>
      </c>
      <c r="W713" s="825">
        <f t="shared" si="140"/>
        <v>43515</v>
      </c>
      <c r="X713" s="59">
        <f t="shared" si="139"/>
        <v>7176890</v>
      </c>
      <c r="Y713" s="151">
        <f>VLOOKUP(E713,Modificaciones!$B$7:$BE$2300,56,0)</f>
        <v>7176890</v>
      </c>
      <c r="Z713" s="84">
        <f t="shared" si="136"/>
        <v>0</v>
      </c>
      <c r="AA713" s="287" t="s">
        <v>4434</v>
      </c>
      <c r="AB713" s="823">
        <f t="shared" si="137"/>
        <v>1</v>
      </c>
      <c r="AC713" s="40">
        <f t="shared" ca="1" si="141"/>
        <v>1</v>
      </c>
      <c r="AD713" s="41">
        <f t="shared" ca="1" si="142"/>
        <v>0</v>
      </c>
      <c r="AE713" s="181" t="str">
        <f t="shared" ca="1" si="143"/>
        <v/>
      </c>
      <c r="AF713" s="42" t="str">
        <f t="shared" si="138"/>
        <v>SI</v>
      </c>
      <c r="AG713" s="838" t="s">
        <v>1711</v>
      </c>
      <c r="AH713" s="841" t="s">
        <v>1256</v>
      </c>
      <c r="AI713" s="870" t="s">
        <v>4435</v>
      </c>
      <c r="AJ713" s="152" t="s">
        <v>1438</v>
      </c>
      <c r="AK713" s="255" t="s">
        <v>560</v>
      </c>
      <c r="AL713" s="838" t="s">
        <v>1508</v>
      </c>
      <c r="AM713" s="279" t="s">
        <v>3873</v>
      </c>
      <c r="AN713" s="161" t="str">
        <f t="shared" ca="1" si="144"/>
        <v>TERMINO</v>
      </c>
      <c r="AO713" s="160" t="s">
        <v>576</v>
      </c>
      <c r="AP713" s="406" t="s">
        <v>390</v>
      </c>
      <c r="AQ713" s="819" t="str">
        <f>IFERROR(VLOOKUP(E713,'liquidaciones '!$B$2:$C$1048576,2,0),"NO")</f>
        <v>LIQUIDADO</v>
      </c>
      <c r="AR713" s="909" t="str">
        <f>IFERROR(VLOOKUP(E713,'liquidaciones '!$B$2:$I$1048576,8,0),"")</f>
        <v>JUAN DIEGO ESPITIA</v>
      </c>
      <c r="AS713" s="406"/>
      <c r="AT713" s="156" t="str">
        <f t="shared" ca="1" si="145"/>
        <v>SI</v>
      </c>
      <c r="AU713" s="978" t="s">
        <v>4209</v>
      </c>
      <c r="AV713" s="406" t="s">
        <v>3778</v>
      </c>
      <c r="AW713" s="930" t="s">
        <v>560</v>
      </c>
      <c r="AX713" s="928"/>
      <c r="AY713" s="275"/>
    </row>
    <row r="714" spans="3:51" ht="81.599999999999994" x14ac:dyDescent="0.3">
      <c r="C714" s="837"/>
      <c r="D714" s="837"/>
      <c r="E714" s="120" t="s">
        <v>4436</v>
      </c>
      <c r="F714" s="414" t="s">
        <v>4437</v>
      </c>
      <c r="G714" s="863">
        <v>901227876</v>
      </c>
      <c r="H714" s="969" t="s">
        <v>4438</v>
      </c>
      <c r="I714" s="84">
        <v>375000000</v>
      </c>
      <c r="J714" s="843" t="s">
        <v>4439</v>
      </c>
      <c r="K714" s="269">
        <v>2018</v>
      </c>
      <c r="L714" s="519">
        <v>43413</v>
      </c>
      <c r="M714" s="519">
        <v>43425</v>
      </c>
      <c r="N714" s="519">
        <v>43516</v>
      </c>
      <c r="O714" s="1099" t="str">
        <f>IF(+Modificaciones!I714=0,"",VLOOKUP(E714,Modificaciones!$B$7:$I$2400,8,0))</f>
        <v/>
      </c>
      <c r="P714" s="115">
        <f>COUNTA(Modificaciones!J714,Modificaciones!L714,Modificaciones!N714,Modificaciones!P714)</f>
        <v>0</v>
      </c>
      <c r="Q714" s="116">
        <f>VLOOKUP(E714,Modificaciones!$B$7:$R$2300,17,0)</f>
        <v>0</v>
      </c>
      <c r="R714" s="117">
        <f>COUNTA(Modificaciones!T714,Modificaciones!V714,Modificaciones!X714,Modificaciones!Z714)</f>
        <v>0</v>
      </c>
      <c r="S714" s="118" t="str">
        <f>IF(Modificaciones!AA714=0,"",VLOOKUP(E714,Modificaciones!$B$7:$AA$2400,26,0))</f>
        <v/>
      </c>
      <c r="T714" s="119" t="str">
        <f>IF(Modificaciones!AB714=0,"",VLOOKUP(E714,Modificaciones!$B$7:$AB$2400,27,0))</f>
        <v/>
      </c>
      <c r="U714" s="1080" t="str">
        <f>+Modificaciones!AC714</f>
        <v/>
      </c>
      <c r="V714" s="825" t="str">
        <f>+Modificaciones!AK714</f>
        <v/>
      </c>
      <c r="W714" s="825">
        <f t="shared" si="140"/>
        <v>43516</v>
      </c>
      <c r="X714" s="59">
        <f t="shared" si="139"/>
        <v>375000000</v>
      </c>
      <c r="Y714" s="151">
        <f>VLOOKUP(E714,Modificaciones!$B$7:$BE$2300,56,0)</f>
        <v>375000000</v>
      </c>
      <c r="Z714" s="84">
        <f t="shared" si="136"/>
        <v>0</v>
      </c>
      <c r="AA714" s="869" t="s">
        <v>4441</v>
      </c>
      <c r="AB714" s="823">
        <f t="shared" si="137"/>
        <v>1</v>
      </c>
      <c r="AC714" s="40">
        <f t="shared" ca="1" si="141"/>
        <v>1</v>
      </c>
      <c r="AD714" s="41">
        <f t="shared" ca="1" si="142"/>
        <v>0</v>
      </c>
      <c r="AE714" s="181" t="str">
        <f t="shared" ca="1" si="143"/>
        <v/>
      </c>
      <c r="AF714" s="42" t="str">
        <f t="shared" si="138"/>
        <v>SI</v>
      </c>
      <c r="AG714" s="838" t="s">
        <v>1711</v>
      </c>
      <c r="AH714" s="841" t="s">
        <v>1256</v>
      </c>
      <c r="AI714" s="870" t="s">
        <v>4440</v>
      </c>
      <c r="AJ714" s="152" t="s">
        <v>1438</v>
      </c>
      <c r="AK714" s="255" t="s">
        <v>560</v>
      </c>
      <c r="AL714" s="838" t="s">
        <v>1508</v>
      </c>
      <c r="AM714" s="279" t="s">
        <v>3873</v>
      </c>
      <c r="AN714" s="161" t="str">
        <f t="shared" ca="1" si="144"/>
        <v>TERMINO</v>
      </c>
      <c r="AO714" s="160" t="s">
        <v>921</v>
      </c>
      <c r="AP714" s="406" t="s">
        <v>391</v>
      </c>
      <c r="AQ714" s="819" t="str">
        <f>IFERROR(VLOOKUP(E714,'liquidaciones '!$B$2:$C$1048576,2,0),"NO")</f>
        <v>LIQUIDADO</v>
      </c>
      <c r="AR714" s="909" t="str">
        <f>IFERROR(VLOOKUP(E714,'liquidaciones '!$B$2:$I$1048576,8,0),"")</f>
        <v>JUAN DIEGO ESPÍTIA</v>
      </c>
      <c r="AS714" s="406"/>
      <c r="AT714" s="156" t="str">
        <f t="shared" ca="1" si="145"/>
        <v>SI</v>
      </c>
      <c r="AU714" s="978" t="s">
        <v>4209</v>
      </c>
      <c r="AV714" s="406" t="s">
        <v>3778</v>
      </c>
      <c r="AW714" s="930" t="s">
        <v>560</v>
      </c>
      <c r="AX714" s="928"/>
      <c r="AY714" s="275"/>
    </row>
    <row r="715" spans="3:51" ht="28.8" x14ac:dyDescent="0.3">
      <c r="C715" s="837"/>
      <c r="D715" s="837"/>
      <c r="E715" s="120" t="s">
        <v>4442</v>
      </c>
      <c r="F715" s="414" t="s">
        <v>4234</v>
      </c>
      <c r="G715" s="863" t="s">
        <v>4235</v>
      </c>
      <c r="H715" s="969" t="s">
        <v>4443</v>
      </c>
      <c r="I715" s="84">
        <v>17713692</v>
      </c>
      <c r="J715" s="843" t="s">
        <v>4444</v>
      </c>
      <c r="K715" s="269">
        <v>2018</v>
      </c>
      <c r="L715" s="519">
        <v>43417</v>
      </c>
      <c r="M715" s="519">
        <v>43417</v>
      </c>
      <c r="N715" s="519">
        <v>43424</v>
      </c>
      <c r="O715" s="1099" t="str">
        <f>IF(+Modificaciones!I715=0,"",VLOOKUP(E715,Modificaciones!$B$7:$I$2400,8,0))</f>
        <v/>
      </c>
      <c r="P715" s="115">
        <f>COUNTA(Modificaciones!J715,Modificaciones!L715,Modificaciones!N715,Modificaciones!P715)</f>
        <v>0</v>
      </c>
      <c r="Q715" s="116">
        <f>VLOOKUP(E715,Modificaciones!$B$7:$R$2300,17,0)</f>
        <v>0</v>
      </c>
      <c r="R715" s="117">
        <f>COUNTA(Modificaciones!T715,Modificaciones!V715,Modificaciones!X715,Modificaciones!Z715)</f>
        <v>0</v>
      </c>
      <c r="S715" s="118" t="str">
        <f>IF(Modificaciones!AA715=0,"",VLOOKUP(E715,Modificaciones!$B$7:$AA$2400,26,0))</f>
        <v/>
      </c>
      <c r="T715" s="119" t="str">
        <f>IF(Modificaciones!AB715=0,"",VLOOKUP(E715,Modificaciones!$B$7:$AB$2400,27,0))</f>
        <v/>
      </c>
      <c r="U715" s="1080" t="str">
        <f>+Modificaciones!AC715</f>
        <v/>
      </c>
      <c r="V715" s="825" t="str">
        <f>+Modificaciones!AK715</f>
        <v/>
      </c>
      <c r="W715" s="825">
        <f t="shared" si="140"/>
        <v>43424</v>
      </c>
      <c r="X715" s="59">
        <f t="shared" si="139"/>
        <v>17713692</v>
      </c>
      <c r="Y715" s="151">
        <f>VLOOKUP(E715,Modificaciones!$B$7:$BE$2300,56,0)</f>
        <v>17615413</v>
      </c>
      <c r="Z715" s="84">
        <f t="shared" si="136"/>
        <v>98279</v>
      </c>
      <c r="AA715" s="283" t="s">
        <v>1894</v>
      </c>
      <c r="AB715" s="823">
        <f t="shared" si="137"/>
        <v>0.99445180598149729</v>
      </c>
      <c r="AC715" s="40">
        <f t="shared" ca="1" si="141"/>
        <v>1</v>
      </c>
      <c r="AD715" s="41">
        <f t="shared" ca="1" si="142"/>
        <v>5.5481940185027057E-3</v>
      </c>
      <c r="AE715" s="181" t="str">
        <f t="shared" ca="1" si="143"/>
        <v/>
      </c>
      <c r="AF715" s="42" t="str">
        <f t="shared" si="138"/>
        <v>NO</v>
      </c>
      <c r="AG715" s="838" t="s">
        <v>1711</v>
      </c>
      <c r="AH715" s="841" t="s">
        <v>1255</v>
      </c>
      <c r="AI715" s="870" t="s">
        <v>4445</v>
      </c>
      <c r="AJ715" s="152" t="s">
        <v>1441</v>
      </c>
      <c r="AK715" s="255" t="s">
        <v>559</v>
      </c>
      <c r="AL715" s="838"/>
      <c r="AM715" s="279" t="s">
        <v>4242</v>
      </c>
      <c r="AN715" s="161" t="str">
        <f t="shared" ca="1" si="144"/>
        <v>TERMINO</v>
      </c>
      <c r="AO715" s="284" t="s">
        <v>2722</v>
      </c>
      <c r="AP715" s="406"/>
      <c r="AQ715" s="819" t="str">
        <f>IFERROR(VLOOKUP(E715,'liquidaciones '!$B$2:$C$1048576,2,0),"NO")</f>
        <v>DEVUELTO</v>
      </c>
      <c r="AR715" s="909" t="str">
        <f>IFERROR(VLOOKUP(E715,'liquidaciones '!$B$2:$I$1048576,8,0),"")</f>
        <v>GABINO HERNANDEZ</v>
      </c>
      <c r="AS715" s="406"/>
      <c r="AT715" s="156" t="str">
        <f t="shared" ca="1" si="145"/>
        <v>SI</v>
      </c>
      <c r="AU715" s="978" t="s">
        <v>4299</v>
      </c>
      <c r="AV715" s="406"/>
      <c r="AW715" s="930" t="s">
        <v>3938</v>
      </c>
      <c r="AX715" s="928"/>
      <c r="AY715" s="275"/>
    </row>
    <row r="716" spans="3:51" ht="30.6" x14ac:dyDescent="0.3">
      <c r="C716" s="837">
        <v>181</v>
      </c>
      <c r="D716" s="837"/>
      <c r="E716" s="120" t="s">
        <v>4446</v>
      </c>
      <c r="F716" s="414" t="s">
        <v>152</v>
      </c>
      <c r="G716" s="863">
        <v>800015583</v>
      </c>
      <c r="H716" s="969" t="s">
        <v>4447</v>
      </c>
      <c r="I716" s="84">
        <v>147499998</v>
      </c>
      <c r="J716" s="843" t="s">
        <v>4448</v>
      </c>
      <c r="K716" s="269">
        <v>2018</v>
      </c>
      <c r="L716" s="519">
        <v>43411</v>
      </c>
      <c r="M716" s="519">
        <v>43425</v>
      </c>
      <c r="N716" s="519">
        <v>43605</v>
      </c>
      <c r="O716" s="1099" t="str">
        <f>IF(+Modificaciones!I716=0,"",VLOOKUP(E716,Modificaciones!$B$7:$I$2400,8,0))</f>
        <v/>
      </c>
      <c r="P716" s="115">
        <f>COUNTA(Modificaciones!J716,Modificaciones!L716,Modificaciones!N716,Modificaciones!P716)</f>
        <v>1</v>
      </c>
      <c r="Q716" s="116">
        <f>VLOOKUP(E716,Modificaciones!$B$7:$R$2300,17,0)</f>
        <v>49166666</v>
      </c>
      <c r="R716" s="117">
        <f>COUNTA(Modificaciones!T716,Modificaciones!V716,Modificaciones!X716,Modificaciones!Z716)</f>
        <v>1</v>
      </c>
      <c r="S716" s="118" t="str">
        <f>IF(Modificaciones!AA716=0,"",VLOOKUP(E716,Modificaciones!$B$7:$AA$2400,26,0))</f>
        <v>2 meses</v>
      </c>
      <c r="T716" s="119">
        <f>IF(Modificaciones!AB716=0,"",VLOOKUP(E716,Modificaciones!$B$7:$AB$2400,27,0))</f>
        <v>43666</v>
      </c>
      <c r="U716" s="1080" t="str">
        <f>+Modificaciones!AC716</f>
        <v/>
      </c>
      <c r="V716" s="825" t="str">
        <f>+Modificaciones!AK716</f>
        <v/>
      </c>
      <c r="W716" s="825">
        <f t="shared" si="140"/>
        <v>43666</v>
      </c>
      <c r="X716" s="59">
        <f t="shared" si="139"/>
        <v>196666664</v>
      </c>
      <c r="Y716" s="151">
        <f>VLOOKUP(E716,Modificaciones!$B$7:$BE$2300,56,0)</f>
        <v>196666664</v>
      </c>
      <c r="Z716" s="84">
        <f t="shared" ref="Z716:Z779" si="146">X716-Y716</f>
        <v>0</v>
      </c>
      <c r="AA716" s="283" t="s">
        <v>4449</v>
      </c>
      <c r="AB716" s="823">
        <f t="shared" ref="AB716:AB779" si="147">(Y716*100%)/X716</f>
        <v>1</v>
      </c>
      <c r="AC716" s="40">
        <f t="shared" ca="1" si="141"/>
        <v>1</v>
      </c>
      <c r="AD716" s="41">
        <f t="shared" ca="1" si="142"/>
        <v>0</v>
      </c>
      <c r="AE716" s="181" t="str">
        <f t="shared" ca="1" si="143"/>
        <v/>
      </c>
      <c r="AF716" s="42" t="str">
        <f t="shared" ref="AF716:AF779" si="148">IF(AB716&lt;=99.9%,"NO","SI")</f>
        <v>SI</v>
      </c>
      <c r="AG716" s="1017" t="s">
        <v>4920</v>
      </c>
      <c r="AH716" s="152" t="s">
        <v>1256</v>
      </c>
      <c r="AI716" s="255" t="s">
        <v>1935</v>
      </c>
      <c r="AJ716" s="152" t="s">
        <v>1438</v>
      </c>
      <c r="AK716" s="255" t="s">
        <v>560</v>
      </c>
      <c r="AL716" s="279" t="s">
        <v>1508</v>
      </c>
      <c r="AM716" s="279" t="s">
        <v>3873</v>
      </c>
      <c r="AN716" s="161" t="str">
        <f t="shared" ca="1" si="144"/>
        <v>TERMINO</v>
      </c>
      <c r="AO716" s="284" t="s">
        <v>575</v>
      </c>
      <c r="AP716" s="406" t="s">
        <v>390</v>
      </c>
      <c r="AQ716" s="819" t="str">
        <f>IFERROR(VLOOKUP(E716,'liquidaciones '!$B$2:$C$1048576,2,0),"NO")</f>
        <v>LIQUIDADO</v>
      </c>
      <c r="AR716" s="909" t="str">
        <f>IFERROR(VLOOKUP(E716,'liquidaciones '!$B$2:$I$1048576,8,0),"")</f>
        <v>JUAN DIEGO ESPÍTIA</v>
      </c>
      <c r="AS716" s="406"/>
      <c r="AT716" s="156" t="str">
        <f t="shared" ca="1" si="145"/>
        <v>SI</v>
      </c>
      <c r="AU716" s="156" t="s">
        <v>5156</v>
      </c>
      <c r="AV716" s="406" t="s">
        <v>4852</v>
      </c>
      <c r="AW716" s="930" t="s">
        <v>560</v>
      </c>
      <c r="AX716" s="930" t="s">
        <v>4904</v>
      </c>
      <c r="AY716" s="275" t="s">
        <v>4905</v>
      </c>
    </row>
    <row r="717" spans="3:51" ht="71.400000000000006" x14ac:dyDescent="0.3">
      <c r="C717" s="837"/>
      <c r="D717" s="837"/>
      <c r="E717" s="120" t="s">
        <v>4450</v>
      </c>
      <c r="F717" s="414" t="s">
        <v>2712</v>
      </c>
      <c r="G717" s="863">
        <v>830135234</v>
      </c>
      <c r="H717" s="969" t="s">
        <v>4451</v>
      </c>
      <c r="I717" s="84">
        <v>7000000</v>
      </c>
      <c r="J717" s="843" t="s">
        <v>4452</v>
      </c>
      <c r="K717" s="269">
        <v>2018</v>
      </c>
      <c r="L717" s="519">
        <v>43411</v>
      </c>
      <c r="M717" s="519">
        <v>43427</v>
      </c>
      <c r="N717" s="519">
        <v>43518</v>
      </c>
      <c r="O717" s="1099" t="str">
        <f>IF(+Modificaciones!I717=0,"",VLOOKUP(E717,Modificaciones!$B$7:$I$2400,8,0))</f>
        <v/>
      </c>
      <c r="P717" s="115">
        <f>COUNTA(Modificaciones!J717,Modificaciones!L717,Modificaciones!N717,Modificaciones!P717)</f>
        <v>0</v>
      </c>
      <c r="Q717" s="116">
        <f>VLOOKUP(E717,Modificaciones!$B$7:$R$2300,17,0)</f>
        <v>0</v>
      </c>
      <c r="R717" s="117">
        <f>COUNTA(Modificaciones!T717,Modificaciones!V717,Modificaciones!X717,Modificaciones!Z717)</f>
        <v>0</v>
      </c>
      <c r="S717" s="118" t="str">
        <f>IF(Modificaciones!AA717=0,"",VLOOKUP(E717,Modificaciones!$B$7:$AA$2400,26,0))</f>
        <v/>
      </c>
      <c r="T717" s="119" t="str">
        <f>IF(Modificaciones!AB717=0,"",VLOOKUP(E717,Modificaciones!$B$7:$AB$2400,27,0))</f>
        <v/>
      </c>
      <c r="U717" s="1080" t="str">
        <f>+Modificaciones!AC717</f>
        <v/>
      </c>
      <c r="V717" s="825" t="str">
        <f>+Modificaciones!AK717</f>
        <v/>
      </c>
      <c r="W717" s="825">
        <f t="shared" si="140"/>
        <v>43518</v>
      </c>
      <c r="X717" s="59">
        <f t="shared" si="139"/>
        <v>7000000</v>
      </c>
      <c r="Y717" s="151">
        <f>VLOOKUP(E717,Modificaciones!$B$7:$BE$2300,56,0)</f>
        <v>6994400</v>
      </c>
      <c r="Z717" s="84">
        <f t="shared" si="146"/>
        <v>5600</v>
      </c>
      <c r="AA717" s="283" t="s">
        <v>1894</v>
      </c>
      <c r="AB717" s="823">
        <f t="shared" si="147"/>
        <v>0.99919999999999998</v>
      </c>
      <c r="AC717" s="40">
        <f t="shared" ca="1" si="141"/>
        <v>1</v>
      </c>
      <c r="AD717" s="41">
        <f t="shared" ca="1" si="142"/>
        <v>8.0000000000002292E-4</v>
      </c>
      <c r="AE717" s="181" t="str">
        <f t="shared" ca="1" si="143"/>
        <v/>
      </c>
      <c r="AF717" s="42" t="str">
        <f t="shared" si="148"/>
        <v>SI</v>
      </c>
      <c r="AG717" s="732" t="s">
        <v>1711</v>
      </c>
      <c r="AH717" s="152" t="s">
        <v>1255</v>
      </c>
      <c r="AI717" s="255" t="s">
        <v>2716</v>
      </c>
      <c r="AJ717" s="152" t="s">
        <v>1434</v>
      </c>
      <c r="AK717" s="255" t="s">
        <v>560</v>
      </c>
      <c r="AL717" s="838" t="s">
        <v>4333</v>
      </c>
      <c r="AM717" s="279" t="s">
        <v>3873</v>
      </c>
      <c r="AN717" s="161" t="str">
        <f t="shared" ca="1" si="144"/>
        <v>TERMINO</v>
      </c>
      <c r="AO717" s="284" t="s">
        <v>576</v>
      </c>
      <c r="AP717" s="406" t="s">
        <v>391</v>
      </c>
      <c r="AQ717" s="819" t="str">
        <f>IFERROR(VLOOKUP(E717,'liquidaciones '!$B$2:$C$1048576,2,0),"NO")</f>
        <v>EN TRÁMITE</v>
      </c>
      <c r="AR717" s="909" t="str">
        <f>IFERROR(VLOOKUP(E717,'liquidaciones '!$B$2:$I$1048576,8,0),"")</f>
        <v>LAURA CATALINA GUTIERREZ</v>
      </c>
      <c r="AS717" s="406"/>
      <c r="AT717" s="156" t="str">
        <f t="shared" ca="1" si="145"/>
        <v>SI</v>
      </c>
      <c r="AU717" s="406" t="s">
        <v>4805</v>
      </c>
      <c r="AV717" s="406" t="s">
        <v>4333</v>
      </c>
      <c r="AW717" s="930" t="s">
        <v>560</v>
      </c>
      <c r="AX717" s="928"/>
      <c r="AY717" s="275" t="s">
        <v>5087</v>
      </c>
    </row>
    <row r="718" spans="3:51" ht="165.75" customHeight="1" x14ac:dyDescent="0.3">
      <c r="C718" s="837"/>
      <c r="D718" s="837"/>
      <c r="E718" s="120" t="s">
        <v>4453</v>
      </c>
      <c r="F718" s="414" t="s">
        <v>3616</v>
      </c>
      <c r="G718" s="863" t="s">
        <v>3617</v>
      </c>
      <c r="H718" s="969" t="s">
        <v>4454</v>
      </c>
      <c r="I718" s="84">
        <v>112602000</v>
      </c>
      <c r="J718" s="843" t="s">
        <v>4464</v>
      </c>
      <c r="K718" s="269">
        <v>2018</v>
      </c>
      <c r="L718" s="519">
        <v>43419</v>
      </c>
      <c r="M718" s="519">
        <v>43430</v>
      </c>
      <c r="N718" s="519">
        <v>43794</v>
      </c>
      <c r="O718" s="1099" t="str">
        <f>IF(+Modificaciones!I718=0,"",VLOOKUP(E718,Modificaciones!$B$7:$I$2400,8,0))</f>
        <v/>
      </c>
      <c r="P718" s="115">
        <f>COUNTA(Modificaciones!J718,Modificaciones!L718,Modificaciones!N718,Modificaciones!P718)</f>
        <v>1</v>
      </c>
      <c r="Q718" s="116">
        <f>VLOOKUP(E718,Modificaciones!$B$7:$R$2300,17,0)</f>
        <v>46917000</v>
      </c>
      <c r="R718" s="117">
        <f>COUNTA(Modificaciones!T718,Modificaciones!V718,Modificaciones!X718,Modificaciones!Z718)</f>
        <v>1</v>
      </c>
      <c r="S718" s="118" t="str">
        <f>IF(Modificaciones!AA718=0,"",VLOOKUP(E718,Modificaciones!$B$7:$AA$2400,26,0))</f>
        <v>5 meses</v>
      </c>
      <c r="T718" s="119">
        <f>IF(Modificaciones!AB718=0,"",VLOOKUP(E718,Modificaciones!$B$7:$AB$2400,27,0))</f>
        <v>43946</v>
      </c>
      <c r="U718" s="1080">
        <f>+Modificaciones!AC718</f>
        <v>30</v>
      </c>
      <c r="V718" s="825">
        <f>+Modificaciones!AK718</f>
        <v>43946</v>
      </c>
      <c r="W718" s="825">
        <f t="shared" si="140"/>
        <v>43946</v>
      </c>
      <c r="X718" s="59">
        <f t="shared" si="139"/>
        <v>159519000</v>
      </c>
      <c r="Y718" s="151">
        <f>VLOOKUP(E718,Modificaciones!$B$7:$BE$2300,56,0)</f>
        <v>150231692</v>
      </c>
      <c r="Z718" s="84">
        <f t="shared" si="146"/>
        <v>9287308</v>
      </c>
      <c r="AA718" s="869" t="s">
        <v>4455</v>
      </c>
      <c r="AB718" s="823"/>
      <c r="AC718" s="40">
        <f t="shared" ca="1" si="141"/>
        <v>1</v>
      </c>
      <c r="AD718" s="41">
        <f t="shared" ca="1" si="142"/>
        <v>1</v>
      </c>
      <c r="AE718" s="181" t="str">
        <f t="shared" ca="1" si="143"/>
        <v/>
      </c>
      <c r="AF718" s="42" t="str">
        <f t="shared" si="148"/>
        <v>NO</v>
      </c>
      <c r="AG718" s="1017" t="s">
        <v>4920</v>
      </c>
      <c r="AH718" s="841" t="s">
        <v>1256</v>
      </c>
      <c r="AI718" s="870" t="s">
        <v>4456</v>
      </c>
      <c r="AJ718" s="152" t="s">
        <v>1438</v>
      </c>
      <c r="AK718" s="255" t="s">
        <v>560</v>
      </c>
      <c r="AL718" s="838" t="s">
        <v>1508</v>
      </c>
      <c r="AM718" s="279" t="s">
        <v>3873</v>
      </c>
      <c r="AN718" s="161" t="str">
        <f t="shared" ca="1" si="144"/>
        <v>TERMINO</v>
      </c>
      <c r="AO718" s="414"/>
      <c r="AP718" s="406" t="s">
        <v>390</v>
      </c>
      <c r="AQ718" s="819" t="str">
        <f>IFERROR(VLOOKUP(E718,'liquidaciones '!$B$2:$C$1048576,2,0),"NO")</f>
        <v>NO</v>
      </c>
      <c r="AR718" s="909" t="str">
        <f>IFERROR(VLOOKUP(E718,'liquidaciones '!$B$2:$I$1048576,8,0),"")</f>
        <v/>
      </c>
      <c r="AS718" s="406"/>
      <c r="AT718" s="156" t="str">
        <f t="shared" ca="1" si="145"/>
        <v>SI</v>
      </c>
      <c r="AU718" s="156" t="s">
        <v>5919</v>
      </c>
      <c r="AV718" s="406" t="s">
        <v>4852</v>
      </c>
      <c r="AW718" s="930" t="s">
        <v>560</v>
      </c>
      <c r="AX718" s="930" t="s">
        <v>6081</v>
      </c>
      <c r="AY718" s="275"/>
    </row>
    <row r="719" spans="3:51" ht="51" x14ac:dyDescent="0.3">
      <c r="C719" s="837"/>
      <c r="D719" s="837"/>
      <c r="E719" s="120" t="s">
        <v>4457</v>
      </c>
      <c r="F719" s="414" t="s">
        <v>4458</v>
      </c>
      <c r="G719" s="863">
        <v>79883661</v>
      </c>
      <c r="H719" s="969" t="s">
        <v>4459</v>
      </c>
      <c r="I719" s="84">
        <v>21093000</v>
      </c>
      <c r="J719" s="843" t="s">
        <v>4460</v>
      </c>
      <c r="K719" s="269">
        <v>2018</v>
      </c>
      <c r="L719" s="519">
        <v>43427</v>
      </c>
      <c r="M719" s="519">
        <v>43430</v>
      </c>
      <c r="N719" s="519">
        <v>43496</v>
      </c>
      <c r="O719" s="1099" t="str">
        <f>IF(+Modificaciones!I719=0,"",VLOOKUP(E719,Modificaciones!$B$7:$I$2400,8,0))</f>
        <v/>
      </c>
      <c r="P719" s="115">
        <f>COUNTA(Modificaciones!J719,Modificaciones!L719,Modificaciones!N719,Modificaciones!P719)</f>
        <v>0</v>
      </c>
      <c r="Q719" s="116">
        <f>VLOOKUP(E719,Modificaciones!$B$7:$R$2300,17,0)</f>
        <v>0</v>
      </c>
      <c r="R719" s="117">
        <f>COUNTA(Modificaciones!T719,Modificaciones!V719,Modificaciones!X719,Modificaciones!Z719)</f>
        <v>0</v>
      </c>
      <c r="S719" s="118" t="str">
        <f>IF(Modificaciones!AA719=0,"",VLOOKUP(E719,Modificaciones!$B$7:$AA$2400,26,0))</f>
        <v/>
      </c>
      <c r="T719" s="119" t="str">
        <f>IF(Modificaciones!AB719=0,"",VLOOKUP(E719,Modificaciones!$B$7:$AB$2400,27,0))</f>
        <v/>
      </c>
      <c r="U719" s="1080" t="str">
        <f>+Modificaciones!AC719</f>
        <v/>
      </c>
      <c r="V719" s="825" t="str">
        <f>+Modificaciones!AK719</f>
        <v/>
      </c>
      <c r="W719" s="825">
        <f t="shared" si="140"/>
        <v>43496</v>
      </c>
      <c r="X719" s="59">
        <f t="shared" si="139"/>
        <v>21093000</v>
      </c>
      <c r="Y719" s="151">
        <f>VLOOKUP(E719,Modificaciones!$B$7:$BE$2300,56,0)</f>
        <v>15233833</v>
      </c>
      <c r="Z719" s="84">
        <f t="shared" si="146"/>
        <v>5859167</v>
      </c>
      <c r="AA719" s="283" t="s">
        <v>1094</v>
      </c>
      <c r="AB719" s="823">
        <f t="shared" si="147"/>
        <v>0.72222220641919121</v>
      </c>
      <c r="AC719" s="40">
        <f t="shared" ca="1" si="141"/>
        <v>1</v>
      </c>
      <c r="AD719" s="41">
        <f t="shared" ca="1" si="142"/>
        <v>0.27777779358080879</v>
      </c>
      <c r="AE719" s="181" t="str">
        <f t="shared" ca="1" si="143"/>
        <v/>
      </c>
      <c r="AF719" s="42" t="str">
        <f t="shared" si="148"/>
        <v>NO</v>
      </c>
      <c r="AG719" s="732" t="s">
        <v>5773</v>
      </c>
      <c r="AH719" s="152" t="s">
        <v>1255</v>
      </c>
      <c r="AI719" s="255" t="s">
        <v>4461</v>
      </c>
      <c r="AJ719" s="838"/>
      <c r="AK719" s="255" t="s">
        <v>562</v>
      </c>
      <c r="AL719" s="838"/>
      <c r="AM719" s="279" t="s">
        <v>3984</v>
      </c>
      <c r="AN719" s="161" t="str">
        <f t="shared" ca="1" si="144"/>
        <v>TERMINO</v>
      </c>
      <c r="AO719" s="414"/>
      <c r="AP719" s="406" t="s">
        <v>391</v>
      </c>
      <c r="AQ719" s="819" t="str">
        <f>IFERROR(VLOOKUP(E719,'liquidaciones '!$B$2:$C$1048576,2,0),"NO")</f>
        <v>LIQUIDADO</v>
      </c>
      <c r="AR719" s="909" t="str">
        <f>IFERROR(VLOOKUP(E719,'liquidaciones '!$B$2:$I$1048576,8,0),"")</f>
        <v>JUAN DIEGO ESPITIA</v>
      </c>
      <c r="AS719" s="406"/>
      <c r="AT719" s="156" t="str">
        <f t="shared" ca="1" si="145"/>
        <v>SI</v>
      </c>
      <c r="AU719" s="406" t="s">
        <v>4803</v>
      </c>
      <c r="AV719" s="406"/>
      <c r="AW719" s="930" t="s">
        <v>3985</v>
      </c>
      <c r="AX719" s="928"/>
      <c r="AY719" s="275"/>
    </row>
    <row r="720" spans="3:51" ht="91.8" x14ac:dyDescent="0.3">
      <c r="C720" s="837"/>
      <c r="D720" s="837"/>
      <c r="E720" s="120" t="s">
        <v>4462</v>
      </c>
      <c r="F720" s="414" t="s">
        <v>2624</v>
      </c>
      <c r="G720" s="863" t="s">
        <v>2847</v>
      </c>
      <c r="H720" s="969" t="s">
        <v>2726</v>
      </c>
      <c r="I720" s="84">
        <v>17440000</v>
      </c>
      <c r="J720" s="843" t="s">
        <v>4463</v>
      </c>
      <c r="K720" s="269">
        <v>2018</v>
      </c>
      <c r="L720" s="519">
        <v>43127</v>
      </c>
      <c r="M720" s="519">
        <v>43441</v>
      </c>
      <c r="N720" s="519">
        <v>43502</v>
      </c>
      <c r="O720" s="1099" t="str">
        <f>IF(+Modificaciones!I720=0,"",VLOOKUP(E720,Modificaciones!$B$7:$I$2400,8,0))</f>
        <v/>
      </c>
      <c r="P720" s="115">
        <f>COUNTA(Modificaciones!J720,Modificaciones!L720,Modificaciones!N720,Modificaciones!P720)</f>
        <v>0</v>
      </c>
      <c r="Q720" s="116">
        <f>VLOOKUP(E720,Modificaciones!$B$7:$R$2300,17,0)</f>
        <v>0</v>
      </c>
      <c r="R720" s="117">
        <f>COUNTA(Modificaciones!T720,Modificaciones!V720,Modificaciones!X720,Modificaciones!Z720)</f>
        <v>0</v>
      </c>
      <c r="S720" s="118" t="str">
        <f>IF(Modificaciones!AA720=0,"",VLOOKUP(E720,Modificaciones!$B$7:$AA$2400,26,0))</f>
        <v/>
      </c>
      <c r="T720" s="119" t="str">
        <f>IF(Modificaciones!AB720=0,"",VLOOKUP(E720,Modificaciones!$B$7:$AB$2400,27,0))</f>
        <v/>
      </c>
      <c r="U720" s="1080" t="str">
        <f>+Modificaciones!AC720</f>
        <v/>
      </c>
      <c r="V720" s="825" t="str">
        <f>+Modificaciones!AK720</f>
        <v/>
      </c>
      <c r="W720" s="825">
        <f t="shared" si="140"/>
        <v>43502</v>
      </c>
      <c r="X720" s="59">
        <f t="shared" si="139"/>
        <v>17440000</v>
      </c>
      <c r="Y720" s="151">
        <f>VLOOKUP(E720,Modificaciones!$B$7:$BE$2300,56,0)</f>
        <v>17440000</v>
      </c>
      <c r="Z720" s="84">
        <f t="shared" si="146"/>
        <v>0</v>
      </c>
      <c r="AA720" s="288" t="s">
        <v>4700</v>
      </c>
      <c r="AB720" s="823">
        <f t="shared" si="147"/>
        <v>1</v>
      </c>
      <c r="AC720" s="40">
        <f t="shared" ca="1" si="141"/>
        <v>1</v>
      </c>
      <c r="AD720" s="41">
        <f t="shared" ca="1" si="142"/>
        <v>0</v>
      </c>
      <c r="AE720" s="181" t="str">
        <f t="shared" ca="1" si="143"/>
        <v/>
      </c>
      <c r="AF720" s="42" t="str">
        <f t="shared" si="148"/>
        <v>SI</v>
      </c>
      <c r="AG720" s="838"/>
      <c r="AH720" s="152" t="s">
        <v>1255</v>
      </c>
      <c r="AI720" s="255" t="s">
        <v>1487</v>
      </c>
      <c r="AJ720" s="152" t="s">
        <v>1441</v>
      </c>
      <c r="AK720" s="255" t="s">
        <v>559</v>
      </c>
      <c r="AL720" s="279" t="s">
        <v>3597</v>
      </c>
      <c r="AM720" s="279" t="s">
        <v>4242</v>
      </c>
      <c r="AN720" s="161" t="str">
        <f t="shared" ca="1" si="144"/>
        <v>TERMINO</v>
      </c>
      <c r="AO720" s="284" t="s">
        <v>576</v>
      </c>
      <c r="AP720" s="406" t="s">
        <v>390</v>
      </c>
      <c r="AQ720" s="819" t="str">
        <f>IFERROR(VLOOKUP(E720,'liquidaciones '!$B$2:$C$1048576,2,0),"NO")</f>
        <v>DEVUELTO</v>
      </c>
      <c r="AR720" s="909" t="str">
        <f>IFERROR(VLOOKUP(E720,'liquidaciones '!$B$2:$I$1048576,8,0),"")</f>
        <v>MARTHA SANCHEZ</v>
      </c>
      <c r="AS720" s="406"/>
      <c r="AT720" s="156" t="str">
        <f t="shared" ca="1" si="145"/>
        <v>SI</v>
      </c>
      <c r="AU720" s="156" t="s">
        <v>4245</v>
      </c>
      <c r="AV720" s="406"/>
      <c r="AW720" s="930" t="s">
        <v>3938</v>
      </c>
      <c r="AX720" s="928"/>
      <c r="AY720" s="275" t="s">
        <v>5382</v>
      </c>
    </row>
    <row r="721" spans="3:51" ht="30.6" x14ac:dyDescent="0.3">
      <c r="C721" s="837"/>
      <c r="D721" s="837"/>
      <c r="E721" s="120" t="s">
        <v>4465</v>
      </c>
      <c r="F721" s="414" t="s">
        <v>4466</v>
      </c>
      <c r="G721" s="863" t="s">
        <v>4467</v>
      </c>
      <c r="H721" s="969" t="s">
        <v>5027</v>
      </c>
      <c r="I721" s="84">
        <v>39062000</v>
      </c>
      <c r="J721" s="843" t="s">
        <v>4468</v>
      </c>
      <c r="K721" s="269">
        <v>2018</v>
      </c>
      <c r="L721" s="519">
        <v>43440</v>
      </c>
      <c r="M721" s="519">
        <v>43448</v>
      </c>
      <c r="N721" s="519">
        <v>43568</v>
      </c>
      <c r="O721" s="1099" t="str">
        <f>IF(+Modificaciones!I721=0,"",VLOOKUP(E721,Modificaciones!$B$7:$I$2400,8,0))</f>
        <v/>
      </c>
      <c r="P721" s="115">
        <f>COUNTA(Modificaciones!J721,Modificaciones!L721,Modificaciones!N721,Modificaciones!P721)</f>
        <v>0</v>
      </c>
      <c r="Q721" s="116">
        <f>VLOOKUP(E721,Modificaciones!$B$7:$R$2300,17,0)</f>
        <v>0</v>
      </c>
      <c r="R721" s="117">
        <f>COUNTA(Modificaciones!T721,Modificaciones!V721,Modificaciones!X721,Modificaciones!Z721)</f>
        <v>0</v>
      </c>
      <c r="S721" s="118" t="str">
        <f>IF(Modificaciones!AA721=0,"",VLOOKUP(E721,Modificaciones!$B$7:$AA$2400,26,0))</f>
        <v/>
      </c>
      <c r="T721" s="119" t="str">
        <f>IF(Modificaciones!AB721=0,"",VLOOKUP(E721,Modificaciones!$B$7:$AB$2400,27,0))</f>
        <v/>
      </c>
      <c r="U721" s="1080" t="str">
        <f>+Modificaciones!AC721</f>
        <v/>
      </c>
      <c r="V721" s="825" t="str">
        <f>+Modificaciones!AK721</f>
        <v/>
      </c>
      <c r="W721" s="825">
        <f t="shared" si="140"/>
        <v>43568</v>
      </c>
      <c r="X721" s="59">
        <f t="shared" si="139"/>
        <v>39062000</v>
      </c>
      <c r="Y721" s="151">
        <f>VLOOKUP(E721,Modificaciones!$B$7:$BE$2300,56,0)</f>
        <v>30934442</v>
      </c>
      <c r="Z721" s="84">
        <f t="shared" si="146"/>
        <v>8127558</v>
      </c>
      <c r="AA721" s="283" t="s">
        <v>4469</v>
      </c>
      <c r="AB721" s="823">
        <f t="shared" si="147"/>
        <v>0.79193185192770466</v>
      </c>
      <c r="AC721" s="40">
        <f t="shared" ca="1" si="141"/>
        <v>1</v>
      </c>
      <c r="AD721" s="41">
        <f t="shared" ca="1" si="142"/>
        <v>0.20806814807229534</v>
      </c>
      <c r="AE721" s="181" t="str">
        <f t="shared" ca="1" si="143"/>
        <v/>
      </c>
      <c r="AF721" s="42" t="str">
        <f t="shared" si="148"/>
        <v>NO</v>
      </c>
      <c r="AG721" s="732" t="s">
        <v>1711</v>
      </c>
      <c r="AH721" s="152" t="s">
        <v>1255</v>
      </c>
      <c r="AI721" s="255" t="s">
        <v>1483</v>
      </c>
      <c r="AJ721" s="152" t="s">
        <v>1434</v>
      </c>
      <c r="AK721" s="255" t="s">
        <v>560</v>
      </c>
      <c r="AL721" s="279" t="s">
        <v>4624</v>
      </c>
      <c r="AM721" s="279" t="s">
        <v>4242</v>
      </c>
      <c r="AN721" s="161" t="str">
        <f t="shared" ca="1" si="144"/>
        <v>TERMINO</v>
      </c>
      <c r="AO721" s="284" t="s">
        <v>574</v>
      </c>
      <c r="AP721" s="406" t="s">
        <v>390</v>
      </c>
      <c r="AQ721" s="819" t="str">
        <f>IFERROR(VLOOKUP(E721,'liquidaciones '!$B$2:$C$1048576,2,0),"NO")</f>
        <v>LIQUIDADO</v>
      </c>
      <c r="AR721" s="909" t="str">
        <f>IFERROR(VLOOKUP(E721,'liquidaciones '!$B$2:$I$1048576,8,0),"")</f>
        <v>JUAN DIEGO ESPÍTIA</v>
      </c>
      <c r="AS721" s="406"/>
      <c r="AT721" s="156" t="str">
        <f t="shared" ca="1" si="145"/>
        <v>SI</v>
      </c>
      <c r="AU721" s="984" t="s">
        <v>4299</v>
      </c>
      <c r="AV721" s="406"/>
      <c r="AW721" s="930" t="s">
        <v>3938</v>
      </c>
      <c r="AX721" s="928"/>
      <c r="AY721" s="275" t="s">
        <v>5028</v>
      </c>
    </row>
    <row r="722" spans="3:51" ht="28.8" x14ac:dyDescent="0.3">
      <c r="C722" s="837"/>
      <c r="D722" s="837"/>
      <c r="E722" s="120" t="s">
        <v>4470</v>
      </c>
      <c r="F722" s="414" t="s">
        <v>2505</v>
      </c>
      <c r="G722" s="863" t="s">
        <v>2506</v>
      </c>
      <c r="H722" s="969" t="s">
        <v>4471</v>
      </c>
      <c r="I722" s="84">
        <v>9323897</v>
      </c>
      <c r="J722" s="843" t="s">
        <v>4495</v>
      </c>
      <c r="K722" s="269">
        <v>2018</v>
      </c>
      <c r="L722" s="519">
        <v>43446</v>
      </c>
      <c r="M722" s="519">
        <v>43446</v>
      </c>
      <c r="N722" s="519">
        <v>43452</v>
      </c>
      <c r="O722" s="1099" t="str">
        <f>IF(+Modificaciones!I722=0,"",VLOOKUP(E722,Modificaciones!$B$7:$I$2400,8,0))</f>
        <v/>
      </c>
      <c r="P722" s="115">
        <f>COUNTA(Modificaciones!J722,Modificaciones!L722,Modificaciones!N722,Modificaciones!P722)</f>
        <v>0</v>
      </c>
      <c r="Q722" s="116">
        <f>VLOOKUP(E722,Modificaciones!$B$7:$R$2300,17,0)</f>
        <v>0</v>
      </c>
      <c r="R722" s="117">
        <f>COUNTA(Modificaciones!T722,Modificaciones!V722,Modificaciones!X722,Modificaciones!Z722)</f>
        <v>0</v>
      </c>
      <c r="S722" s="118" t="str">
        <f>IF(Modificaciones!AA722=0,"",VLOOKUP(E722,Modificaciones!$B$7:$AA$2400,26,0))</f>
        <v/>
      </c>
      <c r="T722" s="119" t="str">
        <f>IF(Modificaciones!AB722=0,"",VLOOKUP(E722,Modificaciones!$B$7:$AB$2400,27,0))</f>
        <v/>
      </c>
      <c r="U722" s="1080" t="str">
        <f>+Modificaciones!AC722</f>
        <v/>
      </c>
      <c r="V722" s="825" t="str">
        <f>+Modificaciones!AK722</f>
        <v/>
      </c>
      <c r="W722" s="825">
        <f t="shared" si="140"/>
        <v>43452</v>
      </c>
      <c r="X722" s="59">
        <f t="shared" si="139"/>
        <v>9323897</v>
      </c>
      <c r="Y722" s="151">
        <f>VLOOKUP(E722,Modificaciones!$B$7:$BE$2300,56,0)</f>
        <v>9323897</v>
      </c>
      <c r="Z722" s="84">
        <f t="shared" si="146"/>
        <v>0</v>
      </c>
      <c r="AA722" s="283" t="s">
        <v>1894</v>
      </c>
      <c r="AB722" s="823">
        <f t="shared" si="147"/>
        <v>1</v>
      </c>
      <c r="AC722" s="40">
        <f t="shared" ca="1" si="141"/>
        <v>1</v>
      </c>
      <c r="AD722" s="41">
        <f t="shared" ca="1" si="142"/>
        <v>0</v>
      </c>
      <c r="AE722" s="181" t="str">
        <f t="shared" ca="1" si="143"/>
        <v/>
      </c>
      <c r="AF722" s="42" t="str">
        <f t="shared" si="148"/>
        <v>SI</v>
      </c>
      <c r="AG722" s="838" t="s">
        <v>1711</v>
      </c>
      <c r="AH722" s="841" t="s">
        <v>1256</v>
      </c>
      <c r="AI722" s="841" t="s">
        <v>4208</v>
      </c>
      <c r="AJ722" s="152" t="s">
        <v>1438</v>
      </c>
      <c r="AK722" s="255" t="s">
        <v>560</v>
      </c>
      <c r="AL722" s="838" t="s">
        <v>1508</v>
      </c>
      <c r="AM722" s="279" t="s">
        <v>4242</v>
      </c>
      <c r="AN722" s="161" t="str">
        <f t="shared" ca="1" si="144"/>
        <v>TERMINO</v>
      </c>
      <c r="AO722" s="284" t="s">
        <v>2722</v>
      </c>
      <c r="AP722" s="406"/>
      <c r="AQ722" s="819" t="str">
        <f>IFERROR(VLOOKUP(E722,'liquidaciones '!$B$2:$C$1048576,2,0),"NO")</f>
        <v>LIQUIDADO</v>
      </c>
      <c r="AR722" s="909" t="str">
        <f>IFERROR(VLOOKUP(E722,'liquidaciones '!$B$2:$I$1048576,8,0),"")</f>
        <v>JUAN DIEGO ESPÍTIA</v>
      </c>
      <c r="AS722" s="406"/>
      <c r="AT722" s="156" t="str">
        <f t="shared" ca="1" si="145"/>
        <v>SI</v>
      </c>
      <c r="AU722" s="985" t="s">
        <v>4209</v>
      </c>
      <c r="AV722" s="406" t="s">
        <v>3778</v>
      </c>
      <c r="AW722" s="930" t="s">
        <v>560</v>
      </c>
      <c r="AX722" s="928"/>
      <c r="AY722" s="275"/>
    </row>
    <row r="723" spans="3:51" ht="28.8" x14ac:dyDescent="0.3">
      <c r="C723" s="837"/>
      <c r="D723" s="837"/>
      <c r="E723" s="120" t="s">
        <v>4472</v>
      </c>
      <c r="F723" s="414" t="s">
        <v>4234</v>
      </c>
      <c r="G723" s="863" t="s">
        <v>4235</v>
      </c>
      <c r="H723" s="969" t="s">
        <v>4473</v>
      </c>
      <c r="I723" s="84">
        <v>12599060</v>
      </c>
      <c r="J723" s="843" t="s">
        <v>4494</v>
      </c>
      <c r="K723" s="269">
        <v>2018</v>
      </c>
      <c r="L723" s="519">
        <v>43446</v>
      </c>
      <c r="M723" s="519">
        <v>43446</v>
      </c>
      <c r="N723" s="519">
        <v>43456</v>
      </c>
      <c r="O723" s="1099" t="str">
        <f>IF(+Modificaciones!I723=0,"",VLOOKUP(E723,Modificaciones!$B$7:$I$2400,8,0))</f>
        <v/>
      </c>
      <c r="P723" s="115">
        <f>COUNTA(Modificaciones!J723,Modificaciones!L723,Modificaciones!N723,Modificaciones!P723)</f>
        <v>0</v>
      </c>
      <c r="Q723" s="116">
        <f>VLOOKUP(E723,Modificaciones!$B$7:$R$2300,17,0)</f>
        <v>0</v>
      </c>
      <c r="R723" s="117">
        <f>COUNTA(Modificaciones!T723,Modificaciones!V723,Modificaciones!X723,Modificaciones!Z723)</f>
        <v>0</v>
      </c>
      <c r="S723" s="118" t="str">
        <f>IF(Modificaciones!AA723=0,"",VLOOKUP(E723,Modificaciones!$B$7:$AA$2400,26,0))</f>
        <v/>
      </c>
      <c r="T723" s="119" t="str">
        <f>IF(Modificaciones!AB723=0,"",VLOOKUP(E723,Modificaciones!$B$7:$AB$2400,27,0))</f>
        <v/>
      </c>
      <c r="U723" s="1080" t="str">
        <f>+Modificaciones!AC723</f>
        <v/>
      </c>
      <c r="V723" s="825" t="str">
        <f>+Modificaciones!AK723</f>
        <v/>
      </c>
      <c r="W723" s="825">
        <f t="shared" si="140"/>
        <v>43456</v>
      </c>
      <c r="X723" s="59">
        <f t="shared" si="139"/>
        <v>12599060</v>
      </c>
      <c r="Y723" s="151">
        <f>VLOOKUP(E723,Modificaciones!$B$7:$BE$2300,56,0)</f>
        <v>12599060</v>
      </c>
      <c r="Z723" s="84">
        <f t="shared" si="146"/>
        <v>0</v>
      </c>
      <c r="AA723" s="283" t="s">
        <v>1894</v>
      </c>
      <c r="AB723" s="823">
        <f t="shared" si="147"/>
        <v>1</v>
      </c>
      <c r="AC723" s="40">
        <f t="shared" ca="1" si="141"/>
        <v>1</v>
      </c>
      <c r="AD723" s="41">
        <f t="shared" ca="1" si="142"/>
        <v>0</v>
      </c>
      <c r="AE723" s="181" t="str">
        <f t="shared" ca="1" si="143"/>
        <v/>
      </c>
      <c r="AF723" s="42" t="str">
        <f t="shared" si="148"/>
        <v>SI</v>
      </c>
      <c r="AG723" s="838" t="s">
        <v>1711</v>
      </c>
      <c r="AH723" s="841" t="s">
        <v>1256</v>
      </c>
      <c r="AI723" s="841" t="s">
        <v>4208</v>
      </c>
      <c r="AJ723" s="152" t="s">
        <v>1438</v>
      </c>
      <c r="AK723" s="255" t="s">
        <v>560</v>
      </c>
      <c r="AL723" s="838" t="s">
        <v>1508</v>
      </c>
      <c r="AM723" s="279" t="s">
        <v>4242</v>
      </c>
      <c r="AN723" s="161" t="str">
        <f t="shared" ca="1" si="144"/>
        <v>TERMINO</v>
      </c>
      <c r="AO723" s="284" t="s">
        <v>2722</v>
      </c>
      <c r="AP723" s="406"/>
      <c r="AQ723" s="819" t="str">
        <f>IFERROR(VLOOKUP(E723,'liquidaciones '!$B$2:$C$1048576,2,0),"NO")</f>
        <v>LIQUIDADO</v>
      </c>
      <c r="AR723" s="909" t="str">
        <f>IFERROR(VLOOKUP(E723,'liquidaciones '!$B$2:$I$1048576,8,0),"")</f>
        <v>JUAN DIEGO ESPÍTIA</v>
      </c>
      <c r="AS723" s="406"/>
      <c r="AT723" s="156" t="str">
        <f t="shared" ca="1" si="145"/>
        <v>SI</v>
      </c>
      <c r="AU723" s="986" t="s">
        <v>4209</v>
      </c>
      <c r="AV723" s="406" t="s">
        <v>3778</v>
      </c>
      <c r="AW723" s="930" t="s">
        <v>560</v>
      </c>
      <c r="AX723" s="928"/>
      <c r="AY723" s="275"/>
    </row>
    <row r="724" spans="3:51" ht="28.8" x14ac:dyDescent="0.3">
      <c r="C724" s="837"/>
      <c r="D724" s="837"/>
      <c r="E724" s="120" t="s">
        <v>4474</v>
      </c>
      <c r="F724" s="414" t="s">
        <v>1116</v>
      </c>
      <c r="G724" s="863" t="s">
        <v>4475</v>
      </c>
      <c r="H724" s="969" t="s">
        <v>4476</v>
      </c>
      <c r="I724" s="84">
        <v>284999697</v>
      </c>
      <c r="J724" s="843" t="s">
        <v>4493</v>
      </c>
      <c r="K724" s="269">
        <v>2018</v>
      </c>
      <c r="L724" s="519">
        <v>43448</v>
      </c>
      <c r="M724" s="519">
        <v>43446</v>
      </c>
      <c r="N724" s="519">
        <v>43784</v>
      </c>
      <c r="O724" s="1099" t="str">
        <f>IF(+Modificaciones!I724=0,"",VLOOKUP(E724,Modificaciones!$B$7:$I$2400,8,0))</f>
        <v/>
      </c>
      <c r="P724" s="115">
        <f>COUNTA(Modificaciones!J724,Modificaciones!L724,Modificaciones!N724,Modificaciones!P724)</f>
        <v>0</v>
      </c>
      <c r="Q724" s="116">
        <f>VLOOKUP(E724,Modificaciones!$B$7:$R$2300,17,0)</f>
        <v>0</v>
      </c>
      <c r="R724" s="117">
        <f>COUNTA(Modificaciones!T724,Modificaciones!V724,Modificaciones!X724,Modificaciones!Z724)</f>
        <v>0</v>
      </c>
      <c r="S724" s="118" t="str">
        <f>IF(Modificaciones!AA724=0,"",VLOOKUP(E724,Modificaciones!$B$7:$AA$2400,26,0))</f>
        <v/>
      </c>
      <c r="T724" s="119" t="str">
        <f>IF(Modificaciones!AB724=0,"",VLOOKUP(E724,Modificaciones!$B$7:$AB$2400,27,0))</f>
        <v/>
      </c>
      <c r="U724" s="1080" t="str">
        <f>+Modificaciones!AC724</f>
        <v/>
      </c>
      <c r="V724" s="825" t="str">
        <f>+Modificaciones!AK724</f>
        <v/>
      </c>
      <c r="W724" s="825">
        <f t="shared" si="140"/>
        <v>43784</v>
      </c>
      <c r="X724" s="59">
        <f t="shared" si="139"/>
        <v>284999697</v>
      </c>
      <c r="Y724" s="151">
        <f>VLOOKUP(E724,Modificaciones!$B$7:$BE$2300,56,0)</f>
        <v>284999697</v>
      </c>
      <c r="Z724" s="84">
        <f t="shared" si="146"/>
        <v>0</v>
      </c>
      <c r="AA724" s="283"/>
      <c r="AB724" s="823">
        <f t="shared" si="147"/>
        <v>1</v>
      </c>
      <c r="AC724" s="40">
        <f t="shared" ca="1" si="141"/>
        <v>1</v>
      </c>
      <c r="AD724" s="41">
        <f t="shared" ca="1" si="142"/>
        <v>0</v>
      </c>
      <c r="AE724" s="181" t="str">
        <f t="shared" ca="1" si="143"/>
        <v/>
      </c>
      <c r="AF724" s="42" t="str">
        <f t="shared" si="148"/>
        <v>SI</v>
      </c>
      <c r="AG724" s="838" t="s">
        <v>1711</v>
      </c>
      <c r="AH724" s="841" t="s">
        <v>1256</v>
      </c>
      <c r="AI724" s="841" t="s">
        <v>4477</v>
      </c>
      <c r="AJ724" s="152" t="s">
        <v>1438</v>
      </c>
      <c r="AK724" s="255" t="s">
        <v>560</v>
      </c>
      <c r="AL724" s="838" t="s">
        <v>1508</v>
      </c>
      <c r="AM724" s="279" t="s">
        <v>4242</v>
      </c>
      <c r="AN724" s="161" t="str">
        <f t="shared" ca="1" si="144"/>
        <v>TERMINO</v>
      </c>
      <c r="AO724" s="284" t="s">
        <v>2722</v>
      </c>
      <c r="AP724" s="406"/>
      <c r="AQ724" s="819" t="str">
        <f>IFERROR(VLOOKUP(E724,'liquidaciones '!$B$2:$C$1048576,2,0),"NO")</f>
        <v>EN TRÁMITE</v>
      </c>
      <c r="AR724" s="909" t="str">
        <f>IFERROR(VLOOKUP(E724,'liquidaciones '!$B$2:$I$1048576,8,0),"")</f>
        <v>LAURA VELANDIA</v>
      </c>
      <c r="AS724" s="406"/>
      <c r="AT724" s="156" t="str">
        <f t="shared" ca="1" si="145"/>
        <v>SI</v>
      </c>
      <c r="AU724" s="156" t="s">
        <v>5156</v>
      </c>
      <c r="AV724" s="406" t="s">
        <v>4852</v>
      </c>
      <c r="AW724" s="930" t="s">
        <v>560</v>
      </c>
      <c r="AX724" s="928"/>
      <c r="AY724" s="275"/>
    </row>
    <row r="725" spans="3:51" ht="28.8" x14ac:dyDescent="0.3">
      <c r="C725" s="837">
        <v>41</v>
      </c>
      <c r="D725" s="837"/>
      <c r="E725" s="120" t="s">
        <v>4478</v>
      </c>
      <c r="F725" s="414" t="s">
        <v>4479</v>
      </c>
      <c r="G725" s="863">
        <v>800216724</v>
      </c>
      <c r="H725" s="969" t="s">
        <v>4480</v>
      </c>
      <c r="I725" s="84">
        <v>8315000</v>
      </c>
      <c r="J725" s="843" t="s">
        <v>4481</v>
      </c>
      <c r="K725" s="269">
        <v>2018</v>
      </c>
      <c r="L725" s="519">
        <v>43437</v>
      </c>
      <c r="M725" s="519">
        <v>43455</v>
      </c>
      <c r="N725" s="519">
        <v>43636</v>
      </c>
      <c r="O725" s="1099" t="str">
        <f>IF(+Modificaciones!I725=0,"",VLOOKUP(E725,Modificaciones!$B$7:$I$2400,8,0))</f>
        <v/>
      </c>
      <c r="P725" s="115">
        <f>COUNTA(Modificaciones!J725,Modificaciones!L725,Modificaciones!N725,Modificaciones!P725)</f>
        <v>0</v>
      </c>
      <c r="Q725" s="116">
        <f>VLOOKUP(E725,Modificaciones!$B$7:$R$2300,17,0)</f>
        <v>0</v>
      </c>
      <c r="R725" s="117">
        <f>COUNTA(Modificaciones!T725,Modificaciones!V725,Modificaciones!X725,Modificaciones!Z725)</f>
        <v>0</v>
      </c>
      <c r="S725" s="118" t="str">
        <f>IF(Modificaciones!AA725=0,"",VLOOKUP(E725,Modificaciones!$B$7:$AA$2400,26,0))</f>
        <v/>
      </c>
      <c r="T725" s="119" t="str">
        <f>IF(Modificaciones!AB725=0,"",VLOOKUP(E725,Modificaciones!$B$7:$AB$2400,27,0))</f>
        <v/>
      </c>
      <c r="U725" s="1080" t="str">
        <f>+Modificaciones!AC725</f>
        <v/>
      </c>
      <c r="V725" s="825" t="str">
        <f>+Modificaciones!AK725</f>
        <v/>
      </c>
      <c r="W725" s="825">
        <f t="shared" si="140"/>
        <v>43636</v>
      </c>
      <c r="X725" s="59">
        <f t="shared" si="139"/>
        <v>8315000</v>
      </c>
      <c r="Y725" s="151">
        <f>VLOOKUP(E725,Modificaciones!$B$7:$BE$2300,56,0)</f>
        <v>8314992</v>
      </c>
      <c r="Z725" s="84">
        <f t="shared" si="146"/>
        <v>8</v>
      </c>
      <c r="AA725" s="283" t="s">
        <v>1957</v>
      </c>
      <c r="AB725" s="823">
        <f t="shared" si="147"/>
        <v>0.99999903788334332</v>
      </c>
      <c r="AC725" s="40">
        <f t="shared" ca="1" si="141"/>
        <v>1</v>
      </c>
      <c r="AD725" s="41">
        <f t="shared" ca="1" si="142"/>
        <v>9.6211665667755852E-7</v>
      </c>
      <c r="AE725" s="181" t="str">
        <f t="shared" ca="1" si="143"/>
        <v/>
      </c>
      <c r="AF725" s="42" t="str">
        <f t="shared" si="148"/>
        <v>SI</v>
      </c>
      <c r="AG725" s="732" t="s">
        <v>1712</v>
      </c>
      <c r="AH725" s="152" t="s">
        <v>1255</v>
      </c>
      <c r="AI725" s="255" t="s">
        <v>1958</v>
      </c>
      <c r="AJ725" s="152" t="s">
        <v>1441</v>
      </c>
      <c r="AK725" s="255" t="s">
        <v>560</v>
      </c>
      <c r="AL725" s="838" t="s">
        <v>1378</v>
      </c>
      <c r="AM725" s="279" t="s">
        <v>4242</v>
      </c>
      <c r="AN725" s="161" t="str">
        <f t="shared" ca="1" si="144"/>
        <v>TERMINO</v>
      </c>
      <c r="AO725" s="284" t="s">
        <v>576</v>
      </c>
      <c r="AP725" s="406" t="s">
        <v>390</v>
      </c>
      <c r="AQ725" s="819" t="str">
        <f>IFERROR(VLOOKUP(E725,'liquidaciones '!$B$2:$C$1048576,2,0),"NO")</f>
        <v>LIQUIDADO</v>
      </c>
      <c r="AR725" s="909" t="str">
        <f>IFERROR(VLOOKUP(E725,'liquidaciones '!$B$2:$I$1048576,8,0),"")</f>
        <v>JUAN DIEGO ESPÍTIA</v>
      </c>
      <c r="AS725" s="406"/>
      <c r="AT725" s="156" t="str">
        <f t="shared" ca="1" si="145"/>
        <v>SI</v>
      </c>
      <c r="AU725" s="1061" t="s">
        <v>5042</v>
      </c>
      <c r="AV725" s="406" t="s">
        <v>1378</v>
      </c>
      <c r="AW725" s="930" t="s">
        <v>560</v>
      </c>
      <c r="AX725" s="928"/>
      <c r="AY725" s="275"/>
    </row>
    <row r="726" spans="3:51" ht="28.8" x14ac:dyDescent="0.3">
      <c r="C726" s="837"/>
      <c r="D726" s="837"/>
      <c r="E726" s="120" t="s">
        <v>4482</v>
      </c>
      <c r="F726" s="414" t="s">
        <v>2505</v>
      </c>
      <c r="G726" s="863" t="s">
        <v>2506</v>
      </c>
      <c r="H726" s="969" t="s">
        <v>4483</v>
      </c>
      <c r="I726" s="84">
        <v>54468000</v>
      </c>
      <c r="J726" s="843" t="s">
        <v>4496</v>
      </c>
      <c r="K726" s="269">
        <v>2018</v>
      </c>
      <c r="L726" s="519">
        <v>43451</v>
      </c>
      <c r="M726" s="519">
        <v>43451</v>
      </c>
      <c r="N726" s="519">
        <v>43462</v>
      </c>
      <c r="O726" s="1099" t="str">
        <f>IF(+Modificaciones!I726=0,"",VLOOKUP(E726,Modificaciones!$B$7:$I$2400,8,0))</f>
        <v/>
      </c>
      <c r="P726" s="115">
        <f>COUNTA(Modificaciones!J726,Modificaciones!L726,Modificaciones!N726,Modificaciones!P726)</f>
        <v>0</v>
      </c>
      <c r="Q726" s="116">
        <f>VLOOKUP(E726,Modificaciones!$B$7:$R$2300,17,0)</f>
        <v>0</v>
      </c>
      <c r="R726" s="117">
        <f>COUNTA(Modificaciones!T726,Modificaciones!V726,Modificaciones!X726,Modificaciones!Z726)</f>
        <v>0</v>
      </c>
      <c r="S726" s="118" t="str">
        <f>IF(Modificaciones!AA726=0,"",VLOOKUP(E726,Modificaciones!$B$7:$AA$2400,26,0))</f>
        <v/>
      </c>
      <c r="T726" s="119" t="str">
        <f>IF(Modificaciones!AB726=0,"",VLOOKUP(E726,Modificaciones!$B$7:$AB$2400,27,0))</f>
        <v/>
      </c>
      <c r="U726" s="1080" t="str">
        <f>+Modificaciones!AC726</f>
        <v/>
      </c>
      <c r="V726" s="825" t="str">
        <f>+Modificaciones!AK726</f>
        <v/>
      </c>
      <c r="W726" s="825">
        <f t="shared" si="140"/>
        <v>43462</v>
      </c>
      <c r="X726" s="59">
        <f t="shared" si="139"/>
        <v>54468000</v>
      </c>
      <c r="Y726" s="151">
        <f>VLOOKUP(E726,Modificaciones!$B$7:$BE$2300,56,0)</f>
        <v>54468000</v>
      </c>
      <c r="Z726" s="84">
        <f t="shared" si="146"/>
        <v>0</v>
      </c>
      <c r="AA726" s="283" t="s">
        <v>1894</v>
      </c>
      <c r="AB726" s="823">
        <f t="shared" si="147"/>
        <v>1</v>
      </c>
      <c r="AC726" s="40">
        <f t="shared" ca="1" si="141"/>
        <v>1</v>
      </c>
      <c r="AD726" s="41">
        <f t="shared" ca="1" si="142"/>
        <v>0</v>
      </c>
      <c r="AE726" s="181" t="str">
        <f t="shared" ca="1" si="143"/>
        <v/>
      </c>
      <c r="AF726" s="42" t="str">
        <f t="shared" si="148"/>
        <v>SI</v>
      </c>
      <c r="AG726" s="838" t="s">
        <v>1711</v>
      </c>
      <c r="AH726" s="841" t="s">
        <v>1256</v>
      </c>
      <c r="AI726" s="870" t="s">
        <v>4484</v>
      </c>
      <c r="AJ726" s="152" t="s">
        <v>1438</v>
      </c>
      <c r="AK726" s="255" t="s">
        <v>560</v>
      </c>
      <c r="AL726" s="838" t="s">
        <v>1508</v>
      </c>
      <c r="AM726" s="279" t="s">
        <v>4242</v>
      </c>
      <c r="AN726" s="161" t="str">
        <f t="shared" ca="1" si="144"/>
        <v>TERMINO</v>
      </c>
      <c r="AO726" s="284" t="s">
        <v>2722</v>
      </c>
      <c r="AP726" s="406"/>
      <c r="AQ726" s="819" t="str">
        <f>IFERROR(VLOOKUP(E726,'liquidaciones '!$B$2:$C$1048576,2,0),"NO")</f>
        <v>LIQUIDADO</v>
      </c>
      <c r="AR726" s="909" t="str">
        <f>IFERROR(VLOOKUP(E726,'liquidaciones '!$B$2:$I$1048576,8,0),"")</f>
        <v>JUAN DIEGO ESPÍTIA</v>
      </c>
      <c r="AS726" s="406"/>
      <c r="AT726" s="156" t="str">
        <f t="shared" ca="1" si="145"/>
        <v>SI</v>
      </c>
      <c r="AU726" s="987" t="s">
        <v>4209</v>
      </c>
      <c r="AV726" s="406" t="s">
        <v>3778</v>
      </c>
      <c r="AW726" s="930" t="s">
        <v>560</v>
      </c>
      <c r="AX726" s="928"/>
      <c r="AY726" s="275"/>
    </row>
    <row r="727" spans="3:51" ht="51" x14ac:dyDescent="0.3">
      <c r="C727" s="837"/>
      <c r="D727" s="837"/>
      <c r="E727" s="120" t="s">
        <v>4485</v>
      </c>
      <c r="F727" s="414" t="s">
        <v>4486</v>
      </c>
      <c r="G727" s="863" t="s">
        <v>4487</v>
      </c>
      <c r="H727" s="969" t="s">
        <v>4488</v>
      </c>
      <c r="I727" s="84">
        <v>11942000</v>
      </c>
      <c r="J727" s="843" t="s">
        <v>4490</v>
      </c>
      <c r="K727" s="269">
        <v>2018</v>
      </c>
      <c r="L727" s="519">
        <v>43444</v>
      </c>
      <c r="M727" s="519">
        <v>43460</v>
      </c>
      <c r="N727" s="519">
        <v>43824</v>
      </c>
      <c r="O727" s="1099" t="str">
        <f>IF(+Modificaciones!I727=0,"",VLOOKUP(E727,Modificaciones!$B$7:$I$2400,8,0))</f>
        <v/>
      </c>
      <c r="P727" s="115">
        <f>COUNTA(Modificaciones!J727,Modificaciones!L727,Modificaciones!N727,Modificaciones!P727)</f>
        <v>0</v>
      </c>
      <c r="Q727" s="116">
        <f>VLOOKUP(E727,Modificaciones!$B$7:$R$2300,17,0)</f>
        <v>0</v>
      </c>
      <c r="R727" s="117">
        <f>COUNTA(Modificaciones!T727,Modificaciones!V727,Modificaciones!X727,Modificaciones!Z727)</f>
        <v>0</v>
      </c>
      <c r="S727" s="118" t="str">
        <f>IF(Modificaciones!AA727=0,"",VLOOKUP(E727,Modificaciones!$B$7:$AA$2400,26,0))</f>
        <v/>
      </c>
      <c r="T727" s="119" t="str">
        <f>IF(Modificaciones!AB727=0,"",VLOOKUP(E727,Modificaciones!$B$7:$AB$2400,27,0))</f>
        <v/>
      </c>
      <c r="U727" s="1080" t="str">
        <f>+Modificaciones!AC727</f>
        <v/>
      </c>
      <c r="V727" s="825" t="str">
        <f>+Modificaciones!AK727</f>
        <v/>
      </c>
      <c r="W727" s="825">
        <f t="shared" si="140"/>
        <v>43824</v>
      </c>
      <c r="X727" s="59">
        <f t="shared" si="139"/>
        <v>11942000</v>
      </c>
      <c r="Y727" s="151">
        <f>VLOOKUP(E727,Modificaciones!$B$7:$BE$2300,56,0)</f>
        <v>11942000</v>
      </c>
      <c r="Z727" s="84">
        <f t="shared" si="146"/>
        <v>0</v>
      </c>
      <c r="AA727" s="283" t="s">
        <v>1894</v>
      </c>
      <c r="AB727" s="823">
        <f t="shared" si="147"/>
        <v>1</v>
      </c>
      <c r="AC727" s="40">
        <f t="shared" ca="1" si="141"/>
        <v>1</v>
      </c>
      <c r="AD727" s="41">
        <f t="shared" ca="1" si="142"/>
        <v>0</v>
      </c>
      <c r="AE727" s="181" t="str">
        <f t="shared" ca="1" si="143"/>
        <v/>
      </c>
      <c r="AF727" s="42" t="str">
        <f t="shared" si="148"/>
        <v>SI</v>
      </c>
      <c r="AG727" s="732" t="s">
        <v>1711</v>
      </c>
      <c r="AH727" s="152" t="s">
        <v>1256</v>
      </c>
      <c r="AI727" s="255" t="s">
        <v>1990</v>
      </c>
      <c r="AJ727" s="152" t="s">
        <v>1438</v>
      </c>
      <c r="AK727" s="255" t="s">
        <v>560</v>
      </c>
      <c r="AL727" s="279" t="s">
        <v>1508</v>
      </c>
      <c r="AM727" s="279" t="s">
        <v>4242</v>
      </c>
      <c r="AN727" s="161" t="str">
        <f t="shared" ca="1" si="144"/>
        <v>TERMINO</v>
      </c>
      <c r="AO727" s="414" t="s">
        <v>4489</v>
      </c>
      <c r="AP727" s="406" t="s">
        <v>390</v>
      </c>
      <c r="AQ727" s="819" t="str">
        <f>IFERROR(VLOOKUP(E727,'liquidaciones '!$B$2:$C$1048576,2,0),"NO")</f>
        <v>EN TRÁMITE</v>
      </c>
      <c r="AR727" s="909" t="str">
        <f>IFERROR(VLOOKUP(E727,'liquidaciones '!$B$2:$I$1048576,8,0),"")</f>
        <v>JUAN DIEGO ESPITIA</v>
      </c>
      <c r="AS727" s="406"/>
      <c r="AT727" s="156" t="str">
        <f t="shared" ca="1" si="145"/>
        <v>SI</v>
      </c>
      <c r="AU727" s="156" t="s">
        <v>5156</v>
      </c>
      <c r="AV727" s="406" t="s">
        <v>4852</v>
      </c>
      <c r="AW727" s="930" t="s">
        <v>560</v>
      </c>
      <c r="AX727" s="928"/>
      <c r="AY727" s="275" t="s">
        <v>5974</v>
      </c>
    </row>
    <row r="728" spans="3:51" ht="40.799999999999997" x14ac:dyDescent="0.3">
      <c r="C728" s="837"/>
      <c r="D728" s="837"/>
      <c r="E728" s="120" t="s">
        <v>4497</v>
      </c>
      <c r="F728" s="414" t="s">
        <v>4498</v>
      </c>
      <c r="G728" s="863">
        <v>830067814</v>
      </c>
      <c r="H728" s="969" t="s">
        <v>4499</v>
      </c>
      <c r="I728" s="84">
        <v>68580000</v>
      </c>
      <c r="J728" s="843" t="s">
        <v>4502</v>
      </c>
      <c r="K728" s="269">
        <v>2018</v>
      </c>
      <c r="L728" s="519">
        <v>43452</v>
      </c>
      <c r="M728" s="519">
        <v>43462</v>
      </c>
      <c r="N728" s="519">
        <v>43643</v>
      </c>
      <c r="O728" s="1099" t="str">
        <f>IF(+Modificaciones!I728=0,"",VLOOKUP(E728,Modificaciones!$B$7:$I$2400,8,0))</f>
        <v/>
      </c>
      <c r="P728" s="115">
        <f>COUNTA(Modificaciones!J728,Modificaciones!L728,Modificaciones!N728,Modificaciones!P728)</f>
        <v>0</v>
      </c>
      <c r="Q728" s="116">
        <f>VLOOKUP(E728,Modificaciones!$B$7:$R$2300,17,0)</f>
        <v>0</v>
      </c>
      <c r="R728" s="117">
        <f>COUNTA(Modificaciones!T728,Modificaciones!V728,Modificaciones!X728,Modificaciones!Z728)</f>
        <v>0</v>
      </c>
      <c r="S728" s="118" t="str">
        <f>IF(Modificaciones!AA728=0,"",VLOOKUP(E728,Modificaciones!$B$7:$AA$2400,26,0))</f>
        <v/>
      </c>
      <c r="T728" s="119" t="str">
        <f>IF(Modificaciones!AB728=0,"",VLOOKUP(E728,Modificaciones!$B$7:$AB$2400,27,0))</f>
        <v/>
      </c>
      <c r="U728" s="1080" t="str">
        <f>+Modificaciones!AC728</f>
        <v/>
      </c>
      <c r="V728" s="825" t="str">
        <f>+Modificaciones!AK728</f>
        <v/>
      </c>
      <c r="W728" s="825">
        <f t="shared" si="140"/>
        <v>43643</v>
      </c>
      <c r="X728" s="59">
        <f t="shared" si="139"/>
        <v>68580000</v>
      </c>
      <c r="Y728" s="151">
        <f>VLOOKUP(E728,Modificaciones!$B$7:$BE$2300,56,0)</f>
        <v>68580000</v>
      </c>
      <c r="Z728" s="84">
        <f t="shared" si="146"/>
        <v>0</v>
      </c>
      <c r="AA728" s="283" t="s">
        <v>4500</v>
      </c>
      <c r="AB728" s="823">
        <f t="shared" si="147"/>
        <v>1</v>
      </c>
      <c r="AC728" s="40">
        <f t="shared" ca="1" si="141"/>
        <v>1</v>
      </c>
      <c r="AD728" s="41">
        <f t="shared" ca="1" si="142"/>
        <v>0</v>
      </c>
      <c r="AE728" s="181" t="str">
        <f t="shared" ca="1" si="143"/>
        <v/>
      </c>
      <c r="AF728" s="42" t="str">
        <f t="shared" si="148"/>
        <v>SI</v>
      </c>
      <c r="AG728" s="1017" t="s">
        <v>4920</v>
      </c>
      <c r="AH728" s="841" t="s">
        <v>1256</v>
      </c>
      <c r="AI728" s="841" t="s">
        <v>4501</v>
      </c>
      <c r="AJ728" s="152" t="s">
        <v>1438</v>
      </c>
      <c r="AK728" s="255" t="s">
        <v>560</v>
      </c>
      <c r="AL728" s="279" t="s">
        <v>1508</v>
      </c>
      <c r="AM728" s="279" t="s">
        <v>4242</v>
      </c>
      <c r="AN728" s="161" t="str">
        <f t="shared" ca="1" si="144"/>
        <v>TERMINO</v>
      </c>
      <c r="AO728" s="414" t="s">
        <v>4489</v>
      </c>
      <c r="AP728" s="406" t="s">
        <v>390</v>
      </c>
      <c r="AQ728" s="819" t="str">
        <f>IFERROR(VLOOKUP(E728,'liquidaciones '!$B$2:$C$1048576,2,0),"NO")</f>
        <v>LIQUIDADO</v>
      </c>
      <c r="AR728" s="909" t="str">
        <f>IFERROR(VLOOKUP(E728,'liquidaciones '!$B$2:$I$1048576,8,0),"")</f>
        <v>JUAN DIEGO ESPÍTIA</v>
      </c>
      <c r="AS728" s="406"/>
      <c r="AT728" s="156" t="str">
        <f t="shared" ca="1" si="145"/>
        <v>SI</v>
      </c>
      <c r="AU728" s="988" t="s">
        <v>4209</v>
      </c>
      <c r="AV728" s="406" t="s">
        <v>3778</v>
      </c>
      <c r="AW728" s="930" t="s">
        <v>560</v>
      </c>
      <c r="AX728" s="928"/>
      <c r="AY728" s="275"/>
    </row>
    <row r="729" spans="3:51" ht="71.400000000000006" x14ac:dyDescent="0.3">
      <c r="C729" s="837"/>
      <c r="D729" s="837"/>
      <c r="E729" s="120" t="s">
        <v>4503</v>
      </c>
      <c r="F729" s="414" t="s">
        <v>4504</v>
      </c>
      <c r="G729" s="863" t="s">
        <v>4505</v>
      </c>
      <c r="H729" s="969" t="s">
        <v>4506</v>
      </c>
      <c r="I729" s="84">
        <v>45787937</v>
      </c>
      <c r="J729" s="843" t="s">
        <v>4507</v>
      </c>
      <c r="K729" s="269">
        <v>2018</v>
      </c>
      <c r="L729" s="519">
        <v>43462</v>
      </c>
      <c r="M729" s="519">
        <v>43507</v>
      </c>
      <c r="N729" s="519">
        <v>43871</v>
      </c>
      <c r="O729" s="1099" t="str">
        <f>IF(+Modificaciones!I729=0,"",VLOOKUP(E729,Modificaciones!$B$7:$I$2400,8,0))</f>
        <v/>
      </c>
      <c r="P729" s="115">
        <f>COUNTA(Modificaciones!J729,Modificaciones!L729,Modificaciones!N729,Modificaciones!P729)</f>
        <v>0</v>
      </c>
      <c r="Q729" s="116">
        <f>VLOOKUP(E729,Modificaciones!$B$7:$R$2300,17,0)</f>
        <v>0</v>
      </c>
      <c r="R729" s="117">
        <f>COUNTA(Modificaciones!T729,Modificaciones!V729,Modificaciones!X729,Modificaciones!Z729)</f>
        <v>0</v>
      </c>
      <c r="S729" s="118" t="str">
        <f>IF(Modificaciones!AA729=0,"",VLOOKUP(E729,Modificaciones!$B$7:$AA$2400,26,0))</f>
        <v/>
      </c>
      <c r="T729" s="119" t="str">
        <f>IF(Modificaciones!AB729=0,"",VLOOKUP(E729,Modificaciones!$B$7:$AB$2400,27,0))</f>
        <v/>
      </c>
      <c r="U729" s="1080" t="str">
        <f>+Modificaciones!AC729</f>
        <v/>
      </c>
      <c r="V729" s="825" t="str">
        <f>+Modificaciones!AK729</f>
        <v/>
      </c>
      <c r="W729" s="825">
        <f t="shared" si="140"/>
        <v>43871</v>
      </c>
      <c r="X729" s="59">
        <f t="shared" si="139"/>
        <v>45787937</v>
      </c>
      <c r="Y729" s="151">
        <f>VLOOKUP(E729,Modificaciones!$B$7:$BE$2300,56,0)</f>
        <v>45787937</v>
      </c>
      <c r="Z729" s="84">
        <f t="shared" si="146"/>
        <v>0</v>
      </c>
      <c r="AA729" s="283" t="s">
        <v>1894</v>
      </c>
      <c r="AB729" s="823">
        <f t="shared" si="147"/>
        <v>1</v>
      </c>
      <c r="AC729" s="40">
        <f t="shared" ca="1" si="141"/>
        <v>1</v>
      </c>
      <c r="AD729" s="41">
        <f t="shared" ca="1" si="142"/>
        <v>0</v>
      </c>
      <c r="AE729" s="181" t="str">
        <f t="shared" ca="1" si="143"/>
        <v/>
      </c>
      <c r="AF729" s="42" t="str">
        <f t="shared" si="148"/>
        <v>SI</v>
      </c>
      <c r="AG729" s="414" t="s">
        <v>1717</v>
      </c>
      <c r="AH729" s="152" t="s">
        <v>1255</v>
      </c>
      <c r="AI729" s="841"/>
      <c r="AJ729" s="838"/>
      <c r="AK729" s="255" t="s">
        <v>559</v>
      </c>
      <c r="AL729" s="838" t="s">
        <v>4861</v>
      </c>
      <c r="AM729" s="279" t="s">
        <v>4242</v>
      </c>
      <c r="AN729" s="161" t="str">
        <f t="shared" ca="1" si="144"/>
        <v>TERMINO</v>
      </c>
      <c r="AO729" s="414" t="s">
        <v>4508</v>
      </c>
      <c r="AP729" s="406" t="s">
        <v>390</v>
      </c>
      <c r="AQ729" s="819" t="str">
        <f>IFERROR(VLOOKUP(E729,'liquidaciones '!$B$2:$C$1048576,2,0),"NO")</f>
        <v>LIQUIDADO</v>
      </c>
      <c r="AR729" s="909" t="str">
        <f>IFERROR(VLOOKUP(E729,'liquidaciones '!$B$2:$I$1048576,8,0),"")</f>
        <v>JUAN DIEGO ESPITIA</v>
      </c>
      <c r="AS729" s="406"/>
      <c r="AT729" s="156" t="str">
        <f t="shared" ca="1" si="145"/>
        <v>SI</v>
      </c>
      <c r="AU729" s="219" t="s">
        <v>4244</v>
      </c>
      <c r="AV729" s="406" t="s">
        <v>4861</v>
      </c>
      <c r="AW729" s="290" t="s">
        <v>560</v>
      </c>
      <c r="AX729" s="928"/>
      <c r="AY729" s="275"/>
    </row>
    <row r="730" spans="3:51" ht="102" x14ac:dyDescent="0.3">
      <c r="C730" s="837"/>
      <c r="D730" s="837"/>
      <c r="E730" s="120" t="s">
        <v>4509</v>
      </c>
      <c r="F730" s="414" t="s">
        <v>4510</v>
      </c>
      <c r="G730" s="863">
        <v>90241452</v>
      </c>
      <c r="H730" s="969" t="s">
        <v>4511</v>
      </c>
      <c r="I730" s="84">
        <v>2559764239</v>
      </c>
      <c r="J730" s="843" t="s">
        <v>4530</v>
      </c>
      <c r="K730" s="269">
        <v>2018</v>
      </c>
      <c r="L730" s="519">
        <v>43462</v>
      </c>
      <c r="M730" s="519">
        <v>43476</v>
      </c>
      <c r="N730" s="519">
        <v>43656</v>
      </c>
      <c r="O730" s="1099" t="str">
        <f>IF(+Modificaciones!I730=0,"",VLOOKUP(E730,Modificaciones!$B$7:$I$2400,8,0))</f>
        <v/>
      </c>
      <c r="P730" s="115">
        <f>COUNTA(Modificaciones!J730,Modificaciones!L730,Modificaciones!N730,Modificaciones!P730)</f>
        <v>2</v>
      </c>
      <c r="Q730" s="116">
        <f>VLOOKUP(E730,Modificaciones!$B$7:$R$2300,17,0)</f>
        <v>587881541</v>
      </c>
      <c r="R730" s="117">
        <f>COUNTA(Modificaciones!T730,Modificaciones!V730,Modificaciones!X730,Modificaciones!Z730)</f>
        <v>2</v>
      </c>
      <c r="S730" s="118" t="str">
        <f>IF(Modificaciones!AA730=0,"",VLOOKUP(E730,Modificaciones!$B$7:$AA$2400,26,0))</f>
        <v>3 meses y 22 días</v>
      </c>
      <c r="T730" s="119">
        <f>IF(Modificaciones!AB730=0,"",VLOOKUP(E730,Modificaciones!$B$7:$AB$2400,27,0))</f>
        <v>43770</v>
      </c>
      <c r="U730" s="1080" t="str">
        <f>+Modificaciones!AC730</f>
        <v/>
      </c>
      <c r="V730" s="825" t="str">
        <f>+Modificaciones!AK730</f>
        <v/>
      </c>
      <c r="W730" s="825">
        <f t="shared" si="140"/>
        <v>43770</v>
      </c>
      <c r="X730" s="59">
        <f t="shared" si="139"/>
        <v>3147645780</v>
      </c>
      <c r="Y730" s="151">
        <f>VLOOKUP(E730,Modificaciones!$B$7:$BE$2300,56,0)</f>
        <v>3137737188</v>
      </c>
      <c r="Z730" s="84">
        <f t="shared" si="146"/>
        <v>9908592</v>
      </c>
      <c r="AA730" s="288" t="s">
        <v>4512</v>
      </c>
      <c r="AB730" s="823">
        <f t="shared" si="147"/>
        <v>0.99685206255959335</v>
      </c>
      <c r="AC730" s="40">
        <f t="shared" ca="1" si="141"/>
        <v>1</v>
      </c>
      <c r="AD730" s="41">
        <f t="shared" ca="1" si="142"/>
        <v>3.1479374404066451E-3</v>
      </c>
      <c r="AE730" s="181" t="str">
        <f t="shared" ca="1" si="143"/>
        <v/>
      </c>
      <c r="AF730" s="42" t="str">
        <f t="shared" si="148"/>
        <v>NO</v>
      </c>
      <c r="AG730" s="838" t="s">
        <v>1711</v>
      </c>
      <c r="AH730" s="841" t="s">
        <v>1256</v>
      </c>
      <c r="AI730" s="870" t="s">
        <v>4513</v>
      </c>
      <c r="AJ730" s="152" t="s">
        <v>1438</v>
      </c>
      <c r="AK730" s="255" t="s">
        <v>560</v>
      </c>
      <c r="AL730" s="838" t="s">
        <v>1508</v>
      </c>
      <c r="AM730" s="279" t="s">
        <v>4242</v>
      </c>
      <c r="AN730" s="161" t="str">
        <f t="shared" ca="1" si="144"/>
        <v>TERMINO</v>
      </c>
      <c r="AO730" s="414" t="s">
        <v>573</v>
      </c>
      <c r="AP730" s="406" t="s">
        <v>390</v>
      </c>
      <c r="AQ730" s="819" t="str">
        <f>IFERROR(VLOOKUP(E730,'liquidaciones '!$B$2:$C$1048576,2,0),"NO")</f>
        <v>LIQUIDADO</v>
      </c>
      <c r="AR730" s="909" t="str">
        <f>IFERROR(VLOOKUP(E730,'liquidaciones '!$B$2:$I$1048576,8,0),"")</f>
        <v>JUAN DIEGO ESPÍTIA</v>
      </c>
      <c r="AS730" s="406"/>
      <c r="AT730" s="156" t="str">
        <f t="shared" ca="1" si="145"/>
        <v>SI</v>
      </c>
      <c r="AU730" s="406" t="s">
        <v>4894</v>
      </c>
      <c r="AV730" s="406" t="s">
        <v>4852</v>
      </c>
      <c r="AW730" s="930" t="s">
        <v>559</v>
      </c>
      <c r="AX730" s="275" t="s">
        <v>5228</v>
      </c>
      <c r="AY730" s="275"/>
    </row>
    <row r="731" spans="3:51" ht="81.599999999999994" x14ac:dyDescent="0.3">
      <c r="C731" s="837"/>
      <c r="D731" s="837"/>
      <c r="E731" s="120" t="s">
        <v>4514</v>
      </c>
      <c r="F731" s="414" t="s">
        <v>4515</v>
      </c>
      <c r="G731" s="863">
        <v>900038614</v>
      </c>
      <c r="H731" s="969" t="s">
        <v>4516</v>
      </c>
      <c r="I731" s="84">
        <v>201000000</v>
      </c>
      <c r="J731" s="843" t="s">
        <v>4529</v>
      </c>
      <c r="K731" s="269">
        <v>2018</v>
      </c>
      <c r="L731" s="519">
        <v>43458</v>
      </c>
      <c r="M731" s="519">
        <v>43476</v>
      </c>
      <c r="N731" s="519">
        <v>43565</v>
      </c>
      <c r="O731" s="1099" t="str">
        <f>IF(+Modificaciones!I731=0,"",VLOOKUP(E731,Modificaciones!$B$7:$I$2400,8,0))</f>
        <v/>
      </c>
      <c r="P731" s="115">
        <f>COUNTA(Modificaciones!J731,Modificaciones!L731,Modificaciones!N731,Modificaciones!P731)</f>
        <v>0</v>
      </c>
      <c r="Q731" s="116">
        <f>VLOOKUP(E731,Modificaciones!$B$7:$R$2300,17,0)</f>
        <v>0</v>
      </c>
      <c r="R731" s="117">
        <f>COUNTA(Modificaciones!T731,Modificaciones!V731,Modificaciones!X731,Modificaciones!Z731)</f>
        <v>0</v>
      </c>
      <c r="S731" s="118" t="str">
        <f>IF(Modificaciones!AA731=0,"",VLOOKUP(E731,Modificaciones!$B$7:$AA$2400,26,0))</f>
        <v/>
      </c>
      <c r="T731" s="119" t="str">
        <f>IF(Modificaciones!AB731=0,"",VLOOKUP(E731,Modificaciones!$B$7:$AB$2400,27,0))</f>
        <v/>
      </c>
      <c r="U731" s="1080" t="str">
        <f>+Modificaciones!AC731</f>
        <v/>
      </c>
      <c r="V731" s="825" t="str">
        <f>+Modificaciones!AK731</f>
        <v/>
      </c>
      <c r="W731" s="825">
        <f t="shared" si="140"/>
        <v>43565</v>
      </c>
      <c r="X731" s="59">
        <f t="shared" si="139"/>
        <v>201000000</v>
      </c>
      <c r="Y731" s="151">
        <f>VLOOKUP(E731,Modificaciones!$B$7:$BE$2300,56,0)</f>
        <v>201000000</v>
      </c>
      <c r="Z731" s="84">
        <f t="shared" si="146"/>
        <v>0</v>
      </c>
      <c r="AA731" s="287" t="s">
        <v>4517</v>
      </c>
      <c r="AB731" s="823">
        <f t="shared" si="147"/>
        <v>1</v>
      </c>
      <c r="AC731" s="40">
        <f t="shared" ca="1" si="141"/>
        <v>1</v>
      </c>
      <c r="AD731" s="41">
        <f t="shared" ca="1" si="142"/>
        <v>0</v>
      </c>
      <c r="AE731" s="181" t="str">
        <f t="shared" ca="1" si="143"/>
        <v/>
      </c>
      <c r="AF731" s="42" t="str">
        <f t="shared" si="148"/>
        <v>SI</v>
      </c>
      <c r="AG731" s="838" t="s">
        <v>1711</v>
      </c>
      <c r="AH731" s="841" t="s">
        <v>1256</v>
      </c>
      <c r="AI731" s="870" t="s">
        <v>4518</v>
      </c>
      <c r="AJ731" s="152" t="s">
        <v>1438</v>
      </c>
      <c r="AK731" s="255" t="s">
        <v>560</v>
      </c>
      <c r="AL731" s="838" t="s">
        <v>1508</v>
      </c>
      <c r="AM731" s="279" t="s">
        <v>4242</v>
      </c>
      <c r="AN731" s="161" t="str">
        <f t="shared" ca="1" si="144"/>
        <v>TERMINO</v>
      </c>
      <c r="AO731" s="414" t="s">
        <v>995</v>
      </c>
      <c r="AP731" s="406" t="s">
        <v>390</v>
      </c>
      <c r="AQ731" s="819" t="str">
        <f>IFERROR(VLOOKUP(E731,'liquidaciones '!$B$2:$C$1048576,2,0),"NO")</f>
        <v>EN TRÁMITE</v>
      </c>
      <c r="AR731" s="909">
        <f>IFERROR(VLOOKUP(E731,'liquidaciones '!$B$2:$I$1048576,8,0),"")</f>
        <v>0</v>
      </c>
      <c r="AS731" s="406"/>
      <c r="AT731" s="156" t="str">
        <f t="shared" ca="1" si="145"/>
        <v>SI</v>
      </c>
      <c r="AU731" s="989" t="s">
        <v>4209</v>
      </c>
      <c r="AV731" s="406" t="s">
        <v>3778</v>
      </c>
      <c r="AW731" s="930" t="s">
        <v>560</v>
      </c>
      <c r="AX731" s="928"/>
      <c r="AY731" s="275"/>
    </row>
    <row r="732" spans="3:51" ht="30.6" x14ac:dyDescent="0.3">
      <c r="C732" s="837"/>
      <c r="D732" s="837"/>
      <c r="E732" s="120" t="s">
        <v>4519</v>
      </c>
      <c r="F732" s="414" t="s">
        <v>4520</v>
      </c>
      <c r="G732" s="863" t="s">
        <v>4521</v>
      </c>
      <c r="H732" s="969" t="s">
        <v>4522</v>
      </c>
      <c r="I732" s="84">
        <v>1235000000</v>
      </c>
      <c r="J732" s="843" t="s">
        <v>4531</v>
      </c>
      <c r="K732" s="269">
        <v>2018</v>
      </c>
      <c r="L732" s="519">
        <v>43461</v>
      </c>
      <c r="M732" s="519">
        <v>43462</v>
      </c>
      <c r="N732" s="519">
        <v>44557</v>
      </c>
      <c r="O732" s="1099" t="str">
        <f>IF(+Modificaciones!I732=0,"",VLOOKUP(E732,Modificaciones!$B$7:$I$2400,8,0))</f>
        <v/>
      </c>
      <c r="P732" s="115">
        <f>COUNTA(Modificaciones!J732,Modificaciones!L732,Modificaciones!N732,Modificaciones!P732)</f>
        <v>1</v>
      </c>
      <c r="Q732" s="116">
        <f>VLOOKUP(E732,Modificaciones!$B$7:$R$2300,17,0)</f>
        <v>23307277664</v>
      </c>
      <c r="R732" s="117">
        <f>COUNTA(Modificaciones!T732,Modificaciones!V732,Modificaciones!X732,Modificaciones!Z732)</f>
        <v>0</v>
      </c>
      <c r="S732" s="118" t="str">
        <f>IF(Modificaciones!AA732=0,"",VLOOKUP(E732,Modificaciones!$B$7:$AA$2400,26,0))</f>
        <v/>
      </c>
      <c r="T732" s="119" t="str">
        <f>IF(Modificaciones!AB732=0,"",VLOOKUP(E732,Modificaciones!$B$7:$AB$2400,27,0))</f>
        <v/>
      </c>
      <c r="U732" s="1080" t="str">
        <f>+Modificaciones!AC732</f>
        <v/>
      </c>
      <c r="V732" s="825" t="str">
        <f>+Modificaciones!AK732</f>
        <v/>
      </c>
      <c r="W732" s="825">
        <f t="shared" si="140"/>
        <v>44557</v>
      </c>
      <c r="X732" s="59">
        <f t="shared" si="139"/>
        <v>24542277664</v>
      </c>
      <c r="Y732" s="151">
        <f>VLOOKUP(E732,Modificaciones!$B$7:$BE$2300,56,0)</f>
        <v>24542277664</v>
      </c>
      <c r="Z732" s="84">
        <f t="shared" si="146"/>
        <v>0</v>
      </c>
      <c r="AA732" s="283" t="s">
        <v>4523</v>
      </c>
      <c r="AB732" s="823">
        <f t="shared" si="147"/>
        <v>1</v>
      </c>
      <c r="AC732" s="40">
        <f t="shared" ca="1" si="141"/>
        <v>0.69954337899543384</v>
      </c>
      <c r="AD732" s="41">
        <f t="shared" ca="1" si="142"/>
        <v>-0.30045662100456616</v>
      </c>
      <c r="AE732" s="181">
        <f t="shared" ca="1" si="143"/>
        <v>329</v>
      </c>
      <c r="AF732" s="42" t="str">
        <f t="shared" si="148"/>
        <v>SI</v>
      </c>
      <c r="AG732" s="414" t="s">
        <v>1717</v>
      </c>
      <c r="AH732" s="152" t="s">
        <v>1255</v>
      </c>
      <c r="AI732" s="841"/>
      <c r="AJ732" s="838"/>
      <c r="AK732" s="255" t="s">
        <v>559</v>
      </c>
      <c r="AL732" s="838"/>
      <c r="AM732" s="279" t="s">
        <v>4242</v>
      </c>
      <c r="AN732" s="161" t="str">
        <f t="shared" ca="1" si="144"/>
        <v>EN EJECUCIÓN</v>
      </c>
      <c r="AO732" s="414" t="s">
        <v>4508</v>
      </c>
      <c r="AP732" s="406" t="s">
        <v>390</v>
      </c>
      <c r="AQ732" s="819" t="str">
        <f>IFERROR(VLOOKUP(E732,'liquidaciones '!$B$2:$C$1048576,2,0),"NO")</f>
        <v>NO</v>
      </c>
      <c r="AR732" s="909" t="str">
        <f>IFERROR(VLOOKUP(E732,'liquidaciones '!$B$2:$I$1048576,8,0),"")</f>
        <v/>
      </c>
      <c r="AS732" s="406"/>
      <c r="AT732" s="156" t="str">
        <f t="shared" ca="1" si="145"/>
        <v>SI</v>
      </c>
      <c r="AU732" s="156" t="s">
        <v>5855</v>
      </c>
      <c r="AV732" s="406"/>
      <c r="AW732" s="930" t="s">
        <v>3938</v>
      </c>
      <c r="AX732" s="928"/>
      <c r="AY732" s="275"/>
    </row>
    <row r="733" spans="3:51" ht="40.799999999999997" x14ac:dyDescent="0.3">
      <c r="C733" s="837"/>
      <c r="D733" s="837"/>
      <c r="E733" s="120" t="s">
        <v>4524</v>
      </c>
      <c r="F733" s="414" t="s">
        <v>4525</v>
      </c>
      <c r="G733" s="863">
        <v>79391917</v>
      </c>
      <c r="H733" s="969" t="s">
        <v>4526</v>
      </c>
      <c r="I733" s="84">
        <v>15767500</v>
      </c>
      <c r="J733" s="843" t="s">
        <v>4528</v>
      </c>
      <c r="K733" s="269">
        <v>2018</v>
      </c>
      <c r="L733" s="519">
        <v>43426</v>
      </c>
      <c r="M733" s="519">
        <v>43441</v>
      </c>
      <c r="N733" s="519">
        <v>43502</v>
      </c>
      <c r="O733" s="1099" t="str">
        <f>IF(+Modificaciones!I733=0,"",VLOOKUP(E733,Modificaciones!$B$7:$I$2400,8,0))</f>
        <v/>
      </c>
      <c r="P733" s="115">
        <f>COUNTA(Modificaciones!J733,Modificaciones!L733,Modificaciones!N733,Modificaciones!P733)</f>
        <v>0</v>
      </c>
      <c r="Q733" s="116">
        <f>VLOOKUP(E733,Modificaciones!$B$7:$R$2300,17,0)</f>
        <v>0</v>
      </c>
      <c r="R733" s="117">
        <f>COUNTA(Modificaciones!T733,Modificaciones!V733,Modificaciones!X733,Modificaciones!Z733)</f>
        <v>0</v>
      </c>
      <c r="S733" s="118" t="str">
        <f>IF(Modificaciones!AA733=0,"",VLOOKUP(E733,Modificaciones!$B$7:$AA$2400,26,0))</f>
        <v/>
      </c>
      <c r="T733" s="119" t="str">
        <f>IF(Modificaciones!AB733=0,"",VLOOKUP(E733,Modificaciones!$B$7:$AB$2400,27,0))</f>
        <v/>
      </c>
      <c r="U733" s="1080" t="str">
        <f>+Modificaciones!AC733</f>
        <v/>
      </c>
      <c r="V733" s="825" t="str">
        <f>+Modificaciones!AK733</f>
        <v/>
      </c>
      <c r="W733" s="825">
        <f t="shared" si="140"/>
        <v>43502</v>
      </c>
      <c r="X733" s="59">
        <f t="shared" si="139"/>
        <v>15767500</v>
      </c>
      <c r="Y733" s="151">
        <f>VLOOKUP(E733,Modificaciones!$B$7:$BE$2300,56,0)</f>
        <v>15767500</v>
      </c>
      <c r="Z733" s="84">
        <f t="shared" si="146"/>
        <v>0</v>
      </c>
      <c r="AA733" s="283" t="s">
        <v>1894</v>
      </c>
      <c r="AB733" s="823">
        <f t="shared" si="147"/>
        <v>1</v>
      </c>
      <c r="AC733" s="40">
        <f t="shared" ca="1" si="141"/>
        <v>1</v>
      </c>
      <c r="AD733" s="41">
        <f t="shared" ca="1" si="142"/>
        <v>0</v>
      </c>
      <c r="AE733" s="181" t="str">
        <f t="shared" ca="1" si="143"/>
        <v/>
      </c>
      <c r="AF733" s="42" t="str">
        <f t="shared" si="148"/>
        <v>SI</v>
      </c>
      <c r="AG733" s="838" t="s">
        <v>1711</v>
      </c>
      <c r="AH733" s="152" t="s">
        <v>1256</v>
      </c>
      <c r="AI733" s="841" t="s">
        <v>4527</v>
      </c>
      <c r="AJ733" s="152" t="s">
        <v>1438</v>
      </c>
      <c r="AK733" s="255" t="s">
        <v>560</v>
      </c>
      <c r="AL733" s="838" t="s">
        <v>1508</v>
      </c>
      <c r="AM733" s="279" t="s">
        <v>4242</v>
      </c>
      <c r="AN733" s="161" t="str">
        <f t="shared" ca="1" si="144"/>
        <v>TERMINO</v>
      </c>
      <c r="AO733" s="414" t="s">
        <v>4489</v>
      </c>
      <c r="AP733" s="406" t="s">
        <v>390</v>
      </c>
      <c r="AQ733" s="819" t="str">
        <f>IFERROR(VLOOKUP(E733,'liquidaciones '!$B$2:$C$1048576,2,0),"NO")</f>
        <v>DEVUELTO</v>
      </c>
      <c r="AR733" s="909" t="str">
        <f>IFERROR(VLOOKUP(E733,'liquidaciones '!$B$2:$I$1048576,8,0),"")</f>
        <v>MARIA ALEJANDRA SANCHEZ</v>
      </c>
      <c r="AS733" s="406"/>
      <c r="AT733" s="156" t="str">
        <f t="shared" ca="1" si="145"/>
        <v>SI</v>
      </c>
      <c r="AU733" s="990" t="s">
        <v>4209</v>
      </c>
      <c r="AV733" s="406" t="s">
        <v>4852</v>
      </c>
      <c r="AW733" s="930" t="s">
        <v>560</v>
      </c>
      <c r="AX733" s="928"/>
      <c r="AY733" s="275"/>
    </row>
    <row r="734" spans="3:51" ht="122.4" x14ac:dyDescent="0.3">
      <c r="C734" s="837"/>
      <c r="D734" s="837"/>
      <c r="E734" s="120" t="s">
        <v>4542</v>
      </c>
      <c r="F734" s="414" t="s">
        <v>3608</v>
      </c>
      <c r="G734" s="863">
        <v>900749719</v>
      </c>
      <c r="H734" s="969" t="s">
        <v>4543</v>
      </c>
      <c r="I734" s="84">
        <v>165591151.30000001</v>
      </c>
      <c r="J734" s="843" t="s">
        <v>4549</v>
      </c>
      <c r="K734" s="269">
        <v>2018</v>
      </c>
      <c r="L734" s="519">
        <v>43455</v>
      </c>
      <c r="M734" s="519">
        <v>43474</v>
      </c>
      <c r="N734" s="519">
        <v>43593</v>
      </c>
      <c r="O734" s="1099" t="str">
        <f>IF(+Modificaciones!I734=0,"",VLOOKUP(E734,Modificaciones!$B$7:$I$2400,8,0))</f>
        <v/>
      </c>
      <c r="P734" s="115">
        <f>COUNTA(Modificaciones!J734,Modificaciones!L734,Modificaciones!N734,Modificaciones!P734)</f>
        <v>0</v>
      </c>
      <c r="Q734" s="116">
        <f>VLOOKUP(E734,Modificaciones!$B$7:$R$2300,17,0)</f>
        <v>0</v>
      </c>
      <c r="R734" s="117">
        <f>COUNTA(Modificaciones!T734,Modificaciones!V734,Modificaciones!X734,Modificaciones!Z734)</f>
        <v>1</v>
      </c>
      <c r="S734" s="118" t="str">
        <f>IF(Modificaciones!AA734=0,"",VLOOKUP(E734,Modificaciones!$B$7:$AA$2400,26,0))</f>
        <v>15 días calendario</v>
      </c>
      <c r="T734" s="119">
        <f>IF(Modificaciones!AB734=0,"",VLOOKUP(E734,Modificaciones!$B$7:$AB$2400,27,0))</f>
        <v>43608</v>
      </c>
      <c r="U734" s="1080" t="str">
        <f>+Modificaciones!AC734</f>
        <v/>
      </c>
      <c r="V734" s="825" t="str">
        <f>+Modificaciones!AK734</f>
        <v/>
      </c>
      <c r="W734" s="825">
        <f t="shared" si="140"/>
        <v>43608</v>
      </c>
      <c r="X734" s="59">
        <f t="shared" si="139"/>
        <v>165591151.30000001</v>
      </c>
      <c r="Y734" s="151">
        <f>VLOOKUP(E734,Modificaciones!$B$7:$BE$2300,56,0)</f>
        <v>165591150</v>
      </c>
      <c r="Z734" s="84">
        <f t="shared" si="146"/>
        <v>1.300000011920929</v>
      </c>
      <c r="AA734" s="288" t="s">
        <v>4544</v>
      </c>
      <c r="AB734" s="823">
        <f t="shared" si="147"/>
        <v>0.99999999214933888</v>
      </c>
      <c r="AC734" s="40">
        <f t="shared" ca="1" si="141"/>
        <v>1</v>
      </c>
      <c r="AD734" s="41">
        <f t="shared" ca="1" si="142"/>
        <v>7.8506611211892618E-9</v>
      </c>
      <c r="AE734" s="181" t="str">
        <f t="shared" ca="1" si="143"/>
        <v/>
      </c>
      <c r="AF734" s="42" t="str">
        <f t="shared" si="148"/>
        <v>SI</v>
      </c>
      <c r="AG734" s="838" t="s">
        <v>1716</v>
      </c>
      <c r="AH734" s="841" t="s">
        <v>1255</v>
      </c>
      <c r="AI734" s="841" t="s">
        <v>3788</v>
      </c>
      <c r="AJ734" s="838"/>
      <c r="AK734" s="255" t="s">
        <v>559</v>
      </c>
      <c r="AL734" s="838"/>
      <c r="AM734" s="279" t="s">
        <v>4242</v>
      </c>
      <c r="AN734" s="161" t="str">
        <f t="shared" ca="1" si="144"/>
        <v>TERMINO</v>
      </c>
      <c r="AO734" s="284" t="s">
        <v>574</v>
      </c>
      <c r="AP734" s="406" t="s">
        <v>390</v>
      </c>
      <c r="AQ734" s="819" t="str">
        <f>IFERROR(VLOOKUP(E734,'liquidaciones '!$B$2:$C$1048576,2,0),"NO")</f>
        <v>LIQUIDADO</v>
      </c>
      <c r="AR734" s="909" t="str">
        <f>IFERROR(VLOOKUP(E734,'liquidaciones '!$B$2:$I$1048576,8,0),"")</f>
        <v>JUAN DIEGO ESPÍTIA</v>
      </c>
      <c r="AS734" s="406"/>
      <c r="AT734" s="156" t="str">
        <f t="shared" ca="1" si="145"/>
        <v>SI</v>
      </c>
      <c r="AU734" s="992" t="s">
        <v>4244</v>
      </c>
      <c r="AV734" s="406"/>
      <c r="AW734" s="930" t="s">
        <v>3938</v>
      </c>
      <c r="AX734" s="930" t="s">
        <v>4901</v>
      </c>
      <c r="AY734" s="275"/>
    </row>
    <row r="735" spans="3:51" ht="40.799999999999997" x14ac:dyDescent="0.3">
      <c r="C735" s="837"/>
      <c r="D735" s="837"/>
      <c r="E735" s="120" t="s">
        <v>4545</v>
      </c>
      <c r="F735" s="414" t="s">
        <v>4546</v>
      </c>
      <c r="G735" s="863">
        <v>80751229</v>
      </c>
      <c r="H735" s="969" t="s">
        <v>4547</v>
      </c>
      <c r="I735" s="84">
        <v>8203500</v>
      </c>
      <c r="J735" s="843" t="s">
        <v>4551</v>
      </c>
      <c r="K735" s="269">
        <v>2018</v>
      </c>
      <c r="L735" s="519">
        <v>43462</v>
      </c>
      <c r="M735" s="519">
        <v>43473</v>
      </c>
      <c r="N735" s="519">
        <v>43518</v>
      </c>
      <c r="O735" s="1099" t="str">
        <f>IF(+Modificaciones!I735=0,"",VLOOKUP(E735,Modificaciones!$B$7:$I$2400,8,0))</f>
        <v/>
      </c>
      <c r="P735" s="115">
        <f>COUNTA(Modificaciones!J735,Modificaciones!L735,Modificaciones!N735,Modificaciones!P735)</f>
        <v>0</v>
      </c>
      <c r="Q735" s="116">
        <f>VLOOKUP(E735,Modificaciones!$B$7:$R$2300,17,0)</f>
        <v>0</v>
      </c>
      <c r="R735" s="117">
        <f>COUNTA(Modificaciones!T735,Modificaciones!V735,Modificaciones!X735,Modificaciones!Z735)</f>
        <v>0</v>
      </c>
      <c r="S735" s="118" t="str">
        <f>IF(Modificaciones!AA735=0,"",VLOOKUP(E735,Modificaciones!$B$7:$AA$2400,26,0))</f>
        <v/>
      </c>
      <c r="T735" s="119" t="str">
        <f>IF(Modificaciones!AB735=0,"",VLOOKUP(E735,Modificaciones!$B$7:$AB$2400,27,0))</f>
        <v/>
      </c>
      <c r="U735" s="1080" t="str">
        <f>+Modificaciones!AC735</f>
        <v/>
      </c>
      <c r="V735" s="825" t="str">
        <f>+Modificaciones!AK735</f>
        <v/>
      </c>
      <c r="W735" s="825">
        <f t="shared" si="140"/>
        <v>43518</v>
      </c>
      <c r="X735" s="59">
        <f t="shared" si="139"/>
        <v>8203500</v>
      </c>
      <c r="Y735" s="151">
        <f>VLOOKUP(E735,Modificaciones!$B$7:$BE$2300,56,0)</f>
        <v>8203500</v>
      </c>
      <c r="Z735" s="84">
        <f t="shared" si="146"/>
        <v>0</v>
      </c>
      <c r="AA735" s="283" t="s">
        <v>1094</v>
      </c>
      <c r="AB735" s="823">
        <f t="shared" si="147"/>
        <v>1</v>
      </c>
      <c r="AC735" s="40">
        <f t="shared" ca="1" si="141"/>
        <v>1</v>
      </c>
      <c r="AD735" s="41">
        <f t="shared" ca="1" si="142"/>
        <v>0</v>
      </c>
      <c r="AE735" s="181" t="str">
        <f t="shared" ca="1" si="143"/>
        <v/>
      </c>
      <c r="AF735" s="42" t="str">
        <f t="shared" si="148"/>
        <v>SI</v>
      </c>
      <c r="AG735" s="732" t="s">
        <v>5773</v>
      </c>
      <c r="AH735" s="841" t="s">
        <v>1255</v>
      </c>
      <c r="AI735" s="870" t="s">
        <v>4548</v>
      </c>
      <c r="AJ735" s="838"/>
      <c r="AK735" s="255" t="s">
        <v>559</v>
      </c>
      <c r="AL735" s="838"/>
      <c r="AM735" s="279" t="s">
        <v>4242</v>
      </c>
      <c r="AN735" s="161" t="str">
        <f t="shared" ca="1" si="144"/>
        <v>TERMINO</v>
      </c>
      <c r="AO735" s="414" t="s">
        <v>4508</v>
      </c>
      <c r="AP735" s="406" t="s">
        <v>390</v>
      </c>
      <c r="AQ735" s="819" t="str">
        <f>IFERROR(VLOOKUP(E735,'liquidaciones '!$B$2:$C$1048576,2,0),"NO")</f>
        <v>LIQUIDADO</v>
      </c>
      <c r="AR735" s="909" t="str">
        <f>IFERROR(VLOOKUP(E735,'liquidaciones '!$B$2:$I$1048576,8,0),"")</f>
        <v>MARTHA SANCHEZ</v>
      </c>
      <c r="AS735" s="406"/>
      <c r="AT735" s="156" t="str">
        <f t="shared" ca="1" si="145"/>
        <v>SI</v>
      </c>
      <c r="AU735" s="992" t="s">
        <v>4597</v>
      </c>
      <c r="AV735" s="406"/>
      <c r="AW735" s="930" t="s">
        <v>3938</v>
      </c>
      <c r="AX735" s="928"/>
      <c r="AY735" s="275" t="s">
        <v>4674</v>
      </c>
    </row>
    <row r="736" spans="3:51" ht="71.400000000000006" x14ac:dyDescent="0.3">
      <c r="C736" s="837">
        <v>37</v>
      </c>
      <c r="D736" s="837"/>
      <c r="E736" s="120" t="s">
        <v>4568</v>
      </c>
      <c r="F736" s="414" t="s">
        <v>3608</v>
      </c>
      <c r="G736" s="863">
        <v>900749719</v>
      </c>
      <c r="H736" s="969" t="s">
        <v>4576</v>
      </c>
      <c r="I736" s="84">
        <v>300000000</v>
      </c>
      <c r="J736" s="843" t="s">
        <v>4571</v>
      </c>
      <c r="K736" s="269">
        <v>2019</v>
      </c>
      <c r="L736" s="519">
        <v>43488</v>
      </c>
      <c r="M736" s="519">
        <v>43490</v>
      </c>
      <c r="N736" s="519">
        <v>43854</v>
      </c>
      <c r="O736" s="1099" t="str">
        <f>IF(+Modificaciones!I736=0,"",VLOOKUP(E736,Modificaciones!$B$7:$I$2400,8,0))</f>
        <v/>
      </c>
      <c r="P736" s="115">
        <f>COUNTA(Modificaciones!J736,Modificaciones!L736,Modificaciones!N736,Modificaciones!P736)</f>
        <v>1</v>
      </c>
      <c r="Q736" s="116">
        <f>VLOOKUP(E736,Modificaciones!$B$7:$R$2300,17,0)</f>
        <v>150000000</v>
      </c>
      <c r="R736" s="117">
        <f>COUNTA(Modificaciones!T736,Modificaciones!V736,Modificaciones!X736,Modificaciones!Z736)</f>
        <v>1</v>
      </c>
      <c r="S736" s="118" t="str">
        <f>IF(Modificaciones!AA736=0,"",VLOOKUP(E736,Modificaciones!$B$7:$AA$2400,26,0))</f>
        <v>1 mes</v>
      </c>
      <c r="T736" s="119">
        <f>IF(Modificaciones!AB736=0,"",VLOOKUP(E736,Modificaciones!$B$7:$AB$2400,27,0))</f>
        <v>43885</v>
      </c>
      <c r="U736" s="1080" t="str">
        <f>+Modificaciones!AC736</f>
        <v/>
      </c>
      <c r="V736" s="825" t="str">
        <f>+Modificaciones!AK736</f>
        <v/>
      </c>
      <c r="W736" s="825">
        <f t="shared" si="140"/>
        <v>43885</v>
      </c>
      <c r="X736" s="59">
        <f t="shared" si="139"/>
        <v>450000000</v>
      </c>
      <c r="Y736" s="151">
        <f>VLOOKUP(E736,Modificaciones!$B$7:$BE$2300,56,0)</f>
        <v>450000000</v>
      </c>
      <c r="Z736" s="84">
        <f t="shared" si="146"/>
        <v>0</v>
      </c>
      <c r="AA736" s="283" t="s">
        <v>4980</v>
      </c>
      <c r="AB736" s="823">
        <f t="shared" si="147"/>
        <v>1</v>
      </c>
      <c r="AC736" s="40">
        <f t="shared" ca="1" si="141"/>
        <v>1</v>
      </c>
      <c r="AD736" s="41">
        <f t="shared" ca="1" si="142"/>
        <v>0</v>
      </c>
      <c r="AE736" s="181" t="str">
        <f t="shared" ca="1" si="143"/>
        <v/>
      </c>
      <c r="AF736" s="42" t="str">
        <f t="shared" si="148"/>
        <v>SI</v>
      </c>
      <c r="AG736" s="732" t="s">
        <v>1716</v>
      </c>
      <c r="AH736" s="152" t="s">
        <v>1255</v>
      </c>
      <c r="AI736" s="255" t="s">
        <v>2553</v>
      </c>
      <c r="AJ736" s="838"/>
      <c r="AK736" s="278" t="s">
        <v>560</v>
      </c>
      <c r="AL736" s="838" t="s">
        <v>3597</v>
      </c>
      <c r="AM736" s="279" t="s">
        <v>4242</v>
      </c>
      <c r="AN736" s="161" t="str">
        <f t="shared" ca="1" si="144"/>
        <v>TERMINO</v>
      </c>
      <c r="AO736" s="284" t="s">
        <v>574</v>
      </c>
      <c r="AP736" s="155" t="s">
        <v>390</v>
      </c>
      <c r="AQ736" s="819" t="str">
        <f>IFERROR(VLOOKUP(E736,'liquidaciones '!$B$2:$C$1048576,2,0),"NO")</f>
        <v>NO</v>
      </c>
      <c r="AR736" s="909" t="str">
        <f>IFERROR(VLOOKUP(E736,'liquidaciones '!$B$2:$I$1048576,8,0),"")</f>
        <v/>
      </c>
      <c r="AS736" s="406"/>
      <c r="AT736" s="156" t="str">
        <f t="shared" ca="1" si="145"/>
        <v>SI</v>
      </c>
      <c r="AU736" s="156" t="s">
        <v>5852</v>
      </c>
      <c r="AV736" s="406"/>
      <c r="AW736" s="290" t="s">
        <v>560</v>
      </c>
      <c r="AX736" s="290" t="s">
        <v>5596</v>
      </c>
      <c r="AY736" s="275" t="s">
        <v>5709</v>
      </c>
    </row>
    <row r="737" spans="3:51" ht="163.19999999999999" x14ac:dyDescent="0.3">
      <c r="C737" s="837">
        <v>308</v>
      </c>
      <c r="D737" s="837"/>
      <c r="E737" s="120" t="s">
        <v>4569</v>
      </c>
      <c r="F737" s="414" t="s">
        <v>2433</v>
      </c>
      <c r="G737" s="874">
        <v>900475780</v>
      </c>
      <c r="H737" s="965" t="s">
        <v>3688</v>
      </c>
      <c r="I737" s="84">
        <v>5429000000</v>
      </c>
      <c r="J737" s="843" t="s">
        <v>4572</v>
      </c>
      <c r="K737" s="269">
        <v>2019</v>
      </c>
      <c r="L737" s="519">
        <v>43488</v>
      </c>
      <c r="M737" s="519">
        <v>43489</v>
      </c>
      <c r="N737" s="519">
        <v>43822</v>
      </c>
      <c r="O737" s="1099" t="str">
        <f>IF(+Modificaciones!I737=0,"",VLOOKUP(E737,Modificaciones!$B$7:$I$2400,8,0))</f>
        <v/>
      </c>
      <c r="P737" s="115">
        <f>COUNTA(Modificaciones!J737,Modificaciones!L737,Modificaciones!N737,Modificaciones!P737)</f>
        <v>1</v>
      </c>
      <c r="Q737" s="116">
        <f>VLOOKUP(E737,Modificaciones!$B$7:$R$2300,17,0)</f>
        <v>300000000</v>
      </c>
      <c r="R737" s="117">
        <f>COUNTA(Modificaciones!T737,Modificaciones!V737,Modificaciones!X737,Modificaciones!Z737)</f>
        <v>4</v>
      </c>
      <c r="S737" s="118" t="str">
        <f>IF(Modificaciones!AA737=0,"",VLOOKUP(E737,Modificaciones!$B$7:$AA$2400,26,0))</f>
        <v>3 meses y 2 días</v>
      </c>
      <c r="T737" s="119">
        <f>IF(Modificaciones!AB737=0,"",VLOOKUP(E737,Modificaciones!$B$7:$AB$2400,27,0))</f>
        <v>43921</v>
      </c>
      <c r="U737" s="1080" t="str">
        <f>+Modificaciones!AC737</f>
        <v/>
      </c>
      <c r="V737" s="825" t="str">
        <f>+Modificaciones!AK737</f>
        <v/>
      </c>
      <c r="W737" s="825">
        <f t="shared" si="140"/>
        <v>43921</v>
      </c>
      <c r="X737" s="59">
        <f t="shared" si="139"/>
        <v>5729000000</v>
      </c>
      <c r="Y737" s="151">
        <f>VLOOKUP(E737,Modificaciones!$B$7:$BE$2300,56,0)</f>
        <v>5689663113</v>
      </c>
      <c r="Z737" s="84">
        <f t="shared" si="146"/>
        <v>39336887</v>
      </c>
      <c r="AA737" s="288" t="s">
        <v>4570</v>
      </c>
      <c r="AB737" s="823">
        <f t="shared" si="147"/>
        <v>0.99313372543201262</v>
      </c>
      <c r="AC737" s="40">
        <f t="shared" ca="1" si="141"/>
        <v>1</v>
      </c>
      <c r="AD737" s="41">
        <f t="shared" ca="1" si="142"/>
        <v>6.8662745679873849E-3</v>
      </c>
      <c r="AE737" s="181" t="str">
        <f t="shared" ca="1" si="143"/>
        <v/>
      </c>
      <c r="AF737" s="42" t="str">
        <f t="shared" si="148"/>
        <v>NO</v>
      </c>
      <c r="AG737" s="732" t="s">
        <v>1718</v>
      </c>
      <c r="AH737" s="152" t="s">
        <v>1255</v>
      </c>
      <c r="AI737" s="255" t="s">
        <v>1507</v>
      </c>
      <c r="AJ737" s="152" t="s">
        <v>1441</v>
      </c>
      <c r="AK737" s="275" t="s">
        <v>3938</v>
      </c>
      <c r="AM737" s="279" t="s">
        <v>4242</v>
      </c>
      <c r="AN737" s="161" t="str">
        <f t="shared" ca="1" si="144"/>
        <v>TERMINO</v>
      </c>
      <c r="AO737" s="160" t="s">
        <v>582</v>
      </c>
      <c r="AP737" s="406" t="s">
        <v>390</v>
      </c>
      <c r="AQ737" s="819" t="str">
        <f>IFERROR(VLOOKUP(E737,'liquidaciones '!$B$2:$C$1048576,2,0),"NO")</f>
        <v>EN TRÁMITE</v>
      </c>
      <c r="AR737" s="909" t="str">
        <f>IFERROR(VLOOKUP(E737,'liquidaciones '!$B$2:$I$1048576,8,0),"")</f>
        <v>JUAN DIEGO ESPITIA</v>
      </c>
      <c r="AS737" s="406"/>
      <c r="AT737" s="156" t="str">
        <f t="shared" ca="1" si="145"/>
        <v>SI</v>
      </c>
      <c r="AU737" s="994" t="s">
        <v>4299</v>
      </c>
      <c r="AV737" s="406"/>
      <c r="AW737" s="930" t="s">
        <v>3938</v>
      </c>
      <c r="AX737" s="930" t="s">
        <v>5744</v>
      </c>
      <c r="AY737" s="275" t="s">
        <v>5769</v>
      </c>
    </row>
    <row r="738" spans="3:51" ht="102" x14ac:dyDescent="0.3">
      <c r="C738" s="837">
        <v>212</v>
      </c>
      <c r="D738" s="837"/>
      <c r="E738" s="120" t="s">
        <v>4573</v>
      </c>
      <c r="F738" s="414" t="s">
        <v>3368</v>
      </c>
      <c r="G738" s="863">
        <v>830095213</v>
      </c>
      <c r="H738" s="965" t="s">
        <v>4298</v>
      </c>
      <c r="I738" s="84">
        <v>480000000</v>
      </c>
      <c r="J738" s="843" t="s">
        <v>4574</v>
      </c>
      <c r="K738" s="269">
        <v>2019</v>
      </c>
      <c r="L738" s="519">
        <v>43490</v>
      </c>
      <c r="M738" s="519">
        <v>43492</v>
      </c>
      <c r="N738" s="519">
        <v>43822</v>
      </c>
      <c r="O738" s="1099" t="str">
        <f>IF(+Modificaciones!I738=0,"",VLOOKUP(E738,Modificaciones!$B$7:$I$2400,8,0))</f>
        <v/>
      </c>
      <c r="P738" s="115">
        <f>COUNTA(Modificaciones!J738,Modificaciones!L738,Modificaciones!N738,Modificaciones!P738)</f>
        <v>1</v>
      </c>
      <c r="Q738" s="116">
        <f>VLOOKUP(E738,Modificaciones!$B$7:$R$2300,17,0)</f>
        <v>50000000</v>
      </c>
      <c r="R738" s="117">
        <f>COUNTA(Modificaciones!T738,Modificaciones!V738,Modificaciones!X738,Modificaciones!Z738)</f>
        <v>4</v>
      </c>
      <c r="S738" s="118" t="str">
        <f>IF(Modificaciones!AA738=0,"",VLOOKUP(E738,Modificaciones!$B$7:$AA$2400,26,0))</f>
        <v>11 meses y 23 días</v>
      </c>
      <c r="T738" s="119">
        <f>IF(Modificaciones!AB738=0,"",VLOOKUP(E738,Modificaciones!$B$7:$AB$2400,27,0))</f>
        <v>44180</v>
      </c>
      <c r="U738" s="1080" t="str">
        <f>+Modificaciones!AC738</f>
        <v/>
      </c>
      <c r="V738" s="825" t="str">
        <f>+Modificaciones!AK738</f>
        <v/>
      </c>
      <c r="W738" s="825">
        <f t="shared" si="140"/>
        <v>44180</v>
      </c>
      <c r="X738" s="59">
        <f>I738+Q738</f>
        <v>530000000</v>
      </c>
      <c r="Y738" s="151">
        <f>VLOOKUP(E738,Modificaciones!$B$7:$BE$2300,56,0)</f>
        <v>483943717</v>
      </c>
      <c r="Z738" s="84">
        <f>X738-Y738</f>
        <v>46056283</v>
      </c>
      <c r="AA738" s="283"/>
      <c r="AB738" s="823">
        <f t="shared" si="147"/>
        <v>0.91310135283018867</v>
      </c>
      <c r="AC738" s="40">
        <f t="shared" ca="1" si="141"/>
        <v>1</v>
      </c>
      <c r="AD738" s="41">
        <f t="shared" ca="1" si="142"/>
        <v>8.6898647169811327E-2</v>
      </c>
      <c r="AE738" s="181" t="str">
        <f t="shared" ca="1" si="143"/>
        <v/>
      </c>
      <c r="AF738" s="42" t="str">
        <f t="shared" si="148"/>
        <v>NO</v>
      </c>
      <c r="AG738" s="1100" t="s">
        <v>1712</v>
      </c>
      <c r="AH738" s="152" t="s">
        <v>1255</v>
      </c>
      <c r="AI738" s="255" t="s">
        <v>1138</v>
      </c>
      <c r="AJ738" s="838"/>
      <c r="AK738" s="255" t="s">
        <v>559</v>
      </c>
      <c r="AL738" s="838" t="s">
        <v>4575</v>
      </c>
      <c r="AM738" s="279" t="s">
        <v>4242</v>
      </c>
      <c r="AN738" s="161" t="str">
        <f t="shared" ca="1" si="144"/>
        <v>TERMINO</v>
      </c>
      <c r="AO738" s="414"/>
      <c r="AP738" s="406"/>
      <c r="AQ738" s="819" t="str">
        <f>IFERROR(VLOOKUP(E738,'liquidaciones '!$B$2:$C$1048576,2,0),"NO")</f>
        <v>NO</v>
      </c>
      <c r="AR738" s="909" t="str">
        <f>IFERROR(VLOOKUP(E738,'liquidaciones '!$B$2:$I$1048576,8,0),"")</f>
        <v/>
      </c>
      <c r="AS738" s="406"/>
      <c r="AT738" s="156" t="str">
        <f t="shared" ca="1" si="145"/>
        <v>SI</v>
      </c>
      <c r="AU738" s="406" t="s">
        <v>4299</v>
      </c>
      <c r="AV738" s="406"/>
      <c r="AW738" s="930" t="s">
        <v>3938</v>
      </c>
      <c r="AX738" s="930" t="s">
        <v>6480</v>
      </c>
      <c r="AY738" s="275" t="s">
        <v>6512</v>
      </c>
    </row>
    <row r="739" spans="3:51" ht="51" x14ac:dyDescent="0.3">
      <c r="C739" s="837">
        <v>155</v>
      </c>
      <c r="D739" s="837"/>
      <c r="E739" s="120" t="s">
        <v>4592</v>
      </c>
      <c r="F739" s="414" t="s">
        <v>4314</v>
      </c>
      <c r="G739" s="863">
        <v>52196310</v>
      </c>
      <c r="H739" s="969" t="s">
        <v>4315</v>
      </c>
      <c r="I739" s="84">
        <v>48180000</v>
      </c>
      <c r="J739" s="843" t="s">
        <v>4593</v>
      </c>
      <c r="K739" s="269">
        <v>2019</v>
      </c>
      <c r="L739" s="519">
        <v>43500</v>
      </c>
      <c r="M739" s="519">
        <v>43500</v>
      </c>
      <c r="N739" s="519">
        <v>43641</v>
      </c>
      <c r="O739" s="1099" t="str">
        <f>IF(+Modificaciones!I739=0,"",VLOOKUP(E739,Modificaciones!$B$7:$I$2400,8,0))</f>
        <v/>
      </c>
      <c r="P739" s="115">
        <f>COUNTA(Modificaciones!J739,Modificaciones!L739,Modificaciones!N739,Modificaciones!P739)</f>
        <v>0</v>
      </c>
      <c r="Q739" s="116">
        <f>VLOOKUP(E739,Modificaciones!$B$7:$R$2300,17,0)</f>
        <v>0</v>
      </c>
      <c r="R739" s="117">
        <f>COUNTA(Modificaciones!T739,Modificaciones!V739,Modificaciones!X739,Modificaciones!Z739)</f>
        <v>0</v>
      </c>
      <c r="S739" s="118" t="str">
        <f>IF(Modificaciones!AA739=0,"",VLOOKUP(E739,Modificaciones!$B$7:$AA$2400,26,0))</f>
        <v/>
      </c>
      <c r="T739" s="119" t="str">
        <f>IF(Modificaciones!AB739=0,"",VLOOKUP(E739,Modificaciones!$B$7:$AB$2400,27,0))</f>
        <v/>
      </c>
      <c r="U739" s="1080" t="str">
        <f>+Modificaciones!AC739</f>
        <v/>
      </c>
      <c r="V739" s="825" t="str">
        <f>+Modificaciones!AK739</f>
        <v/>
      </c>
      <c r="W739" s="825">
        <f t="shared" si="140"/>
        <v>43641</v>
      </c>
      <c r="X739" s="59">
        <f t="shared" si="139"/>
        <v>48180000</v>
      </c>
      <c r="Y739" s="151">
        <f>VLOOKUP(E739,Modificaciones!$B$7:$BE$2300,56,0)</f>
        <v>38008667</v>
      </c>
      <c r="Z739" s="84">
        <f t="shared" si="146"/>
        <v>10171333</v>
      </c>
      <c r="AA739" s="283" t="s">
        <v>1094</v>
      </c>
      <c r="AB739" s="823">
        <f t="shared" si="147"/>
        <v>0.78888889580738897</v>
      </c>
      <c r="AC739" s="40">
        <f t="shared" ca="1" si="141"/>
        <v>1</v>
      </c>
      <c r="AD739" s="41">
        <f t="shared" ca="1" si="142"/>
        <v>0.21111110419261103</v>
      </c>
      <c r="AE739" s="181" t="str">
        <f t="shared" ca="1" si="143"/>
        <v/>
      </c>
      <c r="AF739" s="42" t="str">
        <f t="shared" si="148"/>
        <v>NO</v>
      </c>
      <c r="AG739" s="732" t="s">
        <v>5773</v>
      </c>
      <c r="AH739" s="841" t="s">
        <v>1255</v>
      </c>
      <c r="AI739" s="870" t="s">
        <v>4316</v>
      </c>
      <c r="AJ739" s="838" t="s">
        <v>4317</v>
      </c>
      <c r="AK739" s="255" t="s">
        <v>559</v>
      </c>
      <c r="AL739" s="838"/>
      <c r="AM739" s="279" t="s">
        <v>4242</v>
      </c>
      <c r="AN739" s="161" t="str">
        <f t="shared" ca="1" si="144"/>
        <v>TERMINO</v>
      </c>
      <c r="AO739" s="160" t="s">
        <v>582</v>
      </c>
      <c r="AP739" s="155" t="s">
        <v>391</v>
      </c>
      <c r="AQ739" s="819" t="str">
        <f>IFERROR(VLOOKUP(E739,'liquidaciones '!$B$2:$C$1048576,2,0),"NO")</f>
        <v>DEVUELTO</v>
      </c>
      <c r="AR739" s="909" t="str">
        <f>IFERROR(VLOOKUP(E739,'liquidaciones '!$B$2:$I$1048576,8,0),"")</f>
        <v>MARTHA SANCHEZ</v>
      </c>
      <c r="AS739" s="406"/>
      <c r="AT739" s="156" t="str">
        <f t="shared" ca="1" si="145"/>
        <v>SI</v>
      </c>
      <c r="AU739" s="406" t="s">
        <v>4805</v>
      </c>
      <c r="AV739" s="406"/>
      <c r="AW739" s="930" t="s">
        <v>3938</v>
      </c>
      <c r="AX739" s="928"/>
      <c r="AY739" s="275"/>
    </row>
    <row r="740" spans="3:51" ht="40.799999999999997" x14ac:dyDescent="0.3">
      <c r="C740" s="837">
        <v>158</v>
      </c>
      <c r="D740" s="837"/>
      <c r="E740" s="120" t="s">
        <v>4594</v>
      </c>
      <c r="F740" s="414" t="s">
        <v>4319</v>
      </c>
      <c r="G740" s="863">
        <v>80830146</v>
      </c>
      <c r="H740" s="969" t="s">
        <v>3039</v>
      </c>
      <c r="I740" s="84">
        <v>33622600</v>
      </c>
      <c r="J740" s="843" t="s">
        <v>4595</v>
      </c>
      <c r="K740" s="269">
        <v>2019</v>
      </c>
      <c r="L740" s="519">
        <v>43497</v>
      </c>
      <c r="M740" s="519">
        <v>43500</v>
      </c>
      <c r="N740" s="519">
        <v>43641</v>
      </c>
      <c r="O740" s="1099" t="str">
        <f>IF(+Modificaciones!I740=0,"",VLOOKUP(E740,Modificaciones!$B$7:$I$2400,8,0))</f>
        <v/>
      </c>
      <c r="P740" s="115">
        <f>COUNTA(Modificaciones!J740,Modificaciones!L740,Modificaciones!N740,Modificaciones!P740)</f>
        <v>0</v>
      </c>
      <c r="Q740" s="116">
        <f>VLOOKUP(E740,Modificaciones!$B$7:$R$2300,17,0)</f>
        <v>0</v>
      </c>
      <c r="R740" s="117">
        <f>COUNTA(Modificaciones!T740,Modificaciones!V740,Modificaciones!X740,Modificaciones!Z740)</f>
        <v>0</v>
      </c>
      <c r="S740" s="118" t="str">
        <f>IF(Modificaciones!AA740=0,"",VLOOKUP(E740,Modificaciones!$B$7:$AA$2400,26,0))</f>
        <v/>
      </c>
      <c r="T740" s="119" t="str">
        <f>IF(Modificaciones!AB740=0,"",VLOOKUP(E740,Modificaciones!$B$7:$AB$2400,27,0))</f>
        <v/>
      </c>
      <c r="U740" s="1080" t="str">
        <f>+Modificaciones!AC740</f>
        <v/>
      </c>
      <c r="V740" s="825" t="str">
        <f>+Modificaciones!AK740</f>
        <v/>
      </c>
      <c r="W740" s="825">
        <f t="shared" si="140"/>
        <v>43641</v>
      </c>
      <c r="X740" s="59">
        <f t="shared" si="139"/>
        <v>33622600</v>
      </c>
      <c r="Y740" s="151">
        <f>VLOOKUP(E740,Modificaciones!$B$7:$BE$2300,56,0)</f>
        <v>27439133</v>
      </c>
      <c r="Z740" s="84">
        <f t="shared" si="146"/>
        <v>6183467</v>
      </c>
      <c r="AA740" s="283" t="s">
        <v>1094</v>
      </c>
      <c r="AB740" s="823">
        <f t="shared" si="147"/>
        <v>0.81609194410902186</v>
      </c>
      <c r="AC740" s="40">
        <f t="shared" ca="1" si="141"/>
        <v>1</v>
      </c>
      <c r="AD740" s="41">
        <f t="shared" ca="1" si="142"/>
        <v>0.18390805589097814</v>
      </c>
      <c r="AE740" s="181" t="str">
        <f t="shared" ca="1" si="143"/>
        <v/>
      </c>
      <c r="AF740" s="42" t="str">
        <f t="shared" si="148"/>
        <v>NO</v>
      </c>
      <c r="AG740" s="732" t="s">
        <v>5773</v>
      </c>
      <c r="AH740" s="841" t="s">
        <v>1255</v>
      </c>
      <c r="AI740" s="870" t="s">
        <v>4320</v>
      </c>
      <c r="AJ740" s="838" t="s">
        <v>4321</v>
      </c>
      <c r="AK740" s="255" t="s">
        <v>561</v>
      </c>
      <c r="AL740" s="838"/>
      <c r="AM740" s="279" t="s">
        <v>3856</v>
      </c>
      <c r="AN740" s="161" t="str">
        <f t="shared" ca="1" si="144"/>
        <v>TERMINO</v>
      </c>
      <c r="AO740" s="160" t="s">
        <v>582</v>
      </c>
      <c r="AP740" s="155" t="s">
        <v>391</v>
      </c>
      <c r="AQ740" s="819" t="str">
        <f>IFERROR(VLOOKUP(E740,'liquidaciones '!$B$2:$C$1048576,2,0),"NO")</f>
        <v>LIQUIDADO</v>
      </c>
      <c r="AR740" s="909" t="str">
        <f>IFERROR(VLOOKUP(E740,'liquidaciones '!$B$2:$I$1048576,8,0),"")</f>
        <v>GABINO HERNANDEZ</v>
      </c>
      <c r="AS740" s="406"/>
      <c r="AT740" s="156" t="str">
        <f t="shared" ca="1" si="145"/>
        <v>SI</v>
      </c>
      <c r="AU740" s="156" t="s">
        <v>4245</v>
      </c>
      <c r="AV740" s="406"/>
      <c r="AW740" s="930" t="s">
        <v>4178</v>
      </c>
      <c r="AX740" s="928"/>
      <c r="AY740" s="275" t="s">
        <v>5818</v>
      </c>
    </row>
    <row r="741" spans="3:51" ht="30.6" x14ac:dyDescent="0.3">
      <c r="C741" s="837">
        <v>220</v>
      </c>
      <c r="D741" s="837"/>
      <c r="E741" s="120" t="s">
        <v>4598</v>
      </c>
      <c r="F741" s="414" t="s">
        <v>4201</v>
      </c>
      <c r="G741" s="863">
        <v>1065587417</v>
      </c>
      <c r="H741" s="969" t="s">
        <v>4599</v>
      </c>
      <c r="I741" s="84">
        <v>35117800</v>
      </c>
      <c r="J741" s="843" t="s">
        <v>4600</v>
      </c>
      <c r="K741" s="269">
        <v>2019</v>
      </c>
      <c r="L741" s="519">
        <v>43500</v>
      </c>
      <c r="M741" s="519">
        <v>43502</v>
      </c>
      <c r="N741" s="519">
        <v>43823</v>
      </c>
      <c r="O741" s="1099" t="str">
        <f>IF(+Modificaciones!I741=0,"",VLOOKUP(E741,Modificaciones!$B$7:$I$2400,8,0))</f>
        <v/>
      </c>
      <c r="P741" s="115">
        <f>COUNTA(Modificaciones!J741,Modificaciones!L741,Modificaciones!N741,Modificaciones!P741)</f>
        <v>1</v>
      </c>
      <c r="Q741" s="116">
        <f>VLOOKUP(E741,Modificaciones!$B$7:$R$2300,17,0)</f>
        <v>3313000</v>
      </c>
      <c r="R741" s="117">
        <f>COUNTA(Modificaciones!T741,Modificaciones!V741,Modificaciones!X741,Modificaciones!Z741)</f>
        <v>1</v>
      </c>
      <c r="S741" s="118" t="str">
        <f>IF(Modificaciones!AA741=0,"",VLOOKUP(E741,Modificaciones!$B$7:$AA$2400,26,0))</f>
        <v>1 mes</v>
      </c>
      <c r="T741" s="119">
        <f>IF(Modificaciones!AB741=0,"",VLOOKUP(E741,Modificaciones!$B$7:$AB$2400,27,0))</f>
        <v>43854</v>
      </c>
      <c r="U741" s="1080" t="str">
        <f>+Modificaciones!AC741</f>
        <v/>
      </c>
      <c r="V741" s="825" t="str">
        <f>+Modificaciones!AK741</f>
        <v/>
      </c>
      <c r="W741" s="825">
        <f t="shared" si="140"/>
        <v>43854</v>
      </c>
      <c r="X741" s="59">
        <f t="shared" si="139"/>
        <v>38430800</v>
      </c>
      <c r="Y741" s="151">
        <f>VLOOKUP(E741,Modificaciones!$B$7:$BE$2300,56,0)</f>
        <v>38430800</v>
      </c>
      <c r="Z741" s="84">
        <f t="shared" si="146"/>
        <v>0</v>
      </c>
      <c r="AA741" s="283" t="s">
        <v>1094</v>
      </c>
      <c r="AB741" s="823">
        <f t="shared" si="147"/>
        <v>1</v>
      </c>
      <c r="AC741" s="40">
        <f t="shared" ca="1" si="141"/>
        <v>1</v>
      </c>
      <c r="AD741" s="41">
        <f t="shared" ca="1" si="142"/>
        <v>0</v>
      </c>
      <c r="AE741" s="181" t="str">
        <f t="shared" ca="1" si="143"/>
        <v/>
      </c>
      <c r="AF741" s="42" t="str">
        <f t="shared" si="148"/>
        <v>SI</v>
      </c>
      <c r="AG741" s="732" t="s">
        <v>5773</v>
      </c>
      <c r="AH741" s="152" t="s">
        <v>1255</v>
      </c>
      <c r="AI741" s="870" t="s">
        <v>4203</v>
      </c>
      <c r="AJ741" s="152" t="s">
        <v>1441</v>
      </c>
      <c r="AK741" s="255" t="s">
        <v>559</v>
      </c>
      <c r="AL741" s="838"/>
      <c r="AM741" s="279" t="s">
        <v>4242</v>
      </c>
      <c r="AN741" s="161" t="str">
        <f t="shared" ca="1" si="144"/>
        <v>TERMINO</v>
      </c>
      <c r="AO741" s="160" t="s">
        <v>582</v>
      </c>
      <c r="AP741" s="406" t="s">
        <v>391</v>
      </c>
      <c r="AQ741" s="819" t="str">
        <f>IFERROR(VLOOKUP(E741,'liquidaciones '!$B$2:$C$1048576,2,0),"NO")</f>
        <v>EN TRÁMITE</v>
      </c>
      <c r="AR741" s="909" t="str">
        <f>IFERROR(VLOOKUP(E741,'liquidaciones '!$B$2:$I$1048576,8,0),"")</f>
        <v>JUAN DIEGO ESPITIA</v>
      </c>
      <c r="AS741" s="406"/>
      <c r="AT741" s="156" t="str">
        <f t="shared" ca="1" si="145"/>
        <v>SI</v>
      </c>
      <c r="AU741" s="156" t="s">
        <v>4805</v>
      </c>
      <c r="AV741" s="406"/>
      <c r="AW741" s="930" t="s">
        <v>559</v>
      </c>
      <c r="AX741" s="930" t="s">
        <v>5444</v>
      </c>
      <c r="AY741" s="275" t="s">
        <v>5819</v>
      </c>
    </row>
    <row r="742" spans="3:51" ht="40.799999999999997" x14ac:dyDescent="0.3">
      <c r="C742" s="837">
        <v>202</v>
      </c>
      <c r="D742" s="837"/>
      <c r="E742" s="120" t="s">
        <v>4601</v>
      </c>
      <c r="F742" s="414" t="s">
        <v>4149</v>
      </c>
      <c r="G742" s="863">
        <v>1098792121</v>
      </c>
      <c r="H742" s="969" t="s">
        <v>4150</v>
      </c>
      <c r="I742" s="84">
        <v>35340000</v>
      </c>
      <c r="J742" s="843" t="s">
        <v>4602</v>
      </c>
      <c r="K742" s="269">
        <v>2019</v>
      </c>
      <c r="L742" s="519">
        <v>43500</v>
      </c>
      <c r="M742" s="519">
        <v>43502</v>
      </c>
      <c r="N742" s="519">
        <v>43825</v>
      </c>
      <c r="O742" s="1099" t="str">
        <f>IF(+Modificaciones!I742=0,"",VLOOKUP(E742,Modificaciones!$B$7:$I$2400,8,0))</f>
        <v/>
      </c>
      <c r="P742" s="115">
        <f>COUNTA(Modificaciones!J742,Modificaciones!L742,Modificaciones!N742,Modificaciones!P742)</f>
        <v>1</v>
      </c>
      <c r="Q742" s="116">
        <f>VLOOKUP(E742,Modificaciones!$B$7:$R$2300,17,0)</f>
        <v>6626000</v>
      </c>
      <c r="R742" s="117">
        <f>COUNTA(Modificaciones!T742,Modificaciones!V742,Modificaciones!X742,Modificaciones!Z742)</f>
        <v>1</v>
      </c>
      <c r="S742" s="118" t="str">
        <f>IF(Modificaciones!AA742=0,"",VLOOKUP(E742,Modificaciones!$B$7:$AA$2400,26,0))</f>
        <v>2 meses</v>
      </c>
      <c r="T742" s="119">
        <f>IF(Modificaciones!AB742=0,"",VLOOKUP(E742,Modificaciones!$B$7:$AB$2400,27,0))</f>
        <v>43887</v>
      </c>
      <c r="U742" s="1080" t="str">
        <f>+Modificaciones!AC742</f>
        <v/>
      </c>
      <c r="V742" s="825" t="str">
        <f>+Modificaciones!AK742</f>
        <v/>
      </c>
      <c r="W742" s="825">
        <f t="shared" si="140"/>
        <v>43887</v>
      </c>
      <c r="X742" s="59">
        <f t="shared" si="139"/>
        <v>41966000</v>
      </c>
      <c r="Y742" s="151">
        <f>VLOOKUP(E742,Modificaciones!$B$7:$BE$2300,56,0)</f>
        <v>41966000</v>
      </c>
      <c r="Z742" s="84">
        <f t="shared" si="146"/>
        <v>0</v>
      </c>
      <c r="AA742" s="283" t="s">
        <v>1094</v>
      </c>
      <c r="AB742" s="823">
        <f t="shared" si="147"/>
        <v>1</v>
      </c>
      <c r="AC742" s="40">
        <f t="shared" ca="1" si="141"/>
        <v>1</v>
      </c>
      <c r="AD742" s="41">
        <f t="shared" ca="1" si="142"/>
        <v>0</v>
      </c>
      <c r="AE742" s="181" t="str">
        <f t="shared" ca="1" si="143"/>
        <v/>
      </c>
      <c r="AF742" s="42" t="str">
        <f t="shared" si="148"/>
        <v>SI</v>
      </c>
      <c r="AG742" s="732" t="s">
        <v>5773</v>
      </c>
      <c r="AH742" s="152" t="s">
        <v>1255</v>
      </c>
      <c r="AI742" s="152" t="s">
        <v>2488</v>
      </c>
      <c r="AJ742" s="152" t="s">
        <v>1176</v>
      </c>
      <c r="AK742" s="255" t="s">
        <v>559</v>
      </c>
      <c r="AL742" s="153"/>
      <c r="AM742" s="279" t="s">
        <v>4242</v>
      </c>
      <c r="AN742" s="161" t="str">
        <f t="shared" ca="1" si="144"/>
        <v>TERMINO</v>
      </c>
      <c r="AO742" s="284" t="s">
        <v>582</v>
      </c>
      <c r="AP742" s="406" t="s">
        <v>391</v>
      </c>
      <c r="AQ742" s="819" t="str">
        <f>IFERROR(VLOOKUP(E742,'liquidaciones '!$B$2:$C$1048576,2,0),"NO")</f>
        <v>LIQUIDADO</v>
      </c>
      <c r="AR742" s="909" t="str">
        <f>IFERROR(VLOOKUP(E742,'liquidaciones '!$B$2:$I$1048576,8,0),"")</f>
        <v>JUAN DIEGO ESPITIA</v>
      </c>
      <c r="AS742" s="406"/>
      <c r="AT742" s="156" t="str">
        <f t="shared" ca="1" si="145"/>
        <v>SI</v>
      </c>
      <c r="AU742" s="156" t="s">
        <v>4805</v>
      </c>
      <c r="AV742" s="406"/>
      <c r="AW742" s="930" t="s">
        <v>3938</v>
      </c>
      <c r="AX742" s="930" t="s">
        <v>5443</v>
      </c>
      <c r="AY742" s="275" t="s">
        <v>5820</v>
      </c>
    </row>
    <row r="743" spans="3:51" ht="30.6" x14ac:dyDescent="0.3">
      <c r="C743" s="837">
        <v>204</v>
      </c>
      <c r="D743" s="837"/>
      <c r="E743" s="120" t="s">
        <v>4608</v>
      </c>
      <c r="F743" s="414" t="s">
        <v>4609</v>
      </c>
      <c r="G743" s="863">
        <v>1102812271</v>
      </c>
      <c r="H743" s="969" t="s">
        <v>4610</v>
      </c>
      <c r="I743" s="84">
        <v>38508000</v>
      </c>
      <c r="J743" s="843" t="s">
        <v>4631</v>
      </c>
      <c r="K743" s="269">
        <v>2019</v>
      </c>
      <c r="L743" s="519">
        <v>43500</v>
      </c>
      <c r="M743" s="519">
        <v>43504</v>
      </c>
      <c r="N743" s="519">
        <v>43641</v>
      </c>
      <c r="O743" s="1099" t="str">
        <f>IF(+Modificaciones!I743=0,"",VLOOKUP(E743,Modificaciones!$B$7:$I$2400,8,0))</f>
        <v/>
      </c>
      <c r="P743" s="115">
        <f>COUNTA(Modificaciones!J743,Modificaciones!L743,Modificaciones!N743,Modificaciones!P743)</f>
        <v>0</v>
      </c>
      <c r="Q743" s="116">
        <f>VLOOKUP(E743,Modificaciones!$B$7:$R$2300,17,0)</f>
        <v>0</v>
      </c>
      <c r="R743" s="117">
        <f>COUNTA(Modificaciones!T743,Modificaciones!V743,Modificaciones!X743,Modificaciones!Z743)</f>
        <v>0</v>
      </c>
      <c r="S743" s="118" t="str">
        <f>IF(Modificaciones!AA743=0,"",VLOOKUP(E743,Modificaciones!$B$7:$AA$2400,26,0))</f>
        <v/>
      </c>
      <c r="T743" s="119" t="str">
        <f>IF(Modificaciones!AB743=0,"",VLOOKUP(E743,Modificaciones!$B$7:$AB$2400,27,0))</f>
        <v/>
      </c>
      <c r="U743" s="1080" t="str">
        <f>+Modificaciones!AC743</f>
        <v/>
      </c>
      <c r="V743" s="825" t="str">
        <f>+Modificaciones!AK743</f>
        <v/>
      </c>
      <c r="W743" s="825">
        <f t="shared" si="140"/>
        <v>43641</v>
      </c>
      <c r="X743" s="59">
        <f t="shared" si="139"/>
        <v>38508000</v>
      </c>
      <c r="Y743" s="151">
        <f>VLOOKUP(E743,Modificaciones!$B$7:$BE$2300,56,0)</f>
        <v>29522800</v>
      </c>
      <c r="Z743" s="84">
        <f t="shared" si="146"/>
        <v>8985200</v>
      </c>
      <c r="AA743" s="283" t="s">
        <v>1094</v>
      </c>
      <c r="AB743" s="823">
        <f t="shared" si="147"/>
        <v>0.76666666666666672</v>
      </c>
      <c r="AC743" s="40">
        <f t="shared" ca="1" si="141"/>
        <v>1</v>
      </c>
      <c r="AD743" s="41">
        <f t="shared" ca="1" si="142"/>
        <v>0.23333333333333328</v>
      </c>
      <c r="AE743" s="181" t="str">
        <f t="shared" ca="1" si="143"/>
        <v/>
      </c>
      <c r="AF743" s="42" t="str">
        <f t="shared" si="148"/>
        <v>NO</v>
      </c>
      <c r="AG743" s="732" t="s">
        <v>5773</v>
      </c>
      <c r="AH743" s="152" t="s">
        <v>1255</v>
      </c>
      <c r="AI743" s="152" t="s">
        <v>4611</v>
      </c>
      <c r="AJ743" s="152" t="s">
        <v>2498</v>
      </c>
      <c r="AK743" s="255" t="s">
        <v>4612</v>
      </c>
      <c r="AL743" s="153"/>
      <c r="AM743" s="279" t="s">
        <v>4242</v>
      </c>
      <c r="AN743" s="161" t="str">
        <f t="shared" ca="1" si="144"/>
        <v>TERMINO</v>
      </c>
      <c r="AO743" s="284" t="s">
        <v>582</v>
      </c>
      <c r="AP743" s="406" t="s">
        <v>391</v>
      </c>
      <c r="AQ743" s="819" t="str">
        <f>IFERROR(VLOOKUP(E743,'liquidaciones '!$B$2:$C$1048576,2,0),"NO")</f>
        <v>LIQUIDADO</v>
      </c>
      <c r="AR743" s="909" t="str">
        <f>IFERROR(VLOOKUP(E743,'liquidaciones '!$B$2:$I$1048576,8,0),"")</f>
        <v>MARIA ALEJANDRA SANCHEZ</v>
      </c>
      <c r="AS743" s="406"/>
      <c r="AT743" s="156" t="str">
        <f t="shared" ca="1" si="145"/>
        <v>SI</v>
      </c>
      <c r="AU743" s="156" t="s">
        <v>4245</v>
      </c>
      <c r="AV743" s="406"/>
      <c r="AW743" s="930" t="s">
        <v>3938</v>
      </c>
      <c r="AX743" s="928"/>
      <c r="AY743" s="275"/>
    </row>
    <row r="744" spans="3:51" ht="20.399999999999999" x14ac:dyDescent="0.3">
      <c r="C744" s="837">
        <v>51</v>
      </c>
      <c r="D744" s="837"/>
      <c r="E744" s="120" t="s">
        <v>4613</v>
      </c>
      <c r="F744" s="414" t="s">
        <v>4614</v>
      </c>
      <c r="G744" s="863">
        <v>79328194</v>
      </c>
      <c r="H744" s="969" t="s">
        <v>3825</v>
      </c>
      <c r="I744" s="84">
        <v>2833530</v>
      </c>
      <c r="J744" s="843" t="s">
        <v>4632</v>
      </c>
      <c r="K744" s="269">
        <v>2019</v>
      </c>
      <c r="L744" s="519">
        <v>43500</v>
      </c>
      <c r="M744" s="519">
        <v>43504</v>
      </c>
      <c r="N744" s="519">
        <v>43562</v>
      </c>
      <c r="O744" s="1099" t="str">
        <f>IF(+Modificaciones!I744=0,"",VLOOKUP(E744,Modificaciones!$B$7:$I$2400,8,0))</f>
        <v/>
      </c>
      <c r="P744" s="115">
        <f>COUNTA(Modificaciones!J744,Modificaciones!L744,Modificaciones!N744,Modificaciones!P744)</f>
        <v>0</v>
      </c>
      <c r="Q744" s="116">
        <f>VLOOKUP(E744,Modificaciones!$B$7:$R$2300,17,0)</f>
        <v>0</v>
      </c>
      <c r="R744" s="117">
        <f>COUNTA(Modificaciones!T744,Modificaciones!V744,Modificaciones!X744,Modificaciones!Z744)</f>
        <v>0</v>
      </c>
      <c r="S744" s="118" t="str">
        <f>IF(Modificaciones!AA744=0,"",VLOOKUP(E744,Modificaciones!$B$7:$AA$2400,26,0))</f>
        <v/>
      </c>
      <c r="T744" s="119" t="str">
        <f>IF(Modificaciones!AB744=0,"",VLOOKUP(E744,Modificaciones!$B$7:$AB$2400,27,0))</f>
        <v/>
      </c>
      <c r="U744" s="1080" t="str">
        <f>+Modificaciones!AC744</f>
        <v/>
      </c>
      <c r="V744" s="825" t="str">
        <f>+Modificaciones!AK744</f>
        <v/>
      </c>
      <c r="W744" s="825">
        <f t="shared" si="140"/>
        <v>43562</v>
      </c>
      <c r="X744" s="59">
        <f t="shared" si="139"/>
        <v>2833530</v>
      </c>
      <c r="Y744" s="151">
        <f>VLOOKUP(E744,Modificaciones!$B$7:$BE$2300,56,0)</f>
        <v>2833530</v>
      </c>
      <c r="Z744" s="84">
        <f t="shared" si="146"/>
        <v>0</v>
      </c>
      <c r="AA744" s="283" t="s">
        <v>1894</v>
      </c>
      <c r="AB744" s="823">
        <f t="shared" si="147"/>
        <v>1</v>
      </c>
      <c r="AC744" s="40">
        <f t="shared" ca="1" si="141"/>
        <v>1</v>
      </c>
      <c r="AD744" s="41">
        <f t="shared" ca="1" si="142"/>
        <v>0</v>
      </c>
      <c r="AE744" s="181" t="str">
        <f t="shared" ca="1" si="143"/>
        <v/>
      </c>
      <c r="AF744" s="42" t="str">
        <f t="shared" si="148"/>
        <v>SI</v>
      </c>
      <c r="AG744" s="1017" t="s">
        <v>4920</v>
      </c>
      <c r="AH744" s="152" t="s">
        <v>1255</v>
      </c>
      <c r="AI744" s="255" t="s">
        <v>1306</v>
      </c>
      <c r="AJ744" s="838"/>
      <c r="AK744" s="838"/>
      <c r="AL744" s="838"/>
      <c r="AM744" s="279" t="s">
        <v>4242</v>
      </c>
      <c r="AN744" s="161" t="str">
        <f t="shared" ca="1" si="144"/>
        <v>TERMINO</v>
      </c>
      <c r="AO744" s="284" t="s">
        <v>582</v>
      </c>
      <c r="AP744" s="155" t="s">
        <v>391</v>
      </c>
      <c r="AQ744" s="819" t="str">
        <f>IFERROR(VLOOKUP(E744,'liquidaciones '!$B$2:$C$1048576,2,0),"NO")</f>
        <v>LIQUIDADO</v>
      </c>
      <c r="AR744" s="909" t="str">
        <f>IFERROR(VLOOKUP(E744,'liquidaciones '!$B$2:$I$1048576,8,0),"")</f>
        <v>GABINO HERNANDEZ</v>
      </c>
      <c r="AS744" s="406"/>
      <c r="AT744" s="156" t="str">
        <f t="shared" ca="1" si="145"/>
        <v>SI</v>
      </c>
      <c r="AU744" s="156" t="s">
        <v>4245</v>
      </c>
      <c r="AV744" s="406"/>
      <c r="AW744" s="930" t="s">
        <v>3938</v>
      </c>
      <c r="AX744" s="928"/>
      <c r="AY744" s="275" t="s">
        <v>5389</v>
      </c>
    </row>
    <row r="745" spans="3:51" ht="40.799999999999997" x14ac:dyDescent="0.3">
      <c r="C745" s="837">
        <v>164</v>
      </c>
      <c r="D745" s="837"/>
      <c r="E745" s="120" t="s">
        <v>4615</v>
      </c>
      <c r="F745" s="414" t="s">
        <v>4330</v>
      </c>
      <c r="G745" s="863">
        <v>1014264880</v>
      </c>
      <c r="H745" s="969" t="s">
        <v>4331</v>
      </c>
      <c r="I745" s="84">
        <v>17007466</v>
      </c>
      <c r="J745" s="843" t="s">
        <v>4633</v>
      </c>
      <c r="K745" s="269">
        <v>2019</v>
      </c>
      <c r="L745" s="519">
        <v>43501</v>
      </c>
      <c r="M745" s="519">
        <v>43504</v>
      </c>
      <c r="N745" s="519">
        <v>43641</v>
      </c>
      <c r="O745" s="1099" t="str">
        <f>IF(+Modificaciones!I745=0,"",VLOOKUP(E745,Modificaciones!$B$7:$I$2400,8,0))</f>
        <v/>
      </c>
      <c r="P745" s="115">
        <f>COUNTA(Modificaciones!J745,Modificaciones!L745,Modificaciones!N745,Modificaciones!P745)</f>
        <v>0</v>
      </c>
      <c r="Q745" s="116">
        <f>VLOOKUP(E745,Modificaciones!$B$7:$R$2300,17,0)</f>
        <v>0</v>
      </c>
      <c r="R745" s="117">
        <f>COUNTA(Modificaciones!T745,Modificaciones!V745,Modificaciones!X745,Modificaciones!Z745)</f>
        <v>0</v>
      </c>
      <c r="S745" s="118" t="str">
        <f>IF(Modificaciones!AA745=0,"",VLOOKUP(E745,Modificaciones!$B$7:$AA$2400,26,0))</f>
        <v/>
      </c>
      <c r="T745" s="119" t="str">
        <f>IF(Modificaciones!AB745=0,"",VLOOKUP(E745,Modificaciones!$B$7:$AB$2400,27,0))</f>
        <v/>
      </c>
      <c r="U745" s="1080" t="str">
        <f>+Modificaciones!AC745</f>
        <v/>
      </c>
      <c r="V745" s="825" t="str">
        <f>+Modificaciones!AK745</f>
        <v/>
      </c>
      <c r="W745" s="825">
        <f t="shared" si="140"/>
        <v>43641</v>
      </c>
      <c r="X745" s="59">
        <f t="shared" si="139"/>
        <v>17007466</v>
      </c>
      <c r="Y745" s="151">
        <f>VLOOKUP(E745,Modificaciones!$B$7:$BE$2300,56,0)</f>
        <v>13335400</v>
      </c>
      <c r="Z745" s="84">
        <f t="shared" si="146"/>
        <v>3672066</v>
      </c>
      <c r="AA745" s="283" t="s">
        <v>1094</v>
      </c>
      <c r="AB745" s="823">
        <f t="shared" si="147"/>
        <v>0.78409093982607403</v>
      </c>
      <c r="AC745" s="40">
        <f t="shared" ca="1" si="141"/>
        <v>1</v>
      </c>
      <c r="AD745" s="41">
        <f t="shared" ca="1" si="142"/>
        <v>0.21590906017392597</v>
      </c>
      <c r="AE745" s="181" t="str">
        <f t="shared" ca="1" si="143"/>
        <v/>
      </c>
      <c r="AF745" s="42" t="str">
        <f t="shared" si="148"/>
        <v>NO</v>
      </c>
      <c r="AG745" s="732" t="s">
        <v>5773</v>
      </c>
      <c r="AH745" s="152" t="s">
        <v>1255</v>
      </c>
      <c r="AI745" s="255" t="s">
        <v>2636</v>
      </c>
      <c r="AJ745" s="152" t="s">
        <v>1176</v>
      </c>
      <c r="AK745" s="255" t="s">
        <v>559</v>
      </c>
      <c r="AL745" s="279"/>
      <c r="AM745" s="279" t="s">
        <v>4242</v>
      </c>
      <c r="AN745" s="161" t="str">
        <f t="shared" ca="1" si="144"/>
        <v>TERMINO</v>
      </c>
      <c r="AO745" s="160" t="s">
        <v>582</v>
      </c>
      <c r="AP745" s="155" t="s">
        <v>391</v>
      </c>
      <c r="AQ745" s="819" t="str">
        <f>IFERROR(VLOOKUP(E745,'liquidaciones '!$B$2:$C$1048576,2,0),"NO")</f>
        <v>LIQUIDADO</v>
      </c>
      <c r="AR745" s="909" t="str">
        <f>IFERROR(VLOOKUP(E745,'liquidaciones '!$B$2:$I$1048576,8,0),"")</f>
        <v>GABINO HERNANDEZ</v>
      </c>
      <c r="AS745" s="406"/>
      <c r="AT745" s="156" t="str">
        <f t="shared" ca="1" si="145"/>
        <v>SI</v>
      </c>
      <c r="AU745" s="406" t="s">
        <v>4805</v>
      </c>
      <c r="AV745" s="406"/>
      <c r="AW745" s="930" t="s">
        <v>3938</v>
      </c>
      <c r="AX745" s="928"/>
      <c r="AY745" s="275"/>
    </row>
    <row r="746" spans="3:51" ht="30.6" x14ac:dyDescent="0.3">
      <c r="C746" s="837">
        <v>14</v>
      </c>
      <c r="D746" s="837"/>
      <c r="E746" s="120" t="s">
        <v>4616</v>
      </c>
      <c r="F746" s="414" t="s">
        <v>4617</v>
      </c>
      <c r="G746" s="863">
        <v>79730476</v>
      </c>
      <c r="H746" s="967" t="s">
        <v>2903</v>
      </c>
      <c r="I746" s="84">
        <v>36438000</v>
      </c>
      <c r="J746" s="843" t="s">
        <v>4634</v>
      </c>
      <c r="K746" s="269">
        <v>2019</v>
      </c>
      <c r="L746" s="519">
        <v>43502</v>
      </c>
      <c r="M746" s="519">
        <v>43504</v>
      </c>
      <c r="N746" s="519">
        <v>43641</v>
      </c>
      <c r="O746" s="1099" t="str">
        <f>IF(+Modificaciones!I746=0,"",VLOOKUP(E746,Modificaciones!$B$7:$I$2400,8,0))</f>
        <v/>
      </c>
      <c r="P746" s="115">
        <f>COUNTA(Modificaciones!J746,Modificaciones!L746,Modificaciones!N746,Modificaciones!P746)</f>
        <v>1</v>
      </c>
      <c r="Q746" s="116">
        <f>VLOOKUP(E746,Modificaciones!$B$7:$R$2300,17,0)</f>
        <v>18219000</v>
      </c>
      <c r="R746" s="117">
        <f>COUNTA(Modificaciones!T746,Modificaciones!V746,Modificaciones!X746,Modificaciones!Z746)</f>
        <v>2</v>
      </c>
      <c r="S746" s="118" t="str">
        <f>IF(Modificaciones!AA746=0,"",VLOOKUP(E746,Modificaciones!$B$7:$AA$2400,26,0))</f>
        <v>4 meses y 13 días</v>
      </c>
      <c r="T746" s="119">
        <f>IF(Modificaciones!AB746=0,"",VLOOKUP(E746,Modificaciones!$B$7:$AB$2400,27,0))</f>
        <v>43776</v>
      </c>
      <c r="U746" s="1080" t="str">
        <f>+Modificaciones!AC746</f>
        <v/>
      </c>
      <c r="V746" s="825" t="str">
        <f>+Modificaciones!AK746</f>
        <v/>
      </c>
      <c r="W746" s="825">
        <f t="shared" si="140"/>
        <v>43776</v>
      </c>
      <c r="X746" s="59">
        <f t="shared" si="139"/>
        <v>54657000</v>
      </c>
      <c r="Y746" s="151">
        <f>VLOOKUP(E746,Modificaciones!$B$7:$BE$2300,56,0)</f>
        <v>54657000</v>
      </c>
      <c r="Z746" s="84">
        <f t="shared" si="146"/>
        <v>0</v>
      </c>
      <c r="AA746" s="283" t="s">
        <v>1094</v>
      </c>
      <c r="AB746" s="823">
        <f t="shared" si="147"/>
        <v>1</v>
      </c>
      <c r="AC746" s="40">
        <f t="shared" ca="1" si="141"/>
        <v>1</v>
      </c>
      <c r="AD746" s="41">
        <f t="shared" ca="1" si="142"/>
        <v>0</v>
      </c>
      <c r="AE746" s="181" t="str">
        <f t="shared" ca="1" si="143"/>
        <v/>
      </c>
      <c r="AF746" s="42" t="str">
        <f t="shared" si="148"/>
        <v>SI</v>
      </c>
      <c r="AG746" s="732" t="s">
        <v>5773</v>
      </c>
      <c r="AH746" s="152" t="s">
        <v>1255</v>
      </c>
      <c r="AI746" s="152" t="s">
        <v>2173</v>
      </c>
      <c r="AJ746" s="152" t="s">
        <v>1176</v>
      </c>
      <c r="AK746" s="255" t="s">
        <v>559</v>
      </c>
      <c r="AL746" s="153"/>
      <c r="AM746" s="279" t="s">
        <v>4242</v>
      </c>
      <c r="AN746" s="161" t="str">
        <f t="shared" ca="1" si="144"/>
        <v>TERMINO</v>
      </c>
      <c r="AO746" s="160" t="s">
        <v>582</v>
      </c>
      <c r="AP746" s="155" t="s">
        <v>391</v>
      </c>
      <c r="AQ746" s="819" t="str">
        <f>IFERROR(VLOOKUP(E746,'liquidaciones '!$B$2:$C$1048576,2,0),"NO")</f>
        <v>LIQUIDADO</v>
      </c>
      <c r="AR746" s="909" t="str">
        <f>IFERROR(VLOOKUP(E746,'liquidaciones '!$B$2:$I$1048576,8,0),"")</f>
        <v>JUAN DIEGO ESPÍTIA</v>
      </c>
      <c r="AS746" s="406"/>
      <c r="AT746" s="156" t="str">
        <f t="shared" ca="1" si="145"/>
        <v>SI</v>
      </c>
      <c r="AU746" s="156" t="s">
        <v>4805</v>
      </c>
      <c r="AV746" s="406"/>
      <c r="AW746" s="930" t="s">
        <v>3938</v>
      </c>
      <c r="AX746" s="928"/>
      <c r="AY746" s="275"/>
    </row>
    <row r="747" spans="3:51" ht="40.799999999999997" x14ac:dyDescent="0.3">
      <c r="C747" s="837">
        <v>229</v>
      </c>
      <c r="D747" s="837"/>
      <c r="E747" s="120" t="s">
        <v>4618</v>
      </c>
      <c r="F747" s="414" t="s">
        <v>4619</v>
      </c>
      <c r="G747" s="863">
        <v>1032424231</v>
      </c>
      <c r="H747" s="967" t="s">
        <v>2487</v>
      </c>
      <c r="I747" s="84">
        <v>33702000</v>
      </c>
      <c r="J747" s="843" t="s">
        <v>4635</v>
      </c>
      <c r="K747" s="269">
        <v>2019</v>
      </c>
      <c r="L747" s="519">
        <v>43501</v>
      </c>
      <c r="M747" s="519">
        <v>43504</v>
      </c>
      <c r="N747" s="519">
        <v>43641</v>
      </c>
      <c r="O747" s="1099" t="str">
        <f>IF(+Modificaciones!I747=0,"",VLOOKUP(E747,Modificaciones!$B$7:$I$2400,8,0))</f>
        <v/>
      </c>
      <c r="P747" s="115">
        <f>COUNTA(Modificaciones!J747,Modificaciones!L747,Modificaciones!N747,Modificaciones!P747)</f>
        <v>0</v>
      </c>
      <c r="Q747" s="116">
        <f>VLOOKUP(E747,Modificaciones!$B$7:$R$2300,17,0)</f>
        <v>0</v>
      </c>
      <c r="R747" s="117">
        <f>COUNTA(Modificaciones!T747,Modificaciones!V747,Modificaciones!X747,Modificaciones!Z747)</f>
        <v>0</v>
      </c>
      <c r="S747" s="118" t="str">
        <f>IF(Modificaciones!AA747=0,"",VLOOKUP(E747,Modificaciones!$B$7:$AA$2400,26,0))</f>
        <v/>
      </c>
      <c r="T747" s="119" t="str">
        <f>IF(Modificaciones!AB747=0,"",VLOOKUP(E747,Modificaciones!$B$7:$AB$2400,27,0))</f>
        <v/>
      </c>
      <c r="U747" s="1080" t="str">
        <f>+Modificaciones!AC747</f>
        <v/>
      </c>
      <c r="V747" s="825" t="str">
        <f>+Modificaciones!AK747</f>
        <v/>
      </c>
      <c r="W747" s="825">
        <f t="shared" si="140"/>
        <v>43641</v>
      </c>
      <c r="X747" s="59">
        <f t="shared" si="139"/>
        <v>33702000</v>
      </c>
      <c r="Y747" s="151">
        <f>VLOOKUP(E747,Modificaciones!$B$7:$BE$2300,56,0)</f>
        <v>25838200</v>
      </c>
      <c r="Z747" s="84">
        <f t="shared" si="146"/>
        <v>7863800</v>
      </c>
      <c r="AA747" s="283" t="s">
        <v>1094</v>
      </c>
      <c r="AB747" s="823">
        <f t="shared" si="147"/>
        <v>0.76666666666666672</v>
      </c>
      <c r="AC747" s="40">
        <f t="shared" ca="1" si="141"/>
        <v>1</v>
      </c>
      <c r="AD747" s="41">
        <f t="shared" ca="1" si="142"/>
        <v>0.23333333333333328</v>
      </c>
      <c r="AE747" s="181" t="str">
        <f t="shared" ca="1" si="143"/>
        <v/>
      </c>
      <c r="AF747" s="42" t="str">
        <f t="shared" si="148"/>
        <v>NO</v>
      </c>
      <c r="AG747" s="732" t="s">
        <v>5773</v>
      </c>
      <c r="AH747" s="152" t="s">
        <v>1255</v>
      </c>
      <c r="AI747" s="152" t="s">
        <v>2488</v>
      </c>
      <c r="AJ747" s="152" t="s">
        <v>1429</v>
      </c>
      <c r="AK747" s="255" t="s">
        <v>564</v>
      </c>
      <c r="AL747" s="279"/>
      <c r="AM747" s="279" t="s">
        <v>4620</v>
      </c>
      <c r="AN747" s="161" t="str">
        <f t="shared" ca="1" si="144"/>
        <v>TERMINO</v>
      </c>
      <c r="AO747" s="160" t="s">
        <v>582</v>
      </c>
      <c r="AP747" s="406" t="s">
        <v>391</v>
      </c>
      <c r="AQ747" s="819" t="str">
        <f>IFERROR(VLOOKUP(E747,'liquidaciones '!$B$2:$C$1048576,2,0),"NO")</f>
        <v>LIQUIDADO</v>
      </c>
      <c r="AR747" s="909" t="str">
        <f>IFERROR(VLOOKUP(E747,'liquidaciones '!$B$2:$I$1048576,8,0),"")</f>
        <v xml:space="preserve">JUAN DIEGO ESPITIA </v>
      </c>
      <c r="AS747" s="406"/>
      <c r="AT747" s="156" t="str">
        <f t="shared" ca="1" si="145"/>
        <v>SI</v>
      </c>
      <c r="AU747" s="997" t="s">
        <v>4299</v>
      </c>
      <c r="AV747" s="406"/>
      <c r="AW747" s="930" t="s">
        <v>564</v>
      </c>
      <c r="AX747" s="928"/>
      <c r="AY747" s="275"/>
    </row>
    <row r="748" spans="3:51" ht="30.6" x14ac:dyDescent="0.3">
      <c r="C748" s="837">
        <v>23</v>
      </c>
      <c r="D748" s="837"/>
      <c r="E748" s="120" t="s">
        <v>4621</v>
      </c>
      <c r="F748" s="414" t="s">
        <v>4622</v>
      </c>
      <c r="G748" s="863">
        <v>52911222</v>
      </c>
      <c r="H748" s="967" t="s">
        <v>2884</v>
      </c>
      <c r="I748" s="84">
        <v>36438000</v>
      </c>
      <c r="J748" s="843" t="s">
        <v>4636</v>
      </c>
      <c r="K748" s="269">
        <v>2019</v>
      </c>
      <c r="L748" s="519">
        <v>43500</v>
      </c>
      <c r="M748" s="519">
        <v>43504</v>
      </c>
      <c r="N748" s="519">
        <v>43641</v>
      </c>
      <c r="O748" s="1099" t="str">
        <f>IF(+Modificaciones!I748=0,"",VLOOKUP(E748,Modificaciones!$B$7:$I$2400,8,0))</f>
        <v/>
      </c>
      <c r="P748" s="115">
        <f>COUNTA(Modificaciones!J748,Modificaciones!L748,Modificaciones!N748,Modificaciones!P748)</f>
        <v>1</v>
      </c>
      <c r="Q748" s="116">
        <f>VLOOKUP(E748,Modificaciones!$B$7:$R$2300,17,0)</f>
        <v>18219000</v>
      </c>
      <c r="R748" s="117">
        <f>COUNTA(Modificaciones!T748,Modificaciones!V748,Modificaciones!X748,Modificaciones!Z748)</f>
        <v>2</v>
      </c>
      <c r="S748" s="118" t="str">
        <f>IF(Modificaciones!AA748=0,"",VLOOKUP(E748,Modificaciones!$B$7:$AA$2400,26,0))</f>
        <v>4 meses y 13 días</v>
      </c>
      <c r="T748" s="119">
        <f>IF(Modificaciones!AB748=0,"",VLOOKUP(E748,Modificaciones!$B$7:$AB$2400,27,0))</f>
        <v>43776</v>
      </c>
      <c r="U748" s="1080" t="str">
        <f>+Modificaciones!AC748</f>
        <v/>
      </c>
      <c r="V748" s="825" t="str">
        <f>+Modificaciones!AK748</f>
        <v/>
      </c>
      <c r="W748" s="825">
        <f t="shared" si="140"/>
        <v>43776</v>
      </c>
      <c r="X748" s="59">
        <f t="shared" si="139"/>
        <v>54657000</v>
      </c>
      <c r="Y748" s="151">
        <f>VLOOKUP(E748,Modificaciones!$B$7:$BE$2300,56,0)</f>
        <v>54657000</v>
      </c>
      <c r="Z748" s="84">
        <f t="shared" si="146"/>
        <v>0</v>
      </c>
      <c r="AA748" s="283" t="s">
        <v>1094</v>
      </c>
      <c r="AB748" s="823">
        <f t="shared" si="147"/>
        <v>1</v>
      </c>
      <c r="AC748" s="40">
        <f t="shared" ca="1" si="141"/>
        <v>1</v>
      </c>
      <c r="AD748" s="41">
        <f t="shared" ca="1" si="142"/>
        <v>0</v>
      </c>
      <c r="AE748" s="181" t="str">
        <f t="shared" ca="1" si="143"/>
        <v/>
      </c>
      <c r="AF748" s="42" t="str">
        <f t="shared" si="148"/>
        <v>SI</v>
      </c>
      <c r="AG748" s="732" t="s">
        <v>5773</v>
      </c>
      <c r="AH748" s="152" t="s">
        <v>1255</v>
      </c>
      <c r="AI748" s="152" t="s">
        <v>2494</v>
      </c>
      <c r="AJ748" s="152" t="s">
        <v>1429</v>
      </c>
      <c r="AK748" s="255" t="s">
        <v>564</v>
      </c>
      <c r="AL748" s="279"/>
      <c r="AM748" s="279" t="s">
        <v>4247</v>
      </c>
      <c r="AN748" s="161" t="str">
        <f t="shared" ca="1" si="144"/>
        <v>TERMINO</v>
      </c>
      <c r="AO748" s="284" t="s">
        <v>582</v>
      </c>
      <c r="AP748" s="155" t="s">
        <v>391</v>
      </c>
      <c r="AQ748" s="819" t="str">
        <f>IFERROR(VLOOKUP(E748,'liquidaciones '!$B$2:$C$1048576,2,0),"NO")</f>
        <v>LIQUIDADO</v>
      </c>
      <c r="AR748" s="909" t="str">
        <f>IFERROR(VLOOKUP(E748,'liquidaciones '!$B$2:$I$1048576,8,0),"")</f>
        <v>JUAN DIEGO ESPITIA</v>
      </c>
      <c r="AS748" s="406"/>
      <c r="AT748" s="156" t="str">
        <f t="shared" ca="1" si="145"/>
        <v>SI</v>
      </c>
      <c r="AU748" s="156" t="s">
        <v>4805</v>
      </c>
      <c r="AV748" s="406"/>
      <c r="AW748" s="930" t="s">
        <v>564</v>
      </c>
      <c r="AX748" s="930" t="s">
        <v>5133</v>
      </c>
      <c r="AY748" s="275" t="s">
        <v>5765</v>
      </c>
    </row>
    <row r="749" spans="3:51" ht="40.799999999999997" x14ac:dyDescent="0.3">
      <c r="C749" s="837">
        <v>205</v>
      </c>
      <c r="D749" s="837"/>
      <c r="E749" s="120" t="s">
        <v>4623</v>
      </c>
      <c r="F749" s="414" t="s">
        <v>4792</v>
      </c>
      <c r="G749" s="863">
        <v>1023898067</v>
      </c>
      <c r="H749" s="969" t="s">
        <v>4222</v>
      </c>
      <c r="I749" s="84">
        <v>33666233</v>
      </c>
      <c r="J749" s="843" t="s">
        <v>4637</v>
      </c>
      <c r="K749" s="269">
        <v>2019</v>
      </c>
      <c r="L749" s="519">
        <v>43501</v>
      </c>
      <c r="M749" s="519">
        <v>43504</v>
      </c>
      <c r="N749" s="519">
        <v>43641</v>
      </c>
      <c r="O749" s="1099" t="str">
        <f>IF(+Modificaciones!I749=0,"",VLOOKUP(E749,Modificaciones!$B$7:$I$2400,8,0))</f>
        <v/>
      </c>
      <c r="P749" s="115">
        <f>COUNTA(Modificaciones!J749,Modificaciones!L749,Modificaciones!N749,Modificaciones!P749)</f>
        <v>1</v>
      </c>
      <c r="Q749" s="116">
        <f>VLOOKUP(E749,Modificaciones!$B$7:$R$2300,17,0)</f>
        <v>12782367</v>
      </c>
      <c r="R749" s="117">
        <f>COUNTA(Modificaciones!T749,Modificaciones!V749,Modificaciones!X749,Modificaciones!Z749)</f>
        <v>2</v>
      </c>
      <c r="S749" s="118" t="str">
        <f>IF(Modificaciones!AA749=0,"",VLOOKUP(E749,Modificaciones!$B$7:$AA$2400,26,0))</f>
        <v>4 meses</v>
      </c>
      <c r="T749" s="119">
        <f>IF(Modificaciones!AB749=0,"",VLOOKUP(E749,Modificaciones!$B$7:$AB$2400,27,0))</f>
        <v>43764</v>
      </c>
      <c r="U749" s="1080" t="str">
        <f>+Modificaciones!AC749</f>
        <v/>
      </c>
      <c r="V749" s="825" t="str">
        <f>+Modificaciones!AK749</f>
        <v/>
      </c>
      <c r="W749" s="825">
        <f t="shared" si="140"/>
        <v>43764</v>
      </c>
      <c r="X749" s="59">
        <f t="shared" si="139"/>
        <v>46448600</v>
      </c>
      <c r="Y749" s="151">
        <f>VLOOKUP(E749,Modificaciones!$B$7:$BE$2300,56,0)</f>
        <v>46448600</v>
      </c>
      <c r="Z749" s="84">
        <f t="shared" si="146"/>
        <v>0</v>
      </c>
      <c r="AA749" s="283" t="s">
        <v>1094</v>
      </c>
      <c r="AB749" s="823">
        <f t="shared" si="147"/>
        <v>1</v>
      </c>
      <c r="AC749" s="40">
        <f t="shared" ca="1" si="141"/>
        <v>1</v>
      </c>
      <c r="AD749" s="41">
        <f t="shared" ca="1" si="142"/>
        <v>0</v>
      </c>
      <c r="AE749" s="181" t="str">
        <f t="shared" ca="1" si="143"/>
        <v/>
      </c>
      <c r="AF749" s="42" t="str">
        <f t="shared" si="148"/>
        <v>SI</v>
      </c>
      <c r="AG749" s="732" t="s">
        <v>5773</v>
      </c>
      <c r="AH749" s="152" t="s">
        <v>1255</v>
      </c>
      <c r="AI749" s="152" t="s">
        <v>4223</v>
      </c>
      <c r="AJ749" s="152"/>
      <c r="AK749" s="255" t="s">
        <v>560</v>
      </c>
      <c r="AL749" s="838" t="s">
        <v>4624</v>
      </c>
      <c r="AM749" s="279" t="s">
        <v>4242</v>
      </c>
      <c r="AN749" s="161" t="str">
        <f t="shared" ca="1" si="144"/>
        <v>TERMINO</v>
      </c>
      <c r="AO749" s="160" t="s">
        <v>582</v>
      </c>
      <c r="AP749" s="406" t="s">
        <v>391</v>
      </c>
      <c r="AQ749" s="819" t="str">
        <f>IFERROR(VLOOKUP(E749,'liquidaciones '!$B$2:$C$1048576,2,0),"NO")</f>
        <v>LIQUIDADO</v>
      </c>
      <c r="AR749" s="909" t="str">
        <f>IFERROR(VLOOKUP(E749,'liquidaciones '!$B$2:$I$1048576,8,0),"")</f>
        <v xml:space="preserve">JUAN DIEGO ESPITIA </v>
      </c>
      <c r="AS749" s="406"/>
      <c r="AT749" s="156" t="str">
        <f t="shared" ca="1" si="145"/>
        <v>SI</v>
      </c>
      <c r="AU749" s="156" t="s">
        <v>4805</v>
      </c>
      <c r="AV749" s="406" t="s">
        <v>4624</v>
      </c>
      <c r="AW749" s="930" t="s">
        <v>560</v>
      </c>
      <c r="AX749" s="930" t="s">
        <v>5153</v>
      </c>
      <c r="AY749" s="275"/>
    </row>
    <row r="750" spans="3:51" ht="40.799999999999997" x14ac:dyDescent="0.3">
      <c r="C750" s="837">
        <v>316</v>
      </c>
      <c r="D750" s="837"/>
      <c r="E750" s="120" t="s">
        <v>4625</v>
      </c>
      <c r="F750" s="414" t="s">
        <v>4840</v>
      </c>
      <c r="G750" s="863">
        <v>52379113</v>
      </c>
      <c r="H750" s="969" t="s">
        <v>4626</v>
      </c>
      <c r="I750" s="84">
        <v>17394000</v>
      </c>
      <c r="J750" s="843" t="s">
        <v>4638</v>
      </c>
      <c r="K750" s="269">
        <v>2019</v>
      </c>
      <c r="L750" s="519">
        <v>43501</v>
      </c>
      <c r="M750" s="519">
        <v>43504</v>
      </c>
      <c r="N750" s="519">
        <v>43641</v>
      </c>
      <c r="O750" s="1099" t="str">
        <f>IF(+Modificaciones!I750=0,"",VLOOKUP(E750,Modificaciones!$B$7:$I$2400,8,0))</f>
        <v/>
      </c>
      <c r="P750" s="115">
        <f>COUNTA(Modificaciones!J750,Modificaciones!L750,Modificaciones!N750,Modificaciones!P750)</f>
        <v>1</v>
      </c>
      <c r="Q750" s="116">
        <f>VLOOKUP(E750,Modificaciones!$B$7:$R$2300,17,0)</f>
        <v>8697000</v>
      </c>
      <c r="R750" s="117">
        <f>COUNTA(Modificaciones!T750,Modificaciones!V750,Modificaciones!X750,Modificaciones!Z750)</f>
        <v>2</v>
      </c>
      <c r="S750" s="118" t="str">
        <f>IF(Modificaciones!AA750=0,"",VLOOKUP(E750,Modificaciones!$B$7:$AA$2400,26,0))</f>
        <v>4 meses y 13 días</v>
      </c>
      <c r="T750" s="119">
        <f>IF(Modificaciones!AB750=0,"",VLOOKUP(E750,Modificaciones!$B$7:$AB$2400,27,0))</f>
        <v>43776</v>
      </c>
      <c r="U750" s="1080" t="str">
        <f>+Modificaciones!AC750</f>
        <v/>
      </c>
      <c r="V750" s="825" t="str">
        <f>+Modificaciones!AK750</f>
        <v/>
      </c>
      <c r="W750" s="825">
        <f t="shared" si="140"/>
        <v>43776</v>
      </c>
      <c r="X750" s="59">
        <f t="shared" si="139"/>
        <v>26091000</v>
      </c>
      <c r="Y750" s="151">
        <f>VLOOKUP(E750,Modificaciones!$B$7:$BE$2300,56,0)</f>
        <v>25607834</v>
      </c>
      <c r="Z750" s="84">
        <f t="shared" si="146"/>
        <v>483166</v>
      </c>
      <c r="AA750" s="283" t="s">
        <v>1094</v>
      </c>
      <c r="AB750" s="823">
        <f t="shared" si="147"/>
        <v>0.98148150703307657</v>
      </c>
      <c r="AC750" s="40">
        <f t="shared" ca="1" si="141"/>
        <v>1</v>
      </c>
      <c r="AD750" s="41">
        <f t="shared" ca="1" si="142"/>
        <v>1.8518492966923428E-2</v>
      </c>
      <c r="AE750" s="181" t="str">
        <f t="shared" ca="1" si="143"/>
        <v/>
      </c>
      <c r="AF750" s="42" t="str">
        <f t="shared" si="148"/>
        <v>NO</v>
      </c>
      <c r="AG750" s="732" t="s">
        <v>5773</v>
      </c>
      <c r="AH750" s="152" t="s">
        <v>1255</v>
      </c>
      <c r="AI750" s="152" t="s">
        <v>4627</v>
      </c>
      <c r="AJ750" s="152" t="s">
        <v>1438</v>
      </c>
      <c r="AK750" s="255" t="s">
        <v>560</v>
      </c>
      <c r="AL750" s="838" t="s">
        <v>1508</v>
      </c>
      <c r="AM750" s="279" t="s">
        <v>2830</v>
      </c>
      <c r="AN750" s="161" t="str">
        <f t="shared" ca="1" si="144"/>
        <v>TERMINO</v>
      </c>
      <c r="AO750" s="160" t="s">
        <v>582</v>
      </c>
      <c r="AP750" s="406" t="s">
        <v>391</v>
      </c>
      <c r="AQ750" s="819" t="str">
        <f>IFERROR(VLOOKUP(E750,'liquidaciones '!$B$2:$C$1048576,2,0),"NO")</f>
        <v>EN TRÁMITE</v>
      </c>
      <c r="AR750" s="909" t="str">
        <f>IFERROR(VLOOKUP(E750,'liquidaciones '!$B$2:$I$1048576,8,0),"")</f>
        <v>ANDRES FELIPE CORZO</v>
      </c>
      <c r="AS750" s="406"/>
      <c r="AT750" s="156" t="str">
        <f t="shared" ca="1" si="145"/>
        <v>SI</v>
      </c>
      <c r="AU750" s="156" t="s">
        <v>4805</v>
      </c>
      <c r="AV750" s="406" t="s">
        <v>4852</v>
      </c>
      <c r="AW750" s="930" t="s">
        <v>560</v>
      </c>
      <c r="AX750" s="930" t="s">
        <v>5131</v>
      </c>
      <c r="AY750" s="275" t="s">
        <v>5380</v>
      </c>
    </row>
    <row r="751" spans="3:51" ht="30.6" x14ac:dyDescent="0.3">
      <c r="C751" s="837">
        <v>325</v>
      </c>
      <c r="D751" s="837"/>
      <c r="E751" s="120" t="s">
        <v>4628</v>
      </c>
      <c r="F751" s="414" t="s">
        <v>4230</v>
      </c>
      <c r="G751" s="863">
        <v>79569100</v>
      </c>
      <c r="H751" s="969" t="s">
        <v>4629</v>
      </c>
      <c r="I751" s="84">
        <v>74800000</v>
      </c>
      <c r="J751" s="843" t="s">
        <v>4639</v>
      </c>
      <c r="K751" s="269">
        <v>2019</v>
      </c>
      <c r="L751" s="519">
        <v>43501</v>
      </c>
      <c r="M751" s="519">
        <v>43504</v>
      </c>
      <c r="N751" s="519">
        <v>43830</v>
      </c>
      <c r="O751" s="1099" t="str">
        <f>IF(+Modificaciones!I751=0,"",VLOOKUP(E751,Modificaciones!$B$7:$I$2400,8,0))</f>
        <v/>
      </c>
      <c r="P751" s="115">
        <f>COUNTA(Modificaciones!J751,Modificaciones!L751,Modificaciones!N751,Modificaciones!P751)</f>
        <v>0</v>
      </c>
      <c r="Q751" s="116">
        <f>VLOOKUP(E751,Modificaciones!$B$7:$R$2300,17,0)</f>
        <v>0</v>
      </c>
      <c r="R751" s="117">
        <f>COUNTA(Modificaciones!T751,Modificaciones!V751,Modificaciones!X751,Modificaciones!Z751)</f>
        <v>0</v>
      </c>
      <c r="S751" s="118" t="str">
        <f>IF(Modificaciones!AA751=0,"",VLOOKUP(E751,Modificaciones!$B$7:$AA$2400,26,0))</f>
        <v/>
      </c>
      <c r="T751" s="119" t="str">
        <f>IF(Modificaciones!AB751=0,"",VLOOKUP(E751,Modificaciones!$B$7:$AB$2400,27,0))</f>
        <v/>
      </c>
      <c r="U751" s="1080" t="str">
        <f>+Modificaciones!AC751</f>
        <v/>
      </c>
      <c r="V751" s="825" t="str">
        <f>+Modificaciones!AK751</f>
        <v/>
      </c>
      <c r="W751" s="825">
        <f t="shared" si="140"/>
        <v>43830</v>
      </c>
      <c r="X751" s="59">
        <f t="shared" si="139"/>
        <v>74800000</v>
      </c>
      <c r="Y751" s="151">
        <f>VLOOKUP(E751,Modificaciones!$B$7:$BE$2300,56,0)</f>
        <v>73213333</v>
      </c>
      <c r="Z751" s="84">
        <f t="shared" si="146"/>
        <v>1586667</v>
      </c>
      <c r="AA751" s="283" t="s">
        <v>1094</v>
      </c>
      <c r="AB751" s="823">
        <f t="shared" si="147"/>
        <v>0.97878787433155079</v>
      </c>
      <c r="AC751" s="40">
        <f t="shared" ca="1" si="141"/>
        <v>1</v>
      </c>
      <c r="AD751" s="41">
        <f t="shared" ca="1" si="142"/>
        <v>2.1212125668449211E-2</v>
      </c>
      <c r="AE751" s="181" t="str">
        <f t="shared" ca="1" si="143"/>
        <v/>
      </c>
      <c r="AF751" s="42" t="str">
        <f t="shared" si="148"/>
        <v>NO</v>
      </c>
      <c r="AG751" s="732" t="s">
        <v>5773</v>
      </c>
      <c r="AH751" s="152" t="s">
        <v>1256</v>
      </c>
      <c r="AI751" s="152" t="s">
        <v>4232</v>
      </c>
      <c r="AJ751" s="152" t="s">
        <v>1176</v>
      </c>
      <c r="AK751" s="255" t="s">
        <v>560</v>
      </c>
      <c r="AL751" s="279" t="s">
        <v>1508</v>
      </c>
      <c r="AM751" s="279" t="s">
        <v>4242</v>
      </c>
      <c r="AN751" s="161" t="str">
        <f t="shared" ca="1" si="144"/>
        <v>TERMINO</v>
      </c>
      <c r="AO751" s="160" t="s">
        <v>582</v>
      </c>
      <c r="AP751" s="406" t="s">
        <v>391</v>
      </c>
      <c r="AQ751" s="819" t="str">
        <f>IFERROR(VLOOKUP(E751,'liquidaciones '!$B$2:$C$1048576,2,0),"NO")</f>
        <v>LIQUIDADO</v>
      </c>
      <c r="AR751" s="909" t="str">
        <f>IFERROR(VLOOKUP(E751,'liquidaciones '!$B$2:$I$1048576,8,0),"")</f>
        <v>MARIA FERNANDA ROMERO</v>
      </c>
      <c r="AS751" s="406"/>
      <c r="AT751" s="156" t="str">
        <f t="shared" ca="1" si="145"/>
        <v>SI</v>
      </c>
      <c r="AU751" s="156" t="s">
        <v>4805</v>
      </c>
      <c r="AV751" s="406" t="s">
        <v>4852</v>
      </c>
      <c r="AW751" s="930" t="s">
        <v>3887</v>
      </c>
      <c r="AX751" s="928"/>
      <c r="AY751" s="275"/>
    </row>
    <row r="752" spans="3:51" ht="51" x14ac:dyDescent="0.3">
      <c r="C752" s="837">
        <v>300</v>
      </c>
      <c r="D752" s="837"/>
      <c r="E752" s="120" t="s">
        <v>4630</v>
      </c>
      <c r="F752" s="414" t="s">
        <v>4458</v>
      </c>
      <c r="G752" s="863">
        <v>79883661</v>
      </c>
      <c r="H752" s="969" t="s">
        <v>4459</v>
      </c>
      <c r="I752" s="84">
        <v>79618000</v>
      </c>
      <c r="J752" s="843" t="s">
        <v>4640</v>
      </c>
      <c r="K752" s="269">
        <v>2019</v>
      </c>
      <c r="L752" s="519">
        <v>43503</v>
      </c>
      <c r="M752" s="519">
        <v>43504</v>
      </c>
      <c r="N752" s="519">
        <v>43616</v>
      </c>
      <c r="O752" s="1099" t="str">
        <f>IF(+Modificaciones!I752=0,"",VLOOKUP(E752,Modificaciones!$B$7:$I$2400,8,0))</f>
        <v/>
      </c>
      <c r="P752" s="115">
        <f>COUNTA(Modificaciones!J752,Modificaciones!L752,Modificaciones!N752,Modificaciones!P752)</f>
        <v>0</v>
      </c>
      <c r="Q752" s="116">
        <f>VLOOKUP(E752,Modificaciones!$B$7:$R$2300,17,0)</f>
        <v>0</v>
      </c>
      <c r="R752" s="117">
        <f>COUNTA(Modificaciones!T752,Modificaciones!V752,Modificaciones!X752,Modificaciones!Z752)</f>
        <v>0</v>
      </c>
      <c r="S752" s="118" t="str">
        <f>IF(Modificaciones!AA752=0,"",VLOOKUP(E752,Modificaciones!$B$7:$AA$2400,26,0))</f>
        <v/>
      </c>
      <c r="T752" s="119" t="str">
        <f>IF(Modificaciones!AB752=0,"",VLOOKUP(E752,Modificaciones!$B$7:$AB$2400,27,0))</f>
        <v/>
      </c>
      <c r="U752" s="1080" t="str">
        <f>+Modificaciones!AC752</f>
        <v/>
      </c>
      <c r="V752" s="825" t="str">
        <f>+Modificaciones!AK752</f>
        <v/>
      </c>
      <c r="W752" s="825">
        <f t="shared" si="140"/>
        <v>43616</v>
      </c>
      <c r="X752" s="59">
        <f t="shared" si="139"/>
        <v>79618000</v>
      </c>
      <c r="Y752" s="151">
        <f>VLOOKUP(E752,Modificaciones!$B$7:$BE$2300,56,0)</f>
        <v>27263133</v>
      </c>
      <c r="Z752" s="84">
        <f t="shared" si="146"/>
        <v>52354867</v>
      </c>
      <c r="AA752" s="283" t="s">
        <v>1094</v>
      </c>
      <c r="AB752" s="823">
        <f t="shared" si="147"/>
        <v>0.34242423823758444</v>
      </c>
      <c r="AC752" s="40">
        <f t="shared" ca="1" si="141"/>
        <v>1</v>
      </c>
      <c r="AD752" s="41">
        <f t="shared" ca="1" si="142"/>
        <v>0.65757576176241561</v>
      </c>
      <c r="AE752" s="181" t="str">
        <f t="shared" ca="1" si="143"/>
        <v/>
      </c>
      <c r="AF752" s="42" t="str">
        <f t="shared" si="148"/>
        <v>NO</v>
      </c>
      <c r="AG752" s="732" t="s">
        <v>5773</v>
      </c>
      <c r="AH752" s="152" t="s">
        <v>1255</v>
      </c>
      <c r="AI752" s="255" t="s">
        <v>4461</v>
      </c>
      <c r="AJ752" s="838"/>
      <c r="AK752" s="255" t="s">
        <v>562</v>
      </c>
      <c r="AL752" s="838"/>
      <c r="AM752" s="279" t="s">
        <v>3984</v>
      </c>
      <c r="AN752" s="161" t="str">
        <f t="shared" ca="1" si="144"/>
        <v>TERMINO</v>
      </c>
      <c r="AO752" s="414"/>
      <c r="AP752" s="406" t="s">
        <v>391</v>
      </c>
      <c r="AQ752" s="819" t="str">
        <f>IFERROR(VLOOKUP(E752,'liquidaciones '!$B$2:$C$1048576,2,0),"NO")</f>
        <v>LIQUIDADO</v>
      </c>
      <c r="AR752" s="909" t="str">
        <f>IFERROR(VLOOKUP(E752,'liquidaciones '!$B$2:$I$1048576,8,0),"")</f>
        <v>JUAN DIEGO ESPITIA</v>
      </c>
      <c r="AS752" s="406"/>
      <c r="AT752" s="156" t="str">
        <f t="shared" ca="1" si="145"/>
        <v>SI</v>
      </c>
      <c r="AU752" s="156" t="s">
        <v>4805</v>
      </c>
      <c r="AV752" s="406"/>
      <c r="AW752" s="930" t="s">
        <v>3985</v>
      </c>
      <c r="AX752" s="930" t="s">
        <v>4939</v>
      </c>
      <c r="AY752" s="275"/>
    </row>
    <row r="753" spans="3:51" ht="81.599999999999994" x14ac:dyDescent="0.3">
      <c r="C753" s="837">
        <v>41</v>
      </c>
      <c r="D753" s="837"/>
      <c r="E753" s="120" t="s">
        <v>4642</v>
      </c>
      <c r="F753" s="414" t="s">
        <v>3485</v>
      </c>
      <c r="G753" s="863">
        <v>860047657</v>
      </c>
      <c r="H753" s="969" t="s">
        <v>4643</v>
      </c>
      <c r="I753" s="84">
        <v>4906000</v>
      </c>
      <c r="J753" s="843" t="s">
        <v>4651</v>
      </c>
      <c r="K753" s="269">
        <v>2018</v>
      </c>
      <c r="L753" s="519">
        <v>43462</v>
      </c>
      <c r="M753" s="519">
        <v>43508</v>
      </c>
      <c r="N753" s="519">
        <v>43596</v>
      </c>
      <c r="O753" s="1099" t="str">
        <f>IF(+Modificaciones!I753=0,"",VLOOKUP(E753,Modificaciones!$B$7:$I$2400,8,0))</f>
        <v/>
      </c>
      <c r="P753" s="115">
        <f>COUNTA(Modificaciones!J753,Modificaciones!L753,Modificaciones!N753,Modificaciones!P753)</f>
        <v>0</v>
      </c>
      <c r="Q753" s="116">
        <f>VLOOKUP(E753,Modificaciones!$B$7:$R$2300,17,0)</f>
        <v>0</v>
      </c>
      <c r="R753" s="117">
        <f>COUNTA(Modificaciones!T753,Modificaciones!V753,Modificaciones!X753,Modificaciones!Z753)</f>
        <v>1</v>
      </c>
      <c r="S753" s="118" t="str">
        <f>IF(Modificaciones!AA753=0,"",VLOOKUP(E753,Modificaciones!$B$7:$AA$2400,26,0))</f>
        <v>1 mes y 15 días</v>
      </c>
      <c r="T753" s="119">
        <f>IF(Modificaciones!AB753=0,"",VLOOKUP(E753,Modificaciones!$B$7:$AB$2400,27,0))</f>
        <v>43642</v>
      </c>
      <c r="U753" s="1080" t="str">
        <f>+Modificaciones!AC753</f>
        <v/>
      </c>
      <c r="V753" s="825" t="str">
        <f>+Modificaciones!AK753</f>
        <v/>
      </c>
      <c r="W753" s="825">
        <f t="shared" si="140"/>
        <v>43642</v>
      </c>
      <c r="X753" s="59">
        <f t="shared" si="139"/>
        <v>4906000</v>
      </c>
      <c r="Y753" s="151">
        <f>VLOOKUP(E753,Modificaciones!$B$7:$BE$2300,56,0)</f>
        <v>3994453</v>
      </c>
      <c r="Z753" s="84">
        <f t="shared" si="146"/>
        <v>911547</v>
      </c>
      <c r="AA753" s="283" t="s">
        <v>4644</v>
      </c>
      <c r="AB753" s="823">
        <f t="shared" si="147"/>
        <v>0.81419751324908274</v>
      </c>
      <c r="AC753" s="40">
        <f t="shared" ca="1" si="141"/>
        <v>1</v>
      </c>
      <c r="AD753" s="41">
        <f t="shared" ca="1" si="142"/>
        <v>0.18580248675091726</v>
      </c>
      <c r="AE753" s="181" t="str">
        <f t="shared" ca="1" si="143"/>
        <v/>
      </c>
      <c r="AF753" s="42" t="str">
        <f t="shared" si="148"/>
        <v>NO</v>
      </c>
      <c r="AG753" s="1017" t="s">
        <v>4920</v>
      </c>
      <c r="AH753" s="152" t="s">
        <v>1255</v>
      </c>
      <c r="AI753" s="152" t="s">
        <v>1125</v>
      </c>
      <c r="AJ753" s="152" t="s">
        <v>1441</v>
      </c>
      <c r="AK753" s="255" t="s">
        <v>560</v>
      </c>
      <c r="AL753" s="838" t="s">
        <v>4575</v>
      </c>
      <c r="AM753" s="279" t="s">
        <v>4242</v>
      </c>
      <c r="AN753" s="161" t="str">
        <f t="shared" ca="1" si="144"/>
        <v>TERMINO</v>
      </c>
      <c r="AO753" s="284" t="s">
        <v>582</v>
      </c>
      <c r="AP753" s="406" t="s">
        <v>390</v>
      </c>
      <c r="AQ753" s="819" t="str">
        <f>IFERROR(VLOOKUP(E753,'liquidaciones '!$B$2:$C$1048576,2,0),"NO")</f>
        <v>EN TRÁMITE</v>
      </c>
      <c r="AR753" s="909" t="str">
        <f>IFERROR(VLOOKUP(E753,'liquidaciones '!$B$2:$I$1048576,8,0),"")</f>
        <v>JUAN DIEGO ESPITIA</v>
      </c>
      <c r="AS753" s="406"/>
      <c r="AT753" s="156" t="str">
        <f t="shared" ca="1" si="145"/>
        <v>SI</v>
      </c>
      <c r="AU753" s="406" t="s">
        <v>4299</v>
      </c>
      <c r="AV753" s="406" t="s">
        <v>4575</v>
      </c>
      <c r="AW753" s="930" t="s">
        <v>560</v>
      </c>
      <c r="AX753" s="928"/>
      <c r="AY753" s="275" t="s">
        <v>4981</v>
      </c>
    </row>
    <row r="754" spans="3:51" ht="28.8" x14ac:dyDescent="0.3">
      <c r="C754" s="837">
        <v>272</v>
      </c>
      <c r="D754" s="837"/>
      <c r="E754" s="120" t="s">
        <v>4645</v>
      </c>
      <c r="F754" s="414" t="s">
        <v>2360</v>
      </c>
      <c r="G754" s="863" t="s">
        <v>4646</v>
      </c>
      <c r="H754" s="969" t="s">
        <v>3871</v>
      </c>
      <c r="I754" s="84">
        <v>211862734</v>
      </c>
      <c r="J754" s="843" t="s">
        <v>4652</v>
      </c>
      <c r="K754" s="269">
        <v>2019</v>
      </c>
      <c r="L754" s="519">
        <v>43507</v>
      </c>
      <c r="M754" s="519">
        <v>43507</v>
      </c>
      <c r="N754" s="519">
        <v>43830</v>
      </c>
      <c r="O754" s="1099" t="str">
        <f>IF(+Modificaciones!I754=0,"",VLOOKUP(E754,Modificaciones!$B$7:$I$2400,8,0))</f>
        <v/>
      </c>
      <c r="P754" s="115">
        <f>COUNTA(Modificaciones!J754,Modificaciones!L754,Modificaciones!N754,Modificaciones!P754)</f>
        <v>0</v>
      </c>
      <c r="Q754" s="116">
        <f>VLOOKUP(E754,Modificaciones!$B$7:$R$2300,17,0)</f>
        <v>0</v>
      </c>
      <c r="R754" s="117">
        <f>COUNTA(Modificaciones!T754,Modificaciones!V754,Modificaciones!X754,Modificaciones!Z754)</f>
        <v>0</v>
      </c>
      <c r="S754" s="118" t="str">
        <f>IF(Modificaciones!AA754=0,"",VLOOKUP(E754,Modificaciones!$B$7:$AA$2400,26,0))</f>
        <v/>
      </c>
      <c r="T754" s="119" t="str">
        <f>IF(Modificaciones!AB754=0,"",VLOOKUP(E754,Modificaciones!$B$7:$AB$2400,27,0))</f>
        <v/>
      </c>
      <c r="U754" s="1080" t="str">
        <f>+Modificaciones!AC754</f>
        <v/>
      </c>
      <c r="V754" s="825" t="str">
        <f>+Modificaciones!AK754</f>
        <v/>
      </c>
      <c r="W754" s="825">
        <f t="shared" si="140"/>
        <v>43830</v>
      </c>
      <c r="X754" s="59">
        <f t="shared" si="139"/>
        <v>211862734</v>
      </c>
      <c r="Y754" s="151">
        <f>VLOOKUP(E754,Modificaciones!$B$7:$BE$2300,56,0)</f>
        <v>211862734</v>
      </c>
      <c r="Z754" s="84">
        <f t="shared" si="146"/>
        <v>0</v>
      </c>
      <c r="AA754" s="283"/>
      <c r="AB754" s="823">
        <f t="shared" si="147"/>
        <v>1</v>
      </c>
      <c r="AC754" s="40">
        <f t="shared" ca="1" si="141"/>
        <v>1</v>
      </c>
      <c r="AD754" s="41">
        <f t="shared" ca="1" si="142"/>
        <v>0</v>
      </c>
      <c r="AE754" s="181" t="str">
        <f t="shared" ca="1" si="143"/>
        <v/>
      </c>
      <c r="AF754" s="42" t="str">
        <f t="shared" si="148"/>
        <v>SI</v>
      </c>
      <c r="AG754" s="1017" t="s">
        <v>4920</v>
      </c>
      <c r="AH754" s="152" t="s">
        <v>1256</v>
      </c>
      <c r="AI754" s="255" t="s">
        <v>2260</v>
      </c>
      <c r="AJ754" s="152" t="s">
        <v>1438</v>
      </c>
      <c r="AK754" s="255" t="s">
        <v>560</v>
      </c>
      <c r="AL754" s="279" t="s">
        <v>1508</v>
      </c>
      <c r="AM754" s="279" t="s">
        <v>4242</v>
      </c>
      <c r="AN754" s="161" t="str">
        <f t="shared" ca="1" si="144"/>
        <v>TERMINO</v>
      </c>
      <c r="AO754" s="414" t="s">
        <v>2906</v>
      </c>
      <c r="AP754" s="406"/>
      <c r="AQ754" s="819" t="str">
        <f>IFERROR(VLOOKUP(E754,'liquidaciones '!$B$2:$C$1048576,2,0),"NO")</f>
        <v>LIQUIDADO</v>
      </c>
      <c r="AR754" s="909" t="str">
        <f>IFERROR(VLOOKUP(E754,'liquidaciones '!$B$2:$I$1048576,8,0),"")</f>
        <v>JUAN DIEGO ESPITIA</v>
      </c>
      <c r="AS754" s="406"/>
      <c r="AT754" s="156" t="str">
        <f t="shared" ca="1" si="145"/>
        <v>SI</v>
      </c>
      <c r="AU754" s="156" t="s">
        <v>5156</v>
      </c>
      <c r="AV754" s="406" t="s">
        <v>4852</v>
      </c>
      <c r="AW754" s="930" t="s">
        <v>560</v>
      </c>
      <c r="AX754" s="928"/>
      <c r="AY754" s="275" t="s">
        <v>5787</v>
      </c>
    </row>
    <row r="755" spans="3:51" ht="30.6" x14ac:dyDescent="0.3">
      <c r="C755" s="837">
        <v>430</v>
      </c>
      <c r="D755" s="837"/>
      <c r="E755" s="120" t="s">
        <v>4647</v>
      </c>
      <c r="F755" s="414" t="s">
        <v>4648</v>
      </c>
      <c r="G755" s="863">
        <v>79411495</v>
      </c>
      <c r="H755" s="969" t="s">
        <v>4649</v>
      </c>
      <c r="I755" s="84">
        <v>3934000</v>
      </c>
      <c r="J755" s="843" t="s">
        <v>4653</v>
      </c>
      <c r="K755" s="269">
        <v>2019</v>
      </c>
      <c r="L755" s="519">
        <v>43509</v>
      </c>
      <c r="M755" s="519">
        <v>43511</v>
      </c>
      <c r="N755" s="519">
        <v>43569</v>
      </c>
      <c r="O755" s="1099" t="str">
        <f>IF(+Modificaciones!I755=0,"",VLOOKUP(E755,Modificaciones!$B$7:$I$2400,8,0))</f>
        <v/>
      </c>
      <c r="P755" s="115">
        <f>COUNTA(Modificaciones!J755,Modificaciones!L755,Modificaciones!N755,Modificaciones!P755)</f>
        <v>0</v>
      </c>
      <c r="Q755" s="116">
        <f>VLOOKUP(E755,Modificaciones!$B$7:$R$2300,17,0)</f>
        <v>0</v>
      </c>
      <c r="R755" s="117">
        <f>COUNTA(Modificaciones!T755,Modificaciones!V755,Modificaciones!X755,Modificaciones!Z755)</f>
        <v>0</v>
      </c>
      <c r="S755" s="118" t="str">
        <f>IF(Modificaciones!AA755=0,"",VLOOKUP(E755,Modificaciones!$B$7:$AA$2400,26,0))</f>
        <v/>
      </c>
      <c r="T755" s="119" t="str">
        <f>IF(Modificaciones!AB755=0,"",VLOOKUP(E755,Modificaciones!$B$7:$AB$2400,27,0))</f>
        <v/>
      </c>
      <c r="U755" s="1080" t="str">
        <f>+Modificaciones!AC755</f>
        <v/>
      </c>
      <c r="V755" s="825" t="str">
        <f>+Modificaciones!AK755</f>
        <v/>
      </c>
      <c r="W755" s="825">
        <f t="shared" si="140"/>
        <v>43569</v>
      </c>
      <c r="X755" s="59">
        <f t="shared" si="139"/>
        <v>3934000</v>
      </c>
      <c r="Y755" s="151">
        <f>VLOOKUP(E755,Modificaciones!$B$7:$BE$2300,56,0)</f>
        <v>3934000</v>
      </c>
      <c r="Z755" s="84">
        <f t="shared" si="146"/>
        <v>0</v>
      </c>
      <c r="AA755" s="283" t="s">
        <v>1094</v>
      </c>
      <c r="AB755" s="823">
        <f t="shared" si="147"/>
        <v>1</v>
      </c>
      <c r="AC755" s="40">
        <f t="shared" ca="1" si="141"/>
        <v>1</v>
      </c>
      <c r="AD755" s="41">
        <f t="shared" ca="1" si="142"/>
        <v>0</v>
      </c>
      <c r="AE755" s="181" t="str">
        <f t="shared" ca="1" si="143"/>
        <v/>
      </c>
      <c r="AF755" s="42" t="str">
        <f t="shared" si="148"/>
        <v>SI</v>
      </c>
      <c r="AG755" s="732" t="s">
        <v>5773</v>
      </c>
      <c r="AH755" s="152" t="s">
        <v>1256</v>
      </c>
      <c r="AI755" s="152" t="s">
        <v>4650</v>
      </c>
      <c r="AJ755" s="152" t="s">
        <v>1438</v>
      </c>
      <c r="AK755" s="255" t="s">
        <v>560</v>
      </c>
      <c r="AL755" s="838"/>
      <c r="AM755" s="279" t="s">
        <v>4242</v>
      </c>
      <c r="AN755" s="161" t="str">
        <f t="shared" ca="1" si="144"/>
        <v>TERMINO</v>
      </c>
      <c r="AO755" s="160" t="s">
        <v>582</v>
      </c>
      <c r="AP755" s="406" t="s">
        <v>391</v>
      </c>
      <c r="AQ755" s="819" t="str">
        <f>IFERROR(VLOOKUP(E755,'liquidaciones '!$B$2:$C$1048576,2,0),"NO")</f>
        <v>LIQUIDADO</v>
      </c>
      <c r="AR755" s="909" t="str">
        <f>IFERROR(VLOOKUP(E755,'liquidaciones '!$B$2:$I$1048576,8,0),"")</f>
        <v>GABINO HERNANDEZ</v>
      </c>
      <c r="AS755" s="406"/>
      <c r="AT755" s="156" t="str">
        <f t="shared" ca="1" si="145"/>
        <v>SI</v>
      </c>
      <c r="AU755" s="156" t="s">
        <v>4209</v>
      </c>
      <c r="AV755" s="406" t="s">
        <v>4852</v>
      </c>
      <c r="AW755" s="930" t="s">
        <v>560</v>
      </c>
      <c r="AX755" s="928"/>
      <c r="AY755" s="275"/>
    </row>
    <row r="756" spans="3:51" ht="20.399999999999999" x14ac:dyDescent="0.3">
      <c r="C756" s="837">
        <v>217</v>
      </c>
      <c r="D756" s="837"/>
      <c r="E756" s="120" t="s">
        <v>4683</v>
      </c>
      <c r="F756" s="414" t="s">
        <v>2959</v>
      </c>
      <c r="G756" s="863" t="s">
        <v>4684</v>
      </c>
      <c r="H756" s="969" t="s">
        <v>3046</v>
      </c>
      <c r="I756" s="84">
        <v>108816948</v>
      </c>
      <c r="J756" s="843" t="s">
        <v>4685</v>
      </c>
      <c r="K756" s="269">
        <v>2019</v>
      </c>
      <c r="L756" s="519">
        <v>43515</v>
      </c>
      <c r="M756" s="519">
        <v>43524</v>
      </c>
      <c r="N756" s="519">
        <v>43888</v>
      </c>
      <c r="O756" s="1099" t="str">
        <f>IF(+Modificaciones!I756=0,"",VLOOKUP(E756,Modificaciones!$B$7:$I$2400,8,0))</f>
        <v/>
      </c>
      <c r="P756" s="115">
        <f>COUNTA(Modificaciones!J756,Modificaciones!L756,Modificaciones!N756,Modificaciones!P756)</f>
        <v>1</v>
      </c>
      <c r="Q756" s="116">
        <f>VLOOKUP(E756,Modificaciones!$B$7:$R$2300,17,0)</f>
        <v>25000000</v>
      </c>
      <c r="R756" s="117">
        <f>COUNTA(Modificaciones!T756,Modificaciones!V756,Modificaciones!X756,Modificaciones!Z756)</f>
        <v>2</v>
      </c>
      <c r="S756" s="118" t="str">
        <f>IF(Modificaciones!AA756=0,"",VLOOKUP(E756,Modificaciones!$B$7:$AA$2400,26,0))</f>
        <v>2 meses</v>
      </c>
      <c r="T756" s="119">
        <f>IF(Modificaciones!AB756=0,"",VLOOKUP(E756,Modificaciones!$B$7:$AB$2400,27,0))</f>
        <v>44039</v>
      </c>
      <c r="U756" s="1080" t="str">
        <f>+Modificaciones!AC756</f>
        <v/>
      </c>
      <c r="V756" s="825" t="str">
        <f>+Modificaciones!AK756</f>
        <v/>
      </c>
      <c r="W756" s="825">
        <f t="shared" si="140"/>
        <v>44039</v>
      </c>
      <c r="X756" s="59">
        <f t="shared" si="139"/>
        <v>133816948</v>
      </c>
      <c r="Y756" s="151">
        <f>VLOOKUP(E756,Modificaciones!$B$7:$BE$2300,56,0)</f>
        <v>118445874</v>
      </c>
      <c r="Z756" s="84">
        <f t="shared" si="146"/>
        <v>15371074</v>
      </c>
      <c r="AA756" s="283" t="s">
        <v>1864</v>
      </c>
      <c r="AB756" s="823">
        <f t="shared" si="147"/>
        <v>0.88513357814736593</v>
      </c>
      <c r="AC756" s="40">
        <f t="shared" ca="1" si="141"/>
        <v>1</v>
      </c>
      <c r="AD756" s="41">
        <f t="shared" ca="1" si="142"/>
        <v>0.11486642185263407</v>
      </c>
      <c r="AE756" s="181" t="str">
        <f t="shared" ca="1" si="143"/>
        <v/>
      </c>
      <c r="AF756" s="42" t="str">
        <f t="shared" si="148"/>
        <v>NO</v>
      </c>
      <c r="AG756" s="1017" t="s">
        <v>4920</v>
      </c>
      <c r="AH756" s="152" t="s">
        <v>1255</v>
      </c>
      <c r="AI756" s="255" t="s">
        <v>1136</v>
      </c>
      <c r="AJ756" s="152"/>
      <c r="AK756" s="255" t="s">
        <v>559</v>
      </c>
      <c r="AL756" s="838"/>
      <c r="AM756" s="279" t="s">
        <v>4242</v>
      </c>
      <c r="AN756" s="161" t="str">
        <f t="shared" ca="1" si="144"/>
        <v>TERMINO</v>
      </c>
      <c r="AO756" s="414" t="s">
        <v>4508</v>
      </c>
      <c r="AP756" s="406" t="s">
        <v>390</v>
      </c>
      <c r="AQ756" s="819" t="str">
        <f>IFERROR(VLOOKUP(E756,'liquidaciones '!$B$2:$C$1048576,2,0),"NO")</f>
        <v>EN TRÁMITE</v>
      </c>
      <c r="AR756" s="909" t="str">
        <f>IFERROR(VLOOKUP(#REF!,'liquidaciones '!$B$2:$I$1048576,8,0),"")</f>
        <v/>
      </c>
      <c r="AS756" s="406"/>
      <c r="AT756" s="156" t="str">
        <f t="shared" ca="1" si="145"/>
        <v>SI</v>
      </c>
      <c r="AU756" s="156" t="s">
        <v>5047</v>
      </c>
      <c r="AV756" s="406" t="s">
        <v>5043</v>
      </c>
      <c r="AW756" s="290" t="s">
        <v>560</v>
      </c>
      <c r="AX756" s="928"/>
      <c r="AY756" s="275" t="s">
        <v>5786</v>
      </c>
    </row>
    <row r="757" spans="3:51" ht="61.2" x14ac:dyDescent="0.3">
      <c r="C757" s="837"/>
      <c r="D757" s="837"/>
      <c r="E757" s="120" t="s">
        <v>4688</v>
      </c>
      <c r="F757" s="414" t="s">
        <v>3516</v>
      </c>
      <c r="G757" s="863">
        <v>800039398</v>
      </c>
      <c r="H757" s="969" t="s">
        <v>4689</v>
      </c>
      <c r="I757" s="84">
        <v>200000000</v>
      </c>
      <c r="J757" s="843" t="s">
        <v>4690</v>
      </c>
      <c r="K757" s="269">
        <v>2019</v>
      </c>
      <c r="L757" s="519">
        <v>43516</v>
      </c>
      <c r="M757" s="519">
        <v>43529</v>
      </c>
      <c r="N757" s="519">
        <v>43894</v>
      </c>
      <c r="O757" s="1099" t="str">
        <f>IF(+Modificaciones!I757=0,"",VLOOKUP(E757,Modificaciones!$B$7:$I$2400,8,0))</f>
        <v/>
      </c>
      <c r="P757" s="115">
        <f>COUNTA(Modificaciones!J757,Modificaciones!L757,Modificaciones!N757,Modificaciones!P757)</f>
        <v>0</v>
      </c>
      <c r="Q757" s="116">
        <f>VLOOKUP(E757,Modificaciones!$B$7:$R$2300,17,0)</f>
        <v>0</v>
      </c>
      <c r="R757" s="117">
        <f>COUNTA(Modificaciones!T757,Modificaciones!V757,Modificaciones!X757,Modificaciones!Z757)</f>
        <v>0</v>
      </c>
      <c r="S757" s="118" t="str">
        <f>IF(Modificaciones!AA757=0,"",VLOOKUP(E757,Modificaciones!$B$7:$AA$2400,26,0))</f>
        <v/>
      </c>
      <c r="T757" s="119" t="str">
        <f>IF(Modificaciones!AB757=0,"",VLOOKUP(E757,Modificaciones!$B$7:$AB$2400,27,0))</f>
        <v/>
      </c>
      <c r="U757" s="1080" t="str">
        <f>+Modificaciones!AC757</f>
        <v/>
      </c>
      <c r="V757" s="825" t="str">
        <f>+Modificaciones!AK757</f>
        <v/>
      </c>
      <c r="W757" s="825">
        <f t="shared" si="140"/>
        <v>43894</v>
      </c>
      <c r="X757" s="59">
        <f t="shared" si="139"/>
        <v>200000000</v>
      </c>
      <c r="Y757" s="151">
        <f>VLOOKUP(E757,Modificaciones!$B$7:$BE$2300,56,0)</f>
        <v>197454161</v>
      </c>
      <c r="Z757" s="84">
        <f t="shared" si="146"/>
        <v>2545839</v>
      </c>
      <c r="AA757" s="283" t="s">
        <v>4691</v>
      </c>
      <c r="AB757" s="823">
        <f t="shared" si="147"/>
        <v>0.98727080499999997</v>
      </c>
      <c r="AC757" s="40">
        <f t="shared" ca="1" si="141"/>
        <v>1</v>
      </c>
      <c r="AD757" s="41">
        <f t="shared" ca="1" si="142"/>
        <v>1.2729195000000026E-2</v>
      </c>
      <c r="AE757" s="181" t="str">
        <f t="shared" ca="1" si="143"/>
        <v/>
      </c>
      <c r="AF757" s="42" t="str">
        <f t="shared" si="148"/>
        <v>NO</v>
      </c>
      <c r="AG757" s="1017" t="s">
        <v>4920</v>
      </c>
      <c r="AH757" s="152" t="s">
        <v>1256</v>
      </c>
      <c r="AI757" s="255" t="s">
        <v>2079</v>
      </c>
      <c r="AJ757" s="152" t="s">
        <v>1438</v>
      </c>
      <c r="AK757" s="255" t="s">
        <v>560</v>
      </c>
      <c r="AL757" s="279" t="s">
        <v>1508</v>
      </c>
      <c r="AM757" s="279" t="s">
        <v>4242</v>
      </c>
      <c r="AN757" s="161" t="str">
        <f t="shared" ca="1" si="144"/>
        <v>TERMINO</v>
      </c>
      <c r="AO757" s="414" t="s">
        <v>995</v>
      </c>
      <c r="AP757" s="406" t="s">
        <v>390</v>
      </c>
      <c r="AQ757" s="819" t="str">
        <f>IFERROR(VLOOKUP(E757,'liquidaciones '!$B$2:$C$1048576,2,0),"NO")</f>
        <v>NO</v>
      </c>
      <c r="AR757" s="909" t="str">
        <f>IFERROR(VLOOKUP(E757,'liquidaciones '!$B$2:$I$1048576,8,0),"")</f>
        <v/>
      </c>
      <c r="AS757" s="406"/>
      <c r="AT757" s="156" t="str">
        <f t="shared" ca="1" si="145"/>
        <v>SI</v>
      </c>
      <c r="AU757" s="156" t="s">
        <v>5875</v>
      </c>
      <c r="AV757" s="406" t="s">
        <v>4852</v>
      </c>
      <c r="AW757" s="930" t="s">
        <v>560</v>
      </c>
      <c r="AX757" s="928"/>
      <c r="AY757" s="275"/>
    </row>
    <row r="758" spans="3:51" ht="91.8" x14ac:dyDescent="0.3">
      <c r="C758" s="837">
        <v>342</v>
      </c>
      <c r="D758" s="837"/>
      <c r="E758" s="120" t="s">
        <v>4693</v>
      </c>
      <c r="F758" s="414" t="s">
        <v>4694</v>
      </c>
      <c r="G758" s="863" t="s">
        <v>4695</v>
      </c>
      <c r="H758" s="969" t="s">
        <v>4696</v>
      </c>
      <c r="I758" s="84">
        <v>144262517</v>
      </c>
      <c r="J758" s="843" t="s">
        <v>4699</v>
      </c>
      <c r="K758" s="269">
        <v>2019</v>
      </c>
      <c r="L758" s="519">
        <v>43528</v>
      </c>
      <c r="M758" s="519">
        <v>43535</v>
      </c>
      <c r="N758" s="519">
        <v>43595</v>
      </c>
      <c r="O758" s="1099" t="str">
        <f>IF(+Modificaciones!I758=0,"",VLOOKUP(E758,Modificaciones!$B$7:$I$2400,8,0))</f>
        <v/>
      </c>
      <c r="P758" s="115">
        <f>COUNTA(Modificaciones!J758,Modificaciones!L758,Modificaciones!N758,Modificaciones!P758)</f>
        <v>0</v>
      </c>
      <c r="Q758" s="116">
        <f>VLOOKUP(E758,Modificaciones!$B$7:$R$2300,17,0)</f>
        <v>0</v>
      </c>
      <c r="R758" s="117">
        <f>COUNTA(Modificaciones!T758,Modificaciones!V758,Modificaciones!X758,Modificaciones!Z758)</f>
        <v>1</v>
      </c>
      <c r="S758" s="118" t="str">
        <f>IF(Modificaciones!AA758=0,"",VLOOKUP(E758,Modificaciones!$B$7:$AA$2400,26,0))</f>
        <v>1 mes</v>
      </c>
      <c r="T758" s="119">
        <f>IF(Modificaciones!AB758=0,"",VLOOKUP(E758,Modificaciones!$B$7:$AB$2400,27,0))</f>
        <v>43626</v>
      </c>
      <c r="U758" s="1080" t="str">
        <f>+Modificaciones!AC758</f>
        <v/>
      </c>
      <c r="V758" s="825" t="str">
        <f>+Modificaciones!AK758</f>
        <v/>
      </c>
      <c r="W758" s="825">
        <f t="shared" si="140"/>
        <v>43626</v>
      </c>
      <c r="X758" s="59">
        <f t="shared" si="139"/>
        <v>144262517</v>
      </c>
      <c r="Y758" s="151">
        <f>VLOOKUP(E758,Modificaciones!$B$7:$BE$2300,56,0)</f>
        <v>144262517</v>
      </c>
      <c r="Z758" s="84">
        <f t="shared" si="146"/>
        <v>0</v>
      </c>
      <c r="AA758" s="1000" t="s">
        <v>4697</v>
      </c>
      <c r="AB758" s="823">
        <f t="shared" si="147"/>
        <v>1</v>
      </c>
      <c r="AC758" s="40">
        <f t="shared" ca="1" si="141"/>
        <v>1</v>
      </c>
      <c r="AD758" s="41">
        <f t="shared" ca="1" si="142"/>
        <v>0</v>
      </c>
      <c r="AE758" s="181" t="str">
        <f t="shared" ca="1" si="143"/>
        <v/>
      </c>
      <c r="AF758" s="42" t="str">
        <f t="shared" si="148"/>
        <v>SI</v>
      </c>
      <c r="AG758" s="414" t="s">
        <v>1717</v>
      </c>
      <c r="AH758" s="841" t="s">
        <v>1255</v>
      </c>
      <c r="AI758" s="841"/>
      <c r="AJ758" s="838" t="s">
        <v>1176</v>
      </c>
      <c r="AK758" s="255" t="s">
        <v>559</v>
      </c>
      <c r="AL758" s="838"/>
      <c r="AM758" s="838" t="s">
        <v>4242</v>
      </c>
      <c r="AN758" s="161" t="str">
        <f t="shared" ca="1" si="144"/>
        <v>TERMINO</v>
      </c>
      <c r="AO758" s="414" t="s">
        <v>4698</v>
      </c>
      <c r="AP758" s="406" t="s">
        <v>390</v>
      </c>
      <c r="AQ758" s="819" t="str">
        <f>IFERROR(VLOOKUP(E758,'liquidaciones '!$B$2:$C$1048576,2,0),"NO")</f>
        <v>LIQUIDADO</v>
      </c>
      <c r="AR758" s="909" t="str">
        <f>IFERROR(VLOOKUP(E758,'liquidaciones '!$B$2:$I$1048576,8,0),"")</f>
        <v>JUAN DIEGO ESPÍTIA</v>
      </c>
      <c r="AS758" s="406"/>
      <c r="AT758" s="156" t="str">
        <f t="shared" ca="1" si="145"/>
        <v>SI</v>
      </c>
      <c r="AU758" s="156" t="s">
        <v>4245</v>
      </c>
      <c r="AV758" s="1001"/>
      <c r="AW758" s="930" t="s">
        <v>559</v>
      </c>
      <c r="AX758" s="930" t="s">
        <v>4782</v>
      </c>
      <c r="AY758" s="275"/>
    </row>
    <row r="759" spans="3:51" ht="38.25" customHeight="1" x14ac:dyDescent="0.3">
      <c r="C759" s="837">
        <v>61</v>
      </c>
      <c r="D759" s="837"/>
      <c r="E759" s="120" t="s">
        <v>4701</v>
      </c>
      <c r="F759" s="414" t="s">
        <v>3833</v>
      </c>
      <c r="G759" s="863">
        <v>860001022</v>
      </c>
      <c r="H759" s="967" t="s">
        <v>2845</v>
      </c>
      <c r="I759" s="84">
        <v>1487700</v>
      </c>
      <c r="J759" s="843" t="s">
        <v>4702</v>
      </c>
      <c r="K759" s="269">
        <v>2019</v>
      </c>
      <c r="L759" s="519">
        <v>43531</v>
      </c>
      <c r="M759" s="519">
        <v>43550</v>
      </c>
      <c r="N759" s="519">
        <v>43915</v>
      </c>
      <c r="O759" s="1099" t="str">
        <f>IF(+Modificaciones!I759=0,"",VLOOKUP(E759,Modificaciones!$B$7:$I$2400,8,0))</f>
        <v/>
      </c>
      <c r="P759" s="115">
        <f>COUNTA(Modificaciones!J759,Modificaciones!L759,Modificaciones!N759,Modificaciones!P759)</f>
        <v>0</v>
      </c>
      <c r="Q759" s="116">
        <f>VLOOKUP(E759,Modificaciones!$B$7:$R$2300,17,0)</f>
        <v>0</v>
      </c>
      <c r="R759" s="117">
        <f>COUNTA(Modificaciones!T759,Modificaciones!V759,Modificaciones!X759,Modificaciones!Z759)</f>
        <v>0</v>
      </c>
      <c r="S759" s="118" t="str">
        <f>IF(Modificaciones!AA759=0,"",VLOOKUP(E759,Modificaciones!$B$7:$AA$2400,26,0))</f>
        <v/>
      </c>
      <c r="T759" s="119" t="str">
        <f>IF(Modificaciones!AB759=0,"",VLOOKUP(E759,Modificaciones!$B$7:$AB$2400,27,0))</f>
        <v/>
      </c>
      <c r="U759" s="1080" t="str">
        <f>+Modificaciones!AC759</f>
        <v/>
      </c>
      <c r="V759" s="825" t="str">
        <f>+Modificaciones!AK759</f>
        <v/>
      </c>
      <c r="W759" s="825">
        <f t="shared" si="140"/>
        <v>43915</v>
      </c>
      <c r="X759" s="59">
        <f t="shared" si="139"/>
        <v>1487700</v>
      </c>
      <c r="Y759" s="151">
        <f>VLOOKUP(E759,Modificaciones!$B$7:$BE$2300,56,0)</f>
        <v>1487700</v>
      </c>
      <c r="Z759" s="84">
        <f t="shared" si="146"/>
        <v>0</v>
      </c>
      <c r="AA759" s="283" t="s">
        <v>1894</v>
      </c>
      <c r="AB759" s="823">
        <f t="shared" si="147"/>
        <v>1</v>
      </c>
      <c r="AC759" s="40">
        <f t="shared" ca="1" si="141"/>
        <v>1</v>
      </c>
      <c r="AD759" s="41">
        <f t="shared" ca="1" si="142"/>
        <v>0</v>
      </c>
      <c r="AE759" s="181" t="str">
        <f t="shared" ca="1" si="143"/>
        <v/>
      </c>
      <c r="AF759" s="42" t="str">
        <f t="shared" si="148"/>
        <v>SI</v>
      </c>
      <c r="AG759" s="1017" t="s">
        <v>4920</v>
      </c>
      <c r="AH759" s="841" t="s">
        <v>1255</v>
      </c>
      <c r="AI759" s="841" t="s">
        <v>1124</v>
      </c>
      <c r="AJ759" s="838"/>
      <c r="AK759" s="551" t="s">
        <v>564</v>
      </c>
      <c r="AL759" s="838"/>
      <c r="AM759" s="838" t="s">
        <v>4802</v>
      </c>
      <c r="AN759" s="161" t="str">
        <f t="shared" ca="1" si="144"/>
        <v>TERMINO</v>
      </c>
      <c r="AO759" s="414"/>
      <c r="AP759" s="406" t="s">
        <v>391</v>
      </c>
      <c r="AQ759" s="819" t="str">
        <f>IFERROR(VLOOKUP(E759,'liquidaciones '!$B$2:$C$1048576,2,0),"NO")</f>
        <v>LIQUIDADO</v>
      </c>
      <c r="AR759" s="909" t="str">
        <f>IFERROR(VLOOKUP(E759,'liquidaciones '!$B$2:$I$1048576,8,0),"")</f>
        <v>JUAN DIEGO ESPITIA</v>
      </c>
      <c r="AS759" s="406"/>
      <c r="AT759" s="156" t="str">
        <f t="shared" ca="1" si="145"/>
        <v>SI</v>
      </c>
      <c r="AU759" s="156" t="s">
        <v>5851</v>
      </c>
      <c r="AV759" s="406" t="s">
        <v>5046</v>
      </c>
      <c r="AW759" s="930" t="s">
        <v>3920</v>
      </c>
      <c r="AX759" s="928"/>
      <c r="AY759" s="275"/>
    </row>
    <row r="760" spans="3:51" ht="44.25" customHeight="1" x14ac:dyDescent="0.3">
      <c r="C760" s="837">
        <v>125</v>
      </c>
      <c r="D760" s="837"/>
      <c r="E760" s="120" t="s">
        <v>4708</v>
      </c>
      <c r="F760" s="414" t="s">
        <v>2124</v>
      </c>
      <c r="G760" s="863">
        <v>830083523</v>
      </c>
      <c r="H760" s="969" t="s">
        <v>4212</v>
      </c>
      <c r="I760" s="84">
        <v>10921394</v>
      </c>
      <c r="J760" s="843" t="s">
        <v>4711</v>
      </c>
      <c r="K760" s="269">
        <v>2019</v>
      </c>
      <c r="L760" s="519">
        <v>43536</v>
      </c>
      <c r="M760" s="519">
        <v>43545</v>
      </c>
      <c r="N760" s="519">
        <v>43881</v>
      </c>
      <c r="O760" s="1099" t="str">
        <f>IF(+Modificaciones!I760=0,"",VLOOKUP(E760,Modificaciones!$B$7:$I$2400,8,0))</f>
        <v/>
      </c>
      <c r="P760" s="115">
        <f>COUNTA(Modificaciones!J760,Modificaciones!L760,Modificaciones!N760,Modificaciones!P760)</f>
        <v>0</v>
      </c>
      <c r="Q760" s="116">
        <f>VLOOKUP(E760,Modificaciones!$B$7:$R$2300,17,0)</f>
        <v>0</v>
      </c>
      <c r="R760" s="117">
        <f>COUNTA(Modificaciones!T760,Modificaciones!V760,Modificaciones!X760,Modificaciones!Z760)</f>
        <v>0</v>
      </c>
      <c r="S760" s="118" t="str">
        <f>IF(Modificaciones!AA760=0,"",VLOOKUP(E760,Modificaciones!$B$7:$AA$2400,26,0))</f>
        <v/>
      </c>
      <c r="T760" s="119" t="str">
        <f>IF(Modificaciones!AB760=0,"",VLOOKUP(E760,Modificaciones!$B$7:$AB$2400,27,0))</f>
        <v/>
      </c>
      <c r="U760" s="1080" t="str">
        <f>+Modificaciones!AC760</f>
        <v/>
      </c>
      <c r="V760" s="825" t="str">
        <f>+Modificaciones!AK760</f>
        <v/>
      </c>
      <c r="W760" s="825">
        <f t="shared" si="140"/>
        <v>43881</v>
      </c>
      <c r="X760" s="59">
        <f t="shared" si="139"/>
        <v>10921394</v>
      </c>
      <c r="Y760" s="151">
        <f>VLOOKUP(E760,Modificaciones!$B$7:$BE$2300,56,0)</f>
        <v>10921394</v>
      </c>
      <c r="Z760" s="84">
        <f t="shared" si="146"/>
        <v>0</v>
      </c>
      <c r="AA760" s="1000" t="s">
        <v>4709</v>
      </c>
      <c r="AB760" s="823">
        <f t="shared" si="147"/>
        <v>1</v>
      </c>
      <c r="AC760" s="40">
        <f t="shared" ca="1" si="141"/>
        <v>1</v>
      </c>
      <c r="AD760" s="41">
        <f t="shared" ca="1" si="142"/>
        <v>0</v>
      </c>
      <c r="AE760" s="181" t="str">
        <f t="shared" ca="1" si="143"/>
        <v/>
      </c>
      <c r="AF760" s="42" t="str">
        <f t="shared" si="148"/>
        <v>SI</v>
      </c>
      <c r="AG760" s="1017" t="s">
        <v>4920</v>
      </c>
      <c r="AH760" s="152" t="s">
        <v>1256</v>
      </c>
      <c r="AI760" s="255" t="s">
        <v>2108</v>
      </c>
      <c r="AJ760" s="152" t="s">
        <v>1438</v>
      </c>
      <c r="AK760" s="255" t="s">
        <v>560</v>
      </c>
      <c r="AL760" s="279" t="s">
        <v>1508</v>
      </c>
      <c r="AM760" s="838" t="s">
        <v>4710</v>
      </c>
      <c r="AN760" s="161" t="str">
        <f t="shared" ca="1" si="144"/>
        <v>TERMINO</v>
      </c>
      <c r="AO760" s="284" t="s">
        <v>582</v>
      </c>
      <c r="AP760" s="406" t="s">
        <v>390</v>
      </c>
      <c r="AQ760" s="819" t="str">
        <f>IFERROR(VLOOKUP(E760,'liquidaciones '!$B$2:$C$1048576,2,0),"NO")</f>
        <v>NO</v>
      </c>
      <c r="AR760" s="909" t="str">
        <f>IFERROR(VLOOKUP(E760,'liquidaciones '!$B$2:$I$1048576,8,0),"")</f>
        <v/>
      </c>
      <c r="AS760" s="406"/>
      <c r="AT760" s="156" t="str">
        <f t="shared" ca="1" si="145"/>
        <v>SI</v>
      </c>
      <c r="AU760" s="156" t="s">
        <v>5875</v>
      </c>
      <c r="AV760" s="406" t="s">
        <v>4852</v>
      </c>
      <c r="AW760" s="930" t="s">
        <v>3887</v>
      </c>
      <c r="AX760" s="928"/>
      <c r="AY760" s="275" t="s">
        <v>5788</v>
      </c>
    </row>
    <row r="761" spans="3:51" ht="30.6" x14ac:dyDescent="0.3">
      <c r="C761" s="837">
        <v>276</v>
      </c>
      <c r="D761" s="837"/>
      <c r="E761" s="120" t="s">
        <v>4783</v>
      </c>
      <c r="F761" s="414" t="s">
        <v>433</v>
      </c>
      <c r="G761" s="863">
        <v>899999115</v>
      </c>
      <c r="H761" s="969" t="s">
        <v>3695</v>
      </c>
      <c r="I761" s="84">
        <v>136841527</v>
      </c>
      <c r="J761" s="843" t="s">
        <v>4783</v>
      </c>
      <c r="K761" s="269">
        <v>2019</v>
      </c>
      <c r="L761" s="519">
        <v>43543</v>
      </c>
      <c r="M761" s="519">
        <v>43546</v>
      </c>
      <c r="N761" s="519">
        <v>43911</v>
      </c>
      <c r="O761" s="1099" t="str">
        <f>IF(+Modificaciones!I761=0,"",VLOOKUP(E761,Modificaciones!$B$7:$I$2400,8,0))</f>
        <v/>
      </c>
      <c r="P761" s="115">
        <f>COUNTA(Modificaciones!J761,Modificaciones!L761,Modificaciones!N761,Modificaciones!P761)</f>
        <v>0</v>
      </c>
      <c r="Q761" s="116">
        <f>VLOOKUP(E761,Modificaciones!$B$7:$R$2300,17,0)</f>
        <v>0</v>
      </c>
      <c r="R761" s="117">
        <f>COUNTA(Modificaciones!T761,Modificaciones!V761,Modificaciones!X761,Modificaciones!Z761)</f>
        <v>0</v>
      </c>
      <c r="S761" s="118" t="str">
        <f>IF(Modificaciones!AA761=0,"",VLOOKUP(E761,Modificaciones!$B$7:$AA$2400,26,0))</f>
        <v/>
      </c>
      <c r="T761" s="119" t="str">
        <f>IF(Modificaciones!AB761=0,"",VLOOKUP(E761,Modificaciones!$B$7:$AB$2400,27,0))</f>
        <v/>
      </c>
      <c r="U761" s="1080" t="str">
        <f>+Modificaciones!AC761</f>
        <v/>
      </c>
      <c r="V761" s="825" t="str">
        <f>+Modificaciones!AK761</f>
        <v/>
      </c>
      <c r="W761" s="825">
        <f t="shared" si="140"/>
        <v>43911</v>
      </c>
      <c r="X761" s="59">
        <f t="shared" si="139"/>
        <v>136841527</v>
      </c>
      <c r="Y761" s="151">
        <f>VLOOKUP(E761,Modificaciones!$B$7:$BE$2300,56,0)</f>
        <v>114034600</v>
      </c>
      <c r="Z761" s="84">
        <f t="shared" si="146"/>
        <v>22806927</v>
      </c>
      <c r="AA761" s="283" t="s">
        <v>2837</v>
      </c>
      <c r="AB761" s="823">
        <f t="shared" si="147"/>
        <v>0.8333332907049481</v>
      </c>
      <c r="AC761" s="40">
        <f t="shared" ca="1" si="141"/>
        <v>1</v>
      </c>
      <c r="AD761" s="41">
        <f t="shared" ca="1" si="142"/>
        <v>0.1666667092950519</v>
      </c>
      <c r="AE761" s="181" t="str">
        <f t="shared" ca="1" si="143"/>
        <v/>
      </c>
      <c r="AF761" s="42" t="str">
        <f t="shared" si="148"/>
        <v>NO</v>
      </c>
      <c r="AG761" s="1017" t="s">
        <v>4920</v>
      </c>
      <c r="AH761" s="152" t="s">
        <v>1256</v>
      </c>
      <c r="AI761" s="255" t="s">
        <v>1605</v>
      </c>
      <c r="AJ761" s="152" t="s">
        <v>1438</v>
      </c>
      <c r="AK761" s="255" t="s">
        <v>560</v>
      </c>
      <c r="AL761" s="279" t="s">
        <v>1508</v>
      </c>
      <c r="AM761" s="838" t="s">
        <v>4710</v>
      </c>
      <c r="AN761" s="161" t="str">
        <f t="shared" ca="1" si="144"/>
        <v>TERMINO</v>
      </c>
      <c r="AO761" s="284" t="s">
        <v>582</v>
      </c>
      <c r="AP761" s="155" t="s">
        <v>390</v>
      </c>
      <c r="AQ761" s="819" t="str">
        <f>IFERROR(VLOOKUP(E761,'liquidaciones '!$B$2:$C$1048576,2,0),"NO")</f>
        <v>NO</v>
      </c>
      <c r="AR761" s="909" t="str">
        <f>IFERROR(VLOOKUP(E761,'liquidaciones '!$B$2:$I$1048576,8,0),"")</f>
        <v/>
      </c>
      <c r="AS761" s="406"/>
      <c r="AT761" s="156" t="str">
        <f t="shared" ca="1" si="145"/>
        <v>SI</v>
      </c>
      <c r="AU761" s="156" t="s">
        <v>5850</v>
      </c>
      <c r="AV761" s="406" t="s">
        <v>4852</v>
      </c>
      <c r="AW761" s="930" t="s">
        <v>560</v>
      </c>
      <c r="AX761" s="928"/>
      <c r="AY761" s="275"/>
    </row>
    <row r="762" spans="3:51" ht="81.599999999999994" x14ac:dyDescent="0.3">
      <c r="C762" s="837">
        <v>62</v>
      </c>
      <c r="D762" s="837"/>
      <c r="E762" s="120" t="s">
        <v>4789</v>
      </c>
      <c r="F762" s="414" t="s">
        <v>90</v>
      </c>
      <c r="G762" s="863" t="s">
        <v>2603</v>
      </c>
      <c r="H762" s="965" t="s">
        <v>3032</v>
      </c>
      <c r="I762" s="84">
        <v>2088604</v>
      </c>
      <c r="J762" s="843" t="s">
        <v>4793</v>
      </c>
      <c r="K762" s="269">
        <v>2019</v>
      </c>
      <c r="L762" s="1008">
        <v>43550</v>
      </c>
      <c r="M762" s="519">
        <v>43552</v>
      </c>
      <c r="N762" s="519">
        <v>43917</v>
      </c>
      <c r="O762" s="1099" t="str">
        <f>IF(+Modificaciones!I762=0,"",VLOOKUP(E762,Modificaciones!$B$7:$I$2400,8,0))</f>
        <v/>
      </c>
      <c r="P762" s="115">
        <f>COUNTA(Modificaciones!J762,Modificaciones!L762,Modificaciones!N762,Modificaciones!P762)</f>
        <v>0</v>
      </c>
      <c r="Q762" s="116">
        <f>VLOOKUP(E762,Modificaciones!$B$7:$R$2300,17,0)</f>
        <v>0</v>
      </c>
      <c r="R762" s="117">
        <f>COUNTA(Modificaciones!T762,Modificaciones!V762,Modificaciones!X762,Modificaciones!Z762)</f>
        <v>0</v>
      </c>
      <c r="S762" s="118" t="str">
        <f>IF(Modificaciones!AA762=0,"",VLOOKUP(E762,Modificaciones!$B$7:$AA$2400,26,0))</f>
        <v/>
      </c>
      <c r="T762" s="119" t="str">
        <f>IF(Modificaciones!AB762=0,"",VLOOKUP(E762,Modificaciones!$B$7:$AB$2400,27,0))</f>
        <v/>
      </c>
      <c r="U762" s="1080" t="str">
        <f>+Modificaciones!AC762</f>
        <v/>
      </c>
      <c r="V762" s="825" t="str">
        <f>+Modificaciones!AK762</f>
        <v/>
      </c>
      <c r="W762" s="825">
        <f t="shared" si="140"/>
        <v>43917</v>
      </c>
      <c r="X762" s="59">
        <f t="shared" si="139"/>
        <v>2088604</v>
      </c>
      <c r="Y762" s="151">
        <f>VLOOKUP(E762,Modificaciones!$B$7:$BE$2300,56,0)</f>
        <v>2088604</v>
      </c>
      <c r="Z762" s="84">
        <f t="shared" si="146"/>
        <v>0</v>
      </c>
      <c r="AA762" s="288" t="s">
        <v>1230</v>
      </c>
      <c r="AB762" s="823">
        <f t="shared" si="147"/>
        <v>1</v>
      </c>
      <c r="AC762" s="40">
        <f t="shared" ca="1" si="141"/>
        <v>1</v>
      </c>
      <c r="AD762" s="41">
        <f t="shared" ca="1" si="142"/>
        <v>0</v>
      </c>
      <c r="AE762" s="181" t="str">
        <f t="shared" ca="1" si="143"/>
        <v/>
      </c>
      <c r="AF762" s="42" t="str">
        <f t="shared" si="148"/>
        <v>SI</v>
      </c>
      <c r="AG762" s="1017" t="s">
        <v>4920</v>
      </c>
      <c r="AH762" s="841" t="s">
        <v>4791</v>
      </c>
      <c r="AI762" s="275" t="s">
        <v>1141</v>
      </c>
      <c r="AJ762" s="152" t="s">
        <v>1429</v>
      </c>
      <c r="AK762" s="255" t="s">
        <v>564</v>
      </c>
      <c r="AL762" s="838"/>
      <c r="AM762" s="838" t="s">
        <v>4802</v>
      </c>
      <c r="AN762" s="161" t="str">
        <f t="shared" ca="1" si="144"/>
        <v>TERMINO</v>
      </c>
      <c r="AO762" s="160" t="s">
        <v>576</v>
      </c>
      <c r="AP762" s="406" t="s">
        <v>390</v>
      </c>
      <c r="AQ762" s="819" t="str">
        <f>IFERROR(VLOOKUP(E762,'liquidaciones '!$B$2:$C$1048576,2,0),"NO")</f>
        <v>LIQUIDADO</v>
      </c>
      <c r="AR762" s="909" t="str">
        <f>IFERROR(VLOOKUP(E762,'liquidaciones '!$B$2:$I$1048576,8,0),"")</f>
        <v>JUAN DIEGO ESPITIA</v>
      </c>
      <c r="AS762" s="406"/>
      <c r="AT762" s="156" t="str">
        <f t="shared" ca="1" si="145"/>
        <v>SI</v>
      </c>
      <c r="AU762" s="930" t="s">
        <v>4804</v>
      </c>
      <c r="AV762" s="1001"/>
      <c r="AW762" s="930" t="s">
        <v>3920</v>
      </c>
      <c r="AX762" s="928"/>
      <c r="AY762" s="275"/>
    </row>
    <row r="763" spans="3:51" ht="61.2" x14ac:dyDescent="0.3">
      <c r="C763" s="837">
        <v>121</v>
      </c>
      <c r="D763" s="837"/>
      <c r="E763" s="120" t="s">
        <v>4790</v>
      </c>
      <c r="F763" s="414" t="s">
        <v>4143</v>
      </c>
      <c r="G763" s="863">
        <v>35510194</v>
      </c>
      <c r="H763" s="965" t="s">
        <v>4144</v>
      </c>
      <c r="I763" s="84">
        <v>44072000</v>
      </c>
      <c r="J763" s="843" t="s">
        <v>4790</v>
      </c>
      <c r="K763" s="269">
        <v>2019</v>
      </c>
      <c r="L763" s="519">
        <v>43551</v>
      </c>
      <c r="M763" s="519">
        <v>43556</v>
      </c>
      <c r="N763" s="519">
        <v>43799</v>
      </c>
      <c r="O763" s="1099" t="str">
        <f>IF(+Modificaciones!I763=0,"",VLOOKUP(E763,Modificaciones!$B$7:$I$2400,8,0))</f>
        <v/>
      </c>
      <c r="P763" s="115">
        <f>COUNTA(Modificaciones!J763,Modificaciones!L763,Modificaciones!N763,Modificaciones!P763)</f>
        <v>1</v>
      </c>
      <c r="Q763" s="116">
        <f>VLOOKUP(E763,Modificaciones!$B$7:$R$2300,17,0)</f>
        <v>11018000</v>
      </c>
      <c r="R763" s="117">
        <f>COUNTA(Modificaciones!T763,Modificaciones!V763,Modificaciones!X763,Modificaciones!Z763)</f>
        <v>1</v>
      </c>
      <c r="S763" s="118" t="str">
        <f>IF(Modificaciones!AA763=0,"",VLOOKUP(E763,Modificaciones!$B$7:$AA$2400,26,0))</f>
        <v>2 meses</v>
      </c>
      <c r="T763" s="119">
        <f>IF(Modificaciones!AB763=0,"",VLOOKUP(E763,Modificaciones!$B$7:$AB$2400,27,0))</f>
        <v>43872</v>
      </c>
      <c r="U763" s="1080">
        <f>+Modificaciones!AC763</f>
        <v>11</v>
      </c>
      <c r="V763" s="825">
        <f>+Modificaciones!AK763</f>
        <v>43872</v>
      </c>
      <c r="W763" s="825">
        <f t="shared" si="140"/>
        <v>43872</v>
      </c>
      <c r="X763" s="59">
        <f t="shared" si="139"/>
        <v>55090000</v>
      </c>
      <c r="Y763" s="151">
        <f>VLOOKUP(E763,Modificaciones!$B$7:$BE$2300,56,0)</f>
        <v>55090000</v>
      </c>
      <c r="Z763" s="84">
        <f t="shared" si="146"/>
        <v>0</v>
      </c>
      <c r="AA763" s="283" t="s">
        <v>1094</v>
      </c>
      <c r="AB763" s="823">
        <f t="shared" si="147"/>
        <v>1</v>
      </c>
      <c r="AC763" s="40">
        <f t="shared" ca="1" si="141"/>
        <v>1</v>
      </c>
      <c r="AD763" s="41">
        <f t="shared" ca="1" si="142"/>
        <v>0</v>
      </c>
      <c r="AE763" s="181" t="str">
        <f t="shared" ca="1" si="143"/>
        <v/>
      </c>
      <c r="AF763" s="42" t="str">
        <f t="shared" si="148"/>
        <v>SI</v>
      </c>
      <c r="AG763" s="732" t="s">
        <v>5773</v>
      </c>
      <c r="AH763" s="152" t="s">
        <v>1256</v>
      </c>
      <c r="AI763" s="152" t="s">
        <v>2171</v>
      </c>
      <c r="AJ763" s="152" t="s">
        <v>1438</v>
      </c>
      <c r="AK763" s="255" t="s">
        <v>560</v>
      </c>
      <c r="AL763" s="279" t="s">
        <v>1508</v>
      </c>
      <c r="AM763" s="838" t="s">
        <v>4710</v>
      </c>
      <c r="AN763" s="161" t="str">
        <f t="shared" ca="1" si="144"/>
        <v>TERMINO</v>
      </c>
      <c r="AO763" s="160" t="s">
        <v>582</v>
      </c>
      <c r="AP763" s="406" t="s">
        <v>391</v>
      </c>
      <c r="AQ763" s="819" t="str">
        <f>IFERROR(VLOOKUP(E763,'liquidaciones '!$B$2:$C$1048576,2,0),"NO")</f>
        <v>LIQUIDADO</v>
      </c>
      <c r="AR763" s="909" t="str">
        <f>IFERROR(VLOOKUP(E763,'liquidaciones '!$B$2:$I$1048576,8,0),"")</f>
        <v xml:space="preserve">JUAN DIEGO ESPITIA </v>
      </c>
      <c r="AS763" s="406"/>
      <c r="AT763" s="156" t="str">
        <f t="shared" ca="1" si="145"/>
        <v>SI</v>
      </c>
      <c r="AU763" s="156" t="s">
        <v>4805</v>
      </c>
      <c r="AV763" s="406" t="s">
        <v>4852</v>
      </c>
      <c r="AW763" s="930" t="s">
        <v>560</v>
      </c>
      <c r="AX763" s="930" t="s">
        <v>5422</v>
      </c>
      <c r="AY763" s="275"/>
    </row>
    <row r="764" spans="3:51" ht="81.599999999999994" x14ac:dyDescent="0.3">
      <c r="C764" s="837">
        <v>209</v>
      </c>
      <c r="D764" s="837"/>
      <c r="E764" s="120" t="s">
        <v>4795</v>
      </c>
      <c r="F764" s="414" t="s">
        <v>4175</v>
      </c>
      <c r="G764" s="863">
        <v>1030532647</v>
      </c>
      <c r="H764" s="969" t="s">
        <v>3594</v>
      </c>
      <c r="I764" s="84">
        <v>17672000</v>
      </c>
      <c r="J764" s="843" t="s">
        <v>4795</v>
      </c>
      <c r="K764" s="269">
        <v>2019</v>
      </c>
      <c r="L764" s="519">
        <v>43553</v>
      </c>
      <c r="M764" s="519">
        <v>43557</v>
      </c>
      <c r="N764" s="519">
        <v>43800</v>
      </c>
      <c r="O764" s="1099" t="str">
        <f>IF(+Modificaciones!I764=0,"",VLOOKUP(E764,Modificaciones!$B$7:$I$2400,8,0))</f>
        <v/>
      </c>
      <c r="P764" s="115">
        <f>COUNTA(Modificaciones!J764,Modificaciones!L764,Modificaciones!N764,Modificaciones!P764)</f>
        <v>1</v>
      </c>
      <c r="Q764" s="116">
        <f>VLOOKUP(E764,Modificaciones!$B$7:$R$2300,17,0)</f>
        <v>4418000</v>
      </c>
      <c r="R764" s="117">
        <f>COUNTA(Modificaciones!T764,Modificaciones!V764,Modificaciones!X764,Modificaciones!Z764)</f>
        <v>1</v>
      </c>
      <c r="S764" s="118" t="str">
        <f>IF(Modificaciones!AA764=0,"",VLOOKUP(E764,Modificaciones!$B$7:$AA$2400,26,0))</f>
        <v>2 meses</v>
      </c>
      <c r="T764" s="119">
        <f>IF(Modificaciones!AB764=0,"",VLOOKUP(E764,Modificaciones!$B$7:$AB$2400,27,0))</f>
        <v>43875</v>
      </c>
      <c r="U764" s="1080">
        <f>+Modificaciones!AC764</f>
        <v>13</v>
      </c>
      <c r="V764" s="825">
        <f>+Modificaciones!AK764</f>
        <v>43875</v>
      </c>
      <c r="W764" s="825">
        <f t="shared" si="140"/>
        <v>43875</v>
      </c>
      <c r="X764" s="59">
        <f t="shared" si="139"/>
        <v>22090000</v>
      </c>
      <c r="Y764" s="151">
        <f>VLOOKUP(E764,Modificaciones!$B$7:$BE$2300,56,0)</f>
        <v>22090000</v>
      </c>
      <c r="Z764" s="84">
        <f t="shared" si="146"/>
        <v>0</v>
      </c>
      <c r="AA764" s="283" t="s">
        <v>1094</v>
      </c>
      <c r="AB764" s="823">
        <f t="shared" si="147"/>
        <v>1</v>
      </c>
      <c r="AC764" s="40">
        <f t="shared" ca="1" si="141"/>
        <v>1</v>
      </c>
      <c r="AD764" s="41">
        <f t="shared" ca="1" si="142"/>
        <v>0</v>
      </c>
      <c r="AE764" s="181" t="str">
        <f t="shared" ca="1" si="143"/>
        <v/>
      </c>
      <c r="AF764" s="42" t="str">
        <f t="shared" si="148"/>
        <v>SI</v>
      </c>
      <c r="AG764" s="732" t="s">
        <v>5773</v>
      </c>
      <c r="AH764" s="152" t="s">
        <v>1255</v>
      </c>
      <c r="AI764" s="255" t="s">
        <v>3595</v>
      </c>
      <c r="AJ764" s="838" t="s">
        <v>3596</v>
      </c>
      <c r="AK764" s="255" t="s">
        <v>560</v>
      </c>
      <c r="AL764" s="838" t="s">
        <v>3597</v>
      </c>
      <c r="AM764" s="838" t="s">
        <v>4710</v>
      </c>
      <c r="AN764" s="161" t="str">
        <f t="shared" ca="1" si="144"/>
        <v>TERMINO</v>
      </c>
      <c r="AO764" s="284" t="s">
        <v>582</v>
      </c>
      <c r="AP764" s="406" t="s">
        <v>391</v>
      </c>
      <c r="AQ764" s="819" t="str">
        <f>IFERROR(VLOOKUP(E764,'liquidaciones '!$B$2:$C$1048576,2,0),"NO")</f>
        <v>EN TRÁMITE</v>
      </c>
      <c r="AR764" s="909" t="str">
        <f>IFERROR(VLOOKUP(E764,'liquidaciones '!$B$2:$I$1048576,8,0),"")</f>
        <v>LAURA VELANDIA</v>
      </c>
      <c r="AS764" s="406"/>
      <c r="AT764" s="156" t="str">
        <f t="shared" ca="1" si="145"/>
        <v>SI</v>
      </c>
      <c r="AU764" s="156" t="s">
        <v>4805</v>
      </c>
      <c r="AV764" s="406" t="s">
        <v>5044</v>
      </c>
      <c r="AW764" s="930" t="s">
        <v>560</v>
      </c>
      <c r="AX764" s="930" t="s">
        <v>5440</v>
      </c>
      <c r="AY764" s="275" t="s">
        <v>5911</v>
      </c>
    </row>
    <row r="765" spans="3:51" ht="71.400000000000006" x14ac:dyDescent="0.3">
      <c r="C765" s="837">
        <v>344</v>
      </c>
      <c r="D765" s="837"/>
      <c r="E765" s="120" t="s">
        <v>4796</v>
      </c>
      <c r="F765" s="414" t="s">
        <v>4546</v>
      </c>
      <c r="G765" s="863">
        <v>80751229</v>
      </c>
      <c r="H765" s="969" t="s">
        <v>4547</v>
      </c>
      <c r="I765" s="84">
        <v>52173000</v>
      </c>
      <c r="J765" s="843" t="s">
        <v>4796</v>
      </c>
      <c r="K765" s="269">
        <v>2019</v>
      </c>
      <c r="L765" s="519">
        <v>43553</v>
      </c>
      <c r="M765" s="519">
        <v>43557</v>
      </c>
      <c r="N765" s="519">
        <v>43831</v>
      </c>
      <c r="O765" s="1099" t="str">
        <f>IF(+Modificaciones!I765=0,"",VLOOKUP(E765,Modificaciones!$B$7:$I$2400,8,0))</f>
        <v/>
      </c>
      <c r="P765" s="115">
        <f>COUNTA(Modificaciones!J765,Modificaciones!L765,Modificaciones!N765,Modificaciones!P765)</f>
        <v>1</v>
      </c>
      <c r="Q765" s="116">
        <f>VLOOKUP(E765,Modificaciones!$B$7:$R$2300,17,0)</f>
        <v>11594000</v>
      </c>
      <c r="R765" s="117">
        <f>COUNTA(Modificaciones!T765,Modificaciones!V765,Modificaciones!X765,Modificaciones!Z765)</f>
        <v>1</v>
      </c>
      <c r="S765" s="118" t="str">
        <f>IF(Modificaciones!AA765=0,"",VLOOKUP(E765,Modificaciones!$B$7:$AA$2400,26,0))</f>
        <v>2 meses</v>
      </c>
      <c r="T765" s="119">
        <f>IF(Modificaciones!AB765=0,"",VLOOKUP(E765,Modificaciones!$B$7:$AB$2400,27,0))</f>
        <v>43890</v>
      </c>
      <c r="U765" s="1080" t="str">
        <f>+Modificaciones!AC765</f>
        <v/>
      </c>
      <c r="V765" s="825" t="str">
        <f>+Modificaciones!AK765</f>
        <v/>
      </c>
      <c r="W765" s="825">
        <f t="shared" si="140"/>
        <v>43890</v>
      </c>
      <c r="X765" s="59">
        <f t="shared" si="139"/>
        <v>63767000</v>
      </c>
      <c r="Y765" s="151">
        <f>VLOOKUP(E765,Modificaciones!$B$7:$BE$2300,56,0)</f>
        <v>63767000</v>
      </c>
      <c r="Z765" s="84">
        <f t="shared" si="146"/>
        <v>0</v>
      </c>
      <c r="AA765" s="283" t="s">
        <v>1094</v>
      </c>
      <c r="AB765" s="823">
        <f t="shared" si="147"/>
        <v>1</v>
      </c>
      <c r="AC765" s="40">
        <f t="shared" ca="1" si="141"/>
        <v>1</v>
      </c>
      <c r="AD765" s="41">
        <f t="shared" ca="1" si="142"/>
        <v>0</v>
      </c>
      <c r="AE765" s="181" t="str">
        <f t="shared" ca="1" si="143"/>
        <v/>
      </c>
      <c r="AF765" s="42" t="str">
        <f t="shared" si="148"/>
        <v>SI</v>
      </c>
      <c r="AG765" s="732" t="s">
        <v>5773</v>
      </c>
      <c r="AH765" s="841" t="s">
        <v>1255</v>
      </c>
      <c r="AI765" s="870" t="s">
        <v>4548</v>
      </c>
      <c r="AJ765" s="838"/>
      <c r="AK765" s="255" t="s">
        <v>559</v>
      </c>
      <c r="AL765" s="838"/>
      <c r="AM765" s="838" t="s">
        <v>4802</v>
      </c>
      <c r="AN765" s="161" t="str">
        <f t="shared" ca="1" si="144"/>
        <v>TERMINO</v>
      </c>
      <c r="AO765" s="414" t="s">
        <v>4508</v>
      </c>
      <c r="AP765" s="406" t="s">
        <v>391</v>
      </c>
      <c r="AQ765" s="819" t="str">
        <f>IFERROR(VLOOKUP(E765,'liquidaciones '!$B$2:$C$1048576,2,0),"NO")</f>
        <v>LIQUIDADO</v>
      </c>
      <c r="AR765" s="909" t="str">
        <f>IFERROR(VLOOKUP(E765,'liquidaciones '!$B$2:$I$1048576,8,0),"")</f>
        <v>JUAN DIEGO ESPITIA</v>
      </c>
      <c r="AS765" s="406"/>
      <c r="AT765" s="156" t="str">
        <f t="shared" ca="1" si="145"/>
        <v>SI</v>
      </c>
      <c r="AU765" s="156" t="s">
        <v>4805</v>
      </c>
      <c r="AV765" s="406"/>
      <c r="AW765" s="930" t="s">
        <v>3938</v>
      </c>
      <c r="AX765" s="930" t="s">
        <v>5437</v>
      </c>
      <c r="AY765" s="275" t="s">
        <v>5905</v>
      </c>
    </row>
    <row r="766" spans="3:51" ht="30.6" x14ac:dyDescent="0.3">
      <c r="C766" s="837">
        <v>358</v>
      </c>
      <c r="D766" s="837"/>
      <c r="E766" s="120" t="s">
        <v>4797</v>
      </c>
      <c r="F766" s="414" t="s">
        <v>4424</v>
      </c>
      <c r="G766" s="863">
        <v>36454156</v>
      </c>
      <c r="H766" s="969" t="s">
        <v>4427</v>
      </c>
      <c r="I766" s="84">
        <v>62800000</v>
      </c>
      <c r="J766" s="843" t="s">
        <v>4797</v>
      </c>
      <c r="K766" s="269">
        <v>2019</v>
      </c>
      <c r="L766" s="519">
        <v>43556</v>
      </c>
      <c r="M766" s="519">
        <v>43556</v>
      </c>
      <c r="N766" s="519">
        <v>43799</v>
      </c>
      <c r="O766" s="1099" t="str">
        <f>IF(+Modificaciones!I766=0,"",VLOOKUP(E766,Modificaciones!$B$7:$I$2400,8,0))</f>
        <v/>
      </c>
      <c r="P766" s="115">
        <f>COUNTA(Modificaciones!J766,Modificaciones!L766,Modificaciones!N766,Modificaciones!P766)</f>
        <v>1</v>
      </c>
      <c r="Q766" s="116">
        <f>VLOOKUP(E766,Modificaciones!$B$7:$R$2300,17,0)</f>
        <v>23550000</v>
      </c>
      <c r="R766" s="117">
        <f>COUNTA(Modificaciones!T766,Modificaciones!V766,Modificaciones!X766,Modificaciones!Z766)</f>
        <v>1</v>
      </c>
      <c r="S766" s="118" t="str">
        <f>IF(Modificaciones!AA766=0,"",VLOOKUP(E766,Modificaciones!$B$7:$AA$2400,26,0))</f>
        <v>3 meses</v>
      </c>
      <c r="T766" s="119">
        <f>IF(Modificaciones!AB766=0,"",VLOOKUP(E766,Modificaciones!$B$7:$AB$2400,27,0))</f>
        <v>43890</v>
      </c>
      <c r="U766" s="1080" t="str">
        <f>+Modificaciones!AC766</f>
        <v/>
      </c>
      <c r="V766" s="825" t="str">
        <f>+Modificaciones!AK766</f>
        <v/>
      </c>
      <c r="W766" s="825">
        <f t="shared" si="140"/>
        <v>43890</v>
      </c>
      <c r="X766" s="59">
        <f t="shared" si="139"/>
        <v>86350000</v>
      </c>
      <c r="Y766" s="151">
        <f>VLOOKUP(E766,Modificaciones!$B$7:$BE$2300,56,0)</f>
        <v>86350000</v>
      </c>
      <c r="Z766" s="84">
        <f t="shared" si="146"/>
        <v>0</v>
      </c>
      <c r="AA766" s="283" t="s">
        <v>1094</v>
      </c>
      <c r="AB766" s="823">
        <f t="shared" si="147"/>
        <v>1</v>
      </c>
      <c r="AC766" s="40">
        <f t="shared" ca="1" si="141"/>
        <v>1</v>
      </c>
      <c r="AD766" s="41">
        <f t="shared" ca="1" si="142"/>
        <v>0</v>
      </c>
      <c r="AE766" s="181" t="str">
        <f t="shared" ca="1" si="143"/>
        <v/>
      </c>
      <c r="AF766" s="42" t="str">
        <f t="shared" si="148"/>
        <v>SI</v>
      </c>
      <c r="AG766" s="732" t="s">
        <v>5773</v>
      </c>
      <c r="AH766" s="152" t="s">
        <v>1255</v>
      </c>
      <c r="AI766" s="255" t="s">
        <v>4426</v>
      </c>
      <c r="AJ766" s="838"/>
      <c r="AK766" s="255" t="s">
        <v>559</v>
      </c>
      <c r="AL766" s="838"/>
      <c r="AM766" s="838" t="s">
        <v>4802</v>
      </c>
      <c r="AN766" s="161" t="str">
        <f t="shared" ca="1" si="144"/>
        <v>TERMINO</v>
      </c>
      <c r="AO766" s="284" t="s">
        <v>582</v>
      </c>
      <c r="AP766" s="406" t="s">
        <v>391</v>
      </c>
      <c r="AQ766" s="819" t="str">
        <f>IFERROR(VLOOKUP(E766,'liquidaciones '!$B$2:$C$1048576,2,0),"NO")</f>
        <v>EN TRÁMITE</v>
      </c>
      <c r="AR766" s="909" t="str">
        <f>IFERROR(VLOOKUP(E766,'liquidaciones '!$B$2:$I$1048576,8,0),"")</f>
        <v>JUAN DIEGO ESPITIA</v>
      </c>
      <c r="AS766" s="406"/>
      <c r="AT766" s="156" t="str">
        <f t="shared" ca="1" si="145"/>
        <v>SI</v>
      </c>
      <c r="AU766" s="156" t="s">
        <v>4805</v>
      </c>
      <c r="AV766" s="406"/>
      <c r="AW766" s="930" t="s">
        <v>3938</v>
      </c>
      <c r="AX766" s="930" t="s">
        <v>5767</v>
      </c>
      <c r="AY766" s="275" t="s">
        <v>5768</v>
      </c>
    </row>
    <row r="767" spans="3:51" ht="71.400000000000006" x14ac:dyDescent="0.3">
      <c r="C767" s="837">
        <v>11</v>
      </c>
      <c r="D767" s="837"/>
      <c r="E767" s="120" t="s">
        <v>4800</v>
      </c>
      <c r="F767" s="414" t="s">
        <v>4801</v>
      </c>
      <c r="G767" s="863">
        <v>79965574</v>
      </c>
      <c r="H767" s="969" t="s">
        <v>4166</v>
      </c>
      <c r="I767" s="84">
        <v>39752000</v>
      </c>
      <c r="J767" s="843" t="s">
        <v>4800</v>
      </c>
      <c r="K767" s="269">
        <v>2019</v>
      </c>
      <c r="L767" s="519">
        <v>43558</v>
      </c>
      <c r="M767" s="519">
        <v>43563</v>
      </c>
      <c r="N767" s="519">
        <v>43806</v>
      </c>
      <c r="O767" s="1099" t="str">
        <f>IF(+Modificaciones!I767=0,"",VLOOKUP(E767,Modificaciones!$B$7:$I$2400,8,0))</f>
        <v/>
      </c>
      <c r="P767" s="115">
        <f>COUNTA(Modificaciones!J767,Modificaciones!L767,Modificaciones!N767,Modificaciones!P767)</f>
        <v>1</v>
      </c>
      <c r="Q767" s="116">
        <f>VLOOKUP(E767,Modificaciones!$B$7:$R$2300,17,0)</f>
        <v>4969000</v>
      </c>
      <c r="R767" s="117">
        <f>COUNTA(Modificaciones!T767,Modificaciones!V767,Modificaciones!X767,Modificaciones!Z767)</f>
        <v>1</v>
      </c>
      <c r="S767" s="118" t="str">
        <f>IF(Modificaciones!AA767=0,"",VLOOKUP(E767,Modificaciones!$B$7:$AA$2400,26,0))</f>
        <v>1 mes</v>
      </c>
      <c r="T767" s="119">
        <f>IF(Modificaciones!AB767=0,"",VLOOKUP(E767,Modificaciones!$B$7:$AB$2400,27,0))</f>
        <v>43850</v>
      </c>
      <c r="U767" s="1080">
        <f>+Modificaciones!AC767</f>
        <v>13</v>
      </c>
      <c r="V767" s="825">
        <f>+Modificaciones!AK767</f>
        <v>43850</v>
      </c>
      <c r="W767" s="825">
        <f t="shared" si="140"/>
        <v>43850</v>
      </c>
      <c r="X767" s="59">
        <f t="shared" si="139"/>
        <v>44721000</v>
      </c>
      <c r="Y767" s="151">
        <f>VLOOKUP(E767,Modificaciones!$B$7:$BE$2300,56,0)</f>
        <v>44721000</v>
      </c>
      <c r="Z767" s="84">
        <f t="shared" si="146"/>
        <v>0</v>
      </c>
      <c r="AA767" s="283" t="s">
        <v>1094</v>
      </c>
      <c r="AB767" s="823">
        <f t="shared" si="147"/>
        <v>1</v>
      </c>
      <c r="AC767" s="40">
        <f t="shared" ca="1" si="141"/>
        <v>1</v>
      </c>
      <c r="AD767" s="41">
        <f t="shared" ca="1" si="142"/>
        <v>0</v>
      </c>
      <c r="AE767" s="181" t="str">
        <f t="shared" ca="1" si="143"/>
        <v/>
      </c>
      <c r="AF767" s="42" t="str">
        <f t="shared" si="148"/>
        <v>SI</v>
      </c>
      <c r="AG767" s="732" t="s">
        <v>5773</v>
      </c>
      <c r="AH767" s="152" t="s">
        <v>1255</v>
      </c>
      <c r="AI767" s="152" t="s">
        <v>2588</v>
      </c>
      <c r="AJ767" s="152" t="s">
        <v>1176</v>
      </c>
      <c r="AK767" s="255" t="s">
        <v>559</v>
      </c>
      <c r="AL767" s="838"/>
      <c r="AM767" s="838" t="s">
        <v>4802</v>
      </c>
      <c r="AN767" s="161" t="str">
        <f t="shared" ca="1" si="144"/>
        <v>TERMINO</v>
      </c>
      <c r="AO767" s="160" t="s">
        <v>582</v>
      </c>
      <c r="AP767" s="406" t="s">
        <v>391</v>
      </c>
      <c r="AQ767" s="819" t="str">
        <f>IFERROR(VLOOKUP(E767,'liquidaciones '!$B$2:$C$1048576,2,0),"NO")</f>
        <v>LIQUIDADO</v>
      </c>
      <c r="AR767" s="909" t="str">
        <f>IFERROR(VLOOKUP(E767,'liquidaciones '!$B$2:$I$1048576,8,0),"")</f>
        <v>JUAN DIEGO ESPITIA</v>
      </c>
      <c r="AS767" s="406"/>
      <c r="AT767" s="156" t="str">
        <f t="shared" ca="1" si="145"/>
        <v>SI</v>
      </c>
      <c r="AU767" s="406" t="s">
        <v>4805</v>
      </c>
      <c r="AV767" s="406"/>
      <c r="AW767" s="930" t="s">
        <v>559</v>
      </c>
      <c r="AX767" s="930" t="s">
        <v>5425</v>
      </c>
      <c r="AY767" s="275"/>
    </row>
    <row r="768" spans="3:51" ht="40.799999999999997" x14ac:dyDescent="0.3">
      <c r="C768" s="837">
        <v>227</v>
      </c>
      <c r="D768" s="837"/>
      <c r="E768" s="120" t="s">
        <v>4841</v>
      </c>
      <c r="F768" s="414" t="s">
        <v>4842</v>
      </c>
      <c r="G768" s="863">
        <v>1032474202</v>
      </c>
      <c r="H768" s="969" t="s">
        <v>4843</v>
      </c>
      <c r="I768" s="84">
        <v>23192000</v>
      </c>
      <c r="J768" s="843" t="s">
        <v>4841</v>
      </c>
      <c r="K768" s="269">
        <v>2019</v>
      </c>
      <c r="L768" s="519">
        <v>43565</v>
      </c>
      <c r="M768" s="519">
        <v>43566</v>
      </c>
      <c r="N768" s="519">
        <v>43809</v>
      </c>
      <c r="O768" s="1099" t="str">
        <f>IF(+Modificaciones!I768=0,"",VLOOKUP(E768,Modificaciones!$B$7:$I$2400,8,0))</f>
        <v/>
      </c>
      <c r="P768" s="115">
        <f>COUNTA(Modificaciones!J768,Modificaciones!L768,Modificaciones!N768,Modificaciones!P768)</f>
        <v>1</v>
      </c>
      <c r="Q768" s="116">
        <f>VLOOKUP(E768,Modificaciones!$B$7:$R$2300,17,0)</f>
        <v>8697000</v>
      </c>
      <c r="R768" s="117">
        <f>COUNTA(Modificaciones!T768,Modificaciones!V768,Modificaciones!X768,Modificaciones!Z768)</f>
        <v>1</v>
      </c>
      <c r="S768" s="118" t="str">
        <f>IF(Modificaciones!AA768=0,"",VLOOKUP(E768,Modificaciones!$B$7:$AA$2400,26,0))</f>
        <v>3 meses</v>
      </c>
      <c r="T768" s="119">
        <f>IF(Modificaciones!AB768=0,"",VLOOKUP(E768,Modificaciones!$B$7:$AB$2400,27,0))</f>
        <v>43900</v>
      </c>
      <c r="U768" s="1080" t="str">
        <f>+Modificaciones!AC768</f>
        <v/>
      </c>
      <c r="V768" s="825" t="str">
        <f>+Modificaciones!AK768</f>
        <v/>
      </c>
      <c r="W768" s="825">
        <f t="shared" si="140"/>
        <v>43900</v>
      </c>
      <c r="X768" s="59">
        <f t="shared" si="139"/>
        <v>31889000</v>
      </c>
      <c r="Y768" s="151">
        <f>VLOOKUP(E768,Modificaciones!$B$7:$BE$2300,56,0)</f>
        <v>31889000</v>
      </c>
      <c r="Z768" s="84">
        <f t="shared" si="146"/>
        <v>0</v>
      </c>
      <c r="AA768" s="283" t="s">
        <v>1094</v>
      </c>
      <c r="AB768" s="823">
        <f t="shared" si="147"/>
        <v>1</v>
      </c>
      <c r="AC768" s="40">
        <f t="shared" ca="1" si="141"/>
        <v>1</v>
      </c>
      <c r="AD768" s="41">
        <f t="shared" ca="1" si="142"/>
        <v>0</v>
      </c>
      <c r="AE768" s="181" t="str">
        <f t="shared" ca="1" si="143"/>
        <v/>
      </c>
      <c r="AF768" s="42" t="str">
        <f t="shared" si="148"/>
        <v>SI</v>
      </c>
      <c r="AG768" s="732" t="s">
        <v>5773</v>
      </c>
      <c r="AH768" s="152" t="s">
        <v>1255</v>
      </c>
      <c r="AI768" s="152" t="s">
        <v>4844</v>
      </c>
      <c r="AJ768" s="838" t="s">
        <v>4856</v>
      </c>
      <c r="AK768" s="255" t="s">
        <v>564</v>
      </c>
      <c r="AL768" s="838"/>
      <c r="AM768" s="838" t="s">
        <v>4802</v>
      </c>
      <c r="AN768" s="161" t="str">
        <f t="shared" ca="1" si="144"/>
        <v>TERMINO</v>
      </c>
      <c r="AO768" s="160" t="s">
        <v>582</v>
      </c>
      <c r="AP768" s="406" t="s">
        <v>391</v>
      </c>
      <c r="AQ768" s="819" t="str">
        <f>IFERROR(VLOOKUP(E768,'liquidaciones '!$B$2:$C$1048576,2,0),"NO")</f>
        <v>LIQUIDADO</v>
      </c>
      <c r="AR768" s="909" t="str">
        <f>IFERROR(VLOOKUP(E768,'liquidaciones '!$B$2:$I$1048576,8,0),"")</f>
        <v>LAURA CATALINA GUTIERREZ</v>
      </c>
      <c r="AS768" s="406"/>
      <c r="AT768" s="156" t="str">
        <f t="shared" ca="1" si="145"/>
        <v>SI</v>
      </c>
      <c r="AU768" s="406" t="s">
        <v>4805</v>
      </c>
      <c r="AV768" s="406"/>
      <c r="AW768" s="930" t="s">
        <v>3920</v>
      </c>
      <c r="AX768" s="930" t="s">
        <v>5428</v>
      </c>
      <c r="AY768" s="275" t="s">
        <v>5775</v>
      </c>
    </row>
    <row r="769" spans="3:51" ht="36.75" customHeight="1" x14ac:dyDescent="0.3">
      <c r="C769" s="837">
        <v>338</v>
      </c>
      <c r="D769" s="837"/>
      <c r="E769" s="120" t="s">
        <v>4846</v>
      </c>
      <c r="F769" s="414" t="s">
        <v>4847</v>
      </c>
      <c r="G769" s="863">
        <v>901193330</v>
      </c>
      <c r="H769" s="969" t="s">
        <v>4848</v>
      </c>
      <c r="I769" s="84">
        <v>10792500</v>
      </c>
      <c r="J769" s="843" t="s">
        <v>4864</v>
      </c>
      <c r="K769" s="269">
        <v>2019</v>
      </c>
      <c r="L769" s="519">
        <v>43552</v>
      </c>
      <c r="M769" s="519">
        <v>43567</v>
      </c>
      <c r="N769" s="519">
        <v>43611</v>
      </c>
      <c r="O769" s="1099" t="str">
        <f>IF(+Modificaciones!I769=0,"",VLOOKUP(E769,Modificaciones!$B$7:$I$2400,8,0))</f>
        <v/>
      </c>
      <c r="P769" s="115">
        <f>COUNTA(Modificaciones!J769,Modificaciones!L769,Modificaciones!N769,Modificaciones!P769)</f>
        <v>0</v>
      </c>
      <c r="Q769" s="116">
        <f>VLOOKUP(E769,Modificaciones!$B$7:$R$2300,17,0)</f>
        <v>0</v>
      </c>
      <c r="R769" s="117">
        <f>COUNTA(Modificaciones!T769,Modificaciones!V769,Modificaciones!X769,Modificaciones!Z769)</f>
        <v>0</v>
      </c>
      <c r="S769" s="118" t="str">
        <f>IF(Modificaciones!AA769=0,"",VLOOKUP(E769,Modificaciones!$B$7:$AA$2400,26,0))</f>
        <v/>
      </c>
      <c r="T769" s="119" t="str">
        <f>IF(Modificaciones!AB769=0,"",VLOOKUP(E769,Modificaciones!$B$7:$AB$2400,27,0))</f>
        <v/>
      </c>
      <c r="U769" s="1080" t="str">
        <f>+Modificaciones!AC769</f>
        <v/>
      </c>
      <c r="V769" s="825" t="str">
        <f>+Modificaciones!AK769</f>
        <v/>
      </c>
      <c r="W769" s="825">
        <f t="shared" si="140"/>
        <v>43611</v>
      </c>
      <c r="X769" s="59">
        <f t="shared" si="139"/>
        <v>10792500</v>
      </c>
      <c r="Y769" s="151">
        <f>VLOOKUP(E769,Modificaciones!$B$7:$BE$2300,56,0)</f>
        <v>10792500</v>
      </c>
      <c r="Z769" s="84">
        <f t="shared" si="146"/>
        <v>0</v>
      </c>
      <c r="AA769" s="283" t="s">
        <v>1894</v>
      </c>
      <c r="AB769" s="823">
        <f t="shared" si="147"/>
        <v>1</v>
      </c>
      <c r="AC769" s="40">
        <f t="shared" ca="1" si="141"/>
        <v>1</v>
      </c>
      <c r="AD769" s="41">
        <f t="shared" ca="1" si="142"/>
        <v>0</v>
      </c>
      <c r="AE769" s="181" t="str">
        <f t="shared" ca="1" si="143"/>
        <v/>
      </c>
      <c r="AF769" s="42" t="str">
        <f t="shared" si="148"/>
        <v>SI</v>
      </c>
      <c r="AG769" s="732" t="s">
        <v>1711</v>
      </c>
      <c r="AH769" s="152" t="s">
        <v>1256</v>
      </c>
      <c r="AI769" s="841" t="s">
        <v>4849</v>
      </c>
      <c r="AJ769" s="152" t="s">
        <v>1438</v>
      </c>
      <c r="AK769" s="255" t="s">
        <v>560</v>
      </c>
      <c r="AL769" s="838" t="s">
        <v>4850</v>
      </c>
      <c r="AM769" s="838" t="s">
        <v>4851</v>
      </c>
      <c r="AN769" s="161" t="str">
        <f t="shared" ca="1" si="144"/>
        <v>TERMINO</v>
      </c>
      <c r="AO769" s="160" t="s">
        <v>576</v>
      </c>
      <c r="AP769" s="406" t="s">
        <v>391</v>
      </c>
      <c r="AQ769" s="819" t="str">
        <f>IFERROR(VLOOKUP(E769,'liquidaciones '!$B$2:$C$1048576,2,0),"NO")</f>
        <v>EN TRÁMITE</v>
      </c>
      <c r="AR769" s="909" t="str">
        <f>IFERROR(VLOOKUP(E769,'liquidaciones '!$B$2:$I$1048576,8,0),"")</f>
        <v>MARIA ALEJANDRA SANCHEZ</v>
      </c>
      <c r="AS769" s="406"/>
      <c r="AT769" s="156" t="str">
        <f t="shared" ca="1" si="145"/>
        <v>SI</v>
      </c>
      <c r="AU769" s="999" t="s">
        <v>4209</v>
      </c>
      <c r="AV769" s="1020" t="s">
        <v>4852</v>
      </c>
      <c r="AW769" s="930" t="s">
        <v>560</v>
      </c>
      <c r="AX769" s="928"/>
      <c r="AY769" s="275"/>
    </row>
    <row r="770" spans="3:51" ht="71.400000000000006" x14ac:dyDescent="0.3">
      <c r="C770" s="837">
        <v>224</v>
      </c>
      <c r="D770" s="837"/>
      <c r="E770" s="120" t="s">
        <v>4853</v>
      </c>
      <c r="F770" s="414" t="s">
        <v>4854</v>
      </c>
      <c r="G770" s="863">
        <v>1125228618</v>
      </c>
      <c r="H770" s="969" t="s">
        <v>4855</v>
      </c>
      <c r="I770" s="84">
        <v>25278000</v>
      </c>
      <c r="J770" s="843" t="s">
        <v>4863</v>
      </c>
      <c r="K770" s="269">
        <v>2019</v>
      </c>
      <c r="L770" s="519">
        <v>43567</v>
      </c>
      <c r="M770" s="519">
        <v>43571</v>
      </c>
      <c r="N770" s="519">
        <v>43753</v>
      </c>
      <c r="O770" s="1099" t="str">
        <f>IF(+Modificaciones!I770=0,"",VLOOKUP(E770,Modificaciones!$B$7:$I$2400,8,0))</f>
        <v/>
      </c>
      <c r="P770" s="115">
        <f>COUNTA(Modificaciones!J770,Modificaciones!L770,Modificaciones!N770,Modificaciones!P770)</f>
        <v>1</v>
      </c>
      <c r="Q770" s="116">
        <f>VLOOKUP(E770,Modificaciones!$B$7:$R$2300,17,0)</f>
        <v>8426000</v>
      </c>
      <c r="R770" s="117">
        <f>COUNTA(Modificaciones!T770,Modificaciones!V770,Modificaciones!X770,Modificaciones!Z770)</f>
        <v>1</v>
      </c>
      <c r="S770" s="118" t="str">
        <f>IF(Modificaciones!AA770=0,"",VLOOKUP(E770,Modificaciones!$B$7:$AA$2400,26,0))</f>
        <v>2 meses</v>
      </c>
      <c r="T770" s="119">
        <f>IF(Modificaciones!AB770=0,"",VLOOKUP(E770,Modificaciones!$B$7:$AB$2400,27,0))</f>
        <v>43824</v>
      </c>
      <c r="U770" s="1080">
        <f>+Modificaciones!AC770</f>
        <v>11</v>
      </c>
      <c r="V770" s="825">
        <f>+Modificaciones!AK770</f>
        <v>43824</v>
      </c>
      <c r="W770" s="825">
        <f t="shared" si="140"/>
        <v>43824</v>
      </c>
      <c r="X770" s="59">
        <f t="shared" si="139"/>
        <v>33704000</v>
      </c>
      <c r="Y770" s="151">
        <f>VLOOKUP(E770,Modificaciones!$B$7:$BE$2300,56,0)</f>
        <v>33563566</v>
      </c>
      <c r="Z770" s="84">
        <f t="shared" si="146"/>
        <v>140434</v>
      </c>
      <c r="AA770" s="283" t="s">
        <v>1094</v>
      </c>
      <c r="AB770" s="823">
        <f t="shared" si="147"/>
        <v>0.99583331355328741</v>
      </c>
      <c r="AC770" s="40">
        <f t="shared" ca="1" si="141"/>
        <v>1</v>
      </c>
      <c r="AD770" s="41">
        <f t="shared" ca="1" si="142"/>
        <v>4.1666864467125864E-3</v>
      </c>
      <c r="AE770" s="181" t="str">
        <f t="shared" ca="1" si="143"/>
        <v/>
      </c>
      <c r="AF770" s="42" t="str">
        <f t="shared" si="148"/>
        <v>NO</v>
      </c>
      <c r="AG770" s="732" t="s">
        <v>5773</v>
      </c>
      <c r="AH770" s="841" t="s">
        <v>1255</v>
      </c>
      <c r="AI770" s="152" t="s">
        <v>4844</v>
      </c>
      <c r="AJ770" s="838" t="s">
        <v>4856</v>
      </c>
      <c r="AK770" s="255" t="s">
        <v>564</v>
      </c>
      <c r="AL770" s="838"/>
      <c r="AM770" s="838" t="s">
        <v>4802</v>
      </c>
      <c r="AN770" s="161" t="str">
        <f t="shared" ca="1" si="144"/>
        <v>TERMINO</v>
      </c>
      <c r="AO770" s="160" t="s">
        <v>582</v>
      </c>
      <c r="AP770" s="406" t="s">
        <v>391</v>
      </c>
      <c r="AQ770" s="819" t="str">
        <f>IFERROR(VLOOKUP(E770,'liquidaciones '!$B$2:$C$1048576,2,0),"NO")</f>
        <v>EN TRÁMITE</v>
      </c>
      <c r="AR770" s="909" t="str">
        <f>IFERROR(VLOOKUP(E770,'liquidaciones '!$B$2:$I$1048576,8,0),"")</f>
        <v>JUAN DIEGO ESPITIA</v>
      </c>
      <c r="AS770" s="406"/>
      <c r="AT770" s="156" t="str">
        <f t="shared" ca="1" si="145"/>
        <v>SI</v>
      </c>
      <c r="AU770" s="930" t="s">
        <v>4805</v>
      </c>
      <c r="AV770" s="1001"/>
      <c r="AW770" s="930" t="s">
        <v>3920</v>
      </c>
      <c r="AX770" s="275" t="s">
        <v>5318</v>
      </c>
      <c r="AY770" s="275"/>
    </row>
    <row r="771" spans="3:51" ht="30.6" x14ac:dyDescent="0.3">
      <c r="C771" s="837">
        <v>210</v>
      </c>
      <c r="D771" s="837"/>
      <c r="E771" s="120" t="s">
        <v>4865</v>
      </c>
      <c r="F771" s="414" t="s">
        <v>4180</v>
      </c>
      <c r="G771" s="863">
        <v>1032397721</v>
      </c>
      <c r="H771" s="969" t="s">
        <v>4181</v>
      </c>
      <c r="I771" s="84">
        <v>12426000</v>
      </c>
      <c r="J771" s="843" t="s">
        <v>4865</v>
      </c>
      <c r="K771" s="269">
        <v>2019</v>
      </c>
      <c r="L771" s="519">
        <v>43570</v>
      </c>
      <c r="M771" s="519">
        <v>43577</v>
      </c>
      <c r="N771" s="519">
        <v>43759</v>
      </c>
      <c r="O771" s="1099" t="str">
        <f>IF(+Modificaciones!I771=0,"",VLOOKUP(E771,Modificaciones!$B$7:$I$2400,8,0))</f>
        <v/>
      </c>
      <c r="P771" s="115">
        <f>COUNTA(Modificaciones!J771,Modificaciones!L771,Modificaciones!N771,Modificaciones!P771)</f>
        <v>1</v>
      </c>
      <c r="Q771" s="116">
        <f>VLOOKUP(E771,Modificaciones!$B$7:$R$2300,17,0)</f>
        <v>2071000</v>
      </c>
      <c r="R771" s="117">
        <f>COUNTA(Modificaciones!T771,Modificaciones!V771,Modificaciones!X771,Modificaciones!Z771)</f>
        <v>1</v>
      </c>
      <c r="S771" s="118" t="str">
        <f>IF(Modificaciones!AA771=0,"",VLOOKUP(E771,Modificaciones!$B$7:$AA$2400,26,0))</f>
        <v>1 mes</v>
      </c>
      <c r="T771" s="119">
        <f>IF(Modificaciones!AB771=0,"",VLOOKUP(E771,Modificaciones!$B$7:$AB$2400,27,0))</f>
        <v>43790</v>
      </c>
      <c r="U771" s="1080" t="str">
        <f>+Modificaciones!AC771</f>
        <v/>
      </c>
      <c r="V771" s="825" t="str">
        <f>+Modificaciones!AK771</f>
        <v/>
      </c>
      <c r="W771" s="825">
        <f t="shared" si="140"/>
        <v>43790</v>
      </c>
      <c r="X771" s="59">
        <f t="shared" si="139"/>
        <v>14497000</v>
      </c>
      <c r="Y771" s="151">
        <f>VLOOKUP(E771,Modificaciones!$B$7:$BE$2300,56,0)</f>
        <v>14497000</v>
      </c>
      <c r="Z771" s="84">
        <f t="shared" si="146"/>
        <v>0</v>
      </c>
      <c r="AA771" s="283" t="s">
        <v>1094</v>
      </c>
      <c r="AB771" s="823">
        <f t="shared" si="147"/>
        <v>1</v>
      </c>
      <c r="AC771" s="40">
        <f t="shared" ca="1" si="141"/>
        <v>1</v>
      </c>
      <c r="AD771" s="41">
        <f t="shared" ca="1" si="142"/>
        <v>0</v>
      </c>
      <c r="AE771" s="181" t="str">
        <f t="shared" ca="1" si="143"/>
        <v/>
      </c>
      <c r="AF771" s="42" t="str">
        <f t="shared" si="148"/>
        <v>SI</v>
      </c>
      <c r="AG771" s="732" t="s">
        <v>5773</v>
      </c>
      <c r="AH771" s="841" t="s">
        <v>1255</v>
      </c>
      <c r="AI771" s="152" t="s">
        <v>4866</v>
      </c>
      <c r="AJ771" s="838"/>
      <c r="AK771" s="255" t="s">
        <v>562</v>
      </c>
      <c r="AL771" s="838"/>
      <c r="AM771" s="838" t="s">
        <v>3984</v>
      </c>
      <c r="AN771" s="161" t="str">
        <f t="shared" ca="1" si="144"/>
        <v>TERMINO</v>
      </c>
      <c r="AO771" s="160" t="s">
        <v>582</v>
      </c>
      <c r="AP771" s="406" t="s">
        <v>391</v>
      </c>
      <c r="AQ771" s="819" t="str">
        <f>IFERROR(VLOOKUP(E771,'liquidaciones '!$B$2:$C$1048576,2,0),"NO")</f>
        <v>NO</v>
      </c>
      <c r="AR771" s="909" t="str">
        <f>IFERROR(VLOOKUP(E771,'liquidaciones '!$B$2:$I$1048576,8,0),"")</f>
        <v/>
      </c>
      <c r="AS771" s="406"/>
      <c r="AT771" s="156" t="str">
        <f t="shared" ca="1" si="145"/>
        <v>SI</v>
      </c>
      <c r="AU771" s="999" t="s">
        <v>4805</v>
      </c>
      <c r="AV771" s="1001"/>
      <c r="AW771" s="930" t="s">
        <v>3985</v>
      </c>
      <c r="AX771" s="275" t="s">
        <v>5319</v>
      </c>
      <c r="AY771" s="275"/>
    </row>
    <row r="772" spans="3:51" ht="40.799999999999997" x14ac:dyDescent="0.3">
      <c r="C772" s="837">
        <v>56</v>
      </c>
      <c r="D772" s="837"/>
      <c r="E772" s="120" t="s">
        <v>4868</v>
      </c>
      <c r="F772" s="414" t="s">
        <v>4869</v>
      </c>
      <c r="G772" s="863">
        <v>830023178</v>
      </c>
      <c r="H772" s="969" t="s">
        <v>5649</v>
      </c>
      <c r="I772" s="84">
        <v>30000000</v>
      </c>
      <c r="J772" s="843" t="s">
        <v>4874</v>
      </c>
      <c r="K772" s="269">
        <v>2019</v>
      </c>
      <c r="L772" s="519">
        <v>43567</v>
      </c>
      <c r="M772" s="519">
        <v>43588</v>
      </c>
      <c r="N772" s="519">
        <v>43831</v>
      </c>
      <c r="O772" s="1099" t="str">
        <f>IF(+Modificaciones!I772=0,"",VLOOKUP(E772,Modificaciones!$B$7:$I$2400,8,0))</f>
        <v/>
      </c>
      <c r="P772" s="115">
        <f>COUNTA(Modificaciones!J772,Modificaciones!L772,Modificaciones!N772,Modificaciones!P772)</f>
        <v>0</v>
      </c>
      <c r="Q772" s="116">
        <f>VLOOKUP(E772,Modificaciones!$B$7:$R$2300,17,0)</f>
        <v>0</v>
      </c>
      <c r="R772" s="117">
        <f>COUNTA(Modificaciones!T772,Modificaciones!V772,Modificaciones!X772,Modificaciones!Z772)</f>
        <v>1</v>
      </c>
      <c r="S772" s="118" t="str">
        <f>IF(Modificaciones!AA772=0,"",VLOOKUP(E772,Modificaciones!$B$7:$AA$2400,26,0))</f>
        <v>2 mseses</v>
      </c>
      <c r="T772" s="119">
        <f>IF(Modificaciones!AB772=0,"",VLOOKUP(E772,Modificaciones!$B$7:$AB$2400,27,0))</f>
        <v>43892</v>
      </c>
      <c r="U772" s="1080" t="str">
        <f>+Modificaciones!AC772</f>
        <v/>
      </c>
      <c r="V772" s="825" t="str">
        <f>+Modificaciones!AK772</f>
        <v/>
      </c>
      <c r="W772" s="825">
        <f t="shared" si="140"/>
        <v>43892</v>
      </c>
      <c r="X772" s="59">
        <f t="shared" si="139"/>
        <v>30000000</v>
      </c>
      <c r="Y772" s="151">
        <f>VLOOKUP(E772,Modificaciones!$B$7:$BE$2300,56,0)</f>
        <v>29999989</v>
      </c>
      <c r="Z772" s="84">
        <f t="shared" si="146"/>
        <v>11</v>
      </c>
      <c r="AA772" s="283" t="s">
        <v>1962</v>
      </c>
      <c r="AB772" s="823">
        <f t="shared" si="147"/>
        <v>0.9999996333333333</v>
      </c>
      <c r="AC772" s="40">
        <f t="shared" ca="1" si="141"/>
        <v>1</v>
      </c>
      <c r="AD772" s="41">
        <f t="shared" ca="1" si="142"/>
        <v>3.6666666669571413E-7</v>
      </c>
      <c r="AE772" s="181" t="str">
        <f t="shared" ca="1" si="143"/>
        <v/>
      </c>
      <c r="AF772" s="42" t="str">
        <f t="shared" si="148"/>
        <v>SI</v>
      </c>
      <c r="AG772" s="1017" t="s">
        <v>4920</v>
      </c>
      <c r="AH772" s="152" t="s">
        <v>1255</v>
      </c>
      <c r="AI772" s="255" t="s">
        <v>1139</v>
      </c>
      <c r="AJ772" s="152" t="s">
        <v>1441</v>
      </c>
      <c r="AK772" s="255" t="s">
        <v>559</v>
      </c>
      <c r="AL772" s="838"/>
      <c r="AM772" s="838" t="s">
        <v>4802</v>
      </c>
      <c r="AN772" s="161" t="str">
        <f t="shared" ca="1" si="144"/>
        <v>TERMINO</v>
      </c>
      <c r="AO772" s="284" t="s">
        <v>576</v>
      </c>
      <c r="AP772" s="406" t="s">
        <v>390</v>
      </c>
      <c r="AQ772" s="819" t="str">
        <f>IFERROR(VLOOKUP(E772,'liquidaciones '!$B$2:$C$1048576,2,0),"NO")</f>
        <v>NO</v>
      </c>
      <c r="AR772" s="909" t="str">
        <f>IFERROR(VLOOKUP(E772,'liquidaciones '!$B$2:$I$1048576,8,0),"")</f>
        <v/>
      </c>
      <c r="AS772" s="406"/>
      <c r="AT772" s="156" t="str">
        <f t="shared" ca="1" si="145"/>
        <v>SI</v>
      </c>
      <c r="AU772" s="406" t="s">
        <v>4805</v>
      </c>
      <c r="AV772" s="406"/>
      <c r="AW772" s="930" t="s">
        <v>559</v>
      </c>
      <c r="AX772" s="930" t="s">
        <v>5617</v>
      </c>
      <c r="AY772" s="275" t="s">
        <v>5789</v>
      </c>
    </row>
    <row r="773" spans="3:51" ht="91.8" x14ac:dyDescent="0.3">
      <c r="C773" s="837">
        <v>221</v>
      </c>
      <c r="D773" s="837"/>
      <c r="E773" s="120" t="s">
        <v>4870</v>
      </c>
      <c r="F773" s="414" t="s">
        <v>4164</v>
      </c>
      <c r="G773" s="863">
        <v>1013625644</v>
      </c>
      <c r="H773" s="969" t="s">
        <v>4871</v>
      </c>
      <c r="I773" s="84">
        <v>19878000</v>
      </c>
      <c r="J773" s="843" t="s">
        <v>4870</v>
      </c>
      <c r="K773" s="269">
        <v>2019</v>
      </c>
      <c r="L773" s="519">
        <v>43579</v>
      </c>
      <c r="M773" s="519">
        <v>43587</v>
      </c>
      <c r="N773" s="519">
        <v>43770</v>
      </c>
      <c r="O773" s="1099" t="str">
        <f>IF(+Modificaciones!I773=0,"",VLOOKUP(E773,Modificaciones!$B$7:$I$2400,8,0))</f>
        <v/>
      </c>
      <c r="P773" s="115">
        <f>COUNTA(Modificaciones!J773,Modificaciones!L773,Modificaciones!N773,Modificaciones!P773)</f>
        <v>2</v>
      </c>
      <c r="Q773" s="116">
        <f>VLOOKUP(E773,Modificaciones!$B$7:$R$2300,17,0)</f>
        <v>6626000</v>
      </c>
      <c r="R773" s="117">
        <f>COUNTA(Modificaciones!T773,Modificaciones!V773,Modificaciones!X773,Modificaciones!Z773)</f>
        <v>2</v>
      </c>
      <c r="S773" s="118" t="str">
        <f>IF(Modificaciones!AA773=0,"",VLOOKUP(E773,Modificaciones!$B$7:$AA$2400,26,0))</f>
        <v>2 MES</v>
      </c>
      <c r="T773" s="119">
        <f>IF(Modificaciones!AB773=0,"",VLOOKUP(E773,Modificaciones!$B$7:$AB$2400,27,0))</f>
        <v>43844</v>
      </c>
      <c r="U773" s="1080">
        <f>+Modificaciones!AC773</f>
        <v>13</v>
      </c>
      <c r="V773" s="825">
        <f>+Modificaciones!AK773</f>
        <v>43844</v>
      </c>
      <c r="W773" s="825">
        <f t="shared" si="140"/>
        <v>43844</v>
      </c>
      <c r="X773" s="59">
        <f t="shared" si="139"/>
        <v>26504000</v>
      </c>
      <c r="Y773" s="151">
        <f>VLOOKUP(E773,Modificaciones!$B$7:$BE$2300,56,0)</f>
        <v>26504000</v>
      </c>
      <c r="Z773" s="84">
        <f t="shared" si="146"/>
        <v>0</v>
      </c>
      <c r="AA773" s="283" t="s">
        <v>1094</v>
      </c>
      <c r="AB773" s="823">
        <f t="shared" si="147"/>
        <v>1</v>
      </c>
      <c r="AC773" s="40">
        <f t="shared" ca="1" si="141"/>
        <v>1</v>
      </c>
      <c r="AD773" s="41">
        <f t="shared" ca="1" si="142"/>
        <v>0</v>
      </c>
      <c r="AE773" s="181" t="str">
        <f t="shared" ca="1" si="143"/>
        <v/>
      </c>
      <c r="AF773" s="42" t="str">
        <f t="shared" si="148"/>
        <v>SI</v>
      </c>
      <c r="AG773" s="732" t="s">
        <v>5773</v>
      </c>
      <c r="AH773" s="841" t="s">
        <v>1255</v>
      </c>
      <c r="AI773" s="152" t="s">
        <v>4872</v>
      </c>
      <c r="AJ773" s="838" t="s">
        <v>4873</v>
      </c>
      <c r="AK773" s="255" t="s">
        <v>560</v>
      </c>
      <c r="AL773" s="838"/>
      <c r="AM773" s="838" t="s">
        <v>4851</v>
      </c>
      <c r="AN773" s="161" t="str">
        <f t="shared" ca="1" si="144"/>
        <v>TERMINO</v>
      </c>
      <c r="AO773" s="160" t="s">
        <v>582</v>
      </c>
      <c r="AP773" s="406" t="s">
        <v>391</v>
      </c>
      <c r="AQ773" s="819" t="str">
        <f>IFERROR(VLOOKUP(E773,'liquidaciones '!$B$2:$C$1048576,2,0),"NO")</f>
        <v>LIQUIDADO</v>
      </c>
      <c r="AR773" s="909" t="str">
        <f>IFERROR(VLOOKUP(E773,'liquidaciones '!$B$2:$I$1048576,8,0),"")</f>
        <v>LAURA VELANDIA</v>
      </c>
      <c r="AS773" s="406"/>
      <c r="AT773" s="156" t="str">
        <f t="shared" ca="1" si="145"/>
        <v>SI</v>
      </c>
      <c r="AU773" s="406" t="s">
        <v>4805</v>
      </c>
      <c r="AV773" s="1001"/>
      <c r="AW773" s="930" t="s">
        <v>560</v>
      </c>
      <c r="AX773" s="930" t="s">
        <v>5427</v>
      </c>
      <c r="AY773" s="275" t="s">
        <v>5790</v>
      </c>
    </row>
    <row r="774" spans="3:51" ht="30.6" x14ac:dyDescent="0.3">
      <c r="C774" s="837">
        <v>357</v>
      </c>
      <c r="D774" s="837"/>
      <c r="E774" s="120" t="s">
        <v>4877</v>
      </c>
      <c r="F774" s="414" t="s">
        <v>4177</v>
      </c>
      <c r="G774" s="863">
        <v>1016064307</v>
      </c>
      <c r="H774" s="969" t="s">
        <v>3061</v>
      </c>
      <c r="I774" s="84">
        <v>14497000</v>
      </c>
      <c r="J774" s="843" t="s">
        <v>4877</v>
      </c>
      <c r="K774" s="269">
        <v>2019</v>
      </c>
      <c r="L774" s="519">
        <v>43581</v>
      </c>
      <c r="M774" s="519">
        <v>43587</v>
      </c>
      <c r="N774" s="519">
        <v>43800</v>
      </c>
      <c r="O774" s="1099" t="str">
        <f>IF(+Modificaciones!I774=0,"",VLOOKUP(E774,Modificaciones!$B$7:$I$2400,8,0))</f>
        <v/>
      </c>
      <c r="P774" s="115">
        <f>COUNTA(Modificaciones!J774,Modificaciones!L774,Modificaciones!N774,Modificaciones!P774)</f>
        <v>1</v>
      </c>
      <c r="Q774" s="116">
        <f>VLOOKUP(E774,Modificaciones!$B$7:$R$2300,17,0)</f>
        <v>4142000</v>
      </c>
      <c r="R774" s="117">
        <f>COUNTA(Modificaciones!T774,Modificaciones!V774,Modificaciones!X774,Modificaciones!Z774)</f>
        <v>1</v>
      </c>
      <c r="S774" s="118" t="str">
        <f>IF(Modificaciones!AA774=0,"",VLOOKUP(E774,Modificaciones!$B$7:$AA$2400,26,0))</f>
        <v>2 meses</v>
      </c>
      <c r="T774" s="119">
        <f>IF(Modificaciones!AB774=0,"",VLOOKUP(E774,Modificaciones!$B$7:$AB$2400,27,0))</f>
        <v>43875</v>
      </c>
      <c r="U774" s="1080">
        <f>+Modificaciones!AC774</f>
        <v>13</v>
      </c>
      <c r="V774" s="825">
        <f>+Modificaciones!AK774</f>
        <v>43875</v>
      </c>
      <c r="W774" s="825">
        <f t="shared" si="140"/>
        <v>43875</v>
      </c>
      <c r="X774" s="59">
        <f t="shared" si="139"/>
        <v>18639000</v>
      </c>
      <c r="Y774" s="151">
        <f>VLOOKUP(E774,Modificaciones!$B$7:$BE$2300,56,0)</f>
        <v>18639000</v>
      </c>
      <c r="Z774" s="84">
        <f t="shared" si="146"/>
        <v>0</v>
      </c>
      <c r="AA774" s="283" t="s">
        <v>1094</v>
      </c>
      <c r="AB774" s="823">
        <f t="shared" si="147"/>
        <v>1</v>
      </c>
      <c r="AC774" s="40">
        <f t="shared" ca="1" si="141"/>
        <v>1</v>
      </c>
      <c r="AD774" s="41">
        <f t="shared" ca="1" si="142"/>
        <v>0</v>
      </c>
      <c r="AE774" s="181" t="str">
        <f t="shared" ca="1" si="143"/>
        <v/>
      </c>
      <c r="AF774" s="42" t="str">
        <f t="shared" si="148"/>
        <v>SI</v>
      </c>
      <c r="AG774" s="732" t="s">
        <v>5773</v>
      </c>
      <c r="AH774" s="841" t="s">
        <v>1255</v>
      </c>
      <c r="AI774" s="152" t="s">
        <v>4878</v>
      </c>
      <c r="AJ774" s="838" t="s">
        <v>4879</v>
      </c>
      <c r="AK774" s="838" t="s">
        <v>561</v>
      </c>
      <c r="AL774" s="838"/>
      <c r="AM774" s="414" t="s">
        <v>4916</v>
      </c>
      <c r="AN774" s="161" t="str">
        <f t="shared" ca="1" si="144"/>
        <v>TERMINO</v>
      </c>
      <c r="AO774" s="160" t="s">
        <v>582</v>
      </c>
      <c r="AP774" s="406" t="s">
        <v>391</v>
      </c>
      <c r="AQ774" s="819" t="str">
        <f>IFERROR(VLOOKUP(E774,'liquidaciones '!$B$2:$C$1048576,2,0),"NO")</f>
        <v>LIQUIDADO</v>
      </c>
      <c r="AR774" s="909" t="str">
        <f>IFERROR(VLOOKUP(E774,'liquidaciones '!$B$2:$I$1048576,8,0),"")</f>
        <v>JUAN DIEGO ESPITIA</v>
      </c>
      <c r="AS774" s="406"/>
      <c r="AT774" s="156" t="str">
        <f t="shared" ca="1" si="145"/>
        <v>SI</v>
      </c>
      <c r="AU774" s="999" t="s">
        <v>4805</v>
      </c>
      <c r="AV774" s="406" t="s">
        <v>5026</v>
      </c>
      <c r="AW774" s="930" t="s">
        <v>4178</v>
      </c>
      <c r="AX774" s="930" t="s">
        <v>5435</v>
      </c>
      <c r="AY774" s="275"/>
    </row>
    <row r="775" spans="3:51" ht="61.2" x14ac:dyDescent="0.3">
      <c r="C775" s="837">
        <v>355</v>
      </c>
      <c r="D775" s="837"/>
      <c r="E775" s="120" t="s">
        <v>4882</v>
      </c>
      <c r="F775" s="414" t="s">
        <v>4335</v>
      </c>
      <c r="G775" s="863">
        <v>52095685</v>
      </c>
      <c r="H775" s="969" t="s">
        <v>3005</v>
      </c>
      <c r="I775" s="84">
        <v>37266000</v>
      </c>
      <c r="J775" s="843" t="s">
        <v>4882</v>
      </c>
      <c r="K775" s="269">
        <v>2019</v>
      </c>
      <c r="L775" s="519">
        <v>43581</v>
      </c>
      <c r="M775" s="519">
        <v>43620</v>
      </c>
      <c r="N775" s="519">
        <v>43802</v>
      </c>
      <c r="O775" s="1099" t="str">
        <f>IF(+Modificaciones!I775=0,"",VLOOKUP(E775,Modificaciones!$B$7:$I$2400,8,0))</f>
        <v/>
      </c>
      <c r="P775" s="115">
        <f>COUNTA(Modificaciones!J775,Modificaciones!L775,Modificaciones!N775,Modificaciones!P775)</f>
        <v>1</v>
      </c>
      <c r="Q775" s="116">
        <f>VLOOKUP(E775,Modificaciones!$B$7:$R$2300,17,0)</f>
        <v>6211000</v>
      </c>
      <c r="R775" s="117">
        <f>COUNTA(Modificaciones!T775,Modificaciones!V775,Modificaciones!X775,Modificaciones!Z775)</f>
        <v>1</v>
      </c>
      <c r="S775" s="118" t="str">
        <f>IF(Modificaciones!AA775=0,"",VLOOKUP(E775,Modificaciones!$B$7:$AA$2400,26,0))</f>
        <v>1 mes</v>
      </c>
      <c r="T775" s="119">
        <f>IF(Modificaciones!AB775=0,"",VLOOKUP(E775,Modificaciones!$B$7:$AB$2400,27,0))</f>
        <v>43842</v>
      </c>
      <c r="U775" s="1080">
        <f>+Modificaciones!AC775</f>
        <v>9</v>
      </c>
      <c r="V775" s="825">
        <f>+Modificaciones!AK775</f>
        <v>43842</v>
      </c>
      <c r="W775" s="825">
        <f t="shared" si="140"/>
        <v>43842</v>
      </c>
      <c r="X775" s="59">
        <f t="shared" ref="X775:X838" si="149">I775+Q775</f>
        <v>43477000</v>
      </c>
      <c r="Y775" s="151">
        <f>VLOOKUP(E775,Modificaciones!$B$7:$BE$2300,56,0)</f>
        <v>43477000</v>
      </c>
      <c r="Z775" s="84">
        <f t="shared" si="146"/>
        <v>0</v>
      </c>
      <c r="AA775" s="283" t="s">
        <v>1094</v>
      </c>
      <c r="AB775" s="823">
        <f t="shared" si="147"/>
        <v>1</v>
      </c>
      <c r="AC775" s="40">
        <f t="shared" ca="1" si="141"/>
        <v>1</v>
      </c>
      <c r="AD775" s="41">
        <f t="shared" ca="1" si="142"/>
        <v>0</v>
      </c>
      <c r="AE775" s="181" t="str">
        <f t="shared" ca="1" si="143"/>
        <v/>
      </c>
      <c r="AF775" s="42" t="str">
        <f t="shared" si="148"/>
        <v>SI</v>
      </c>
      <c r="AG775" s="732" t="s">
        <v>5773</v>
      </c>
      <c r="AH775" s="841" t="s">
        <v>1255</v>
      </c>
      <c r="AI775" s="152" t="s">
        <v>4883</v>
      </c>
      <c r="AJ775" s="152" t="s">
        <v>1176</v>
      </c>
      <c r="AK775" s="255" t="s">
        <v>559</v>
      </c>
      <c r="AL775" s="838" t="s">
        <v>5024</v>
      </c>
      <c r="AM775" s="838" t="s">
        <v>4802</v>
      </c>
      <c r="AN775" s="161" t="str">
        <f t="shared" ca="1" si="144"/>
        <v>TERMINO</v>
      </c>
      <c r="AO775" s="160" t="s">
        <v>582</v>
      </c>
      <c r="AP775" s="406" t="s">
        <v>390</v>
      </c>
      <c r="AQ775" s="819" t="str">
        <f>IFERROR(VLOOKUP(E775,'liquidaciones '!$B$2:$C$1048576,2,0),"NO")</f>
        <v>LIQUIDADO</v>
      </c>
      <c r="AR775" s="909" t="str">
        <f>IFERROR(VLOOKUP(E775,'liquidaciones '!$B$2:$I$1048576,8,0),"")</f>
        <v>ANDRES FELIPE CORZO</v>
      </c>
      <c r="AS775" s="406"/>
      <c r="AT775" s="156" t="str">
        <f t="shared" ca="1" si="145"/>
        <v>SI</v>
      </c>
      <c r="AU775" s="156" t="s">
        <v>4805</v>
      </c>
      <c r="AV775" s="1001"/>
      <c r="AW775" s="930" t="s">
        <v>559</v>
      </c>
      <c r="AX775" s="930" t="s">
        <v>5429</v>
      </c>
      <c r="AY775" s="275"/>
    </row>
    <row r="776" spans="3:51" ht="51" x14ac:dyDescent="0.3">
      <c r="C776" s="837">
        <v>372</v>
      </c>
      <c r="D776" s="837"/>
      <c r="E776" s="120" t="s">
        <v>4884</v>
      </c>
      <c r="F776" s="414" t="s">
        <v>4885</v>
      </c>
      <c r="G776" s="863" t="s">
        <v>4892</v>
      </c>
      <c r="H776" s="969" t="s">
        <v>4886</v>
      </c>
      <c r="I776" s="84">
        <v>7649412</v>
      </c>
      <c r="J776" s="843" t="s">
        <v>4884</v>
      </c>
      <c r="K776" s="269">
        <v>2019</v>
      </c>
      <c r="L776" s="519">
        <v>43587</v>
      </c>
      <c r="M776" s="519">
        <v>43587</v>
      </c>
      <c r="N776" s="519">
        <v>43623</v>
      </c>
      <c r="O776" s="1099" t="str">
        <f>IF(+Modificaciones!I776=0,"",VLOOKUP(E776,Modificaciones!$B$7:$I$2400,8,0))</f>
        <v/>
      </c>
      <c r="P776" s="115">
        <f>COUNTA(Modificaciones!J776,Modificaciones!L776,Modificaciones!N776,Modificaciones!P776)</f>
        <v>0</v>
      </c>
      <c r="Q776" s="116">
        <f>VLOOKUP(E776,Modificaciones!$B$7:$R$2300,17,0)</f>
        <v>0</v>
      </c>
      <c r="R776" s="117">
        <f>COUNTA(Modificaciones!T776,Modificaciones!V776,Modificaciones!X776,Modificaciones!Z776)</f>
        <v>0</v>
      </c>
      <c r="S776" s="118" t="str">
        <f>IF(Modificaciones!AA776=0,"",VLOOKUP(E776,Modificaciones!$B$7:$AA$2400,26,0))</f>
        <v/>
      </c>
      <c r="T776" s="119" t="str">
        <f>IF(Modificaciones!AB776=0,"",VLOOKUP(E776,Modificaciones!$B$7:$AB$2400,27,0))</f>
        <v/>
      </c>
      <c r="U776" s="1080" t="str">
        <f>+Modificaciones!AC776</f>
        <v/>
      </c>
      <c r="V776" s="825" t="str">
        <f>+Modificaciones!AK776</f>
        <v/>
      </c>
      <c r="W776" s="825">
        <f t="shared" ref="W776:W839" si="150">MAX(N776,O776,T776,V776)</f>
        <v>43623</v>
      </c>
      <c r="X776" s="59">
        <f t="shared" si="149"/>
        <v>7649412</v>
      </c>
      <c r="Y776" s="151">
        <f>VLOOKUP(E776,Modificaciones!$B$7:$BE$2300,56,0)</f>
        <v>7649412</v>
      </c>
      <c r="Z776" s="84">
        <f t="shared" si="146"/>
        <v>0</v>
      </c>
      <c r="AA776" s="1000" t="s">
        <v>4887</v>
      </c>
      <c r="AB776" s="823">
        <f t="shared" si="147"/>
        <v>1</v>
      </c>
      <c r="AC776" s="40">
        <f t="shared" ref="AC776:AC839" ca="1" si="151">IF((($F$3-M776)*100%/(W776-M776))&gt;100%,100%,(($F$3-M776)*100%/(W776-M776)))</f>
        <v>1</v>
      </c>
      <c r="AD776" s="41">
        <f t="shared" ref="AD776:AD839" ca="1" si="152">AC776-AB776</f>
        <v>0</v>
      </c>
      <c r="AE776" s="181" t="str">
        <f t="shared" ref="AE776:AE839" ca="1" si="153">IF(AC776&lt;100%,W776-$F$3,"")</f>
        <v/>
      </c>
      <c r="AF776" s="42" t="str">
        <f t="shared" si="148"/>
        <v>SI</v>
      </c>
      <c r="AG776" s="1021" t="s">
        <v>4888</v>
      </c>
      <c r="AH776" s="841" t="s">
        <v>1255</v>
      </c>
      <c r="AI776" s="841"/>
      <c r="AJ776" s="838" t="s">
        <v>4873</v>
      </c>
      <c r="AK776" s="255" t="s">
        <v>560</v>
      </c>
      <c r="AL776" s="838"/>
      <c r="AM776" s="838" t="s">
        <v>4851</v>
      </c>
      <c r="AN776" s="161" t="str">
        <f t="shared" ref="AN776:AN839" ca="1" si="154">IF(W776&gt;=$F$3,"EN EJECUCIÓN","TERMINO")</f>
        <v>TERMINO</v>
      </c>
      <c r="AO776" s="414" t="s">
        <v>4889</v>
      </c>
      <c r="AP776" s="406" t="s">
        <v>390</v>
      </c>
      <c r="AQ776" s="819" t="str">
        <f>IFERROR(VLOOKUP(E776,'liquidaciones '!$B$2:$C$1048576,2,0),"NO")</f>
        <v>LIQUIDADO</v>
      </c>
      <c r="AR776" s="909" t="str">
        <f>IFERROR(VLOOKUP(E776,'liquidaciones '!$B$2:$I$1048576,8,0),"")</f>
        <v>JUAN DIEGO ESPITIA</v>
      </c>
      <c r="AS776" s="406"/>
      <c r="AT776" s="156" t="str">
        <f t="shared" ref="AT776:AT838" ca="1" si="155">IF((TODAY()-W776&lt;900),"SI","NO")</f>
        <v>SI</v>
      </c>
      <c r="AU776" s="999" t="s">
        <v>4299</v>
      </c>
      <c r="AV776" s="1001"/>
      <c r="AW776" s="930" t="s">
        <v>560</v>
      </c>
      <c r="AX776" s="928"/>
      <c r="AY776" s="275"/>
    </row>
    <row r="777" spans="3:51" ht="71.400000000000006" x14ac:dyDescent="0.3">
      <c r="C777" s="837">
        <v>228</v>
      </c>
      <c r="D777" s="837"/>
      <c r="E777" s="120" t="s">
        <v>4890</v>
      </c>
      <c r="F777" s="414" t="s">
        <v>4161</v>
      </c>
      <c r="G777" s="863">
        <v>79629653</v>
      </c>
      <c r="H777" s="969" t="s">
        <v>1543</v>
      </c>
      <c r="I777" s="84">
        <v>49147000</v>
      </c>
      <c r="J777" s="843" t="s">
        <v>4890</v>
      </c>
      <c r="K777" s="269">
        <v>2019</v>
      </c>
      <c r="L777" s="519">
        <v>43585</v>
      </c>
      <c r="M777" s="519">
        <v>43587</v>
      </c>
      <c r="N777" s="519">
        <v>43800</v>
      </c>
      <c r="O777" s="1099" t="str">
        <f>IF(+Modificaciones!I777=0,"",VLOOKUP(E777,Modificaciones!$B$7:$I$2400,8,0))</f>
        <v/>
      </c>
      <c r="P777" s="115">
        <f>COUNTA(Modificaciones!J777,Modificaciones!L777,Modificaciones!N777,Modificaciones!P777)</f>
        <v>1</v>
      </c>
      <c r="Q777" s="116">
        <f>VLOOKUP(E777,Modificaciones!$B$7:$R$2300,17,0)</f>
        <v>14042000</v>
      </c>
      <c r="R777" s="117">
        <f>COUNTA(Modificaciones!T777,Modificaciones!V777,Modificaciones!X777,Modificaciones!Z777)</f>
        <v>1</v>
      </c>
      <c r="S777" s="118" t="str">
        <f>IF(Modificaciones!AA777=0,"",VLOOKUP(E777,Modificaciones!$B$7:$AA$2400,26,0))</f>
        <v>2 meses</v>
      </c>
      <c r="T777" s="119">
        <f>IF(Modificaciones!AB777=0,"",VLOOKUP(E777,Modificaciones!$B$7:$AB$2400,27,0))</f>
        <v>43875</v>
      </c>
      <c r="U777" s="1080">
        <f>+Modificaciones!AC777</f>
        <v>13</v>
      </c>
      <c r="V777" s="825">
        <f>+Modificaciones!AK777</f>
        <v>43875</v>
      </c>
      <c r="W777" s="825">
        <f t="shared" si="150"/>
        <v>43875</v>
      </c>
      <c r="X777" s="59">
        <f t="shared" si="149"/>
        <v>63189000</v>
      </c>
      <c r="Y777" s="151">
        <f>VLOOKUP(E777,Modificaciones!$B$7:$BE$2300,56,0)</f>
        <v>63189000</v>
      </c>
      <c r="Z777" s="84">
        <f t="shared" si="146"/>
        <v>0</v>
      </c>
      <c r="AA777" s="283" t="s">
        <v>1094</v>
      </c>
      <c r="AB777" s="823">
        <f t="shared" si="147"/>
        <v>1</v>
      </c>
      <c r="AC777" s="40">
        <f t="shared" ca="1" si="151"/>
        <v>1</v>
      </c>
      <c r="AD777" s="41">
        <f t="shared" ca="1" si="152"/>
        <v>0</v>
      </c>
      <c r="AE777" s="181" t="str">
        <f t="shared" ca="1" si="153"/>
        <v/>
      </c>
      <c r="AF777" s="42" t="str">
        <f t="shared" si="148"/>
        <v>SI</v>
      </c>
      <c r="AG777" s="732" t="s">
        <v>5773</v>
      </c>
      <c r="AH777" s="841" t="s">
        <v>1255</v>
      </c>
      <c r="AI777" s="152" t="s">
        <v>4891</v>
      </c>
      <c r="AJ777" s="838" t="s">
        <v>4873</v>
      </c>
      <c r="AK777" s="255" t="s">
        <v>560</v>
      </c>
      <c r="AL777" s="838"/>
      <c r="AM777" s="838" t="s">
        <v>4851</v>
      </c>
      <c r="AN777" s="161" t="str">
        <f t="shared" ca="1" si="154"/>
        <v>TERMINO</v>
      </c>
      <c r="AO777" s="160" t="s">
        <v>582</v>
      </c>
      <c r="AP777" s="406" t="s">
        <v>391</v>
      </c>
      <c r="AQ777" s="819" t="str">
        <f>IFERROR(VLOOKUP(E777,'liquidaciones '!$B$2:$C$1048576,2,0),"NO")</f>
        <v>LIQUIDADO</v>
      </c>
      <c r="AR777" s="909" t="str">
        <f>IFERROR(VLOOKUP(E777,'liquidaciones '!$B$2:$I$1048576,8,0),"")</f>
        <v>LAURA VELANDIA</v>
      </c>
      <c r="AS777" s="406"/>
      <c r="AT777" s="156" t="str">
        <f t="shared" ca="1" si="155"/>
        <v>SI</v>
      </c>
      <c r="AU777" s="406" t="s">
        <v>4805</v>
      </c>
      <c r="AV777" s="1001"/>
      <c r="AW777" s="930" t="s">
        <v>560</v>
      </c>
      <c r="AX777" s="930" t="s">
        <v>5426</v>
      </c>
      <c r="AY777" s="930"/>
    </row>
    <row r="778" spans="3:51" ht="71.400000000000006" x14ac:dyDescent="0.3">
      <c r="C778" s="837">
        <v>239</v>
      </c>
      <c r="D778" s="837"/>
      <c r="E778" s="120" t="s">
        <v>4895</v>
      </c>
      <c r="F778" s="414" t="s">
        <v>4896</v>
      </c>
      <c r="G778" s="863" t="s">
        <v>4897</v>
      </c>
      <c r="H778" s="969" t="s">
        <v>4898</v>
      </c>
      <c r="I778" s="84">
        <v>482700000</v>
      </c>
      <c r="J778" s="843" t="s">
        <v>4902</v>
      </c>
      <c r="K778" s="269">
        <v>2019</v>
      </c>
      <c r="L778" s="519">
        <v>43591</v>
      </c>
      <c r="M778" s="519">
        <v>43591</v>
      </c>
      <c r="N778" s="519">
        <v>43926</v>
      </c>
      <c r="O778" s="1099" t="str">
        <f>IF(+Modificaciones!I778=0,"",VLOOKUP(E778,Modificaciones!$B$7:$I$2400,8,0))</f>
        <v/>
      </c>
      <c r="P778" s="115">
        <f>COUNTA(Modificaciones!J778,Modificaciones!L778,Modificaciones!N778,Modificaciones!P778)</f>
        <v>1</v>
      </c>
      <c r="Q778" s="116">
        <f>VLOOKUP(E778,Modificaciones!$B$7:$R$2300,17,0)</f>
        <v>241340055</v>
      </c>
      <c r="R778" s="117">
        <f>COUNTA(Modificaciones!T778,Modificaciones!V778,Modificaciones!X778,Modificaciones!Z778)</f>
        <v>0</v>
      </c>
      <c r="S778" s="118" t="str">
        <f>IF(Modificaciones!AA778=0,"",VLOOKUP(E778,Modificaciones!$B$7:$AA$2400,26,0))</f>
        <v/>
      </c>
      <c r="T778" s="119" t="str">
        <f>IF(Modificaciones!AB778=0,"",VLOOKUP(E778,Modificaciones!$B$7:$AB$2400,27,0))</f>
        <v/>
      </c>
      <c r="U778" s="1080" t="str">
        <f>+Modificaciones!AC778</f>
        <v/>
      </c>
      <c r="V778" s="825" t="str">
        <f>+Modificaciones!AK778</f>
        <v/>
      </c>
      <c r="W778" s="825">
        <f t="shared" si="150"/>
        <v>43926</v>
      </c>
      <c r="X778" s="59">
        <f t="shared" si="149"/>
        <v>724040055</v>
      </c>
      <c r="Y778" s="151">
        <f>VLOOKUP(E778,Modificaciones!$B$7:$BE$2300,56,0)</f>
        <v>721914291</v>
      </c>
      <c r="Z778" s="84">
        <f t="shared" si="146"/>
        <v>2125764</v>
      </c>
      <c r="AA778" s="1000" t="s">
        <v>4899</v>
      </c>
      <c r="AB778" s="823">
        <f t="shared" si="147"/>
        <v>0.99706402431009156</v>
      </c>
      <c r="AC778" s="40">
        <f t="shared" ca="1" si="151"/>
        <v>1</v>
      </c>
      <c r="AD778" s="41">
        <f t="shared" ca="1" si="152"/>
        <v>2.9359756899084433E-3</v>
      </c>
      <c r="AE778" s="181" t="str">
        <f t="shared" ca="1" si="153"/>
        <v/>
      </c>
      <c r="AF778" s="42" t="str">
        <f t="shared" si="148"/>
        <v>NO</v>
      </c>
      <c r="AG778" s="1017" t="s">
        <v>4920</v>
      </c>
      <c r="AH778" s="152" t="s">
        <v>1255</v>
      </c>
      <c r="AI778" s="255" t="s">
        <v>1531</v>
      </c>
      <c r="AJ778" s="152" t="s">
        <v>1429</v>
      </c>
      <c r="AK778" s="255" t="s">
        <v>564</v>
      </c>
      <c r="AL778" s="838"/>
      <c r="AM778" s="838" t="s">
        <v>4802</v>
      </c>
      <c r="AN778" s="161" t="str">
        <f t="shared" ca="1" si="154"/>
        <v>TERMINO</v>
      </c>
      <c r="AO778" s="414" t="s">
        <v>4900</v>
      </c>
      <c r="AP778" s="406" t="s">
        <v>390</v>
      </c>
      <c r="AQ778" s="819" t="str">
        <f>IFERROR(VLOOKUP(E778,'liquidaciones '!$B$2:$C$1048576,2,0),"NO")</f>
        <v>LIQUIDADO</v>
      </c>
      <c r="AR778" s="909" t="str">
        <f>IFERROR(VLOOKUP(E778,'liquidaciones '!$B$2:$I$1048576,8,0),"")</f>
        <v>JUAN DIEGO ESPITIA</v>
      </c>
      <c r="AS778" s="406"/>
      <c r="AT778" s="156" t="str">
        <f t="shared" ca="1" si="155"/>
        <v>SI</v>
      </c>
      <c r="AU778" s="999" t="s">
        <v>5961</v>
      </c>
      <c r="AV778" s="1001"/>
      <c r="AW778" s="930" t="s">
        <v>3920</v>
      </c>
      <c r="AX778" s="930" t="s">
        <v>5421</v>
      </c>
      <c r="AY778" s="275" t="s">
        <v>5796</v>
      </c>
    </row>
    <row r="779" spans="3:51" ht="122.4" x14ac:dyDescent="0.3">
      <c r="C779" s="837">
        <v>131</v>
      </c>
      <c r="D779" s="837"/>
      <c r="E779" s="120" t="s">
        <v>4906</v>
      </c>
      <c r="F779" s="414" t="s">
        <v>2094</v>
      </c>
      <c r="G779" s="863">
        <v>830099766</v>
      </c>
      <c r="H779" s="969" t="s">
        <v>4069</v>
      </c>
      <c r="I779" s="84">
        <v>70231374</v>
      </c>
      <c r="J779" s="843" t="s">
        <v>4906</v>
      </c>
      <c r="K779" s="269">
        <v>2019</v>
      </c>
      <c r="L779" s="519">
        <v>43588</v>
      </c>
      <c r="M779" s="519">
        <v>43598</v>
      </c>
      <c r="N779" s="519">
        <v>43933</v>
      </c>
      <c r="O779" s="1099" t="str">
        <f>IF(+Modificaciones!I779=0,"",VLOOKUP(E779,Modificaciones!$B$7:$I$2400,8,0))</f>
        <v/>
      </c>
      <c r="P779" s="115">
        <f>COUNTA(Modificaciones!J779,Modificaciones!L779,Modificaciones!N779,Modificaciones!P779)</f>
        <v>0</v>
      </c>
      <c r="Q779" s="116">
        <f>VLOOKUP(E779,Modificaciones!$B$7:$R$2300,17,0)</f>
        <v>0</v>
      </c>
      <c r="R779" s="117">
        <f>COUNTA(Modificaciones!T779,Modificaciones!V779,Modificaciones!X779,Modificaciones!Z779)</f>
        <v>0</v>
      </c>
      <c r="S779" s="118" t="str">
        <f>IF(Modificaciones!AA779=0,"",VLOOKUP(E779,Modificaciones!$B$7:$AA$2400,26,0))</f>
        <v/>
      </c>
      <c r="T779" s="119" t="str">
        <f>IF(Modificaciones!AB779=0,"",VLOOKUP(E779,Modificaciones!$B$7:$AB$2400,27,0))</f>
        <v/>
      </c>
      <c r="U779" s="1080" t="str">
        <f>+Modificaciones!AC779</f>
        <v/>
      </c>
      <c r="V779" s="825" t="str">
        <f>+Modificaciones!AK779</f>
        <v/>
      </c>
      <c r="W779" s="825">
        <f t="shared" si="150"/>
        <v>43933</v>
      </c>
      <c r="X779" s="59">
        <f t="shared" si="149"/>
        <v>70231374</v>
      </c>
      <c r="Y779" s="151">
        <f>VLOOKUP(E779,Modificaciones!$B$7:$BE$2300,56,0)</f>
        <v>70231374</v>
      </c>
      <c r="Z779" s="84">
        <f t="shared" si="146"/>
        <v>0</v>
      </c>
      <c r="AA779" s="869" t="s">
        <v>4907</v>
      </c>
      <c r="AB779" s="823">
        <f t="shared" si="147"/>
        <v>1</v>
      </c>
      <c r="AC779" s="40">
        <f t="shared" ca="1" si="151"/>
        <v>1</v>
      </c>
      <c r="AD779" s="41">
        <f t="shared" ca="1" si="152"/>
        <v>0</v>
      </c>
      <c r="AE779" s="181" t="str">
        <f t="shared" ca="1" si="153"/>
        <v/>
      </c>
      <c r="AF779" s="42" t="str">
        <f t="shared" si="148"/>
        <v>SI</v>
      </c>
      <c r="AG779" s="1017" t="s">
        <v>4920</v>
      </c>
      <c r="AH779" s="152" t="s">
        <v>1256</v>
      </c>
      <c r="AI779" s="255" t="s">
        <v>2097</v>
      </c>
      <c r="AJ779" s="152" t="s">
        <v>1438</v>
      </c>
      <c r="AK779" s="255" t="s">
        <v>560</v>
      </c>
      <c r="AL779" s="838" t="s">
        <v>4850</v>
      </c>
      <c r="AM779" s="838" t="s">
        <v>4851</v>
      </c>
      <c r="AN779" s="161" t="str">
        <f t="shared" ca="1" si="154"/>
        <v>TERMINO</v>
      </c>
      <c r="AO779" s="160" t="s">
        <v>582</v>
      </c>
      <c r="AP779" s="406" t="s">
        <v>390</v>
      </c>
      <c r="AQ779" s="819" t="str">
        <f>IFERROR(VLOOKUP(E779,'liquidaciones '!$B$2:$C$1048576,2,0),"NO")</f>
        <v>LIQUIDADO</v>
      </c>
      <c r="AR779" s="909" t="str">
        <f>IFERROR(VLOOKUP(E779,'liquidaciones '!$B$2:$I$1048576,8,0),"")</f>
        <v>MARIA FERNANDA ROMERO</v>
      </c>
      <c r="AS779" s="406"/>
      <c r="AT779" s="156" t="str">
        <f t="shared" ca="1" si="155"/>
        <v>SI</v>
      </c>
      <c r="AU779" s="999" t="s">
        <v>5875</v>
      </c>
      <c r="AV779" s="1001"/>
      <c r="AW779" s="930" t="s">
        <v>560</v>
      </c>
      <c r="AX779" s="928"/>
      <c r="AY779" s="275" t="s">
        <v>5986</v>
      </c>
    </row>
    <row r="780" spans="3:51" ht="40.799999999999997" x14ac:dyDescent="0.3">
      <c r="C780" s="837">
        <v>24</v>
      </c>
      <c r="D780" s="837"/>
      <c r="E780" s="120" t="s">
        <v>4909</v>
      </c>
      <c r="F780" s="414" t="s">
        <v>2910</v>
      </c>
      <c r="G780" s="863">
        <v>41690000</v>
      </c>
      <c r="H780" s="969" t="s">
        <v>4910</v>
      </c>
      <c r="I780" s="84">
        <v>27222000</v>
      </c>
      <c r="J780" s="843" t="s">
        <v>4909</v>
      </c>
      <c r="K780" s="269">
        <v>2019</v>
      </c>
      <c r="L780" s="519">
        <v>43593</v>
      </c>
      <c r="M780" s="519">
        <v>43594</v>
      </c>
      <c r="N780" s="519">
        <v>43777</v>
      </c>
      <c r="O780" s="1099" t="str">
        <f>IF(+Modificaciones!I780=0,"",VLOOKUP(E780,Modificaciones!$B$7:$I$2400,8,0))</f>
        <v/>
      </c>
      <c r="P780" s="115">
        <f>COUNTA(Modificaciones!J780,Modificaciones!L780,Modificaciones!N780,Modificaciones!P780)</f>
        <v>1</v>
      </c>
      <c r="Q780" s="116">
        <f>VLOOKUP(E780,Modificaciones!$B$7:$R$2300,17,0)</f>
        <v>5595633</v>
      </c>
      <c r="R780" s="117">
        <f>COUNTA(Modificaciones!T780,Modificaciones!V780,Modificaciones!X780,Modificaciones!Z780)</f>
        <v>1</v>
      </c>
      <c r="S780" s="118" t="str">
        <f>IF(Modificaciones!AA780=0,"",VLOOKUP(E780,Modificaciones!$B$7:$AA$2400,26,0))</f>
        <v>1 mes y 7 días</v>
      </c>
      <c r="T780" s="119">
        <f>IF(Modificaciones!AB780=0,"",VLOOKUP(E780,Modificaciones!$B$7:$AB$2400,27,0))</f>
        <v>43814</v>
      </c>
      <c r="U780" s="1080" t="str">
        <f>+Modificaciones!AC780</f>
        <v/>
      </c>
      <c r="V780" s="825" t="str">
        <f>+Modificaciones!AK780</f>
        <v/>
      </c>
      <c r="W780" s="825">
        <f t="shared" si="150"/>
        <v>43814</v>
      </c>
      <c r="X780" s="59">
        <f t="shared" si="149"/>
        <v>32817633</v>
      </c>
      <c r="Y780" s="151">
        <f>VLOOKUP(E780,Modificaciones!$B$7:$BE$2300,56,0)</f>
        <v>32817633</v>
      </c>
      <c r="Z780" s="84">
        <f t="shared" ref="Z780:Z790" si="156">X780-Y780</f>
        <v>0</v>
      </c>
      <c r="AA780" s="283" t="s">
        <v>1094</v>
      </c>
      <c r="AB780" s="823">
        <f t="shared" ref="AB780:AB790" si="157">(Y780*100%)/X780</f>
        <v>1</v>
      </c>
      <c r="AC780" s="40">
        <f t="shared" ca="1" si="151"/>
        <v>1</v>
      </c>
      <c r="AD780" s="41">
        <f t="shared" ca="1" si="152"/>
        <v>0</v>
      </c>
      <c r="AE780" s="181" t="str">
        <f t="shared" ca="1" si="153"/>
        <v/>
      </c>
      <c r="AF780" s="42" t="str">
        <f t="shared" ref="AF780:AF790" si="158">IF(AB780&lt;=99.9%,"NO","SI")</f>
        <v>SI</v>
      </c>
      <c r="AG780" s="732" t="s">
        <v>5773</v>
      </c>
      <c r="AH780" s="841" t="s">
        <v>1255</v>
      </c>
      <c r="AI780" s="152" t="s">
        <v>4911</v>
      </c>
      <c r="AJ780" s="152" t="s">
        <v>1439</v>
      </c>
      <c r="AK780" s="255" t="s">
        <v>562</v>
      </c>
      <c r="AL780" s="838"/>
      <c r="AM780" s="838" t="s">
        <v>4912</v>
      </c>
      <c r="AN780" s="161" t="str">
        <f t="shared" ca="1" si="154"/>
        <v>TERMINO</v>
      </c>
      <c r="AO780" s="160" t="s">
        <v>582</v>
      </c>
      <c r="AP780" s="406" t="s">
        <v>391</v>
      </c>
      <c r="AQ780" s="819" t="str">
        <f>IFERROR(VLOOKUP(E780,'liquidaciones '!$B$2:$C$1048576,2,0),"NO")</f>
        <v>EN TRÁMITE</v>
      </c>
      <c r="AR780" s="909" t="str">
        <f>IFERROR(VLOOKUP(E780,'liquidaciones '!$B$2:$I$1048576,8,0),"")</f>
        <v>JUAN DIEGO ESPITIA</v>
      </c>
      <c r="AS780" s="406"/>
      <c r="AT780" s="156" t="str">
        <f t="shared" ca="1" si="155"/>
        <v>SI</v>
      </c>
      <c r="AU780" s="1022" t="s">
        <v>4805</v>
      </c>
      <c r="AV780" s="406"/>
      <c r="AW780" s="930" t="s">
        <v>3985</v>
      </c>
      <c r="AX780" s="930" t="s">
        <v>5320</v>
      </c>
      <c r="AY780" s="275"/>
    </row>
    <row r="781" spans="3:51" ht="61.2" x14ac:dyDescent="0.3">
      <c r="C781" s="837">
        <v>356</v>
      </c>
      <c r="D781" s="837"/>
      <c r="E781" s="120" t="s">
        <v>4913</v>
      </c>
      <c r="F781" s="414" t="s">
        <v>4158</v>
      </c>
      <c r="G781" s="863">
        <v>1013610856</v>
      </c>
      <c r="H781" s="969" t="s">
        <v>4914</v>
      </c>
      <c r="I781" s="84">
        <v>24846000</v>
      </c>
      <c r="J781" s="843" t="s">
        <v>4913</v>
      </c>
      <c r="K781" s="269">
        <v>2019</v>
      </c>
      <c r="L781" s="519">
        <v>43593</v>
      </c>
      <c r="M781" s="519">
        <v>43595</v>
      </c>
      <c r="N781" s="519">
        <v>43778</v>
      </c>
      <c r="O781" s="1099" t="str">
        <f>IF(+Modificaciones!I781=0,"",VLOOKUP(E781,Modificaciones!$B$7:$I$2400,8,0))</f>
        <v/>
      </c>
      <c r="P781" s="115">
        <f>COUNTA(Modificaciones!J781,Modificaciones!L781,Modificaciones!N781,Modificaciones!P781)</f>
        <v>1</v>
      </c>
      <c r="Q781" s="116">
        <f>VLOOKUP(E781,Modificaciones!$B$7:$R$2300,17,0)</f>
        <v>12423000</v>
      </c>
      <c r="R781" s="117">
        <f>COUNTA(Modificaciones!T781,Modificaciones!V781,Modificaciones!X781,Modificaciones!Z781)</f>
        <v>1</v>
      </c>
      <c r="S781" s="118" t="str">
        <f>IF(Modificaciones!AA781=0,"",VLOOKUP(E781,Modificaciones!$B$7:$AA$2400,26,0))</f>
        <v>3 meses</v>
      </c>
      <c r="T781" s="119">
        <f>IF(Modificaciones!AB781=0,"",VLOOKUP(E781,Modificaciones!$B$7:$AB$2400,27,0))</f>
        <v>43882</v>
      </c>
      <c r="U781" s="1080">
        <f>+Modificaciones!AC781</f>
        <v>13</v>
      </c>
      <c r="V781" s="825">
        <f>+Modificaciones!AK781</f>
        <v>43882</v>
      </c>
      <c r="W781" s="825">
        <f t="shared" si="150"/>
        <v>43882</v>
      </c>
      <c r="X781" s="59">
        <f t="shared" si="149"/>
        <v>37269000</v>
      </c>
      <c r="Y781" s="151">
        <f>VLOOKUP(E781,Modificaciones!$B$7:$BE$2300,56,0)</f>
        <v>37130966</v>
      </c>
      <c r="Z781" s="84">
        <f t="shared" si="156"/>
        <v>138034</v>
      </c>
      <c r="AA781" s="283" t="s">
        <v>1094</v>
      </c>
      <c r="AB781" s="823">
        <f t="shared" si="157"/>
        <v>0.99629627840832868</v>
      </c>
      <c r="AC781" s="40">
        <f t="shared" ca="1" si="151"/>
        <v>1</v>
      </c>
      <c r="AD781" s="41">
        <f t="shared" ca="1" si="152"/>
        <v>3.7037215916713162E-3</v>
      </c>
      <c r="AE781" s="181" t="str">
        <f t="shared" ca="1" si="153"/>
        <v/>
      </c>
      <c r="AF781" s="42" t="str">
        <f t="shared" si="158"/>
        <v>NO</v>
      </c>
      <c r="AG781" s="732" t="s">
        <v>5773</v>
      </c>
      <c r="AH781" s="841" t="s">
        <v>1255</v>
      </c>
      <c r="AI781" s="152" t="s">
        <v>2177</v>
      </c>
      <c r="AJ781" s="152" t="s">
        <v>1438</v>
      </c>
      <c r="AK781" s="255" t="s">
        <v>560</v>
      </c>
      <c r="AL781" s="279" t="s">
        <v>4850</v>
      </c>
      <c r="AM781" s="838" t="s">
        <v>4851</v>
      </c>
      <c r="AN781" s="161" t="str">
        <f t="shared" ca="1" si="154"/>
        <v>TERMINO</v>
      </c>
      <c r="AO781" s="160" t="s">
        <v>582</v>
      </c>
      <c r="AP781" s="406" t="s">
        <v>391</v>
      </c>
      <c r="AQ781" s="819" t="str">
        <f>IFERROR(VLOOKUP(E781,'liquidaciones '!$B$2:$C$1048576,2,0),"NO")</f>
        <v>LIQUIDADO</v>
      </c>
      <c r="AR781" s="909" t="str">
        <f>IFERROR(VLOOKUP(E781,'liquidaciones '!$B$2:$I$1048576,8,0),"")</f>
        <v>MARIA FERNANDA ROMERO</v>
      </c>
      <c r="AS781" s="406"/>
      <c r="AT781" s="156" t="str">
        <f t="shared" ca="1" si="155"/>
        <v>SI</v>
      </c>
      <c r="AU781" s="406" t="s">
        <v>4805</v>
      </c>
      <c r="AV781" s="406" t="s">
        <v>4852</v>
      </c>
      <c r="AW781" s="930" t="s">
        <v>560</v>
      </c>
      <c r="AX781" s="930" t="s">
        <v>5388</v>
      </c>
      <c r="AY781" s="275"/>
    </row>
    <row r="782" spans="3:51" ht="91.8" x14ac:dyDescent="0.3">
      <c r="C782" s="837">
        <v>313</v>
      </c>
      <c r="D782" s="837"/>
      <c r="E782" s="120" t="s">
        <v>4918</v>
      </c>
      <c r="F782" s="414" t="s">
        <v>22</v>
      </c>
      <c r="G782" s="863">
        <v>830112518</v>
      </c>
      <c r="H782" s="969" t="s">
        <v>4948</v>
      </c>
      <c r="I782" s="84">
        <v>73645000</v>
      </c>
      <c r="J782" s="843" t="s">
        <v>4923</v>
      </c>
      <c r="K782" s="269">
        <v>2019</v>
      </c>
      <c r="L782" s="519">
        <v>43600</v>
      </c>
      <c r="M782" s="519">
        <v>43608</v>
      </c>
      <c r="N782" s="519">
        <v>43973</v>
      </c>
      <c r="O782" s="1099" t="str">
        <f>IF(+Modificaciones!I782=0,"",VLOOKUP(E782,Modificaciones!$B$7:$I$2400,8,0))</f>
        <v/>
      </c>
      <c r="P782" s="115">
        <f>COUNTA(Modificaciones!J782,Modificaciones!L782,Modificaciones!N782,Modificaciones!P782)</f>
        <v>0</v>
      </c>
      <c r="Q782" s="116">
        <f>VLOOKUP(E782,Modificaciones!$B$7:$R$2300,17,0)</f>
        <v>0</v>
      </c>
      <c r="R782" s="117">
        <f>COUNTA(Modificaciones!T782,Modificaciones!V782,Modificaciones!X782,Modificaciones!Z782)</f>
        <v>0</v>
      </c>
      <c r="S782" s="118" t="str">
        <f>IF(Modificaciones!AA782=0,"",VLOOKUP(E782,Modificaciones!$B$7:$AA$2400,26,0))</f>
        <v/>
      </c>
      <c r="T782" s="119" t="str">
        <f>IF(Modificaciones!AB782=0,"",VLOOKUP(E782,Modificaciones!$B$7:$AB$2400,27,0))</f>
        <v/>
      </c>
      <c r="U782" s="1080" t="str">
        <f>+Modificaciones!AC782</f>
        <v/>
      </c>
      <c r="V782" s="825" t="str">
        <f>+Modificaciones!AK782</f>
        <v/>
      </c>
      <c r="W782" s="825">
        <f t="shared" si="150"/>
        <v>43973</v>
      </c>
      <c r="X782" s="59">
        <f t="shared" si="149"/>
        <v>73645000</v>
      </c>
      <c r="Y782" s="151">
        <f>VLOOKUP(E782,Modificaciones!$B$7:$BE$2300,56,0)</f>
        <v>73645000</v>
      </c>
      <c r="Z782" s="84">
        <f t="shared" si="156"/>
        <v>0</v>
      </c>
      <c r="AA782" s="1000" t="s">
        <v>4919</v>
      </c>
      <c r="AB782" s="823">
        <f t="shared" si="157"/>
        <v>1</v>
      </c>
      <c r="AC782" s="40">
        <f t="shared" ca="1" si="151"/>
        <v>1</v>
      </c>
      <c r="AD782" s="41">
        <f t="shared" ca="1" si="152"/>
        <v>0</v>
      </c>
      <c r="AE782" s="181" t="str">
        <f t="shared" ca="1" si="153"/>
        <v/>
      </c>
      <c r="AF782" s="42" t="str">
        <f t="shared" si="158"/>
        <v>SI</v>
      </c>
      <c r="AG782" s="1017" t="s">
        <v>4920</v>
      </c>
      <c r="AH782" s="841" t="s">
        <v>1776</v>
      </c>
      <c r="AI782" s="841" t="s">
        <v>4921</v>
      </c>
      <c r="AJ782" s="152" t="s">
        <v>1438</v>
      </c>
      <c r="AK782" s="255" t="s">
        <v>560</v>
      </c>
      <c r="AL782" s="279" t="s">
        <v>4850</v>
      </c>
      <c r="AM782" s="838" t="s">
        <v>4851</v>
      </c>
      <c r="AN782" s="161" t="str">
        <f t="shared" ca="1" si="154"/>
        <v>TERMINO</v>
      </c>
      <c r="AO782" s="160" t="s">
        <v>582</v>
      </c>
      <c r="AP782" s="406" t="s">
        <v>390</v>
      </c>
      <c r="AQ782" s="819" t="str">
        <f>IFERROR(VLOOKUP(E782,'liquidaciones '!$B$2:$C$1048576,2,0),"NO")</f>
        <v>NO</v>
      </c>
      <c r="AR782" s="909" t="str">
        <f>IFERROR(VLOOKUP(E782,'liquidaciones '!$B$2:$I$1048576,8,0),"")</f>
        <v/>
      </c>
      <c r="AS782" s="406"/>
      <c r="AT782" s="156" t="str">
        <f t="shared" ca="1" si="155"/>
        <v>SI</v>
      </c>
      <c r="AU782" s="156" t="s">
        <v>5919</v>
      </c>
      <c r="AV782" s="1001" t="s">
        <v>4852</v>
      </c>
      <c r="AW782" s="930" t="s">
        <v>560</v>
      </c>
      <c r="AX782" s="928"/>
      <c r="AY782" s="275" t="s">
        <v>6066</v>
      </c>
    </row>
    <row r="783" spans="3:51" ht="51" x14ac:dyDescent="0.3">
      <c r="C783" s="837">
        <v>133</v>
      </c>
      <c r="D783" s="837"/>
      <c r="E783" s="120" t="s">
        <v>4927</v>
      </c>
      <c r="F783" s="414" t="s">
        <v>2832</v>
      </c>
      <c r="G783" s="863">
        <v>900891247</v>
      </c>
      <c r="H783" s="969" t="s">
        <v>3928</v>
      </c>
      <c r="I783" s="84">
        <v>71639850</v>
      </c>
      <c r="J783" s="843" t="s">
        <v>4928</v>
      </c>
      <c r="K783" s="269">
        <v>2019</v>
      </c>
      <c r="L783" s="519">
        <v>43601</v>
      </c>
      <c r="M783" s="519">
        <v>43612</v>
      </c>
      <c r="N783" s="519">
        <v>43977</v>
      </c>
      <c r="O783" s="1099" t="str">
        <f>IF(+Modificaciones!I783=0,"",VLOOKUP(E783,Modificaciones!$B$7:$I$2400,8,0))</f>
        <v/>
      </c>
      <c r="P783" s="115">
        <f>COUNTA(Modificaciones!J783,Modificaciones!L783,Modificaciones!N783,Modificaciones!P783)</f>
        <v>0</v>
      </c>
      <c r="Q783" s="116">
        <f>VLOOKUP(E783,Modificaciones!$B$7:$R$2300,17,0)</f>
        <v>0</v>
      </c>
      <c r="R783" s="117">
        <f>COUNTA(Modificaciones!T783,Modificaciones!V783,Modificaciones!X783,Modificaciones!Z783)</f>
        <v>0</v>
      </c>
      <c r="S783" s="118" t="str">
        <f>IF(Modificaciones!AA783=0,"",VLOOKUP(E783,Modificaciones!$B$7:$AA$2400,26,0))</f>
        <v/>
      </c>
      <c r="T783" s="119" t="str">
        <f>IF(Modificaciones!AB783=0,"",VLOOKUP(E783,Modificaciones!$B$7:$AB$2400,27,0))</f>
        <v/>
      </c>
      <c r="U783" s="1080" t="str">
        <f>+Modificaciones!AC783</f>
        <v/>
      </c>
      <c r="V783" s="825" t="str">
        <f>+Modificaciones!AK783</f>
        <v/>
      </c>
      <c r="W783" s="825">
        <f t="shared" si="150"/>
        <v>43977</v>
      </c>
      <c r="X783" s="59">
        <f t="shared" si="149"/>
        <v>71639850</v>
      </c>
      <c r="Y783" s="151">
        <f>VLOOKUP(E783,Modificaciones!$B$7:$BE$2300,56,0)</f>
        <v>66760850</v>
      </c>
      <c r="Z783" s="84">
        <f t="shared" si="156"/>
        <v>4879000</v>
      </c>
      <c r="AA783" s="1000" t="s">
        <v>4929</v>
      </c>
      <c r="AB783" s="823">
        <f t="shared" si="157"/>
        <v>0.9318954464589192</v>
      </c>
      <c r="AC783" s="40">
        <f t="shared" ca="1" si="151"/>
        <v>1</v>
      </c>
      <c r="AD783" s="41">
        <f t="shared" ca="1" si="152"/>
        <v>6.8104553541080803E-2</v>
      </c>
      <c r="AE783" s="181" t="str">
        <f t="shared" ca="1" si="153"/>
        <v/>
      </c>
      <c r="AF783" s="42" t="str">
        <f t="shared" si="158"/>
        <v>NO</v>
      </c>
      <c r="AG783" s="1017" t="s">
        <v>4920</v>
      </c>
      <c r="AH783" s="841" t="s">
        <v>1256</v>
      </c>
      <c r="AI783" s="870" t="s">
        <v>4930</v>
      </c>
      <c r="AJ783" s="152" t="s">
        <v>1438</v>
      </c>
      <c r="AK783" s="255" t="s">
        <v>560</v>
      </c>
      <c r="AL783" s="279" t="s">
        <v>4850</v>
      </c>
      <c r="AM783" s="838" t="s">
        <v>4851</v>
      </c>
      <c r="AN783" s="161" t="str">
        <f t="shared" ca="1" si="154"/>
        <v>TERMINO</v>
      </c>
      <c r="AO783" s="284" t="s">
        <v>576</v>
      </c>
      <c r="AP783" s="406" t="s">
        <v>390</v>
      </c>
      <c r="AQ783" s="819" t="str">
        <f>IFERROR(VLOOKUP(E783,'liquidaciones '!$B$2:$C$1048576,2,0),"NO")</f>
        <v>NO</v>
      </c>
      <c r="AR783" s="909" t="str">
        <f>IFERROR(VLOOKUP(E783,'liquidaciones '!$B$2:$I$1048576,8,0),"")</f>
        <v/>
      </c>
      <c r="AS783" s="406"/>
      <c r="AT783" s="156" t="str">
        <f t="shared" ca="1" si="155"/>
        <v>SI</v>
      </c>
      <c r="AU783" s="156" t="s">
        <v>5919</v>
      </c>
      <c r="AV783" s="1001" t="s">
        <v>4852</v>
      </c>
      <c r="AW783" s="930" t="s">
        <v>560</v>
      </c>
      <c r="AX783" s="928"/>
      <c r="AY783" s="275" t="s">
        <v>6011</v>
      </c>
    </row>
    <row r="784" spans="3:51" ht="40.799999999999997" x14ac:dyDescent="0.3">
      <c r="C784" s="837">
        <v>40</v>
      </c>
      <c r="D784" s="837"/>
      <c r="E784" s="120" t="s">
        <v>4940</v>
      </c>
      <c r="F784" s="414" t="s">
        <v>4941</v>
      </c>
      <c r="G784" s="863">
        <v>890312749</v>
      </c>
      <c r="H784" s="967" t="s">
        <v>4942</v>
      </c>
      <c r="I784" s="84">
        <v>1474500000</v>
      </c>
      <c r="J784" s="843" t="s">
        <v>4943</v>
      </c>
      <c r="K784" s="269">
        <v>2019</v>
      </c>
      <c r="L784" s="519">
        <v>43608</v>
      </c>
      <c r="M784" s="519">
        <v>43616</v>
      </c>
      <c r="N784" s="519">
        <v>43981</v>
      </c>
      <c r="O784" s="1099" t="str">
        <f>IF(+Modificaciones!I784=0,"",VLOOKUP(E784,Modificaciones!$B$7:$I$2400,8,0))</f>
        <v/>
      </c>
      <c r="P784" s="115">
        <f>COUNTA(Modificaciones!J784,Modificaciones!L784,Modificaciones!N784,Modificaciones!P784)</f>
        <v>1</v>
      </c>
      <c r="Q784" s="116">
        <f>VLOOKUP(E784,Modificaciones!$B$7:$R$2300,17,0)</f>
        <v>271000000</v>
      </c>
      <c r="R784" s="117">
        <f>COUNTA(Modificaciones!T784,Modificaciones!V784,Modificaciones!X784,Modificaciones!Z784)</f>
        <v>1</v>
      </c>
      <c r="S784" s="118" t="str">
        <f>IF(Modificaciones!AA784=0,"",VLOOKUP(E784,Modificaciones!$B$7:$AA$2400,26,0))</f>
        <v>3 meses</v>
      </c>
      <c r="T784" s="119">
        <f>IF(Modificaciones!AB784=0,"",VLOOKUP(E784,Modificaciones!$B$7:$AB$2400,27,0))</f>
        <v>44073</v>
      </c>
      <c r="U784" s="1080" t="str">
        <f>+Modificaciones!AC784</f>
        <v/>
      </c>
      <c r="V784" s="825" t="str">
        <f>+Modificaciones!AK784</f>
        <v/>
      </c>
      <c r="W784" s="825">
        <f t="shared" si="150"/>
        <v>44073</v>
      </c>
      <c r="X784" s="59">
        <f t="shared" si="149"/>
        <v>1745500000</v>
      </c>
      <c r="Y784" s="151">
        <f>VLOOKUP(E784,Modificaciones!$B$7:$BE$2300,56,0)</f>
        <v>1625889225</v>
      </c>
      <c r="Z784" s="84">
        <f t="shared" si="156"/>
        <v>119610775</v>
      </c>
      <c r="AA784" s="84" t="s">
        <v>1877</v>
      </c>
      <c r="AB784" s="823">
        <f t="shared" si="157"/>
        <v>0.93147477800057288</v>
      </c>
      <c r="AC784" s="40">
        <f t="shared" ca="1" si="151"/>
        <v>1</v>
      </c>
      <c r="AD784" s="41">
        <f t="shared" ca="1" si="152"/>
        <v>6.8525221999427122E-2</v>
      </c>
      <c r="AE784" s="181" t="str">
        <f t="shared" ca="1" si="153"/>
        <v/>
      </c>
      <c r="AF784" s="42" t="str">
        <f t="shared" si="158"/>
        <v>NO</v>
      </c>
      <c r="AG784" s="1017" t="s">
        <v>4920</v>
      </c>
      <c r="AH784" s="152" t="s">
        <v>1255</v>
      </c>
      <c r="AI784" s="255" t="s">
        <v>1126</v>
      </c>
      <c r="AJ784" s="152"/>
      <c r="AK784" s="255" t="s">
        <v>560</v>
      </c>
      <c r="AL784" s="838"/>
      <c r="AM784" s="838" t="s">
        <v>4851</v>
      </c>
      <c r="AN784" s="161" t="str">
        <f t="shared" ca="1" si="154"/>
        <v>TERMINO</v>
      </c>
      <c r="AO784" s="414" t="s">
        <v>573</v>
      </c>
      <c r="AP784" s="406" t="s">
        <v>390</v>
      </c>
      <c r="AQ784" s="819" t="str">
        <f>IFERROR(VLOOKUP(E784,'liquidaciones '!$B$2:$C$1048576,2,0),"NO")</f>
        <v>NO</v>
      </c>
      <c r="AR784" s="909" t="str">
        <f>IFERROR(VLOOKUP(E784,'liquidaciones '!$B$2:$I$1048576,8,0),"")</f>
        <v/>
      </c>
      <c r="AS784" s="406"/>
      <c r="AT784" s="156" t="str">
        <f t="shared" ca="1" si="155"/>
        <v>SI</v>
      </c>
      <c r="AU784" s="156" t="s">
        <v>4245</v>
      </c>
      <c r="AV784" s="406"/>
      <c r="AW784" s="930" t="s">
        <v>560</v>
      </c>
      <c r="AX784" s="930" t="s">
        <v>6037</v>
      </c>
      <c r="AY784" s="275" t="s">
        <v>5791</v>
      </c>
    </row>
    <row r="785" spans="3:51" ht="51" x14ac:dyDescent="0.3">
      <c r="C785" s="837">
        <v>309</v>
      </c>
      <c r="D785" s="837"/>
      <c r="E785" s="120" t="s">
        <v>4944</v>
      </c>
      <c r="F785" s="414" t="s">
        <v>5170</v>
      </c>
      <c r="G785" s="863">
        <v>41750115</v>
      </c>
      <c r="H785" s="969" t="s">
        <v>4945</v>
      </c>
      <c r="I785" s="84">
        <v>53864000</v>
      </c>
      <c r="J785" s="843" t="s">
        <v>4944</v>
      </c>
      <c r="K785" s="269">
        <v>2019</v>
      </c>
      <c r="L785" s="519">
        <v>43612</v>
      </c>
      <c r="M785" s="519">
        <v>43614</v>
      </c>
      <c r="N785" s="519">
        <v>43830</v>
      </c>
      <c r="O785" s="1099">
        <f>IF(+Modificaciones!I785=0,"",VLOOKUP(E785,Modificaciones!$B$7:$I$2400,8,0))</f>
        <v>43858</v>
      </c>
      <c r="P785" s="115">
        <f>COUNTA(Modificaciones!J785,Modificaciones!L785,Modificaciones!N785,Modificaciones!P785)</f>
        <v>0</v>
      </c>
      <c r="Q785" s="116">
        <f>VLOOKUP(E785,Modificaciones!$B$7:$R$2300,17,0)</f>
        <v>0</v>
      </c>
      <c r="R785" s="117">
        <f>COUNTA(Modificaciones!T785,Modificaciones!V785,Modificaciones!X785,Modificaciones!Z785)</f>
        <v>0</v>
      </c>
      <c r="S785" s="118" t="str">
        <f>IF(Modificaciones!AA785=0,"",VLOOKUP(E785,Modificaciones!$B$7:$AA$2400,26,0))</f>
        <v/>
      </c>
      <c r="T785" s="119" t="str">
        <f>IF(Modificaciones!AB785=0,"",VLOOKUP(E785,Modificaciones!$B$7:$AB$2400,27,0))</f>
        <v/>
      </c>
      <c r="U785" s="1080" t="str">
        <f>+Modificaciones!AC785</f>
        <v/>
      </c>
      <c r="V785" s="825" t="str">
        <f>+Modificaciones!AK785</f>
        <v/>
      </c>
      <c r="W785" s="825">
        <f t="shared" si="150"/>
        <v>43858</v>
      </c>
      <c r="X785" s="59">
        <f t="shared" si="149"/>
        <v>53864000</v>
      </c>
      <c r="Y785" s="151">
        <f>VLOOKUP(E785,Modificaciones!$B$7:$BE$2300,56,0)</f>
        <v>53864000</v>
      </c>
      <c r="Z785" s="84">
        <f t="shared" si="156"/>
        <v>0</v>
      </c>
      <c r="AA785" s="283" t="s">
        <v>1094</v>
      </c>
      <c r="AB785" s="823">
        <f t="shared" si="157"/>
        <v>1</v>
      </c>
      <c r="AC785" s="40">
        <f t="shared" ca="1" si="151"/>
        <v>1</v>
      </c>
      <c r="AD785" s="41">
        <f t="shared" ca="1" si="152"/>
        <v>0</v>
      </c>
      <c r="AE785" s="181" t="str">
        <f t="shared" ca="1" si="153"/>
        <v/>
      </c>
      <c r="AF785" s="42" t="str">
        <f t="shared" si="158"/>
        <v>SI</v>
      </c>
      <c r="AG785" s="732" t="s">
        <v>5773</v>
      </c>
      <c r="AH785" s="841" t="s">
        <v>1255</v>
      </c>
      <c r="AI785" s="152" t="s">
        <v>4946</v>
      </c>
      <c r="AJ785" s="838" t="s">
        <v>4879</v>
      </c>
      <c r="AK785" s="838" t="s">
        <v>561</v>
      </c>
      <c r="AL785" s="838" t="s">
        <v>5026</v>
      </c>
      <c r="AM785" s="838" t="s">
        <v>4916</v>
      </c>
      <c r="AN785" s="161" t="str">
        <f t="shared" ca="1" si="154"/>
        <v>TERMINO</v>
      </c>
      <c r="AO785" s="160" t="s">
        <v>582</v>
      </c>
      <c r="AP785" s="406" t="s">
        <v>391</v>
      </c>
      <c r="AQ785" s="819" t="str">
        <f>IFERROR(VLOOKUP(E785,'liquidaciones '!$B$2:$C$1048576,2,0),"NO")</f>
        <v>EN TRÁMITE</v>
      </c>
      <c r="AR785" s="909" t="str">
        <f>IFERROR(VLOOKUP(E785,'liquidaciones '!$B$2:$I$1048576,8,0),"")</f>
        <v>JUAN DIEGO ESPITIA</v>
      </c>
      <c r="AS785" s="406"/>
      <c r="AT785" s="156" t="str">
        <f t="shared" ca="1" si="155"/>
        <v>SI</v>
      </c>
      <c r="AU785" s="406" t="s">
        <v>4805</v>
      </c>
      <c r="AV785" s="406" t="s">
        <v>5026</v>
      </c>
      <c r="AW785" s="930" t="s">
        <v>4178</v>
      </c>
      <c r="AX785" s="930" t="s">
        <v>5459</v>
      </c>
      <c r="AY785" s="275"/>
    </row>
    <row r="786" spans="3:51" ht="51" x14ac:dyDescent="0.3">
      <c r="C786" s="837">
        <v>309</v>
      </c>
      <c r="D786" s="837"/>
      <c r="E786" s="120" t="s">
        <v>4947</v>
      </c>
      <c r="F786" s="414" t="s">
        <v>2943</v>
      </c>
      <c r="G786" s="863">
        <v>79436393</v>
      </c>
      <c r="H786" s="969" t="s">
        <v>4945</v>
      </c>
      <c r="I786" s="84">
        <v>53864000</v>
      </c>
      <c r="J786" s="843" t="s">
        <v>4947</v>
      </c>
      <c r="K786" s="269">
        <v>2019</v>
      </c>
      <c r="L786" s="519">
        <v>43612</v>
      </c>
      <c r="M786" s="519">
        <v>43614</v>
      </c>
      <c r="N786" s="519">
        <v>43830</v>
      </c>
      <c r="O786" s="1099">
        <f>IF(+Modificaciones!I786=0,"",VLOOKUP(E786,Modificaciones!$B$7:$I$2400,8,0))</f>
        <v>43858</v>
      </c>
      <c r="P786" s="115">
        <f>COUNTA(Modificaciones!J786,Modificaciones!L786,Modificaciones!N786,Modificaciones!P786)</f>
        <v>0</v>
      </c>
      <c r="Q786" s="116">
        <f>VLOOKUP(E786,Modificaciones!$B$7:$R$2300,17,0)</f>
        <v>0</v>
      </c>
      <c r="R786" s="117">
        <f>COUNTA(Modificaciones!T786,Modificaciones!V786,Modificaciones!X786,Modificaciones!Z786)</f>
        <v>0</v>
      </c>
      <c r="S786" s="118" t="str">
        <f>IF(Modificaciones!AA786=0,"",VLOOKUP(E786,Modificaciones!$B$7:$AA$2400,26,0))</f>
        <v/>
      </c>
      <c r="T786" s="119" t="str">
        <f>IF(Modificaciones!AB786=0,"",VLOOKUP(E786,Modificaciones!$B$7:$AB$2400,27,0))</f>
        <v/>
      </c>
      <c r="U786" s="1080" t="str">
        <f>+Modificaciones!AC786</f>
        <v/>
      </c>
      <c r="V786" s="825" t="str">
        <f>+Modificaciones!AK786</f>
        <v/>
      </c>
      <c r="W786" s="825">
        <f t="shared" si="150"/>
        <v>43858</v>
      </c>
      <c r="X786" s="59">
        <f t="shared" si="149"/>
        <v>53864000</v>
      </c>
      <c r="Y786" s="151">
        <f>VLOOKUP(E786,Modificaciones!$B$7:$BE$2300,56,0)</f>
        <v>53864000</v>
      </c>
      <c r="Z786" s="84">
        <f t="shared" si="156"/>
        <v>0</v>
      </c>
      <c r="AA786" s="283" t="s">
        <v>1094</v>
      </c>
      <c r="AB786" s="823">
        <f t="shared" si="157"/>
        <v>1</v>
      </c>
      <c r="AC786" s="40">
        <f t="shared" ca="1" si="151"/>
        <v>1</v>
      </c>
      <c r="AD786" s="41">
        <f t="shared" ca="1" si="152"/>
        <v>0</v>
      </c>
      <c r="AE786" s="181" t="str">
        <f t="shared" ca="1" si="153"/>
        <v/>
      </c>
      <c r="AF786" s="42" t="str">
        <f t="shared" si="158"/>
        <v>SI</v>
      </c>
      <c r="AG786" s="732" t="s">
        <v>5773</v>
      </c>
      <c r="AH786" s="841" t="s">
        <v>1255</v>
      </c>
      <c r="AI786" s="152" t="s">
        <v>4946</v>
      </c>
      <c r="AJ786" s="838" t="s">
        <v>4879</v>
      </c>
      <c r="AK786" s="838" t="s">
        <v>561</v>
      </c>
      <c r="AL786" s="838" t="s">
        <v>5026</v>
      </c>
      <c r="AM786" s="838" t="s">
        <v>4916</v>
      </c>
      <c r="AN786" s="161" t="str">
        <f t="shared" ca="1" si="154"/>
        <v>TERMINO</v>
      </c>
      <c r="AO786" s="160" t="s">
        <v>582</v>
      </c>
      <c r="AP786" s="406" t="s">
        <v>391</v>
      </c>
      <c r="AQ786" s="819" t="str">
        <f>IFERROR(VLOOKUP(E786,'liquidaciones '!$B$2:$C$1048576,2,0),"NO")</f>
        <v>LIQUIDADO</v>
      </c>
      <c r="AR786" s="909" t="str">
        <f>IFERROR(VLOOKUP(E786,'liquidaciones '!$B$2:$I$1048576,8,0),"")</f>
        <v>JUAN DIEGO ESPITIA</v>
      </c>
      <c r="AS786" s="406"/>
      <c r="AT786" s="156" t="str">
        <f t="shared" ca="1" si="155"/>
        <v>SI</v>
      </c>
      <c r="AU786" s="156" t="s">
        <v>4805</v>
      </c>
      <c r="AV786" s="406" t="s">
        <v>5026</v>
      </c>
      <c r="AW786" s="930" t="s">
        <v>4178</v>
      </c>
      <c r="AX786" s="930" t="s">
        <v>5455</v>
      </c>
      <c r="AY786" s="275"/>
    </row>
    <row r="787" spans="3:51" ht="51" x14ac:dyDescent="0.3">
      <c r="C787" s="837">
        <v>203</v>
      </c>
      <c r="D787" s="837"/>
      <c r="E787" s="120" t="s">
        <v>4949</v>
      </c>
      <c r="F787" s="414" t="s">
        <v>4950</v>
      </c>
      <c r="G787" s="863">
        <v>19308642</v>
      </c>
      <c r="H787" s="969" t="s">
        <v>4951</v>
      </c>
      <c r="I787" s="84">
        <v>39752000</v>
      </c>
      <c r="J787" s="843" t="s">
        <v>4956</v>
      </c>
      <c r="K787" s="269">
        <v>2019</v>
      </c>
      <c r="L787" s="519">
        <v>43615</v>
      </c>
      <c r="M787" s="519">
        <v>43620</v>
      </c>
      <c r="N787" s="519">
        <v>43830</v>
      </c>
      <c r="O787" s="1099">
        <f>IF(+Modificaciones!I787=0,"",VLOOKUP(E787,Modificaciones!$B$7:$I$2400,8,0))</f>
        <v>43864</v>
      </c>
      <c r="P787" s="115">
        <f>COUNTA(Modificaciones!J787,Modificaciones!L787,Modificaciones!N787,Modificaciones!P787)</f>
        <v>0</v>
      </c>
      <c r="Q787" s="116">
        <f>VLOOKUP(E787,Modificaciones!$B$7:$R$2300,17,0)</f>
        <v>0</v>
      </c>
      <c r="R787" s="117">
        <f>COUNTA(Modificaciones!T787,Modificaciones!V787,Modificaciones!X787,Modificaciones!Z787)</f>
        <v>0</v>
      </c>
      <c r="S787" s="118" t="str">
        <f>IF(Modificaciones!AA787=0,"",VLOOKUP(E787,Modificaciones!$B$7:$AA$2400,26,0))</f>
        <v/>
      </c>
      <c r="T787" s="119" t="str">
        <f>IF(Modificaciones!AB787=0,"",VLOOKUP(E787,Modificaciones!$B$7:$AB$2400,27,0))</f>
        <v/>
      </c>
      <c r="U787" s="1080" t="str">
        <f>+Modificaciones!AC787</f>
        <v/>
      </c>
      <c r="V787" s="825" t="str">
        <f>+Modificaciones!AK787</f>
        <v/>
      </c>
      <c r="W787" s="825">
        <f t="shared" si="150"/>
        <v>43864</v>
      </c>
      <c r="X787" s="59">
        <f t="shared" si="149"/>
        <v>39752000</v>
      </c>
      <c r="Y787" s="151">
        <f>VLOOKUP(E787,Modificaciones!$B$7:$BE$2300,56,0)</f>
        <v>14410100</v>
      </c>
      <c r="Z787" s="84">
        <f t="shared" si="156"/>
        <v>25341900</v>
      </c>
      <c r="AA787" s="283" t="s">
        <v>1094</v>
      </c>
      <c r="AB787" s="823">
        <f t="shared" si="157"/>
        <v>0.36249999999999999</v>
      </c>
      <c r="AC787" s="40">
        <f t="shared" ca="1" si="151"/>
        <v>1</v>
      </c>
      <c r="AD787" s="41">
        <f t="shared" ca="1" si="152"/>
        <v>0.63749999999999996</v>
      </c>
      <c r="AE787" s="181" t="str">
        <f t="shared" ca="1" si="153"/>
        <v/>
      </c>
      <c r="AF787" s="42" t="str">
        <f t="shared" si="158"/>
        <v>NO</v>
      </c>
      <c r="AG787" s="732" t="s">
        <v>5773</v>
      </c>
      <c r="AH787" s="841" t="s">
        <v>1255</v>
      </c>
      <c r="AI787" s="152" t="s">
        <v>4952</v>
      </c>
      <c r="AJ787" s="838" t="s">
        <v>4873</v>
      </c>
      <c r="AK787" s="838" t="s">
        <v>560</v>
      </c>
      <c r="AL787" s="838"/>
      <c r="AM787" s="838" t="s">
        <v>4851</v>
      </c>
      <c r="AN787" s="161" t="str">
        <f t="shared" ca="1" si="154"/>
        <v>TERMINO</v>
      </c>
      <c r="AO787" s="160" t="s">
        <v>582</v>
      </c>
      <c r="AP787" s="406" t="s">
        <v>391</v>
      </c>
      <c r="AQ787" s="819" t="str">
        <f>IFERROR(VLOOKUP(E787,'liquidaciones '!$B$2:$C$1048576,2,0),"NO")</f>
        <v>NO</v>
      </c>
      <c r="AR787" s="909" t="str">
        <f>IFERROR(VLOOKUP(E787,'liquidaciones '!$B$2:$I$1048576,8,0),"")</f>
        <v/>
      </c>
      <c r="AS787" s="406"/>
      <c r="AT787" s="156" t="str">
        <f t="shared" ca="1" si="155"/>
        <v>SI</v>
      </c>
      <c r="AU787" s="999" t="s">
        <v>4805</v>
      </c>
      <c r="AV787" s="1001"/>
      <c r="AW787" s="930" t="s">
        <v>560</v>
      </c>
      <c r="AX787" s="930" t="s">
        <v>5460</v>
      </c>
      <c r="AY787" s="275"/>
    </row>
    <row r="788" spans="3:51" ht="51" x14ac:dyDescent="0.3">
      <c r="C788" s="837">
        <v>203</v>
      </c>
      <c r="D788" s="837"/>
      <c r="E788" s="120" t="s">
        <v>4953</v>
      </c>
      <c r="F788" s="414" t="s">
        <v>4954</v>
      </c>
      <c r="G788" s="863">
        <v>52557996</v>
      </c>
      <c r="H788" s="969" t="s">
        <v>4951</v>
      </c>
      <c r="I788" s="84">
        <v>39752000</v>
      </c>
      <c r="J788" s="843" t="s">
        <v>4953</v>
      </c>
      <c r="K788" s="269">
        <v>2019</v>
      </c>
      <c r="L788" s="519">
        <v>43616</v>
      </c>
      <c r="M788" s="519">
        <v>43620</v>
      </c>
      <c r="N788" s="519">
        <v>43830</v>
      </c>
      <c r="O788" s="1099" t="str">
        <f>IF(+Modificaciones!I788=0,"",VLOOKUP(E788,Modificaciones!$B$7:$I$2400,8,0))</f>
        <v/>
      </c>
      <c r="P788" s="115">
        <f>COUNTA(Modificaciones!J788,Modificaciones!L788,Modificaciones!N788,Modificaciones!P788)</f>
        <v>0</v>
      </c>
      <c r="Q788" s="116">
        <f>VLOOKUP(E788,Modificaciones!$B$7:$R$2300,17,0)</f>
        <v>0</v>
      </c>
      <c r="R788" s="117">
        <f>COUNTA(Modificaciones!T788,Modificaciones!V788,Modificaciones!X788,Modificaciones!Z788)</f>
        <v>0</v>
      </c>
      <c r="S788" s="118" t="str">
        <f>IF(Modificaciones!AA788=0,"",VLOOKUP(E788,Modificaciones!$B$7:$AA$2400,26,0))</f>
        <v/>
      </c>
      <c r="T788" s="119" t="str">
        <f>IF(Modificaciones!AB788=0,"",VLOOKUP(E788,Modificaciones!$B$7:$AB$2400,27,0))</f>
        <v/>
      </c>
      <c r="U788" s="1080" t="str">
        <f>+Modificaciones!AC788</f>
        <v/>
      </c>
      <c r="V788" s="825" t="str">
        <f>+Modificaciones!AK788</f>
        <v/>
      </c>
      <c r="W788" s="825">
        <f t="shared" si="150"/>
        <v>43830</v>
      </c>
      <c r="X788" s="59">
        <f t="shared" si="149"/>
        <v>39752000</v>
      </c>
      <c r="Y788" s="151">
        <f>VLOOKUP(E788,Modificaciones!$B$7:$BE$2300,56,0)</f>
        <v>9441100</v>
      </c>
      <c r="Z788" s="84">
        <f t="shared" si="156"/>
        <v>30310900</v>
      </c>
      <c r="AA788" s="283" t="s">
        <v>1094</v>
      </c>
      <c r="AB788" s="823">
        <f t="shared" si="157"/>
        <v>0.23749999999999999</v>
      </c>
      <c r="AC788" s="40">
        <f t="shared" ca="1" si="151"/>
        <v>1</v>
      </c>
      <c r="AD788" s="41">
        <f t="shared" ca="1" si="152"/>
        <v>0.76249999999999996</v>
      </c>
      <c r="AE788" s="181" t="str">
        <f t="shared" ca="1" si="153"/>
        <v/>
      </c>
      <c r="AF788" s="42" t="str">
        <f t="shared" si="158"/>
        <v>NO</v>
      </c>
      <c r="AG788" s="732" t="s">
        <v>5773</v>
      </c>
      <c r="AH788" s="841" t="s">
        <v>1255</v>
      </c>
      <c r="AI788" s="152" t="s">
        <v>4952</v>
      </c>
      <c r="AJ788" s="838" t="s">
        <v>4873</v>
      </c>
      <c r="AK788" s="838" t="s">
        <v>560</v>
      </c>
      <c r="AL788" s="838"/>
      <c r="AM788" s="838" t="s">
        <v>4851</v>
      </c>
      <c r="AN788" s="161" t="str">
        <f t="shared" ca="1" si="154"/>
        <v>TERMINO</v>
      </c>
      <c r="AO788" s="160" t="s">
        <v>582</v>
      </c>
      <c r="AP788" s="406" t="s">
        <v>391</v>
      </c>
      <c r="AQ788" s="819" t="str">
        <f>IFERROR(VLOOKUP(E788,'liquidaciones '!$B$2:$C$1048576,2,0),"NO")</f>
        <v>NO</v>
      </c>
      <c r="AR788" s="909" t="str">
        <f>IFERROR(VLOOKUP(E788,'liquidaciones '!$B$2:$I$1048576,8,0),"")</f>
        <v/>
      </c>
      <c r="AS788" s="406"/>
      <c r="AT788" s="156" t="str">
        <f t="shared" ca="1" si="155"/>
        <v>SI</v>
      </c>
      <c r="AU788" s="1024" t="s">
        <v>4805</v>
      </c>
      <c r="AV788" s="1001"/>
      <c r="AW788" s="930" t="s">
        <v>560</v>
      </c>
      <c r="AX788" s="928"/>
      <c r="AY788" s="275"/>
    </row>
    <row r="789" spans="3:51" ht="61.2" x14ac:dyDescent="0.3">
      <c r="C789" s="837">
        <v>384</v>
      </c>
      <c r="D789" s="837"/>
      <c r="E789" s="120" t="s">
        <v>4957</v>
      </c>
      <c r="F789" s="414" t="s">
        <v>4958</v>
      </c>
      <c r="G789" s="863">
        <v>80796990</v>
      </c>
      <c r="H789" s="969" t="s">
        <v>4959</v>
      </c>
      <c r="I789" s="84">
        <v>33128000</v>
      </c>
      <c r="J789" s="843" t="s">
        <v>4957</v>
      </c>
      <c r="K789" s="269">
        <v>2019</v>
      </c>
      <c r="L789" s="519">
        <v>43613</v>
      </c>
      <c r="M789" s="519">
        <v>43620</v>
      </c>
      <c r="N789" s="519">
        <v>43830</v>
      </c>
      <c r="O789" s="1099">
        <f>IF(+Modificaciones!I789=0,"",VLOOKUP(E789,Modificaciones!$B$7:$I$2400,8,0))</f>
        <v>43864</v>
      </c>
      <c r="P789" s="115">
        <f>COUNTA(Modificaciones!J789,Modificaciones!L789,Modificaciones!N789,Modificaciones!P789)</f>
        <v>0</v>
      </c>
      <c r="Q789" s="116">
        <f>VLOOKUP(E789,Modificaciones!$B$7:$R$2300,17,0)</f>
        <v>0</v>
      </c>
      <c r="R789" s="117">
        <f>COUNTA(Modificaciones!T789,Modificaciones!V789,Modificaciones!X789,Modificaciones!Z789)</f>
        <v>0</v>
      </c>
      <c r="S789" s="118" t="str">
        <f>IF(Modificaciones!AA789=0,"",VLOOKUP(E789,Modificaciones!$B$7:$AA$2400,26,0))</f>
        <v/>
      </c>
      <c r="T789" s="119" t="str">
        <f>IF(Modificaciones!AB789=0,"",VLOOKUP(E789,Modificaciones!$B$7:$AB$2400,27,0))</f>
        <v/>
      </c>
      <c r="U789" s="1080" t="str">
        <f>+Modificaciones!AC789</f>
        <v/>
      </c>
      <c r="V789" s="825" t="str">
        <f>+Modificaciones!AK789</f>
        <v/>
      </c>
      <c r="W789" s="825">
        <f t="shared" si="150"/>
        <v>43864</v>
      </c>
      <c r="X789" s="59">
        <f t="shared" si="149"/>
        <v>33128000</v>
      </c>
      <c r="Y789" s="151">
        <f>VLOOKUP(E789,Modificaciones!$B$7:$BE$2300,56,0)</f>
        <v>33128000</v>
      </c>
      <c r="Z789" s="84">
        <f t="shared" si="156"/>
        <v>0</v>
      </c>
      <c r="AA789" s="283" t="s">
        <v>1094</v>
      </c>
      <c r="AB789" s="823">
        <f t="shared" si="157"/>
        <v>1</v>
      </c>
      <c r="AC789" s="40">
        <f t="shared" ca="1" si="151"/>
        <v>1</v>
      </c>
      <c r="AD789" s="41">
        <f t="shared" ca="1" si="152"/>
        <v>0</v>
      </c>
      <c r="AE789" s="181" t="str">
        <f t="shared" ca="1" si="153"/>
        <v/>
      </c>
      <c r="AF789" s="42" t="str">
        <f t="shared" si="158"/>
        <v>SI</v>
      </c>
      <c r="AG789" s="732" t="s">
        <v>5773</v>
      </c>
      <c r="AH789" s="841" t="s">
        <v>1255</v>
      </c>
      <c r="AI789" s="152" t="s">
        <v>4960</v>
      </c>
      <c r="AJ789" s="152" t="s">
        <v>1429</v>
      </c>
      <c r="AK789" s="255" t="s">
        <v>564</v>
      </c>
      <c r="AL789" s="838"/>
      <c r="AM789" s="838" t="s">
        <v>4247</v>
      </c>
      <c r="AN789" s="161" t="str">
        <f t="shared" ca="1" si="154"/>
        <v>TERMINO</v>
      </c>
      <c r="AO789" s="160" t="s">
        <v>582</v>
      </c>
      <c r="AP789" s="406" t="s">
        <v>391</v>
      </c>
      <c r="AQ789" s="819" t="str">
        <f>IFERROR(VLOOKUP(E789,'liquidaciones '!$B$2:$C$1048576,2,0),"NO")</f>
        <v>LIQUIDADO</v>
      </c>
      <c r="AR789" s="909" t="str">
        <f>IFERROR(VLOOKUP(E789,'liquidaciones '!$B$2:$I$1048576,8,0),"")</f>
        <v>LAURA CATALINA GUTIERREZ</v>
      </c>
      <c r="AS789" s="406"/>
      <c r="AT789" s="156" t="str">
        <f t="shared" ca="1" si="155"/>
        <v>SI</v>
      </c>
      <c r="AU789" s="1025" t="s">
        <v>4805</v>
      </c>
      <c r="AV789" s="1001"/>
      <c r="AW789" s="930" t="s">
        <v>3920</v>
      </c>
      <c r="AX789" s="930" t="s">
        <v>5461</v>
      </c>
      <c r="AY789" s="928"/>
    </row>
    <row r="790" spans="3:51" ht="40.799999999999997" x14ac:dyDescent="0.3">
      <c r="C790" s="837">
        <v>219</v>
      </c>
      <c r="D790" s="837"/>
      <c r="E790" s="120" t="s">
        <v>4961</v>
      </c>
      <c r="F790" s="414" t="s">
        <v>4962</v>
      </c>
      <c r="G790" s="863">
        <v>39812526</v>
      </c>
      <c r="H790" s="969" t="s">
        <v>3016</v>
      </c>
      <c r="I790" s="84">
        <v>32406000</v>
      </c>
      <c r="J790" s="843" t="s">
        <v>4961</v>
      </c>
      <c r="K790" s="269">
        <v>2019</v>
      </c>
      <c r="L790" s="519">
        <v>43620</v>
      </c>
      <c r="M790" s="519">
        <v>43622</v>
      </c>
      <c r="N790" s="519">
        <v>43804</v>
      </c>
      <c r="O790" s="1099" t="str">
        <f>IF(+Modificaciones!I790=0,"",VLOOKUP(E790,Modificaciones!$B$7:$I$2400,8,0))</f>
        <v/>
      </c>
      <c r="P790" s="115">
        <f>COUNTA(Modificaciones!J790,Modificaciones!L790,Modificaciones!N790,Modificaciones!P790)</f>
        <v>1</v>
      </c>
      <c r="Q790" s="116">
        <f>VLOOKUP(E790,Modificaciones!$B$7:$R$2300,17,0)</f>
        <v>5401000</v>
      </c>
      <c r="R790" s="117">
        <f>COUNTA(Modificaciones!T790,Modificaciones!V790,Modificaciones!X790,Modificaciones!Z790)</f>
        <v>1</v>
      </c>
      <c r="S790" s="118" t="str">
        <f>IF(Modificaciones!AA790=0,"",VLOOKUP(E790,Modificaciones!$B$7:$AA$2400,26,0))</f>
        <v>1 mes</v>
      </c>
      <c r="T790" s="119">
        <f>IF(Modificaciones!AB790=0,"",VLOOKUP(E790,Modificaciones!$B$7:$AB$2400,27,0))</f>
        <v>43843</v>
      </c>
      <c r="U790" s="1080" t="str">
        <f>+Modificaciones!AC790</f>
        <v/>
      </c>
      <c r="V790" s="825" t="str">
        <f>+Modificaciones!AK790</f>
        <v/>
      </c>
      <c r="W790" s="825">
        <f t="shared" si="150"/>
        <v>43843</v>
      </c>
      <c r="X790" s="59">
        <f t="shared" si="149"/>
        <v>37807000</v>
      </c>
      <c r="Y790" s="151">
        <f>VLOOKUP(E790,Modificaciones!$B$7:$BE$2300,56,0)</f>
        <v>37626966</v>
      </c>
      <c r="Z790" s="84">
        <f t="shared" si="156"/>
        <v>180034</v>
      </c>
      <c r="AA790" s="283" t="s">
        <v>1094</v>
      </c>
      <c r="AB790" s="823">
        <f t="shared" si="157"/>
        <v>0.99523807760467642</v>
      </c>
      <c r="AC790" s="40">
        <f t="shared" ca="1" si="151"/>
        <v>1</v>
      </c>
      <c r="AD790" s="41">
        <f t="shared" ca="1" si="152"/>
        <v>4.7619223953235812E-3</v>
      </c>
      <c r="AE790" s="181" t="str">
        <f t="shared" ca="1" si="153"/>
        <v/>
      </c>
      <c r="AF790" s="42" t="str">
        <f t="shared" si="158"/>
        <v>NO</v>
      </c>
      <c r="AG790" s="732" t="s">
        <v>5773</v>
      </c>
      <c r="AH790" s="841" t="s">
        <v>1255</v>
      </c>
      <c r="AI790" s="152" t="s">
        <v>4963</v>
      </c>
      <c r="AJ790" s="838" t="s">
        <v>4964</v>
      </c>
      <c r="AK790" s="838" t="s">
        <v>562</v>
      </c>
      <c r="AL790" s="838"/>
      <c r="AM790" s="838" t="s">
        <v>4965</v>
      </c>
      <c r="AN790" s="161" t="str">
        <f t="shared" ca="1" si="154"/>
        <v>TERMINO</v>
      </c>
      <c r="AO790" s="160" t="s">
        <v>582</v>
      </c>
      <c r="AP790" s="406" t="s">
        <v>391</v>
      </c>
      <c r="AQ790" s="819" t="str">
        <f>IFERROR(VLOOKUP(E790,'liquidaciones '!$B$2:$C$1048576,2,0),"NO")</f>
        <v>NO</v>
      </c>
      <c r="AR790" s="909" t="str">
        <f>IFERROR(VLOOKUP(E790,'liquidaciones '!$B$2:$I$1048576,8,0),"")</f>
        <v/>
      </c>
      <c r="AS790" s="406"/>
      <c r="AT790" s="156" t="str">
        <f t="shared" ca="1" si="155"/>
        <v>SI</v>
      </c>
      <c r="AU790" s="1025" t="s">
        <v>4805</v>
      </c>
      <c r="AV790" s="1001"/>
      <c r="AW790" s="930" t="s">
        <v>3985</v>
      </c>
      <c r="AX790" s="930" t="s">
        <v>5433</v>
      </c>
      <c r="AY790" s="928"/>
    </row>
    <row r="791" spans="3:51" ht="39.75" customHeight="1" x14ac:dyDescent="0.3">
      <c r="C791" s="837">
        <v>46</v>
      </c>
      <c r="D791" s="837"/>
      <c r="E791" s="120" t="s">
        <v>4966</v>
      </c>
      <c r="F791" s="414" t="s">
        <v>4967</v>
      </c>
      <c r="G791" s="863">
        <v>900697272</v>
      </c>
      <c r="H791" s="969" t="s">
        <v>4968</v>
      </c>
      <c r="I791" s="84">
        <v>15219000</v>
      </c>
      <c r="J791" s="843" t="s">
        <v>4971</v>
      </c>
      <c r="K791" s="269">
        <v>2019</v>
      </c>
      <c r="L791" s="519">
        <v>43613</v>
      </c>
      <c r="M791" s="519">
        <v>43626</v>
      </c>
      <c r="N791" s="519">
        <v>43686</v>
      </c>
      <c r="O791" s="1099" t="str">
        <f>IF(+Modificaciones!I791=0,"",VLOOKUP(E791,Modificaciones!$B$7:$I$2400,8,0))</f>
        <v/>
      </c>
      <c r="P791" s="115">
        <f>COUNTA(Modificaciones!J791,Modificaciones!L791,Modificaciones!N791,Modificaciones!P791)</f>
        <v>0</v>
      </c>
      <c r="Q791" s="116">
        <f>VLOOKUP(E791,Modificaciones!$B$7:$R$2300,17,0)</f>
        <v>0</v>
      </c>
      <c r="R791" s="117">
        <f>COUNTA(Modificaciones!T791,Modificaciones!V791,Modificaciones!X791,Modificaciones!Z791)</f>
        <v>1</v>
      </c>
      <c r="S791" s="118" t="str">
        <f>IF(Modificaciones!AA791=0,"",VLOOKUP(E791,Modificaciones!$B$7:$AA$2400,26,0))</f>
        <v>30 días</v>
      </c>
      <c r="T791" s="119">
        <f>IF(Modificaciones!AB791=0,"",VLOOKUP(E791,Modificaciones!$B$7:$AB$2400,27,0))</f>
        <v>43717</v>
      </c>
      <c r="U791" s="1080" t="str">
        <f>+Modificaciones!AC791</f>
        <v/>
      </c>
      <c r="V791" s="825" t="str">
        <f>+Modificaciones!AK791</f>
        <v/>
      </c>
      <c r="W791" s="825">
        <f t="shared" si="150"/>
        <v>43717</v>
      </c>
      <c r="X791" s="59">
        <f t="shared" si="149"/>
        <v>15219000</v>
      </c>
      <c r="Y791" s="151">
        <f>VLOOKUP(E791,Modificaciones!$B$7:$BE$2300,56,0)</f>
        <v>15219000</v>
      </c>
      <c r="Z791" s="84">
        <f t="shared" ref="Z791:Z796" si="159">X791-Y791</f>
        <v>0</v>
      </c>
      <c r="AA791" s="283" t="s">
        <v>1894</v>
      </c>
      <c r="AB791" s="823">
        <f t="shared" ref="AB791:AB796" si="160">(Y791*100%)/X791</f>
        <v>1</v>
      </c>
      <c r="AC791" s="40">
        <f t="shared" ca="1" si="151"/>
        <v>1</v>
      </c>
      <c r="AD791" s="41">
        <f t="shared" ca="1" si="152"/>
        <v>0</v>
      </c>
      <c r="AE791" s="181" t="str">
        <f t="shared" ca="1" si="153"/>
        <v/>
      </c>
      <c r="AF791" s="42" t="str">
        <f t="shared" ref="AF791:AF796" si="161">IF(AB791&lt;=99.9%,"NO","SI")</f>
        <v>SI</v>
      </c>
      <c r="AG791" s="1026" t="s">
        <v>1711</v>
      </c>
      <c r="AH791" s="841" t="s">
        <v>1255</v>
      </c>
      <c r="AI791" s="841" t="s">
        <v>4969</v>
      </c>
      <c r="AJ791" s="838" t="s">
        <v>4873</v>
      </c>
      <c r="AK791" s="838" t="s">
        <v>560</v>
      </c>
      <c r="AL791" s="838" t="s">
        <v>4624</v>
      </c>
      <c r="AM791" s="838" t="s">
        <v>4851</v>
      </c>
      <c r="AN791" s="161" t="str">
        <f t="shared" ca="1" si="154"/>
        <v>TERMINO</v>
      </c>
      <c r="AO791" s="414" t="s">
        <v>2901</v>
      </c>
      <c r="AP791" s="406" t="s">
        <v>391</v>
      </c>
      <c r="AQ791" s="819" t="str">
        <f>IFERROR(VLOOKUP(E791,'liquidaciones '!$B$2:$C$1048576,2,0),"NO")</f>
        <v>LIQUIDADO</v>
      </c>
      <c r="AR791" s="909" t="str">
        <f>IFERROR(VLOOKUP(E791,'liquidaciones '!$B$2:$I$1048576,8,0),"")</f>
        <v>JUAN DIEGO ESPÍTIA</v>
      </c>
      <c r="AS791" s="406"/>
      <c r="AT791" s="156" t="str">
        <f t="shared" ca="1" si="155"/>
        <v>SI</v>
      </c>
      <c r="AU791" s="1007" t="s">
        <v>4299</v>
      </c>
      <c r="AV791" s="1001"/>
      <c r="AW791" s="930" t="s">
        <v>560</v>
      </c>
      <c r="AX791" s="930" t="s">
        <v>5183</v>
      </c>
      <c r="AY791" s="928"/>
    </row>
    <row r="792" spans="3:51" ht="51" x14ac:dyDescent="0.3">
      <c r="C792" s="837">
        <v>213</v>
      </c>
      <c r="D792" s="837"/>
      <c r="E792" s="120" t="s">
        <v>4973</v>
      </c>
      <c r="F792" s="414" t="s">
        <v>4974</v>
      </c>
      <c r="G792" s="863">
        <v>900183528</v>
      </c>
      <c r="H792" s="969" t="s">
        <v>4982</v>
      </c>
      <c r="I792" s="84">
        <v>428000000</v>
      </c>
      <c r="J792" s="843" t="s">
        <v>4976</v>
      </c>
      <c r="K792" s="269">
        <v>2019</v>
      </c>
      <c r="L792" s="519">
        <v>43626</v>
      </c>
      <c r="M792" s="519">
        <v>43633</v>
      </c>
      <c r="N792" s="519">
        <v>43937</v>
      </c>
      <c r="O792" s="1099" t="str">
        <f>IF(+Modificaciones!I792=0,"",VLOOKUP(E792,Modificaciones!$B$7:$I$2400,8,0))</f>
        <v/>
      </c>
      <c r="P792" s="115">
        <f>COUNTA(Modificaciones!J792,Modificaciones!L792,Modificaciones!N792,Modificaciones!P792)</f>
        <v>2</v>
      </c>
      <c r="Q792" s="116">
        <f>VLOOKUP(E792,Modificaciones!$B$7:$R$2300,17,0)</f>
        <v>82054392</v>
      </c>
      <c r="R792" s="117">
        <f>COUNTA(Modificaciones!T792,Modificaciones!V792,Modificaciones!X792,Modificaciones!Z792)</f>
        <v>2</v>
      </c>
      <c r="S792" s="118" t="str">
        <f>IF(Modificaciones!AA792=0,"",VLOOKUP(E792,Modificaciones!$B$7:$AA$2400,26,0))</f>
        <v>4 meses</v>
      </c>
      <c r="T792" s="119">
        <f>IF(Modificaciones!AB792=0,"",VLOOKUP(E792,Modificaciones!$B$7:$AB$2400,27,0))</f>
        <v>44059</v>
      </c>
      <c r="U792" s="1080" t="str">
        <f>+Modificaciones!AC792</f>
        <v/>
      </c>
      <c r="V792" s="825" t="str">
        <f>+Modificaciones!AK792</f>
        <v/>
      </c>
      <c r="W792" s="825">
        <f t="shared" si="150"/>
        <v>44059</v>
      </c>
      <c r="X792" s="59">
        <f t="shared" si="149"/>
        <v>510054392</v>
      </c>
      <c r="Y792" s="151">
        <f>VLOOKUP(E792,Modificaciones!$B$7:$BE$2300,56,0)</f>
        <v>409099312</v>
      </c>
      <c r="Z792" s="84">
        <f t="shared" si="159"/>
        <v>100955080</v>
      </c>
      <c r="AA792" s="1000" t="s">
        <v>1877</v>
      </c>
      <c r="AB792" s="823">
        <f t="shared" si="160"/>
        <v>0.80206997217661447</v>
      </c>
      <c r="AC792" s="40">
        <f t="shared" ca="1" si="151"/>
        <v>1</v>
      </c>
      <c r="AD792" s="41">
        <f t="shared" ca="1" si="152"/>
        <v>0.19793002782338553</v>
      </c>
      <c r="AE792" s="181" t="str">
        <f t="shared" ca="1" si="153"/>
        <v/>
      </c>
      <c r="AF792" s="42" t="str">
        <f t="shared" si="161"/>
        <v>NO</v>
      </c>
      <c r="AG792" s="1017" t="s">
        <v>4920</v>
      </c>
      <c r="AH792" s="841" t="s">
        <v>1255</v>
      </c>
      <c r="AI792" s="841" t="s">
        <v>1137</v>
      </c>
      <c r="AJ792" s="152" t="s">
        <v>1441</v>
      </c>
      <c r="AK792" s="255" t="s">
        <v>560</v>
      </c>
      <c r="AL792" s="153" t="s">
        <v>1378</v>
      </c>
      <c r="AM792" s="838" t="s">
        <v>4851</v>
      </c>
      <c r="AN792" s="161" t="str">
        <f t="shared" ca="1" si="154"/>
        <v>TERMINO</v>
      </c>
      <c r="AO792" s="414" t="s">
        <v>4975</v>
      </c>
      <c r="AP792" s="406" t="s">
        <v>390</v>
      </c>
      <c r="AQ792" s="819" t="str">
        <f>IFERROR(VLOOKUP(E792,'liquidaciones '!$B$2:$C$1048576,2,0),"NO")</f>
        <v>NO</v>
      </c>
      <c r="AR792" s="909" t="str">
        <f>IFERROR(VLOOKUP(E792,'liquidaciones '!$B$2:$I$1048576,8,0),"")</f>
        <v/>
      </c>
      <c r="AS792" s="406"/>
      <c r="AT792" s="156" t="str">
        <f t="shared" ca="1" si="155"/>
        <v>SI</v>
      </c>
      <c r="AU792" s="156" t="s">
        <v>4245</v>
      </c>
      <c r="AV792" s="406" t="s">
        <v>1378</v>
      </c>
      <c r="AW792" s="930" t="s">
        <v>560</v>
      </c>
      <c r="AX792" s="930" t="s">
        <v>6046</v>
      </c>
      <c r="AY792" s="930" t="s">
        <v>5792</v>
      </c>
    </row>
    <row r="793" spans="3:51" ht="91.8" x14ac:dyDescent="0.3">
      <c r="C793" s="837">
        <v>47</v>
      </c>
      <c r="D793" s="837"/>
      <c r="E793" s="120" t="s">
        <v>4986</v>
      </c>
      <c r="F793" s="414" t="s">
        <v>2007</v>
      </c>
      <c r="G793" s="863" t="s">
        <v>2474</v>
      </c>
      <c r="H793" s="969" t="s">
        <v>4987</v>
      </c>
      <c r="I793" s="84">
        <v>119900000</v>
      </c>
      <c r="J793" s="843" t="s">
        <v>4988</v>
      </c>
      <c r="K793" s="269">
        <v>2019</v>
      </c>
      <c r="L793" s="519">
        <v>43627</v>
      </c>
      <c r="M793" s="519">
        <v>43635</v>
      </c>
      <c r="N793" s="519">
        <v>43923</v>
      </c>
      <c r="O793" s="1099" t="str">
        <f>IF(+Modificaciones!I793=0,"",VLOOKUP(E793,Modificaciones!$B$7:$I$2400,8,0))</f>
        <v/>
      </c>
      <c r="P793" s="115">
        <f>COUNTA(Modificaciones!J793,Modificaciones!L793,Modificaciones!N793,Modificaciones!P793)</f>
        <v>0</v>
      </c>
      <c r="Q793" s="116">
        <f>VLOOKUP(E793,Modificaciones!$B$7:$R$2300,17,0)</f>
        <v>0</v>
      </c>
      <c r="R793" s="117">
        <f>COUNTA(Modificaciones!T793,Modificaciones!V793,Modificaciones!X793,Modificaciones!Z793)</f>
        <v>4</v>
      </c>
      <c r="S793" s="118" t="str">
        <f>IF(Modificaciones!AA793=0,"",VLOOKUP(E793,Modificaciones!$B$7:$AA$2400,26,0))</f>
        <v>7 meses y 17 días</v>
      </c>
      <c r="T793" s="119">
        <f>IF(Modificaciones!AB793=0,"",VLOOKUP(E793,Modificaciones!$B$7:$AB$2400,27,0))</f>
        <v>44183</v>
      </c>
      <c r="U793" s="1080" t="str">
        <f>+Modificaciones!AC793</f>
        <v/>
      </c>
      <c r="V793" s="825" t="str">
        <f>+Modificaciones!AK793</f>
        <v/>
      </c>
      <c r="W793" s="825">
        <f t="shared" si="150"/>
        <v>44183</v>
      </c>
      <c r="X793" s="59">
        <f t="shared" si="149"/>
        <v>119900000</v>
      </c>
      <c r="Y793" s="151">
        <f>VLOOKUP(E793,Modificaciones!$B$7:$BE$2300,56,0)</f>
        <v>82382802</v>
      </c>
      <c r="Z793" s="84">
        <f t="shared" si="159"/>
        <v>37517198</v>
      </c>
      <c r="AA793" s="283" t="s">
        <v>1094</v>
      </c>
      <c r="AB793" s="823">
        <f t="shared" si="160"/>
        <v>0.68709592994161806</v>
      </c>
      <c r="AC793" s="40">
        <f t="shared" ca="1" si="151"/>
        <v>1</v>
      </c>
      <c r="AD793" s="41">
        <f t="shared" ca="1" si="152"/>
        <v>0.31290407005838194</v>
      </c>
      <c r="AE793" s="181" t="str">
        <f t="shared" ca="1" si="153"/>
        <v/>
      </c>
      <c r="AF793" s="42" t="str">
        <f t="shared" si="161"/>
        <v>NO</v>
      </c>
      <c r="AG793" s="1017" t="s">
        <v>4920</v>
      </c>
      <c r="AH793" s="841" t="s">
        <v>1255</v>
      </c>
      <c r="AI793" s="841" t="s">
        <v>4989</v>
      </c>
      <c r="AJ793" s="152" t="s">
        <v>1441</v>
      </c>
      <c r="AK793" s="255" t="s">
        <v>560</v>
      </c>
      <c r="AL793" s="838" t="s">
        <v>4624</v>
      </c>
      <c r="AM793" s="838" t="s">
        <v>4851</v>
      </c>
      <c r="AN793" s="161" t="str">
        <f t="shared" ca="1" si="154"/>
        <v>TERMINO</v>
      </c>
      <c r="AO793" s="414" t="s">
        <v>4975</v>
      </c>
      <c r="AP793" s="406" t="s">
        <v>390</v>
      </c>
      <c r="AQ793" s="819" t="str">
        <f>IFERROR(VLOOKUP(E793,'liquidaciones '!$B$2:$C$1048576,2,0),"NO")</f>
        <v>NO</v>
      </c>
      <c r="AR793" s="909" t="str">
        <f>IFERROR(VLOOKUP(E793,'liquidaciones '!$B$2:$I$1048576,8,0),"")</f>
        <v/>
      </c>
      <c r="AS793" s="406"/>
      <c r="AT793" s="156" t="str">
        <f t="shared" ca="1" si="155"/>
        <v>SI</v>
      </c>
      <c r="AU793" s="1007" t="s">
        <v>5047</v>
      </c>
      <c r="AV793" s="406" t="s">
        <v>4624</v>
      </c>
      <c r="AW793" s="930" t="s">
        <v>560</v>
      </c>
      <c r="AX793" s="930" t="s">
        <v>6481</v>
      </c>
      <c r="AY793" s="930" t="s">
        <v>6522</v>
      </c>
    </row>
    <row r="794" spans="3:51" ht="40.799999999999997" x14ac:dyDescent="0.3">
      <c r="C794" s="837">
        <v>359</v>
      </c>
      <c r="D794" s="837"/>
      <c r="E794" s="120" t="s">
        <v>4990</v>
      </c>
      <c r="F794" s="414" t="s">
        <v>4991</v>
      </c>
      <c r="G794" s="863">
        <v>51673027</v>
      </c>
      <c r="H794" s="969" t="s">
        <v>4992</v>
      </c>
      <c r="I794" s="84">
        <v>8239957</v>
      </c>
      <c r="J794" s="843" t="s">
        <v>4990</v>
      </c>
      <c r="K794" s="269">
        <v>2019</v>
      </c>
      <c r="L794" s="519">
        <v>43630</v>
      </c>
      <c r="M794" s="519">
        <v>43636</v>
      </c>
      <c r="N794" s="519">
        <v>43817</v>
      </c>
      <c r="O794" s="1099" t="str">
        <f>IF(+Modificaciones!I794=0,"",VLOOKUP(E794,Modificaciones!$B$7:$I$2400,8,0))</f>
        <v/>
      </c>
      <c r="P794" s="115">
        <f>COUNTA(Modificaciones!J794,Modificaciones!L794,Modificaciones!N794,Modificaciones!P794)</f>
        <v>1</v>
      </c>
      <c r="Q794" s="116">
        <f>VLOOKUP(E794,Modificaciones!$B$7:$R$2300,17,0)</f>
        <v>2762000</v>
      </c>
      <c r="R794" s="117">
        <f>COUNTA(Modificaciones!T794,Modificaciones!V794,Modificaciones!X794,Modificaciones!Z794)</f>
        <v>1</v>
      </c>
      <c r="S794" s="118" t="str">
        <f>IF(Modificaciones!AA794=0,"",VLOOKUP(E794,Modificaciones!$B$7:$AA$2400,26,0))</f>
        <v>2 meses</v>
      </c>
      <c r="T794" s="119">
        <f>IF(Modificaciones!AB794=0,"",VLOOKUP(E794,Modificaciones!$B$7:$AB$2400,27,0))</f>
        <v>43879</v>
      </c>
      <c r="U794" s="1080" t="str">
        <f>+Modificaciones!AC794</f>
        <v/>
      </c>
      <c r="V794" s="825" t="str">
        <f>+Modificaciones!AK794</f>
        <v/>
      </c>
      <c r="W794" s="825">
        <f t="shared" si="150"/>
        <v>43879</v>
      </c>
      <c r="X794" s="59">
        <f t="shared" si="149"/>
        <v>11001957</v>
      </c>
      <c r="Y794" s="151">
        <f>VLOOKUP(E794,Modificaciones!$B$7:$BE$2300,56,0)</f>
        <v>11001957</v>
      </c>
      <c r="Z794" s="84">
        <f t="shared" si="159"/>
        <v>0</v>
      </c>
      <c r="AA794" s="283" t="s">
        <v>1094</v>
      </c>
      <c r="AB794" s="823">
        <f t="shared" si="160"/>
        <v>1</v>
      </c>
      <c r="AC794" s="40">
        <f t="shared" ca="1" si="151"/>
        <v>1</v>
      </c>
      <c r="AD794" s="41">
        <f t="shared" ca="1" si="152"/>
        <v>0</v>
      </c>
      <c r="AE794" s="181" t="str">
        <f t="shared" ca="1" si="153"/>
        <v/>
      </c>
      <c r="AF794" s="42" t="str">
        <f t="shared" si="161"/>
        <v>SI</v>
      </c>
      <c r="AG794" s="732" t="s">
        <v>5773</v>
      </c>
      <c r="AH794" s="841" t="s">
        <v>1255</v>
      </c>
      <c r="AI794" s="152" t="s">
        <v>4993</v>
      </c>
      <c r="AJ794" s="838" t="s">
        <v>1435</v>
      </c>
      <c r="AK794" s="838" t="s">
        <v>561</v>
      </c>
      <c r="AL794" s="838" t="s">
        <v>5026</v>
      </c>
      <c r="AM794" s="414" t="s">
        <v>4916</v>
      </c>
      <c r="AN794" s="161" t="str">
        <f t="shared" ca="1" si="154"/>
        <v>TERMINO</v>
      </c>
      <c r="AO794" s="160" t="s">
        <v>582</v>
      </c>
      <c r="AP794" s="406" t="s">
        <v>391</v>
      </c>
      <c r="AQ794" s="819" t="str">
        <f>IFERROR(VLOOKUP(E794,'liquidaciones '!$B$2:$C$1048576,2,0),"NO")</f>
        <v>EN TRÁMITE</v>
      </c>
      <c r="AR794" s="909" t="str">
        <f>IFERROR(VLOOKUP(E794,'liquidaciones '!$B$2:$I$1048576,8,0),"")</f>
        <v>LAURA VELANDIA</v>
      </c>
      <c r="AS794" s="406"/>
      <c r="AT794" s="156" t="str">
        <f t="shared" ca="1" si="155"/>
        <v>SI</v>
      </c>
      <c r="AU794" s="1007" t="s">
        <v>4805</v>
      </c>
      <c r="AV794" s="406" t="s">
        <v>5026</v>
      </c>
      <c r="AW794" s="930" t="s">
        <v>4178</v>
      </c>
      <c r="AX794" s="930" t="s">
        <v>6301</v>
      </c>
      <c r="AY794" s="928"/>
    </row>
    <row r="795" spans="3:51" ht="51" x14ac:dyDescent="0.3">
      <c r="C795" s="837">
        <v>396</v>
      </c>
      <c r="D795" s="837"/>
      <c r="E795" s="120" t="s">
        <v>4994</v>
      </c>
      <c r="F795" s="414" t="s">
        <v>4995</v>
      </c>
      <c r="G795" s="863">
        <v>51157724</v>
      </c>
      <c r="H795" s="969" t="s">
        <v>4996</v>
      </c>
      <c r="I795" s="84">
        <v>33054000</v>
      </c>
      <c r="J795" s="843" t="s">
        <v>4994</v>
      </c>
      <c r="K795" s="269">
        <v>2019</v>
      </c>
      <c r="L795" s="519">
        <v>43630</v>
      </c>
      <c r="M795" s="519">
        <v>43636</v>
      </c>
      <c r="N795" s="519">
        <v>43818</v>
      </c>
      <c r="O795" s="1099" t="str">
        <f>IF(+Modificaciones!I795=0,"",VLOOKUP(E795,Modificaciones!$B$7:$I$2400,8,0))</f>
        <v/>
      </c>
      <c r="P795" s="115">
        <f>COUNTA(Modificaciones!J795,Modificaciones!L795,Modificaciones!N795,Modificaciones!P795)</f>
        <v>1</v>
      </c>
      <c r="Q795" s="116">
        <f>VLOOKUP(E795,Modificaciones!$B$7:$R$2300,17,0)</f>
        <v>11018000</v>
      </c>
      <c r="R795" s="117">
        <f>COUNTA(Modificaciones!T795,Modificaciones!V795,Modificaciones!X795,Modificaciones!Z795)</f>
        <v>1</v>
      </c>
      <c r="S795" s="118" t="str">
        <f>IF(Modificaciones!AA795=0,"",VLOOKUP(E795,Modificaciones!$B$7:$AA$2400,26,0))</f>
        <v>2 meses</v>
      </c>
      <c r="T795" s="119">
        <f>IF(Modificaciones!AB795=0,"",VLOOKUP(E795,Modificaciones!$B$7:$AB$2400,27,0))</f>
        <v>43880</v>
      </c>
      <c r="U795" s="1080" t="str">
        <f>+Modificaciones!AC795</f>
        <v/>
      </c>
      <c r="V795" s="825" t="str">
        <f>+Modificaciones!AK795</f>
        <v/>
      </c>
      <c r="W795" s="825">
        <f t="shared" si="150"/>
        <v>43880</v>
      </c>
      <c r="X795" s="59">
        <f t="shared" si="149"/>
        <v>44072000</v>
      </c>
      <c r="Y795" s="151">
        <f>VLOOKUP(E795,Modificaciones!$B$7:$BE$2300,56,0)</f>
        <v>44072000</v>
      </c>
      <c r="Z795" s="84">
        <f t="shared" si="159"/>
        <v>0</v>
      </c>
      <c r="AA795" s="283" t="s">
        <v>1094</v>
      </c>
      <c r="AB795" s="823">
        <f t="shared" si="160"/>
        <v>1</v>
      </c>
      <c r="AC795" s="40">
        <f t="shared" ca="1" si="151"/>
        <v>1</v>
      </c>
      <c r="AD795" s="41">
        <f t="shared" ca="1" si="152"/>
        <v>0</v>
      </c>
      <c r="AE795" s="181" t="str">
        <f t="shared" ca="1" si="153"/>
        <v/>
      </c>
      <c r="AF795" s="42" t="str">
        <f t="shared" si="161"/>
        <v>SI</v>
      </c>
      <c r="AG795" s="732" t="s">
        <v>5773</v>
      </c>
      <c r="AH795" s="841" t="s">
        <v>1255</v>
      </c>
      <c r="AI795" s="152" t="s">
        <v>4997</v>
      </c>
      <c r="AJ795" s="838" t="s">
        <v>4998</v>
      </c>
      <c r="AK795" s="838" t="s">
        <v>563</v>
      </c>
      <c r="AL795" s="838"/>
      <c r="AM795" s="838" t="s">
        <v>4999</v>
      </c>
      <c r="AN795" s="161" t="str">
        <f t="shared" ca="1" si="154"/>
        <v>TERMINO</v>
      </c>
      <c r="AO795" s="160" t="s">
        <v>582</v>
      </c>
      <c r="AP795" s="406" t="s">
        <v>391</v>
      </c>
      <c r="AQ795" s="819" t="str">
        <f>IFERROR(VLOOKUP(E795,'liquidaciones '!$B$2:$C$1048576,2,0),"NO")</f>
        <v>NO</v>
      </c>
      <c r="AR795" s="909" t="str">
        <f>IFERROR(VLOOKUP(E795,'liquidaciones '!$B$2:$I$1048576,8,0),"")</f>
        <v/>
      </c>
      <c r="AS795" s="406"/>
      <c r="AT795" s="156" t="str">
        <f t="shared" ca="1" si="155"/>
        <v>SI</v>
      </c>
      <c r="AU795" s="1027" t="s">
        <v>4805</v>
      </c>
      <c r="AV795" s="406"/>
      <c r="AW795" s="930" t="s">
        <v>5000</v>
      </c>
      <c r="AX795" s="930" t="s">
        <v>5442</v>
      </c>
      <c r="AY795" s="930" t="s">
        <v>5793</v>
      </c>
    </row>
    <row r="796" spans="3:51" ht="30.6" x14ac:dyDescent="0.3">
      <c r="C796" s="837">
        <v>391</v>
      </c>
      <c r="D796" s="837"/>
      <c r="E796" s="120" t="s">
        <v>5001</v>
      </c>
      <c r="F796" s="414" t="s">
        <v>5002</v>
      </c>
      <c r="G796" s="863">
        <v>1097638347</v>
      </c>
      <c r="H796" s="969" t="s">
        <v>5003</v>
      </c>
      <c r="I796" s="84">
        <v>10974000</v>
      </c>
      <c r="J796" s="843" t="s">
        <v>5001</v>
      </c>
      <c r="K796" s="269">
        <v>2019</v>
      </c>
      <c r="L796" s="519">
        <v>43630</v>
      </c>
      <c r="M796" s="519">
        <v>43634</v>
      </c>
      <c r="N796" s="519">
        <v>43816</v>
      </c>
      <c r="O796" s="1099" t="str">
        <f>IF(+Modificaciones!I796=0,"",VLOOKUP(E796,Modificaciones!$B$7:$I$2400,8,0))</f>
        <v/>
      </c>
      <c r="P796" s="115">
        <f>COUNTA(Modificaciones!J796,Modificaciones!L796,Modificaciones!N796,Modificaciones!P796)</f>
        <v>1</v>
      </c>
      <c r="Q796" s="116">
        <f>VLOOKUP(E796,Modificaciones!$B$7:$R$2300,17,0)</f>
        <v>3658000</v>
      </c>
      <c r="R796" s="117">
        <f>COUNTA(Modificaciones!T796,Modificaciones!V796,Modificaciones!X796,Modificaciones!Z796)</f>
        <v>1</v>
      </c>
      <c r="S796" s="118" t="str">
        <f>IF(Modificaciones!AA796=0,"",VLOOKUP(E796,Modificaciones!$B$7:$AA$2400,26,0))</f>
        <v>2 meses</v>
      </c>
      <c r="T796" s="119">
        <f>IF(Modificaciones!AB796=0,"",VLOOKUP(E796,Modificaciones!$B$7:$AB$2400,27,0))</f>
        <v>43878</v>
      </c>
      <c r="U796" s="1080" t="str">
        <f>+Modificaciones!AC796</f>
        <v/>
      </c>
      <c r="V796" s="825" t="str">
        <f>+Modificaciones!AK796</f>
        <v/>
      </c>
      <c r="W796" s="825">
        <f t="shared" si="150"/>
        <v>43878</v>
      </c>
      <c r="X796" s="59">
        <f t="shared" si="149"/>
        <v>14632000</v>
      </c>
      <c r="Y796" s="151">
        <f>VLOOKUP(E796,Modificaciones!$B$7:$BE$2300,56,0)</f>
        <v>14632000</v>
      </c>
      <c r="Z796" s="84">
        <f t="shared" si="159"/>
        <v>0</v>
      </c>
      <c r="AA796" s="283" t="s">
        <v>1094</v>
      </c>
      <c r="AB796" s="823">
        <f t="shared" si="160"/>
        <v>1</v>
      </c>
      <c r="AC796" s="40">
        <f t="shared" ca="1" si="151"/>
        <v>1</v>
      </c>
      <c r="AD796" s="41">
        <f t="shared" ca="1" si="152"/>
        <v>0</v>
      </c>
      <c r="AE796" s="181" t="str">
        <f t="shared" ca="1" si="153"/>
        <v/>
      </c>
      <c r="AF796" s="42" t="str">
        <f t="shared" si="161"/>
        <v>SI</v>
      </c>
      <c r="AG796" s="732" t="s">
        <v>5773</v>
      </c>
      <c r="AH796" s="841" t="s">
        <v>1255</v>
      </c>
      <c r="AI796" s="152" t="s">
        <v>5004</v>
      </c>
      <c r="AJ796" s="152" t="s">
        <v>1441</v>
      </c>
      <c r="AK796" s="255" t="s">
        <v>560</v>
      </c>
      <c r="AL796" s="838" t="s">
        <v>4624</v>
      </c>
      <c r="AM796" s="838" t="s">
        <v>4851</v>
      </c>
      <c r="AN796" s="161" t="str">
        <f t="shared" ca="1" si="154"/>
        <v>TERMINO</v>
      </c>
      <c r="AO796" s="160" t="s">
        <v>582</v>
      </c>
      <c r="AP796" s="406" t="s">
        <v>391</v>
      </c>
      <c r="AQ796" s="819" t="str">
        <f>IFERROR(VLOOKUP(E796,'liquidaciones '!$B$2:$C$1048576,2,0),"NO")</f>
        <v>LIQUIDADO</v>
      </c>
      <c r="AR796" s="909" t="str">
        <f>IFERROR(VLOOKUP(E796,'liquidaciones '!$B$2:$I$1048576,8,0),"")</f>
        <v>JUAN DIEGO ESPITIA</v>
      </c>
      <c r="AS796" s="406"/>
      <c r="AT796" s="156" t="str">
        <f t="shared" ca="1" si="155"/>
        <v>SI</v>
      </c>
      <c r="AU796" s="1028" t="s">
        <v>4805</v>
      </c>
      <c r="AV796" s="406" t="s">
        <v>4624</v>
      </c>
      <c r="AW796" s="930" t="s">
        <v>560</v>
      </c>
      <c r="AX796" s="930" t="s">
        <v>5445</v>
      </c>
      <c r="AY796" s="930" t="s">
        <v>5794</v>
      </c>
    </row>
    <row r="797" spans="3:51" ht="51" x14ac:dyDescent="0.3">
      <c r="C797" s="837">
        <v>381</v>
      </c>
      <c r="D797" s="837"/>
      <c r="E797" s="120" t="s">
        <v>5005</v>
      </c>
      <c r="F797" s="414" t="s">
        <v>5006</v>
      </c>
      <c r="G797" s="863">
        <v>79719529</v>
      </c>
      <c r="H797" s="969" t="s">
        <v>5007</v>
      </c>
      <c r="I797" s="84">
        <v>37807000</v>
      </c>
      <c r="J797" s="843" t="s">
        <v>5005</v>
      </c>
      <c r="K797" s="269">
        <v>2019</v>
      </c>
      <c r="L797" s="519">
        <v>43630</v>
      </c>
      <c r="M797" s="519">
        <v>43634</v>
      </c>
      <c r="N797" s="519">
        <v>43830</v>
      </c>
      <c r="O797" s="1099">
        <f>IF(+Modificaciones!I797=0,"",VLOOKUP(E797,Modificaciones!$B$7:$I$2400,8,0))</f>
        <v>43848</v>
      </c>
      <c r="P797" s="115">
        <f>COUNTA(Modificaciones!J797,Modificaciones!L797,Modificaciones!N797,Modificaciones!P797)</f>
        <v>0</v>
      </c>
      <c r="Q797" s="116">
        <f>VLOOKUP(E797,Modificaciones!$B$7:$R$2300,17,0)</f>
        <v>0</v>
      </c>
      <c r="R797" s="117">
        <f>COUNTA(Modificaciones!T797,Modificaciones!V797,Modificaciones!X797,Modificaciones!Z797)</f>
        <v>0</v>
      </c>
      <c r="S797" s="118" t="str">
        <f>IF(Modificaciones!AA797=0,"",VLOOKUP(E797,Modificaciones!$B$7:$AA$2400,26,0))</f>
        <v/>
      </c>
      <c r="T797" s="119" t="str">
        <f>IF(Modificaciones!AB797=0,"",VLOOKUP(E797,Modificaciones!$B$7:$AB$2400,27,0))</f>
        <v/>
      </c>
      <c r="U797" s="1080" t="str">
        <f>+Modificaciones!AC797</f>
        <v/>
      </c>
      <c r="V797" s="825" t="str">
        <f>+Modificaciones!AK797</f>
        <v/>
      </c>
      <c r="W797" s="825">
        <f t="shared" si="150"/>
        <v>43848</v>
      </c>
      <c r="X797" s="59">
        <f t="shared" si="149"/>
        <v>37807000</v>
      </c>
      <c r="Y797" s="151">
        <f>VLOOKUP(E797,Modificaciones!$B$7:$BE$2300,56,0)</f>
        <v>37807000</v>
      </c>
      <c r="Z797" s="84">
        <f t="shared" ref="Z797:Z860" si="162">X797-Y797</f>
        <v>0</v>
      </c>
      <c r="AA797" s="283" t="s">
        <v>1094</v>
      </c>
      <c r="AB797" s="823">
        <f t="shared" ref="AB797:AB860" si="163">(Y797*100%)/X797</f>
        <v>1</v>
      </c>
      <c r="AC797" s="40">
        <f t="shared" ca="1" si="151"/>
        <v>1</v>
      </c>
      <c r="AD797" s="41">
        <f t="shared" ca="1" si="152"/>
        <v>0</v>
      </c>
      <c r="AE797" s="181" t="str">
        <f t="shared" ca="1" si="153"/>
        <v/>
      </c>
      <c r="AF797" s="42" t="str">
        <f t="shared" ref="AF797:AF860" si="164">IF(AB797&lt;=99.9%,"NO","SI")</f>
        <v>SI</v>
      </c>
      <c r="AG797" s="732" t="s">
        <v>5773</v>
      </c>
      <c r="AH797" s="841" t="s">
        <v>1255</v>
      </c>
      <c r="AI797" s="152" t="s">
        <v>5008</v>
      </c>
      <c r="AJ797" s="152" t="s">
        <v>5009</v>
      </c>
      <c r="AK797" s="255" t="s">
        <v>559</v>
      </c>
      <c r="AL797" s="838"/>
      <c r="AM797" s="838" t="s">
        <v>4802</v>
      </c>
      <c r="AN797" s="161" t="str">
        <f t="shared" ca="1" si="154"/>
        <v>TERMINO</v>
      </c>
      <c r="AO797" s="160" t="s">
        <v>582</v>
      </c>
      <c r="AP797" s="406" t="s">
        <v>391</v>
      </c>
      <c r="AQ797" s="819" t="str">
        <f>IFERROR(VLOOKUP(E797,'liquidaciones '!$B$2:$C$1048576,2,0),"NO")</f>
        <v>EN TRÁMITE</v>
      </c>
      <c r="AR797" s="909" t="str">
        <f>IFERROR(VLOOKUP(E797,'liquidaciones '!$B$2:$I$1048576,8,0),"")</f>
        <v>ANNELADY GARCIA</v>
      </c>
      <c r="AS797" s="406"/>
      <c r="AT797" s="156" t="str">
        <f t="shared" ca="1" si="155"/>
        <v>SI</v>
      </c>
      <c r="AU797" s="1023" t="s">
        <v>4805</v>
      </c>
      <c r="AV797" s="406"/>
      <c r="AW797" s="930" t="s">
        <v>559</v>
      </c>
      <c r="AX797" s="930" t="s">
        <v>5463</v>
      </c>
      <c r="AY797" s="928"/>
    </row>
    <row r="798" spans="3:51" ht="28.8" x14ac:dyDescent="0.3">
      <c r="C798" s="837">
        <v>269</v>
      </c>
      <c r="D798" s="837"/>
      <c r="E798" s="120" t="s">
        <v>5010</v>
      </c>
      <c r="F798" s="414" t="s">
        <v>1748</v>
      </c>
      <c r="G798" s="863" t="s">
        <v>1771</v>
      </c>
      <c r="H798" s="969" t="s">
        <v>2980</v>
      </c>
      <c r="I798" s="84">
        <v>8210580</v>
      </c>
      <c r="J798" s="843" t="s">
        <v>5011</v>
      </c>
      <c r="K798" s="269">
        <v>2019</v>
      </c>
      <c r="L798" s="519">
        <v>43628</v>
      </c>
      <c r="M798" s="519">
        <v>43637</v>
      </c>
      <c r="N798" s="519">
        <v>43697</v>
      </c>
      <c r="O798" s="1099" t="str">
        <f>IF(+Modificaciones!I798=0,"",VLOOKUP(E798,Modificaciones!$B$7:$I$2400,8,0))</f>
        <v/>
      </c>
      <c r="P798" s="115">
        <f>COUNTA(Modificaciones!J798,Modificaciones!L798,Modificaciones!N798,Modificaciones!P798)</f>
        <v>0</v>
      </c>
      <c r="Q798" s="116">
        <f>VLOOKUP(E798,Modificaciones!$B$7:$R$2300,17,0)</f>
        <v>0</v>
      </c>
      <c r="R798" s="117">
        <f>COUNTA(Modificaciones!T798,Modificaciones!V798,Modificaciones!X798,Modificaciones!Z798)</f>
        <v>0</v>
      </c>
      <c r="S798" s="118" t="str">
        <f>IF(Modificaciones!AA798=0,"",VLOOKUP(E798,Modificaciones!$B$7:$AA$2400,26,0))</f>
        <v/>
      </c>
      <c r="T798" s="119" t="str">
        <f>IF(Modificaciones!AB798=0,"",VLOOKUP(E798,Modificaciones!$B$7:$AB$2400,27,0))</f>
        <v/>
      </c>
      <c r="U798" s="1080" t="str">
        <f>+Modificaciones!AC798</f>
        <v/>
      </c>
      <c r="V798" s="825" t="str">
        <f>+Modificaciones!AK798</f>
        <v/>
      </c>
      <c r="W798" s="825">
        <f t="shared" si="150"/>
        <v>43697</v>
      </c>
      <c r="X798" s="59">
        <f t="shared" si="149"/>
        <v>8210580</v>
      </c>
      <c r="Y798" s="151">
        <f>VLOOKUP(E798,Modificaciones!$B$7:$BE$2300,56,0)</f>
        <v>8210580</v>
      </c>
      <c r="Z798" s="84">
        <f t="shared" si="162"/>
        <v>0</v>
      </c>
      <c r="AA798" s="283" t="s">
        <v>1894</v>
      </c>
      <c r="AB798" s="823">
        <f t="shared" si="163"/>
        <v>1</v>
      </c>
      <c r="AC798" s="40">
        <f t="shared" ca="1" si="151"/>
        <v>1</v>
      </c>
      <c r="AD798" s="41">
        <f t="shared" ca="1" si="152"/>
        <v>0</v>
      </c>
      <c r="AE798" s="181" t="str">
        <f t="shared" ca="1" si="153"/>
        <v/>
      </c>
      <c r="AF798" s="42" t="str">
        <f t="shared" si="164"/>
        <v>SI</v>
      </c>
      <c r="AG798" s="1028" t="s">
        <v>1711</v>
      </c>
      <c r="AH798" s="841" t="s">
        <v>1256</v>
      </c>
      <c r="AI798" s="841" t="s">
        <v>5012</v>
      </c>
      <c r="AJ798" s="414" t="s">
        <v>1438</v>
      </c>
      <c r="AK798" s="255" t="s">
        <v>560</v>
      </c>
      <c r="AL798" s="838" t="s">
        <v>4850</v>
      </c>
      <c r="AM798" s="838" t="s">
        <v>4851</v>
      </c>
      <c r="AN798" s="161" t="str">
        <f t="shared" ca="1" si="154"/>
        <v>TERMINO</v>
      </c>
      <c r="AO798" s="414" t="s">
        <v>4489</v>
      </c>
      <c r="AP798" s="406" t="s">
        <v>390</v>
      </c>
      <c r="AQ798" s="819" t="str">
        <f>IFERROR(VLOOKUP(E798,'liquidaciones '!$B$2:$C$1048576,2,0),"NO")</f>
        <v>LIQUIDADO</v>
      </c>
      <c r="AR798" s="909" t="str">
        <f>IFERROR(VLOOKUP(E798,'liquidaciones '!$B$2:$I$1048576,8,0),"")</f>
        <v>JUAN DIEGO ESPITIA</v>
      </c>
      <c r="AS798" s="406"/>
      <c r="AT798" s="156" t="str">
        <f t="shared" ca="1" si="155"/>
        <v>SI</v>
      </c>
      <c r="AU798" s="156" t="s">
        <v>5156</v>
      </c>
      <c r="AV798" s="406" t="s">
        <v>4852</v>
      </c>
      <c r="AW798" s="930" t="s">
        <v>560</v>
      </c>
      <c r="AX798" s="928"/>
      <c r="AY798" s="930" t="s">
        <v>6461</v>
      </c>
    </row>
    <row r="799" spans="3:51" ht="40.799999999999997" x14ac:dyDescent="0.3">
      <c r="C799" s="837">
        <v>359</v>
      </c>
      <c r="D799" s="837"/>
      <c r="E799" s="120" t="s">
        <v>5013</v>
      </c>
      <c r="F799" s="414" t="s">
        <v>5014</v>
      </c>
      <c r="G799" s="863">
        <v>79573092</v>
      </c>
      <c r="H799" s="969" t="s">
        <v>4992</v>
      </c>
      <c r="I799" s="84">
        <v>8239957</v>
      </c>
      <c r="J799" s="843" t="s">
        <v>5013</v>
      </c>
      <c r="K799" s="269">
        <v>2019</v>
      </c>
      <c r="L799" s="519">
        <v>43630</v>
      </c>
      <c r="M799" s="519">
        <v>43637</v>
      </c>
      <c r="N799" s="519">
        <v>43818</v>
      </c>
      <c r="O799" s="1099" t="str">
        <f>IF(+Modificaciones!I799=0,"",VLOOKUP(E799,Modificaciones!$B$7:$I$2400,8,0))</f>
        <v/>
      </c>
      <c r="P799" s="115">
        <f>COUNTA(Modificaciones!J799,Modificaciones!L799,Modificaciones!N799,Modificaciones!P799)</f>
        <v>1</v>
      </c>
      <c r="Q799" s="116">
        <f>VLOOKUP(E799,Modificaciones!$B$7:$R$2300,17,0)</f>
        <v>1381000</v>
      </c>
      <c r="R799" s="117">
        <f>COUNTA(Modificaciones!T799,Modificaciones!V799,Modificaciones!X799,Modificaciones!Z799)</f>
        <v>1</v>
      </c>
      <c r="S799" s="118" t="str">
        <f>IF(Modificaciones!AA799=0,"",VLOOKUP(E799,Modificaciones!$B$7:$AA$2400,26,0))</f>
        <v>1 mes</v>
      </c>
      <c r="T799" s="119">
        <f>IF(Modificaciones!AB799=0,"",VLOOKUP(E799,Modificaciones!$B$7:$AB$2400,27,0))</f>
        <v>43849</v>
      </c>
      <c r="U799" s="1080" t="str">
        <f>+Modificaciones!AC799</f>
        <v/>
      </c>
      <c r="V799" s="825" t="str">
        <f>+Modificaciones!AK799</f>
        <v/>
      </c>
      <c r="W799" s="825">
        <f t="shared" si="150"/>
        <v>43849</v>
      </c>
      <c r="X799" s="59">
        <f t="shared" si="149"/>
        <v>9620957</v>
      </c>
      <c r="Y799" s="151">
        <f>VLOOKUP(E799,Modificaciones!$B$7:$BE$2300,56,0)</f>
        <v>9620957</v>
      </c>
      <c r="Z799" s="84">
        <f t="shared" si="162"/>
        <v>0</v>
      </c>
      <c r="AA799" s="283" t="s">
        <v>1094</v>
      </c>
      <c r="AB799" s="823">
        <f t="shared" si="163"/>
        <v>1</v>
      </c>
      <c r="AC799" s="40">
        <f t="shared" ca="1" si="151"/>
        <v>1</v>
      </c>
      <c r="AD799" s="41">
        <f t="shared" ca="1" si="152"/>
        <v>0</v>
      </c>
      <c r="AE799" s="181" t="str">
        <f t="shared" ca="1" si="153"/>
        <v/>
      </c>
      <c r="AF799" s="42" t="str">
        <f t="shared" si="164"/>
        <v>SI</v>
      </c>
      <c r="AG799" s="732" t="s">
        <v>5773</v>
      </c>
      <c r="AH799" s="841" t="s">
        <v>1255</v>
      </c>
      <c r="AI799" s="152" t="s">
        <v>4993</v>
      </c>
      <c r="AJ799" s="838" t="s">
        <v>1435</v>
      </c>
      <c r="AK799" s="838" t="s">
        <v>561</v>
      </c>
      <c r="AL799" s="838" t="s">
        <v>5026</v>
      </c>
      <c r="AM799" s="414" t="s">
        <v>4916</v>
      </c>
      <c r="AN799" s="161" t="str">
        <f t="shared" ca="1" si="154"/>
        <v>TERMINO</v>
      </c>
      <c r="AO799" s="160" t="s">
        <v>582</v>
      </c>
      <c r="AP799" s="406" t="s">
        <v>391</v>
      </c>
      <c r="AQ799" s="819" t="str">
        <f>IFERROR(VLOOKUP(E799,'liquidaciones '!$B$2:$C$1048576,2,0),"NO")</f>
        <v>EN TRÁMITE</v>
      </c>
      <c r="AR799" s="909" t="str">
        <f>IFERROR(VLOOKUP(E799,'liquidaciones '!$B$2:$I$1048576,8,0),"")</f>
        <v>ANDRES FELIPE CORZO</v>
      </c>
      <c r="AS799" s="406"/>
      <c r="AT799" s="156" t="str">
        <f t="shared" ca="1" si="155"/>
        <v>SI</v>
      </c>
      <c r="AU799" s="1029" t="s">
        <v>4805</v>
      </c>
      <c r="AV799" s="406" t="s">
        <v>5026</v>
      </c>
      <c r="AW799" s="930" t="s">
        <v>4178</v>
      </c>
      <c r="AX799" s="930" t="s">
        <v>5462</v>
      </c>
      <c r="AY799" s="928"/>
    </row>
    <row r="800" spans="3:51" ht="112.2" x14ac:dyDescent="0.3">
      <c r="C800" s="837">
        <v>237</v>
      </c>
      <c r="D800" s="837"/>
      <c r="E800" s="120" t="s">
        <v>5015</v>
      </c>
      <c r="F800" s="414" t="s">
        <v>5016</v>
      </c>
      <c r="G800" s="863">
        <v>900380150</v>
      </c>
      <c r="H800" s="969" t="s">
        <v>5017</v>
      </c>
      <c r="I800" s="84">
        <v>89573700</v>
      </c>
      <c r="J800" s="843" t="s">
        <v>5019</v>
      </c>
      <c r="K800" s="269">
        <v>2019</v>
      </c>
      <c r="L800" s="519">
        <v>43629</v>
      </c>
      <c r="M800" s="519">
        <v>43641</v>
      </c>
      <c r="N800" s="519">
        <v>43914</v>
      </c>
      <c r="O800" s="1099" t="str">
        <f>IF(+Modificaciones!I800=0,"",VLOOKUP(E800,Modificaciones!$B$7:$I$2400,8,0))</f>
        <v/>
      </c>
      <c r="P800" s="115">
        <f>COUNTA(Modificaciones!J800,Modificaciones!L800,Modificaciones!N800,Modificaciones!P800)</f>
        <v>0</v>
      </c>
      <c r="Q800" s="116">
        <f>VLOOKUP(E800,Modificaciones!$B$7:$R$2300,17,0)</f>
        <v>0</v>
      </c>
      <c r="R800" s="117">
        <f>COUNTA(Modificaciones!T800,Modificaciones!V800,Modificaciones!X800,Modificaciones!Z800)</f>
        <v>2</v>
      </c>
      <c r="S800" s="118" t="str">
        <f>IF(Modificaciones!AA800=0,"",VLOOKUP(E800,Modificaciones!$B$7:$AA$2400,26,0))</f>
        <v>9 meses</v>
      </c>
      <c r="T800" s="119">
        <f>IF(Modificaciones!AB800=0,"",VLOOKUP(E800,Modificaciones!$B$7:$AB$2400,27,0))</f>
        <v>44189</v>
      </c>
      <c r="U800" s="1080" t="str">
        <f>+Modificaciones!AC800</f>
        <v/>
      </c>
      <c r="V800" s="825" t="str">
        <f>+Modificaciones!AK800</f>
        <v/>
      </c>
      <c r="W800" s="825">
        <f t="shared" si="150"/>
        <v>44189</v>
      </c>
      <c r="X800" s="59">
        <f t="shared" si="149"/>
        <v>89573700</v>
      </c>
      <c r="Y800" s="151">
        <f>VLOOKUP(E800,Modificaciones!$B$7:$BE$2300,56,0)</f>
        <v>56985500</v>
      </c>
      <c r="Z800" s="84">
        <f t="shared" si="162"/>
        <v>32588200</v>
      </c>
      <c r="AA800" s="283" t="s">
        <v>5053</v>
      </c>
      <c r="AB800" s="823">
        <f t="shared" si="163"/>
        <v>0.63618562144915303</v>
      </c>
      <c r="AC800" s="40">
        <f t="shared" ca="1" si="151"/>
        <v>1</v>
      </c>
      <c r="AD800" s="41">
        <f t="shared" ca="1" si="152"/>
        <v>0.36381437855084697</v>
      </c>
      <c r="AE800" s="181" t="str">
        <f t="shared" ca="1" si="153"/>
        <v/>
      </c>
      <c r="AF800" s="42" t="str">
        <f t="shared" si="164"/>
        <v>NO</v>
      </c>
      <c r="AG800" s="1017" t="s">
        <v>4920</v>
      </c>
      <c r="AH800" s="841" t="s">
        <v>1255</v>
      </c>
      <c r="AI800" s="841" t="s">
        <v>5018</v>
      </c>
      <c r="AJ800" s="838" t="s">
        <v>1434</v>
      </c>
      <c r="AK800" s="255" t="s">
        <v>560</v>
      </c>
      <c r="AL800" s="838" t="s">
        <v>4333</v>
      </c>
      <c r="AM800" s="838" t="s">
        <v>4851</v>
      </c>
      <c r="AN800" s="161" t="str">
        <f t="shared" ca="1" si="154"/>
        <v>TERMINO</v>
      </c>
      <c r="AO800" s="414" t="s">
        <v>4489</v>
      </c>
      <c r="AP800" s="406" t="s">
        <v>390</v>
      </c>
      <c r="AQ800" s="819" t="str">
        <f>IFERROR(VLOOKUP(E800,'liquidaciones '!$B$2:$C$1048576,2,0),"NO")</f>
        <v>NO</v>
      </c>
      <c r="AR800" s="909" t="str">
        <f>IFERROR(VLOOKUP(E800,'liquidaciones '!$B$2:$I$1048576,8,0),"")</f>
        <v/>
      </c>
      <c r="AS800" s="406"/>
      <c r="AT800" s="156" t="str">
        <f t="shared" ca="1" si="155"/>
        <v>SI</v>
      </c>
      <c r="AU800" s="1023" t="s">
        <v>5047</v>
      </c>
      <c r="AV800" s="406" t="s">
        <v>4333</v>
      </c>
      <c r="AW800" s="930" t="s">
        <v>560</v>
      </c>
      <c r="AX800" s="930" t="s">
        <v>6028</v>
      </c>
      <c r="AY800" s="930" t="s">
        <v>6572</v>
      </c>
    </row>
    <row r="801" spans="3:51" ht="40.799999999999997" x14ac:dyDescent="0.3">
      <c r="C801" s="837">
        <v>399</v>
      </c>
      <c r="D801" s="837"/>
      <c r="E801" s="120" t="s">
        <v>5020</v>
      </c>
      <c r="F801" s="414" t="s">
        <v>5021</v>
      </c>
      <c r="G801" s="863">
        <v>52538684</v>
      </c>
      <c r="H801" s="969" t="s">
        <v>5022</v>
      </c>
      <c r="I801" s="84">
        <v>18222000</v>
      </c>
      <c r="J801" s="843" t="s">
        <v>5020</v>
      </c>
      <c r="K801" s="269">
        <v>2019</v>
      </c>
      <c r="L801" s="519">
        <v>43630</v>
      </c>
      <c r="M801" s="519">
        <v>43637</v>
      </c>
      <c r="N801" s="519">
        <v>43819</v>
      </c>
      <c r="O801" s="1099" t="str">
        <f>IF(+Modificaciones!I801=0,"",VLOOKUP(E801,Modificaciones!$B$7:$I$2400,8,0))</f>
        <v/>
      </c>
      <c r="P801" s="115">
        <f>COUNTA(Modificaciones!J801,Modificaciones!L801,Modificaciones!N801,Modificaciones!P801)</f>
        <v>1</v>
      </c>
      <c r="Q801" s="116">
        <f>VLOOKUP(E801,Modificaciones!$B$7:$R$2300,17,0)</f>
        <v>3037000</v>
      </c>
      <c r="R801" s="117">
        <f>COUNTA(Modificaciones!T801,Modificaciones!V801,Modificaciones!X801,Modificaciones!Z801)</f>
        <v>1</v>
      </c>
      <c r="S801" s="118" t="str">
        <f>IF(Modificaciones!AA801=0,"",VLOOKUP(E801,Modificaciones!$B$7:$AA$2400,26,0))</f>
        <v>1 mes</v>
      </c>
      <c r="T801" s="119">
        <f>IF(Modificaciones!AB801=0,"",VLOOKUP(E801,Modificaciones!$B$7:$AB$2400,27,0))</f>
        <v>43850</v>
      </c>
      <c r="U801" s="1080" t="str">
        <f>+Modificaciones!AC801</f>
        <v/>
      </c>
      <c r="V801" s="825" t="str">
        <f>+Modificaciones!AK801</f>
        <v/>
      </c>
      <c r="W801" s="825">
        <f t="shared" si="150"/>
        <v>43850</v>
      </c>
      <c r="X801" s="59">
        <f t="shared" si="149"/>
        <v>21259000</v>
      </c>
      <c r="Y801" s="151">
        <f>VLOOKUP(E801,Modificaciones!$B$7:$BE$2300,56,0)</f>
        <v>21259000</v>
      </c>
      <c r="Z801" s="84">
        <f t="shared" si="162"/>
        <v>0</v>
      </c>
      <c r="AA801" s="283" t="s">
        <v>1094</v>
      </c>
      <c r="AB801" s="823">
        <f t="shared" si="163"/>
        <v>1</v>
      </c>
      <c r="AC801" s="40">
        <f t="shared" ca="1" si="151"/>
        <v>1</v>
      </c>
      <c r="AD801" s="41">
        <f t="shared" ca="1" si="152"/>
        <v>0</v>
      </c>
      <c r="AE801" s="181" t="str">
        <f t="shared" ca="1" si="153"/>
        <v/>
      </c>
      <c r="AF801" s="42" t="str">
        <f t="shared" si="164"/>
        <v>SI</v>
      </c>
      <c r="AG801" s="732" t="s">
        <v>5773</v>
      </c>
      <c r="AH801" s="841" t="s">
        <v>1255</v>
      </c>
      <c r="AI801" s="841" t="s">
        <v>5023</v>
      </c>
      <c r="AJ801" s="152" t="s">
        <v>1176</v>
      </c>
      <c r="AK801" s="255" t="s">
        <v>559</v>
      </c>
      <c r="AL801" s="838" t="s">
        <v>5024</v>
      </c>
      <c r="AM801" s="838" t="s">
        <v>4802</v>
      </c>
      <c r="AN801" s="161" t="str">
        <f t="shared" ca="1" si="154"/>
        <v>TERMINO</v>
      </c>
      <c r="AO801" s="160" t="s">
        <v>582</v>
      </c>
      <c r="AP801" s="406" t="s">
        <v>391</v>
      </c>
      <c r="AQ801" s="819" t="str">
        <f>IFERROR(VLOOKUP(E801,'liquidaciones '!$B$2:$C$1048576,2,0),"NO")</f>
        <v>LIQUIDADO</v>
      </c>
      <c r="AR801" s="909" t="str">
        <f>IFERROR(VLOOKUP(E801,'liquidaciones '!$B$2:$I$1048576,8,0),"")</f>
        <v>ANDRES FELIPE CORZO</v>
      </c>
      <c r="AS801" s="406"/>
      <c r="AT801" s="156" t="str">
        <f t="shared" ca="1" si="155"/>
        <v>SI</v>
      </c>
      <c r="AU801" s="1023" t="s">
        <v>4805</v>
      </c>
      <c r="AV801" s="406" t="s">
        <v>5025</v>
      </c>
      <c r="AW801" s="930" t="s">
        <v>559</v>
      </c>
      <c r="AX801" s="930" t="s">
        <v>5441</v>
      </c>
      <c r="AY801" s="930" t="s">
        <v>5795</v>
      </c>
    </row>
    <row r="802" spans="3:51" ht="30.6" x14ac:dyDescent="0.3">
      <c r="C802" s="837">
        <v>398</v>
      </c>
      <c r="D802" s="837"/>
      <c r="E802" s="120" t="s">
        <v>5029</v>
      </c>
      <c r="F802" s="414" t="s">
        <v>5030</v>
      </c>
      <c r="G802" s="863">
        <v>79718464</v>
      </c>
      <c r="H802" s="969" t="s">
        <v>5051</v>
      </c>
      <c r="I802" s="84">
        <v>21534000</v>
      </c>
      <c r="J802" s="843" t="s">
        <v>5029</v>
      </c>
      <c r="K802" s="269">
        <v>2019</v>
      </c>
      <c r="L802" s="519">
        <v>43636</v>
      </c>
      <c r="M802" s="519">
        <v>43637</v>
      </c>
      <c r="N802" s="519">
        <v>43819</v>
      </c>
      <c r="O802" s="1099" t="str">
        <f>IF(+Modificaciones!I802=0,"",VLOOKUP(E802,Modificaciones!$B$7:$I$2400,8,0))</f>
        <v/>
      </c>
      <c r="P802" s="115">
        <f>COUNTA(Modificaciones!J802,Modificaciones!L802,Modificaciones!N802,Modificaciones!P802)</f>
        <v>1</v>
      </c>
      <c r="Q802" s="116">
        <f>VLOOKUP(E802,Modificaciones!$B$7:$R$2300,17,0)</f>
        <v>3589000</v>
      </c>
      <c r="R802" s="117">
        <f>COUNTA(Modificaciones!T802,Modificaciones!V802,Modificaciones!X802,Modificaciones!Z802)</f>
        <v>1</v>
      </c>
      <c r="S802" s="118" t="str">
        <f>IF(Modificaciones!AA802=0,"",VLOOKUP(E802,Modificaciones!$B$7:$AA$2400,26,0))</f>
        <v>1 mes</v>
      </c>
      <c r="T802" s="119">
        <f>IF(Modificaciones!AB802=0,"",VLOOKUP(E802,Modificaciones!$B$7:$AB$2400,27,0))</f>
        <v>43850</v>
      </c>
      <c r="U802" s="1080" t="str">
        <f>+Modificaciones!AC802</f>
        <v/>
      </c>
      <c r="V802" s="825" t="str">
        <f>+Modificaciones!AK802</f>
        <v/>
      </c>
      <c r="W802" s="825">
        <f t="shared" si="150"/>
        <v>43850</v>
      </c>
      <c r="X802" s="59">
        <f t="shared" si="149"/>
        <v>25123000</v>
      </c>
      <c r="Y802" s="151">
        <f>VLOOKUP(E802,Modificaciones!$B$7:$BE$2300,56,0)</f>
        <v>25123000</v>
      </c>
      <c r="Z802" s="84">
        <f t="shared" si="162"/>
        <v>0</v>
      </c>
      <c r="AA802" s="283" t="s">
        <v>1094</v>
      </c>
      <c r="AB802" s="823">
        <f t="shared" si="163"/>
        <v>1</v>
      </c>
      <c r="AC802" s="40">
        <f t="shared" ca="1" si="151"/>
        <v>1</v>
      </c>
      <c r="AD802" s="41">
        <f t="shared" ca="1" si="152"/>
        <v>0</v>
      </c>
      <c r="AE802" s="181" t="str">
        <f t="shared" ca="1" si="153"/>
        <v/>
      </c>
      <c r="AF802" s="42" t="str">
        <f t="shared" si="164"/>
        <v>SI</v>
      </c>
      <c r="AG802" s="732" t="s">
        <v>5773</v>
      </c>
      <c r="AH802" s="841" t="s">
        <v>1255</v>
      </c>
      <c r="AI802" s="870" t="s">
        <v>4548</v>
      </c>
      <c r="AJ802" s="152" t="s">
        <v>1176</v>
      </c>
      <c r="AK802" s="255" t="s">
        <v>559</v>
      </c>
      <c r="AL802" s="838"/>
      <c r="AM802" s="838" t="s">
        <v>4802</v>
      </c>
      <c r="AN802" s="161" t="str">
        <f t="shared" ca="1" si="154"/>
        <v>TERMINO</v>
      </c>
      <c r="AO802" s="160" t="s">
        <v>582</v>
      </c>
      <c r="AP802" s="406" t="s">
        <v>391</v>
      </c>
      <c r="AQ802" s="819" t="str">
        <f>IFERROR(VLOOKUP(E802,'liquidaciones '!$B$2:$C$1048576,2,0),"NO")</f>
        <v>NO</v>
      </c>
      <c r="AR802" s="909" t="str">
        <f>IFERROR(VLOOKUP(E802,'liquidaciones '!$B$2:$I$1048576,8,0),"")</f>
        <v/>
      </c>
      <c r="AS802" s="406"/>
      <c r="AT802" s="156" t="str">
        <f t="shared" ca="1" si="155"/>
        <v>SI</v>
      </c>
      <c r="AU802" s="156" t="s">
        <v>4805</v>
      </c>
      <c r="AV802" s="406"/>
      <c r="AW802" s="930" t="s">
        <v>559</v>
      </c>
      <c r="AX802" s="930" t="s">
        <v>5439</v>
      </c>
      <c r="AY802" s="928"/>
    </row>
    <row r="803" spans="3:51" ht="71.400000000000006" x14ac:dyDescent="0.3">
      <c r="C803" s="837">
        <v>240</v>
      </c>
      <c r="D803" s="837"/>
      <c r="E803" s="120" t="s">
        <v>5032</v>
      </c>
      <c r="F803" s="414" t="s">
        <v>5033</v>
      </c>
      <c r="G803" s="863">
        <v>890807724</v>
      </c>
      <c r="H803" s="969" t="s">
        <v>4881</v>
      </c>
      <c r="I803" s="84">
        <v>1682847600</v>
      </c>
      <c r="J803" s="843" t="s">
        <v>5032</v>
      </c>
      <c r="K803" s="269">
        <v>2019</v>
      </c>
      <c r="L803" s="519">
        <v>43641</v>
      </c>
      <c r="M803" s="519">
        <v>43643</v>
      </c>
      <c r="N803" s="519">
        <v>43947</v>
      </c>
      <c r="O803" s="1099" t="str">
        <f>IF(+Modificaciones!I803=0,"",VLOOKUP(E803,Modificaciones!$B$7:$I$2400,8,0))</f>
        <v/>
      </c>
      <c r="P803" s="115">
        <f>COUNTA(Modificaciones!J803,Modificaciones!L803,Modificaciones!N803,Modificaciones!P803)</f>
        <v>0</v>
      </c>
      <c r="Q803" s="116">
        <f>VLOOKUP(E803,Modificaciones!$B$7:$R$2300,17,0)</f>
        <v>0</v>
      </c>
      <c r="R803" s="117">
        <f>COUNTA(Modificaciones!T803,Modificaciones!V803,Modificaciones!X803,Modificaciones!Z803)</f>
        <v>0</v>
      </c>
      <c r="S803" s="118" t="str">
        <f>IF(Modificaciones!AA803=0,"",VLOOKUP(E803,Modificaciones!$B$7:$AA$2400,26,0))</f>
        <v/>
      </c>
      <c r="T803" s="119" t="str">
        <f>IF(Modificaciones!AB803=0,"",VLOOKUP(E803,Modificaciones!$B$7:$AB$2400,27,0))</f>
        <v/>
      </c>
      <c r="U803" s="1080" t="str">
        <f>+Modificaciones!AC803</f>
        <v/>
      </c>
      <c r="V803" s="825" t="str">
        <f>+Modificaciones!AK803</f>
        <v/>
      </c>
      <c r="W803" s="825">
        <f t="shared" si="150"/>
        <v>43947</v>
      </c>
      <c r="X803" s="59">
        <f t="shared" si="149"/>
        <v>1682847600</v>
      </c>
      <c r="Y803" s="151">
        <f>VLOOKUP(E803,Modificaciones!$B$7:$BE$2300,56,0)</f>
        <v>1307868151</v>
      </c>
      <c r="Z803" s="84">
        <f t="shared" si="162"/>
        <v>374979449</v>
      </c>
      <c r="AA803" s="283" t="s">
        <v>1094</v>
      </c>
      <c r="AB803" s="823">
        <f t="shared" si="163"/>
        <v>0.77717563432363101</v>
      </c>
      <c r="AC803" s="40">
        <f t="shared" ca="1" si="151"/>
        <v>1</v>
      </c>
      <c r="AD803" s="41">
        <f t="shared" ca="1" si="152"/>
        <v>0.22282436567636899</v>
      </c>
      <c r="AE803" s="181" t="str">
        <f t="shared" ca="1" si="153"/>
        <v/>
      </c>
      <c r="AF803" s="42" t="str">
        <f t="shared" si="164"/>
        <v>NO</v>
      </c>
      <c r="AG803" s="732" t="s">
        <v>1718</v>
      </c>
      <c r="AH803" s="152" t="s">
        <v>1255</v>
      </c>
      <c r="AI803" s="152" t="s">
        <v>1291</v>
      </c>
      <c r="AJ803" s="152" t="s">
        <v>1429</v>
      </c>
      <c r="AK803" s="255" t="s">
        <v>564</v>
      </c>
      <c r="AL803" s="838" t="s">
        <v>5031</v>
      </c>
      <c r="AM803" s="838" t="s">
        <v>4247</v>
      </c>
      <c r="AN803" s="161" t="str">
        <f t="shared" ca="1" si="154"/>
        <v>TERMINO</v>
      </c>
      <c r="AO803" s="284"/>
      <c r="AP803" s="406" t="s">
        <v>390</v>
      </c>
      <c r="AQ803" s="819" t="str">
        <f>IFERROR(VLOOKUP(E803,'liquidaciones '!$B$2:$C$1048576,2,0),"NO")</f>
        <v>EN TRÁMITE</v>
      </c>
      <c r="AR803" s="909" t="str">
        <f>IFERROR(VLOOKUP(E803,'liquidaciones '!$B$2:$I$1048576,8,0),"")</f>
        <v>JUAN DIEGO ESPITIA</v>
      </c>
      <c r="AS803" s="406"/>
      <c r="AT803" s="156" t="str">
        <f t="shared" ca="1" si="155"/>
        <v>SI</v>
      </c>
      <c r="AU803" s="156" t="s">
        <v>5855</v>
      </c>
      <c r="AV803" s="406" t="s">
        <v>5031</v>
      </c>
      <c r="AW803" s="930" t="s">
        <v>3920</v>
      </c>
      <c r="AX803" s="928"/>
      <c r="AY803" s="930" t="s">
        <v>6221</v>
      </c>
    </row>
    <row r="804" spans="3:51" ht="30.6" x14ac:dyDescent="0.3">
      <c r="C804" s="837">
        <v>398</v>
      </c>
      <c r="D804" s="837"/>
      <c r="E804" s="120" t="s">
        <v>5034</v>
      </c>
      <c r="F804" s="414" t="s">
        <v>5035</v>
      </c>
      <c r="G804" s="863">
        <v>1013633500</v>
      </c>
      <c r="H804" s="969" t="s">
        <v>5051</v>
      </c>
      <c r="I804" s="84">
        <v>21534000</v>
      </c>
      <c r="J804" s="843" t="s">
        <v>5034</v>
      </c>
      <c r="K804" s="269">
        <v>2019</v>
      </c>
      <c r="L804" s="519">
        <v>43637</v>
      </c>
      <c r="M804" s="519">
        <v>43642</v>
      </c>
      <c r="N804" s="519">
        <v>43824</v>
      </c>
      <c r="O804" s="1099" t="str">
        <f>IF(+Modificaciones!I804=0,"",VLOOKUP(E804,Modificaciones!$B$7:$I$2400,8,0))</f>
        <v/>
      </c>
      <c r="P804" s="115">
        <f>COUNTA(Modificaciones!J804,Modificaciones!L804,Modificaciones!N804,Modificaciones!P804)</f>
        <v>1</v>
      </c>
      <c r="Q804" s="116">
        <f>VLOOKUP(E804,Modificaciones!$B$7:$R$2300,17,0)</f>
        <v>7178000</v>
      </c>
      <c r="R804" s="117">
        <f>COUNTA(Modificaciones!T804,Modificaciones!V804,Modificaciones!X804,Modificaciones!Z804)</f>
        <v>1</v>
      </c>
      <c r="S804" s="118" t="str">
        <f>IF(Modificaciones!AA804=0,"",VLOOKUP(E804,Modificaciones!$B$7:$AA$2400,26,0))</f>
        <v>2 meses</v>
      </c>
      <c r="T804" s="119">
        <f>IF(Modificaciones!AB804=0,"",VLOOKUP(E804,Modificaciones!$B$7:$AB$2400,27,0))</f>
        <v>43886</v>
      </c>
      <c r="U804" s="1080" t="str">
        <f>+Modificaciones!AC804</f>
        <v/>
      </c>
      <c r="V804" s="825" t="str">
        <f>+Modificaciones!AK804</f>
        <v/>
      </c>
      <c r="W804" s="825">
        <f t="shared" si="150"/>
        <v>43886</v>
      </c>
      <c r="X804" s="59">
        <f t="shared" si="149"/>
        <v>28712000</v>
      </c>
      <c r="Y804" s="151">
        <f>VLOOKUP(E804,Modificaciones!$B$7:$BE$2300,56,0)</f>
        <v>28712000</v>
      </c>
      <c r="Z804" s="84">
        <f t="shared" si="162"/>
        <v>0</v>
      </c>
      <c r="AA804" s="283" t="s">
        <v>1094</v>
      </c>
      <c r="AB804" s="823">
        <f t="shared" si="163"/>
        <v>1</v>
      </c>
      <c r="AC804" s="40">
        <f t="shared" ca="1" si="151"/>
        <v>1</v>
      </c>
      <c r="AD804" s="41">
        <f t="shared" ca="1" si="152"/>
        <v>0</v>
      </c>
      <c r="AE804" s="181" t="str">
        <f t="shared" ca="1" si="153"/>
        <v/>
      </c>
      <c r="AF804" s="42" t="str">
        <f t="shared" si="164"/>
        <v>SI</v>
      </c>
      <c r="AG804" s="732" t="s">
        <v>5773</v>
      </c>
      <c r="AH804" s="841" t="s">
        <v>1255</v>
      </c>
      <c r="AI804" s="870" t="s">
        <v>4548</v>
      </c>
      <c r="AJ804" s="152" t="s">
        <v>1176</v>
      </c>
      <c r="AK804" s="255" t="s">
        <v>559</v>
      </c>
      <c r="AL804" s="838"/>
      <c r="AM804" s="838" t="s">
        <v>4802</v>
      </c>
      <c r="AN804" s="161" t="str">
        <f t="shared" ca="1" si="154"/>
        <v>TERMINO</v>
      </c>
      <c r="AO804" s="284" t="s">
        <v>582</v>
      </c>
      <c r="AP804" s="406" t="s">
        <v>391</v>
      </c>
      <c r="AQ804" s="819" t="str">
        <f>IFERROR(VLOOKUP(E804,'liquidaciones '!$B$2:$C$1048576,2,0),"NO")</f>
        <v>NO</v>
      </c>
      <c r="AR804" s="909" t="str">
        <f>IFERROR(VLOOKUP(E804,'liquidaciones '!$B$2:$I$1048576,8,0),"")</f>
        <v/>
      </c>
      <c r="AS804" s="406"/>
      <c r="AT804" s="156" t="str">
        <f t="shared" ca="1" si="155"/>
        <v>SI</v>
      </c>
      <c r="AU804" s="156" t="s">
        <v>4805</v>
      </c>
      <c r="AV804" s="406"/>
      <c r="AW804" s="930" t="s">
        <v>559</v>
      </c>
      <c r="AX804" s="930" t="s">
        <v>5438</v>
      </c>
      <c r="AY804" s="930"/>
    </row>
    <row r="805" spans="3:51" ht="30.6" x14ac:dyDescent="0.3">
      <c r="C805" s="837">
        <v>398</v>
      </c>
      <c r="D805" s="837"/>
      <c r="E805" s="120" t="s">
        <v>5036</v>
      </c>
      <c r="F805" s="414" t="s">
        <v>5037</v>
      </c>
      <c r="G805" s="863">
        <v>79616900</v>
      </c>
      <c r="H805" s="969" t="s">
        <v>5051</v>
      </c>
      <c r="I805" s="84">
        <v>21534000</v>
      </c>
      <c r="J805" s="843" t="s">
        <v>5036</v>
      </c>
      <c r="K805" s="269">
        <v>2019</v>
      </c>
      <c r="L805" s="519">
        <v>43636</v>
      </c>
      <c r="M805" s="519">
        <v>43643</v>
      </c>
      <c r="N805" s="519">
        <v>43825</v>
      </c>
      <c r="O805" s="1099" t="str">
        <f>IF(+Modificaciones!I805=0,"",VLOOKUP(E805,Modificaciones!$B$7:$I$2400,8,0))</f>
        <v/>
      </c>
      <c r="P805" s="115">
        <f>COUNTA(Modificaciones!J805,Modificaciones!L805,Modificaciones!N805,Modificaciones!P805)</f>
        <v>1</v>
      </c>
      <c r="Q805" s="116">
        <f>VLOOKUP(E805,Modificaciones!$B$7:$R$2300,17,0)</f>
        <v>3589000</v>
      </c>
      <c r="R805" s="117">
        <f>COUNTA(Modificaciones!T805,Modificaciones!V805,Modificaciones!X805,Modificaciones!Z805)</f>
        <v>1</v>
      </c>
      <c r="S805" s="118" t="str">
        <f>IF(Modificaciones!AA805=0,"",VLOOKUP(E805,Modificaciones!$B$7:$AA$2400,26,0))</f>
        <v>1 mes</v>
      </c>
      <c r="T805" s="119">
        <f>IF(Modificaciones!AB805=0,"",VLOOKUP(E805,Modificaciones!$B$7:$AB$2400,27,0))</f>
        <v>43857</v>
      </c>
      <c r="U805" s="1080" t="str">
        <f>+Modificaciones!AC805</f>
        <v/>
      </c>
      <c r="V805" s="825" t="str">
        <f>+Modificaciones!AK805</f>
        <v/>
      </c>
      <c r="W805" s="825">
        <f t="shared" si="150"/>
        <v>43857</v>
      </c>
      <c r="X805" s="59">
        <f t="shared" si="149"/>
        <v>25123000</v>
      </c>
      <c r="Y805" s="151">
        <f>VLOOKUP(E805,Modificaciones!$B$7:$BE$2300,56,0)</f>
        <v>25123000</v>
      </c>
      <c r="Z805" s="84">
        <f t="shared" si="162"/>
        <v>0</v>
      </c>
      <c r="AA805" s="283" t="s">
        <v>1094</v>
      </c>
      <c r="AB805" s="823">
        <f t="shared" si="163"/>
        <v>1</v>
      </c>
      <c r="AC805" s="40">
        <f t="shared" ca="1" si="151"/>
        <v>1</v>
      </c>
      <c r="AD805" s="41">
        <f t="shared" ca="1" si="152"/>
        <v>0</v>
      </c>
      <c r="AE805" s="181" t="str">
        <f t="shared" ca="1" si="153"/>
        <v/>
      </c>
      <c r="AF805" s="42" t="str">
        <f t="shared" si="164"/>
        <v>SI</v>
      </c>
      <c r="AG805" s="732" t="s">
        <v>5773</v>
      </c>
      <c r="AH805" s="152" t="s">
        <v>1255</v>
      </c>
      <c r="AI805" s="870" t="s">
        <v>4548</v>
      </c>
      <c r="AJ805" s="152" t="s">
        <v>1176</v>
      </c>
      <c r="AK805" s="255" t="s">
        <v>559</v>
      </c>
      <c r="AL805" s="838"/>
      <c r="AM805" s="838" t="s">
        <v>4802</v>
      </c>
      <c r="AN805" s="161" t="str">
        <f t="shared" ca="1" si="154"/>
        <v>TERMINO</v>
      </c>
      <c r="AO805" s="284" t="s">
        <v>582</v>
      </c>
      <c r="AP805" s="406" t="s">
        <v>391</v>
      </c>
      <c r="AQ805" s="819" t="str">
        <f>IFERROR(VLOOKUP(E805,'liquidaciones '!$B$2:$C$1048576,2,0),"NO")</f>
        <v>LIQUIDADO</v>
      </c>
      <c r="AR805" s="909" t="str">
        <f>IFERROR(VLOOKUP(E805,'liquidaciones '!$B$2:$I$1048576,8,0),"")</f>
        <v>NATALIA OSORIO</v>
      </c>
      <c r="AS805" s="406"/>
      <c r="AT805" s="156" t="str">
        <f t="shared" ca="1" si="155"/>
        <v>SI</v>
      </c>
      <c r="AU805" s="156" t="s">
        <v>4805</v>
      </c>
      <c r="AV805" s="406"/>
      <c r="AW805" s="930" t="s">
        <v>559</v>
      </c>
      <c r="AX805" s="930" t="s">
        <v>5434</v>
      </c>
      <c r="AY805" s="928"/>
    </row>
    <row r="806" spans="3:51" ht="28.8" x14ac:dyDescent="0.3">
      <c r="C806" s="837">
        <v>215</v>
      </c>
      <c r="D806" s="837"/>
      <c r="E806" s="120" t="s">
        <v>5038</v>
      </c>
      <c r="F806" s="414" t="s">
        <v>219</v>
      </c>
      <c r="G806" s="863">
        <v>830113914</v>
      </c>
      <c r="H806" s="969" t="s">
        <v>5039</v>
      </c>
      <c r="I806" s="84">
        <v>59998325</v>
      </c>
      <c r="J806" s="843" t="s">
        <v>5040</v>
      </c>
      <c r="K806" s="269">
        <v>2019</v>
      </c>
      <c r="L806" s="519">
        <v>43637</v>
      </c>
      <c r="M806" s="519">
        <v>43643</v>
      </c>
      <c r="N806" s="519">
        <v>43947</v>
      </c>
      <c r="O806" s="1099" t="str">
        <f>IF(+Modificaciones!I806=0,"",VLOOKUP(E806,Modificaciones!$B$7:$I$2400,8,0))</f>
        <v/>
      </c>
      <c r="P806" s="115">
        <f>COUNTA(Modificaciones!J806,Modificaciones!L806,Modificaciones!N806,Modificaciones!P806)</f>
        <v>0</v>
      </c>
      <c r="Q806" s="116">
        <f>VLOOKUP(E806,Modificaciones!$B$7:$R$2300,17,0)</f>
        <v>0</v>
      </c>
      <c r="R806" s="117">
        <f>COUNTA(Modificaciones!T806,Modificaciones!V806,Modificaciones!X806,Modificaciones!Z806)</f>
        <v>1</v>
      </c>
      <c r="S806" s="118" t="str">
        <f>IF(Modificaciones!AA806=0,"",VLOOKUP(E806,Modificaciones!$B$7:$AA$2400,26,0))</f>
        <v>1 mes</v>
      </c>
      <c r="T806" s="119">
        <f>IF(Modificaciones!AB806=0,"",VLOOKUP(E806,Modificaciones!$B$7:$AB$2400,27,0))</f>
        <v>43977</v>
      </c>
      <c r="U806" s="1080" t="str">
        <f>+Modificaciones!AC806</f>
        <v/>
      </c>
      <c r="V806" s="825" t="str">
        <f>+Modificaciones!AK806</f>
        <v/>
      </c>
      <c r="W806" s="825">
        <f t="shared" si="150"/>
        <v>43977</v>
      </c>
      <c r="X806" s="59">
        <f t="shared" si="149"/>
        <v>59998325</v>
      </c>
      <c r="Y806" s="151">
        <f>VLOOKUP(E806,Modificaciones!$B$7:$BE$2300,56,0)</f>
        <v>59981864</v>
      </c>
      <c r="Z806" s="84">
        <f t="shared" si="162"/>
        <v>16461</v>
      </c>
      <c r="AA806" s="283" t="s">
        <v>1094</v>
      </c>
      <c r="AB806" s="823">
        <f t="shared" si="163"/>
        <v>0.99972564234084871</v>
      </c>
      <c r="AC806" s="40">
        <f t="shared" ca="1" si="151"/>
        <v>1</v>
      </c>
      <c r="AD806" s="41">
        <f t="shared" ca="1" si="152"/>
        <v>2.7435765915129195E-4</v>
      </c>
      <c r="AE806" s="181" t="str">
        <f t="shared" ca="1" si="153"/>
        <v/>
      </c>
      <c r="AF806" s="42" t="str">
        <f t="shared" si="164"/>
        <v>SI</v>
      </c>
      <c r="AG806" s="732" t="s">
        <v>1712</v>
      </c>
      <c r="AH806" s="152" t="s">
        <v>1255</v>
      </c>
      <c r="AI806" s="152" t="s">
        <v>1129</v>
      </c>
      <c r="AJ806" s="152" t="s">
        <v>1441</v>
      </c>
      <c r="AK806" s="255" t="s">
        <v>560</v>
      </c>
      <c r="AL806" s="158" t="s">
        <v>1378</v>
      </c>
      <c r="AM806" s="279" t="s">
        <v>4851</v>
      </c>
      <c r="AN806" s="161" t="str">
        <f t="shared" ca="1" si="154"/>
        <v>TERMINO</v>
      </c>
      <c r="AO806" s="284"/>
      <c r="AP806" s="406" t="s">
        <v>390</v>
      </c>
      <c r="AQ806" s="819" t="str">
        <f>IFERROR(VLOOKUP(E806,'liquidaciones '!$B$2:$C$1048576,2,0),"NO")</f>
        <v>NO</v>
      </c>
      <c r="AR806" s="909" t="str">
        <f>IFERROR(VLOOKUP(E806,'liquidaciones '!$B$2:$I$1048576,8,0),"")</f>
        <v/>
      </c>
      <c r="AS806" s="406"/>
      <c r="AT806" s="156" t="str">
        <f t="shared" ca="1" si="155"/>
        <v>SI</v>
      </c>
      <c r="AU806" s="1030" t="s">
        <v>5047</v>
      </c>
      <c r="AV806" s="406" t="s">
        <v>1378</v>
      </c>
      <c r="AW806" s="930" t="s">
        <v>560</v>
      </c>
      <c r="AX806" s="928"/>
      <c r="AY806" s="930"/>
    </row>
    <row r="807" spans="3:51" ht="30.6" x14ac:dyDescent="0.3">
      <c r="C807" s="837">
        <v>398</v>
      </c>
      <c r="D807" s="837"/>
      <c r="E807" s="120" t="s">
        <v>5049</v>
      </c>
      <c r="F807" s="414" t="s">
        <v>5050</v>
      </c>
      <c r="G807" s="863">
        <v>1019061107</v>
      </c>
      <c r="H807" s="969" t="s">
        <v>5051</v>
      </c>
      <c r="I807" s="84">
        <v>21534000</v>
      </c>
      <c r="J807" s="843" t="s">
        <v>5049</v>
      </c>
      <c r="K807" s="269">
        <v>2019</v>
      </c>
      <c r="L807" s="519">
        <v>43637</v>
      </c>
      <c r="M807" s="519">
        <v>43644</v>
      </c>
      <c r="N807" s="519">
        <v>43826</v>
      </c>
      <c r="O807" s="1099" t="str">
        <f>IF(+Modificaciones!I807=0,"",VLOOKUP(E807,Modificaciones!$B$7:$I$2400,8,0))</f>
        <v/>
      </c>
      <c r="P807" s="115">
        <f>COUNTA(Modificaciones!J807,Modificaciones!L807,Modificaciones!N807,Modificaciones!P807)</f>
        <v>1</v>
      </c>
      <c r="Q807" s="116">
        <f>VLOOKUP(E807,Modificaciones!$B$7:$R$2300,17,0)</f>
        <v>3589000</v>
      </c>
      <c r="R807" s="117">
        <f>COUNTA(Modificaciones!T807,Modificaciones!V807,Modificaciones!X807,Modificaciones!Z807)</f>
        <v>1</v>
      </c>
      <c r="S807" s="118" t="str">
        <f>IF(Modificaciones!AA807=0,"",VLOOKUP(E807,Modificaciones!$B$7:$AA$2400,26,0))</f>
        <v>1 mes</v>
      </c>
      <c r="T807" s="119">
        <f>IF(Modificaciones!AB807=0,"",VLOOKUP(E807,Modificaciones!$B$7:$AB$2400,27,0))</f>
        <v>43857</v>
      </c>
      <c r="U807" s="1080" t="str">
        <f>+Modificaciones!AC807</f>
        <v/>
      </c>
      <c r="V807" s="825" t="str">
        <f>+Modificaciones!AK807</f>
        <v/>
      </c>
      <c r="W807" s="825">
        <f t="shared" si="150"/>
        <v>43857</v>
      </c>
      <c r="X807" s="59">
        <f t="shared" si="149"/>
        <v>25123000</v>
      </c>
      <c r="Y807" s="151">
        <f>VLOOKUP(E807,Modificaciones!$B$7:$BE$2300,56,0)</f>
        <v>25123000</v>
      </c>
      <c r="Z807" s="84">
        <f t="shared" si="162"/>
        <v>0</v>
      </c>
      <c r="AA807" s="283" t="s">
        <v>1094</v>
      </c>
      <c r="AB807" s="823">
        <f t="shared" si="163"/>
        <v>1</v>
      </c>
      <c r="AC807" s="40">
        <f t="shared" ca="1" si="151"/>
        <v>1</v>
      </c>
      <c r="AD807" s="41">
        <f t="shared" ca="1" si="152"/>
        <v>0</v>
      </c>
      <c r="AE807" s="181" t="str">
        <f t="shared" ca="1" si="153"/>
        <v/>
      </c>
      <c r="AF807" s="42" t="str">
        <f t="shared" si="164"/>
        <v>SI</v>
      </c>
      <c r="AG807" s="732" t="s">
        <v>5773</v>
      </c>
      <c r="AH807" s="152" t="s">
        <v>1255</v>
      </c>
      <c r="AI807" s="870" t="s">
        <v>4548</v>
      </c>
      <c r="AJ807" s="152" t="s">
        <v>1176</v>
      </c>
      <c r="AK807" s="255" t="s">
        <v>559</v>
      </c>
      <c r="AL807" s="838"/>
      <c r="AM807" s="838" t="s">
        <v>4802</v>
      </c>
      <c r="AN807" s="161" t="str">
        <f t="shared" ca="1" si="154"/>
        <v>TERMINO</v>
      </c>
      <c r="AO807" s="284" t="s">
        <v>582</v>
      </c>
      <c r="AP807" s="406" t="s">
        <v>391</v>
      </c>
      <c r="AQ807" s="819" t="str">
        <f>IFERROR(VLOOKUP(E807,'liquidaciones '!$B$2:$C$1048576,2,0),"NO")</f>
        <v>LIQUIDADO</v>
      </c>
      <c r="AR807" s="909" t="str">
        <f>IFERROR(VLOOKUP(E807,'liquidaciones '!$B$2:$I$1048576,8,0),"")</f>
        <v>LINA LOZADA</v>
      </c>
      <c r="AS807" s="406"/>
      <c r="AT807" s="156" t="str">
        <f t="shared" ca="1" si="155"/>
        <v>SI</v>
      </c>
      <c r="AU807" s="1031" t="s">
        <v>4805</v>
      </c>
      <c r="AV807" s="406"/>
      <c r="AW807" s="930" t="s">
        <v>559</v>
      </c>
      <c r="AX807" s="930" t="s">
        <v>5436</v>
      </c>
      <c r="AY807" s="928"/>
    </row>
    <row r="808" spans="3:51" ht="40.799999999999997" x14ac:dyDescent="0.3">
      <c r="C808" s="837">
        <v>371</v>
      </c>
      <c r="E808" s="120" t="s">
        <v>5056</v>
      </c>
      <c r="F808" s="414" t="s">
        <v>5057</v>
      </c>
      <c r="G808" s="863">
        <v>900599628</v>
      </c>
      <c r="H808" s="969" t="s">
        <v>5058</v>
      </c>
      <c r="I808" s="84">
        <v>6124700</v>
      </c>
      <c r="J808" s="843" t="s">
        <v>5059</v>
      </c>
      <c r="K808" s="269">
        <v>2019</v>
      </c>
      <c r="L808" s="519">
        <v>43637</v>
      </c>
      <c r="M808" s="519">
        <v>43654</v>
      </c>
      <c r="N808" s="519">
        <v>43958</v>
      </c>
      <c r="O808" s="1099" t="str">
        <f>IF(+Modificaciones!I808=0,"",VLOOKUP(E808,Modificaciones!$B$7:$I$2400,8,0))</f>
        <v/>
      </c>
      <c r="P808" s="115">
        <f>COUNTA(Modificaciones!J808,Modificaciones!L808,Modificaciones!N808,Modificaciones!P808)</f>
        <v>0</v>
      </c>
      <c r="Q808" s="116">
        <f>VLOOKUP(E808,Modificaciones!$B$7:$R$2300,17,0)</f>
        <v>0</v>
      </c>
      <c r="R808" s="117">
        <f>COUNTA(Modificaciones!T808,Modificaciones!V808,Modificaciones!X808,Modificaciones!Z808)</f>
        <v>0</v>
      </c>
      <c r="S808" s="118" t="str">
        <f>IF(Modificaciones!AA808=0,"",VLOOKUP(E808,Modificaciones!$B$7:$AA$2400,26,0))</f>
        <v/>
      </c>
      <c r="T808" s="119" t="str">
        <f>IF(Modificaciones!AB808=0,"",VLOOKUP(E808,Modificaciones!$B$7:$AB$2400,27,0))</f>
        <v/>
      </c>
      <c r="U808" s="1080" t="str">
        <f>+Modificaciones!AC808</f>
        <v/>
      </c>
      <c r="V808" s="825" t="str">
        <f>+Modificaciones!AK808</f>
        <v/>
      </c>
      <c r="W808" s="825">
        <f t="shared" si="150"/>
        <v>43958</v>
      </c>
      <c r="X808" s="59">
        <f t="shared" si="149"/>
        <v>6124700</v>
      </c>
      <c r="Y808" s="151">
        <f>VLOOKUP(E808,Modificaciones!$B$7:$BE$2300,56,0)</f>
        <v>2720000</v>
      </c>
      <c r="Z808" s="84">
        <f t="shared" si="162"/>
        <v>3404700</v>
      </c>
      <c r="AA808" s="288" t="s">
        <v>1186</v>
      </c>
      <c r="AB808" s="823">
        <f t="shared" si="163"/>
        <v>0.44410338465557497</v>
      </c>
      <c r="AC808" s="40">
        <f t="shared" ca="1" si="151"/>
        <v>1</v>
      </c>
      <c r="AD808" s="41">
        <f t="shared" ca="1" si="152"/>
        <v>0.55589661534442503</v>
      </c>
      <c r="AE808" s="181" t="str">
        <f t="shared" ca="1" si="153"/>
        <v/>
      </c>
      <c r="AF808" s="42" t="str">
        <f t="shared" si="164"/>
        <v>NO</v>
      </c>
      <c r="AG808" s="1017" t="s">
        <v>4920</v>
      </c>
      <c r="AH808" s="152" t="s">
        <v>1255</v>
      </c>
      <c r="AI808" s="255" t="s">
        <v>1135</v>
      </c>
      <c r="AJ808" s="152" t="s">
        <v>1441</v>
      </c>
      <c r="AK808" s="255" t="s">
        <v>560</v>
      </c>
      <c r="AL808" s="153" t="s">
        <v>5060</v>
      </c>
      <c r="AM808" s="279" t="s">
        <v>4851</v>
      </c>
      <c r="AN808" s="161" t="str">
        <f t="shared" ca="1" si="154"/>
        <v>TERMINO</v>
      </c>
      <c r="AO808" s="160" t="s">
        <v>576</v>
      </c>
      <c r="AP808" s="406" t="s">
        <v>390</v>
      </c>
      <c r="AQ808" s="819" t="str">
        <f>IFERROR(VLOOKUP(E808,'liquidaciones '!$B$2:$C$1048576,2,0),"NO")</f>
        <v>NO</v>
      </c>
      <c r="AR808" s="909" t="str">
        <f>IFERROR(VLOOKUP(E808,'liquidaciones '!$B$2:$I$1048576,8,0),"")</f>
        <v/>
      </c>
      <c r="AS808" s="406"/>
      <c r="AT808" s="156" t="str">
        <f t="shared" ca="1" si="155"/>
        <v>SI</v>
      </c>
      <c r="AU808" s="156" t="s">
        <v>5852</v>
      </c>
      <c r="AV808" s="406" t="s">
        <v>5044</v>
      </c>
      <c r="AW808" s="930" t="s">
        <v>560</v>
      </c>
      <c r="AX808" s="928"/>
      <c r="AY808" s="275" t="s">
        <v>5797</v>
      </c>
    </row>
    <row r="809" spans="3:51" ht="40.799999999999997" x14ac:dyDescent="0.3">
      <c r="C809" s="837">
        <v>409</v>
      </c>
      <c r="D809" s="837"/>
      <c r="E809" s="120" t="s">
        <v>5061</v>
      </c>
      <c r="F809" s="414" t="s">
        <v>5062</v>
      </c>
      <c r="G809" s="863">
        <v>80154770</v>
      </c>
      <c r="H809" s="969" t="s">
        <v>3837</v>
      </c>
      <c r="I809" s="84">
        <v>39336000</v>
      </c>
      <c r="J809" s="843" t="s">
        <v>5061</v>
      </c>
      <c r="K809" s="269">
        <v>2019</v>
      </c>
      <c r="L809" s="519">
        <v>43651</v>
      </c>
      <c r="M809" s="519">
        <v>43656</v>
      </c>
      <c r="N809" s="519">
        <v>43830</v>
      </c>
      <c r="O809" s="1099" t="str">
        <f>IF(+Modificaciones!I809=0,"",VLOOKUP(E809,Modificaciones!$B$7:$I$2400,8,0))</f>
        <v/>
      </c>
      <c r="P809" s="115">
        <f>COUNTA(Modificaciones!J809,Modificaciones!L809,Modificaciones!N809,Modificaciones!P809)</f>
        <v>0</v>
      </c>
      <c r="Q809" s="116">
        <f>VLOOKUP(E809,Modificaciones!$B$7:$R$2300,17,0)</f>
        <v>0</v>
      </c>
      <c r="R809" s="117">
        <f>COUNTA(Modificaciones!T809,Modificaciones!V809,Modificaciones!X809,Modificaciones!Z809)</f>
        <v>0</v>
      </c>
      <c r="S809" s="118" t="str">
        <f>IF(Modificaciones!AA809=0,"",VLOOKUP(E809,Modificaciones!$B$7:$AA$2400,26,0))</f>
        <v/>
      </c>
      <c r="T809" s="119" t="str">
        <f>IF(Modificaciones!AB809=0,"",VLOOKUP(E809,Modificaciones!$B$7:$AB$2400,27,0))</f>
        <v/>
      </c>
      <c r="U809" s="1080" t="str">
        <f>+Modificaciones!AC809</f>
        <v/>
      </c>
      <c r="V809" s="825" t="str">
        <f>+Modificaciones!AK809</f>
        <v/>
      </c>
      <c r="W809" s="825">
        <f t="shared" si="150"/>
        <v>43830</v>
      </c>
      <c r="X809" s="59">
        <f t="shared" si="149"/>
        <v>39336000</v>
      </c>
      <c r="Y809" s="151">
        <f>VLOOKUP(E809,Modificaciones!$B$7:$BE$2300,56,0)</f>
        <v>37369200</v>
      </c>
      <c r="Z809" s="84">
        <f t="shared" si="162"/>
        <v>1966800</v>
      </c>
      <c r="AA809" s="283" t="s">
        <v>1094</v>
      </c>
      <c r="AB809" s="823">
        <f t="shared" si="163"/>
        <v>0.95</v>
      </c>
      <c r="AC809" s="40">
        <f t="shared" ca="1" si="151"/>
        <v>1</v>
      </c>
      <c r="AD809" s="41">
        <f t="shared" ca="1" si="152"/>
        <v>5.0000000000000044E-2</v>
      </c>
      <c r="AE809" s="181" t="str">
        <f t="shared" ca="1" si="153"/>
        <v/>
      </c>
      <c r="AF809" s="42" t="str">
        <f t="shared" si="164"/>
        <v>NO</v>
      </c>
      <c r="AG809" s="732" t="s">
        <v>5773</v>
      </c>
      <c r="AH809" s="152" t="s">
        <v>1255</v>
      </c>
      <c r="AI809" s="870" t="s">
        <v>5084</v>
      </c>
      <c r="AJ809" s="838" t="s">
        <v>4873</v>
      </c>
      <c r="AK809" s="255" t="s">
        <v>560</v>
      </c>
      <c r="AL809" s="838"/>
      <c r="AM809" s="838" t="s">
        <v>4851</v>
      </c>
      <c r="AN809" s="161" t="str">
        <f t="shared" ca="1" si="154"/>
        <v>TERMINO</v>
      </c>
      <c r="AO809" s="284" t="s">
        <v>582</v>
      </c>
      <c r="AP809" s="406" t="s">
        <v>391</v>
      </c>
      <c r="AQ809" s="819" t="str">
        <f>IFERROR(VLOOKUP(E809,'liquidaciones '!$B$2:$C$1048576,2,0),"NO")</f>
        <v>EN TRÁMITE</v>
      </c>
      <c r="AR809" s="909" t="str">
        <f>IFERROR(VLOOKUP(E809,'liquidaciones '!$B$2:$I$1048576,8,0),"")</f>
        <v>NATALIA ALEJANDRA OSORIO</v>
      </c>
      <c r="AS809" s="406"/>
      <c r="AT809" s="156" t="str">
        <f t="shared" ca="1" si="155"/>
        <v>SI</v>
      </c>
      <c r="AU809" s="1023" t="s">
        <v>4805</v>
      </c>
      <c r="AV809" s="406"/>
      <c r="AW809" s="930" t="s">
        <v>560</v>
      </c>
      <c r="AX809" s="928"/>
      <c r="AY809" s="928"/>
    </row>
    <row r="810" spans="3:51" ht="40.799999999999997" x14ac:dyDescent="0.3">
      <c r="C810" s="837">
        <v>411</v>
      </c>
      <c r="D810" s="837"/>
      <c r="E810" s="120" t="s">
        <v>5065</v>
      </c>
      <c r="F810" s="414" t="s">
        <v>5201</v>
      </c>
      <c r="G810" s="863">
        <v>79727497</v>
      </c>
      <c r="H810" s="969" t="s">
        <v>5650</v>
      </c>
      <c r="I810" s="84">
        <v>39132000</v>
      </c>
      <c r="J810" s="843" t="s">
        <v>5065</v>
      </c>
      <c r="K810" s="269">
        <v>2019</v>
      </c>
      <c r="L810" s="519">
        <v>43651</v>
      </c>
      <c r="M810" s="519">
        <v>43657</v>
      </c>
      <c r="N810" s="519">
        <v>43830</v>
      </c>
      <c r="O810" s="1099" t="str">
        <f>IF(+Modificaciones!I810=0,"",VLOOKUP(E810,Modificaciones!$B$7:$I$2400,8,0))</f>
        <v/>
      </c>
      <c r="P810" s="115">
        <f>COUNTA(Modificaciones!J810,Modificaciones!L810,Modificaciones!N810,Modificaciones!P810)</f>
        <v>0</v>
      </c>
      <c r="Q810" s="116">
        <f>VLOOKUP(E810,Modificaciones!$B$7:$R$2300,17,0)</f>
        <v>0</v>
      </c>
      <c r="R810" s="117">
        <f>COUNTA(Modificaciones!T810,Modificaciones!V810,Modificaciones!X810,Modificaciones!Z810)</f>
        <v>0</v>
      </c>
      <c r="S810" s="118" t="str">
        <f>IF(Modificaciones!AA810=0,"",VLOOKUP(E810,Modificaciones!$B$7:$AA$2400,26,0))</f>
        <v/>
      </c>
      <c r="T810" s="119" t="str">
        <f>IF(Modificaciones!AB810=0,"",VLOOKUP(E810,Modificaciones!$B$7:$AB$2400,27,0))</f>
        <v/>
      </c>
      <c r="U810" s="1080" t="str">
        <f>+Modificaciones!AC810</f>
        <v/>
      </c>
      <c r="V810" s="825" t="str">
        <f>+Modificaciones!AK810</f>
        <v/>
      </c>
      <c r="W810" s="825">
        <f t="shared" si="150"/>
        <v>43830</v>
      </c>
      <c r="X810" s="59">
        <f t="shared" si="149"/>
        <v>39132000</v>
      </c>
      <c r="Y810" s="151">
        <f>VLOOKUP(E810,Modificaciones!$B$7:$BE$2300,56,0)</f>
        <v>35871000</v>
      </c>
      <c r="Z810" s="84">
        <f t="shared" si="162"/>
        <v>3261000</v>
      </c>
      <c r="AA810" s="283" t="s">
        <v>1094</v>
      </c>
      <c r="AB810" s="823">
        <f t="shared" si="163"/>
        <v>0.91666666666666663</v>
      </c>
      <c r="AC810" s="40">
        <f t="shared" ca="1" si="151"/>
        <v>1</v>
      </c>
      <c r="AD810" s="41">
        <f t="shared" ca="1" si="152"/>
        <v>8.333333333333337E-2</v>
      </c>
      <c r="AE810" s="181" t="str">
        <f t="shared" ca="1" si="153"/>
        <v/>
      </c>
      <c r="AF810" s="42" t="str">
        <f t="shared" si="164"/>
        <v>NO</v>
      </c>
      <c r="AG810" s="732" t="s">
        <v>5773</v>
      </c>
      <c r="AH810" s="152" t="s">
        <v>1255</v>
      </c>
      <c r="AI810" s="870" t="s">
        <v>5085</v>
      </c>
      <c r="AJ810" s="152" t="s">
        <v>2498</v>
      </c>
      <c r="AK810" s="255" t="s">
        <v>559</v>
      </c>
      <c r="AL810" s="838"/>
      <c r="AM810" s="838" t="s">
        <v>4802</v>
      </c>
      <c r="AN810" s="161" t="str">
        <f t="shared" ca="1" si="154"/>
        <v>TERMINO</v>
      </c>
      <c r="AO810" s="284" t="s">
        <v>582</v>
      </c>
      <c r="AP810" s="406" t="s">
        <v>391</v>
      </c>
      <c r="AQ810" s="819" t="str">
        <f>IFERROR(VLOOKUP(E810,'liquidaciones '!$B$2:$C$1048576,2,0),"NO")</f>
        <v>LIQUIDADO</v>
      </c>
      <c r="AR810" s="909" t="str">
        <f>IFERROR(VLOOKUP(E810,'liquidaciones '!$B$2:$I$1048576,8,0),"")</f>
        <v>JUAN DIEGO ESPITIA</v>
      </c>
      <c r="AS810" s="406"/>
      <c r="AT810" s="156" t="str">
        <f t="shared" ca="1" si="155"/>
        <v>SI</v>
      </c>
      <c r="AU810" s="1032" t="s">
        <v>4805</v>
      </c>
      <c r="AV810" s="406"/>
      <c r="AW810" s="930" t="s">
        <v>559</v>
      </c>
      <c r="AX810" s="928"/>
      <c r="AY810" s="930" t="s">
        <v>5798</v>
      </c>
    </row>
    <row r="811" spans="3:51" ht="40.799999999999997" x14ac:dyDescent="0.3">
      <c r="C811" s="837">
        <v>306</v>
      </c>
      <c r="D811" s="837"/>
      <c r="E811" s="120" t="s">
        <v>5066</v>
      </c>
      <c r="F811" s="414" t="s">
        <v>5067</v>
      </c>
      <c r="G811" s="863">
        <v>19498203</v>
      </c>
      <c r="H811" s="969" t="s">
        <v>5068</v>
      </c>
      <c r="I811" s="84">
        <v>67045399</v>
      </c>
      <c r="J811" s="843" t="s">
        <v>5069</v>
      </c>
      <c r="K811" s="269">
        <v>2019</v>
      </c>
      <c r="L811" s="519">
        <v>43649</v>
      </c>
      <c r="M811" s="519">
        <v>43655</v>
      </c>
      <c r="N811" s="519">
        <v>43746</v>
      </c>
      <c r="O811" s="1099" t="str">
        <f>IF(+Modificaciones!I811=0,"",VLOOKUP(E811,Modificaciones!$B$7:$I$2400,8,0))</f>
        <v/>
      </c>
      <c r="P811" s="115">
        <f>COUNTA(Modificaciones!J811,Modificaciones!L811,Modificaciones!N811,Modificaciones!P811)</f>
        <v>0</v>
      </c>
      <c r="Q811" s="116">
        <f>VLOOKUP(E811,Modificaciones!$B$7:$R$2300,17,0)</f>
        <v>0</v>
      </c>
      <c r="R811" s="117">
        <f>COUNTA(Modificaciones!T811,Modificaciones!V811,Modificaciones!X811,Modificaciones!Z811)</f>
        <v>1</v>
      </c>
      <c r="S811" s="118" t="str">
        <f>IF(Modificaciones!AA811=0,"",VLOOKUP(E811,Modificaciones!$B$7:$AA$2400,26,0))</f>
        <v>20 días</v>
      </c>
      <c r="T811" s="119">
        <f>IF(Modificaciones!AB811=0,"",VLOOKUP(E811,Modificaciones!$B$7:$AB$2400,27,0))</f>
        <v>43766</v>
      </c>
      <c r="U811" s="1080" t="str">
        <f>+Modificaciones!AC811</f>
        <v/>
      </c>
      <c r="V811" s="825" t="str">
        <f>+Modificaciones!AK811</f>
        <v/>
      </c>
      <c r="W811" s="825">
        <f t="shared" si="150"/>
        <v>43766</v>
      </c>
      <c r="X811" s="59">
        <f t="shared" si="149"/>
        <v>67045399</v>
      </c>
      <c r="Y811" s="151">
        <f>VLOOKUP(E811,Modificaciones!$B$7:$BE$2300,56,0)</f>
        <v>67045399</v>
      </c>
      <c r="Z811" s="84">
        <f t="shared" si="162"/>
        <v>0</v>
      </c>
      <c r="AA811" s="1000"/>
      <c r="AB811" s="823">
        <f t="shared" si="163"/>
        <v>1</v>
      </c>
      <c r="AC811" s="40">
        <f t="shared" ca="1" si="151"/>
        <v>1</v>
      </c>
      <c r="AD811" s="41">
        <f t="shared" ca="1" si="152"/>
        <v>0</v>
      </c>
      <c r="AE811" s="181" t="str">
        <f t="shared" ca="1" si="153"/>
        <v/>
      </c>
      <c r="AF811" s="42" t="str">
        <f t="shared" si="164"/>
        <v>SI</v>
      </c>
      <c r="AG811" s="838" t="s">
        <v>1716</v>
      </c>
      <c r="AH811" s="152" t="s">
        <v>1255</v>
      </c>
      <c r="AI811" s="841" t="s">
        <v>1140</v>
      </c>
      <c r="AJ811" s="152" t="s">
        <v>1176</v>
      </c>
      <c r="AK811" s="255" t="s">
        <v>559</v>
      </c>
      <c r="AL811" s="838"/>
      <c r="AM811" s="838" t="s">
        <v>4802</v>
      </c>
      <c r="AN811" s="161" t="str">
        <f t="shared" ca="1" si="154"/>
        <v>TERMINO</v>
      </c>
      <c r="AO811" s="284" t="s">
        <v>582</v>
      </c>
      <c r="AP811" s="406" t="s">
        <v>390</v>
      </c>
      <c r="AQ811" s="819" t="str">
        <f>IFERROR(VLOOKUP(E811,'liquidaciones '!$B$2:$C$1048576,2,0),"NO")</f>
        <v>EN TRÁMITE</v>
      </c>
      <c r="AR811" s="909" t="str">
        <f>IFERROR(VLOOKUP(E811,'liquidaciones '!$B$2:$I$1048576,8,0),"")</f>
        <v>ANDRES FELIPE CORZO</v>
      </c>
      <c r="AS811" s="406"/>
      <c r="AT811" s="156" t="str">
        <f t="shared" ca="1" si="155"/>
        <v>SI</v>
      </c>
      <c r="AU811" s="1023" t="s">
        <v>4244</v>
      </c>
      <c r="AV811" s="406" t="s">
        <v>5044</v>
      </c>
      <c r="AW811" s="930" t="s">
        <v>560</v>
      </c>
      <c r="AX811" s="930" t="s">
        <v>5254</v>
      </c>
      <c r="AY811" s="928"/>
    </row>
    <row r="812" spans="3:51" ht="30.6" x14ac:dyDescent="0.3">
      <c r="C812" s="837">
        <v>400</v>
      </c>
      <c r="D812" s="837"/>
      <c r="E812" s="120" t="s">
        <v>5070</v>
      </c>
      <c r="F812" s="414" t="s">
        <v>5071</v>
      </c>
      <c r="G812" s="863">
        <v>73185137</v>
      </c>
      <c r="H812" s="969" t="s">
        <v>5072</v>
      </c>
      <c r="I812" s="84">
        <v>23190000</v>
      </c>
      <c r="J812" s="843" t="s">
        <v>5070</v>
      </c>
      <c r="K812" s="269">
        <v>2019</v>
      </c>
      <c r="L812" s="519">
        <v>43656</v>
      </c>
      <c r="M812" s="519">
        <v>43657</v>
      </c>
      <c r="N812" s="519">
        <v>43830</v>
      </c>
      <c r="O812" s="1099">
        <f>IF(+Modificaciones!I812=0,"",VLOOKUP(E812,Modificaciones!$B$7:$I$2400,8,0))</f>
        <v>43840</v>
      </c>
      <c r="P812" s="115">
        <f>COUNTA(Modificaciones!J812,Modificaciones!L812,Modificaciones!N812,Modificaciones!P812)</f>
        <v>0</v>
      </c>
      <c r="Q812" s="116">
        <f>VLOOKUP(E812,Modificaciones!$B$7:$R$2300,17,0)</f>
        <v>0</v>
      </c>
      <c r="R812" s="117">
        <f>COUNTA(Modificaciones!T812,Modificaciones!V812,Modificaciones!X812,Modificaciones!Z812)</f>
        <v>0</v>
      </c>
      <c r="S812" s="118" t="str">
        <f>IF(Modificaciones!AA812=0,"",VLOOKUP(E812,Modificaciones!$B$7:$AA$2400,26,0))</f>
        <v/>
      </c>
      <c r="T812" s="119" t="str">
        <f>IF(Modificaciones!AB812=0,"",VLOOKUP(E812,Modificaciones!$B$7:$AB$2400,27,0))</f>
        <v/>
      </c>
      <c r="U812" s="1080" t="str">
        <f>+Modificaciones!AC812</f>
        <v/>
      </c>
      <c r="V812" s="825" t="str">
        <f>+Modificaciones!AK812</f>
        <v/>
      </c>
      <c r="W812" s="825">
        <f t="shared" si="150"/>
        <v>43840</v>
      </c>
      <c r="X812" s="59">
        <f t="shared" si="149"/>
        <v>23190000</v>
      </c>
      <c r="Y812" s="151">
        <f>VLOOKUP(E812,Modificaciones!$B$7:$BE$2300,56,0)</f>
        <v>23190000</v>
      </c>
      <c r="Z812" s="84">
        <f t="shared" si="162"/>
        <v>0</v>
      </c>
      <c r="AA812" s="283" t="s">
        <v>1094</v>
      </c>
      <c r="AB812" s="823">
        <f t="shared" si="163"/>
        <v>1</v>
      </c>
      <c r="AC812" s="40">
        <f t="shared" ca="1" si="151"/>
        <v>1</v>
      </c>
      <c r="AD812" s="41">
        <f t="shared" ca="1" si="152"/>
        <v>0</v>
      </c>
      <c r="AE812" s="181" t="str">
        <f t="shared" ca="1" si="153"/>
        <v/>
      </c>
      <c r="AF812" s="42" t="str">
        <f t="shared" si="164"/>
        <v>SI</v>
      </c>
      <c r="AG812" s="732" t="s">
        <v>5773</v>
      </c>
      <c r="AH812" s="152" t="s">
        <v>1255</v>
      </c>
      <c r="AI812" s="870" t="s">
        <v>5083</v>
      </c>
      <c r="AJ812" s="152" t="s">
        <v>1176</v>
      </c>
      <c r="AK812" s="255" t="s">
        <v>559</v>
      </c>
      <c r="AL812" s="838"/>
      <c r="AM812" s="838" t="s">
        <v>4802</v>
      </c>
      <c r="AN812" s="161" t="str">
        <f t="shared" ca="1" si="154"/>
        <v>TERMINO</v>
      </c>
      <c r="AO812" s="284" t="s">
        <v>582</v>
      </c>
      <c r="AP812" s="406" t="s">
        <v>391</v>
      </c>
      <c r="AQ812" s="819" t="str">
        <f>IFERROR(VLOOKUP(E812,'liquidaciones '!$B$2:$C$1048576,2,0),"NO")</f>
        <v>EN TRÁMITE</v>
      </c>
      <c r="AR812" s="909" t="str">
        <f>IFERROR(VLOOKUP(E812,'liquidaciones '!$B$2:$I$1048576,8,0),"")</f>
        <v>ANNELADY GARCIA</v>
      </c>
      <c r="AS812" s="406"/>
      <c r="AT812" s="156" t="str">
        <f t="shared" ca="1" si="155"/>
        <v>SI</v>
      </c>
      <c r="AU812" s="1023" t="s">
        <v>4805</v>
      </c>
      <c r="AV812" s="406"/>
      <c r="AW812" s="930" t="s">
        <v>559</v>
      </c>
      <c r="AX812" s="930" t="s">
        <v>5505</v>
      </c>
      <c r="AY812" s="928"/>
    </row>
    <row r="813" spans="3:51" ht="30.6" x14ac:dyDescent="0.3">
      <c r="C813" s="837">
        <v>400</v>
      </c>
      <c r="D813" s="837"/>
      <c r="E813" s="120" t="s">
        <v>5073</v>
      </c>
      <c r="F813" s="414" t="s">
        <v>5074</v>
      </c>
      <c r="G813" s="863">
        <v>52430458</v>
      </c>
      <c r="H813" s="969" t="s">
        <v>5072</v>
      </c>
      <c r="I813" s="84">
        <v>23190000</v>
      </c>
      <c r="J813" s="843" t="s">
        <v>5073</v>
      </c>
      <c r="K813" s="269">
        <v>2019</v>
      </c>
      <c r="L813" s="519">
        <v>43655</v>
      </c>
      <c r="M813" s="519">
        <v>43658</v>
      </c>
      <c r="N813" s="519">
        <v>43830</v>
      </c>
      <c r="O813" s="1099">
        <f>IF(+Modificaciones!I813=0,"",VLOOKUP(E813,Modificaciones!$B$7:$I$2400,8,0))</f>
        <v>43841</v>
      </c>
      <c r="P813" s="115">
        <f>COUNTA(Modificaciones!J813,Modificaciones!L813,Modificaciones!N813,Modificaciones!P813)</f>
        <v>0</v>
      </c>
      <c r="Q813" s="116">
        <f>VLOOKUP(E813,Modificaciones!$B$7:$R$2300,17,0)</f>
        <v>0</v>
      </c>
      <c r="R813" s="117">
        <f>COUNTA(Modificaciones!T813,Modificaciones!V813,Modificaciones!X813,Modificaciones!Z813)</f>
        <v>0</v>
      </c>
      <c r="S813" s="118" t="str">
        <f>IF(Modificaciones!AA813=0,"",VLOOKUP(E813,Modificaciones!$B$7:$AA$2400,26,0))</f>
        <v/>
      </c>
      <c r="T813" s="119" t="str">
        <f>IF(Modificaciones!AB813=0,"",VLOOKUP(E813,Modificaciones!$B$7:$AB$2400,27,0))</f>
        <v/>
      </c>
      <c r="U813" s="1080" t="str">
        <f>+Modificaciones!AC813</f>
        <v/>
      </c>
      <c r="V813" s="825" t="str">
        <f>+Modificaciones!AK813</f>
        <v/>
      </c>
      <c r="W813" s="825">
        <f t="shared" si="150"/>
        <v>43841</v>
      </c>
      <c r="X813" s="59">
        <f t="shared" si="149"/>
        <v>23190000</v>
      </c>
      <c r="Y813" s="151">
        <f>VLOOKUP(E813,Modificaciones!$B$7:$BE$2300,56,0)</f>
        <v>21772833</v>
      </c>
      <c r="Z813" s="84">
        <f t="shared" si="162"/>
        <v>1417167</v>
      </c>
      <c r="AA813" s="283" t="s">
        <v>1094</v>
      </c>
      <c r="AB813" s="823">
        <f t="shared" si="163"/>
        <v>0.93888887451487713</v>
      </c>
      <c r="AC813" s="40">
        <f t="shared" ca="1" si="151"/>
        <v>1</v>
      </c>
      <c r="AD813" s="41">
        <f t="shared" ca="1" si="152"/>
        <v>6.1111125485122875E-2</v>
      </c>
      <c r="AE813" s="181" t="str">
        <f t="shared" ca="1" si="153"/>
        <v/>
      </c>
      <c r="AF813" s="42" t="str">
        <f t="shared" si="164"/>
        <v>NO</v>
      </c>
      <c r="AG813" s="732" t="s">
        <v>5773</v>
      </c>
      <c r="AH813" s="152" t="s">
        <v>1255</v>
      </c>
      <c r="AI813" s="870" t="s">
        <v>5083</v>
      </c>
      <c r="AJ813" s="152" t="s">
        <v>1176</v>
      </c>
      <c r="AK813" s="255" t="s">
        <v>559</v>
      </c>
      <c r="AL813" s="838"/>
      <c r="AM813" s="838" t="s">
        <v>4802</v>
      </c>
      <c r="AN813" s="161" t="str">
        <f t="shared" ca="1" si="154"/>
        <v>TERMINO</v>
      </c>
      <c r="AO813" s="284" t="s">
        <v>582</v>
      </c>
      <c r="AP813" s="406" t="s">
        <v>391</v>
      </c>
      <c r="AQ813" s="819" t="str">
        <f>IFERROR(VLOOKUP(E813,'liquidaciones '!$B$2:$C$1048576,2,0),"NO")</f>
        <v>NO</v>
      </c>
      <c r="AR813" s="909" t="str">
        <f>IFERROR(VLOOKUP(E813,'liquidaciones '!$B$2:$I$1048576,8,0),"")</f>
        <v/>
      </c>
      <c r="AS813" s="406"/>
      <c r="AT813" s="156" t="str">
        <f t="shared" ca="1" si="155"/>
        <v>SI</v>
      </c>
      <c r="AU813" s="1033" t="s">
        <v>4805</v>
      </c>
      <c r="AV813" s="406"/>
      <c r="AW813" s="930" t="s">
        <v>559</v>
      </c>
      <c r="AX813" s="930" t="s">
        <v>5504</v>
      </c>
      <c r="AY813" s="928"/>
    </row>
    <row r="814" spans="3:51" ht="30.6" x14ac:dyDescent="0.3">
      <c r="C814" s="837">
        <v>400</v>
      </c>
      <c r="D814" s="837"/>
      <c r="E814" s="120" t="s">
        <v>5075</v>
      </c>
      <c r="F814" s="414" t="s">
        <v>5076</v>
      </c>
      <c r="G814" s="863">
        <v>1032420103</v>
      </c>
      <c r="H814" s="969" t="s">
        <v>5077</v>
      </c>
      <c r="I814" s="84">
        <v>23190000</v>
      </c>
      <c r="J814" s="843" t="s">
        <v>5075</v>
      </c>
      <c r="K814" s="269">
        <v>2019</v>
      </c>
      <c r="L814" s="519">
        <v>43655</v>
      </c>
      <c r="M814" s="519">
        <v>43663</v>
      </c>
      <c r="N814" s="519">
        <v>43830</v>
      </c>
      <c r="O814" s="1099">
        <f>IF(+Modificaciones!I814=0,"",VLOOKUP(E814,Modificaciones!$B$7:$I$2400,8,0))</f>
        <v>43846</v>
      </c>
      <c r="P814" s="115">
        <f>COUNTA(Modificaciones!J814,Modificaciones!L814,Modificaciones!N814,Modificaciones!P814)</f>
        <v>0</v>
      </c>
      <c r="Q814" s="116">
        <f>VLOOKUP(E814,Modificaciones!$B$7:$R$2300,17,0)</f>
        <v>0</v>
      </c>
      <c r="R814" s="117">
        <f>COUNTA(Modificaciones!T814,Modificaciones!V814,Modificaciones!X814,Modificaciones!Z814)</f>
        <v>0</v>
      </c>
      <c r="S814" s="118" t="str">
        <f>IF(Modificaciones!AA814=0,"",VLOOKUP(E814,Modificaciones!$B$7:$AA$2400,26,0))</f>
        <v/>
      </c>
      <c r="T814" s="119" t="str">
        <f>IF(Modificaciones!AB814=0,"",VLOOKUP(E814,Modificaciones!$B$7:$AB$2400,27,0))</f>
        <v/>
      </c>
      <c r="U814" s="1080" t="str">
        <f>+Modificaciones!AC814</f>
        <v/>
      </c>
      <c r="V814" s="825" t="str">
        <f>+Modificaciones!AK814</f>
        <v/>
      </c>
      <c r="W814" s="825">
        <f t="shared" si="150"/>
        <v>43846</v>
      </c>
      <c r="X814" s="59">
        <f t="shared" si="149"/>
        <v>23190000</v>
      </c>
      <c r="Y814" s="151">
        <f>VLOOKUP(E814,Modificaciones!$B$7:$BE$2300,56,0)</f>
        <v>13398667</v>
      </c>
      <c r="Z814" s="84">
        <f t="shared" si="162"/>
        <v>9791333</v>
      </c>
      <c r="AA814" s="283" t="s">
        <v>1094</v>
      </c>
      <c r="AB814" s="823">
        <f t="shared" si="163"/>
        <v>0.57777779215178959</v>
      </c>
      <c r="AC814" s="40">
        <f t="shared" ca="1" si="151"/>
        <v>1</v>
      </c>
      <c r="AD814" s="41">
        <f t="shared" ca="1" si="152"/>
        <v>0.42222220784821041</v>
      </c>
      <c r="AE814" s="181" t="str">
        <f t="shared" ca="1" si="153"/>
        <v/>
      </c>
      <c r="AF814" s="42" t="str">
        <f t="shared" si="164"/>
        <v>NO</v>
      </c>
      <c r="AG814" s="732" t="s">
        <v>5773</v>
      </c>
      <c r="AH814" s="152" t="s">
        <v>1255</v>
      </c>
      <c r="AI814" s="870" t="s">
        <v>5082</v>
      </c>
      <c r="AJ814" s="152" t="s">
        <v>1176</v>
      </c>
      <c r="AK814" s="255" t="s">
        <v>559</v>
      </c>
      <c r="AL814" s="838"/>
      <c r="AM814" s="838" t="s">
        <v>4802</v>
      </c>
      <c r="AN814" s="161" t="str">
        <f t="shared" ca="1" si="154"/>
        <v>TERMINO</v>
      </c>
      <c r="AO814" s="284" t="s">
        <v>582</v>
      </c>
      <c r="AP814" s="406" t="s">
        <v>391</v>
      </c>
      <c r="AQ814" s="819" t="str">
        <f>IFERROR(VLOOKUP(E814,'liquidaciones '!$B$2:$C$1048576,2,0),"NO")</f>
        <v>NO</v>
      </c>
      <c r="AR814" s="909" t="str">
        <f>IFERROR(VLOOKUP(E814,'liquidaciones '!$B$2:$I$1048576,8,0),"")</f>
        <v/>
      </c>
      <c r="AS814" s="406"/>
      <c r="AT814" s="156" t="str">
        <f t="shared" ca="1" si="155"/>
        <v>SI</v>
      </c>
      <c r="AU814" s="1033" t="s">
        <v>4805</v>
      </c>
      <c r="AV814" s="406"/>
      <c r="AW814" s="930" t="s">
        <v>559</v>
      </c>
      <c r="AX814" s="928"/>
      <c r="AY814" s="928"/>
    </row>
    <row r="815" spans="3:51" ht="30.6" x14ac:dyDescent="0.3">
      <c r="C815" s="837">
        <v>415</v>
      </c>
      <c r="D815" s="837"/>
      <c r="E815" s="120" t="s">
        <v>5078</v>
      </c>
      <c r="F815" s="414" t="s">
        <v>5079</v>
      </c>
      <c r="G815" s="863">
        <v>80873518</v>
      </c>
      <c r="H815" s="969" t="s">
        <v>5080</v>
      </c>
      <c r="I815" s="84">
        <v>34782000</v>
      </c>
      <c r="J815" s="843" t="s">
        <v>5078</v>
      </c>
      <c r="K815" s="269">
        <v>2019</v>
      </c>
      <c r="L815" s="519">
        <v>43657</v>
      </c>
      <c r="M815" s="519">
        <v>43661</v>
      </c>
      <c r="N815" s="519">
        <v>43830</v>
      </c>
      <c r="O815" s="1099">
        <f>IF(+Modificaciones!I815=0,"",VLOOKUP(E815,Modificaciones!$B$7:$I$2400,8,0))</f>
        <v>43844</v>
      </c>
      <c r="P815" s="115">
        <f>COUNTA(Modificaciones!J815,Modificaciones!L815,Modificaciones!N815,Modificaciones!P815)</f>
        <v>0</v>
      </c>
      <c r="Q815" s="116">
        <f>VLOOKUP(E815,Modificaciones!$B$7:$R$2300,17,0)</f>
        <v>0</v>
      </c>
      <c r="R815" s="117">
        <f>COUNTA(Modificaciones!T815,Modificaciones!V815,Modificaciones!X815,Modificaciones!Z815)</f>
        <v>0</v>
      </c>
      <c r="S815" s="118" t="str">
        <f>IF(Modificaciones!AA815=0,"",VLOOKUP(E815,Modificaciones!$B$7:$AA$2400,26,0))</f>
        <v/>
      </c>
      <c r="T815" s="119" t="str">
        <f>IF(Modificaciones!AB815=0,"",VLOOKUP(E815,Modificaciones!$B$7:$AB$2400,27,0))</f>
        <v/>
      </c>
      <c r="U815" s="1080" t="str">
        <f>+Modificaciones!AC815</f>
        <v/>
      </c>
      <c r="V815" s="825" t="str">
        <f>+Modificaciones!AK815</f>
        <v/>
      </c>
      <c r="W815" s="825">
        <f t="shared" si="150"/>
        <v>43844</v>
      </c>
      <c r="X815" s="59">
        <f t="shared" si="149"/>
        <v>34782000</v>
      </c>
      <c r="Y815" s="151">
        <f>VLOOKUP(E815,Modificaciones!$B$7:$BE$2300,56,0)</f>
        <v>34782000</v>
      </c>
      <c r="Z815" s="84">
        <f t="shared" si="162"/>
        <v>0</v>
      </c>
      <c r="AA815" s="283" t="s">
        <v>1094</v>
      </c>
      <c r="AB815" s="823">
        <f t="shared" si="163"/>
        <v>1</v>
      </c>
      <c r="AC815" s="40">
        <f t="shared" ca="1" si="151"/>
        <v>1</v>
      </c>
      <c r="AD815" s="41">
        <f t="shared" ca="1" si="152"/>
        <v>0</v>
      </c>
      <c r="AE815" s="181" t="str">
        <f t="shared" ca="1" si="153"/>
        <v/>
      </c>
      <c r="AF815" s="42" t="str">
        <f t="shared" si="164"/>
        <v>SI</v>
      </c>
      <c r="AG815" s="732" t="s">
        <v>5773</v>
      </c>
      <c r="AH815" s="152" t="s">
        <v>1255</v>
      </c>
      <c r="AI815" s="870" t="s">
        <v>5081</v>
      </c>
      <c r="AJ815" s="152" t="s">
        <v>3985</v>
      </c>
      <c r="AK815" s="255" t="s">
        <v>562</v>
      </c>
      <c r="AL815" s="838"/>
      <c r="AM815" s="838" t="s">
        <v>4965</v>
      </c>
      <c r="AN815" s="161" t="str">
        <f t="shared" ca="1" si="154"/>
        <v>TERMINO</v>
      </c>
      <c r="AO815" s="284" t="s">
        <v>582</v>
      </c>
      <c r="AP815" s="406" t="s">
        <v>391</v>
      </c>
      <c r="AQ815" s="819" t="str">
        <f>IFERROR(VLOOKUP(E815,'liquidaciones '!$B$2:$C$1048576,2,0),"NO")</f>
        <v>NO</v>
      </c>
      <c r="AR815" s="909" t="str">
        <f>IFERROR(VLOOKUP(E815,'liquidaciones '!$B$2:$I$1048576,8,0),"")</f>
        <v/>
      </c>
      <c r="AS815" s="406"/>
      <c r="AT815" s="156" t="str">
        <f t="shared" ca="1" si="155"/>
        <v>SI</v>
      </c>
      <c r="AU815" s="1035" t="s">
        <v>4805</v>
      </c>
      <c r="AV815" s="406"/>
      <c r="AW815" s="930" t="s">
        <v>5092</v>
      </c>
      <c r="AX815" s="930" t="s">
        <v>5515</v>
      </c>
      <c r="AY815" s="928"/>
    </row>
    <row r="816" spans="3:51" ht="40.799999999999997" x14ac:dyDescent="0.3">
      <c r="C816" s="837">
        <v>397</v>
      </c>
      <c r="D816" s="837"/>
      <c r="E816" s="120" t="s">
        <v>5090</v>
      </c>
      <c r="F816" s="414" t="s">
        <v>5088</v>
      </c>
      <c r="G816" s="863">
        <v>79290987</v>
      </c>
      <c r="H816" s="969" t="s">
        <v>5089</v>
      </c>
      <c r="I816" s="84">
        <v>34782000</v>
      </c>
      <c r="J816" s="843" t="s">
        <v>5090</v>
      </c>
      <c r="K816" s="269">
        <v>2019</v>
      </c>
      <c r="L816" s="519">
        <v>43656</v>
      </c>
      <c r="M816" s="519">
        <v>43661</v>
      </c>
      <c r="N816" s="519">
        <v>43830</v>
      </c>
      <c r="O816" s="1099">
        <f>IF(+Modificaciones!I816=0,"",VLOOKUP(E816,Modificaciones!$B$7:$I$2400,8,0))</f>
        <v>43844</v>
      </c>
      <c r="P816" s="115">
        <f>COUNTA(Modificaciones!J816,Modificaciones!L816,Modificaciones!N816,Modificaciones!P816)</f>
        <v>0</v>
      </c>
      <c r="Q816" s="116">
        <f>VLOOKUP(E816,Modificaciones!$B$7:$R$2300,17,0)</f>
        <v>0</v>
      </c>
      <c r="R816" s="117">
        <f>COUNTA(Modificaciones!T816,Modificaciones!V816,Modificaciones!X816,Modificaciones!Z816)</f>
        <v>0</v>
      </c>
      <c r="S816" s="118" t="str">
        <f>IF(Modificaciones!AA816=0,"",VLOOKUP(E816,Modificaciones!$B$7:$AA$2400,26,0))</f>
        <v/>
      </c>
      <c r="T816" s="119" t="str">
        <f>IF(Modificaciones!AB816=0,"",VLOOKUP(E816,Modificaciones!$B$7:$AB$2400,27,0))</f>
        <v/>
      </c>
      <c r="U816" s="1080" t="str">
        <f>+Modificaciones!AC816</f>
        <v/>
      </c>
      <c r="V816" s="825" t="str">
        <f>+Modificaciones!AK816</f>
        <v/>
      </c>
      <c r="W816" s="825">
        <f t="shared" si="150"/>
        <v>43844</v>
      </c>
      <c r="X816" s="59">
        <f t="shared" si="149"/>
        <v>34782000</v>
      </c>
      <c r="Y816" s="151">
        <f>VLOOKUP(E816,Modificaciones!$B$7:$BE$2300,56,0)</f>
        <v>34782000</v>
      </c>
      <c r="Z816" s="84">
        <f t="shared" si="162"/>
        <v>0</v>
      </c>
      <c r="AA816" s="283" t="s">
        <v>1094</v>
      </c>
      <c r="AB816" s="823">
        <f t="shared" si="163"/>
        <v>1</v>
      </c>
      <c r="AC816" s="40">
        <f t="shared" ca="1" si="151"/>
        <v>1</v>
      </c>
      <c r="AD816" s="41">
        <f t="shared" ca="1" si="152"/>
        <v>0</v>
      </c>
      <c r="AE816" s="181" t="str">
        <f t="shared" ca="1" si="153"/>
        <v/>
      </c>
      <c r="AF816" s="42" t="str">
        <f t="shared" si="164"/>
        <v>SI</v>
      </c>
      <c r="AG816" s="732" t="s">
        <v>5773</v>
      </c>
      <c r="AH816" s="152" t="s">
        <v>1255</v>
      </c>
      <c r="AI816" s="870" t="s">
        <v>5096</v>
      </c>
      <c r="AJ816" s="152" t="s">
        <v>5091</v>
      </c>
      <c r="AK816" s="255" t="s">
        <v>561</v>
      </c>
      <c r="AL816" s="838"/>
      <c r="AM816" s="838" t="s">
        <v>4916</v>
      </c>
      <c r="AN816" s="161" t="str">
        <f t="shared" ca="1" si="154"/>
        <v>TERMINO</v>
      </c>
      <c r="AO816" s="284" t="s">
        <v>582</v>
      </c>
      <c r="AP816" s="406" t="s">
        <v>391</v>
      </c>
      <c r="AQ816" s="819" t="str">
        <f>IFERROR(VLOOKUP(E816,'liquidaciones '!$B$2:$C$1048576,2,0),"NO")</f>
        <v>EN TRÁMITE</v>
      </c>
      <c r="AR816" s="909">
        <f>IFERROR(VLOOKUP(E816,'liquidaciones '!$B$2:$I$1048576,8,0),"")</f>
        <v>0</v>
      </c>
      <c r="AS816" s="406"/>
      <c r="AT816" s="156" t="str">
        <f t="shared" ca="1" si="155"/>
        <v>SI</v>
      </c>
      <c r="AU816" s="1035" t="s">
        <v>4805</v>
      </c>
      <c r="AV816" s="406" t="s">
        <v>5026</v>
      </c>
      <c r="AW816" s="930" t="s">
        <v>561</v>
      </c>
      <c r="AX816" s="930" t="s">
        <v>5506</v>
      </c>
      <c r="AY816" s="928"/>
    </row>
    <row r="817" spans="3:51" ht="40.799999999999997" x14ac:dyDescent="0.3">
      <c r="C817" s="837">
        <v>310</v>
      </c>
      <c r="D817" s="837"/>
      <c r="E817" s="120" t="s">
        <v>5095</v>
      </c>
      <c r="F817" s="414" t="s">
        <v>5093</v>
      </c>
      <c r="G817" s="863">
        <v>80809545</v>
      </c>
      <c r="H817" s="969" t="s">
        <v>5094</v>
      </c>
      <c r="I817" s="84">
        <v>12426000</v>
      </c>
      <c r="J817" s="843" t="s">
        <v>5095</v>
      </c>
      <c r="K817" s="269">
        <v>2019</v>
      </c>
      <c r="L817" s="519">
        <v>43657</v>
      </c>
      <c r="M817" s="519">
        <v>43661</v>
      </c>
      <c r="N817" s="519">
        <v>43830</v>
      </c>
      <c r="O817" s="1099">
        <f>IF(+Modificaciones!I817=0,"",VLOOKUP(E817,Modificaciones!$B$7:$I$2400,8,0))</f>
        <v>43844</v>
      </c>
      <c r="P817" s="115">
        <f>COUNTA(Modificaciones!J817,Modificaciones!L817,Modificaciones!N817,Modificaciones!P817)</f>
        <v>0</v>
      </c>
      <c r="Q817" s="116">
        <f>VLOOKUP(E817,Modificaciones!$B$7:$R$2300,17,0)</f>
        <v>0</v>
      </c>
      <c r="R817" s="117">
        <f>COUNTA(Modificaciones!T817,Modificaciones!V817,Modificaciones!X817,Modificaciones!Z817)</f>
        <v>0</v>
      </c>
      <c r="S817" s="118" t="str">
        <f>IF(Modificaciones!AA817=0,"",VLOOKUP(E817,Modificaciones!$B$7:$AA$2400,26,0))</f>
        <v/>
      </c>
      <c r="T817" s="119" t="str">
        <f>IF(Modificaciones!AB817=0,"",VLOOKUP(E817,Modificaciones!$B$7:$AB$2400,27,0))</f>
        <v/>
      </c>
      <c r="U817" s="1080" t="str">
        <f>+Modificaciones!AC817</f>
        <v/>
      </c>
      <c r="V817" s="825" t="str">
        <f>+Modificaciones!AK817</f>
        <v/>
      </c>
      <c r="W817" s="825">
        <f t="shared" si="150"/>
        <v>43844</v>
      </c>
      <c r="X817" s="59">
        <f t="shared" si="149"/>
        <v>12426000</v>
      </c>
      <c r="Y817" s="151">
        <f>VLOOKUP(E817,Modificaciones!$B$7:$BE$2300,56,0)</f>
        <v>12426000</v>
      </c>
      <c r="Z817" s="84">
        <f t="shared" si="162"/>
        <v>0</v>
      </c>
      <c r="AA817" s="283" t="s">
        <v>1094</v>
      </c>
      <c r="AB817" s="823">
        <f t="shared" si="163"/>
        <v>1</v>
      </c>
      <c r="AC817" s="40">
        <f t="shared" ca="1" si="151"/>
        <v>1</v>
      </c>
      <c r="AD817" s="41">
        <f t="shared" ca="1" si="152"/>
        <v>0</v>
      </c>
      <c r="AE817" s="181" t="str">
        <f t="shared" ca="1" si="153"/>
        <v/>
      </c>
      <c r="AF817" s="42" t="str">
        <f t="shared" si="164"/>
        <v>SI</v>
      </c>
      <c r="AG817" s="732" t="s">
        <v>5773</v>
      </c>
      <c r="AH817" s="152" t="s">
        <v>1255</v>
      </c>
      <c r="AI817" s="870" t="s">
        <v>5096</v>
      </c>
      <c r="AJ817" s="152" t="s">
        <v>5091</v>
      </c>
      <c r="AK817" s="255" t="s">
        <v>561</v>
      </c>
      <c r="AL817" s="838"/>
      <c r="AM817" s="838" t="s">
        <v>4916</v>
      </c>
      <c r="AN817" s="161" t="str">
        <f t="shared" ca="1" si="154"/>
        <v>TERMINO</v>
      </c>
      <c r="AO817" s="284" t="s">
        <v>582</v>
      </c>
      <c r="AP817" s="406" t="s">
        <v>391</v>
      </c>
      <c r="AQ817" s="819" t="str">
        <f>IFERROR(VLOOKUP(E817,'liquidaciones '!$B$2:$C$1048576,2,0),"NO")</f>
        <v>EN TRÁMITE</v>
      </c>
      <c r="AR817" s="909" t="str">
        <f>IFERROR(VLOOKUP(E817,'liquidaciones '!$B$2:$I$1048576,8,0),"")</f>
        <v>MARIA FERNANDA ROMERO</v>
      </c>
      <c r="AS817" s="406"/>
      <c r="AT817" s="156" t="str">
        <f t="shared" ca="1" si="155"/>
        <v>SI</v>
      </c>
      <c r="AU817" s="1035" t="s">
        <v>4805</v>
      </c>
      <c r="AV817" s="406" t="s">
        <v>5026</v>
      </c>
      <c r="AW817" s="930" t="s">
        <v>561</v>
      </c>
      <c r="AX817" s="930" t="s">
        <v>5458</v>
      </c>
      <c r="AY817" s="928"/>
    </row>
    <row r="818" spans="3:51" ht="30.6" x14ac:dyDescent="0.3">
      <c r="C818" s="837">
        <v>393</v>
      </c>
      <c r="D818" s="837"/>
      <c r="E818" s="120" t="s">
        <v>5097</v>
      </c>
      <c r="F818" s="414" t="s">
        <v>5098</v>
      </c>
      <c r="G818" s="863">
        <v>1012321683</v>
      </c>
      <c r="H818" s="969" t="s">
        <v>5099</v>
      </c>
      <c r="I818" s="84">
        <v>13254000</v>
      </c>
      <c r="J818" s="843" t="s">
        <v>5097</v>
      </c>
      <c r="K818" s="269">
        <v>2019</v>
      </c>
      <c r="L818" s="519">
        <v>43661</v>
      </c>
      <c r="M818" s="519">
        <v>43661</v>
      </c>
      <c r="N818" s="519">
        <v>43830</v>
      </c>
      <c r="O818" s="1099">
        <f>IF(+Modificaciones!I818=0,"",VLOOKUP(E818,Modificaciones!$B$7:$I$2400,8,0))</f>
        <v>43844</v>
      </c>
      <c r="P818" s="115">
        <f>COUNTA(Modificaciones!J818,Modificaciones!L818,Modificaciones!N818,Modificaciones!P818)</f>
        <v>0</v>
      </c>
      <c r="Q818" s="116">
        <f>VLOOKUP(E818,Modificaciones!$B$7:$R$2300,17,0)</f>
        <v>0</v>
      </c>
      <c r="R818" s="117">
        <f>COUNTA(Modificaciones!T818,Modificaciones!V818,Modificaciones!X818,Modificaciones!Z818)</f>
        <v>0</v>
      </c>
      <c r="S818" s="118" t="str">
        <f>IF(Modificaciones!AA818=0,"",VLOOKUP(E818,Modificaciones!$B$7:$AA$2400,26,0))</f>
        <v/>
      </c>
      <c r="T818" s="119" t="str">
        <f>IF(Modificaciones!AB818=0,"",VLOOKUP(E818,Modificaciones!$B$7:$AB$2400,27,0))</f>
        <v/>
      </c>
      <c r="U818" s="1080" t="str">
        <f>+Modificaciones!AC818</f>
        <v/>
      </c>
      <c r="V818" s="825" t="str">
        <f>+Modificaciones!AK818</f>
        <v/>
      </c>
      <c r="W818" s="825">
        <f t="shared" si="150"/>
        <v>43844</v>
      </c>
      <c r="X818" s="59">
        <f t="shared" si="149"/>
        <v>13254000</v>
      </c>
      <c r="Y818" s="151">
        <f>VLOOKUP(E818,Modificaciones!$B$7:$BE$2300,56,0)</f>
        <v>13254000</v>
      </c>
      <c r="Z818" s="84">
        <f t="shared" si="162"/>
        <v>0</v>
      </c>
      <c r="AA818" s="283" t="s">
        <v>1094</v>
      </c>
      <c r="AB818" s="823">
        <f t="shared" si="163"/>
        <v>1</v>
      </c>
      <c r="AC818" s="40">
        <f t="shared" ca="1" si="151"/>
        <v>1</v>
      </c>
      <c r="AD818" s="41">
        <f t="shared" ca="1" si="152"/>
        <v>0</v>
      </c>
      <c r="AE818" s="181" t="str">
        <f t="shared" ca="1" si="153"/>
        <v/>
      </c>
      <c r="AF818" s="42" t="str">
        <f t="shared" si="164"/>
        <v>SI</v>
      </c>
      <c r="AG818" s="732" t="s">
        <v>5773</v>
      </c>
      <c r="AH818" s="152" t="s">
        <v>1255</v>
      </c>
      <c r="AI818" s="870" t="s">
        <v>5100</v>
      </c>
      <c r="AJ818" s="152" t="s">
        <v>5101</v>
      </c>
      <c r="AK818" s="255" t="s">
        <v>559</v>
      </c>
      <c r="AL818" s="838"/>
      <c r="AM818" s="838" t="s">
        <v>4802</v>
      </c>
      <c r="AN818" s="161" t="str">
        <f t="shared" ca="1" si="154"/>
        <v>TERMINO</v>
      </c>
      <c r="AO818" s="284" t="s">
        <v>582</v>
      </c>
      <c r="AP818" s="406" t="s">
        <v>391</v>
      </c>
      <c r="AQ818" s="819" t="str">
        <f>IFERROR(VLOOKUP(E818,'liquidaciones '!$B$2:$C$1048576,2,0),"NO")</f>
        <v>LIQUIDADO</v>
      </c>
      <c r="AR818" s="909" t="str">
        <f>IFERROR(VLOOKUP(E818,'liquidaciones '!$B$2:$I$1048576,8,0),"")</f>
        <v>ANNELADY GARCIA</v>
      </c>
      <c r="AS818" s="406"/>
      <c r="AT818" s="156" t="str">
        <f t="shared" ca="1" si="155"/>
        <v>SI</v>
      </c>
      <c r="AU818" s="1035" t="s">
        <v>4805</v>
      </c>
      <c r="AV818" s="406" t="s">
        <v>5025</v>
      </c>
      <c r="AW818" s="930" t="s">
        <v>559</v>
      </c>
      <c r="AX818" s="930" t="s">
        <v>5456</v>
      </c>
      <c r="AY818" s="928"/>
    </row>
    <row r="819" spans="3:51" ht="30.6" x14ac:dyDescent="0.3">
      <c r="C819" s="837">
        <v>393</v>
      </c>
      <c r="D819" s="837"/>
      <c r="E819" s="120" t="s">
        <v>5102</v>
      </c>
      <c r="F819" s="414" t="s">
        <v>5103</v>
      </c>
      <c r="G819" s="863">
        <v>1022322549</v>
      </c>
      <c r="H819" s="969" t="s">
        <v>5104</v>
      </c>
      <c r="I819" s="84">
        <v>13254000</v>
      </c>
      <c r="J819" s="843" t="s">
        <v>5102</v>
      </c>
      <c r="K819" s="269">
        <v>2019</v>
      </c>
      <c r="L819" s="519">
        <v>43658</v>
      </c>
      <c r="M819" s="519">
        <v>43662</v>
      </c>
      <c r="N819" s="519">
        <v>43830</v>
      </c>
      <c r="O819" s="1099">
        <f>IF(+Modificaciones!I819=0,"",VLOOKUP(E819,Modificaciones!$B$7:$I$2400,8,0))</f>
        <v>43845</v>
      </c>
      <c r="P819" s="115">
        <f>COUNTA(Modificaciones!J819,Modificaciones!L819,Modificaciones!N819,Modificaciones!P819)</f>
        <v>0</v>
      </c>
      <c r="Q819" s="116">
        <f>VLOOKUP(E819,Modificaciones!$B$7:$R$2300,17,0)</f>
        <v>0</v>
      </c>
      <c r="R819" s="117">
        <f>COUNTA(Modificaciones!T819,Modificaciones!V819,Modificaciones!X819,Modificaciones!Z819)</f>
        <v>0</v>
      </c>
      <c r="S819" s="118" t="str">
        <f>IF(Modificaciones!AA819=0,"",VLOOKUP(E819,Modificaciones!$B$7:$AA$2400,26,0))</f>
        <v/>
      </c>
      <c r="T819" s="119" t="str">
        <f>IF(Modificaciones!AB819=0,"",VLOOKUP(E819,Modificaciones!$B$7:$AB$2400,27,0))</f>
        <v/>
      </c>
      <c r="U819" s="1080" t="str">
        <f>+Modificaciones!AC819</f>
        <v/>
      </c>
      <c r="V819" s="825" t="str">
        <f>+Modificaciones!AK819</f>
        <v/>
      </c>
      <c r="W819" s="825">
        <f t="shared" si="150"/>
        <v>43845</v>
      </c>
      <c r="X819" s="59">
        <f t="shared" si="149"/>
        <v>13254000</v>
      </c>
      <c r="Y819" s="151">
        <f>VLOOKUP(E819,Modificaciones!$B$7:$BE$2300,56,0)</f>
        <v>13254000</v>
      </c>
      <c r="Z819" s="84">
        <f t="shared" si="162"/>
        <v>0</v>
      </c>
      <c r="AA819" s="283" t="s">
        <v>1094</v>
      </c>
      <c r="AB819" s="823">
        <f t="shared" si="163"/>
        <v>1</v>
      </c>
      <c r="AC819" s="40">
        <f t="shared" ca="1" si="151"/>
        <v>1</v>
      </c>
      <c r="AD819" s="41">
        <f t="shared" ca="1" si="152"/>
        <v>0</v>
      </c>
      <c r="AE819" s="181" t="str">
        <f t="shared" ca="1" si="153"/>
        <v/>
      </c>
      <c r="AF819" s="42" t="str">
        <f t="shared" si="164"/>
        <v>SI</v>
      </c>
      <c r="AG819" s="732" t="s">
        <v>5773</v>
      </c>
      <c r="AH819" s="152" t="s">
        <v>1255</v>
      </c>
      <c r="AI819" s="870" t="s">
        <v>5100</v>
      </c>
      <c r="AJ819" s="152" t="s">
        <v>5101</v>
      </c>
      <c r="AK819" s="255" t="s">
        <v>559</v>
      </c>
      <c r="AL819" s="838"/>
      <c r="AM819" s="838" t="s">
        <v>4802</v>
      </c>
      <c r="AN819" s="161" t="str">
        <f t="shared" ca="1" si="154"/>
        <v>TERMINO</v>
      </c>
      <c r="AO819" s="284" t="s">
        <v>582</v>
      </c>
      <c r="AP819" s="406" t="s">
        <v>391</v>
      </c>
      <c r="AQ819" s="819" t="str">
        <f>IFERROR(VLOOKUP(E819,'liquidaciones '!$B$2:$C$1048576,2,0),"NO")</f>
        <v>LIQUIDADO</v>
      </c>
      <c r="AR819" s="909" t="str">
        <f>IFERROR(VLOOKUP(E819,'liquidaciones '!$B$2:$I$1048576,8,0),"")</f>
        <v>ANNELADY GARCIA</v>
      </c>
      <c r="AS819" s="406"/>
      <c r="AT819" s="156" t="str">
        <f t="shared" ca="1" si="155"/>
        <v>SI</v>
      </c>
      <c r="AU819" s="1036" t="s">
        <v>4805</v>
      </c>
      <c r="AV819" s="406" t="s">
        <v>5025</v>
      </c>
      <c r="AW819" s="930" t="s">
        <v>559</v>
      </c>
      <c r="AX819" s="930" t="s">
        <v>5457</v>
      </c>
      <c r="AY819" s="928"/>
    </row>
    <row r="820" spans="3:51" ht="28.8" x14ac:dyDescent="0.3">
      <c r="C820" s="837">
        <v>414</v>
      </c>
      <c r="E820" s="120" t="s">
        <v>5105</v>
      </c>
      <c r="F820" s="414" t="s">
        <v>4234</v>
      </c>
      <c r="G820" s="863" t="s">
        <v>4235</v>
      </c>
      <c r="H820" s="969" t="s">
        <v>5106</v>
      </c>
      <c r="I820" s="84">
        <v>13767122</v>
      </c>
      <c r="J820" s="843" t="s">
        <v>5107</v>
      </c>
      <c r="K820" s="269">
        <v>2019</v>
      </c>
      <c r="L820" s="519">
        <v>43654</v>
      </c>
      <c r="M820" s="519">
        <v>43654</v>
      </c>
      <c r="N820" s="519">
        <v>43661</v>
      </c>
      <c r="O820" s="1099" t="str">
        <f>IF(+Modificaciones!I820=0,"",VLOOKUP(E820,Modificaciones!$B$7:$I$2400,8,0))</f>
        <v/>
      </c>
      <c r="P820" s="115">
        <f>COUNTA(Modificaciones!J820,Modificaciones!L820,Modificaciones!N820,Modificaciones!P820)</f>
        <v>0</v>
      </c>
      <c r="Q820" s="116">
        <f>VLOOKUP(E820,Modificaciones!$B$7:$R$2300,17,0)</f>
        <v>0</v>
      </c>
      <c r="R820" s="117">
        <f>COUNTA(Modificaciones!T820,Modificaciones!V820,Modificaciones!X820,Modificaciones!Z820)</f>
        <v>0</v>
      </c>
      <c r="S820" s="118" t="str">
        <f>IF(Modificaciones!AA820=0,"",VLOOKUP(E820,Modificaciones!$B$7:$AA$2400,26,0))</f>
        <v/>
      </c>
      <c r="T820" s="119" t="str">
        <f>IF(Modificaciones!AB820=0,"",VLOOKUP(E820,Modificaciones!$B$7:$AB$2400,27,0))</f>
        <v/>
      </c>
      <c r="U820" s="1080" t="str">
        <f>+Modificaciones!AC820</f>
        <v/>
      </c>
      <c r="V820" s="825" t="str">
        <f>+Modificaciones!AK820</f>
        <v/>
      </c>
      <c r="W820" s="825">
        <f t="shared" si="150"/>
        <v>43661</v>
      </c>
      <c r="X820" s="59">
        <f t="shared" si="149"/>
        <v>13767122</v>
      </c>
      <c r="Y820" s="151">
        <f>VLOOKUP(E820,Modificaciones!$B$7:$BE$2300,56,0)</f>
        <v>13767122</v>
      </c>
      <c r="Z820" s="84">
        <f t="shared" si="162"/>
        <v>0</v>
      </c>
      <c r="AA820" s="283" t="s">
        <v>1894</v>
      </c>
      <c r="AB820" s="823">
        <f t="shared" si="163"/>
        <v>1</v>
      </c>
      <c r="AC820" s="40">
        <f t="shared" ca="1" si="151"/>
        <v>1</v>
      </c>
      <c r="AD820" s="41">
        <f t="shared" ca="1" si="152"/>
        <v>0</v>
      </c>
      <c r="AE820" s="181" t="str">
        <f t="shared" ca="1" si="153"/>
        <v/>
      </c>
      <c r="AF820" s="42" t="str">
        <f t="shared" si="164"/>
        <v>SI</v>
      </c>
      <c r="AG820" s="1037" t="s">
        <v>1711</v>
      </c>
      <c r="AH820" s="841" t="s">
        <v>1256</v>
      </c>
      <c r="AI820" s="841" t="s">
        <v>5108</v>
      </c>
      <c r="AJ820" s="152" t="s">
        <v>1438</v>
      </c>
      <c r="AK820" s="255" t="s">
        <v>560</v>
      </c>
      <c r="AL820" s="838" t="s">
        <v>4850</v>
      </c>
      <c r="AM820" s="838" t="s">
        <v>4851</v>
      </c>
      <c r="AN820" s="161" t="str">
        <f t="shared" ca="1" si="154"/>
        <v>TERMINO</v>
      </c>
      <c r="AO820" s="284" t="s">
        <v>2722</v>
      </c>
      <c r="AP820" s="406"/>
      <c r="AQ820" s="819" t="str">
        <f>IFERROR(VLOOKUP(E820,'liquidaciones '!$B$2:$C$1048576,2,0),"NO")</f>
        <v>LIQUIDADO</v>
      </c>
      <c r="AR820" s="909" t="str">
        <f>IFERROR(VLOOKUP(E820,'liquidaciones '!$B$2:$I$1048576,8,0),"")</f>
        <v>JUAN DIEGO ESPÍTIA</v>
      </c>
      <c r="AS820" s="406"/>
      <c r="AT820" s="156" t="str">
        <f t="shared" ca="1" si="155"/>
        <v>SI</v>
      </c>
      <c r="AU820" s="1023" t="s">
        <v>4922</v>
      </c>
      <c r="AV820" s="406" t="s">
        <v>4852</v>
      </c>
      <c r="AW820" s="930" t="s">
        <v>560</v>
      </c>
      <c r="AX820" s="928"/>
      <c r="AY820" s="928"/>
    </row>
    <row r="821" spans="3:51" ht="51" x14ac:dyDescent="0.3">
      <c r="C821" s="837">
        <v>128</v>
      </c>
      <c r="E821" s="120" t="s">
        <v>5111</v>
      </c>
      <c r="F821" s="414" t="s">
        <v>2120</v>
      </c>
      <c r="G821" s="863" t="s">
        <v>2121</v>
      </c>
      <c r="H821" s="969" t="s">
        <v>4263</v>
      </c>
      <c r="I821" s="84">
        <v>123141500</v>
      </c>
      <c r="J821" s="843" t="s">
        <v>5109</v>
      </c>
      <c r="K821" s="269">
        <v>2019</v>
      </c>
      <c r="L821" s="519">
        <v>43641</v>
      </c>
      <c r="M821" s="519">
        <v>43661</v>
      </c>
      <c r="N821" s="519">
        <v>43965</v>
      </c>
      <c r="O821" s="1099" t="str">
        <f>IF(+Modificaciones!I821=0,"",VLOOKUP(E821,Modificaciones!$B$7:$I$2400,8,0))</f>
        <v/>
      </c>
      <c r="P821" s="115">
        <f>COUNTA(Modificaciones!J821,Modificaciones!L821,Modificaciones!N821,Modificaciones!P821)</f>
        <v>0</v>
      </c>
      <c r="Q821" s="116">
        <f>VLOOKUP(E821,Modificaciones!$B$7:$R$2300,17,0)</f>
        <v>0</v>
      </c>
      <c r="R821" s="117">
        <f>COUNTA(Modificaciones!T821,Modificaciones!V821,Modificaciones!X821,Modificaciones!Z821)</f>
        <v>0</v>
      </c>
      <c r="S821" s="118" t="str">
        <f>IF(Modificaciones!AA821=0,"",VLOOKUP(E821,Modificaciones!$B$7:$AA$2400,26,0))</f>
        <v/>
      </c>
      <c r="T821" s="119" t="str">
        <f>IF(Modificaciones!AB821=0,"",VLOOKUP(E821,Modificaciones!$B$7:$AB$2400,27,0))</f>
        <v/>
      </c>
      <c r="U821" s="1080" t="str">
        <f>+Modificaciones!AC821</f>
        <v/>
      </c>
      <c r="V821" s="825" t="str">
        <f>+Modificaciones!AK821</f>
        <v/>
      </c>
      <c r="W821" s="825">
        <f t="shared" si="150"/>
        <v>43965</v>
      </c>
      <c r="X821" s="59">
        <f t="shared" si="149"/>
        <v>123141500</v>
      </c>
      <c r="Y821" s="151">
        <f>VLOOKUP(E821,Modificaciones!$B$7:$BE$2300,56,0)</f>
        <v>123141500</v>
      </c>
      <c r="Z821" s="84">
        <f t="shared" si="162"/>
        <v>0</v>
      </c>
      <c r="AA821" s="1000" t="s">
        <v>1094</v>
      </c>
      <c r="AB821" s="823">
        <f t="shared" si="163"/>
        <v>1</v>
      </c>
      <c r="AC821" s="40">
        <f t="shared" ca="1" si="151"/>
        <v>1</v>
      </c>
      <c r="AD821" s="41">
        <f t="shared" ca="1" si="152"/>
        <v>0</v>
      </c>
      <c r="AE821" s="181" t="str">
        <f t="shared" ca="1" si="153"/>
        <v/>
      </c>
      <c r="AF821" s="42" t="str">
        <f t="shared" si="164"/>
        <v>SI</v>
      </c>
      <c r="AG821" s="1017" t="s">
        <v>4920</v>
      </c>
      <c r="AH821" s="152" t="s">
        <v>1256</v>
      </c>
      <c r="AI821" s="841" t="s">
        <v>5110</v>
      </c>
      <c r="AJ821" s="152" t="s">
        <v>1438</v>
      </c>
      <c r="AK821" s="255" t="s">
        <v>560</v>
      </c>
      <c r="AL821" s="838" t="s">
        <v>4850</v>
      </c>
      <c r="AM821" s="838" t="s">
        <v>4851</v>
      </c>
      <c r="AN821" s="161" t="str">
        <f t="shared" ca="1" si="154"/>
        <v>TERMINO</v>
      </c>
      <c r="AO821" s="284" t="s">
        <v>5112</v>
      </c>
      <c r="AP821" s="406" t="s">
        <v>390</v>
      </c>
      <c r="AQ821" s="819" t="str">
        <f>IFERROR(VLOOKUP(E821,'liquidaciones '!$B$2:$C$1048576,2,0),"NO")</f>
        <v>EN TRÁMITE</v>
      </c>
      <c r="AR821" s="909" t="str">
        <f>IFERROR(VLOOKUP(E821,'liquidaciones '!$B$2:$I$1048576,8,0),"")</f>
        <v>MARIA FERNANDA ROMERO</v>
      </c>
      <c r="AS821" s="406"/>
      <c r="AT821" s="156" t="str">
        <f t="shared" ca="1" si="155"/>
        <v>SI</v>
      </c>
      <c r="AU821" s="1037" t="s">
        <v>5919</v>
      </c>
      <c r="AV821" s="406" t="s">
        <v>4852</v>
      </c>
      <c r="AW821" s="930" t="s">
        <v>560</v>
      </c>
      <c r="AX821" s="928"/>
      <c r="AY821" s="930" t="s">
        <v>5938</v>
      </c>
    </row>
    <row r="822" spans="3:51" ht="28.8" x14ac:dyDescent="0.3">
      <c r="C822" s="837">
        <v>413</v>
      </c>
      <c r="E822" s="120" t="s">
        <v>5113</v>
      </c>
      <c r="F822" s="414" t="s">
        <v>5114</v>
      </c>
      <c r="G822" s="863" t="s">
        <v>5115</v>
      </c>
      <c r="H822" s="969" t="s">
        <v>5116</v>
      </c>
      <c r="I822" s="84">
        <v>2303335</v>
      </c>
      <c r="J822" s="843" t="s">
        <v>5117</v>
      </c>
      <c r="K822" s="269">
        <v>2019</v>
      </c>
      <c r="L822" s="519">
        <v>43651</v>
      </c>
      <c r="M822" s="519">
        <v>43651</v>
      </c>
      <c r="N822" s="519">
        <v>43658</v>
      </c>
      <c r="O822" s="1099" t="str">
        <f>IF(+Modificaciones!I822=0,"",VLOOKUP(E822,Modificaciones!$B$7:$I$2400,8,0))</f>
        <v/>
      </c>
      <c r="P822" s="115">
        <f>COUNTA(Modificaciones!J822,Modificaciones!L822,Modificaciones!N822,Modificaciones!P822)</f>
        <v>0</v>
      </c>
      <c r="Q822" s="116">
        <f>VLOOKUP(E822,Modificaciones!$B$7:$R$2300,17,0)</f>
        <v>0</v>
      </c>
      <c r="R822" s="117">
        <f>COUNTA(Modificaciones!T822,Modificaciones!V822,Modificaciones!X822,Modificaciones!Z822)</f>
        <v>0</v>
      </c>
      <c r="S822" s="118" t="str">
        <f>IF(Modificaciones!AA822=0,"",VLOOKUP(E822,Modificaciones!$B$7:$AA$2400,26,0))</f>
        <v/>
      </c>
      <c r="T822" s="119" t="str">
        <f>IF(Modificaciones!AB822=0,"",VLOOKUP(E822,Modificaciones!$B$7:$AB$2400,27,0))</f>
        <v/>
      </c>
      <c r="U822" s="1080" t="str">
        <f>+Modificaciones!AC822</f>
        <v/>
      </c>
      <c r="V822" s="825" t="str">
        <f>+Modificaciones!AK822</f>
        <v/>
      </c>
      <c r="W822" s="825">
        <f t="shared" si="150"/>
        <v>43658</v>
      </c>
      <c r="X822" s="59">
        <f t="shared" si="149"/>
        <v>2303335</v>
      </c>
      <c r="Y822" s="151">
        <f>VLOOKUP(E822,Modificaciones!$B$7:$BE$2300,56,0)</f>
        <v>2303335</v>
      </c>
      <c r="Z822" s="84">
        <f t="shared" si="162"/>
        <v>0</v>
      </c>
      <c r="AA822" s="1000"/>
      <c r="AB822" s="823">
        <f t="shared" si="163"/>
        <v>1</v>
      </c>
      <c r="AC822" s="40">
        <f t="shared" ca="1" si="151"/>
        <v>1</v>
      </c>
      <c r="AD822" s="41">
        <f t="shared" ca="1" si="152"/>
        <v>0</v>
      </c>
      <c r="AE822" s="181" t="str">
        <f t="shared" ca="1" si="153"/>
        <v/>
      </c>
      <c r="AF822" s="42" t="str">
        <f t="shared" si="164"/>
        <v>SI</v>
      </c>
      <c r="AG822" s="1038" t="s">
        <v>1711</v>
      </c>
      <c r="AH822" s="841" t="s">
        <v>1256</v>
      </c>
      <c r="AI822" s="841" t="s">
        <v>5118</v>
      </c>
      <c r="AJ822" s="152" t="s">
        <v>1438</v>
      </c>
      <c r="AK822" s="255" t="s">
        <v>560</v>
      </c>
      <c r="AL822" s="838" t="s">
        <v>4850</v>
      </c>
      <c r="AM822" s="838" t="s">
        <v>4851</v>
      </c>
      <c r="AN822" s="161" t="str">
        <f t="shared" ca="1" si="154"/>
        <v>TERMINO</v>
      </c>
      <c r="AO822" s="284" t="s">
        <v>2722</v>
      </c>
      <c r="AP822" s="406"/>
      <c r="AQ822" s="819" t="str">
        <f>IFERROR(VLOOKUP(E822,'liquidaciones '!$B$2:$C$1048576,2,0),"NO")</f>
        <v>DEVUELTO</v>
      </c>
      <c r="AR822" s="909" t="str">
        <f>IFERROR(VLOOKUP(E822,'liquidaciones '!$B$2:$I$1048576,8,0),"")</f>
        <v>GABINO HERNANDEZ</v>
      </c>
      <c r="AS822" s="406"/>
      <c r="AT822" s="156" t="str">
        <f t="shared" ca="1" si="155"/>
        <v>SI</v>
      </c>
      <c r="AU822" s="1038" t="s">
        <v>4922</v>
      </c>
      <c r="AV822" s="406" t="s">
        <v>4852</v>
      </c>
      <c r="AW822" s="930" t="s">
        <v>560</v>
      </c>
      <c r="AX822" s="928"/>
      <c r="AY822" s="928"/>
    </row>
    <row r="823" spans="3:51" ht="81.599999999999994" x14ac:dyDescent="0.3">
      <c r="C823" s="837">
        <v>36</v>
      </c>
      <c r="E823" s="120" t="s">
        <v>5119</v>
      </c>
      <c r="F823" s="414" t="s">
        <v>5120</v>
      </c>
      <c r="G823" s="863" t="s">
        <v>5121</v>
      </c>
      <c r="H823" s="969" t="s">
        <v>3042</v>
      </c>
      <c r="I823" s="84">
        <v>32607000</v>
      </c>
      <c r="J823" s="843" t="s">
        <v>5122</v>
      </c>
      <c r="K823" s="269">
        <v>2019</v>
      </c>
      <c r="L823" s="519">
        <v>43651</v>
      </c>
      <c r="M823" s="519">
        <v>43668</v>
      </c>
      <c r="N823" s="519">
        <v>44003</v>
      </c>
      <c r="O823" s="1099" t="str">
        <f>IF(+Modificaciones!I823=0,"",VLOOKUP(E823,Modificaciones!$B$7:$I$2400,8,0))</f>
        <v/>
      </c>
      <c r="P823" s="115">
        <f>COUNTA(Modificaciones!J823,Modificaciones!L823,Modificaciones!N823,Modificaciones!P823)</f>
        <v>1</v>
      </c>
      <c r="Q823" s="116">
        <f>VLOOKUP(E823,Modificaciones!$B$7:$R$2300,17,0)</f>
        <v>520000</v>
      </c>
      <c r="R823" s="117">
        <f>COUNTA(Modificaciones!T823,Modificaciones!V823,Modificaciones!X823,Modificaciones!Z823)</f>
        <v>2</v>
      </c>
      <c r="S823" s="118" t="str">
        <f>IF(Modificaciones!AA823=0,"",VLOOKUP(E823,Modificaciones!$B$7:$AA$2400,26,0))</f>
        <v>5 meses y 9 días calendario</v>
      </c>
      <c r="T823" s="119">
        <f>IF(Modificaciones!AB823=0,"",VLOOKUP(E823,Modificaciones!$B$7:$AB$2400,27,0))</f>
        <v>44165</v>
      </c>
      <c r="U823" s="1080" t="str">
        <f>+Modificaciones!AC823</f>
        <v/>
      </c>
      <c r="V823" s="825" t="str">
        <f>+Modificaciones!AK823</f>
        <v/>
      </c>
      <c r="W823" s="825">
        <f t="shared" si="150"/>
        <v>44165</v>
      </c>
      <c r="X823" s="59">
        <f t="shared" si="149"/>
        <v>33127000</v>
      </c>
      <c r="Y823" s="151">
        <f>VLOOKUP(E823,Modificaciones!$B$7:$BE$2300,56,0)</f>
        <v>18319027</v>
      </c>
      <c r="Z823" s="84">
        <f t="shared" si="162"/>
        <v>14807973</v>
      </c>
      <c r="AA823" s="1000" t="s">
        <v>1094</v>
      </c>
      <c r="AB823" s="823">
        <f t="shared" si="163"/>
        <v>0.5529938418812449</v>
      </c>
      <c r="AC823" s="40">
        <f t="shared" ca="1" si="151"/>
        <v>1</v>
      </c>
      <c r="AD823" s="41">
        <f t="shared" ca="1" si="152"/>
        <v>0.4470061581187551</v>
      </c>
      <c r="AE823" s="181" t="str">
        <f t="shared" ca="1" si="153"/>
        <v/>
      </c>
      <c r="AF823" s="42" t="str">
        <f t="shared" si="164"/>
        <v>NO</v>
      </c>
      <c r="AG823" s="1017" t="s">
        <v>4920</v>
      </c>
      <c r="AH823" s="152" t="s">
        <v>1255</v>
      </c>
      <c r="AI823" s="255" t="s">
        <v>1125</v>
      </c>
      <c r="AJ823" s="152" t="s">
        <v>1441</v>
      </c>
      <c r="AK823" s="255" t="s">
        <v>560</v>
      </c>
      <c r="AL823" s="838" t="s">
        <v>4575</v>
      </c>
      <c r="AM823" s="414" t="s">
        <v>6068</v>
      </c>
      <c r="AN823" s="161" t="str">
        <f t="shared" ca="1" si="154"/>
        <v>TERMINO</v>
      </c>
      <c r="AO823" s="284" t="s">
        <v>576</v>
      </c>
      <c r="AP823" s="406" t="s">
        <v>390</v>
      </c>
      <c r="AQ823" s="819" t="str">
        <f>IFERROR(VLOOKUP(E823,'liquidaciones '!$B$2:$C$1048576,2,0),"NO")</f>
        <v>NO</v>
      </c>
      <c r="AR823" s="909" t="str">
        <f>IFERROR(VLOOKUP(E823,'liquidaciones '!$B$2:$I$1048576,8,0),"")</f>
        <v/>
      </c>
      <c r="AS823" s="406"/>
      <c r="AT823" s="156" t="str">
        <f t="shared" ca="1" si="155"/>
        <v>SI</v>
      </c>
      <c r="AU823" s="406" t="s">
        <v>4299</v>
      </c>
      <c r="AV823" s="406" t="s">
        <v>4575</v>
      </c>
      <c r="AW823" s="930" t="s">
        <v>6064</v>
      </c>
      <c r="AX823" s="930" t="s">
        <v>6391</v>
      </c>
      <c r="AY823" s="928"/>
    </row>
    <row r="824" spans="3:51" ht="30.6" x14ac:dyDescent="0.3">
      <c r="C824" s="837">
        <v>410</v>
      </c>
      <c r="E824" s="120" t="s">
        <v>5123</v>
      </c>
      <c r="F824" s="414" t="s">
        <v>5124</v>
      </c>
      <c r="G824" s="863">
        <v>1102820905</v>
      </c>
      <c r="H824" s="969" t="s">
        <v>5125</v>
      </c>
      <c r="I824" s="84">
        <v>12012000</v>
      </c>
      <c r="J824" s="843" t="s">
        <v>5123</v>
      </c>
      <c r="K824" s="269">
        <v>2019</v>
      </c>
      <c r="L824" s="519">
        <v>43657</v>
      </c>
      <c r="M824" s="519">
        <v>43664</v>
      </c>
      <c r="N824" s="519">
        <v>43830</v>
      </c>
      <c r="O824" s="1099">
        <f>IF(+Modificaciones!I824=0,"",VLOOKUP(E824,Modificaciones!$B$7:$I$2400,8,0))</f>
        <v>43847</v>
      </c>
      <c r="P824" s="115">
        <f>COUNTA(Modificaciones!J824,Modificaciones!L824,Modificaciones!N824,Modificaciones!P824)</f>
        <v>0</v>
      </c>
      <c r="Q824" s="116">
        <f>VLOOKUP(E824,Modificaciones!$B$7:$R$2300,17,0)</f>
        <v>0</v>
      </c>
      <c r="R824" s="117">
        <f>COUNTA(Modificaciones!T824,Modificaciones!V824,Modificaciones!X824,Modificaciones!Z824)</f>
        <v>0</v>
      </c>
      <c r="S824" s="118" t="str">
        <f>IF(Modificaciones!AA824=0,"",VLOOKUP(E824,Modificaciones!$B$7:$AA$2400,26,0))</f>
        <v/>
      </c>
      <c r="T824" s="119" t="str">
        <f>IF(Modificaciones!AB824=0,"",VLOOKUP(E824,Modificaciones!$B$7:$AB$2400,27,0))</f>
        <v/>
      </c>
      <c r="U824" s="1080" t="str">
        <f>+Modificaciones!AC824</f>
        <v/>
      </c>
      <c r="V824" s="825" t="str">
        <f>+Modificaciones!AK824</f>
        <v/>
      </c>
      <c r="W824" s="825">
        <f t="shared" si="150"/>
        <v>43847</v>
      </c>
      <c r="X824" s="59">
        <f t="shared" si="149"/>
        <v>12012000</v>
      </c>
      <c r="Y824" s="151">
        <f>VLOOKUP(E824,Modificaciones!$B$7:$BE$2300,56,0)</f>
        <v>10877533</v>
      </c>
      <c r="Z824" s="84">
        <f t="shared" si="162"/>
        <v>1134467</v>
      </c>
      <c r="AA824" s="1000" t="s">
        <v>1094</v>
      </c>
      <c r="AB824" s="823">
        <f t="shared" si="163"/>
        <v>0.90555552780552784</v>
      </c>
      <c r="AC824" s="40">
        <f t="shared" ca="1" si="151"/>
        <v>1</v>
      </c>
      <c r="AD824" s="41">
        <f t="shared" ca="1" si="152"/>
        <v>9.4444472194472162E-2</v>
      </c>
      <c r="AE824" s="181" t="str">
        <f t="shared" ca="1" si="153"/>
        <v/>
      </c>
      <c r="AF824" s="42" t="str">
        <f t="shared" si="164"/>
        <v>NO</v>
      </c>
      <c r="AG824" s="732" t="s">
        <v>5773</v>
      </c>
      <c r="AH824" s="152" t="s">
        <v>1255</v>
      </c>
      <c r="AI824" s="870" t="s">
        <v>5096</v>
      </c>
      <c r="AJ824" s="152" t="s">
        <v>5091</v>
      </c>
      <c r="AK824" s="255" t="s">
        <v>561</v>
      </c>
      <c r="AL824" s="838"/>
      <c r="AM824" s="414" t="s">
        <v>4916</v>
      </c>
      <c r="AN824" s="161" t="str">
        <f t="shared" ca="1" si="154"/>
        <v>TERMINO</v>
      </c>
      <c r="AO824" s="284" t="s">
        <v>582</v>
      </c>
      <c r="AP824" s="406" t="s">
        <v>391</v>
      </c>
      <c r="AQ824" s="819" t="str">
        <f>IFERROR(VLOOKUP(E824,'liquidaciones '!$B$2:$C$1048576,2,0),"NO")</f>
        <v>NO</v>
      </c>
      <c r="AR824" s="909" t="str">
        <f>IFERROR(VLOOKUP(E824,'liquidaciones '!$B$2:$I$1048576,8,0),"")</f>
        <v/>
      </c>
      <c r="AS824" s="406"/>
      <c r="AT824" s="156" t="str">
        <f t="shared" ca="1" si="155"/>
        <v>SI</v>
      </c>
      <c r="AU824" s="1039" t="s">
        <v>4805</v>
      </c>
      <c r="AV824" s="406" t="s">
        <v>5026</v>
      </c>
      <c r="AW824" s="930" t="s">
        <v>561</v>
      </c>
      <c r="AX824" s="930" t="s">
        <v>5476</v>
      </c>
      <c r="AY824" s="928"/>
    </row>
    <row r="825" spans="3:51" ht="51" x14ac:dyDescent="0.3">
      <c r="C825" s="837">
        <v>43</v>
      </c>
      <c r="E825" s="120" t="s">
        <v>5126</v>
      </c>
      <c r="F825" s="414" t="s">
        <v>66</v>
      </c>
      <c r="G825" s="863" t="s">
        <v>5127</v>
      </c>
      <c r="H825" s="969" t="s">
        <v>5128</v>
      </c>
      <c r="I825" s="84">
        <v>292382919</v>
      </c>
      <c r="J825" s="843" t="s">
        <v>5129</v>
      </c>
      <c r="K825" s="269">
        <v>2019</v>
      </c>
      <c r="L825" s="519">
        <v>43657</v>
      </c>
      <c r="M825" s="519">
        <v>43668</v>
      </c>
      <c r="N825" s="519">
        <v>43911</v>
      </c>
      <c r="O825" s="1099" t="str">
        <f>IF(+Modificaciones!I825=0,"",VLOOKUP(E825,Modificaciones!$B$7:$I$2400,8,0))</f>
        <v/>
      </c>
      <c r="P825" s="115">
        <f>COUNTA(Modificaciones!J825,Modificaciones!L825,Modificaciones!N825,Modificaciones!P825)</f>
        <v>0</v>
      </c>
      <c r="Q825" s="116">
        <f>VLOOKUP(E825,Modificaciones!$B$7:$R$2300,17,0)</f>
        <v>0</v>
      </c>
      <c r="R825" s="117">
        <f>COUNTA(Modificaciones!T825,Modificaciones!V825,Modificaciones!X825,Modificaciones!Z825)</f>
        <v>1</v>
      </c>
      <c r="S825" s="118" t="str">
        <f>IF(Modificaciones!AA825=0,"",VLOOKUP(E825,Modificaciones!$B$7:$AA$2400,26,0))</f>
        <v>4 meses</v>
      </c>
      <c r="T825" s="119">
        <f>IF(Modificaciones!AB825=0,"",VLOOKUP(E825,Modificaciones!$B$7:$AB$2400,27,0))</f>
        <v>44033</v>
      </c>
      <c r="U825" s="1080" t="str">
        <f>+Modificaciones!AC825</f>
        <v/>
      </c>
      <c r="V825" s="825" t="str">
        <f>+Modificaciones!AK825</f>
        <v/>
      </c>
      <c r="W825" s="825">
        <f t="shared" si="150"/>
        <v>44033</v>
      </c>
      <c r="X825" s="59">
        <f t="shared" si="149"/>
        <v>292382919</v>
      </c>
      <c r="Y825" s="151">
        <f>VLOOKUP(E825,Modificaciones!$B$7:$BE$2300,56,0)</f>
        <v>234000000</v>
      </c>
      <c r="Z825" s="84">
        <f t="shared" si="162"/>
        <v>58382919</v>
      </c>
      <c r="AA825" s="1000" t="s">
        <v>1877</v>
      </c>
      <c r="AB825" s="823">
        <f t="shared" si="163"/>
        <v>0.80032034976708066</v>
      </c>
      <c r="AC825" s="40">
        <f t="shared" ca="1" si="151"/>
        <v>1</v>
      </c>
      <c r="AD825" s="41">
        <f t="shared" ca="1" si="152"/>
        <v>0.19967965023291934</v>
      </c>
      <c r="AE825" s="181" t="str">
        <f t="shared" ca="1" si="153"/>
        <v/>
      </c>
      <c r="AF825" s="42" t="str">
        <f t="shared" si="164"/>
        <v>NO</v>
      </c>
      <c r="AG825" s="1017" t="s">
        <v>4920</v>
      </c>
      <c r="AH825" s="152" t="s">
        <v>1255</v>
      </c>
      <c r="AI825" s="841" t="s">
        <v>5130</v>
      </c>
      <c r="AJ825" s="152" t="s">
        <v>1434</v>
      </c>
      <c r="AK825" s="255" t="s">
        <v>560</v>
      </c>
      <c r="AL825" s="838" t="s">
        <v>4624</v>
      </c>
      <c r="AM825" s="838" t="s">
        <v>4851</v>
      </c>
      <c r="AN825" s="161" t="str">
        <f t="shared" ca="1" si="154"/>
        <v>TERMINO</v>
      </c>
      <c r="AO825" s="284" t="s">
        <v>4975</v>
      </c>
      <c r="AP825" s="406" t="s">
        <v>390</v>
      </c>
      <c r="AQ825" s="819" t="str">
        <f>IFERROR(VLOOKUP(E825,'liquidaciones '!$B$2:$C$1048576,2,0),"NO")</f>
        <v>NO</v>
      </c>
      <c r="AR825" s="909" t="str">
        <f>IFERROR(VLOOKUP(E825,'liquidaciones '!$B$2:$I$1048576,8,0),"")</f>
        <v/>
      </c>
      <c r="AS825" s="406"/>
      <c r="AT825" s="156" t="str">
        <f t="shared" ca="1" si="155"/>
        <v>SI</v>
      </c>
      <c r="AU825" s="1023" t="s">
        <v>4299</v>
      </c>
      <c r="AV825" s="406" t="s">
        <v>5149</v>
      </c>
      <c r="AW825" s="930" t="s">
        <v>560</v>
      </c>
      <c r="AX825" s="930" t="s">
        <v>5724</v>
      </c>
      <c r="AY825" s="930" t="s">
        <v>6313</v>
      </c>
    </row>
    <row r="826" spans="3:51" ht="30.6" x14ac:dyDescent="0.3">
      <c r="C826" s="837">
        <v>411</v>
      </c>
      <c r="E826" s="120" t="s">
        <v>5134</v>
      </c>
      <c r="F826" s="414" t="s">
        <v>4155</v>
      </c>
      <c r="G826" s="863">
        <v>92030702</v>
      </c>
      <c r="H826" s="969" t="s">
        <v>5135</v>
      </c>
      <c r="I826" s="84">
        <v>39132000</v>
      </c>
      <c r="J826" s="843" t="s">
        <v>5134</v>
      </c>
      <c r="K826" s="269">
        <v>2019</v>
      </c>
      <c r="L826" s="519">
        <v>43656</v>
      </c>
      <c r="M826" s="519">
        <v>43658</v>
      </c>
      <c r="N826" s="519">
        <v>43830</v>
      </c>
      <c r="O826" s="1099">
        <f>IF(+Modificaciones!I826=0,"",VLOOKUP(E826,Modificaciones!$B$7:$I$2400,8,0))</f>
        <v>43841</v>
      </c>
      <c r="P826" s="115">
        <f>COUNTA(Modificaciones!J826,Modificaciones!L826,Modificaciones!N826,Modificaciones!P826)</f>
        <v>0</v>
      </c>
      <c r="Q826" s="116">
        <f>VLOOKUP(E826,Modificaciones!$B$7:$R$2300,17,0)</f>
        <v>0</v>
      </c>
      <c r="R826" s="117">
        <f>COUNTA(Modificaciones!T826,Modificaciones!V826,Modificaciones!X826,Modificaciones!Z826)</f>
        <v>0</v>
      </c>
      <c r="S826" s="118" t="str">
        <f>IF(Modificaciones!AA826=0,"",VLOOKUP(E826,Modificaciones!$B$7:$AA$2400,26,0))</f>
        <v/>
      </c>
      <c r="T826" s="119" t="str">
        <f>IF(Modificaciones!AB826=0,"",VLOOKUP(E826,Modificaciones!$B$7:$AB$2400,27,0))</f>
        <v/>
      </c>
      <c r="U826" s="1080" t="str">
        <f>+Modificaciones!AC826</f>
        <v/>
      </c>
      <c r="V826" s="825" t="str">
        <f>+Modificaciones!AK826</f>
        <v/>
      </c>
      <c r="W826" s="825">
        <f t="shared" si="150"/>
        <v>43841</v>
      </c>
      <c r="X826" s="59">
        <f t="shared" si="149"/>
        <v>39132000</v>
      </c>
      <c r="Y826" s="151">
        <f>VLOOKUP(E826,Modificaciones!$B$7:$BE$2300,56,0)</f>
        <v>39132000</v>
      </c>
      <c r="Z826" s="84">
        <f t="shared" si="162"/>
        <v>0</v>
      </c>
      <c r="AA826" s="1000" t="s">
        <v>1094</v>
      </c>
      <c r="AB826" s="823">
        <f t="shared" si="163"/>
        <v>1</v>
      </c>
      <c r="AC826" s="40">
        <f t="shared" ca="1" si="151"/>
        <v>1</v>
      </c>
      <c r="AD826" s="41">
        <f t="shared" ca="1" si="152"/>
        <v>0</v>
      </c>
      <c r="AE826" s="181" t="str">
        <f t="shared" ca="1" si="153"/>
        <v/>
      </c>
      <c r="AF826" s="42" t="str">
        <f t="shared" si="164"/>
        <v>SI</v>
      </c>
      <c r="AG826" s="732" t="s">
        <v>5773</v>
      </c>
      <c r="AH826" s="841" t="s">
        <v>1255</v>
      </c>
      <c r="AI826" s="870" t="s">
        <v>5136</v>
      </c>
      <c r="AJ826" s="152" t="s">
        <v>1176</v>
      </c>
      <c r="AK826" s="255" t="s">
        <v>559</v>
      </c>
      <c r="AL826" s="838"/>
      <c r="AM826" s="838" t="s">
        <v>4802</v>
      </c>
      <c r="AN826" s="161" t="str">
        <f t="shared" ca="1" si="154"/>
        <v>TERMINO</v>
      </c>
      <c r="AO826" s="284" t="s">
        <v>582</v>
      </c>
      <c r="AP826" s="406" t="s">
        <v>390</v>
      </c>
      <c r="AQ826" s="819" t="str">
        <f>IFERROR(VLOOKUP(E826,'liquidaciones '!$B$2:$C$1048576,2,0),"NO")</f>
        <v>NO</v>
      </c>
      <c r="AR826" s="909" t="str">
        <f>IFERROR(VLOOKUP(E826,'liquidaciones '!$B$2:$I$1048576,8,0),"")</f>
        <v/>
      </c>
      <c r="AS826" s="406"/>
      <c r="AT826" s="156" t="str">
        <f t="shared" ca="1" si="155"/>
        <v>SI</v>
      </c>
      <c r="AU826" s="1040" t="s">
        <v>4805</v>
      </c>
      <c r="AV826" s="406"/>
      <c r="AW826" s="930" t="s">
        <v>559</v>
      </c>
      <c r="AX826" s="930" t="s">
        <v>5477</v>
      </c>
      <c r="AY826" s="928"/>
    </row>
    <row r="827" spans="3:51" ht="28.8" x14ac:dyDescent="0.3">
      <c r="C827" s="837">
        <v>376</v>
      </c>
      <c r="E827" s="120" t="s">
        <v>5137</v>
      </c>
      <c r="F827" s="414" t="s">
        <v>3582</v>
      </c>
      <c r="G827" s="863">
        <v>900446648</v>
      </c>
      <c r="H827" s="969" t="s">
        <v>5138</v>
      </c>
      <c r="I827" s="84">
        <v>9750000</v>
      </c>
      <c r="J827" s="843" t="s">
        <v>5139</v>
      </c>
      <c r="K827" s="269">
        <v>2019</v>
      </c>
      <c r="L827" s="519">
        <v>43649</v>
      </c>
      <c r="M827" s="519">
        <v>43669</v>
      </c>
      <c r="N827" s="519">
        <v>44034</v>
      </c>
      <c r="O827" s="1099" t="str">
        <f>IF(+Modificaciones!I827=0,"",VLOOKUP(E827,Modificaciones!$B$7:$I$2400,8,0))</f>
        <v/>
      </c>
      <c r="P827" s="115">
        <f>COUNTA(Modificaciones!J827,Modificaciones!L827,Modificaciones!N827,Modificaciones!P827)</f>
        <v>0</v>
      </c>
      <c r="Q827" s="116">
        <f>VLOOKUP(E827,Modificaciones!$B$7:$R$2300,17,0)</f>
        <v>0</v>
      </c>
      <c r="R827" s="117">
        <f>COUNTA(Modificaciones!T827,Modificaciones!V827,Modificaciones!X827,Modificaciones!Z827)</f>
        <v>0</v>
      </c>
      <c r="S827" s="118" t="str">
        <f>IF(Modificaciones!AA827=0,"",VLOOKUP(E827,Modificaciones!$B$7:$AA$2400,26,0))</f>
        <v/>
      </c>
      <c r="T827" s="119" t="str">
        <f>IF(Modificaciones!AB827=0,"",VLOOKUP(E827,Modificaciones!$B$7:$AB$2400,27,0))</f>
        <v/>
      </c>
      <c r="U827" s="1080" t="str">
        <f>+Modificaciones!AC827</f>
        <v/>
      </c>
      <c r="V827" s="825" t="str">
        <f>+Modificaciones!AK827</f>
        <v/>
      </c>
      <c r="W827" s="825">
        <f t="shared" si="150"/>
        <v>44034</v>
      </c>
      <c r="X827" s="59">
        <f t="shared" si="149"/>
        <v>9750000</v>
      </c>
      <c r="Y827" s="151">
        <f>VLOOKUP(E827,Modificaciones!$B$7:$BE$2300,56,0)</f>
        <v>9750000</v>
      </c>
      <c r="Z827" s="84">
        <f t="shared" si="162"/>
        <v>0</v>
      </c>
      <c r="AA827" s="283" t="s">
        <v>1894</v>
      </c>
      <c r="AB827" s="823">
        <f t="shared" si="163"/>
        <v>1</v>
      </c>
      <c r="AC827" s="40">
        <f t="shared" ca="1" si="151"/>
        <v>1</v>
      </c>
      <c r="AD827" s="41">
        <f t="shared" ca="1" si="152"/>
        <v>0</v>
      </c>
      <c r="AE827" s="181" t="str">
        <f t="shared" ca="1" si="153"/>
        <v/>
      </c>
      <c r="AF827" s="42" t="str">
        <f t="shared" si="164"/>
        <v>SI</v>
      </c>
      <c r="AG827" s="1037" t="s">
        <v>1711</v>
      </c>
      <c r="AH827" s="841" t="s">
        <v>1256</v>
      </c>
      <c r="AI827" s="870" t="s">
        <v>5140</v>
      </c>
      <c r="AJ827" s="152" t="s">
        <v>1438</v>
      </c>
      <c r="AK827" s="255" t="s">
        <v>560</v>
      </c>
      <c r="AL827" s="838" t="s">
        <v>4850</v>
      </c>
      <c r="AM827" s="838" t="s">
        <v>4851</v>
      </c>
      <c r="AN827" s="161" t="str">
        <f t="shared" ca="1" si="154"/>
        <v>TERMINO</v>
      </c>
      <c r="AO827" s="284" t="s">
        <v>576</v>
      </c>
      <c r="AP827" s="406" t="s">
        <v>391</v>
      </c>
      <c r="AQ827" s="819" t="str">
        <f>IFERROR(VLOOKUP(E827,'liquidaciones '!$B$2:$C$1048576,2,0),"NO")</f>
        <v>LIQUIDADO</v>
      </c>
      <c r="AR827" s="909" t="str">
        <f>IFERROR(VLOOKUP(E827,'liquidaciones '!$B$2:$I$1048576,8,0),"")</f>
        <v>MARIA FERNANDA ROMERO</v>
      </c>
      <c r="AS827" s="406"/>
      <c r="AT827" s="156" t="str">
        <f t="shared" ca="1" si="155"/>
        <v>SI</v>
      </c>
      <c r="AU827" s="1041" t="s">
        <v>5919</v>
      </c>
      <c r="AV827" s="406" t="s">
        <v>4852</v>
      </c>
      <c r="AW827" s="930" t="s">
        <v>560</v>
      </c>
      <c r="AX827" s="928"/>
      <c r="AY827" s="928"/>
    </row>
    <row r="828" spans="3:51" ht="61.2" x14ac:dyDescent="0.3">
      <c r="C828" s="837">
        <v>124</v>
      </c>
      <c r="E828" s="120" t="s">
        <v>5141</v>
      </c>
      <c r="F828" s="414" t="s">
        <v>5142</v>
      </c>
      <c r="G828" s="863" t="s">
        <v>5143</v>
      </c>
      <c r="H828" s="969" t="s">
        <v>5144</v>
      </c>
      <c r="I828" s="84">
        <v>680942391</v>
      </c>
      <c r="J828" s="843" t="s">
        <v>5148</v>
      </c>
      <c r="K828" s="269">
        <v>2019</v>
      </c>
      <c r="L828" s="519">
        <v>43662</v>
      </c>
      <c r="M828" s="519">
        <v>43672</v>
      </c>
      <c r="N828" s="519">
        <v>43976</v>
      </c>
      <c r="O828" s="1099" t="str">
        <f>IF(+Modificaciones!I828=0,"",VLOOKUP(E828,Modificaciones!$B$7:$I$2400,8,0))</f>
        <v/>
      </c>
      <c r="P828" s="115">
        <f>COUNTA(Modificaciones!J828,Modificaciones!L828,Modificaciones!N828,Modificaciones!P828)</f>
        <v>1</v>
      </c>
      <c r="Q828" s="116">
        <f>VLOOKUP(E828,Modificaciones!$B$7:$R$2300,17,0)</f>
        <v>245625636</v>
      </c>
      <c r="R828" s="117">
        <f>COUNTA(Modificaciones!T828,Modificaciones!V828,Modificaciones!X828,Modificaciones!Z828)</f>
        <v>1</v>
      </c>
      <c r="S828" s="118" t="str">
        <f>IF(Modificaciones!AA828=0,"",VLOOKUP(E828,Modificaciones!$B$7:$AA$2400,26,0))</f>
        <v>4 meses</v>
      </c>
      <c r="T828" s="119">
        <f>IF(Modificaciones!AB828=0,"",VLOOKUP(E828,Modificaciones!$B$7:$AB$2400,27,0))</f>
        <v>44099</v>
      </c>
      <c r="U828" s="1080" t="str">
        <f>+Modificaciones!AC828</f>
        <v/>
      </c>
      <c r="V828" s="825" t="str">
        <f>+Modificaciones!AK828</f>
        <v/>
      </c>
      <c r="W828" s="825">
        <f t="shared" si="150"/>
        <v>44099</v>
      </c>
      <c r="X828" s="59">
        <f t="shared" si="149"/>
        <v>926568027</v>
      </c>
      <c r="Y828" s="151">
        <f>VLOOKUP(E828,Modificaciones!$B$7:$BE$2300,56,0)</f>
        <v>507523429</v>
      </c>
      <c r="Z828" s="84">
        <f t="shared" si="162"/>
        <v>419044598</v>
      </c>
      <c r="AA828" s="1000" t="s">
        <v>1877</v>
      </c>
      <c r="AB828" s="823">
        <f t="shared" si="163"/>
        <v>0.547745458736836</v>
      </c>
      <c r="AC828" s="40">
        <f t="shared" ca="1" si="151"/>
        <v>1</v>
      </c>
      <c r="AD828" s="41">
        <f t="shared" ca="1" si="152"/>
        <v>0.452254541263164</v>
      </c>
      <c r="AE828" s="181" t="str">
        <f t="shared" ca="1" si="153"/>
        <v/>
      </c>
      <c r="AF828" s="42" t="str">
        <f t="shared" si="164"/>
        <v>NO</v>
      </c>
      <c r="AG828" s="1017" t="s">
        <v>4920</v>
      </c>
      <c r="AH828" s="841" t="s">
        <v>1256</v>
      </c>
      <c r="AI828" s="870" t="s">
        <v>2183</v>
      </c>
      <c r="AJ828" s="152" t="s">
        <v>1438</v>
      </c>
      <c r="AK828" s="255" t="s">
        <v>560</v>
      </c>
      <c r="AL828" s="838" t="s">
        <v>4850</v>
      </c>
      <c r="AM828" s="838" t="s">
        <v>4851</v>
      </c>
      <c r="AN828" s="161" t="str">
        <f t="shared" ca="1" si="154"/>
        <v>TERMINO</v>
      </c>
      <c r="AO828" s="284" t="s">
        <v>4975</v>
      </c>
      <c r="AP828" s="406" t="s">
        <v>390</v>
      </c>
      <c r="AQ828" s="819" t="str">
        <f>IFERROR(VLOOKUP(E828,'liquidaciones '!$B$2:$C$1048576,2,0),"NO")</f>
        <v>NO</v>
      </c>
      <c r="AR828" s="909" t="str">
        <f>IFERROR(VLOOKUP(E828,'liquidaciones '!$B$2:$I$1048576,8,0),"")</f>
        <v/>
      </c>
      <c r="AS828" s="406"/>
      <c r="AT828" s="156" t="str">
        <f t="shared" ca="1" si="155"/>
        <v>SI</v>
      </c>
      <c r="AU828" s="1110" t="s">
        <v>5919</v>
      </c>
      <c r="AV828" s="406" t="s">
        <v>4852</v>
      </c>
      <c r="AW828" s="930" t="s">
        <v>560</v>
      </c>
      <c r="AX828" s="930" t="s">
        <v>5988</v>
      </c>
      <c r="AY828" s="930" t="s">
        <v>6360</v>
      </c>
    </row>
    <row r="829" spans="3:51" ht="30.6" x14ac:dyDescent="0.3">
      <c r="C829" s="837">
        <v>43</v>
      </c>
      <c r="E829" s="120" t="s">
        <v>5145</v>
      </c>
      <c r="F829" s="414" t="s">
        <v>5146</v>
      </c>
      <c r="G829" s="863" t="s">
        <v>5147</v>
      </c>
      <c r="H829" s="969" t="s">
        <v>5128</v>
      </c>
      <c r="I829" s="84">
        <v>103058621</v>
      </c>
      <c r="J829" s="843" t="s">
        <v>5129</v>
      </c>
      <c r="K829" s="269">
        <v>2019</v>
      </c>
      <c r="L829" s="519">
        <v>43656</v>
      </c>
      <c r="M829" s="519">
        <v>43671</v>
      </c>
      <c r="N829" s="519">
        <v>43914</v>
      </c>
      <c r="O829" s="1099" t="str">
        <f>IF(+Modificaciones!I829=0,"",VLOOKUP(E829,Modificaciones!$B$7:$I$2400,8,0))</f>
        <v/>
      </c>
      <c r="P829" s="115">
        <f>COUNTA(Modificaciones!J829,Modificaciones!L829,Modificaciones!N829,Modificaciones!P829)</f>
        <v>0</v>
      </c>
      <c r="Q829" s="116">
        <f>VLOOKUP(E829,Modificaciones!$B$7:$R$2300,17,0)</f>
        <v>0</v>
      </c>
      <c r="R829" s="117">
        <f>COUNTA(Modificaciones!T829,Modificaciones!V829,Modificaciones!X829,Modificaciones!Z829)</f>
        <v>1</v>
      </c>
      <c r="S829" s="118" t="str">
        <f>IF(Modificaciones!AA829=0,"",VLOOKUP(E829,Modificaciones!$B$7:$AA$2400,26,0))</f>
        <v>4 meses</v>
      </c>
      <c r="T829" s="119">
        <f>IF(Modificaciones!AB829=0,"",VLOOKUP(E829,Modificaciones!$B$7:$AB$2400,27,0))</f>
        <v>44036</v>
      </c>
      <c r="U829" s="1080" t="str">
        <f>+Modificaciones!AC829</f>
        <v/>
      </c>
      <c r="V829" s="825" t="str">
        <f>+Modificaciones!AK829</f>
        <v/>
      </c>
      <c r="W829" s="825">
        <f t="shared" si="150"/>
        <v>44036</v>
      </c>
      <c r="X829" s="59">
        <f t="shared" si="149"/>
        <v>103058621</v>
      </c>
      <c r="Y829" s="151">
        <f>VLOOKUP(E829,Modificaciones!$B$7:$BE$2300,56,0)</f>
        <v>82480000</v>
      </c>
      <c r="Z829" s="84">
        <f t="shared" si="162"/>
        <v>20578621</v>
      </c>
      <c r="AA829" s="1000" t="s">
        <v>1877</v>
      </c>
      <c r="AB829" s="823">
        <f t="shared" si="163"/>
        <v>0.80032120748054647</v>
      </c>
      <c r="AC829" s="40">
        <f t="shared" ca="1" si="151"/>
        <v>1</v>
      </c>
      <c r="AD829" s="41">
        <f t="shared" ca="1" si="152"/>
        <v>0.19967879251945353</v>
      </c>
      <c r="AE829" s="181" t="str">
        <f t="shared" ca="1" si="153"/>
        <v/>
      </c>
      <c r="AF829" s="42" t="str">
        <f t="shared" si="164"/>
        <v>NO</v>
      </c>
      <c r="AG829" s="1017" t="s">
        <v>4920</v>
      </c>
      <c r="AH829" s="152" t="s">
        <v>1255</v>
      </c>
      <c r="AI829" s="841" t="s">
        <v>5130</v>
      </c>
      <c r="AJ829" s="152" t="s">
        <v>1434</v>
      </c>
      <c r="AK829" s="255" t="s">
        <v>560</v>
      </c>
      <c r="AL829" s="838" t="s">
        <v>4624</v>
      </c>
      <c r="AM829" s="838" t="s">
        <v>4851</v>
      </c>
      <c r="AN829" s="161" t="str">
        <f t="shared" ca="1" si="154"/>
        <v>TERMINO</v>
      </c>
      <c r="AO829" s="284" t="s">
        <v>4975</v>
      </c>
      <c r="AP829" s="406" t="s">
        <v>390</v>
      </c>
      <c r="AQ829" s="819" t="str">
        <f>IFERROR(VLOOKUP(E829,'liquidaciones '!$B$2:$C$1048576,2,0),"NO")</f>
        <v>NO</v>
      </c>
      <c r="AR829" s="909" t="str">
        <f>IFERROR(VLOOKUP(E829,'liquidaciones '!$B$2:$I$1048576,8,0),"")</f>
        <v/>
      </c>
      <c r="AS829" s="406"/>
      <c r="AT829" s="156" t="str">
        <f t="shared" ca="1" si="155"/>
        <v>SI</v>
      </c>
      <c r="AU829" s="1042" t="s">
        <v>4299</v>
      </c>
      <c r="AV829" s="406" t="s">
        <v>5149</v>
      </c>
      <c r="AW829" s="930" t="s">
        <v>560</v>
      </c>
      <c r="AX829" s="930" t="s">
        <v>5735</v>
      </c>
      <c r="AY829" s="930"/>
    </row>
    <row r="830" spans="3:51" ht="30.6" x14ac:dyDescent="0.3">
      <c r="C830" s="837">
        <v>43</v>
      </c>
      <c r="E830" s="120" t="s">
        <v>5150</v>
      </c>
      <c r="F830" s="414" t="s">
        <v>5152</v>
      </c>
      <c r="G830" s="863" t="s">
        <v>5151</v>
      </c>
      <c r="H830" s="969" t="s">
        <v>5128</v>
      </c>
      <c r="I830" s="84">
        <v>152030445</v>
      </c>
      <c r="J830" s="843" t="s">
        <v>5129</v>
      </c>
      <c r="K830" s="269">
        <v>2019</v>
      </c>
      <c r="L830" s="519">
        <v>43657</v>
      </c>
      <c r="M830" s="519">
        <v>43675</v>
      </c>
      <c r="N830" s="519">
        <v>43918</v>
      </c>
      <c r="O830" s="1099" t="str">
        <f>IF(+Modificaciones!I830=0,"",VLOOKUP(E830,Modificaciones!$B$7:$I$2400,8,0))</f>
        <v/>
      </c>
      <c r="P830" s="115">
        <f>COUNTA(Modificaciones!J830,Modificaciones!L830,Modificaciones!N830,Modificaciones!P830)</f>
        <v>0</v>
      </c>
      <c r="Q830" s="116">
        <f>VLOOKUP(E830,Modificaciones!$B$7:$R$2300,17,0)</f>
        <v>0</v>
      </c>
      <c r="R830" s="117">
        <f>COUNTA(Modificaciones!T830,Modificaciones!V830,Modificaciones!X830,Modificaciones!Z830)</f>
        <v>1</v>
      </c>
      <c r="S830" s="118" t="str">
        <f>IF(Modificaciones!AA830=0,"",VLOOKUP(E830,Modificaciones!$B$7:$AA$2400,26,0))</f>
        <v>4 meses</v>
      </c>
      <c r="T830" s="119">
        <f>IF(Modificaciones!AB830=0,"",VLOOKUP(E830,Modificaciones!$B$7:$AB$2400,27,0))</f>
        <v>44040</v>
      </c>
      <c r="U830" s="1080" t="str">
        <f>+Modificaciones!AC830</f>
        <v/>
      </c>
      <c r="V830" s="825" t="str">
        <f>+Modificaciones!AK830</f>
        <v/>
      </c>
      <c r="W830" s="825">
        <f t="shared" si="150"/>
        <v>44040</v>
      </c>
      <c r="X830" s="59">
        <f t="shared" si="149"/>
        <v>152030445</v>
      </c>
      <c r="Y830" s="151">
        <f>VLOOKUP(E830,Modificaciones!$B$7:$BE$2300,56,0)</f>
        <v>128670000</v>
      </c>
      <c r="Z830" s="84">
        <f t="shared" si="162"/>
        <v>23360445</v>
      </c>
      <c r="AA830" s="1000" t="s">
        <v>1877</v>
      </c>
      <c r="AB830" s="823">
        <f t="shared" si="163"/>
        <v>0.84634363860475448</v>
      </c>
      <c r="AC830" s="40">
        <f t="shared" ca="1" si="151"/>
        <v>1</v>
      </c>
      <c r="AD830" s="41">
        <f t="shared" ca="1" si="152"/>
        <v>0.15365636139524552</v>
      </c>
      <c r="AE830" s="181" t="str">
        <f t="shared" ca="1" si="153"/>
        <v/>
      </c>
      <c r="AF830" s="42" t="str">
        <f t="shared" si="164"/>
        <v>NO</v>
      </c>
      <c r="AG830" s="1017" t="s">
        <v>4920</v>
      </c>
      <c r="AH830" s="152" t="s">
        <v>1255</v>
      </c>
      <c r="AI830" s="841" t="s">
        <v>5130</v>
      </c>
      <c r="AJ830" s="152" t="s">
        <v>1434</v>
      </c>
      <c r="AK830" s="255" t="s">
        <v>560</v>
      </c>
      <c r="AL830" s="838" t="s">
        <v>4624</v>
      </c>
      <c r="AM830" s="838" t="s">
        <v>4851</v>
      </c>
      <c r="AN830" s="161" t="str">
        <f t="shared" ca="1" si="154"/>
        <v>TERMINO</v>
      </c>
      <c r="AO830" s="284" t="s">
        <v>4975</v>
      </c>
      <c r="AP830" s="406" t="s">
        <v>390</v>
      </c>
      <c r="AQ830" s="819" t="str">
        <f>IFERROR(VLOOKUP(E830,'liquidaciones '!$B$2:$C$1048576,2,0),"NO")</f>
        <v>NO</v>
      </c>
      <c r="AR830" s="909" t="str">
        <f>IFERROR(VLOOKUP(E830,'liquidaciones '!$B$2:$I$1048576,8,0),"")</f>
        <v/>
      </c>
      <c r="AS830" s="406"/>
      <c r="AT830" s="156" t="str">
        <f t="shared" ca="1" si="155"/>
        <v>SI</v>
      </c>
      <c r="AU830" s="1060" t="s">
        <v>4299</v>
      </c>
      <c r="AV830" s="406" t="s">
        <v>5149</v>
      </c>
      <c r="AW830" s="930" t="s">
        <v>560</v>
      </c>
      <c r="AX830" s="930" t="s">
        <v>5723</v>
      </c>
      <c r="AY830" s="928"/>
    </row>
    <row r="831" spans="3:51" ht="40.799999999999997" x14ac:dyDescent="0.3">
      <c r="C831" s="837">
        <v>693</v>
      </c>
      <c r="E831" s="120" t="s">
        <v>5164</v>
      </c>
      <c r="F831" s="414" t="s">
        <v>5165</v>
      </c>
      <c r="G831" s="863">
        <v>830005800</v>
      </c>
      <c r="H831" s="969" t="s">
        <v>4254</v>
      </c>
      <c r="I831" s="84">
        <v>26600000</v>
      </c>
      <c r="J831" s="843" t="s">
        <v>6176</v>
      </c>
      <c r="K831" s="269">
        <v>2019</v>
      </c>
      <c r="L831" s="519">
        <v>43657</v>
      </c>
      <c r="M831" s="519">
        <v>43685</v>
      </c>
      <c r="N831" s="519">
        <v>43928</v>
      </c>
      <c r="O831" s="1099" t="str">
        <f>IF(+Modificaciones!I831=0,"",VLOOKUP(E831,Modificaciones!$B$7:$I$2400,8,0))</f>
        <v/>
      </c>
      <c r="P831" s="115">
        <f>COUNTA(Modificaciones!J831,Modificaciones!L831,Modificaciones!N831,Modificaciones!P831)</f>
        <v>0</v>
      </c>
      <c r="Q831" s="116">
        <f>VLOOKUP(E831,Modificaciones!$B$7:$R$2300,17,0)</f>
        <v>0</v>
      </c>
      <c r="R831" s="117">
        <f>COUNTA(Modificaciones!T831,Modificaciones!V831,Modificaciones!X831,Modificaciones!Z831)</f>
        <v>0</v>
      </c>
      <c r="S831" s="118" t="str">
        <f>IF(Modificaciones!AA831=0,"",VLOOKUP(E831,Modificaciones!$B$7:$AA$2400,26,0))</f>
        <v/>
      </c>
      <c r="T831" s="119" t="str">
        <f>IF(Modificaciones!AB831=0,"",VLOOKUP(E831,Modificaciones!$B$7:$AB$2400,27,0))</f>
        <v/>
      </c>
      <c r="U831" s="1080" t="str">
        <f>+Modificaciones!AC831</f>
        <v/>
      </c>
      <c r="V831" s="825" t="str">
        <f>+Modificaciones!AK831</f>
        <v/>
      </c>
      <c r="W831" s="825">
        <f t="shared" si="150"/>
        <v>43928</v>
      </c>
      <c r="X831" s="59">
        <f t="shared" si="149"/>
        <v>26600000</v>
      </c>
      <c r="Y831" s="151">
        <f>VLOOKUP(E831,Modificaciones!$B$7:$BE$2300,56,0)</f>
        <v>17029598</v>
      </c>
      <c r="Z831" s="84">
        <f t="shared" si="162"/>
        <v>9570402</v>
      </c>
      <c r="AA831" s="1000" t="s">
        <v>5166</v>
      </c>
      <c r="AB831" s="823">
        <f t="shared" si="163"/>
        <v>0.6402104511278196</v>
      </c>
      <c r="AC831" s="40">
        <f t="shared" ca="1" si="151"/>
        <v>1</v>
      </c>
      <c r="AD831" s="41">
        <f t="shared" ca="1" si="152"/>
        <v>0.3597895488721804</v>
      </c>
      <c r="AE831" s="181" t="str">
        <f t="shared" ca="1" si="153"/>
        <v/>
      </c>
      <c r="AF831" s="42" t="str">
        <f t="shared" si="164"/>
        <v>NO</v>
      </c>
      <c r="AG831" s="1017" t="s">
        <v>4920</v>
      </c>
      <c r="AH831" s="841" t="s">
        <v>1256</v>
      </c>
      <c r="AI831" s="870" t="s">
        <v>2397</v>
      </c>
      <c r="AJ831" s="152" t="s">
        <v>1438</v>
      </c>
      <c r="AK831" s="255" t="s">
        <v>560</v>
      </c>
      <c r="AL831" s="414" t="s">
        <v>4850</v>
      </c>
      <c r="AM831" s="216" t="s">
        <v>4851</v>
      </c>
      <c r="AN831" s="161" t="str">
        <f t="shared" ca="1" si="154"/>
        <v>TERMINO</v>
      </c>
      <c r="AO831" s="284" t="s">
        <v>4975</v>
      </c>
      <c r="AP831" s="406" t="s">
        <v>390</v>
      </c>
      <c r="AQ831" s="819" t="str">
        <f>IFERROR(VLOOKUP(E831,'liquidaciones '!$B$2:$C$1048576,2,0),"NO")</f>
        <v>NO</v>
      </c>
      <c r="AR831" s="909" t="str">
        <f>IFERROR(VLOOKUP(E831,'liquidaciones '!$B$2:$I$1048576,8,0),"")</f>
        <v/>
      </c>
      <c r="AS831" s="406"/>
      <c r="AT831" s="156" t="str">
        <f t="shared" ca="1" si="155"/>
        <v>SI</v>
      </c>
      <c r="AU831" s="1062" t="s">
        <v>5850</v>
      </c>
      <c r="AV831" s="406" t="s">
        <v>4852</v>
      </c>
      <c r="AW831" s="930" t="s">
        <v>560</v>
      </c>
      <c r="AX831" s="928"/>
      <c r="AY831" s="930" t="s">
        <v>5799</v>
      </c>
    </row>
    <row r="832" spans="3:51" ht="40.799999999999997" x14ac:dyDescent="0.3">
      <c r="C832" s="837">
        <v>855</v>
      </c>
      <c r="E832" s="120" t="s">
        <v>5167</v>
      </c>
      <c r="F832" s="414" t="s">
        <v>5168</v>
      </c>
      <c r="G832" s="863">
        <v>1030582824</v>
      </c>
      <c r="H832" s="969" t="s">
        <v>5169</v>
      </c>
      <c r="I832" s="84">
        <v>27222000</v>
      </c>
      <c r="J832" s="843" t="s">
        <v>5167</v>
      </c>
      <c r="K832" s="269">
        <v>2019</v>
      </c>
      <c r="L832" s="519">
        <v>43669</v>
      </c>
      <c r="M832" s="519">
        <v>43690</v>
      </c>
      <c r="N832" s="519">
        <v>43830</v>
      </c>
      <c r="O832" s="1099">
        <f>IF(+Modificaciones!I832=0,"",VLOOKUP(E832,Modificaciones!$B$7:$I$2400,8,0))</f>
        <v>43873</v>
      </c>
      <c r="P832" s="115">
        <f>COUNTA(Modificaciones!J832,Modificaciones!L832,Modificaciones!N832,Modificaciones!P832)</f>
        <v>0</v>
      </c>
      <c r="Q832" s="116">
        <f>VLOOKUP(E832,Modificaciones!$B$7:$R$2300,17,0)</f>
        <v>0</v>
      </c>
      <c r="R832" s="117">
        <f>COUNTA(Modificaciones!T832,Modificaciones!V832,Modificaciones!X832,Modificaciones!Z832)</f>
        <v>0</v>
      </c>
      <c r="S832" s="118" t="str">
        <f>IF(Modificaciones!AA832=0,"",VLOOKUP(E832,Modificaciones!$B$7:$AA$2400,26,0))</f>
        <v/>
      </c>
      <c r="T832" s="119" t="str">
        <f>IF(Modificaciones!AB832=0,"",VLOOKUP(E832,Modificaciones!$B$7:$AB$2400,27,0))</f>
        <v/>
      </c>
      <c r="U832" s="1080" t="str">
        <f>+Modificaciones!AC832</f>
        <v/>
      </c>
      <c r="V832" s="825" t="str">
        <f>+Modificaciones!AK832</f>
        <v/>
      </c>
      <c r="W832" s="825">
        <f t="shared" si="150"/>
        <v>43873</v>
      </c>
      <c r="X832" s="59">
        <f t="shared" si="149"/>
        <v>27222000</v>
      </c>
      <c r="Y832" s="151">
        <f>VLOOKUP(E832,Modificaciones!$B$7:$BE$2300,56,0)</f>
        <v>25407200</v>
      </c>
      <c r="Z832" s="84">
        <f t="shared" si="162"/>
        <v>1814800</v>
      </c>
      <c r="AA832" s="1000" t="s">
        <v>1094</v>
      </c>
      <c r="AB832" s="823">
        <f t="shared" si="163"/>
        <v>0.93333333333333335</v>
      </c>
      <c r="AC832" s="40">
        <f t="shared" ca="1" si="151"/>
        <v>1</v>
      </c>
      <c r="AD832" s="41">
        <f t="shared" ca="1" si="152"/>
        <v>6.6666666666666652E-2</v>
      </c>
      <c r="AE832" s="181" t="str">
        <f t="shared" ca="1" si="153"/>
        <v/>
      </c>
      <c r="AF832" s="42" t="str">
        <f t="shared" si="164"/>
        <v>NO</v>
      </c>
      <c r="AG832" s="732" t="s">
        <v>5773</v>
      </c>
      <c r="AH832" s="841" t="s">
        <v>1255</v>
      </c>
      <c r="AI832" s="870" t="s">
        <v>5096</v>
      </c>
      <c r="AJ832" s="152" t="s">
        <v>5091</v>
      </c>
      <c r="AK832" s="255" t="s">
        <v>561</v>
      </c>
      <c r="AL832" s="838"/>
      <c r="AM832" s="414" t="s">
        <v>4916</v>
      </c>
      <c r="AN832" s="161" t="str">
        <f t="shared" ca="1" si="154"/>
        <v>TERMINO</v>
      </c>
      <c r="AO832" s="284" t="s">
        <v>582</v>
      </c>
      <c r="AP832" s="406" t="s">
        <v>391</v>
      </c>
      <c r="AQ832" s="819" t="str">
        <f>IFERROR(VLOOKUP(E832,'liquidaciones '!$B$2:$C$1048576,2,0),"NO")</f>
        <v>NO</v>
      </c>
      <c r="AR832" s="909" t="str">
        <f>IFERROR(VLOOKUP(E832,'liquidaciones '!$B$2:$I$1048576,8,0),"")</f>
        <v/>
      </c>
      <c r="AS832" s="406"/>
      <c r="AT832" s="156" t="str">
        <f t="shared" ca="1" si="155"/>
        <v>SI</v>
      </c>
      <c r="AU832" s="1063" t="s">
        <v>4805</v>
      </c>
      <c r="AV832" s="406" t="s">
        <v>5026</v>
      </c>
      <c r="AW832" s="930" t="s">
        <v>561</v>
      </c>
      <c r="AX832" s="930" t="s">
        <v>5475</v>
      </c>
      <c r="AY832" s="928"/>
    </row>
    <row r="833" spans="3:51" ht="30.6" x14ac:dyDescent="0.3">
      <c r="C833" s="837">
        <v>796</v>
      </c>
      <c r="E833" s="120" t="s">
        <v>5171</v>
      </c>
      <c r="F833" s="414" t="s">
        <v>5172</v>
      </c>
      <c r="G833" s="863">
        <v>52297038</v>
      </c>
      <c r="H833" s="969" t="s">
        <v>5173</v>
      </c>
      <c r="I833" s="84">
        <v>12012000</v>
      </c>
      <c r="J833" s="843" t="s">
        <v>5171</v>
      </c>
      <c r="K833" s="269">
        <v>2019</v>
      </c>
      <c r="L833" s="519">
        <v>43675</v>
      </c>
      <c r="M833" s="519">
        <v>43685</v>
      </c>
      <c r="N833" s="519">
        <v>43830</v>
      </c>
      <c r="O833" s="1099">
        <f>IF(+Modificaciones!I833=0,"",VLOOKUP(E833,Modificaciones!$B$7:$I$2400,8,0))</f>
        <v>43868</v>
      </c>
      <c r="P833" s="115">
        <f>COUNTA(Modificaciones!J833,Modificaciones!L833,Modificaciones!N833,Modificaciones!P833)</f>
        <v>0</v>
      </c>
      <c r="Q833" s="116">
        <f>VLOOKUP(E833,Modificaciones!$B$7:$R$2300,17,0)</f>
        <v>0</v>
      </c>
      <c r="R833" s="117">
        <f>COUNTA(Modificaciones!T833,Modificaciones!V833,Modificaciones!X833,Modificaciones!Z833)</f>
        <v>0</v>
      </c>
      <c r="S833" s="118" t="str">
        <f>IF(Modificaciones!AA833=0,"",VLOOKUP(E833,Modificaciones!$B$7:$AA$2400,26,0))</f>
        <v/>
      </c>
      <c r="T833" s="119" t="str">
        <f>IF(Modificaciones!AB833=0,"",VLOOKUP(E833,Modificaciones!$B$7:$AB$2400,27,0))</f>
        <v/>
      </c>
      <c r="U833" s="1080" t="str">
        <f>+Modificaciones!AC833</f>
        <v/>
      </c>
      <c r="V833" s="825" t="str">
        <f>+Modificaciones!AK833</f>
        <v/>
      </c>
      <c r="W833" s="825">
        <f t="shared" si="150"/>
        <v>43868</v>
      </c>
      <c r="X833" s="59">
        <f t="shared" si="149"/>
        <v>12012000</v>
      </c>
      <c r="Y833" s="151">
        <f>VLOOKUP(E833,Modificaciones!$B$7:$BE$2300,56,0)</f>
        <v>12012000</v>
      </c>
      <c r="Z833" s="84">
        <f t="shared" si="162"/>
        <v>0</v>
      </c>
      <c r="AA833" s="1000" t="s">
        <v>1094</v>
      </c>
      <c r="AB833" s="823">
        <f t="shared" si="163"/>
        <v>1</v>
      </c>
      <c r="AC833" s="40">
        <f t="shared" ca="1" si="151"/>
        <v>1</v>
      </c>
      <c r="AD833" s="41">
        <f t="shared" ca="1" si="152"/>
        <v>0</v>
      </c>
      <c r="AE833" s="181" t="str">
        <f t="shared" ca="1" si="153"/>
        <v/>
      </c>
      <c r="AF833" s="42" t="str">
        <f t="shared" si="164"/>
        <v>SI</v>
      </c>
      <c r="AG833" s="732" t="s">
        <v>5773</v>
      </c>
      <c r="AH833" s="841" t="s">
        <v>1255</v>
      </c>
      <c r="AI833" s="870" t="s">
        <v>5174</v>
      </c>
      <c r="AJ833" s="838"/>
      <c r="AK833" s="255" t="s">
        <v>560</v>
      </c>
      <c r="AL833" s="838"/>
      <c r="AM833" s="838" t="s">
        <v>4851</v>
      </c>
      <c r="AN833" s="161" t="str">
        <f t="shared" ca="1" si="154"/>
        <v>TERMINO</v>
      </c>
      <c r="AO833" s="284" t="s">
        <v>582</v>
      </c>
      <c r="AP833" s="406" t="s">
        <v>391</v>
      </c>
      <c r="AQ833" s="819" t="str">
        <f>IFERROR(VLOOKUP(E833,'liquidaciones '!$B$2:$C$1048576,2,0),"NO")</f>
        <v>LIQUIDADO</v>
      </c>
      <c r="AR833" s="909" t="str">
        <f>IFERROR(VLOOKUP(E833,'liquidaciones '!$B$2:$I$1048576,8,0),"")</f>
        <v>ANDRES FELIPE CORZO</v>
      </c>
      <c r="AS833" s="406"/>
      <c r="AT833" s="156" t="str">
        <f t="shared" ca="1" si="155"/>
        <v>SI</v>
      </c>
      <c r="AU833" s="1063" t="s">
        <v>4805</v>
      </c>
      <c r="AV833" s="406"/>
      <c r="AW833" s="930" t="s">
        <v>560</v>
      </c>
      <c r="AX833" s="930" t="s">
        <v>5478</v>
      </c>
      <c r="AY833" s="928"/>
    </row>
    <row r="834" spans="3:51" ht="61.2" x14ac:dyDescent="0.3">
      <c r="C834" s="837">
        <v>753</v>
      </c>
      <c r="E834" s="120" t="s">
        <v>5176</v>
      </c>
      <c r="F834" s="414" t="s">
        <v>3644</v>
      </c>
      <c r="G834" s="863">
        <v>900354406</v>
      </c>
      <c r="H834" s="969" t="s">
        <v>5177</v>
      </c>
      <c r="I834" s="84">
        <v>5375000</v>
      </c>
      <c r="J834" s="843" t="s">
        <v>5729</v>
      </c>
      <c r="K834" s="269">
        <v>2019</v>
      </c>
      <c r="L834" s="519">
        <v>43658</v>
      </c>
      <c r="M834" s="519">
        <v>43685</v>
      </c>
      <c r="N834" s="519">
        <v>43868</v>
      </c>
      <c r="O834" s="1099" t="str">
        <f>IF(+Modificaciones!I834=0,"",VLOOKUP(E834,Modificaciones!$B$7:$I$2400,8,0))</f>
        <v/>
      </c>
      <c r="P834" s="115">
        <f>COUNTA(Modificaciones!J834,Modificaciones!L834,Modificaciones!N834,Modificaciones!P834)</f>
        <v>0</v>
      </c>
      <c r="Q834" s="116">
        <f>VLOOKUP(E834,Modificaciones!$B$7:$R$2300,17,0)</f>
        <v>0</v>
      </c>
      <c r="R834" s="117">
        <f>COUNTA(Modificaciones!T834,Modificaciones!V834,Modificaciones!X834,Modificaciones!Z834)</f>
        <v>0</v>
      </c>
      <c r="S834" s="118" t="str">
        <f>IF(Modificaciones!AA834=0,"",VLOOKUP(E834,Modificaciones!$B$7:$AA$2400,26,0))</f>
        <v/>
      </c>
      <c r="T834" s="119" t="str">
        <f>IF(Modificaciones!AB834=0,"",VLOOKUP(E834,Modificaciones!$B$7:$AB$2400,27,0))</f>
        <v/>
      </c>
      <c r="U834" s="1080" t="str">
        <f>+Modificaciones!AC834</f>
        <v/>
      </c>
      <c r="V834" s="825" t="str">
        <f>+Modificaciones!AK834</f>
        <v/>
      </c>
      <c r="W834" s="825">
        <f t="shared" si="150"/>
        <v>43868</v>
      </c>
      <c r="X834" s="59">
        <f t="shared" si="149"/>
        <v>5375000</v>
      </c>
      <c r="Y834" s="151">
        <f>VLOOKUP(E834,Modificaciones!$B$7:$BE$2300,56,0)</f>
        <v>5354991</v>
      </c>
      <c r="Z834" s="84">
        <f t="shared" si="162"/>
        <v>20009</v>
      </c>
      <c r="AA834" s="1000" t="s">
        <v>5178</v>
      </c>
      <c r="AB834" s="823">
        <f t="shared" si="163"/>
        <v>0.99627739534883719</v>
      </c>
      <c r="AC834" s="40">
        <f t="shared" ca="1" si="151"/>
        <v>1</v>
      </c>
      <c r="AD834" s="41">
        <f t="shared" ca="1" si="152"/>
        <v>3.7226046511628086E-3</v>
      </c>
      <c r="AE834" s="181" t="str">
        <f t="shared" ca="1" si="153"/>
        <v/>
      </c>
      <c r="AF834" s="42" t="str">
        <f t="shared" si="164"/>
        <v>NO</v>
      </c>
      <c r="AG834" s="1017" t="s">
        <v>4920</v>
      </c>
      <c r="AH834" s="841" t="s">
        <v>1255</v>
      </c>
      <c r="AI834" s="255" t="s">
        <v>1510</v>
      </c>
      <c r="AJ834" s="152" t="s">
        <v>1441</v>
      </c>
      <c r="AK834" s="255" t="s">
        <v>560</v>
      </c>
      <c r="AL834" s="838" t="s">
        <v>5060</v>
      </c>
      <c r="AM834" s="838" t="s">
        <v>4851</v>
      </c>
      <c r="AN834" s="161" t="str">
        <f t="shared" ca="1" si="154"/>
        <v>TERMINO</v>
      </c>
      <c r="AO834" s="284" t="s">
        <v>576</v>
      </c>
      <c r="AP834" s="406" t="s">
        <v>390</v>
      </c>
      <c r="AQ834" s="819" t="str">
        <f>IFERROR(VLOOKUP(E834,'liquidaciones '!$B$2:$C$1048576,2,0),"NO")</f>
        <v>NO</v>
      </c>
      <c r="AR834" s="909" t="str">
        <f>IFERROR(VLOOKUP(E834,'liquidaciones '!$B$2:$I$1048576,8,0),"")</f>
        <v/>
      </c>
      <c r="AS834" s="406"/>
      <c r="AT834" s="156" t="str">
        <f t="shared" ca="1" si="155"/>
        <v>SI</v>
      </c>
      <c r="AU834" s="1023" t="s">
        <v>4805</v>
      </c>
      <c r="AV834" s="406" t="s">
        <v>5044</v>
      </c>
      <c r="AW834" s="930" t="s">
        <v>560</v>
      </c>
      <c r="AX834" s="928"/>
      <c r="AY834" s="275" t="s">
        <v>5874</v>
      </c>
    </row>
    <row r="835" spans="3:51" ht="40.799999999999997" x14ac:dyDescent="0.3">
      <c r="C835" s="837">
        <v>773</v>
      </c>
      <c r="E835" s="120" t="s">
        <v>5179</v>
      </c>
      <c r="F835" s="414" t="s">
        <v>5180</v>
      </c>
      <c r="G835" s="863">
        <v>79445313</v>
      </c>
      <c r="H835" s="969" t="s">
        <v>5089</v>
      </c>
      <c r="I835" s="84">
        <v>34782000</v>
      </c>
      <c r="J835" s="843" t="s">
        <v>5179</v>
      </c>
      <c r="K835" s="269">
        <v>2019</v>
      </c>
      <c r="L835" s="519">
        <v>43675</v>
      </c>
      <c r="M835" s="519">
        <v>43690</v>
      </c>
      <c r="N835" s="519">
        <v>43830</v>
      </c>
      <c r="O835" s="1099" t="str">
        <f>IF(+Modificaciones!I835=0,"",VLOOKUP(E835,Modificaciones!$B$7:$I$2400,8,0))</f>
        <v/>
      </c>
      <c r="P835" s="115">
        <f>COUNTA(Modificaciones!J835,Modificaciones!L835,Modificaciones!N835,Modificaciones!P835)</f>
        <v>0</v>
      </c>
      <c r="Q835" s="116">
        <f>VLOOKUP(E835,Modificaciones!$B$7:$R$2300,17,0)</f>
        <v>0</v>
      </c>
      <c r="R835" s="117">
        <f>COUNTA(Modificaciones!T835,Modificaciones!V835,Modificaciones!X835,Modificaciones!Z835)</f>
        <v>0</v>
      </c>
      <c r="S835" s="118" t="str">
        <f>IF(Modificaciones!AA835=0,"",VLOOKUP(E835,Modificaciones!$B$7:$AA$2400,26,0))</f>
        <v/>
      </c>
      <c r="T835" s="119" t="str">
        <f>IF(Modificaciones!AB835=0,"",VLOOKUP(E835,Modificaciones!$B$7:$AB$2400,27,0))</f>
        <v/>
      </c>
      <c r="U835" s="1080" t="str">
        <f>+Modificaciones!AC835</f>
        <v/>
      </c>
      <c r="V835" s="825" t="str">
        <f>+Modificaciones!AK835</f>
        <v/>
      </c>
      <c r="W835" s="825">
        <f t="shared" si="150"/>
        <v>43830</v>
      </c>
      <c r="X835" s="59">
        <f t="shared" si="149"/>
        <v>34782000</v>
      </c>
      <c r="Y835" s="151">
        <f>VLOOKUP(E835,Modificaciones!$B$7:$BE$2300,56,0)</f>
        <v>26666200</v>
      </c>
      <c r="Z835" s="84">
        <f t="shared" si="162"/>
        <v>8115800</v>
      </c>
      <c r="AA835" s="1000" t="s">
        <v>1094</v>
      </c>
      <c r="AB835" s="823">
        <f t="shared" si="163"/>
        <v>0.76666666666666672</v>
      </c>
      <c r="AC835" s="40">
        <f t="shared" ca="1" si="151"/>
        <v>1</v>
      </c>
      <c r="AD835" s="41">
        <f t="shared" ca="1" si="152"/>
        <v>0.23333333333333328</v>
      </c>
      <c r="AE835" s="181" t="str">
        <f t="shared" ca="1" si="153"/>
        <v/>
      </c>
      <c r="AF835" s="42" t="str">
        <f t="shared" si="164"/>
        <v>NO</v>
      </c>
      <c r="AG835" s="732" t="s">
        <v>5773</v>
      </c>
      <c r="AH835" s="841" t="s">
        <v>1255</v>
      </c>
      <c r="AI835" s="870" t="s">
        <v>5096</v>
      </c>
      <c r="AJ835" s="838" t="s">
        <v>5091</v>
      </c>
      <c r="AK835" s="255" t="s">
        <v>561</v>
      </c>
      <c r="AL835" s="838"/>
      <c r="AM835" s="414" t="s">
        <v>4916</v>
      </c>
      <c r="AN835" s="161" t="str">
        <f t="shared" ca="1" si="154"/>
        <v>TERMINO</v>
      </c>
      <c r="AO835" s="284" t="s">
        <v>582</v>
      </c>
      <c r="AP835" s="406" t="s">
        <v>390</v>
      </c>
      <c r="AQ835" s="819" t="str">
        <f>IFERROR(VLOOKUP(E835,'liquidaciones '!$B$2:$C$1048576,2,0),"NO")</f>
        <v>EN TRÁMITE</v>
      </c>
      <c r="AR835" s="909" t="str">
        <f>IFERROR(VLOOKUP(E835,'liquidaciones '!$B$2:$I$1048576,8,0),"")</f>
        <v>LAUARA VELANDIA</v>
      </c>
      <c r="AS835" s="406"/>
      <c r="AT835" s="156" t="str">
        <f t="shared" ca="1" si="155"/>
        <v>SI</v>
      </c>
      <c r="AU835" s="1063" t="s">
        <v>4805</v>
      </c>
      <c r="AV835" s="406" t="s">
        <v>5026</v>
      </c>
      <c r="AW835" s="930" t="s">
        <v>561</v>
      </c>
      <c r="AX835" s="928"/>
      <c r="AY835" s="275" t="s">
        <v>5800</v>
      </c>
    </row>
    <row r="836" spans="3:51" ht="61.2" x14ac:dyDescent="0.3">
      <c r="C836" s="837">
        <v>281</v>
      </c>
      <c r="E836" s="120" t="s">
        <v>5184</v>
      </c>
      <c r="F836" s="414" t="s">
        <v>2023</v>
      </c>
      <c r="G836" s="863">
        <v>800198591</v>
      </c>
      <c r="H836" s="969" t="s">
        <v>5185</v>
      </c>
      <c r="I836" s="84">
        <v>236000000</v>
      </c>
      <c r="J836" s="843" t="s">
        <v>5184</v>
      </c>
      <c r="K836" s="269">
        <v>2019</v>
      </c>
      <c r="L836" s="519">
        <v>43677</v>
      </c>
      <c r="M836" s="519">
        <v>43690</v>
      </c>
      <c r="N836" s="519">
        <v>44055</v>
      </c>
      <c r="O836" s="1099" t="str">
        <f>IF(+Modificaciones!I836=0,"",VLOOKUP(E836,Modificaciones!$B$7:$I$2400,8,0))</f>
        <v/>
      </c>
      <c r="P836" s="115">
        <f>COUNTA(Modificaciones!J836,Modificaciones!L836,Modificaciones!N836,Modificaciones!P836)</f>
        <v>0</v>
      </c>
      <c r="Q836" s="116">
        <f>VLOOKUP(E836,Modificaciones!$B$7:$R$2300,17,0)</f>
        <v>0</v>
      </c>
      <c r="R836" s="117">
        <f>COUNTA(Modificaciones!T836,Modificaciones!V836,Modificaciones!X836,Modificaciones!Z836)</f>
        <v>0</v>
      </c>
      <c r="S836" s="118" t="str">
        <f>IF(Modificaciones!AA836=0,"",VLOOKUP(E836,Modificaciones!$B$7:$AA$2400,26,0))</f>
        <v/>
      </c>
      <c r="T836" s="119" t="str">
        <f>IF(Modificaciones!AB836=0,"",VLOOKUP(E836,Modificaciones!$B$7:$AB$2400,27,0))</f>
        <v/>
      </c>
      <c r="U836" s="1080" t="str">
        <f>+Modificaciones!AC836</f>
        <v/>
      </c>
      <c r="V836" s="825" t="str">
        <f>+Modificaciones!AK836</f>
        <v/>
      </c>
      <c r="W836" s="825">
        <f t="shared" si="150"/>
        <v>44055</v>
      </c>
      <c r="X836" s="59">
        <f t="shared" si="149"/>
        <v>236000000</v>
      </c>
      <c r="Y836" s="151">
        <f>VLOOKUP(E836,Modificaciones!$B$7:$BE$2300,56,0)</f>
        <v>236000000</v>
      </c>
      <c r="Z836" s="84">
        <f t="shared" si="162"/>
        <v>0</v>
      </c>
      <c r="AA836" s="1000" t="s">
        <v>5186</v>
      </c>
      <c r="AB836" s="823">
        <f t="shared" si="163"/>
        <v>1</v>
      </c>
      <c r="AC836" s="40">
        <f t="shared" ca="1" si="151"/>
        <v>1</v>
      </c>
      <c r="AD836" s="41">
        <f t="shared" ca="1" si="152"/>
        <v>0</v>
      </c>
      <c r="AE836" s="181" t="str">
        <f t="shared" ca="1" si="153"/>
        <v/>
      </c>
      <c r="AF836" s="42" t="str">
        <f t="shared" si="164"/>
        <v>SI</v>
      </c>
      <c r="AG836" s="1017" t="s">
        <v>4920</v>
      </c>
      <c r="AH836" s="841" t="s">
        <v>1256</v>
      </c>
      <c r="AI836" s="841" t="s">
        <v>5187</v>
      </c>
      <c r="AJ836" s="152" t="s">
        <v>1438</v>
      </c>
      <c r="AK836" s="255" t="s">
        <v>560</v>
      </c>
      <c r="AL836" s="414" t="s">
        <v>4850</v>
      </c>
      <c r="AM836" s="216" t="s">
        <v>4851</v>
      </c>
      <c r="AN836" s="161" t="str">
        <f t="shared" ca="1" si="154"/>
        <v>TERMINO</v>
      </c>
      <c r="AO836" s="284" t="s">
        <v>582</v>
      </c>
      <c r="AP836" s="406" t="s">
        <v>390</v>
      </c>
      <c r="AQ836" s="819" t="str">
        <f>IFERROR(VLOOKUP(E836,'liquidaciones '!$B$2:$C$1048576,2,0),"NO")</f>
        <v>NO</v>
      </c>
      <c r="AR836" s="909" t="str">
        <f>IFERROR(VLOOKUP(E836,'liquidaciones '!$B$2:$I$1048576,8,0),"")</f>
        <v/>
      </c>
      <c r="AS836" s="406"/>
      <c r="AT836" s="156" t="str">
        <f t="shared" ca="1" si="155"/>
        <v>SI</v>
      </c>
      <c r="AU836" s="1064" t="s">
        <v>5962</v>
      </c>
      <c r="AV836" s="406" t="s">
        <v>4852</v>
      </c>
      <c r="AW836" s="930" t="s">
        <v>560</v>
      </c>
      <c r="AX836" s="928"/>
      <c r="AY836" s="928"/>
    </row>
    <row r="837" spans="3:51" ht="28.8" x14ac:dyDescent="0.3">
      <c r="C837" s="837">
        <v>48</v>
      </c>
      <c r="E837" s="120" t="s">
        <v>5190</v>
      </c>
      <c r="F837" s="414" t="s">
        <v>277</v>
      </c>
      <c r="G837" s="863" t="s">
        <v>2922</v>
      </c>
      <c r="H837" s="969" t="s">
        <v>5191</v>
      </c>
      <c r="I837" s="84">
        <v>50000000</v>
      </c>
      <c r="J837" s="843" t="s">
        <v>5192</v>
      </c>
      <c r="K837" s="269">
        <v>2019</v>
      </c>
      <c r="L837" s="519">
        <v>43689</v>
      </c>
      <c r="M837" s="519">
        <v>43704</v>
      </c>
      <c r="N837" s="519">
        <v>44069</v>
      </c>
      <c r="O837" s="1099" t="str">
        <f>IF(+Modificaciones!I837=0,"",VLOOKUP(E837,Modificaciones!$B$7:$I$2400,8,0))</f>
        <v/>
      </c>
      <c r="P837" s="115">
        <f>COUNTA(Modificaciones!J837,Modificaciones!L837,Modificaciones!N837,Modificaciones!P837)</f>
        <v>0</v>
      </c>
      <c r="Q837" s="116">
        <f>VLOOKUP(E837,Modificaciones!$B$7:$R$2300,17,0)</f>
        <v>0</v>
      </c>
      <c r="R837" s="117">
        <f>COUNTA(Modificaciones!T837,Modificaciones!V837,Modificaciones!X837,Modificaciones!Z837)</f>
        <v>0</v>
      </c>
      <c r="S837" s="118" t="str">
        <f>IF(Modificaciones!AA837=0,"",VLOOKUP(E837,Modificaciones!$B$7:$AA$2400,26,0))</f>
        <v/>
      </c>
      <c r="T837" s="119" t="str">
        <f>IF(Modificaciones!AB837=0,"",VLOOKUP(E837,Modificaciones!$B$7:$AB$2400,27,0))</f>
        <v/>
      </c>
      <c r="U837" s="1080" t="str">
        <f>+Modificaciones!AC837</f>
        <v/>
      </c>
      <c r="V837" s="825" t="str">
        <f>+Modificaciones!AK837</f>
        <v/>
      </c>
      <c r="W837" s="825">
        <f t="shared" si="150"/>
        <v>44069</v>
      </c>
      <c r="X837" s="59">
        <f t="shared" si="149"/>
        <v>50000000</v>
      </c>
      <c r="Y837" s="151">
        <f>VLOOKUP(E837,Modificaciones!$B$7:$BE$2300,56,0)</f>
        <v>46445618</v>
      </c>
      <c r="Z837" s="84">
        <f t="shared" si="162"/>
        <v>3554382</v>
      </c>
      <c r="AA837" s="1000" t="s">
        <v>1094</v>
      </c>
      <c r="AB837" s="823">
        <f t="shared" si="163"/>
        <v>0.92891235999999999</v>
      </c>
      <c r="AC837" s="40">
        <f t="shared" ca="1" si="151"/>
        <v>1</v>
      </c>
      <c r="AD837" s="41">
        <f t="shared" ca="1" si="152"/>
        <v>7.1087640000000007E-2</v>
      </c>
      <c r="AE837" s="181" t="str">
        <f t="shared" ca="1" si="153"/>
        <v/>
      </c>
      <c r="AF837" s="42" t="str">
        <f t="shared" si="164"/>
        <v>NO</v>
      </c>
      <c r="AG837" s="1037" t="s">
        <v>1711</v>
      </c>
      <c r="AH837" s="152" t="s">
        <v>1255</v>
      </c>
      <c r="AI837" s="255" t="s">
        <v>1134</v>
      </c>
      <c r="AJ837" s="838"/>
      <c r="AK837" s="255" t="s">
        <v>562</v>
      </c>
      <c r="AL837" s="838"/>
      <c r="AM837" s="838" t="s">
        <v>4965</v>
      </c>
      <c r="AN837" s="161" t="str">
        <f t="shared" ca="1" si="154"/>
        <v>TERMINO</v>
      </c>
      <c r="AO837" s="160" t="s">
        <v>576</v>
      </c>
      <c r="AP837" s="406" t="s">
        <v>390</v>
      </c>
      <c r="AQ837" s="819" t="str">
        <f>IFERROR(VLOOKUP(E837,'liquidaciones '!$B$2:$C$1048576,2,0),"NO")</f>
        <v>NO</v>
      </c>
      <c r="AR837" s="909" t="str">
        <f>IFERROR(VLOOKUP(E837,'liquidaciones '!$B$2:$I$1048576,8,0),"")</f>
        <v/>
      </c>
      <c r="AS837" s="406"/>
      <c r="AT837" s="156" t="str">
        <f t="shared" ca="1" si="155"/>
        <v>SI</v>
      </c>
      <c r="AU837" s="156" t="s">
        <v>5850</v>
      </c>
      <c r="AV837" s="1001"/>
      <c r="AW837" s="930" t="s">
        <v>3985</v>
      </c>
      <c r="AX837" s="928"/>
      <c r="AY837" s="928"/>
    </row>
    <row r="838" spans="3:51" ht="30.6" x14ac:dyDescent="0.3">
      <c r="C838" s="837">
        <v>275</v>
      </c>
      <c r="E838" s="120" t="s">
        <v>5194</v>
      </c>
      <c r="F838" s="414" t="s">
        <v>5195</v>
      </c>
      <c r="G838" s="863">
        <v>800015583</v>
      </c>
      <c r="H838" s="969" t="s">
        <v>4447</v>
      </c>
      <c r="I838" s="84">
        <v>299772000</v>
      </c>
      <c r="J838" s="843" t="s">
        <v>5196</v>
      </c>
      <c r="K838" s="269">
        <v>2019</v>
      </c>
      <c r="L838" s="519">
        <v>43691</v>
      </c>
      <c r="M838" s="519">
        <v>43721</v>
      </c>
      <c r="N838" s="519">
        <v>43963</v>
      </c>
      <c r="O838" s="1099" t="str">
        <f>IF(+Modificaciones!I838=0,"",VLOOKUP(E838,Modificaciones!$B$7:$I$2400,8,0))</f>
        <v/>
      </c>
      <c r="P838" s="115">
        <f>COUNTA(Modificaciones!J838,Modificaciones!L838,Modificaciones!N838,Modificaciones!P838)</f>
        <v>0</v>
      </c>
      <c r="Q838" s="116">
        <f>VLOOKUP(E838,Modificaciones!$B$7:$R$2300,17,0)</f>
        <v>0</v>
      </c>
      <c r="R838" s="117">
        <f>COUNTA(Modificaciones!T838,Modificaciones!V838,Modificaciones!X838,Modificaciones!Z838)</f>
        <v>0</v>
      </c>
      <c r="S838" s="118" t="str">
        <f>IF(Modificaciones!AA838=0,"",VLOOKUP(E838,Modificaciones!$B$7:$AA$2400,26,0))</f>
        <v/>
      </c>
      <c r="T838" s="119" t="str">
        <f>IF(Modificaciones!AB838=0,"",VLOOKUP(E838,Modificaciones!$B$7:$AB$2400,27,0))</f>
        <v/>
      </c>
      <c r="U838" s="1080" t="str">
        <f>+Modificaciones!AC838</f>
        <v/>
      </c>
      <c r="V838" s="825" t="str">
        <f>+Modificaciones!AK838</f>
        <v/>
      </c>
      <c r="W838" s="825">
        <f t="shared" si="150"/>
        <v>43963</v>
      </c>
      <c r="X838" s="59">
        <f t="shared" si="149"/>
        <v>299772000</v>
      </c>
      <c r="Y838" s="151">
        <f>VLOOKUP(E838,Modificaciones!$B$7:$BE$2300,56,0)</f>
        <v>224829158</v>
      </c>
      <c r="Z838" s="84">
        <f t="shared" si="162"/>
        <v>74942842</v>
      </c>
      <c r="AA838" s="1000" t="s">
        <v>5197</v>
      </c>
      <c r="AB838" s="823">
        <f t="shared" si="163"/>
        <v>0.75000052706723774</v>
      </c>
      <c r="AC838" s="40">
        <f t="shared" ca="1" si="151"/>
        <v>1</v>
      </c>
      <c r="AD838" s="41">
        <f t="shared" ca="1" si="152"/>
        <v>0.24999947293276226</v>
      </c>
      <c r="AE838" s="181" t="str">
        <f t="shared" ca="1" si="153"/>
        <v/>
      </c>
      <c r="AF838" s="42" t="str">
        <f t="shared" si="164"/>
        <v>NO</v>
      </c>
      <c r="AG838" s="1017" t="s">
        <v>4920</v>
      </c>
      <c r="AH838" s="841" t="s">
        <v>1256</v>
      </c>
      <c r="AI838" s="841" t="s">
        <v>5198</v>
      </c>
      <c r="AJ838" s="152" t="s">
        <v>1438</v>
      </c>
      <c r="AK838" s="255" t="s">
        <v>560</v>
      </c>
      <c r="AL838" s="414" t="s">
        <v>4850</v>
      </c>
      <c r="AM838" s="838" t="s">
        <v>4851</v>
      </c>
      <c r="AN838" s="161" t="str">
        <f t="shared" ca="1" si="154"/>
        <v>TERMINO</v>
      </c>
      <c r="AO838" s="284" t="s">
        <v>5199</v>
      </c>
      <c r="AP838" s="406" t="s">
        <v>390</v>
      </c>
      <c r="AQ838" s="819" t="str">
        <f>IFERROR(VLOOKUP(E838,'liquidaciones '!$B$2:$C$1048576,2,0),"NO")</f>
        <v>NO</v>
      </c>
      <c r="AR838" s="909" t="str">
        <f>IFERROR(VLOOKUP(E838,'liquidaciones '!$B$2:$I$1048576,8,0),"")</f>
        <v/>
      </c>
      <c r="AS838" s="406"/>
      <c r="AT838" s="156" t="str">
        <f t="shared" ca="1" si="155"/>
        <v>SI</v>
      </c>
      <c r="AU838" s="1023" t="s">
        <v>5963</v>
      </c>
      <c r="AV838" s="406" t="s">
        <v>5200</v>
      </c>
      <c r="AW838" s="930" t="s">
        <v>560</v>
      </c>
      <c r="AX838" s="928"/>
      <c r="AY838" s="275" t="s">
        <v>5801</v>
      </c>
    </row>
    <row r="839" spans="3:51" ht="71.400000000000006" x14ac:dyDescent="0.3">
      <c r="C839" s="837">
        <v>65</v>
      </c>
      <c r="E839" s="120" t="s">
        <v>5222</v>
      </c>
      <c r="F839" s="414" t="s">
        <v>5223</v>
      </c>
      <c r="G839" s="863">
        <v>900960149</v>
      </c>
      <c r="H839" s="969" t="s">
        <v>5224</v>
      </c>
      <c r="I839" s="84">
        <v>6519021</v>
      </c>
      <c r="J839" s="843" t="s">
        <v>5225</v>
      </c>
      <c r="K839" s="269">
        <v>2019</v>
      </c>
      <c r="L839" s="519">
        <v>43679</v>
      </c>
      <c r="M839" s="519">
        <v>43724</v>
      </c>
      <c r="N839" s="519">
        <v>43966</v>
      </c>
      <c r="O839" s="1099" t="str">
        <f>IF(+Modificaciones!I839=0,"",VLOOKUP(E839,Modificaciones!$B$7:$I$2400,8,0))</f>
        <v/>
      </c>
      <c r="P839" s="115">
        <f>COUNTA(Modificaciones!J839,Modificaciones!L839,Modificaciones!N839,Modificaciones!P839)</f>
        <v>0</v>
      </c>
      <c r="Q839" s="116">
        <f>VLOOKUP(E839,Modificaciones!$B$7:$R$2300,17,0)</f>
        <v>0</v>
      </c>
      <c r="R839" s="117">
        <f>COUNTA(Modificaciones!T839,Modificaciones!V839,Modificaciones!X839,Modificaciones!Z839)</f>
        <v>1</v>
      </c>
      <c r="S839" s="118" t="str">
        <f>IF(Modificaciones!AA839=0,"",VLOOKUP(E839,Modificaciones!$B$7:$AA$2400,26,0))</f>
        <v>2 meses</v>
      </c>
      <c r="T839" s="119">
        <f>IF(Modificaciones!AB839=0,"",VLOOKUP(E839,Modificaciones!$B$7:$AB$2400,27,0))</f>
        <v>44027</v>
      </c>
      <c r="U839" s="1080" t="str">
        <f>+Modificaciones!AC839</f>
        <v/>
      </c>
      <c r="V839" s="825" t="str">
        <f>+Modificaciones!AK839</f>
        <v/>
      </c>
      <c r="W839" s="825">
        <f t="shared" si="150"/>
        <v>44027</v>
      </c>
      <c r="X839" s="59">
        <f t="shared" ref="X839:X902" si="165">I839+Q839</f>
        <v>6519021</v>
      </c>
      <c r="Y839" s="151">
        <f>VLOOKUP(E839,Modificaciones!$B$7:$BE$2300,56,0)</f>
        <v>3935499</v>
      </c>
      <c r="Z839" s="84">
        <f t="shared" si="162"/>
        <v>2583522</v>
      </c>
      <c r="AA839" s="1000" t="s">
        <v>5226</v>
      </c>
      <c r="AB839" s="823">
        <f t="shared" si="163"/>
        <v>0.60369478791370668</v>
      </c>
      <c r="AC839" s="40">
        <f t="shared" ca="1" si="151"/>
        <v>1</v>
      </c>
      <c r="AD839" s="41">
        <f t="shared" ca="1" si="152"/>
        <v>0.39630521208629332</v>
      </c>
      <c r="AE839" s="181" t="str">
        <f t="shared" ca="1" si="153"/>
        <v/>
      </c>
      <c r="AF839" s="42" t="str">
        <f t="shared" si="164"/>
        <v>NO</v>
      </c>
      <c r="AG839" s="1017" t="s">
        <v>4920</v>
      </c>
      <c r="AH839" s="841" t="s">
        <v>1255</v>
      </c>
      <c r="AI839" s="870" t="s">
        <v>5227</v>
      </c>
      <c r="AJ839" s="152" t="s">
        <v>1441</v>
      </c>
      <c r="AK839" s="255" t="s">
        <v>560</v>
      </c>
      <c r="AL839" s="838" t="s">
        <v>5060</v>
      </c>
      <c r="AM839" s="838" t="s">
        <v>4851</v>
      </c>
      <c r="AN839" s="161" t="str">
        <f t="shared" ca="1" si="154"/>
        <v>TERMINO</v>
      </c>
      <c r="AO839" s="160" t="s">
        <v>576</v>
      </c>
      <c r="AP839" s="406" t="s">
        <v>390</v>
      </c>
      <c r="AQ839" s="819" t="str">
        <f>IFERROR(VLOOKUP(E839,'liquidaciones '!$B$2:$C$1048576,2,0),"NO")</f>
        <v>NO</v>
      </c>
      <c r="AR839" s="909" t="str">
        <f>IFERROR(VLOOKUP(E839,'liquidaciones '!$B$2:$I$1048576,8,0),"")</f>
        <v/>
      </c>
      <c r="AS839" s="406"/>
      <c r="AT839" s="156" t="str">
        <f ca="1">IF((TODAY()-W839&lt;900),"SI","NO")</f>
        <v>SI</v>
      </c>
      <c r="AU839" s="156" t="s">
        <v>4245</v>
      </c>
      <c r="AV839" s="406" t="s">
        <v>5044</v>
      </c>
      <c r="AW839" s="930" t="s">
        <v>560</v>
      </c>
      <c r="AX839" s="930" t="s">
        <v>5906</v>
      </c>
      <c r="AY839" s="930" t="s">
        <v>5802</v>
      </c>
    </row>
    <row r="840" spans="3:51" ht="61.2" x14ac:dyDescent="0.3">
      <c r="C840" s="837">
        <v>39</v>
      </c>
      <c r="E840" s="120" t="s">
        <v>5229</v>
      </c>
      <c r="F840" s="414" t="s">
        <v>5230</v>
      </c>
      <c r="G840" s="863">
        <v>900820473</v>
      </c>
      <c r="H840" s="969" t="s">
        <v>5231</v>
      </c>
      <c r="I840" s="84">
        <v>79700000</v>
      </c>
      <c r="J840" s="843" t="s">
        <v>5232</v>
      </c>
      <c r="K840" s="269">
        <v>2019</v>
      </c>
      <c r="L840" s="519">
        <v>43704</v>
      </c>
      <c r="M840" s="519">
        <v>43731</v>
      </c>
      <c r="N840" s="519">
        <v>44004</v>
      </c>
      <c r="O840" s="1099" t="str">
        <f>IF(+Modificaciones!I840=0,"",VLOOKUP(E840,Modificaciones!$B$7:$I$2400,8,0))</f>
        <v/>
      </c>
      <c r="P840" s="115">
        <f>COUNTA(Modificaciones!J840,Modificaciones!L840,Modificaciones!N840,Modificaciones!P840)</f>
        <v>0</v>
      </c>
      <c r="Q840" s="116">
        <f>VLOOKUP(E840,Modificaciones!$B$7:$R$2300,17,0)</f>
        <v>0</v>
      </c>
      <c r="R840" s="117">
        <f>COUNTA(Modificaciones!T840,Modificaciones!V840,Modificaciones!X840,Modificaciones!Z840)</f>
        <v>2</v>
      </c>
      <c r="S840" s="118" t="str">
        <f>IF(Modificaciones!AA840=0,"",VLOOKUP(E840,Modificaciones!$B$7:$AA$2400,26,0))</f>
        <v>5 meses y 8 días</v>
      </c>
      <c r="T840" s="119">
        <f>IF(Modificaciones!AB840=0,"",VLOOKUP(E840,Modificaciones!$B$7:$AB$2400,27,0))</f>
        <v>44165</v>
      </c>
      <c r="U840" s="1080" t="str">
        <f>+Modificaciones!AC840</f>
        <v/>
      </c>
      <c r="V840" s="825" t="str">
        <f>+Modificaciones!AK840</f>
        <v/>
      </c>
      <c r="W840" s="825">
        <f t="shared" ref="W840:W903" si="166">MAX(N840,O840,T840,V840)</f>
        <v>44165</v>
      </c>
      <c r="X840" s="59">
        <f t="shared" si="165"/>
        <v>79700000</v>
      </c>
      <c r="Y840" s="151">
        <f>VLOOKUP(E840,Modificaciones!$B$7:$BE$2300,56,0)</f>
        <v>51321500</v>
      </c>
      <c r="Z840" s="84">
        <f t="shared" si="162"/>
        <v>28378500</v>
      </c>
      <c r="AA840" s="1000" t="s">
        <v>1094</v>
      </c>
      <c r="AB840" s="823">
        <f t="shared" si="163"/>
        <v>0.64393350062735255</v>
      </c>
      <c r="AC840" s="40">
        <f t="shared" ref="AC840:AC903" ca="1" si="167">IF((($F$3-M840)*100%/(W840-M840))&gt;100%,100%,(($F$3-M840)*100%/(W840-M840)))</f>
        <v>1</v>
      </c>
      <c r="AD840" s="41">
        <f t="shared" ref="AD840:AD903" ca="1" si="168">AC840-AB840</f>
        <v>0.35606649937264745</v>
      </c>
      <c r="AE840" s="181" t="str">
        <f t="shared" ref="AE840:AE903" ca="1" si="169">IF(AC840&lt;100%,W840-$F$3,"")</f>
        <v/>
      </c>
      <c r="AF840" s="42" t="str">
        <f t="shared" si="164"/>
        <v>NO</v>
      </c>
      <c r="AG840" s="1017" t="s">
        <v>4920</v>
      </c>
      <c r="AH840" s="841" t="s">
        <v>1255</v>
      </c>
      <c r="AI840" s="841" t="s">
        <v>5233</v>
      </c>
      <c r="AJ840" s="152" t="s">
        <v>1441</v>
      </c>
      <c r="AK840" s="255" t="s">
        <v>559</v>
      </c>
      <c r="AL840" s="838"/>
      <c r="AM840" s="838" t="s">
        <v>4802</v>
      </c>
      <c r="AN840" s="161" t="str">
        <f t="shared" ref="AN840:AN903" ca="1" si="170">IF(W840&gt;=$F$3,"EN EJECUCIÓN","TERMINO")</f>
        <v>TERMINO</v>
      </c>
      <c r="AO840" s="160" t="s">
        <v>576</v>
      </c>
      <c r="AP840" s="406" t="s">
        <v>390</v>
      </c>
      <c r="AQ840" s="819" t="str">
        <f>IFERROR(VLOOKUP(E840,'liquidaciones '!$B$2:$C$1048576,2,0),"NO")</f>
        <v>NO</v>
      </c>
      <c r="AR840" s="909" t="str">
        <f>IFERROR(VLOOKUP(E840,'liquidaciones '!$B$2:$I$1048576,8,0),"")</f>
        <v/>
      </c>
      <c r="AS840" s="406"/>
      <c r="AT840" s="156" t="str">
        <f t="shared" ref="AT840:AT903" ca="1" si="171">IF((TODAY()-W840&lt;900),"SI","NO")</f>
        <v>SI</v>
      </c>
      <c r="AU840" s="156" t="s">
        <v>5852</v>
      </c>
      <c r="AV840" s="406"/>
      <c r="AW840" s="930" t="s">
        <v>559</v>
      </c>
      <c r="AX840" s="275" t="s">
        <v>6328</v>
      </c>
      <c r="AY840" s="275" t="s">
        <v>6573</v>
      </c>
    </row>
    <row r="841" spans="3:51" ht="20.399999999999999" x14ac:dyDescent="0.3">
      <c r="C841" s="837">
        <v>58</v>
      </c>
      <c r="E841" s="120" t="s">
        <v>5234</v>
      </c>
      <c r="F841" s="414" t="s">
        <v>2115</v>
      </c>
      <c r="G841" s="863">
        <v>860007590</v>
      </c>
      <c r="H841" s="969" t="s">
        <v>2644</v>
      </c>
      <c r="I841" s="84">
        <v>1305000</v>
      </c>
      <c r="J841" s="843" t="s">
        <v>5234</v>
      </c>
      <c r="K841" s="269">
        <v>2019</v>
      </c>
      <c r="L841" s="519">
        <v>43731</v>
      </c>
      <c r="M841" s="519">
        <v>43741</v>
      </c>
      <c r="N841" s="519">
        <v>44106</v>
      </c>
      <c r="O841" s="1099" t="str">
        <f>IF(+Modificaciones!I841=0,"",VLOOKUP(E841,Modificaciones!$B$7:$I$2400,8,0))</f>
        <v/>
      </c>
      <c r="P841" s="115">
        <f>COUNTA(Modificaciones!J841,Modificaciones!L841,Modificaciones!N841,Modificaciones!P841)</f>
        <v>0</v>
      </c>
      <c r="Q841" s="116">
        <f>VLOOKUP(E841,Modificaciones!$B$7:$R$2300,17,0)</f>
        <v>0</v>
      </c>
      <c r="R841" s="117">
        <f>COUNTA(Modificaciones!T841,Modificaciones!V841,Modificaciones!X841,Modificaciones!Z841)</f>
        <v>0</v>
      </c>
      <c r="S841" s="118" t="str">
        <f>IF(Modificaciones!AA841=0,"",VLOOKUP(E841,Modificaciones!$B$7:$AA$2400,26,0))</f>
        <v/>
      </c>
      <c r="T841" s="119" t="str">
        <f>IF(Modificaciones!AB841=0,"",VLOOKUP(E841,Modificaciones!$B$7:$AB$2400,27,0))</f>
        <v/>
      </c>
      <c r="U841" s="1080" t="str">
        <f>+Modificaciones!AC841</f>
        <v/>
      </c>
      <c r="V841" s="825" t="str">
        <f>+Modificaciones!AK841</f>
        <v/>
      </c>
      <c r="W841" s="825">
        <f t="shared" si="166"/>
        <v>44106</v>
      </c>
      <c r="X841" s="59">
        <f t="shared" si="165"/>
        <v>1305000</v>
      </c>
      <c r="Y841" s="151">
        <f>VLOOKUP(E841,Modificaciones!$B$7:$BE$2300,56,0)</f>
        <v>1305000</v>
      </c>
      <c r="Z841" s="84">
        <f t="shared" si="162"/>
        <v>0</v>
      </c>
      <c r="AA841" s="283" t="s">
        <v>1894</v>
      </c>
      <c r="AB841" s="823">
        <f t="shared" si="163"/>
        <v>1</v>
      </c>
      <c r="AC841" s="40">
        <f t="shared" ca="1" si="167"/>
        <v>1</v>
      </c>
      <c r="AD841" s="41">
        <f t="shared" ca="1" si="168"/>
        <v>0</v>
      </c>
      <c r="AE841" s="181" t="str">
        <f t="shared" ca="1" si="169"/>
        <v/>
      </c>
      <c r="AF841" s="42" t="str">
        <f t="shared" si="164"/>
        <v>SI</v>
      </c>
      <c r="AG841" s="1037" t="s">
        <v>5235</v>
      </c>
      <c r="AH841" s="841" t="s">
        <v>1255</v>
      </c>
      <c r="AI841" s="841" t="s">
        <v>1124</v>
      </c>
      <c r="AJ841" s="838" t="s">
        <v>1429</v>
      </c>
      <c r="AK841" s="255" t="s">
        <v>564</v>
      </c>
      <c r="AL841" s="838"/>
      <c r="AM841" s="414" t="s">
        <v>4247</v>
      </c>
      <c r="AN841" s="161" t="str">
        <f t="shared" ca="1" si="170"/>
        <v>TERMINO</v>
      </c>
      <c r="AO841" s="284" t="s">
        <v>582</v>
      </c>
      <c r="AP841" s="406" t="s">
        <v>391</v>
      </c>
      <c r="AQ841" s="819" t="str">
        <f>IFERROR(VLOOKUP(E841,'liquidaciones '!$B$2:$C$1048576,2,0),"NO")</f>
        <v>NO</v>
      </c>
      <c r="AR841" s="909" t="str">
        <f>IFERROR(VLOOKUP(E841,'liquidaciones '!$B$2:$I$1048576,8,0),"")</f>
        <v/>
      </c>
      <c r="AS841" s="406"/>
      <c r="AT841" s="156" t="str">
        <f t="shared" ca="1" si="171"/>
        <v>SI</v>
      </c>
      <c r="AU841" s="406" t="s">
        <v>5851</v>
      </c>
      <c r="AV841" s="406"/>
      <c r="AW841" s="930" t="s">
        <v>3920</v>
      </c>
      <c r="AX841" s="928"/>
      <c r="AY841" s="928"/>
    </row>
    <row r="842" spans="3:51" ht="28.8" x14ac:dyDescent="0.3">
      <c r="C842" s="837">
        <v>427</v>
      </c>
      <c r="E842" s="120" t="s">
        <v>5236</v>
      </c>
      <c r="F842" s="414" t="s">
        <v>5237</v>
      </c>
      <c r="G842" s="863">
        <v>900872182</v>
      </c>
      <c r="H842" s="969" t="s">
        <v>5238</v>
      </c>
      <c r="I842" s="84">
        <v>7375000</v>
      </c>
      <c r="J842" s="843" t="s">
        <v>5239</v>
      </c>
      <c r="K842" s="269">
        <v>2019</v>
      </c>
      <c r="L842" s="519">
        <v>43726</v>
      </c>
      <c r="M842" s="519">
        <v>43741</v>
      </c>
      <c r="N842" s="519">
        <v>43863</v>
      </c>
      <c r="O842" s="1099" t="str">
        <f>IF(+Modificaciones!I842=0,"",VLOOKUP(E842,Modificaciones!$B$7:$I$2400,8,0))</f>
        <v/>
      </c>
      <c r="P842" s="115">
        <f>COUNTA(Modificaciones!J842,Modificaciones!L842,Modificaciones!N842,Modificaciones!P842)</f>
        <v>0</v>
      </c>
      <c r="Q842" s="116">
        <f>VLOOKUP(E842,Modificaciones!$B$7:$R$2300,17,0)</f>
        <v>0</v>
      </c>
      <c r="R842" s="117">
        <f>COUNTA(Modificaciones!T842,Modificaciones!V842,Modificaciones!X842,Modificaciones!Z842)</f>
        <v>1</v>
      </c>
      <c r="S842" s="118" t="str">
        <f>IF(Modificaciones!AA842=0,"",VLOOKUP(E842,Modificaciones!$B$7:$AA$2400,26,0))</f>
        <v>1 MES</v>
      </c>
      <c r="T842" s="119">
        <f>IF(Modificaciones!AB842=0,"",VLOOKUP(E842,Modificaciones!$B$7:$AB$2400,27,0))</f>
        <v>43892</v>
      </c>
      <c r="U842" s="1080" t="str">
        <f>+Modificaciones!AC842</f>
        <v/>
      </c>
      <c r="V842" s="825" t="str">
        <f>+Modificaciones!AK842</f>
        <v/>
      </c>
      <c r="W842" s="825">
        <f t="shared" si="166"/>
        <v>43892</v>
      </c>
      <c r="X842" s="59">
        <f t="shared" si="165"/>
        <v>7375000</v>
      </c>
      <c r="Y842" s="151">
        <f>VLOOKUP(E842,Modificaciones!$B$7:$BE$2300,56,0)</f>
        <v>7375000</v>
      </c>
      <c r="Z842" s="84">
        <f t="shared" si="162"/>
        <v>0</v>
      </c>
      <c r="AA842" s="1000" t="s">
        <v>5240</v>
      </c>
      <c r="AB842" s="823">
        <f t="shared" si="163"/>
        <v>1</v>
      </c>
      <c r="AC842" s="40">
        <f t="shared" ca="1" si="167"/>
        <v>1</v>
      </c>
      <c r="AD842" s="41">
        <f t="shared" ca="1" si="168"/>
        <v>0</v>
      </c>
      <c r="AE842" s="181" t="str">
        <f t="shared" ca="1" si="169"/>
        <v/>
      </c>
      <c r="AF842" s="42" t="str">
        <f t="shared" si="164"/>
        <v>SI</v>
      </c>
      <c r="AG842" s="1017" t="s">
        <v>4920</v>
      </c>
      <c r="AH842" s="841" t="s">
        <v>1255</v>
      </c>
      <c r="AI842" s="841" t="s">
        <v>5241</v>
      </c>
      <c r="AJ842" s="838" t="s">
        <v>5242</v>
      </c>
      <c r="AK842" s="255" t="s">
        <v>560</v>
      </c>
      <c r="AL842" s="838"/>
      <c r="AM842" s="838" t="s">
        <v>4851</v>
      </c>
      <c r="AN842" s="161" t="str">
        <f t="shared" ca="1" si="170"/>
        <v>TERMINO</v>
      </c>
      <c r="AO842" s="284" t="s">
        <v>576</v>
      </c>
      <c r="AP842" s="406" t="s">
        <v>391</v>
      </c>
      <c r="AQ842" s="819" t="str">
        <f>IFERROR(VLOOKUP(E842,'liquidaciones '!$B$2:$C$1048576,2,0),"NO")</f>
        <v>LIQUIDADO</v>
      </c>
      <c r="AR842" s="909" t="str">
        <f>IFERROR(VLOOKUP(E842,'liquidaciones '!$B$2:$I$1048576,8,0),"")</f>
        <v>JUAN DIEGO ESPITIA</v>
      </c>
      <c r="AS842" s="406"/>
      <c r="AT842" s="156" t="str">
        <f t="shared" ca="1" si="171"/>
        <v>SI</v>
      </c>
      <c r="AU842" s="1023" t="s">
        <v>5047</v>
      </c>
      <c r="AV842" s="406" t="s">
        <v>5328</v>
      </c>
      <c r="AW842" s="930" t="s">
        <v>560</v>
      </c>
      <c r="AX842" s="930" t="s">
        <v>5687</v>
      </c>
      <c r="AY842" s="928"/>
    </row>
    <row r="843" spans="3:51" ht="40.799999999999997" x14ac:dyDescent="0.3">
      <c r="C843" s="837">
        <v>238</v>
      </c>
      <c r="E843" s="120" t="s">
        <v>5244</v>
      </c>
      <c r="F843" s="414" t="s">
        <v>5245</v>
      </c>
      <c r="G843" s="863" t="s">
        <v>5246</v>
      </c>
      <c r="H843" s="969" t="s">
        <v>3643</v>
      </c>
      <c r="I843" s="84">
        <v>28965000</v>
      </c>
      <c r="J843" s="843" t="s">
        <v>5247</v>
      </c>
      <c r="K843" s="269">
        <v>2019</v>
      </c>
      <c r="L843" s="519">
        <v>43728</v>
      </c>
      <c r="M843" s="519">
        <v>43739</v>
      </c>
      <c r="N843" s="519">
        <v>43861</v>
      </c>
      <c r="O843" s="1099" t="str">
        <f>IF(+Modificaciones!I843=0,"",VLOOKUP(E843,Modificaciones!$B$7:$I$2400,8,0))</f>
        <v/>
      </c>
      <c r="P843" s="115">
        <f>COUNTA(Modificaciones!J843,Modificaciones!L843,Modificaciones!N843,Modificaciones!P843)</f>
        <v>0</v>
      </c>
      <c r="Q843" s="116">
        <f>VLOOKUP(E843,Modificaciones!$B$7:$R$2300,17,0)</f>
        <v>0</v>
      </c>
      <c r="R843" s="117">
        <f>COUNTA(Modificaciones!T843,Modificaciones!V843,Modificaciones!X843,Modificaciones!Z843)</f>
        <v>0</v>
      </c>
      <c r="S843" s="118" t="str">
        <f>IF(Modificaciones!AA843=0,"",VLOOKUP(E843,Modificaciones!$B$7:$AA$2400,26,0))</f>
        <v/>
      </c>
      <c r="T843" s="119" t="str">
        <f>IF(Modificaciones!AB843=0,"",VLOOKUP(E843,Modificaciones!$B$7:$AB$2400,27,0))</f>
        <v/>
      </c>
      <c r="U843" s="1080" t="str">
        <f>+Modificaciones!AC843</f>
        <v/>
      </c>
      <c r="V843" s="825" t="str">
        <f>+Modificaciones!AK843</f>
        <v/>
      </c>
      <c r="W843" s="825">
        <f t="shared" si="166"/>
        <v>43861</v>
      </c>
      <c r="X843" s="59">
        <f t="shared" si="165"/>
        <v>28965000</v>
      </c>
      <c r="Y843" s="151">
        <f>VLOOKUP(E843,Modificaciones!$B$7:$BE$2300,56,0)</f>
        <v>28643670</v>
      </c>
      <c r="Z843" s="84">
        <f t="shared" si="162"/>
        <v>321330</v>
      </c>
      <c r="AA843" s="283" t="s">
        <v>1894</v>
      </c>
      <c r="AB843" s="823">
        <f t="shared" si="163"/>
        <v>0.98890626618332467</v>
      </c>
      <c r="AC843" s="40">
        <f t="shared" ca="1" si="167"/>
        <v>1</v>
      </c>
      <c r="AD843" s="41">
        <f t="shared" ca="1" si="168"/>
        <v>1.1093733816675333E-2</v>
      </c>
      <c r="AE843" s="181" t="str">
        <f t="shared" ca="1" si="169"/>
        <v/>
      </c>
      <c r="AF843" s="42" t="str">
        <f t="shared" si="164"/>
        <v>NO</v>
      </c>
      <c r="AG843" s="1037" t="s">
        <v>1711</v>
      </c>
      <c r="AH843" s="841" t="s">
        <v>1255</v>
      </c>
      <c r="AI843" s="841" t="s">
        <v>1303</v>
      </c>
      <c r="AJ843" s="838" t="s">
        <v>5242</v>
      </c>
      <c r="AK843" s="255" t="s">
        <v>560</v>
      </c>
      <c r="AL843" s="838" t="s">
        <v>4333</v>
      </c>
      <c r="AM843" s="838" t="s">
        <v>4851</v>
      </c>
      <c r="AN843" s="161" t="str">
        <f t="shared" ca="1" si="170"/>
        <v>TERMINO</v>
      </c>
      <c r="AO843" s="284" t="s">
        <v>576</v>
      </c>
      <c r="AP843" s="406" t="s">
        <v>390</v>
      </c>
      <c r="AQ843" s="819" t="str">
        <f>IFERROR(VLOOKUP(E843,'liquidaciones '!$B$2:$C$1048576,2,0),"NO")</f>
        <v>EN TRÁMITE</v>
      </c>
      <c r="AR843" s="909" t="str">
        <f>IFERROR(VLOOKUP(E843,'liquidaciones '!$B$2:$I$1048576,8,0),"")</f>
        <v>ANDRES FELIPE CORZO</v>
      </c>
      <c r="AS843" s="406"/>
      <c r="AT843" s="156" t="str">
        <f t="shared" ca="1" si="171"/>
        <v>SI</v>
      </c>
      <c r="AU843" s="1113" t="s">
        <v>5961</v>
      </c>
      <c r="AV843" s="406" t="s">
        <v>5243</v>
      </c>
      <c r="AW843" s="930" t="s">
        <v>560</v>
      </c>
      <c r="AX843" s="928"/>
      <c r="AY843" s="275" t="s">
        <v>5895</v>
      </c>
    </row>
    <row r="844" spans="3:51" ht="30.6" x14ac:dyDescent="0.3">
      <c r="C844" s="837">
        <v>480</v>
      </c>
      <c r="E844" s="120" t="s">
        <v>5248</v>
      </c>
      <c r="F844" s="414" t="s">
        <v>4199</v>
      </c>
      <c r="G844" s="863">
        <v>1102812271</v>
      </c>
      <c r="H844" s="969" t="s">
        <v>5249</v>
      </c>
      <c r="I844" s="84">
        <v>25672000</v>
      </c>
      <c r="J844" s="843" t="s">
        <v>5248</v>
      </c>
      <c r="K844" s="269">
        <v>2019</v>
      </c>
      <c r="L844" s="519">
        <v>43733</v>
      </c>
      <c r="M844" s="519">
        <v>43739</v>
      </c>
      <c r="N844" s="519">
        <v>43814</v>
      </c>
      <c r="O844" s="1099">
        <f>IF(+Modificaciones!I844=0,"",VLOOKUP(E844,Modificaciones!$B$7:$I$2400,8,0))</f>
        <v>43861</v>
      </c>
      <c r="P844" s="115">
        <f>COUNTA(Modificaciones!J844,Modificaciones!L844,Modificaciones!N844,Modificaciones!P844)</f>
        <v>0</v>
      </c>
      <c r="Q844" s="116">
        <f>VLOOKUP(E844,Modificaciones!$B$7:$R$2300,17,0)</f>
        <v>0</v>
      </c>
      <c r="R844" s="117">
        <f>COUNTA(Modificaciones!T844,Modificaciones!V844,Modificaciones!X844,Modificaciones!Z844)</f>
        <v>0</v>
      </c>
      <c r="S844" s="118" t="str">
        <f>IF(Modificaciones!AA844=0,"",VLOOKUP(E844,Modificaciones!$B$7:$AA$2400,26,0))</f>
        <v/>
      </c>
      <c r="T844" s="119" t="str">
        <f>IF(Modificaciones!AB844=0,"",VLOOKUP(E844,Modificaciones!$B$7:$AB$2400,27,0))</f>
        <v/>
      </c>
      <c r="U844" s="1080" t="str">
        <f>+Modificaciones!AC844</f>
        <v/>
      </c>
      <c r="V844" s="825" t="str">
        <f>+Modificaciones!AK844</f>
        <v/>
      </c>
      <c r="W844" s="825">
        <f t="shared" si="166"/>
        <v>43861</v>
      </c>
      <c r="X844" s="59">
        <f t="shared" si="165"/>
        <v>25672000</v>
      </c>
      <c r="Y844" s="151">
        <f>VLOOKUP(E844,Modificaciones!$B$7:$BE$2300,56,0)</f>
        <v>25672000</v>
      </c>
      <c r="Z844" s="84">
        <f t="shared" si="162"/>
        <v>0</v>
      </c>
      <c r="AA844" s="1000" t="s">
        <v>1094</v>
      </c>
      <c r="AB844" s="823">
        <f t="shared" si="163"/>
        <v>1</v>
      </c>
      <c r="AC844" s="40">
        <f t="shared" ca="1" si="167"/>
        <v>1</v>
      </c>
      <c r="AD844" s="41">
        <f t="shared" ca="1" si="168"/>
        <v>0</v>
      </c>
      <c r="AE844" s="181" t="str">
        <f t="shared" ca="1" si="169"/>
        <v/>
      </c>
      <c r="AF844" s="42" t="str">
        <f t="shared" si="164"/>
        <v>SI</v>
      </c>
      <c r="AG844" s="732" t="s">
        <v>5773</v>
      </c>
      <c r="AH844" s="841" t="s">
        <v>1255</v>
      </c>
      <c r="AI844" s="870" t="s">
        <v>5250</v>
      </c>
      <c r="AJ844" s="838" t="s">
        <v>2498</v>
      </c>
      <c r="AK844" s="255" t="s">
        <v>565</v>
      </c>
      <c r="AL844" s="838"/>
      <c r="AM844" s="838" t="s">
        <v>4802</v>
      </c>
      <c r="AN844" s="161" t="str">
        <f t="shared" ca="1" si="170"/>
        <v>TERMINO</v>
      </c>
      <c r="AO844" s="284" t="s">
        <v>582</v>
      </c>
      <c r="AP844" s="406" t="s">
        <v>391</v>
      </c>
      <c r="AQ844" s="819" t="str">
        <f>IFERROR(VLOOKUP(E844,'liquidaciones '!$B$2:$C$1048576,2,0),"NO")</f>
        <v>EN TRÁMITE</v>
      </c>
      <c r="AR844" s="909" t="str">
        <f>IFERROR(VLOOKUP(E844,'liquidaciones '!$B$2:$I$1048576,8,0),"")</f>
        <v>MARIA FERNANDA ROMERO</v>
      </c>
      <c r="AS844" s="406"/>
      <c r="AT844" s="156" t="str">
        <f t="shared" ca="1" si="171"/>
        <v>SI</v>
      </c>
      <c r="AU844" s="1023" t="s">
        <v>4805</v>
      </c>
      <c r="AV844" s="406"/>
      <c r="AW844" s="930" t="s">
        <v>559</v>
      </c>
      <c r="AX844" s="930" t="s">
        <v>5507</v>
      </c>
      <c r="AY844" s="928"/>
    </row>
    <row r="845" spans="3:51" ht="30.6" x14ac:dyDescent="0.3">
      <c r="C845" s="837">
        <v>412</v>
      </c>
      <c r="E845" s="120" t="s">
        <v>5295</v>
      </c>
      <c r="F845" s="414" t="s">
        <v>5296</v>
      </c>
      <c r="G845" s="863" t="s">
        <v>2796</v>
      </c>
      <c r="H845" s="969" t="s">
        <v>5297</v>
      </c>
      <c r="I845" s="84">
        <v>57001000</v>
      </c>
      <c r="J845" s="843" t="s">
        <v>5299</v>
      </c>
      <c r="K845" s="269">
        <v>2019</v>
      </c>
      <c r="L845" s="519">
        <v>43724</v>
      </c>
      <c r="M845" s="519">
        <v>43755</v>
      </c>
      <c r="N845" s="519">
        <v>43815</v>
      </c>
      <c r="O845" s="1099" t="str">
        <f>IF(+Modificaciones!I845=0,"",VLOOKUP(E845,Modificaciones!$B$7:$I$2400,8,0))</f>
        <v/>
      </c>
      <c r="P845" s="115">
        <f>COUNTA(Modificaciones!J845,Modificaciones!L845,Modificaciones!N845,Modificaciones!P845)</f>
        <v>0</v>
      </c>
      <c r="Q845" s="116">
        <f>VLOOKUP(E845,Modificaciones!$B$7:$R$2300,17,0)</f>
        <v>0</v>
      </c>
      <c r="R845" s="117">
        <f>COUNTA(Modificaciones!T845,Modificaciones!V845,Modificaciones!X845,Modificaciones!Z845)</f>
        <v>0</v>
      </c>
      <c r="S845" s="118" t="str">
        <f>IF(Modificaciones!AA845=0,"",VLOOKUP(E845,Modificaciones!$B$7:$AA$2400,26,0))</f>
        <v/>
      </c>
      <c r="T845" s="119" t="str">
        <f>IF(Modificaciones!AB845=0,"",VLOOKUP(E845,Modificaciones!$B$7:$AB$2400,27,0))</f>
        <v/>
      </c>
      <c r="U845" s="1080" t="str">
        <f>+Modificaciones!AC845</f>
        <v/>
      </c>
      <c r="V845" s="825" t="str">
        <f>+Modificaciones!AK845</f>
        <v/>
      </c>
      <c r="W845" s="825">
        <f t="shared" si="166"/>
        <v>43815</v>
      </c>
      <c r="X845" s="59">
        <f t="shared" si="165"/>
        <v>57001000</v>
      </c>
      <c r="Y845" s="151">
        <f>VLOOKUP(E845,Modificaciones!$B$7:$BE$2300,56,0)</f>
        <v>57001000</v>
      </c>
      <c r="Z845" s="84">
        <f t="shared" si="162"/>
        <v>0</v>
      </c>
      <c r="AA845" s="283" t="s">
        <v>1894</v>
      </c>
      <c r="AB845" s="823">
        <f t="shared" si="163"/>
        <v>1</v>
      </c>
      <c r="AC845" s="40">
        <f t="shared" ca="1" si="167"/>
        <v>1</v>
      </c>
      <c r="AD845" s="41">
        <f t="shared" ca="1" si="168"/>
        <v>0</v>
      </c>
      <c r="AE845" s="181" t="str">
        <f t="shared" ca="1" si="169"/>
        <v/>
      </c>
      <c r="AF845" s="42" t="str">
        <f t="shared" si="164"/>
        <v>SI</v>
      </c>
      <c r="AG845" s="1037" t="s">
        <v>1711</v>
      </c>
      <c r="AH845" s="841" t="s">
        <v>1256</v>
      </c>
      <c r="AI845" s="870" t="s">
        <v>5298</v>
      </c>
      <c r="AJ845" s="152" t="s">
        <v>1438</v>
      </c>
      <c r="AK845" s="255" t="s">
        <v>560</v>
      </c>
      <c r="AL845" s="414" t="s">
        <v>4850</v>
      </c>
      <c r="AM845" s="838" t="s">
        <v>4851</v>
      </c>
      <c r="AN845" s="161" t="str">
        <f t="shared" ca="1" si="170"/>
        <v>TERMINO</v>
      </c>
      <c r="AO845" s="284" t="s">
        <v>576</v>
      </c>
      <c r="AP845" s="406" t="s">
        <v>390</v>
      </c>
      <c r="AQ845" s="819" t="str">
        <f>IFERROR(VLOOKUP(E845,'liquidaciones '!$B$2:$C$1048576,2,0),"NO")</f>
        <v>EN TRÁMITE</v>
      </c>
      <c r="AR845" s="909" t="str">
        <f>IFERROR(VLOOKUP(E845,'liquidaciones '!$B$2:$I$1048576,8,0),"")</f>
        <v>JUAN DIEGO ESPITIA</v>
      </c>
      <c r="AS845" s="406"/>
      <c r="AT845" s="156" t="str">
        <f t="shared" ca="1" si="171"/>
        <v>SI</v>
      </c>
      <c r="AU845" s="1066" t="s">
        <v>5156</v>
      </c>
      <c r="AV845" s="406" t="s">
        <v>4852</v>
      </c>
      <c r="AW845" s="930" t="s">
        <v>560</v>
      </c>
      <c r="AX845" s="928"/>
      <c r="AY845" s="928"/>
    </row>
    <row r="846" spans="3:51" ht="40.799999999999997" x14ac:dyDescent="0.3">
      <c r="C846" s="837">
        <v>54</v>
      </c>
      <c r="E846" s="120" t="s">
        <v>5300</v>
      </c>
      <c r="F846" s="414" t="s">
        <v>5301</v>
      </c>
      <c r="G846" s="863" t="s">
        <v>5302</v>
      </c>
      <c r="H846" s="969" t="s">
        <v>5303</v>
      </c>
      <c r="I846" s="84">
        <v>6852000</v>
      </c>
      <c r="J846" s="843" t="s">
        <v>5305</v>
      </c>
      <c r="K846" s="269">
        <v>2019</v>
      </c>
      <c r="L846" s="519">
        <v>43747</v>
      </c>
      <c r="M846" s="519">
        <v>43759</v>
      </c>
      <c r="N846" s="519">
        <v>43850</v>
      </c>
      <c r="O846" s="1099" t="str">
        <f>IF(+Modificaciones!I846=0,"",VLOOKUP(E846,Modificaciones!$B$7:$I$2400,8,0))</f>
        <v/>
      </c>
      <c r="P846" s="115">
        <f>COUNTA(Modificaciones!J846,Modificaciones!L846,Modificaciones!N846,Modificaciones!P846)</f>
        <v>0</v>
      </c>
      <c r="Q846" s="116">
        <f>VLOOKUP(E846,Modificaciones!$B$7:$R$2300,17,0)</f>
        <v>0</v>
      </c>
      <c r="R846" s="117">
        <f>COUNTA(Modificaciones!T846,Modificaciones!V846,Modificaciones!X846,Modificaciones!Z846)</f>
        <v>0</v>
      </c>
      <c r="S846" s="118" t="str">
        <f>IF(Modificaciones!AA846=0,"",VLOOKUP(E846,Modificaciones!$B$7:$AA$2400,26,0))</f>
        <v/>
      </c>
      <c r="T846" s="119" t="str">
        <f>IF(Modificaciones!AB846=0,"",VLOOKUP(E846,Modificaciones!$B$7:$AB$2400,27,0))</f>
        <v/>
      </c>
      <c r="U846" s="1080" t="str">
        <f>+Modificaciones!AC846</f>
        <v/>
      </c>
      <c r="V846" s="825" t="str">
        <f>+Modificaciones!AK846</f>
        <v/>
      </c>
      <c r="W846" s="825">
        <f t="shared" si="166"/>
        <v>43850</v>
      </c>
      <c r="X846" s="59">
        <f t="shared" si="165"/>
        <v>6852000</v>
      </c>
      <c r="Y846" s="151">
        <f>VLOOKUP(E846,Modificaciones!$B$7:$BE$2300,56,0)</f>
        <v>6298596</v>
      </c>
      <c r="Z846" s="84">
        <f t="shared" si="162"/>
        <v>553404</v>
      </c>
      <c r="AA846" s="283" t="s">
        <v>1894</v>
      </c>
      <c r="AB846" s="823">
        <f t="shared" si="163"/>
        <v>0.91923467600700526</v>
      </c>
      <c r="AC846" s="40">
        <f t="shared" ca="1" si="167"/>
        <v>1</v>
      </c>
      <c r="AD846" s="41">
        <f t="shared" ca="1" si="168"/>
        <v>8.0765323992994742E-2</v>
      </c>
      <c r="AE846" s="181" t="str">
        <f t="shared" ca="1" si="169"/>
        <v/>
      </c>
      <c r="AF846" s="42" t="str">
        <f t="shared" si="164"/>
        <v>NO</v>
      </c>
      <c r="AG846" s="1066" t="s">
        <v>1711</v>
      </c>
      <c r="AH846" s="841" t="s">
        <v>1255</v>
      </c>
      <c r="AI846" s="841" t="s">
        <v>5304</v>
      </c>
      <c r="AJ846" s="838" t="s">
        <v>5242</v>
      </c>
      <c r="AK846" s="255" t="s">
        <v>560</v>
      </c>
      <c r="AL846" s="838" t="s">
        <v>4333</v>
      </c>
      <c r="AM846" s="838" t="s">
        <v>4851</v>
      </c>
      <c r="AN846" s="161" t="str">
        <f t="shared" ca="1" si="170"/>
        <v>TERMINO</v>
      </c>
      <c r="AO846" s="284" t="s">
        <v>576</v>
      </c>
      <c r="AP846" s="406" t="s">
        <v>391</v>
      </c>
      <c r="AQ846" s="819" t="str">
        <f>IFERROR(VLOOKUP(E846,'liquidaciones '!$B$2:$C$1048576,2,0),"NO")</f>
        <v>EN TRÁMITE</v>
      </c>
      <c r="AR846" s="909" t="str">
        <f>IFERROR(VLOOKUP(E846,'liquidaciones '!$B$2:$I$1048576,8,0),"")</f>
        <v>ANDRES FELIPE CORZO</v>
      </c>
      <c r="AS846" s="406"/>
      <c r="AT846" s="156" t="str">
        <f t="shared" ca="1" si="171"/>
        <v>SI</v>
      </c>
      <c r="AU846" s="1023" t="s">
        <v>5047</v>
      </c>
      <c r="AV846" s="406" t="s">
        <v>5243</v>
      </c>
      <c r="AW846" s="930" t="s">
        <v>560</v>
      </c>
      <c r="AX846" s="928"/>
      <c r="AY846" s="930" t="s">
        <v>6482</v>
      </c>
    </row>
    <row r="847" spans="3:51" ht="28.8" x14ac:dyDescent="0.3">
      <c r="C847" s="837">
        <v>241</v>
      </c>
      <c r="E847" s="120" t="s">
        <v>5306</v>
      </c>
      <c r="F847" s="414" t="s">
        <v>5307</v>
      </c>
      <c r="G847" s="863">
        <v>901037139</v>
      </c>
      <c r="H847" s="969" t="s">
        <v>4451</v>
      </c>
      <c r="I847" s="84">
        <v>7488670</v>
      </c>
      <c r="J847" s="843" t="s">
        <v>5317</v>
      </c>
      <c r="K847" s="269">
        <v>2019</v>
      </c>
      <c r="L847" s="519">
        <v>43747</v>
      </c>
      <c r="M847" s="519">
        <v>43759</v>
      </c>
      <c r="N847" s="519">
        <v>43850</v>
      </c>
      <c r="O847" s="1099" t="str">
        <f>IF(+Modificaciones!I847=0,"",VLOOKUP(E847,Modificaciones!$B$7:$I$2400,8,0))</f>
        <v/>
      </c>
      <c r="P847" s="115">
        <f>COUNTA(Modificaciones!J847,Modificaciones!L847,Modificaciones!N847,Modificaciones!P847)</f>
        <v>0</v>
      </c>
      <c r="Q847" s="116">
        <f>VLOOKUP(E847,Modificaciones!$B$7:$R$2300,17,0)</f>
        <v>0</v>
      </c>
      <c r="R847" s="117">
        <f>COUNTA(Modificaciones!T847,Modificaciones!V847,Modificaciones!X847,Modificaciones!Z847)</f>
        <v>0</v>
      </c>
      <c r="S847" s="118" t="str">
        <f>IF(Modificaciones!AA847=0,"",VLOOKUP(E847,Modificaciones!$B$7:$AA$2400,26,0))</f>
        <v/>
      </c>
      <c r="T847" s="119" t="str">
        <f>IF(Modificaciones!AB847=0,"",VLOOKUP(E847,Modificaciones!$B$7:$AB$2400,27,0))</f>
        <v/>
      </c>
      <c r="U847" s="1080" t="str">
        <f>+Modificaciones!AC847</f>
        <v/>
      </c>
      <c r="V847" s="825" t="str">
        <f>+Modificaciones!AK847</f>
        <v/>
      </c>
      <c r="W847" s="825">
        <f t="shared" si="166"/>
        <v>43850</v>
      </c>
      <c r="X847" s="59">
        <f t="shared" si="165"/>
        <v>7488670</v>
      </c>
      <c r="Y847" s="151">
        <f>VLOOKUP(E847,Modificaciones!$B$7:$BE$2300,56,0)</f>
        <v>7488670</v>
      </c>
      <c r="Z847" s="84">
        <f t="shared" si="162"/>
        <v>0</v>
      </c>
      <c r="AA847" s="283" t="s">
        <v>1894</v>
      </c>
      <c r="AB847" s="823">
        <f t="shared" si="163"/>
        <v>1</v>
      </c>
      <c r="AC847" s="40">
        <f t="shared" ca="1" si="167"/>
        <v>1</v>
      </c>
      <c r="AD847" s="41">
        <f t="shared" ca="1" si="168"/>
        <v>0</v>
      </c>
      <c r="AE847" s="181" t="str">
        <f t="shared" ca="1" si="169"/>
        <v/>
      </c>
      <c r="AF847" s="42" t="str">
        <f t="shared" si="164"/>
        <v>SI</v>
      </c>
      <c r="AG847" s="1066" t="s">
        <v>1711</v>
      </c>
      <c r="AH847" s="841" t="s">
        <v>1255</v>
      </c>
      <c r="AI847" s="841" t="s">
        <v>5308</v>
      </c>
      <c r="AJ847" s="838" t="s">
        <v>5242</v>
      </c>
      <c r="AK847" s="255" t="s">
        <v>560</v>
      </c>
      <c r="AL847" s="838" t="s">
        <v>4333</v>
      </c>
      <c r="AM847" s="838" t="s">
        <v>4851</v>
      </c>
      <c r="AN847" s="161" t="str">
        <f t="shared" ca="1" si="170"/>
        <v>TERMINO</v>
      </c>
      <c r="AO847" s="284" t="s">
        <v>576</v>
      </c>
      <c r="AP847" s="406" t="s">
        <v>391</v>
      </c>
      <c r="AQ847" s="819" t="str">
        <f>IFERROR(VLOOKUP(E847,'liquidaciones '!$B$2:$C$1048576,2,0),"NO")</f>
        <v>EN TRÁMITE</v>
      </c>
      <c r="AR847" s="909" t="str">
        <f>IFERROR(VLOOKUP(E847,'liquidaciones '!$B$2:$I$1048576,8,0),"")</f>
        <v>JUAN DIEGO ESPITIA</v>
      </c>
      <c r="AS847" s="406"/>
      <c r="AT847" s="156" t="str">
        <f t="shared" ca="1" si="171"/>
        <v>SI</v>
      </c>
      <c r="AU847" s="1066" t="s">
        <v>5047</v>
      </c>
      <c r="AV847" s="406" t="s">
        <v>5243</v>
      </c>
      <c r="AW847" s="930" t="s">
        <v>560</v>
      </c>
      <c r="AX847" s="928"/>
      <c r="AY847" s="930" t="s">
        <v>5803</v>
      </c>
    </row>
    <row r="848" spans="3:51" ht="40.799999999999997" x14ac:dyDescent="0.3">
      <c r="C848" s="837"/>
      <c r="E848" s="120" t="s">
        <v>5321</v>
      </c>
      <c r="F848" s="414" t="s">
        <v>5322</v>
      </c>
      <c r="G848" s="863">
        <v>79495980</v>
      </c>
      <c r="H848" s="969" t="s">
        <v>5323</v>
      </c>
      <c r="I848" s="84">
        <v>25672000</v>
      </c>
      <c r="J848" s="843" t="s">
        <v>5321</v>
      </c>
      <c r="K848" s="269">
        <v>2019</v>
      </c>
      <c r="L848" s="519">
        <v>43755</v>
      </c>
      <c r="M848" s="519">
        <v>43761</v>
      </c>
      <c r="N848" s="519">
        <v>43814</v>
      </c>
      <c r="O848" s="1099">
        <f>IF(+Modificaciones!I848=0,"",VLOOKUP(E848,Modificaciones!$B$7:$I$2400,8,0))</f>
        <v>43883</v>
      </c>
      <c r="P848" s="115">
        <f>COUNTA(Modificaciones!J848,Modificaciones!L848,Modificaciones!N848,Modificaciones!P848)</f>
        <v>0</v>
      </c>
      <c r="Q848" s="116">
        <f>VLOOKUP(E848,Modificaciones!$B$7:$R$2300,17,0)</f>
        <v>0</v>
      </c>
      <c r="R848" s="117">
        <f>COUNTA(Modificaciones!T848,Modificaciones!V848,Modificaciones!X848,Modificaciones!Z848)</f>
        <v>0</v>
      </c>
      <c r="S848" s="118" t="str">
        <f>IF(Modificaciones!AA848=0,"",VLOOKUP(E848,Modificaciones!$B$7:$AA$2400,26,0))</f>
        <v/>
      </c>
      <c r="T848" s="119" t="str">
        <f>IF(Modificaciones!AB848=0,"",VLOOKUP(E848,Modificaciones!$B$7:$AB$2400,27,0))</f>
        <v/>
      </c>
      <c r="U848" s="1080" t="str">
        <f>+Modificaciones!AC848</f>
        <v/>
      </c>
      <c r="V848" s="825" t="str">
        <f>+Modificaciones!AK848</f>
        <v/>
      </c>
      <c r="W848" s="825">
        <f t="shared" si="166"/>
        <v>43883</v>
      </c>
      <c r="X848" s="59">
        <f t="shared" si="165"/>
        <v>25672000</v>
      </c>
      <c r="Y848" s="151">
        <f>VLOOKUP(E848,Modificaciones!$B$7:$BE$2300,56,0)</f>
        <v>25672000</v>
      </c>
      <c r="Z848" s="84">
        <f t="shared" si="162"/>
        <v>0</v>
      </c>
      <c r="AA848" s="1000" t="s">
        <v>5324</v>
      </c>
      <c r="AB848" s="823">
        <f t="shared" si="163"/>
        <v>1</v>
      </c>
      <c r="AC848" s="40">
        <f t="shared" ca="1" si="167"/>
        <v>1</v>
      </c>
      <c r="AD848" s="41">
        <f t="shared" ca="1" si="168"/>
        <v>0</v>
      </c>
      <c r="AE848" s="181" t="str">
        <f t="shared" ca="1" si="169"/>
        <v/>
      </c>
      <c r="AF848" s="42" t="str">
        <f t="shared" si="164"/>
        <v>SI</v>
      </c>
      <c r="AG848" s="732" t="s">
        <v>5773</v>
      </c>
      <c r="AH848" s="841" t="s">
        <v>1255</v>
      </c>
      <c r="AI848" s="870" t="s">
        <v>5325</v>
      </c>
      <c r="AJ848" s="838" t="s">
        <v>5326</v>
      </c>
      <c r="AK848" s="255" t="s">
        <v>559</v>
      </c>
      <c r="AL848" s="838" t="s">
        <v>5327</v>
      </c>
      <c r="AM848" s="838" t="s">
        <v>4802</v>
      </c>
      <c r="AN848" s="161" t="str">
        <f t="shared" ca="1" si="170"/>
        <v>TERMINO</v>
      </c>
      <c r="AO848" s="284" t="s">
        <v>582</v>
      </c>
      <c r="AP848" s="406" t="s">
        <v>391</v>
      </c>
      <c r="AQ848" s="819" t="str">
        <f>IFERROR(VLOOKUP(E848,'liquidaciones '!$B$2:$C$1048576,2,0),"NO")</f>
        <v>NO</v>
      </c>
      <c r="AR848" s="909" t="str">
        <f>IFERROR(VLOOKUP(E848,'liquidaciones '!$B$2:$I$1048576,8,0),"")</f>
        <v/>
      </c>
      <c r="AS848" s="406"/>
      <c r="AT848" s="156" t="str">
        <f t="shared" ca="1" si="171"/>
        <v>SI</v>
      </c>
      <c r="AU848" s="1023" t="s">
        <v>4805</v>
      </c>
      <c r="AV848" s="406" t="s">
        <v>5327</v>
      </c>
      <c r="AW848" s="930" t="s">
        <v>559</v>
      </c>
      <c r="AX848" s="930" t="s">
        <v>5508</v>
      </c>
      <c r="AY848" s="928"/>
    </row>
    <row r="849" spans="3:51" ht="30.6" x14ac:dyDescent="0.3">
      <c r="C849" s="837">
        <v>59</v>
      </c>
      <c r="E849" s="120" t="s">
        <v>5360</v>
      </c>
      <c r="F849" s="414" t="s">
        <v>2145</v>
      </c>
      <c r="G849" s="863" t="s">
        <v>5361</v>
      </c>
      <c r="H849" s="969" t="s">
        <v>2661</v>
      </c>
      <c r="I849" s="84">
        <v>1020000</v>
      </c>
      <c r="J849" s="843" t="s">
        <v>5360</v>
      </c>
      <c r="K849" s="269">
        <v>2019</v>
      </c>
      <c r="L849" s="519">
        <v>43739</v>
      </c>
      <c r="M849" s="519">
        <v>43749</v>
      </c>
      <c r="N849" s="519">
        <v>44114</v>
      </c>
      <c r="O849" s="1099" t="str">
        <f>IF(+Modificaciones!I849=0,"",VLOOKUP(E849,Modificaciones!$B$7:$I$2400,8,0))</f>
        <v/>
      </c>
      <c r="P849" s="115">
        <f>COUNTA(Modificaciones!J849,Modificaciones!L849,Modificaciones!N849,Modificaciones!P849)</f>
        <v>0</v>
      </c>
      <c r="Q849" s="116">
        <f>VLOOKUP(E849,Modificaciones!$B$7:$R$2300,17,0)</f>
        <v>0</v>
      </c>
      <c r="R849" s="117">
        <f>COUNTA(Modificaciones!T849,Modificaciones!V849,Modificaciones!X849,Modificaciones!Z849)</f>
        <v>0</v>
      </c>
      <c r="S849" s="118" t="str">
        <f>IF(Modificaciones!AA849=0,"",VLOOKUP(E849,Modificaciones!$B$7:$AA$2400,26,0))</f>
        <v/>
      </c>
      <c r="T849" s="119" t="str">
        <f>IF(Modificaciones!AB849=0,"",VLOOKUP(E849,Modificaciones!$B$7:$AB$2400,27,0))</f>
        <v/>
      </c>
      <c r="U849" s="1080" t="str">
        <f>+Modificaciones!AC849</f>
        <v/>
      </c>
      <c r="V849" s="825" t="str">
        <f>+Modificaciones!AK849</f>
        <v/>
      </c>
      <c r="W849" s="825">
        <f t="shared" si="166"/>
        <v>44114</v>
      </c>
      <c r="X849" s="59">
        <f t="shared" si="165"/>
        <v>1020000</v>
      </c>
      <c r="Y849" s="151">
        <f>VLOOKUP(E849,Modificaciones!$B$7:$BE$2300,56,0)</f>
        <v>1020000</v>
      </c>
      <c r="Z849" s="84">
        <f t="shared" si="162"/>
        <v>0</v>
      </c>
      <c r="AA849" s="283" t="s">
        <v>1894</v>
      </c>
      <c r="AB849" s="823">
        <f t="shared" si="163"/>
        <v>1</v>
      </c>
      <c r="AC849" s="40">
        <f t="shared" ca="1" si="167"/>
        <v>1</v>
      </c>
      <c r="AD849" s="41">
        <f t="shared" ca="1" si="168"/>
        <v>0</v>
      </c>
      <c r="AE849" s="181" t="str">
        <f t="shared" ca="1" si="169"/>
        <v/>
      </c>
      <c r="AF849" s="42" t="str">
        <f t="shared" si="164"/>
        <v>SI</v>
      </c>
      <c r="AG849" s="1037" t="s">
        <v>5235</v>
      </c>
      <c r="AH849" s="841" t="s">
        <v>1255</v>
      </c>
      <c r="AI849" s="841" t="s">
        <v>5362</v>
      </c>
      <c r="AJ849" s="838" t="s">
        <v>1429</v>
      </c>
      <c r="AK849" s="255" t="s">
        <v>564</v>
      </c>
      <c r="AL849" s="838"/>
      <c r="AM849" s="414" t="s">
        <v>4247</v>
      </c>
      <c r="AN849" s="161" t="str">
        <f t="shared" ca="1" si="170"/>
        <v>TERMINO</v>
      </c>
      <c r="AO849" s="284" t="s">
        <v>582</v>
      </c>
      <c r="AP849" s="406" t="s">
        <v>390</v>
      </c>
      <c r="AQ849" s="819" t="str">
        <f>IFERROR(VLOOKUP(E849,'liquidaciones '!$B$2:$C$1048576,2,0),"NO")</f>
        <v>NO</v>
      </c>
      <c r="AR849" s="909" t="str">
        <f>IFERROR(VLOOKUP(E849,'liquidaciones '!$B$2:$I$1048576,8,0),"")</f>
        <v/>
      </c>
      <c r="AS849" s="406"/>
      <c r="AT849" s="156" t="str">
        <f t="shared" ca="1" si="171"/>
        <v>SI</v>
      </c>
      <c r="AU849" s="1067" t="s">
        <v>5851</v>
      </c>
      <c r="AV849" s="406"/>
      <c r="AW849" s="930" t="s">
        <v>3920</v>
      </c>
      <c r="AX849" s="928"/>
      <c r="AY849" s="928"/>
    </row>
    <row r="850" spans="3:51" ht="33.75" customHeight="1" x14ac:dyDescent="0.3">
      <c r="C850" s="837">
        <v>57</v>
      </c>
      <c r="E850" s="120" t="s">
        <v>5363</v>
      </c>
      <c r="F850" s="414" t="s">
        <v>33</v>
      </c>
      <c r="G850" s="863">
        <v>860509265</v>
      </c>
      <c r="H850" s="969" t="s">
        <v>5364</v>
      </c>
      <c r="I850" s="84">
        <v>885000</v>
      </c>
      <c r="J850" s="843" t="s">
        <v>5363</v>
      </c>
      <c r="K850" s="269">
        <v>2019</v>
      </c>
      <c r="L850" s="519">
        <v>43761</v>
      </c>
      <c r="M850" s="519">
        <v>43774</v>
      </c>
      <c r="N850" s="519">
        <v>44139</v>
      </c>
      <c r="O850" s="1099" t="str">
        <f>IF(+Modificaciones!I850=0,"",VLOOKUP(E850,Modificaciones!$B$7:$I$2400,8,0))</f>
        <v/>
      </c>
      <c r="P850" s="115">
        <f>COUNTA(Modificaciones!J850,Modificaciones!L850,Modificaciones!N850,Modificaciones!P850)</f>
        <v>0</v>
      </c>
      <c r="Q850" s="116">
        <f>VLOOKUP(E850,Modificaciones!$B$7:$R$2300,17,0)</f>
        <v>0</v>
      </c>
      <c r="R850" s="117">
        <f>COUNTA(Modificaciones!T850,Modificaciones!V850,Modificaciones!X850,Modificaciones!Z850)</f>
        <v>0</v>
      </c>
      <c r="S850" s="118" t="str">
        <f>IF(Modificaciones!AA850=0,"",VLOOKUP(E850,Modificaciones!$B$7:$AA$2400,26,0))</f>
        <v/>
      </c>
      <c r="T850" s="119" t="str">
        <f>IF(Modificaciones!AB850=0,"",VLOOKUP(E850,Modificaciones!$B$7:$AB$2400,27,0))</f>
        <v/>
      </c>
      <c r="U850" s="1080" t="str">
        <f>+Modificaciones!AC850</f>
        <v/>
      </c>
      <c r="V850" s="825" t="str">
        <f>+Modificaciones!AK850</f>
        <v/>
      </c>
      <c r="W850" s="825">
        <f t="shared" si="166"/>
        <v>44139</v>
      </c>
      <c r="X850" s="59">
        <f t="shared" si="165"/>
        <v>885000</v>
      </c>
      <c r="Y850" s="151">
        <f>VLOOKUP(E850,Modificaciones!$B$7:$BE$2300,56,0)</f>
        <v>885000</v>
      </c>
      <c r="Z850" s="84">
        <f t="shared" si="162"/>
        <v>0</v>
      </c>
      <c r="AA850" s="283" t="s">
        <v>1894</v>
      </c>
      <c r="AB850" s="823">
        <f t="shared" si="163"/>
        <v>1</v>
      </c>
      <c r="AC850" s="40">
        <f t="shared" ca="1" si="167"/>
        <v>1</v>
      </c>
      <c r="AD850" s="41">
        <f t="shared" ca="1" si="168"/>
        <v>0</v>
      </c>
      <c r="AE850" s="181" t="str">
        <f t="shared" ca="1" si="169"/>
        <v/>
      </c>
      <c r="AF850" s="42" t="str">
        <f t="shared" si="164"/>
        <v>SI</v>
      </c>
      <c r="AG850" s="1067" t="s">
        <v>5235</v>
      </c>
      <c r="AH850" s="841" t="s">
        <v>1255</v>
      </c>
      <c r="AI850" s="841" t="s">
        <v>5365</v>
      </c>
      <c r="AJ850" s="838" t="s">
        <v>1429</v>
      </c>
      <c r="AK850" s="255" t="s">
        <v>564</v>
      </c>
      <c r="AL850" s="838"/>
      <c r="AM850" s="414" t="s">
        <v>4247</v>
      </c>
      <c r="AN850" s="161" t="str">
        <f t="shared" ca="1" si="170"/>
        <v>TERMINO</v>
      </c>
      <c r="AO850" s="284" t="s">
        <v>582</v>
      </c>
      <c r="AP850" s="406" t="s">
        <v>390</v>
      </c>
      <c r="AQ850" s="819" t="str">
        <f>IFERROR(VLOOKUP(E850,'liquidaciones '!$B$2:$C$1048576,2,0),"NO")</f>
        <v>NO</v>
      </c>
      <c r="AR850" s="909" t="str">
        <f>IFERROR(VLOOKUP(E850,'liquidaciones '!$B$2:$I$1048576,8,0),"")</f>
        <v/>
      </c>
      <c r="AS850" s="406"/>
      <c r="AT850" s="156" t="str">
        <f t="shared" ca="1" si="171"/>
        <v>SI</v>
      </c>
      <c r="AU850" s="1067" t="s">
        <v>5851</v>
      </c>
      <c r="AV850" s="406"/>
      <c r="AW850" s="930" t="s">
        <v>3920</v>
      </c>
      <c r="AX850" s="928"/>
      <c r="AY850" s="928"/>
    </row>
    <row r="851" spans="3:51" ht="30.6" x14ac:dyDescent="0.3">
      <c r="C851" s="837">
        <v>469</v>
      </c>
      <c r="E851" s="120" t="s">
        <v>5366</v>
      </c>
      <c r="F851" s="414" t="s">
        <v>5367</v>
      </c>
      <c r="G851" s="863" t="s">
        <v>5368</v>
      </c>
      <c r="H851" s="969" t="s">
        <v>5369</v>
      </c>
      <c r="I851" s="84">
        <v>1295000</v>
      </c>
      <c r="J851" s="843" t="s">
        <v>5370</v>
      </c>
      <c r="K851" s="269">
        <v>2019</v>
      </c>
      <c r="L851" s="519">
        <v>43759</v>
      </c>
      <c r="M851" s="519">
        <v>43774</v>
      </c>
      <c r="N851" s="519">
        <v>43986</v>
      </c>
      <c r="O851" s="1099" t="str">
        <f>IF(+Modificaciones!I851=0,"",VLOOKUP(E851,Modificaciones!$B$7:$I$2400,8,0))</f>
        <v/>
      </c>
      <c r="P851" s="115">
        <f>COUNTA(Modificaciones!J851,Modificaciones!L851,Modificaciones!N851,Modificaciones!P851)</f>
        <v>0</v>
      </c>
      <c r="Q851" s="116">
        <f>VLOOKUP(E851,Modificaciones!$B$7:$R$2300,17,0)</f>
        <v>0</v>
      </c>
      <c r="R851" s="117">
        <f>COUNTA(Modificaciones!T851,Modificaciones!V851,Modificaciones!X851,Modificaciones!Z851)</f>
        <v>0</v>
      </c>
      <c r="S851" s="118" t="str">
        <f>IF(Modificaciones!AA851=0,"",VLOOKUP(E851,Modificaciones!$B$7:$AA$2400,26,0))</f>
        <v/>
      </c>
      <c r="T851" s="119" t="str">
        <f>IF(Modificaciones!AB851=0,"",VLOOKUP(E851,Modificaciones!$B$7:$AB$2400,27,0))</f>
        <v/>
      </c>
      <c r="U851" s="1080" t="str">
        <f>+Modificaciones!AC851</f>
        <v/>
      </c>
      <c r="V851" s="825" t="str">
        <f>+Modificaciones!AK851</f>
        <v/>
      </c>
      <c r="W851" s="825">
        <f t="shared" si="166"/>
        <v>43986</v>
      </c>
      <c r="X851" s="59">
        <f t="shared" si="165"/>
        <v>1295000</v>
      </c>
      <c r="Y851" s="151">
        <f>VLOOKUP(E851,Modificaciones!$B$7:$BE$2300,56,0)</f>
        <v>1075200</v>
      </c>
      <c r="Z851" s="84">
        <f t="shared" si="162"/>
        <v>219800</v>
      </c>
      <c r="AA851" s="1000" t="s">
        <v>5371</v>
      </c>
      <c r="AB851" s="823">
        <f t="shared" si="163"/>
        <v>0.83027027027027023</v>
      </c>
      <c r="AC851" s="40">
        <f t="shared" ca="1" si="167"/>
        <v>1</v>
      </c>
      <c r="AD851" s="41">
        <f t="shared" ca="1" si="168"/>
        <v>0.16972972972972977</v>
      </c>
      <c r="AE851" s="181" t="str">
        <f t="shared" ca="1" si="169"/>
        <v/>
      </c>
      <c r="AF851" s="42" t="str">
        <f t="shared" si="164"/>
        <v>NO</v>
      </c>
      <c r="AG851" s="1017" t="s">
        <v>4920</v>
      </c>
      <c r="AH851" s="841" t="s">
        <v>1256</v>
      </c>
      <c r="AI851" s="870" t="s">
        <v>5372</v>
      </c>
      <c r="AJ851" s="152" t="s">
        <v>1438</v>
      </c>
      <c r="AK851" s="255" t="s">
        <v>560</v>
      </c>
      <c r="AL851" s="414" t="s">
        <v>4850</v>
      </c>
      <c r="AM851" s="838" t="s">
        <v>4851</v>
      </c>
      <c r="AN851" s="161" t="str">
        <f t="shared" ca="1" si="170"/>
        <v>TERMINO</v>
      </c>
      <c r="AO851" s="284" t="s">
        <v>576</v>
      </c>
      <c r="AP851" s="406" t="s">
        <v>390</v>
      </c>
      <c r="AQ851" s="819" t="str">
        <f>IFERROR(VLOOKUP(E851,'liquidaciones '!$B$2:$C$1048576,2,0),"NO")</f>
        <v>NO</v>
      </c>
      <c r="AR851" s="909" t="str">
        <f>IFERROR(VLOOKUP(E851,'liquidaciones '!$B$2:$I$1048576,8,0),"")</f>
        <v/>
      </c>
      <c r="AS851" s="406"/>
      <c r="AT851" s="156" t="str">
        <f t="shared" ca="1" si="171"/>
        <v>SI</v>
      </c>
      <c r="AU851" s="1068" t="s">
        <v>5854</v>
      </c>
      <c r="AV851" s="406" t="s">
        <v>4852</v>
      </c>
      <c r="AW851" s="930" t="s">
        <v>560</v>
      </c>
      <c r="AX851" s="928"/>
      <c r="AY851" s="928"/>
    </row>
    <row r="852" spans="3:51" ht="61.2" x14ac:dyDescent="0.3">
      <c r="C852" s="837">
        <v>35</v>
      </c>
      <c r="E852" s="120" t="s">
        <v>5373</v>
      </c>
      <c r="F852" s="414" t="s">
        <v>5374</v>
      </c>
      <c r="G852" s="863">
        <v>900732486</v>
      </c>
      <c r="H852" s="969" t="s">
        <v>5375</v>
      </c>
      <c r="I852" s="84">
        <v>3292009</v>
      </c>
      <c r="J852" s="843" t="s">
        <v>5376</v>
      </c>
      <c r="K852" s="269">
        <v>2019</v>
      </c>
      <c r="L852" s="519">
        <v>43747</v>
      </c>
      <c r="M852" s="519">
        <v>43774</v>
      </c>
      <c r="N852" s="519">
        <v>44016</v>
      </c>
      <c r="O852" s="1099" t="str">
        <f>IF(+Modificaciones!I852=0,"",VLOOKUP(E852,Modificaciones!$B$7:$I$2400,8,0))</f>
        <v/>
      </c>
      <c r="P852" s="115">
        <f>COUNTA(Modificaciones!J852,Modificaciones!L852,Modificaciones!N852,Modificaciones!P852)</f>
        <v>1</v>
      </c>
      <c r="Q852" s="116">
        <f>VLOOKUP(E852,Modificaciones!$B$7:$R$2300,17,0)</f>
        <v>1567181</v>
      </c>
      <c r="R852" s="117">
        <f>COUNTA(Modificaciones!T852,Modificaciones!V852,Modificaciones!X852,Modificaciones!Z852)</f>
        <v>1</v>
      </c>
      <c r="S852" s="118" t="str">
        <f>IF(Modificaciones!AA852=0,"",VLOOKUP(E852,Modificaciones!$B$7:$AA$2400,26,0))</f>
        <v>5 meses</v>
      </c>
      <c r="T852" s="119">
        <f>IF(Modificaciones!AB852=0,"",VLOOKUP(E852,Modificaciones!$B$7:$AB$2400,27,0))</f>
        <v>44169</v>
      </c>
      <c r="U852" s="1080" t="str">
        <f>+Modificaciones!AC852</f>
        <v/>
      </c>
      <c r="V852" s="825" t="str">
        <f>+Modificaciones!AK852</f>
        <v/>
      </c>
      <c r="W852" s="825">
        <f t="shared" si="166"/>
        <v>44169</v>
      </c>
      <c r="X852" s="59">
        <f t="shared" si="165"/>
        <v>4859190</v>
      </c>
      <c r="Y852" s="151">
        <f>VLOOKUP(E852,Modificaciones!$B$7:$BE$2300,56,0)</f>
        <v>3748654</v>
      </c>
      <c r="Z852" s="84">
        <f t="shared" si="162"/>
        <v>1110536</v>
      </c>
      <c r="AA852" s="1000" t="s">
        <v>5377</v>
      </c>
      <c r="AB852" s="823">
        <f t="shared" si="163"/>
        <v>0.7714565596323667</v>
      </c>
      <c r="AC852" s="40">
        <f t="shared" ca="1" si="167"/>
        <v>1</v>
      </c>
      <c r="AD852" s="41">
        <f t="shared" ca="1" si="168"/>
        <v>0.2285434403676333</v>
      </c>
      <c r="AE852" s="181" t="str">
        <f t="shared" ca="1" si="169"/>
        <v/>
      </c>
      <c r="AF852" s="42" t="str">
        <f t="shared" si="164"/>
        <v>NO</v>
      </c>
      <c r="AG852" s="1017" t="s">
        <v>4920</v>
      </c>
      <c r="AH852" s="841" t="s">
        <v>1255</v>
      </c>
      <c r="AI852" s="870" t="s">
        <v>5378</v>
      </c>
      <c r="AJ852" s="838" t="s">
        <v>5379</v>
      </c>
      <c r="AK852" s="255" t="s">
        <v>560</v>
      </c>
      <c r="AL852" s="406" t="s">
        <v>4861</v>
      </c>
      <c r="AM852" s="838" t="s">
        <v>4851</v>
      </c>
      <c r="AN852" s="161" t="str">
        <f t="shared" ca="1" si="170"/>
        <v>TERMINO</v>
      </c>
      <c r="AO852" s="284" t="s">
        <v>576</v>
      </c>
      <c r="AP852" s="406" t="s">
        <v>390</v>
      </c>
      <c r="AQ852" s="819" t="str">
        <f>IFERROR(VLOOKUP(E852,'liquidaciones '!$B$2:$C$1048576,2,0),"NO")</f>
        <v>NO</v>
      </c>
      <c r="AR852" s="909" t="str">
        <f>IFERROR(VLOOKUP(E852,'liquidaciones '!$B$2:$I$1048576,8,0),"")</f>
        <v/>
      </c>
      <c r="AS852" s="406"/>
      <c r="AT852" s="156" t="str">
        <f t="shared" ca="1" si="171"/>
        <v>SI</v>
      </c>
      <c r="AU852" s="156" t="s">
        <v>4245</v>
      </c>
      <c r="AV852" s="406" t="s">
        <v>4861</v>
      </c>
      <c r="AW852" s="930" t="s">
        <v>560</v>
      </c>
      <c r="AX852" s="275" t="s">
        <v>6467</v>
      </c>
      <c r="AY852" s="275" t="s">
        <v>6476</v>
      </c>
    </row>
    <row r="853" spans="3:51" ht="28.8" x14ac:dyDescent="0.3">
      <c r="C853" s="837">
        <v>470</v>
      </c>
      <c r="E853" s="120" t="s">
        <v>5383</v>
      </c>
      <c r="F853" s="414" t="s">
        <v>5384</v>
      </c>
      <c r="G853" s="863" t="s">
        <v>5385</v>
      </c>
      <c r="H853" s="969" t="s">
        <v>5386</v>
      </c>
      <c r="I853" s="84">
        <v>7521000</v>
      </c>
      <c r="J853" s="843" t="s">
        <v>5387</v>
      </c>
      <c r="K853" s="269">
        <v>2019</v>
      </c>
      <c r="L853" s="519">
        <v>43766</v>
      </c>
      <c r="M853" s="519">
        <v>43782</v>
      </c>
      <c r="N853" s="519">
        <v>43994</v>
      </c>
      <c r="O853" s="1099" t="str">
        <f>IF(+Modificaciones!I853=0,"",VLOOKUP(E853,Modificaciones!$B$7:$I$2400,8,0))</f>
        <v/>
      </c>
      <c r="P853" s="115">
        <f>COUNTA(Modificaciones!J853,Modificaciones!L853,Modificaciones!N853,Modificaciones!P853)</f>
        <v>0</v>
      </c>
      <c r="Q853" s="116">
        <f>VLOOKUP(E853,Modificaciones!$B$7:$R$2300,17,0)</f>
        <v>0</v>
      </c>
      <c r="R853" s="117">
        <f>COUNTA(Modificaciones!T853,Modificaciones!V853,Modificaciones!X853,Modificaciones!Z853)</f>
        <v>0</v>
      </c>
      <c r="S853" s="118" t="str">
        <f>IF(Modificaciones!AA853=0,"",VLOOKUP(E853,Modificaciones!$B$7:$AA$2400,26,0))</f>
        <v/>
      </c>
      <c r="T853" s="119" t="str">
        <f>IF(Modificaciones!AB853=0,"",VLOOKUP(E853,Modificaciones!$B$7:$AB$2400,27,0))</f>
        <v/>
      </c>
      <c r="U853" s="1080" t="str">
        <f>+Modificaciones!AC853</f>
        <v/>
      </c>
      <c r="V853" s="825" t="str">
        <f>+Modificaciones!AK853</f>
        <v/>
      </c>
      <c r="W853" s="825">
        <f t="shared" si="166"/>
        <v>43994</v>
      </c>
      <c r="X853" s="59">
        <f t="shared" si="165"/>
        <v>7521000</v>
      </c>
      <c r="Y853" s="151">
        <f>VLOOKUP(E853,Modificaciones!$B$7:$BE$2300,56,0)</f>
        <v>4297716</v>
      </c>
      <c r="Z853" s="84">
        <f t="shared" si="162"/>
        <v>3223284</v>
      </c>
      <c r="AA853" s="1000" t="s">
        <v>5390</v>
      </c>
      <c r="AB853" s="823">
        <f t="shared" si="163"/>
        <v>0.57142879936178703</v>
      </c>
      <c r="AC853" s="40">
        <f t="shared" ca="1" si="167"/>
        <v>1</v>
      </c>
      <c r="AD853" s="41">
        <f t="shared" ca="1" si="168"/>
        <v>0.42857120063821297</v>
      </c>
      <c r="AE853" s="181" t="str">
        <f t="shared" ca="1" si="169"/>
        <v/>
      </c>
      <c r="AF853" s="42" t="str">
        <f t="shared" si="164"/>
        <v>NO</v>
      </c>
      <c r="AG853" s="1017" t="s">
        <v>4920</v>
      </c>
      <c r="AH853" s="841" t="s">
        <v>1256</v>
      </c>
      <c r="AI853" s="841" t="s">
        <v>5391</v>
      </c>
      <c r="AJ853" s="152" t="s">
        <v>1438</v>
      </c>
      <c r="AK853" s="255" t="s">
        <v>560</v>
      </c>
      <c r="AL853" s="414" t="s">
        <v>4850</v>
      </c>
      <c r="AM853" s="838" t="s">
        <v>4851</v>
      </c>
      <c r="AN853" s="161" t="str">
        <f t="shared" ca="1" si="170"/>
        <v>TERMINO</v>
      </c>
      <c r="AO853" s="284" t="s">
        <v>576</v>
      </c>
      <c r="AP853" s="406" t="s">
        <v>390</v>
      </c>
      <c r="AQ853" s="819" t="str">
        <f>IFERROR(VLOOKUP(E853,'liquidaciones '!$B$2:$C$1048576,2,0),"NO")</f>
        <v>NO</v>
      </c>
      <c r="AR853" s="909" t="str">
        <f>IFERROR(VLOOKUP(E853,'liquidaciones '!$B$2:$I$1048576,8,0),"")</f>
        <v/>
      </c>
      <c r="AS853" s="406"/>
      <c r="AT853" s="156" t="str">
        <f t="shared" ca="1" si="171"/>
        <v>SI</v>
      </c>
      <c r="AU853" s="1069" t="s">
        <v>5967</v>
      </c>
      <c r="AV853" s="406" t="s">
        <v>4852</v>
      </c>
      <c r="AW853" s="930" t="s">
        <v>560</v>
      </c>
      <c r="AX853" s="928"/>
      <c r="AY853" s="928"/>
    </row>
    <row r="854" spans="3:51" ht="30.6" x14ac:dyDescent="0.3">
      <c r="C854" s="837">
        <v>504</v>
      </c>
      <c r="E854" s="120" t="s">
        <v>5392</v>
      </c>
      <c r="F854" s="414" t="s">
        <v>3831</v>
      </c>
      <c r="G854" s="863">
        <v>79730476</v>
      </c>
      <c r="H854" s="969" t="s">
        <v>2903</v>
      </c>
      <c r="I854" s="84">
        <v>9109500</v>
      </c>
      <c r="J854" s="843" t="s">
        <v>5392</v>
      </c>
      <c r="K854" s="269">
        <v>2019</v>
      </c>
      <c r="L854" s="519">
        <v>43776</v>
      </c>
      <c r="M854" s="519">
        <v>43777</v>
      </c>
      <c r="N854" s="519">
        <v>43814</v>
      </c>
      <c r="O854" s="1099" t="str">
        <f>IF(+Modificaciones!I854=0,"",VLOOKUP(E854,Modificaciones!$B$7:$I$2400,8,0))</f>
        <v/>
      </c>
      <c r="P854" s="115">
        <f>COUNTA(Modificaciones!J854,Modificaciones!L854,Modificaciones!N854,Modificaciones!P854)</f>
        <v>1</v>
      </c>
      <c r="Q854" s="116">
        <f>VLOOKUP(E854,Modificaciones!$B$7:$R$2300,17,0)</f>
        <v>4453533</v>
      </c>
      <c r="R854" s="117">
        <f>COUNTA(Modificaciones!T854,Modificaciones!V854,Modificaciones!X854,Modificaciones!Z854)</f>
        <v>1</v>
      </c>
      <c r="S854" s="118" t="str">
        <f>IF(Modificaciones!AA854=0,"",VLOOKUP(E854,Modificaciones!$B$7:$AA$2400,26,0))</f>
        <v>22 días calendario</v>
      </c>
      <c r="T854" s="119">
        <f>IF(Modificaciones!AB854=0,"",VLOOKUP(E854,Modificaciones!$B$7:$AB$2400,27,0))</f>
        <v>43844</v>
      </c>
      <c r="U854" s="1080" t="str">
        <f>+Modificaciones!AC854</f>
        <v/>
      </c>
      <c r="V854" s="825" t="str">
        <f>+Modificaciones!AK854</f>
        <v/>
      </c>
      <c r="W854" s="825">
        <f t="shared" si="166"/>
        <v>43844</v>
      </c>
      <c r="X854" s="59">
        <f t="shared" si="165"/>
        <v>13563033</v>
      </c>
      <c r="Y854" s="151">
        <f>VLOOKUP(E854,Modificaciones!$B$7:$BE$2300,56,0)</f>
        <v>13563033</v>
      </c>
      <c r="Z854" s="84">
        <f t="shared" si="162"/>
        <v>0</v>
      </c>
      <c r="AA854" s="1000" t="s">
        <v>5324</v>
      </c>
      <c r="AB854" s="823">
        <f t="shared" si="163"/>
        <v>1</v>
      </c>
      <c r="AC854" s="40">
        <f t="shared" ca="1" si="167"/>
        <v>1</v>
      </c>
      <c r="AD854" s="41">
        <f t="shared" ca="1" si="168"/>
        <v>0</v>
      </c>
      <c r="AE854" s="181" t="str">
        <f t="shared" ca="1" si="169"/>
        <v/>
      </c>
      <c r="AF854" s="42" t="str">
        <f t="shared" si="164"/>
        <v>SI</v>
      </c>
      <c r="AG854" s="732" t="s">
        <v>5773</v>
      </c>
      <c r="AH854" s="841" t="s">
        <v>1255</v>
      </c>
      <c r="AI854" s="870" t="s">
        <v>5393</v>
      </c>
      <c r="AJ854" s="838" t="s">
        <v>5394</v>
      </c>
      <c r="AK854" s="255" t="s">
        <v>559</v>
      </c>
      <c r="AL854" s="838"/>
      <c r="AM854" s="838" t="s">
        <v>4802</v>
      </c>
      <c r="AN854" s="161" t="str">
        <f t="shared" ca="1" si="170"/>
        <v>TERMINO</v>
      </c>
      <c r="AO854" s="284" t="s">
        <v>582</v>
      </c>
      <c r="AP854" s="406" t="s">
        <v>391</v>
      </c>
      <c r="AQ854" s="819" t="str">
        <f>IFERROR(VLOOKUP(E854,'liquidaciones '!$B$2:$C$1048576,2,0),"NO")</f>
        <v>LIQUIDADO</v>
      </c>
      <c r="AR854" s="909" t="str">
        <f>IFERROR(VLOOKUP(E854,'liquidaciones '!$B$2:$I$1048576,8,0),"")</f>
        <v>MARIA FERNANDA ROMERO</v>
      </c>
      <c r="AS854" s="406"/>
      <c r="AT854" s="156" t="str">
        <f t="shared" ca="1" si="171"/>
        <v>SI</v>
      </c>
      <c r="AU854" s="1023" t="s">
        <v>4805</v>
      </c>
      <c r="AV854" s="1001"/>
      <c r="AW854" s="930" t="s">
        <v>559</v>
      </c>
      <c r="AX854" s="930" t="s">
        <v>5423</v>
      </c>
      <c r="AY854" s="930" t="s">
        <v>5804</v>
      </c>
    </row>
    <row r="855" spans="3:51" ht="40.799999999999997" x14ac:dyDescent="0.3">
      <c r="C855" s="837">
        <v>45</v>
      </c>
      <c r="E855" s="120" t="s">
        <v>5403</v>
      </c>
      <c r="F855" s="414" t="s">
        <v>6029</v>
      </c>
      <c r="G855" s="863" t="s">
        <v>5401</v>
      </c>
      <c r="H855" s="969" t="s">
        <v>5027</v>
      </c>
      <c r="I855" s="84">
        <v>45500000</v>
      </c>
      <c r="J855" s="843" t="s">
        <v>6352</v>
      </c>
      <c r="K855" s="269">
        <v>2019</v>
      </c>
      <c r="L855" s="519">
        <v>43763</v>
      </c>
      <c r="M855" s="519">
        <v>43789</v>
      </c>
      <c r="N855" s="844">
        <v>43909</v>
      </c>
      <c r="O855" s="1099" t="str">
        <f>IF(+Modificaciones!I855=0,"",VLOOKUP(E855,Modificaciones!$B$7:$I$2400,8,0))</f>
        <v/>
      </c>
      <c r="P855" s="115">
        <f>COUNTA(Modificaciones!J855,Modificaciones!L855,Modificaciones!N855,Modificaciones!P855)</f>
        <v>0</v>
      </c>
      <c r="Q855" s="116">
        <f>VLOOKUP(E855,Modificaciones!$B$7:$R$2300,17,0)</f>
        <v>0</v>
      </c>
      <c r="R855" s="117">
        <f>COUNTA(Modificaciones!T855,Modificaciones!V855,Modificaciones!X855,Modificaciones!Z855)</f>
        <v>1</v>
      </c>
      <c r="S855" s="118" t="str">
        <f>IF(Modificaciones!AA855=0,"",VLOOKUP(E855,Modificaciones!$B$7:$AA$2400,26,0))</f>
        <v>3 meses y 11 días calendario</v>
      </c>
      <c r="T855" s="119">
        <f>IF(Modificaciones!AB855=0,"",VLOOKUP(E855,Modificaciones!$B$7:$AB$2400,27,0))</f>
        <v>44012</v>
      </c>
      <c r="U855" s="1080" t="str">
        <f>+Modificaciones!AC855</f>
        <v/>
      </c>
      <c r="V855" s="825" t="str">
        <f>+Modificaciones!AK855</f>
        <v/>
      </c>
      <c r="W855" s="825">
        <f t="shared" si="166"/>
        <v>44012</v>
      </c>
      <c r="X855" s="59">
        <f t="shared" si="165"/>
        <v>45500000</v>
      </c>
      <c r="Y855" s="151">
        <f>VLOOKUP(E855,Modificaciones!$B$7:$BE$2300,56,0)</f>
        <v>30250056</v>
      </c>
      <c r="Z855" s="84">
        <f t="shared" si="162"/>
        <v>15249944</v>
      </c>
      <c r="AA855" s="1000" t="s">
        <v>5324</v>
      </c>
      <c r="AB855" s="823">
        <f t="shared" si="163"/>
        <v>0.66483639560439556</v>
      </c>
      <c r="AC855" s="40">
        <f t="shared" ca="1" si="167"/>
        <v>1</v>
      </c>
      <c r="AD855" s="41">
        <f t="shared" ca="1" si="168"/>
        <v>0.33516360439560444</v>
      </c>
      <c r="AE855" s="181" t="str">
        <f t="shared" ca="1" si="169"/>
        <v/>
      </c>
      <c r="AF855" s="42" t="str">
        <f t="shared" si="164"/>
        <v>NO</v>
      </c>
      <c r="AG855" s="1037" t="s">
        <v>1711</v>
      </c>
      <c r="AH855" s="841" t="s">
        <v>1255</v>
      </c>
      <c r="AI855" s="841" t="s">
        <v>5402</v>
      </c>
      <c r="AJ855" s="152" t="s">
        <v>1434</v>
      </c>
      <c r="AK855" s="255" t="s">
        <v>560</v>
      </c>
      <c r="AL855" s="838" t="s">
        <v>4624</v>
      </c>
      <c r="AM855" s="838" t="s">
        <v>4851</v>
      </c>
      <c r="AN855" s="161" t="str">
        <f t="shared" ca="1" si="170"/>
        <v>TERMINO</v>
      </c>
      <c r="AO855" s="284" t="s">
        <v>574</v>
      </c>
      <c r="AP855" s="406" t="s">
        <v>390</v>
      </c>
      <c r="AQ855" s="819" t="str">
        <f>IFERROR(VLOOKUP(E855,'liquidaciones '!$B$2:$C$1048576,2,0),"NO")</f>
        <v>NO</v>
      </c>
      <c r="AR855" s="909" t="str">
        <f>IFERROR(VLOOKUP(E855,'liquidaciones '!$B$2:$I$1048576,8,0),"")</f>
        <v/>
      </c>
      <c r="AS855" s="406"/>
      <c r="AT855" s="156" t="str">
        <f t="shared" ca="1" si="171"/>
        <v>SI</v>
      </c>
      <c r="AU855" s="1023" t="s">
        <v>4299</v>
      </c>
      <c r="AV855" s="1001"/>
      <c r="AW855" s="930" t="s">
        <v>560</v>
      </c>
      <c r="AX855" s="930" t="s">
        <v>5776</v>
      </c>
      <c r="AY855" s="930" t="s">
        <v>6268</v>
      </c>
    </row>
    <row r="856" spans="3:51" ht="40.799999999999997" x14ac:dyDescent="0.3">
      <c r="C856" s="837">
        <v>505</v>
      </c>
      <c r="E856" s="120" t="s">
        <v>5404</v>
      </c>
      <c r="F856" s="414" t="s">
        <v>4622</v>
      </c>
      <c r="G856" s="863">
        <v>52911222</v>
      </c>
      <c r="H856" s="969" t="s">
        <v>2884</v>
      </c>
      <c r="I856" s="84">
        <v>9109500</v>
      </c>
      <c r="J856" s="843" t="s">
        <v>5404</v>
      </c>
      <c r="K856" s="269">
        <v>2019</v>
      </c>
      <c r="L856" s="519">
        <v>43782</v>
      </c>
      <c r="M856" s="844">
        <v>43789</v>
      </c>
      <c r="N856" s="844">
        <v>43814</v>
      </c>
      <c r="O856" s="1099" t="str">
        <f>IF(+Modificaciones!I856=0,"",VLOOKUP(E856,Modificaciones!$B$7:$I$2400,8,0))</f>
        <v/>
      </c>
      <c r="P856" s="115">
        <f>COUNTA(Modificaciones!J856,Modificaciones!L856,Modificaciones!N856,Modificaciones!P856)</f>
        <v>1</v>
      </c>
      <c r="Q856" s="116">
        <f>VLOOKUP(E856,Modificaciones!$B$7:$R$2300,17,0)</f>
        <v>4453533</v>
      </c>
      <c r="R856" s="117">
        <f>COUNTA(Modificaciones!T856,Modificaciones!V856,Modificaciones!X856,Modificaciones!Z856)</f>
        <v>1</v>
      </c>
      <c r="S856" s="118" t="str">
        <f>IF(Modificaciones!AA856=0,"",VLOOKUP(E856,Modificaciones!$B$7:$AA$2400,26,0))</f>
        <v>22 días calendario</v>
      </c>
      <c r="T856" s="119">
        <f>IF(Modificaciones!AB856=0,"",VLOOKUP(E856,Modificaciones!$B$7:$AB$2400,27,0))</f>
        <v>43856</v>
      </c>
      <c r="U856" s="1080" t="str">
        <f>+Modificaciones!AC856</f>
        <v/>
      </c>
      <c r="V856" s="825" t="str">
        <f>+Modificaciones!AK856</f>
        <v/>
      </c>
      <c r="W856" s="825">
        <f t="shared" si="166"/>
        <v>43856</v>
      </c>
      <c r="X856" s="59">
        <f t="shared" si="165"/>
        <v>13563033</v>
      </c>
      <c r="Y856" s="151">
        <f>VLOOKUP(E856,Modificaciones!$B$7:$BE$2300,56,0)</f>
        <v>13563033</v>
      </c>
      <c r="Z856" s="84">
        <f t="shared" si="162"/>
        <v>0</v>
      </c>
      <c r="AA856" s="1000" t="s">
        <v>1094</v>
      </c>
      <c r="AB856" s="823">
        <f t="shared" si="163"/>
        <v>1</v>
      </c>
      <c r="AC856" s="40">
        <f t="shared" ca="1" si="167"/>
        <v>1</v>
      </c>
      <c r="AD856" s="41">
        <f t="shared" ca="1" si="168"/>
        <v>0</v>
      </c>
      <c r="AE856" s="181" t="str">
        <f t="shared" ca="1" si="169"/>
        <v/>
      </c>
      <c r="AF856" s="42" t="str">
        <f t="shared" si="164"/>
        <v>SI</v>
      </c>
      <c r="AG856" s="732" t="s">
        <v>5773</v>
      </c>
      <c r="AH856" s="841" t="s">
        <v>1255</v>
      </c>
      <c r="AI856" s="870" t="s">
        <v>5405</v>
      </c>
      <c r="AJ856" s="838" t="s">
        <v>1429</v>
      </c>
      <c r="AK856" s="255" t="s">
        <v>564</v>
      </c>
      <c r="AL856" s="838"/>
      <c r="AM856" s="414" t="s">
        <v>4247</v>
      </c>
      <c r="AN856" s="161" t="str">
        <f t="shared" ca="1" si="170"/>
        <v>TERMINO</v>
      </c>
      <c r="AO856" s="284" t="s">
        <v>582</v>
      </c>
      <c r="AP856" s="406" t="s">
        <v>391</v>
      </c>
      <c r="AQ856" s="819" t="str">
        <f>IFERROR(VLOOKUP(E856,'liquidaciones '!$B$2:$C$1048576,2,0),"NO")</f>
        <v>LIQUIDADO</v>
      </c>
      <c r="AR856" s="909" t="str">
        <f>IFERROR(VLOOKUP(E856,'liquidaciones '!$B$2:$I$1048576,8,0),"")</f>
        <v>LAURA CATALINA GUTIERREZ</v>
      </c>
      <c r="AS856" s="406"/>
      <c r="AT856" s="156" t="str">
        <f t="shared" ca="1" si="171"/>
        <v>SI</v>
      </c>
      <c r="AU856" s="1070" t="s">
        <v>4805</v>
      </c>
      <c r="AV856" s="1001"/>
      <c r="AW856" s="930" t="s">
        <v>3920</v>
      </c>
      <c r="AX856" s="930" t="s">
        <v>5424</v>
      </c>
      <c r="AY856" s="275" t="s">
        <v>5805</v>
      </c>
    </row>
    <row r="857" spans="3:51" ht="40.799999999999997" x14ac:dyDescent="0.3">
      <c r="C857" s="837">
        <v>516</v>
      </c>
      <c r="E857" s="120" t="s">
        <v>5406</v>
      </c>
      <c r="F857" s="414" t="s">
        <v>5407</v>
      </c>
      <c r="G857" s="863">
        <v>51833636</v>
      </c>
      <c r="H857" s="969" t="s">
        <v>4626</v>
      </c>
      <c r="I857" s="84">
        <v>3672065</v>
      </c>
      <c r="J857" s="843" t="s">
        <v>5406</v>
      </c>
      <c r="K857" s="269">
        <v>2019</v>
      </c>
      <c r="L857" s="519">
        <v>43783</v>
      </c>
      <c r="M857" s="844">
        <v>43790</v>
      </c>
      <c r="N857" s="844">
        <v>43827</v>
      </c>
      <c r="O857" s="1099" t="str">
        <f>IF(+Modificaciones!I857=0,"",VLOOKUP(E857,Modificaciones!$B$7:$I$2400,8,0))</f>
        <v/>
      </c>
      <c r="P857" s="115">
        <f>COUNTA(Modificaciones!J857,Modificaciones!L857,Modificaciones!N857,Modificaciones!P857)</f>
        <v>0</v>
      </c>
      <c r="Q857" s="116">
        <f>VLOOKUP(E857,Modificaciones!$B$7:$R$2300,17,0)</f>
        <v>0</v>
      </c>
      <c r="R857" s="117">
        <f>COUNTA(Modificaciones!T857,Modificaciones!V857,Modificaciones!X857,Modificaciones!Z857)</f>
        <v>0</v>
      </c>
      <c r="S857" s="118" t="str">
        <f>IF(Modificaciones!AA857=0,"",VLOOKUP(E857,Modificaciones!$B$7:$AA$2400,26,0))</f>
        <v/>
      </c>
      <c r="T857" s="119" t="str">
        <f>IF(Modificaciones!AB857=0,"",VLOOKUP(E857,Modificaciones!$B$7:$AB$2400,27,0))</f>
        <v/>
      </c>
      <c r="U857" s="1080" t="str">
        <f>+Modificaciones!AC857</f>
        <v/>
      </c>
      <c r="V857" s="825" t="str">
        <f>+Modificaciones!AK857</f>
        <v/>
      </c>
      <c r="W857" s="825">
        <f t="shared" si="166"/>
        <v>43827</v>
      </c>
      <c r="X857" s="59">
        <f t="shared" si="165"/>
        <v>3672065</v>
      </c>
      <c r="Y857" s="151">
        <f>VLOOKUP(E857,Modificaciones!$B$7:$BE$2300,56,0)</f>
        <v>3672065</v>
      </c>
      <c r="Z857" s="84">
        <f t="shared" si="162"/>
        <v>0</v>
      </c>
      <c r="AA857" s="1000" t="s">
        <v>1094</v>
      </c>
      <c r="AB857" s="823">
        <f t="shared" si="163"/>
        <v>1</v>
      </c>
      <c r="AC857" s="40">
        <f t="shared" ca="1" si="167"/>
        <v>1</v>
      </c>
      <c r="AD857" s="41">
        <f t="shared" ca="1" si="168"/>
        <v>0</v>
      </c>
      <c r="AE857" s="181" t="str">
        <f t="shared" ca="1" si="169"/>
        <v/>
      </c>
      <c r="AF857" s="42" t="str">
        <f t="shared" si="164"/>
        <v>SI</v>
      </c>
      <c r="AG857" s="732" t="s">
        <v>5773</v>
      </c>
      <c r="AH857" s="152" t="s">
        <v>1255</v>
      </c>
      <c r="AI857" s="152" t="s">
        <v>4627</v>
      </c>
      <c r="AJ857" s="152" t="s">
        <v>1438</v>
      </c>
      <c r="AK857" s="255" t="s">
        <v>560</v>
      </c>
      <c r="AL857" s="414" t="s">
        <v>4850</v>
      </c>
      <c r="AM857" s="414" t="s">
        <v>4851</v>
      </c>
      <c r="AN857" s="161" t="str">
        <f t="shared" ca="1" si="170"/>
        <v>TERMINO</v>
      </c>
      <c r="AO857" s="284" t="s">
        <v>582</v>
      </c>
      <c r="AP857" s="406" t="s">
        <v>391</v>
      </c>
      <c r="AQ857" s="819" t="str">
        <f>IFERROR(VLOOKUP(E857,'liquidaciones '!$B$2:$C$1048576,2,0),"NO")</f>
        <v>EN TRÁMITE</v>
      </c>
      <c r="AR857" s="909" t="str">
        <f>IFERROR(VLOOKUP(E857,'liquidaciones '!$B$2:$I$1048576,8,0),"")</f>
        <v>MARIA FERNANDA ROMERO</v>
      </c>
      <c r="AS857" s="406"/>
      <c r="AT857" s="156" t="str">
        <f t="shared" ca="1" si="171"/>
        <v>SI</v>
      </c>
      <c r="AU857" s="1071" t="s">
        <v>4805</v>
      </c>
      <c r="AV857" s="1001"/>
      <c r="AW857" s="930" t="s">
        <v>560</v>
      </c>
      <c r="AX857" s="928"/>
      <c r="AY857" s="928"/>
    </row>
    <row r="858" spans="3:51" ht="30.6" x14ac:dyDescent="0.3">
      <c r="C858" s="837">
        <v>408</v>
      </c>
      <c r="E858" s="120" t="s">
        <v>5430</v>
      </c>
      <c r="F858" s="414" t="s">
        <v>5431</v>
      </c>
      <c r="G858" s="863">
        <v>1030559110</v>
      </c>
      <c r="H858" s="969" t="s">
        <v>5173</v>
      </c>
      <c r="I858" s="84">
        <v>3003000</v>
      </c>
      <c r="J858" s="843" t="s">
        <v>5430</v>
      </c>
      <c r="K858" s="269">
        <v>2019</v>
      </c>
      <c r="L858" s="519">
        <v>43790</v>
      </c>
      <c r="M858" s="844">
        <v>43803</v>
      </c>
      <c r="N858" s="844">
        <v>43830</v>
      </c>
      <c r="O858" s="1099">
        <f>IF(+Modificaciones!I858=0,"",VLOOKUP(E858,Modificaciones!$B$7:$I$2400,8,0))</f>
        <v>43848</v>
      </c>
      <c r="P858" s="115">
        <f>COUNTA(Modificaciones!J858,Modificaciones!L858,Modificaciones!N858,Modificaciones!P858)</f>
        <v>0</v>
      </c>
      <c r="Q858" s="116">
        <f>VLOOKUP(E858,Modificaciones!$B$7:$R$2300,17,0)</f>
        <v>0</v>
      </c>
      <c r="R858" s="117">
        <f>COUNTA(Modificaciones!T858,Modificaciones!V858,Modificaciones!X858,Modificaciones!Z858)</f>
        <v>0</v>
      </c>
      <c r="S858" s="118" t="str">
        <f>IF(Modificaciones!AA858=0,"",VLOOKUP(E858,Modificaciones!$B$7:$AA$2400,26,0))</f>
        <v/>
      </c>
      <c r="T858" s="119" t="str">
        <f>IF(Modificaciones!AB858=0,"",VLOOKUP(E858,Modificaciones!$B$7:$AB$2400,27,0))</f>
        <v/>
      </c>
      <c r="U858" s="1080" t="str">
        <f>+Modificaciones!AC858</f>
        <v/>
      </c>
      <c r="V858" s="825" t="str">
        <f>+Modificaciones!AK858</f>
        <v/>
      </c>
      <c r="W858" s="825">
        <f t="shared" si="166"/>
        <v>43848</v>
      </c>
      <c r="X858" s="59">
        <f t="shared" si="165"/>
        <v>3003000</v>
      </c>
      <c r="Y858" s="151">
        <f>VLOOKUP(E858,Modificaciones!$B$7:$BE$2300,56,0)</f>
        <v>3003000</v>
      </c>
      <c r="Z858" s="84">
        <f t="shared" si="162"/>
        <v>0</v>
      </c>
      <c r="AA858" s="1000" t="s">
        <v>1094</v>
      </c>
      <c r="AB858" s="823">
        <f t="shared" si="163"/>
        <v>1</v>
      </c>
      <c r="AC858" s="40">
        <f t="shared" ca="1" si="167"/>
        <v>1</v>
      </c>
      <c r="AD858" s="41">
        <f t="shared" ca="1" si="168"/>
        <v>0</v>
      </c>
      <c r="AE858" s="181" t="str">
        <f t="shared" ca="1" si="169"/>
        <v/>
      </c>
      <c r="AF858" s="42" t="str">
        <f t="shared" si="164"/>
        <v>SI</v>
      </c>
      <c r="AG858" s="732" t="s">
        <v>5773</v>
      </c>
      <c r="AH858" s="152" t="s">
        <v>1255</v>
      </c>
      <c r="AI858" s="870" t="s">
        <v>5174</v>
      </c>
      <c r="AJ858" s="838"/>
      <c r="AK858" s="255" t="s">
        <v>560</v>
      </c>
      <c r="AL858" s="838"/>
      <c r="AM858" s="414" t="s">
        <v>4851</v>
      </c>
      <c r="AN858" s="161" t="str">
        <f t="shared" ca="1" si="170"/>
        <v>TERMINO</v>
      </c>
      <c r="AO858" s="284" t="s">
        <v>582</v>
      </c>
      <c r="AP858" s="406" t="s">
        <v>391</v>
      </c>
      <c r="AQ858" s="819" t="str">
        <f>IFERROR(VLOOKUP(E858,'liquidaciones '!$B$2:$C$1048576,2,0),"NO")</f>
        <v>NO</v>
      </c>
      <c r="AR858" s="909" t="str">
        <f>IFERROR(VLOOKUP(E858,'liquidaciones '!$B$2:$I$1048576,8,0),"")</f>
        <v/>
      </c>
      <c r="AS858" s="406"/>
      <c r="AT858" s="156" t="str">
        <f t="shared" ca="1" si="171"/>
        <v>SI</v>
      </c>
      <c r="AU858" s="1072" t="s">
        <v>4805</v>
      </c>
      <c r="AV858" s="1001"/>
      <c r="AW858" s="930" t="s">
        <v>560</v>
      </c>
      <c r="AX858" s="930" t="s">
        <v>5522</v>
      </c>
      <c r="AY858" s="928"/>
    </row>
    <row r="859" spans="3:51" ht="28.8" x14ac:dyDescent="0.3">
      <c r="C859" s="837">
        <v>321</v>
      </c>
      <c r="E859" s="120" t="s">
        <v>5446</v>
      </c>
      <c r="F859" s="414" t="s">
        <v>5447</v>
      </c>
      <c r="G859" s="863">
        <v>830034195</v>
      </c>
      <c r="H859" s="969" t="s">
        <v>5448</v>
      </c>
      <c r="I859" s="84">
        <v>19449100</v>
      </c>
      <c r="J859" s="843" t="s">
        <v>5449</v>
      </c>
      <c r="K859" s="269">
        <v>2019</v>
      </c>
      <c r="L859" s="519">
        <v>43796</v>
      </c>
      <c r="M859" s="844">
        <v>43812</v>
      </c>
      <c r="N859" s="844">
        <v>43842</v>
      </c>
      <c r="O859" s="1099" t="str">
        <f>IF(+Modificaciones!I859=0,"",VLOOKUP(E859,Modificaciones!$B$7:$I$2400,8,0))</f>
        <v/>
      </c>
      <c r="P859" s="115">
        <f>COUNTA(Modificaciones!J859,Modificaciones!L859,Modificaciones!N859,Modificaciones!P859)</f>
        <v>0</v>
      </c>
      <c r="Q859" s="116">
        <f>VLOOKUP(E859,Modificaciones!$B$7:$R$2300,17,0)</f>
        <v>0</v>
      </c>
      <c r="R859" s="117">
        <f>COUNTA(Modificaciones!T859,Modificaciones!V859,Modificaciones!X859,Modificaciones!Z859)</f>
        <v>0</v>
      </c>
      <c r="S859" s="118" t="str">
        <f>IF(Modificaciones!AA859=0,"",VLOOKUP(E859,Modificaciones!$B$7:$AA$2400,26,0))</f>
        <v/>
      </c>
      <c r="T859" s="119" t="str">
        <f>IF(Modificaciones!AB859=0,"",VLOOKUP(E859,Modificaciones!$B$7:$AB$2400,27,0))</f>
        <v/>
      </c>
      <c r="U859" s="1080" t="str">
        <f>+Modificaciones!AC859</f>
        <v/>
      </c>
      <c r="V859" s="825" t="str">
        <f>+Modificaciones!AK859</f>
        <v/>
      </c>
      <c r="W859" s="825">
        <f t="shared" si="166"/>
        <v>43842</v>
      </c>
      <c r="X859" s="59">
        <f t="shared" si="165"/>
        <v>19449100</v>
      </c>
      <c r="Y859" s="151">
        <f>VLOOKUP(E859,Modificaciones!$B$7:$BE$2300,56,0)</f>
        <v>19449100</v>
      </c>
      <c r="Z859" s="84">
        <f t="shared" si="162"/>
        <v>0</v>
      </c>
      <c r="AA859" s="1000" t="s">
        <v>5450</v>
      </c>
      <c r="AB859" s="823">
        <f t="shared" si="163"/>
        <v>1</v>
      </c>
      <c r="AC859" s="40">
        <f t="shared" ca="1" si="167"/>
        <v>1</v>
      </c>
      <c r="AD859" s="41">
        <f t="shared" ca="1" si="168"/>
        <v>0</v>
      </c>
      <c r="AE859" s="181" t="str">
        <f t="shared" ca="1" si="169"/>
        <v/>
      </c>
      <c r="AF859" s="42" t="str">
        <f t="shared" si="164"/>
        <v>SI</v>
      </c>
      <c r="AG859" s="1037" t="s">
        <v>1711</v>
      </c>
      <c r="AH859" s="841" t="s">
        <v>1256</v>
      </c>
      <c r="AI859" s="841" t="s">
        <v>5451</v>
      </c>
      <c r="AJ859" s="152" t="s">
        <v>1438</v>
      </c>
      <c r="AK859" s="255" t="s">
        <v>560</v>
      </c>
      <c r="AL859" s="414" t="s">
        <v>4850</v>
      </c>
      <c r="AM859" s="838" t="s">
        <v>4851</v>
      </c>
      <c r="AN859" s="161" t="str">
        <f t="shared" ca="1" si="170"/>
        <v>TERMINO</v>
      </c>
      <c r="AO859" s="414" t="s">
        <v>5452</v>
      </c>
      <c r="AP859" s="406" t="s">
        <v>391</v>
      </c>
      <c r="AQ859" s="819" t="str">
        <f>IFERROR(VLOOKUP(E859,'liquidaciones '!$B$2:$C$1048576,2,0),"NO")</f>
        <v>LIQUIDADO</v>
      </c>
      <c r="AR859" s="909" t="str">
        <f>IFERROR(VLOOKUP(E859,'liquidaciones '!$B$2:$I$1048576,8,0),"")</f>
        <v>LAURA CATALINA GUTIERREZ</v>
      </c>
      <c r="AS859" s="406"/>
      <c r="AT859" s="156" t="str">
        <f t="shared" ca="1" si="171"/>
        <v>SI</v>
      </c>
      <c r="AU859" s="1023" t="s">
        <v>3817</v>
      </c>
      <c r="AV859" s="1001"/>
      <c r="AW859" s="930" t="s">
        <v>560</v>
      </c>
      <c r="AX859" s="928"/>
      <c r="AY859" s="928"/>
    </row>
    <row r="860" spans="3:51" ht="20.399999999999999" x14ac:dyDescent="0.3">
      <c r="C860" s="837">
        <v>34</v>
      </c>
      <c r="E860" s="120" t="s">
        <v>5453</v>
      </c>
      <c r="F860" s="414" t="s">
        <v>1856</v>
      </c>
      <c r="G860" s="863">
        <v>860025639</v>
      </c>
      <c r="H860" s="969" t="s">
        <v>3049</v>
      </c>
      <c r="I860" s="84">
        <v>26227904</v>
      </c>
      <c r="J860" s="843" t="s">
        <v>5453</v>
      </c>
      <c r="K860" s="269">
        <v>2019</v>
      </c>
      <c r="L860" s="519">
        <v>43756</v>
      </c>
      <c r="M860" s="844">
        <v>43808</v>
      </c>
      <c r="N860" s="844">
        <v>44173</v>
      </c>
      <c r="O860" s="1099" t="str">
        <f>IF(+Modificaciones!I860=0,"",VLOOKUP(E860,Modificaciones!$B$7:$I$2400,8,0))</f>
        <v/>
      </c>
      <c r="P860" s="115">
        <f>COUNTA(Modificaciones!J860,Modificaciones!L860,Modificaciones!N860,Modificaciones!P860)</f>
        <v>0</v>
      </c>
      <c r="Q860" s="116">
        <f>VLOOKUP(E860,Modificaciones!$B$7:$R$2300,17,0)</f>
        <v>0</v>
      </c>
      <c r="R860" s="117">
        <f>COUNTA(Modificaciones!T860,Modificaciones!V860,Modificaciones!X860,Modificaciones!Z860)</f>
        <v>0</v>
      </c>
      <c r="S860" s="118" t="str">
        <f>IF(Modificaciones!AA860=0,"",VLOOKUP(E860,Modificaciones!$B$7:$AA$2400,26,0))</f>
        <v/>
      </c>
      <c r="T860" s="119" t="str">
        <f>IF(Modificaciones!AB860=0,"",VLOOKUP(E860,Modificaciones!$B$7:$AB$2400,27,0))</f>
        <v/>
      </c>
      <c r="U860" s="1080" t="str">
        <f>+Modificaciones!AC860</f>
        <v/>
      </c>
      <c r="V860" s="825" t="str">
        <f>+Modificaciones!AK860</f>
        <v/>
      </c>
      <c r="W860" s="825">
        <f t="shared" si="166"/>
        <v>44173</v>
      </c>
      <c r="X860" s="59">
        <f t="shared" si="165"/>
        <v>26227904</v>
      </c>
      <c r="Y860" s="151">
        <f>VLOOKUP(E860,Modificaciones!$B$7:$BE$2300,56,0)</f>
        <v>17166320</v>
      </c>
      <c r="Z860" s="84">
        <f t="shared" si="162"/>
        <v>9061584</v>
      </c>
      <c r="AA860" s="1000" t="s">
        <v>5324</v>
      </c>
      <c r="AB860" s="823">
        <f t="shared" si="163"/>
        <v>0.65450597958571144</v>
      </c>
      <c r="AC860" s="40">
        <f t="shared" ca="1" si="167"/>
        <v>1</v>
      </c>
      <c r="AD860" s="41">
        <f t="shared" ca="1" si="168"/>
        <v>0.34549402041428856</v>
      </c>
      <c r="AE860" s="181" t="str">
        <f t="shared" ca="1" si="169"/>
        <v/>
      </c>
      <c r="AF860" s="42" t="str">
        <f t="shared" si="164"/>
        <v>NO</v>
      </c>
      <c r="AG860" s="1017" t="s">
        <v>4920</v>
      </c>
      <c r="AH860" s="841" t="s">
        <v>1255</v>
      </c>
      <c r="AI860" s="841" t="s">
        <v>5454</v>
      </c>
      <c r="AJ860" s="838" t="s">
        <v>5379</v>
      </c>
      <c r="AK860" s="255" t="s">
        <v>560</v>
      </c>
      <c r="AL860" s="838"/>
      <c r="AM860" s="838" t="s">
        <v>4851</v>
      </c>
      <c r="AN860" s="161" t="str">
        <f t="shared" ca="1" si="170"/>
        <v>TERMINO</v>
      </c>
      <c r="AO860" s="284" t="s">
        <v>582</v>
      </c>
      <c r="AP860" s="406" t="s">
        <v>390</v>
      </c>
      <c r="AQ860" s="819" t="str">
        <f>IFERROR(VLOOKUP(E860,'liquidaciones '!$B$2:$C$1048576,2,0),"NO")</f>
        <v>NO</v>
      </c>
      <c r="AR860" s="909" t="str">
        <f>IFERROR(VLOOKUP(E860,'liquidaciones '!$B$2:$I$1048576,8,0),"")</f>
        <v/>
      </c>
      <c r="AS860" s="406"/>
      <c r="AT860" s="156" t="str">
        <f t="shared" ca="1" si="171"/>
        <v>SI</v>
      </c>
      <c r="AU860" s="1023" t="s">
        <v>4245</v>
      </c>
      <c r="AV860" s="1001"/>
      <c r="AW860" s="930" t="s">
        <v>560</v>
      </c>
      <c r="AX860" s="928"/>
      <c r="AY860" s="928"/>
    </row>
    <row r="861" spans="3:51" ht="81.599999999999994" x14ac:dyDescent="0.3">
      <c r="C861" s="837">
        <v>523</v>
      </c>
      <c r="E861" s="120" t="s">
        <v>5470</v>
      </c>
      <c r="F861" s="414" t="s">
        <v>5471</v>
      </c>
      <c r="G861" s="863">
        <v>900699012</v>
      </c>
      <c r="H861" s="969" t="s">
        <v>5472</v>
      </c>
      <c r="I861" s="84">
        <v>22990000</v>
      </c>
      <c r="J861" s="843" t="s">
        <v>5473</v>
      </c>
      <c r="K861" s="269">
        <v>2019</v>
      </c>
      <c r="L861" s="519">
        <v>43798</v>
      </c>
      <c r="M861" s="844">
        <v>43810</v>
      </c>
      <c r="N861" s="844">
        <v>43871</v>
      </c>
      <c r="O861" s="1099" t="str">
        <f>IF(+Modificaciones!I861=0,"",VLOOKUP(E861,Modificaciones!$B$7:$I$2400,8,0))</f>
        <v/>
      </c>
      <c r="P861" s="115">
        <f>COUNTA(Modificaciones!J861,Modificaciones!L861,Modificaciones!N861,Modificaciones!P861)</f>
        <v>0</v>
      </c>
      <c r="Q861" s="116">
        <f>VLOOKUP(E861,Modificaciones!$B$7:$R$2300,17,0)</f>
        <v>0</v>
      </c>
      <c r="R861" s="117">
        <f>COUNTA(Modificaciones!T861,Modificaciones!V861,Modificaciones!X861,Modificaciones!Z861)</f>
        <v>0</v>
      </c>
      <c r="S861" s="118" t="str">
        <f>IF(Modificaciones!AA861=0,"",VLOOKUP(E861,Modificaciones!$B$7:$AA$2400,26,0))</f>
        <v/>
      </c>
      <c r="T861" s="119" t="str">
        <f>IF(Modificaciones!AB861=0,"",VLOOKUP(E861,Modificaciones!$B$7:$AB$2400,27,0))</f>
        <v/>
      </c>
      <c r="U861" s="1080" t="str">
        <f>+Modificaciones!AC861</f>
        <v/>
      </c>
      <c r="V861" s="825" t="str">
        <f>+Modificaciones!AK861</f>
        <v/>
      </c>
      <c r="W861" s="825">
        <f t="shared" si="166"/>
        <v>43871</v>
      </c>
      <c r="X861" s="59">
        <f t="shared" si="165"/>
        <v>22990000</v>
      </c>
      <c r="Y861" s="151">
        <f>VLOOKUP(E861,Modificaciones!$B$7:$BE$2300,56,0)</f>
        <v>22990000</v>
      </c>
      <c r="Z861" s="84">
        <f t="shared" ref="Z861:Z899" si="172">X861-Y861</f>
        <v>0</v>
      </c>
      <c r="AA861" s="1000" t="s">
        <v>5479</v>
      </c>
      <c r="AB861" s="823">
        <f t="shared" ref="AB861:AB899" si="173">(Y861*100%)/X861</f>
        <v>1</v>
      </c>
      <c r="AC861" s="40">
        <f t="shared" ca="1" si="167"/>
        <v>1</v>
      </c>
      <c r="AD861" s="41">
        <f t="shared" ca="1" si="168"/>
        <v>0</v>
      </c>
      <c r="AE861" s="181" t="str">
        <f t="shared" ca="1" si="169"/>
        <v/>
      </c>
      <c r="AF861" s="42" t="str">
        <f t="shared" ref="AF861:AF899" si="174">IF(AB861&lt;=99.9%,"NO","SI")</f>
        <v>SI</v>
      </c>
      <c r="AG861" s="1017" t="s">
        <v>4920</v>
      </c>
      <c r="AH861" s="841" t="s">
        <v>1255</v>
      </c>
      <c r="AI861" s="841" t="s">
        <v>5474</v>
      </c>
      <c r="AJ861" s="838" t="s">
        <v>5379</v>
      </c>
      <c r="AK861" s="255" t="s">
        <v>560</v>
      </c>
      <c r="AL861" s="838"/>
      <c r="AM861" s="838" t="s">
        <v>4851</v>
      </c>
      <c r="AN861" s="161" t="str">
        <f t="shared" ca="1" si="170"/>
        <v>TERMINO</v>
      </c>
      <c r="AO861" s="414" t="s">
        <v>5452</v>
      </c>
      <c r="AP861" s="406" t="s">
        <v>390</v>
      </c>
      <c r="AQ861" s="819" t="str">
        <f>IFERROR(VLOOKUP(E861,'liquidaciones '!$B$2:$C$1048576,2,0),"NO")</f>
        <v>NO</v>
      </c>
      <c r="AR861" s="909" t="str">
        <f>IFERROR(VLOOKUP(E861,'liquidaciones '!$B$2:$I$1048576,8,0),"")</f>
        <v/>
      </c>
      <c r="AS861" s="406"/>
      <c r="AT861" s="156" t="str">
        <f t="shared" ca="1" si="171"/>
        <v>SI</v>
      </c>
      <c r="AU861" s="1023" t="s">
        <v>4299</v>
      </c>
      <c r="AV861" s="1001"/>
      <c r="AW861" s="930" t="s">
        <v>560</v>
      </c>
      <c r="AX861" s="928"/>
      <c r="AY861" s="870" t="s">
        <v>6456</v>
      </c>
    </row>
    <row r="862" spans="3:51" ht="51" x14ac:dyDescent="0.3">
      <c r="C862" s="837">
        <v>53</v>
      </c>
      <c r="E862" s="120" t="s">
        <v>5509</v>
      </c>
      <c r="F862" s="414" t="s">
        <v>5510</v>
      </c>
      <c r="G862" s="863">
        <v>901100688</v>
      </c>
      <c r="H862" s="969" t="s">
        <v>5511</v>
      </c>
      <c r="I862" s="84">
        <v>9868500</v>
      </c>
      <c r="J862" s="843" t="s">
        <v>5512</v>
      </c>
      <c r="K862" s="269">
        <v>2019</v>
      </c>
      <c r="L862" s="519">
        <v>43796</v>
      </c>
      <c r="M862" s="844">
        <v>43812</v>
      </c>
      <c r="N862" s="844">
        <v>43933</v>
      </c>
      <c r="O862" s="1099" t="str">
        <f>IF(+Modificaciones!I862=0,"",VLOOKUP(E862,Modificaciones!$B$7:$I$2400,8,0))</f>
        <v/>
      </c>
      <c r="P862" s="115">
        <f>COUNTA(Modificaciones!J862,Modificaciones!L862,Modificaciones!N862,Modificaciones!P862)</f>
        <v>0</v>
      </c>
      <c r="Q862" s="116">
        <f>VLOOKUP(E862,Modificaciones!$B$7:$R$2300,17,0)</f>
        <v>0</v>
      </c>
      <c r="R862" s="117">
        <f>COUNTA(Modificaciones!T862,Modificaciones!V862,Modificaciones!X862,Modificaciones!Z862)</f>
        <v>0</v>
      </c>
      <c r="S862" s="118" t="str">
        <f>IF(Modificaciones!AA862=0,"",VLOOKUP(E862,Modificaciones!$B$7:$AA$2400,26,0))</f>
        <v/>
      </c>
      <c r="T862" s="119" t="str">
        <f>IF(Modificaciones!AB862=0,"",VLOOKUP(E862,Modificaciones!$B$7:$AB$2400,27,0))</f>
        <v/>
      </c>
      <c r="U862" s="1080" t="str">
        <f>+Modificaciones!AC862</f>
        <v/>
      </c>
      <c r="V862" s="825" t="str">
        <f>+Modificaciones!AK862</f>
        <v/>
      </c>
      <c r="W862" s="825">
        <f t="shared" si="166"/>
        <v>43933</v>
      </c>
      <c r="X862" s="59">
        <f t="shared" si="165"/>
        <v>9868500</v>
      </c>
      <c r="Y862" s="151">
        <f>VLOOKUP(E862,Modificaciones!$B$7:$BE$2300,56,0)</f>
        <v>7489736</v>
      </c>
      <c r="Z862" s="84">
        <f t="shared" si="172"/>
        <v>2378764</v>
      </c>
      <c r="AA862" s="1000" t="s">
        <v>5513</v>
      </c>
      <c r="AB862" s="823">
        <f t="shared" si="173"/>
        <v>0.75895384303592239</v>
      </c>
      <c r="AC862" s="40">
        <f t="shared" ca="1" si="167"/>
        <v>1</v>
      </c>
      <c r="AD862" s="41">
        <f t="shared" ca="1" si="168"/>
        <v>0.24104615696407761</v>
      </c>
      <c r="AE862" s="181" t="str">
        <f t="shared" ca="1" si="169"/>
        <v/>
      </c>
      <c r="AF862" s="42" t="str">
        <f t="shared" si="174"/>
        <v>NO</v>
      </c>
      <c r="AG862" s="1017" t="s">
        <v>4920</v>
      </c>
      <c r="AH862" s="841" t="s">
        <v>1255</v>
      </c>
      <c r="AI862" s="841" t="s">
        <v>5514</v>
      </c>
      <c r="AJ862" s="838" t="s">
        <v>5379</v>
      </c>
      <c r="AK862" s="255" t="s">
        <v>560</v>
      </c>
      <c r="AL862" s="838"/>
      <c r="AM862" s="838" t="s">
        <v>4851</v>
      </c>
      <c r="AN862" s="161" t="str">
        <f t="shared" ca="1" si="170"/>
        <v>TERMINO</v>
      </c>
      <c r="AO862" s="414" t="s">
        <v>5452</v>
      </c>
      <c r="AP862" s="406" t="s">
        <v>390</v>
      </c>
      <c r="AQ862" s="819" t="str">
        <f>IFERROR(VLOOKUP(E862,'liquidaciones '!$B$2:$C$1048576,2,0),"NO")</f>
        <v>NO</v>
      </c>
      <c r="AR862" s="909" t="str">
        <f>IFERROR(VLOOKUP(E862,'liquidaciones '!$B$2:$I$1048576,8,0),"")</f>
        <v/>
      </c>
      <c r="AS862" s="406"/>
      <c r="AT862" s="156" t="str">
        <f t="shared" ca="1" si="171"/>
        <v>SI</v>
      </c>
      <c r="AU862" s="156" t="s">
        <v>5047</v>
      </c>
      <c r="AV862" s="1001"/>
      <c r="AW862" s="930" t="s">
        <v>560</v>
      </c>
      <c r="AX862" s="928"/>
      <c r="AY862" s="870" t="s">
        <v>6455</v>
      </c>
    </row>
    <row r="863" spans="3:51" ht="28.8" x14ac:dyDescent="0.3">
      <c r="C863" s="837">
        <v>55</v>
      </c>
      <c r="E863" s="120" t="s">
        <v>5516</v>
      </c>
      <c r="F863" s="414" t="s">
        <v>5517</v>
      </c>
      <c r="G863" s="863">
        <v>805006014</v>
      </c>
      <c r="H863" s="969" t="s">
        <v>4421</v>
      </c>
      <c r="I863" s="84">
        <v>2342856</v>
      </c>
      <c r="J863" s="843" t="s">
        <v>5518</v>
      </c>
      <c r="K863" s="269">
        <v>2019</v>
      </c>
      <c r="L863" s="519">
        <v>43787</v>
      </c>
      <c r="M863" s="844">
        <v>43812</v>
      </c>
      <c r="N863" s="844">
        <v>44177</v>
      </c>
      <c r="O863" s="1099" t="str">
        <f>IF(+Modificaciones!I863=0,"",VLOOKUP(E863,Modificaciones!$B$7:$I$2400,8,0))</f>
        <v/>
      </c>
      <c r="P863" s="115">
        <f>COUNTA(Modificaciones!J863,Modificaciones!L863,Modificaciones!N863,Modificaciones!P863)</f>
        <v>0</v>
      </c>
      <c r="Q863" s="116">
        <f>VLOOKUP(E863,Modificaciones!$B$7:$R$2300,17,0)</f>
        <v>0</v>
      </c>
      <c r="R863" s="117">
        <f>COUNTA(Modificaciones!T863,Modificaciones!V863,Modificaciones!X863,Modificaciones!Z863)</f>
        <v>0</v>
      </c>
      <c r="S863" s="118" t="str">
        <f>IF(Modificaciones!AA863=0,"",VLOOKUP(E863,Modificaciones!$B$7:$AA$2400,26,0))</f>
        <v/>
      </c>
      <c r="T863" s="119" t="str">
        <f>IF(Modificaciones!AB863=0,"",VLOOKUP(E863,Modificaciones!$B$7:$AB$2400,27,0))</f>
        <v/>
      </c>
      <c r="U863" s="1080" t="str">
        <f>+Modificaciones!AC863</f>
        <v/>
      </c>
      <c r="V863" s="825" t="str">
        <f>+Modificaciones!AK863</f>
        <v/>
      </c>
      <c r="W863" s="825">
        <f t="shared" si="166"/>
        <v>44177</v>
      </c>
      <c r="X863" s="59">
        <f t="shared" si="165"/>
        <v>2342856</v>
      </c>
      <c r="Y863" s="151">
        <f>VLOOKUP(E863,Modificaciones!$B$7:$BE$2300,56,0)</f>
        <v>2264213</v>
      </c>
      <c r="Z863" s="84">
        <f t="shared" si="172"/>
        <v>78643</v>
      </c>
      <c r="AA863" s="1000" t="s">
        <v>5519</v>
      </c>
      <c r="AB863" s="823">
        <f t="shared" si="173"/>
        <v>0.96643284947943875</v>
      </c>
      <c r="AC863" s="40">
        <f t="shared" ca="1" si="167"/>
        <v>1</v>
      </c>
      <c r="AD863" s="41">
        <f t="shared" ca="1" si="168"/>
        <v>3.3567150520561251E-2</v>
      </c>
      <c r="AE863" s="181" t="str">
        <f t="shared" ca="1" si="169"/>
        <v/>
      </c>
      <c r="AF863" s="42" t="str">
        <f t="shared" si="174"/>
        <v>NO</v>
      </c>
      <c r="AG863" s="1017" t="s">
        <v>4920</v>
      </c>
      <c r="AH863" s="841" t="s">
        <v>1255</v>
      </c>
      <c r="AI863" s="841" t="s">
        <v>5520</v>
      </c>
      <c r="AJ863" s="838" t="s">
        <v>5379</v>
      </c>
      <c r="AK863" s="255" t="s">
        <v>560</v>
      </c>
      <c r="AL863" s="838"/>
      <c r="AM863" s="838" t="s">
        <v>4851</v>
      </c>
      <c r="AN863" s="161" t="str">
        <f t="shared" ca="1" si="170"/>
        <v>TERMINO</v>
      </c>
      <c r="AO863" s="414" t="s">
        <v>5452</v>
      </c>
      <c r="AP863" s="406" t="s">
        <v>390</v>
      </c>
      <c r="AQ863" s="819" t="str">
        <f>IFERROR(VLOOKUP(E863,'liquidaciones '!$B$2:$C$1048576,2,0),"NO")</f>
        <v>NO</v>
      </c>
      <c r="AR863" s="909" t="str">
        <f>IFERROR(VLOOKUP(E863,'liquidaciones '!$B$2:$I$1048576,8,0),"")</f>
        <v/>
      </c>
      <c r="AS863" s="406"/>
      <c r="AT863" s="156" t="str">
        <f t="shared" ca="1" si="171"/>
        <v>SI</v>
      </c>
      <c r="AU863" s="1085" t="s">
        <v>5852</v>
      </c>
      <c r="AV863" s="406" t="s">
        <v>4852</v>
      </c>
      <c r="AW863" s="290" t="s">
        <v>560</v>
      </c>
      <c r="AX863" s="928"/>
      <c r="AY863" s="290" t="s">
        <v>6513</v>
      </c>
    </row>
    <row r="864" spans="3:51" ht="71.400000000000006" x14ac:dyDescent="0.3">
      <c r="C864" s="837">
        <v>471</v>
      </c>
      <c r="E864" s="120" t="s">
        <v>5525</v>
      </c>
      <c r="F864" s="414" t="s">
        <v>4075</v>
      </c>
      <c r="G864" s="863">
        <v>900220002</v>
      </c>
      <c r="H864" s="969" t="s">
        <v>4076</v>
      </c>
      <c r="I864" s="84">
        <v>56789574</v>
      </c>
      <c r="J864" s="843" t="s">
        <v>5528</v>
      </c>
      <c r="K864" s="269">
        <v>2019</v>
      </c>
      <c r="L864" s="519">
        <v>43804</v>
      </c>
      <c r="M864" s="844">
        <v>43818</v>
      </c>
      <c r="N864" s="844">
        <v>44183</v>
      </c>
      <c r="O864" s="1099" t="str">
        <f>IF(+Modificaciones!I864=0,"",VLOOKUP(E864,Modificaciones!$B$7:$I$2400,8,0))</f>
        <v/>
      </c>
      <c r="P864" s="115">
        <f>COUNTA(Modificaciones!J864,Modificaciones!L864,Modificaciones!N864,Modificaciones!P864)</f>
        <v>0</v>
      </c>
      <c r="Q864" s="116">
        <f>VLOOKUP(E864,Modificaciones!$B$7:$R$2300,17,0)</f>
        <v>0</v>
      </c>
      <c r="R864" s="117">
        <f>COUNTA(Modificaciones!T864,Modificaciones!V864,Modificaciones!X864,Modificaciones!Z864)</f>
        <v>0</v>
      </c>
      <c r="S864" s="118" t="str">
        <f>IF(Modificaciones!AA864=0,"",VLOOKUP(E864,Modificaciones!$B$7:$AA$2400,26,0))</f>
        <v/>
      </c>
      <c r="T864" s="119" t="str">
        <f>IF(Modificaciones!AB864=0,"",VLOOKUP(E864,Modificaciones!$B$7:$AB$2400,27,0))</f>
        <v/>
      </c>
      <c r="U864" s="1080" t="str">
        <f>+Modificaciones!AC864</f>
        <v/>
      </c>
      <c r="V864" s="825" t="str">
        <f>+Modificaciones!AK864</f>
        <v/>
      </c>
      <c r="W864" s="825">
        <f t="shared" si="166"/>
        <v>44183</v>
      </c>
      <c r="X864" s="59">
        <f t="shared" si="165"/>
        <v>56789574</v>
      </c>
      <c r="Y864" s="151">
        <f>VLOOKUP(E864,Modificaciones!$B$7:$BE$2300,56,0)</f>
        <v>50344026</v>
      </c>
      <c r="Z864" s="84">
        <f t="shared" si="172"/>
        <v>6445548</v>
      </c>
      <c r="AA864" s="1000" t="s">
        <v>5526</v>
      </c>
      <c r="AB864" s="823">
        <f t="shared" si="173"/>
        <v>0.88650120883104355</v>
      </c>
      <c r="AC864" s="40">
        <f t="shared" ca="1" si="167"/>
        <v>1</v>
      </c>
      <c r="AD864" s="41">
        <f t="shared" ca="1" si="168"/>
        <v>0.11349879116895645</v>
      </c>
      <c r="AE864" s="181" t="str">
        <f t="shared" ca="1" si="169"/>
        <v/>
      </c>
      <c r="AF864" s="42" t="str">
        <f t="shared" si="174"/>
        <v>NO</v>
      </c>
      <c r="AG864" s="1017" t="s">
        <v>4920</v>
      </c>
      <c r="AH864" s="841" t="s">
        <v>1256</v>
      </c>
      <c r="AI864" s="841" t="s">
        <v>5527</v>
      </c>
      <c r="AJ864" s="152" t="s">
        <v>1438</v>
      </c>
      <c r="AK864" s="255" t="s">
        <v>560</v>
      </c>
      <c r="AL864" s="838"/>
      <c r="AM864" s="838" t="s">
        <v>4851</v>
      </c>
      <c r="AN864" s="161" t="str">
        <f t="shared" ca="1" si="170"/>
        <v>TERMINO</v>
      </c>
      <c r="AO864" s="414" t="s">
        <v>5452</v>
      </c>
      <c r="AP864" s="406" t="s">
        <v>390</v>
      </c>
      <c r="AQ864" s="819" t="str">
        <f>IFERROR(VLOOKUP(E864,'liquidaciones '!$B$2:$C$1048576,2,0),"NO")</f>
        <v>NO</v>
      </c>
      <c r="AR864" s="909" t="str">
        <f>IFERROR(VLOOKUP(E864,'liquidaciones '!$B$2:$I$1048576,8,0),"")</f>
        <v/>
      </c>
      <c r="AS864" s="406"/>
      <c r="AT864" s="156" t="str">
        <f t="shared" ca="1" si="171"/>
        <v>SI</v>
      </c>
      <c r="AU864" s="1023" t="s">
        <v>5967</v>
      </c>
      <c r="AV864" s="1001"/>
      <c r="AW864" s="290" t="s">
        <v>560</v>
      </c>
      <c r="AX864" s="928"/>
      <c r="AY864" s="290" t="s">
        <v>6460</v>
      </c>
    </row>
    <row r="865" spans="3:51" ht="51" x14ac:dyDescent="0.3">
      <c r="C865" s="837"/>
      <c r="E865" s="120" t="s">
        <v>5530</v>
      </c>
      <c r="F865" s="414" t="s">
        <v>5531</v>
      </c>
      <c r="G865" s="863" t="s">
        <v>5532</v>
      </c>
      <c r="H865" s="969" t="s">
        <v>5533</v>
      </c>
      <c r="I865" s="84"/>
      <c r="J865" s="843" t="s">
        <v>5534</v>
      </c>
      <c r="K865" s="269">
        <v>2019</v>
      </c>
      <c r="L865" s="519">
        <v>43805</v>
      </c>
      <c r="M865" s="844">
        <v>43822</v>
      </c>
      <c r="N865" s="844">
        <v>44369</v>
      </c>
      <c r="O865" s="1099" t="str">
        <f>IF(+Modificaciones!I865=0,"",VLOOKUP(E865,Modificaciones!$B$7:$I$2400,8,0))</f>
        <v/>
      </c>
      <c r="P865" s="115">
        <f>COUNTA(Modificaciones!J865,Modificaciones!L865,Modificaciones!N865,Modificaciones!P865)</f>
        <v>0</v>
      </c>
      <c r="Q865" s="116">
        <f>VLOOKUP(E865,Modificaciones!$B$7:$R$2300,17,0)</f>
        <v>0</v>
      </c>
      <c r="R865" s="117">
        <f>COUNTA(Modificaciones!T865,Modificaciones!V865,Modificaciones!X865,Modificaciones!Z865)</f>
        <v>0</v>
      </c>
      <c r="S865" s="118" t="str">
        <f>IF(Modificaciones!AA865=0,"",VLOOKUP(E865,Modificaciones!$B$7:$AA$2400,26,0))</f>
        <v/>
      </c>
      <c r="T865" s="119" t="str">
        <f>IF(Modificaciones!AB865=0,"",VLOOKUP(E865,Modificaciones!$B$7:$AB$2400,27,0))</f>
        <v/>
      </c>
      <c r="U865" s="1080" t="str">
        <f>+Modificaciones!AC865</f>
        <v/>
      </c>
      <c r="V865" s="825" t="str">
        <f>+Modificaciones!AK865</f>
        <v/>
      </c>
      <c r="W865" s="825">
        <f t="shared" si="166"/>
        <v>44369</v>
      </c>
      <c r="X865" s="59">
        <f t="shared" si="165"/>
        <v>0</v>
      </c>
      <c r="Y865" s="151">
        <f>VLOOKUP(E865,Modificaciones!$B$7:$BE$2300,56,0)</f>
        <v>0</v>
      </c>
      <c r="Z865" s="84">
        <f t="shared" si="172"/>
        <v>0</v>
      </c>
      <c r="AA865" s="1000" t="s">
        <v>5535</v>
      </c>
      <c r="AB865" s="823" t="e">
        <f t="shared" si="173"/>
        <v>#DIV/0!</v>
      </c>
      <c r="AC865" s="40">
        <f t="shared" ca="1" si="167"/>
        <v>0.74223034734917737</v>
      </c>
      <c r="AD865" s="41" t="e">
        <f t="shared" ca="1" si="168"/>
        <v>#DIV/0!</v>
      </c>
      <c r="AE865" s="181">
        <f t="shared" ca="1" si="169"/>
        <v>141</v>
      </c>
      <c r="AF865" s="42" t="e">
        <f t="shared" si="174"/>
        <v>#DIV/0!</v>
      </c>
      <c r="AG865" s="1037" t="s">
        <v>5536</v>
      </c>
      <c r="AH865" s="841" t="s">
        <v>1255</v>
      </c>
      <c r="AI865" s="870" t="s">
        <v>5537</v>
      </c>
      <c r="AJ865" s="838" t="s">
        <v>5394</v>
      </c>
      <c r="AK865" s="255" t="s">
        <v>559</v>
      </c>
      <c r="AL865" s="838"/>
      <c r="AM865" s="838" t="s">
        <v>4802</v>
      </c>
      <c r="AN865" s="161" t="str">
        <f t="shared" ca="1" si="170"/>
        <v>EN EJECUCIÓN</v>
      </c>
      <c r="AO865" s="414" t="s">
        <v>580</v>
      </c>
      <c r="AP865" s="406" t="s">
        <v>390</v>
      </c>
      <c r="AQ865" s="819" t="str">
        <f>IFERROR(VLOOKUP(E865,'liquidaciones '!$B$2:$C$1048576,2,0),"NO")</f>
        <v>NO</v>
      </c>
      <c r="AR865" s="909" t="str">
        <f>IFERROR(VLOOKUP(E865,'liquidaciones '!$B$2:$I$1048576,8,0),"")</f>
        <v/>
      </c>
      <c r="AS865" s="406"/>
      <c r="AT865" s="156" t="str">
        <f t="shared" ca="1" si="171"/>
        <v>SI</v>
      </c>
      <c r="AU865" s="156" t="s">
        <v>5875</v>
      </c>
      <c r="AV865" s="1001"/>
      <c r="AW865" s="930" t="s">
        <v>559</v>
      </c>
      <c r="AX865" s="928"/>
      <c r="AY865" s="928"/>
    </row>
    <row r="866" spans="3:51" ht="122.4" x14ac:dyDescent="0.3">
      <c r="C866" s="837">
        <v>481</v>
      </c>
      <c r="E866" s="120" t="s">
        <v>5538</v>
      </c>
      <c r="F866" s="414" t="s">
        <v>2417</v>
      </c>
      <c r="G866" s="863" t="s">
        <v>5539</v>
      </c>
      <c r="H866" s="969" t="s">
        <v>5542</v>
      </c>
      <c r="I866" s="84">
        <v>389000000</v>
      </c>
      <c r="J866" s="843" t="s">
        <v>5538</v>
      </c>
      <c r="K866" s="269">
        <v>2019</v>
      </c>
      <c r="L866" s="519">
        <v>43818</v>
      </c>
      <c r="M866" s="844">
        <v>43829</v>
      </c>
      <c r="N866" s="844">
        <v>43950</v>
      </c>
      <c r="O866" s="1099" t="str">
        <f>IF(+Modificaciones!I866=0,"",VLOOKUP(E866,Modificaciones!$B$7:$I$2400,8,0))</f>
        <v/>
      </c>
      <c r="P866" s="115">
        <f>COUNTA(Modificaciones!J866,Modificaciones!L866,Modificaciones!N866,Modificaciones!P866)</f>
        <v>1</v>
      </c>
      <c r="Q866" s="116">
        <f>VLOOKUP(E866,Modificaciones!$B$7:$R$2300,17,0)</f>
        <v>5000000</v>
      </c>
      <c r="R866" s="117">
        <f>COUNTA(Modificaciones!T866,Modificaciones!V866,Modificaciones!X866,Modificaciones!Z866)</f>
        <v>2</v>
      </c>
      <c r="S866" s="118" t="str">
        <f>IF(Modificaciones!AA866=0,"",VLOOKUP(E866,Modificaciones!$B$7:$AA$2400,26,0))</f>
        <v>3 meses y 27 días</v>
      </c>
      <c r="T866" s="119">
        <f>IF(Modificaciones!AB866=0,"",VLOOKUP(E866,Modificaciones!$B$7:$AB$2400,27,0))</f>
        <v>44169</v>
      </c>
      <c r="U866" s="1080">
        <f>+Modificaciones!AC866</f>
        <v>30</v>
      </c>
      <c r="V866" s="825">
        <f>+Modificaciones!AK866</f>
        <v>44169</v>
      </c>
      <c r="W866" s="825">
        <f t="shared" si="166"/>
        <v>44169</v>
      </c>
      <c r="X866" s="59">
        <f t="shared" si="165"/>
        <v>394000000</v>
      </c>
      <c r="Y866" s="151">
        <f>VLOOKUP(E866,Modificaciones!$B$7:$BE$2300,56,0)</f>
        <v>394000000</v>
      </c>
      <c r="Z866" s="84">
        <f t="shared" si="172"/>
        <v>0</v>
      </c>
      <c r="AA866" s="1000" t="s">
        <v>5540</v>
      </c>
      <c r="AB866" s="823">
        <f t="shared" si="173"/>
        <v>1</v>
      </c>
      <c r="AC866" s="40">
        <f t="shared" ca="1" si="167"/>
        <v>1</v>
      </c>
      <c r="AD866" s="41">
        <f t="shared" ca="1" si="168"/>
        <v>0</v>
      </c>
      <c r="AE866" s="181" t="str">
        <f t="shared" ca="1" si="169"/>
        <v/>
      </c>
      <c r="AF866" s="42" t="str">
        <f t="shared" si="174"/>
        <v>SI</v>
      </c>
      <c r="AG866" s="406" t="s">
        <v>1718</v>
      </c>
      <c r="AH866" s="841" t="s">
        <v>1255</v>
      </c>
      <c r="AI866" s="870" t="s">
        <v>5541</v>
      </c>
      <c r="AJ866" s="838"/>
      <c r="AK866" s="255" t="s">
        <v>562</v>
      </c>
      <c r="AL866" s="838"/>
      <c r="AM866" s="838" t="s">
        <v>4965</v>
      </c>
      <c r="AN866" s="161" t="str">
        <f t="shared" ca="1" si="170"/>
        <v>TERMINO</v>
      </c>
      <c r="AO866" s="414"/>
      <c r="AP866" s="406" t="s">
        <v>390</v>
      </c>
      <c r="AQ866" s="819" t="str">
        <f>IFERROR(VLOOKUP(E866,'liquidaciones '!$B$2:$C$1048576,2,0),"NO")</f>
        <v>NO</v>
      </c>
      <c r="AR866" s="909" t="str">
        <f>IFERROR(VLOOKUP(E866,'liquidaciones '!$B$2:$I$1048576,8,0),"")</f>
        <v/>
      </c>
      <c r="AS866" s="406"/>
      <c r="AT866" s="156" t="str">
        <f t="shared" ca="1" si="171"/>
        <v>SI</v>
      </c>
      <c r="AU866" s="156" t="s">
        <v>4245</v>
      </c>
      <c r="AV866" s="1001"/>
      <c r="AW866" s="930" t="s">
        <v>5092</v>
      </c>
      <c r="AX866" s="930" t="s">
        <v>5728</v>
      </c>
      <c r="AY866" s="928"/>
    </row>
    <row r="867" spans="3:51" ht="51" x14ac:dyDescent="0.3">
      <c r="C867" s="837">
        <v>63</v>
      </c>
      <c r="E867" s="120" t="s">
        <v>5543</v>
      </c>
      <c r="F867" s="414" t="s">
        <v>4079</v>
      </c>
      <c r="G867" s="863">
        <v>830021842</v>
      </c>
      <c r="H867" s="969" t="s">
        <v>5544</v>
      </c>
      <c r="I867" s="84">
        <v>5974430</v>
      </c>
      <c r="J867" s="843" t="s">
        <v>5545</v>
      </c>
      <c r="K867" s="269">
        <v>2019</v>
      </c>
      <c r="L867" s="519">
        <v>43802</v>
      </c>
      <c r="M867" s="844">
        <v>43822</v>
      </c>
      <c r="N867" s="844">
        <v>44187</v>
      </c>
      <c r="O867" s="1099" t="str">
        <f>IF(+Modificaciones!I867=0,"",VLOOKUP(E867,Modificaciones!$B$7:$I$2400,8,0))</f>
        <v/>
      </c>
      <c r="P867" s="115">
        <f>COUNTA(Modificaciones!J867,Modificaciones!L867,Modificaciones!N867,Modificaciones!P867)</f>
        <v>0</v>
      </c>
      <c r="Q867" s="116">
        <f>VLOOKUP(E867,Modificaciones!$B$7:$R$2300,17,0)</f>
        <v>0</v>
      </c>
      <c r="R867" s="117">
        <f>COUNTA(Modificaciones!T867,Modificaciones!V867,Modificaciones!X867,Modificaciones!Z867)</f>
        <v>0</v>
      </c>
      <c r="S867" s="118" t="str">
        <f>IF(Modificaciones!AA867=0,"",VLOOKUP(E867,Modificaciones!$B$7:$AA$2400,26,0))</f>
        <v/>
      </c>
      <c r="T867" s="119" t="str">
        <f>IF(Modificaciones!AB867=0,"",VLOOKUP(E867,Modificaciones!$B$7:$AB$2400,27,0))</f>
        <v/>
      </c>
      <c r="U867" s="1080" t="str">
        <f>+Modificaciones!AC867</f>
        <v/>
      </c>
      <c r="V867" s="825" t="str">
        <f>+Modificaciones!AK867</f>
        <v/>
      </c>
      <c r="W867" s="825">
        <f t="shared" si="166"/>
        <v>44187</v>
      </c>
      <c r="X867" s="59">
        <f t="shared" si="165"/>
        <v>5974430</v>
      </c>
      <c r="Y867" s="151">
        <f>VLOOKUP(E867,Modificaciones!$B$7:$BE$2300,56,0)</f>
        <v>3810868</v>
      </c>
      <c r="Z867" s="84">
        <f t="shared" si="172"/>
        <v>2163562</v>
      </c>
      <c r="AA867" s="415" t="s">
        <v>2570</v>
      </c>
      <c r="AB867" s="823">
        <f t="shared" si="173"/>
        <v>0.63786302626359337</v>
      </c>
      <c r="AC867" s="40">
        <f t="shared" ca="1" si="167"/>
        <v>1</v>
      </c>
      <c r="AD867" s="41">
        <f t="shared" ca="1" si="168"/>
        <v>0.36213697373640663</v>
      </c>
      <c r="AE867" s="181" t="str">
        <f t="shared" ca="1" si="169"/>
        <v/>
      </c>
      <c r="AF867" s="42" t="str">
        <f t="shared" si="174"/>
        <v>NO</v>
      </c>
      <c r="AG867" s="1017" t="s">
        <v>4920</v>
      </c>
      <c r="AH867" s="152" t="s">
        <v>1255</v>
      </c>
      <c r="AI867" s="255" t="s">
        <v>1167</v>
      </c>
      <c r="AJ867" s="152" t="s">
        <v>1441</v>
      </c>
      <c r="AK867" s="255" t="s">
        <v>560</v>
      </c>
      <c r="AL867" s="838"/>
      <c r="AM867" s="838" t="s">
        <v>4851</v>
      </c>
      <c r="AN867" s="161" t="str">
        <f t="shared" ca="1" si="170"/>
        <v>TERMINO</v>
      </c>
      <c r="AO867" s="160" t="s">
        <v>576</v>
      </c>
      <c r="AP867" s="406" t="s">
        <v>390</v>
      </c>
      <c r="AQ867" s="819" t="str">
        <f>IFERROR(VLOOKUP(E867,'liquidaciones '!$B$2:$C$1048576,2,0),"NO")</f>
        <v>NO</v>
      </c>
      <c r="AR867" s="909" t="str">
        <f>IFERROR(VLOOKUP(E867,'liquidaciones '!$B$2:$I$1048576,8,0),"")</f>
        <v/>
      </c>
      <c r="AS867" s="406"/>
      <c r="AT867" s="156" t="str">
        <f t="shared" ca="1" si="171"/>
        <v>SI</v>
      </c>
      <c r="AU867" s="156" t="s">
        <v>5852</v>
      </c>
      <c r="AV867" s="1001"/>
      <c r="AW867" s="930" t="s">
        <v>560</v>
      </c>
      <c r="AX867" s="928"/>
      <c r="AY867" s="928"/>
    </row>
    <row r="868" spans="3:51" ht="112.2" x14ac:dyDescent="0.3">
      <c r="C868" s="837">
        <v>478</v>
      </c>
      <c r="E868" s="120" t="s">
        <v>5584</v>
      </c>
      <c r="F868" s="120" t="s">
        <v>5583</v>
      </c>
      <c r="G868" s="863">
        <v>900428495</v>
      </c>
      <c r="H868" s="969" t="s">
        <v>3968</v>
      </c>
      <c r="I868" s="84">
        <v>117300000</v>
      </c>
      <c r="J868" s="843" t="s">
        <v>5585</v>
      </c>
      <c r="K868" s="269">
        <v>2019</v>
      </c>
      <c r="L868" s="519">
        <v>43830</v>
      </c>
      <c r="M868" s="844">
        <v>43851</v>
      </c>
      <c r="N868" s="844">
        <v>43941</v>
      </c>
      <c r="O868" s="1099" t="str">
        <f>IF(+Modificaciones!I868=0,"",VLOOKUP(E868,Modificaciones!$B$7:$I$2400,8,0))</f>
        <v/>
      </c>
      <c r="P868" s="115">
        <f>COUNTA(Modificaciones!J868,Modificaciones!L868,Modificaciones!N868,Modificaciones!P868)</f>
        <v>0</v>
      </c>
      <c r="Q868" s="116">
        <f>VLOOKUP(E868,Modificaciones!$B$7:$R$2300,17,0)</f>
        <v>0</v>
      </c>
      <c r="R868" s="117">
        <f>COUNTA(Modificaciones!T868,Modificaciones!V868,Modificaciones!X868,Modificaciones!Z868)</f>
        <v>2</v>
      </c>
      <c r="S868" s="118" t="str">
        <f>IF(Modificaciones!AA868=0,"",VLOOKUP(E868,Modificaciones!$B$7:$AA$2400,26,0))</f>
        <v>60 días</v>
      </c>
      <c r="T868" s="119">
        <f>IF(Modificaciones!AB868=0,"",VLOOKUP(E868,Modificaciones!$B$7:$AB$2400,27,0))</f>
        <v>44067</v>
      </c>
      <c r="U868" s="1080" t="str">
        <f>+Modificaciones!AC868</f>
        <v/>
      </c>
      <c r="V868" s="825" t="str">
        <f>+Modificaciones!AK868</f>
        <v/>
      </c>
      <c r="W868" s="825">
        <f t="shared" si="166"/>
        <v>44067</v>
      </c>
      <c r="X868" s="59">
        <f t="shared" si="165"/>
        <v>117300000</v>
      </c>
      <c r="Y868" s="151">
        <f>VLOOKUP(E868,Modificaciones!$B$7:$BE$2300,56,0)</f>
        <v>110863949</v>
      </c>
      <c r="Z868" s="84">
        <f t="shared" si="172"/>
        <v>6436051</v>
      </c>
      <c r="AA868" s="1000" t="s">
        <v>5586</v>
      </c>
      <c r="AB868" s="823">
        <f t="shared" si="173"/>
        <v>0.94513170502983801</v>
      </c>
      <c r="AC868" s="40">
        <f t="shared" ca="1" si="167"/>
        <v>1</v>
      </c>
      <c r="AD868" s="41">
        <f t="shared" ca="1" si="168"/>
        <v>5.486829497016199E-2</v>
      </c>
      <c r="AE868" s="181" t="str">
        <f t="shared" ca="1" si="169"/>
        <v/>
      </c>
      <c r="AF868" s="42" t="str">
        <f t="shared" si="174"/>
        <v>NO</v>
      </c>
      <c r="AG868" s="1037" t="s">
        <v>1711</v>
      </c>
      <c r="AH868" s="841" t="s">
        <v>1256</v>
      </c>
      <c r="AI868" s="841" t="s">
        <v>5587</v>
      </c>
      <c r="AJ868" s="152" t="s">
        <v>1438</v>
      </c>
      <c r="AK868" s="255" t="s">
        <v>560</v>
      </c>
      <c r="AL868" s="838"/>
      <c r="AM868" s="838" t="s">
        <v>4851</v>
      </c>
      <c r="AN868" s="161" t="str">
        <f t="shared" ca="1" si="170"/>
        <v>TERMINO</v>
      </c>
      <c r="AO868" s="414" t="s">
        <v>5588</v>
      </c>
      <c r="AP868" s="406" t="s">
        <v>390</v>
      </c>
      <c r="AQ868" s="819" t="str">
        <f>IFERROR(VLOOKUP(E868,'liquidaciones '!$B$2:$C$1048576,2,0),"NO")</f>
        <v>NO</v>
      </c>
      <c r="AR868" s="909" t="str">
        <f>IFERROR(VLOOKUP(E868,'liquidaciones '!$B$2:$I$1048576,8,0),"")</f>
        <v/>
      </c>
      <c r="AS868" s="406"/>
      <c r="AT868" s="156" t="str">
        <f t="shared" ca="1" si="171"/>
        <v>SI</v>
      </c>
      <c r="AU868" s="1023" t="s">
        <v>5967</v>
      </c>
      <c r="AV868" s="1001"/>
      <c r="AW868" s="930" t="s">
        <v>560</v>
      </c>
      <c r="AX868" s="930" t="s">
        <v>6175</v>
      </c>
      <c r="AY868" s="928"/>
    </row>
    <row r="869" spans="3:51" ht="20.399999999999999" x14ac:dyDescent="0.3">
      <c r="C869" s="837">
        <v>45</v>
      </c>
      <c r="E869" s="120" t="s">
        <v>5589</v>
      </c>
      <c r="F869" s="414" t="s">
        <v>4614</v>
      </c>
      <c r="G869" s="863">
        <v>79328194</v>
      </c>
      <c r="H869" s="969" t="s">
        <v>3825</v>
      </c>
      <c r="I869" s="84">
        <v>4000000</v>
      </c>
      <c r="J869" s="843" t="s">
        <v>5589</v>
      </c>
      <c r="K869" s="269">
        <v>2019</v>
      </c>
      <c r="L869" s="519">
        <v>43817</v>
      </c>
      <c r="M869" s="844">
        <v>43847</v>
      </c>
      <c r="N869" s="844">
        <v>43906</v>
      </c>
      <c r="O869" s="1099" t="str">
        <f>IF(+Modificaciones!I869=0,"",VLOOKUP(E869,Modificaciones!$B$7:$I$2400,8,0))</f>
        <v/>
      </c>
      <c r="P869" s="115">
        <f>COUNTA(Modificaciones!J869,Modificaciones!L869,Modificaciones!N869,Modificaciones!P869)</f>
        <v>0</v>
      </c>
      <c r="Q869" s="116">
        <f>VLOOKUP(E869,Modificaciones!$B$7:$R$2300,17,0)</f>
        <v>0</v>
      </c>
      <c r="R869" s="117">
        <f>COUNTA(Modificaciones!T869,Modificaciones!V869,Modificaciones!X869,Modificaciones!Z869)</f>
        <v>0</v>
      </c>
      <c r="S869" s="118" t="str">
        <f>IF(Modificaciones!AA869=0,"",VLOOKUP(E869,Modificaciones!$B$7:$AA$2400,26,0))</f>
        <v/>
      </c>
      <c r="T869" s="119" t="str">
        <f>IF(Modificaciones!AB869=0,"",VLOOKUP(E869,Modificaciones!$B$7:$AB$2400,27,0))</f>
        <v/>
      </c>
      <c r="U869" s="1080" t="str">
        <f>+Modificaciones!AC869</f>
        <v/>
      </c>
      <c r="V869" s="825" t="str">
        <f>+Modificaciones!AK869</f>
        <v/>
      </c>
      <c r="W869" s="825">
        <f t="shared" si="166"/>
        <v>43906</v>
      </c>
      <c r="X869" s="59">
        <f t="shared" si="165"/>
        <v>4000000</v>
      </c>
      <c r="Y869" s="151">
        <f>VLOOKUP(E869,Modificaciones!$B$7:$BE$2300,56,0)</f>
        <v>4000000</v>
      </c>
      <c r="Z869" s="84">
        <f t="shared" si="172"/>
        <v>0</v>
      </c>
      <c r="AA869" s="1000" t="s">
        <v>5590</v>
      </c>
      <c r="AB869" s="823">
        <f t="shared" si="173"/>
        <v>1</v>
      </c>
      <c r="AC869" s="40">
        <f t="shared" ca="1" si="167"/>
        <v>1</v>
      </c>
      <c r="AD869" s="41">
        <f t="shared" ca="1" si="168"/>
        <v>0</v>
      </c>
      <c r="AE869" s="181" t="str">
        <f t="shared" ca="1" si="169"/>
        <v/>
      </c>
      <c r="AF869" s="42" t="str">
        <f t="shared" si="174"/>
        <v>SI</v>
      </c>
      <c r="AG869" s="1017" t="s">
        <v>4920</v>
      </c>
      <c r="AH869" s="152" t="s">
        <v>1255</v>
      </c>
      <c r="AI869" s="841" t="s">
        <v>1306</v>
      </c>
      <c r="AJ869" s="838" t="s">
        <v>5394</v>
      </c>
      <c r="AK869" s="255" t="s">
        <v>559</v>
      </c>
      <c r="AL869" s="838"/>
      <c r="AM869" s="838" t="s">
        <v>4802</v>
      </c>
      <c r="AN869" s="161" t="str">
        <f t="shared" ca="1" si="170"/>
        <v>TERMINO</v>
      </c>
      <c r="AO869" s="284" t="s">
        <v>582</v>
      </c>
      <c r="AP869" s="406" t="s">
        <v>391</v>
      </c>
      <c r="AQ869" s="819" t="str">
        <f>IFERROR(VLOOKUP(E869,'liquidaciones '!$B$2:$C$1048576,2,0),"NO")</f>
        <v>EN TRÁMITE</v>
      </c>
      <c r="AR869" s="909" t="str">
        <f>IFERROR(VLOOKUP(E869,'liquidaciones '!$B$2:$I$1048576,8,0),"")</f>
        <v>MARIA FERNANDA ROMERO</v>
      </c>
      <c r="AS869" s="406"/>
      <c r="AT869" s="156" t="str">
        <f t="shared" ca="1" si="171"/>
        <v>SI</v>
      </c>
      <c r="AU869" s="156" t="s">
        <v>5852</v>
      </c>
      <c r="AV869" s="1001"/>
      <c r="AW869" s="930" t="s">
        <v>559</v>
      </c>
      <c r="AX869" s="928"/>
      <c r="AY869" s="928"/>
    </row>
    <row r="870" spans="3:51" ht="71.400000000000006" x14ac:dyDescent="0.3">
      <c r="C870" s="837">
        <v>526</v>
      </c>
      <c r="E870" s="120" t="s">
        <v>5618</v>
      </c>
      <c r="F870" s="414" t="s">
        <v>5619</v>
      </c>
      <c r="G870" s="863" t="s">
        <v>5620</v>
      </c>
      <c r="H870" s="969" t="s">
        <v>5621</v>
      </c>
      <c r="I870" s="84">
        <v>384006814</v>
      </c>
      <c r="J870" s="833" t="s">
        <v>5629</v>
      </c>
      <c r="K870" s="269">
        <v>2019</v>
      </c>
      <c r="L870" s="519">
        <v>43819</v>
      </c>
      <c r="M870" s="844">
        <v>43896</v>
      </c>
      <c r="N870" s="844">
        <v>43987</v>
      </c>
      <c r="O870" s="1099" t="str">
        <f>IF(+Modificaciones!I870=0,"",VLOOKUP(E870,Modificaciones!$B$7:$I$2400,8,0))</f>
        <v/>
      </c>
      <c r="P870" s="115">
        <f>COUNTA(Modificaciones!J870,Modificaciones!L870,Modificaciones!N870,Modificaciones!P870)</f>
        <v>0</v>
      </c>
      <c r="Q870" s="116">
        <f>VLOOKUP(E870,Modificaciones!$B$7:$R$2300,17,0)</f>
        <v>0</v>
      </c>
      <c r="R870" s="117">
        <f>COUNTA(Modificaciones!T870,Modificaciones!V870,Modificaciones!X870,Modificaciones!Z870)</f>
        <v>2</v>
      </c>
      <c r="S870" s="118" t="str">
        <f>IF(Modificaciones!AA870=0,"",VLOOKUP(E870,Modificaciones!$B$7:$AA$2400,26,0))</f>
        <v xml:space="preserve">4 meses y 14 días </v>
      </c>
      <c r="T870" s="119">
        <f>IF(Modificaciones!AB870=0,"",VLOOKUP(E870,Modificaciones!$B$7:$AB$2400,27,0))</f>
        <v>44158</v>
      </c>
      <c r="U870" s="1080" t="str">
        <f>+Modificaciones!AC870</f>
        <v/>
      </c>
      <c r="V870" s="825" t="str">
        <f>+Modificaciones!AK870</f>
        <v/>
      </c>
      <c r="W870" s="825">
        <f t="shared" si="166"/>
        <v>44158</v>
      </c>
      <c r="X870" s="59">
        <f t="shared" si="165"/>
        <v>384006814</v>
      </c>
      <c r="Y870" s="151">
        <f>VLOOKUP(E870,Modificaciones!$B$7:$BE$2300,56,0)</f>
        <v>295226622</v>
      </c>
      <c r="Z870" s="84">
        <f t="shared" si="172"/>
        <v>88780192</v>
      </c>
      <c r="AA870" s="1000" t="s">
        <v>5622</v>
      </c>
      <c r="AB870" s="823">
        <f t="shared" si="173"/>
        <v>0.7688056858282728</v>
      </c>
      <c r="AC870" s="40">
        <f t="shared" ca="1" si="167"/>
        <v>1</v>
      </c>
      <c r="AD870" s="41">
        <f t="shared" ca="1" si="168"/>
        <v>0.2311943141717272</v>
      </c>
      <c r="AE870" s="181" t="str">
        <f t="shared" ca="1" si="169"/>
        <v/>
      </c>
      <c r="AF870" s="42" t="str">
        <f t="shared" si="174"/>
        <v>NO</v>
      </c>
      <c r="AG870" s="1037" t="s">
        <v>1711</v>
      </c>
      <c r="AH870" s="841" t="s">
        <v>1256</v>
      </c>
      <c r="AI870" s="841" t="s">
        <v>5623</v>
      </c>
      <c r="AJ870" s="152" t="s">
        <v>1438</v>
      </c>
      <c r="AK870" s="255" t="s">
        <v>560</v>
      </c>
      <c r="AM870" s="838" t="s">
        <v>4851</v>
      </c>
      <c r="AN870" s="161" t="str">
        <f t="shared" ca="1" si="170"/>
        <v>TERMINO</v>
      </c>
      <c r="AO870" s="414" t="s">
        <v>5588</v>
      </c>
      <c r="AP870" s="406" t="s">
        <v>390</v>
      </c>
      <c r="AQ870" s="819" t="str">
        <f>IFERROR(VLOOKUP(E870,'liquidaciones '!$B$2:$C$1048576,2,0),"NO")</f>
        <v>NO</v>
      </c>
      <c r="AR870" s="909" t="str">
        <f>IFERROR(VLOOKUP(E870,'liquidaciones '!$B$2:$I$1048576,8,0),"")</f>
        <v/>
      </c>
      <c r="AS870" s="406"/>
      <c r="AT870" s="156" t="str">
        <f t="shared" ca="1" si="171"/>
        <v>SI</v>
      </c>
      <c r="AU870" s="1101" t="s">
        <v>5964</v>
      </c>
      <c r="AV870" s="1001"/>
      <c r="AW870" s="930" t="s">
        <v>560</v>
      </c>
      <c r="AX870" s="930" t="s">
        <v>6452</v>
      </c>
      <c r="AY870" s="928"/>
    </row>
    <row r="871" spans="3:51" ht="51" x14ac:dyDescent="0.3">
      <c r="C871" s="837">
        <v>322</v>
      </c>
      <c r="E871" s="120" t="s">
        <v>5624</v>
      </c>
      <c r="F871" s="414" t="s">
        <v>5625</v>
      </c>
      <c r="G871" s="863" t="s">
        <v>5626</v>
      </c>
      <c r="H871" s="969" t="s">
        <v>5627</v>
      </c>
      <c r="I871" s="84">
        <v>85000000</v>
      </c>
      <c r="J871" s="843" t="s">
        <v>5630</v>
      </c>
      <c r="K871" s="269">
        <v>2019</v>
      </c>
      <c r="L871" s="519">
        <v>43822</v>
      </c>
      <c r="M871" s="844">
        <v>43859</v>
      </c>
      <c r="N871" s="844">
        <v>44010</v>
      </c>
      <c r="O871" s="1099" t="str">
        <f>IF(+Modificaciones!I871=0,"",VLOOKUP(E871,Modificaciones!$B$7:$I$2400,8,0))</f>
        <v/>
      </c>
      <c r="P871" s="115">
        <f>COUNTA(Modificaciones!J871,Modificaciones!L871,Modificaciones!N871,Modificaciones!P871)</f>
        <v>0</v>
      </c>
      <c r="Q871" s="116">
        <f>VLOOKUP(E871,Modificaciones!$B$7:$R$2300,17,0)</f>
        <v>0</v>
      </c>
      <c r="R871" s="117">
        <f>COUNTA(Modificaciones!T871,Modificaciones!V871,Modificaciones!X871,Modificaciones!Z871)</f>
        <v>2</v>
      </c>
      <c r="S871" s="118" t="str">
        <f>IF(Modificaciones!AA871=0,"",VLOOKUP(E871,Modificaciones!$B$7:$AA$2400,26,0))</f>
        <v>1 mes y 27 días</v>
      </c>
      <c r="T871" s="119">
        <f>IF(Modificaciones!AB871=0,"",VLOOKUP(E871,Modificaciones!$B$7:$AB$2400,27,0))</f>
        <v>44098</v>
      </c>
      <c r="U871" s="1080" t="str">
        <f>+Modificaciones!AC871</f>
        <v/>
      </c>
      <c r="V871" s="825" t="str">
        <f>+Modificaciones!AK871</f>
        <v/>
      </c>
      <c r="W871" s="825">
        <f t="shared" si="166"/>
        <v>44098</v>
      </c>
      <c r="X871" s="59">
        <f t="shared" si="165"/>
        <v>85000000</v>
      </c>
      <c r="Y871" s="151">
        <f>VLOOKUP(E871,Modificaciones!$B$7:$BE$2300,56,0)</f>
        <v>0</v>
      </c>
      <c r="Z871" s="84">
        <f t="shared" si="172"/>
        <v>85000000</v>
      </c>
      <c r="AA871" s="1000" t="s">
        <v>5590</v>
      </c>
      <c r="AB871" s="823">
        <f t="shared" si="173"/>
        <v>0</v>
      </c>
      <c r="AC871" s="40">
        <f t="shared" ca="1" si="167"/>
        <v>1</v>
      </c>
      <c r="AD871" s="41">
        <f t="shared" ca="1" si="168"/>
        <v>1</v>
      </c>
      <c r="AE871" s="181" t="str">
        <f t="shared" ca="1" si="169"/>
        <v/>
      </c>
      <c r="AF871" s="42" t="str">
        <f t="shared" si="174"/>
        <v>NO</v>
      </c>
      <c r="AG871" s="1037" t="s">
        <v>1711</v>
      </c>
      <c r="AH871" s="841" t="s">
        <v>1256</v>
      </c>
      <c r="AI871" s="870" t="s">
        <v>5628</v>
      </c>
      <c r="AJ871" s="152" t="s">
        <v>1438</v>
      </c>
      <c r="AK871" s="255" t="s">
        <v>560</v>
      </c>
      <c r="AL871" s="838"/>
      <c r="AM871" s="838" t="s">
        <v>4851</v>
      </c>
      <c r="AN871" s="161" t="str">
        <f t="shared" ca="1" si="170"/>
        <v>TERMINO</v>
      </c>
      <c r="AO871" s="414" t="s">
        <v>5588</v>
      </c>
      <c r="AP871" s="406" t="s">
        <v>390</v>
      </c>
      <c r="AQ871" s="819" t="str">
        <f>IFERROR(VLOOKUP(E871,'liquidaciones '!$B$2:$C$1048576,2,0),"NO")</f>
        <v>NO</v>
      </c>
      <c r="AR871" s="909" t="str">
        <f>IFERROR(VLOOKUP(E871,'liquidaciones '!$B$2:$I$1048576,8,0),"")</f>
        <v/>
      </c>
      <c r="AS871" s="406"/>
      <c r="AT871" s="156" t="str">
        <f t="shared" ca="1" si="171"/>
        <v>SI</v>
      </c>
      <c r="AU871" s="1023" t="s">
        <v>5965</v>
      </c>
      <c r="AV871" s="1001"/>
      <c r="AW871" s="930" t="s">
        <v>560</v>
      </c>
      <c r="AX871" s="930" t="s">
        <v>6329</v>
      </c>
      <c r="AY871" s="928"/>
    </row>
    <row r="872" spans="3:51" ht="71.400000000000006" x14ac:dyDescent="0.3">
      <c r="C872" s="837">
        <v>484</v>
      </c>
      <c r="E872" s="120" t="s">
        <v>5631</v>
      </c>
      <c r="F872" s="414" t="s">
        <v>5632</v>
      </c>
      <c r="G872" s="863">
        <v>800253209</v>
      </c>
      <c r="H872" s="969" t="s">
        <v>5633</v>
      </c>
      <c r="I872" s="84">
        <v>107441200</v>
      </c>
      <c r="J872" s="843" t="s">
        <v>5634</v>
      </c>
      <c r="K872" s="269">
        <v>2019</v>
      </c>
      <c r="L872" s="519">
        <v>43822</v>
      </c>
      <c r="M872" s="844">
        <v>43852</v>
      </c>
      <c r="N872" s="844">
        <v>43911</v>
      </c>
      <c r="O872" s="1099" t="str">
        <f>IF(+Modificaciones!I872=0,"",VLOOKUP(E872,Modificaciones!$B$7:$I$2400,8,0))</f>
        <v/>
      </c>
      <c r="P872" s="115">
        <f>COUNTA(Modificaciones!J872,Modificaciones!L872,Modificaciones!N872,Modificaciones!P872)</f>
        <v>0</v>
      </c>
      <c r="Q872" s="116">
        <f>VLOOKUP(E872,Modificaciones!$B$7:$R$2300,17,0)</f>
        <v>0</v>
      </c>
      <c r="R872" s="117">
        <f>COUNTA(Modificaciones!T872,Modificaciones!V872,Modificaciones!X872,Modificaciones!Z872)</f>
        <v>0</v>
      </c>
      <c r="S872" s="118" t="str">
        <f>IF(Modificaciones!AA872=0,"",VLOOKUP(E872,Modificaciones!$B$7:$AA$2400,26,0))</f>
        <v/>
      </c>
      <c r="T872" s="119" t="str">
        <f>IF(Modificaciones!AB872=0,"",VLOOKUP(E872,Modificaciones!$B$7:$AB$2400,27,0))</f>
        <v/>
      </c>
      <c r="U872" s="1080" t="str">
        <f>+Modificaciones!AC872</f>
        <v/>
      </c>
      <c r="V872" s="825" t="str">
        <f>+Modificaciones!AK872</f>
        <v/>
      </c>
      <c r="W872" s="825">
        <f t="shared" si="166"/>
        <v>43911</v>
      </c>
      <c r="X872" s="59">
        <f t="shared" si="165"/>
        <v>107441200</v>
      </c>
      <c r="Y872" s="151">
        <f>VLOOKUP(E872,Modificaciones!$B$7:$BE$2300,56,0)</f>
        <v>107441200</v>
      </c>
      <c r="Z872" s="84">
        <f t="shared" si="172"/>
        <v>0</v>
      </c>
      <c r="AA872" s="1000" t="s">
        <v>5635</v>
      </c>
      <c r="AB872" s="823">
        <f t="shared" si="173"/>
        <v>1</v>
      </c>
      <c r="AC872" s="40">
        <f t="shared" ca="1" si="167"/>
        <v>1</v>
      </c>
      <c r="AD872" s="41">
        <f t="shared" ca="1" si="168"/>
        <v>0</v>
      </c>
      <c r="AE872" s="181" t="str">
        <f t="shared" ca="1" si="169"/>
        <v/>
      </c>
      <c r="AF872" s="42" t="str">
        <f t="shared" si="174"/>
        <v>SI</v>
      </c>
      <c r="AG872" s="1037" t="s">
        <v>1711</v>
      </c>
      <c r="AH872" s="841" t="s">
        <v>1255</v>
      </c>
      <c r="AI872" s="841" t="s">
        <v>5636</v>
      </c>
      <c r="AJ872" s="838" t="s">
        <v>5636</v>
      </c>
      <c r="AK872" s="255" t="s">
        <v>559</v>
      </c>
      <c r="AL872" s="838"/>
      <c r="AM872" s="838" t="s">
        <v>4802</v>
      </c>
      <c r="AN872" s="161" t="str">
        <f t="shared" ca="1" si="170"/>
        <v>TERMINO</v>
      </c>
      <c r="AO872" s="414" t="s">
        <v>5638</v>
      </c>
      <c r="AP872" s="406" t="s">
        <v>390</v>
      </c>
      <c r="AQ872" s="819" t="str">
        <f>IFERROR(VLOOKUP(E872,'liquidaciones '!$B$2:$C$1048576,2,0),"NO")</f>
        <v>NO</v>
      </c>
      <c r="AR872" s="909" t="str">
        <f>IFERROR(VLOOKUP(E872,'liquidaciones '!$B$2:$I$1048576,8,0),"")</f>
        <v/>
      </c>
      <c r="AS872" s="406"/>
      <c r="AT872" s="156" t="str">
        <f t="shared" ca="1" si="171"/>
        <v>SI</v>
      </c>
      <c r="AU872" s="1023" t="s">
        <v>4299</v>
      </c>
      <c r="AV872" s="1001"/>
      <c r="AW872" s="930" t="s">
        <v>559</v>
      </c>
      <c r="AX872" s="928"/>
      <c r="AY872" s="928"/>
    </row>
    <row r="873" spans="3:51" ht="81.599999999999994" x14ac:dyDescent="0.3">
      <c r="C873" s="837">
        <v>519</v>
      </c>
      <c r="E873" s="120" t="s">
        <v>5637</v>
      </c>
      <c r="F873" s="414" t="s">
        <v>1905</v>
      </c>
      <c r="G873" s="863">
        <v>860019063</v>
      </c>
      <c r="H873" s="969" t="s">
        <v>2841</v>
      </c>
      <c r="I873" s="84">
        <v>6519000</v>
      </c>
      <c r="J873" s="843" t="s">
        <v>5637</v>
      </c>
      <c r="K873" s="269">
        <v>2019</v>
      </c>
      <c r="L873" s="519">
        <v>43818</v>
      </c>
      <c r="M873" s="844">
        <v>43851</v>
      </c>
      <c r="N873" s="844">
        <v>43971</v>
      </c>
      <c r="O873" s="1099" t="str">
        <f>IF(+Modificaciones!I873=0,"",VLOOKUP(E873,Modificaciones!$B$7:$I$2400,8,0))</f>
        <v/>
      </c>
      <c r="P873" s="115">
        <f>COUNTA(Modificaciones!J873,Modificaciones!L873,Modificaciones!N873,Modificaciones!P873)</f>
        <v>0</v>
      </c>
      <c r="Q873" s="116">
        <f>VLOOKUP(E873,Modificaciones!$B$7:$R$2300,17,0)</f>
        <v>0</v>
      </c>
      <c r="R873" s="117">
        <f>COUNTA(Modificaciones!T873,Modificaciones!V873,Modificaciones!X873,Modificaciones!Z873)</f>
        <v>2</v>
      </c>
      <c r="S873" s="118" t="str">
        <f>IF(Modificaciones!AA873=0,"",VLOOKUP(E873,Modificaciones!$B$7:$AA$2400,26,0))</f>
        <v>6 meses y 10 días</v>
      </c>
      <c r="T873" s="119">
        <f>IF(Modificaciones!AB873=0,"",VLOOKUP(E873,Modificaciones!$B$7:$AB$2400,27,0))</f>
        <v>44165</v>
      </c>
      <c r="U873" s="1080" t="str">
        <f>+Modificaciones!AC873</f>
        <v/>
      </c>
      <c r="V873" s="825" t="str">
        <f>+Modificaciones!AK873</f>
        <v/>
      </c>
      <c r="W873" s="825">
        <f t="shared" si="166"/>
        <v>44165</v>
      </c>
      <c r="X873" s="59">
        <f t="shared" si="165"/>
        <v>6519000</v>
      </c>
      <c r="Y873" s="151">
        <f>VLOOKUP(E873,Modificaciones!$B$7:$BE$2300,56,0)</f>
        <v>5563858</v>
      </c>
      <c r="Z873" s="84">
        <f t="shared" si="172"/>
        <v>955142</v>
      </c>
      <c r="AA873" s="1000" t="s">
        <v>2837</v>
      </c>
      <c r="AB873" s="823">
        <f t="shared" si="173"/>
        <v>0.85348335634299743</v>
      </c>
      <c r="AC873" s="40">
        <f t="shared" ca="1" si="167"/>
        <v>1</v>
      </c>
      <c r="AD873" s="41">
        <f t="shared" ca="1" si="168"/>
        <v>0.14651664365700257</v>
      </c>
      <c r="AE873" s="181" t="str">
        <f t="shared" ca="1" si="169"/>
        <v/>
      </c>
      <c r="AF873" s="42" t="str">
        <f t="shared" si="174"/>
        <v>NO</v>
      </c>
      <c r="AG873" s="1017" t="s">
        <v>4920</v>
      </c>
      <c r="AH873" s="841" t="s">
        <v>1255</v>
      </c>
      <c r="AI873" s="152" t="s">
        <v>2515</v>
      </c>
      <c r="AJ873" s="152" t="s">
        <v>1441</v>
      </c>
      <c r="AK873" s="255" t="s">
        <v>560</v>
      </c>
      <c r="AL873" s="838" t="s">
        <v>4575</v>
      </c>
      <c r="AM873" s="838" t="s">
        <v>4851</v>
      </c>
      <c r="AN873" s="161" t="str">
        <f t="shared" ca="1" si="170"/>
        <v>TERMINO</v>
      </c>
      <c r="AO873" s="284" t="s">
        <v>582</v>
      </c>
      <c r="AP873" s="406" t="s">
        <v>390</v>
      </c>
      <c r="AQ873" s="819" t="str">
        <f>IFERROR(VLOOKUP(E873,'liquidaciones '!$B$2:$C$1048576,2,0),"NO")</f>
        <v>NO</v>
      </c>
      <c r="AR873" s="909" t="str">
        <f>IFERROR(VLOOKUP(E873,'liquidaciones '!$B$2:$I$1048576,8,0),"")</f>
        <v/>
      </c>
      <c r="AS873" s="406"/>
      <c r="AT873" s="156" t="str">
        <f t="shared" ca="1" si="171"/>
        <v>SI</v>
      </c>
      <c r="AU873" s="156" t="s">
        <v>5875</v>
      </c>
      <c r="AV873" s="1001" t="s">
        <v>4575</v>
      </c>
      <c r="AW873" s="930" t="s">
        <v>560</v>
      </c>
      <c r="AX873" s="930" t="s">
        <v>6230</v>
      </c>
      <c r="AY873" s="928"/>
    </row>
    <row r="874" spans="3:51" ht="81.599999999999994" x14ac:dyDescent="0.3">
      <c r="C874" s="837">
        <v>520</v>
      </c>
      <c r="E874" s="120" t="s">
        <v>5651</v>
      </c>
      <c r="F874" s="414" t="s">
        <v>3760</v>
      </c>
      <c r="G874" s="863">
        <v>830006901</v>
      </c>
      <c r="H874" s="969" t="s">
        <v>5652</v>
      </c>
      <c r="I874" s="84">
        <v>12000000</v>
      </c>
      <c r="J874" s="843" t="s">
        <v>5661</v>
      </c>
      <c r="K874" s="269">
        <v>2019</v>
      </c>
      <c r="L874" s="519">
        <v>43829</v>
      </c>
      <c r="M874" s="844">
        <v>43860</v>
      </c>
      <c r="N874" s="844">
        <v>43980</v>
      </c>
      <c r="O874" s="1099" t="str">
        <f>IF(+Modificaciones!I874=0,"",VLOOKUP(E874,Modificaciones!$B$7:$I$2400,8,0))</f>
        <v/>
      </c>
      <c r="P874" s="115">
        <f>COUNTA(Modificaciones!J874,Modificaciones!L874,Modificaciones!N874,Modificaciones!P874)</f>
        <v>0</v>
      </c>
      <c r="Q874" s="116">
        <f>VLOOKUP(E874,Modificaciones!$B$7:$R$2300,17,0)</f>
        <v>0</v>
      </c>
      <c r="R874" s="117">
        <f>COUNTA(Modificaciones!T874,Modificaciones!V874,Modificaciones!X874,Modificaciones!Z874)</f>
        <v>2</v>
      </c>
      <c r="S874" s="118" t="str">
        <f>IF(Modificaciones!AA874=0,"",VLOOKUP(E874,Modificaciones!$B$7:$AA$2400,26,0))</f>
        <v>6 meses y 1 día</v>
      </c>
      <c r="T874" s="119">
        <f>IF(Modificaciones!AB874=0,"",VLOOKUP(E874,Modificaciones!$B$7:$AB$2400,27,0))</f>
        <v>44165</v>
      </c>
      <c r="U874" s="1080" t="str">
        <f>+Modificaciones!AC874</f>
        <v/>
      </c>
      <c r="V874" s="825" t="str">
        <f>+Modificaciones!AK874</f>
        <v/>
      </c>
      <c r="W874" s="825">
        <f t="shared" si="166"/>
        <v>44165</v>
      </c>
      <c r="X874" s="59">
        <f t="shared" si="165"/>
        <v>12000000</v>
      </c>
      <c r="Y874" s="151">
        <f>VLOOKUP(E874,Modificaciones!$B$7:$BE$2300,56,0)</f>
        <v>9240495</v>
      </c>
      <c r="Z874" s="84">
        <f t="shared" si="172"/>
        <v>2759505</v>
      </c>
      <c r="AA874" s="1000" t="s">
        <v>2837</v>
      </c>
      <c r="AB874" s="823">
        <f t="shared" si="173"/>
        <v>0.77004125000000001</v>
      </c>
      <c r="AC874" s="40">
        <f t="shared" ca="1" si="167"/>
        <v>1</v>
      </c>
      <c r="AD874" s="41">
        <f t="shared" ca="1" si="168"/>
        <v>0.22995874999999999</v>
      </c>
      <c r="AE874" s="181" t="str">
        <f t="shared" ca="1" si="169"/>
        <v/>
      </c>
      <c r="AF874" s="42" t="str">
        <f t="shared" si="174"/>
        <v>NO</v>
      </c>
      <c r="AG874" s="1017" t="s">
        <v>4920</v>
      </c>
      <c r="AH874" s="841" t="s">
        <v>1255</v>
      </c>
      <c r="AI874" s="152" t="s">
        <v>5653</v>
      </c>
      <c r="AJ874" s="152" t="s">
        <v>1441</v>
      </c>
      <c r="AK874" s="255" t="s">
        <v>560</v>
      </c>
      <c r="AL874" s="838" t="s">
        <v>4575</v>
      </c>
      <c r="AM874" s="838" t="s">
        <v>4851</v>
      </c>
      <c r="AN874" s="161" t="str">
        <f t="shared" ca="1" si="170"/>
        <v>TERMINO</v>
      </c>
      <c r="AO874" s="414" t="s">
        <v>5654</v>
      </c>
      <c r="AP874" s="406" t="s">
        <v>390</v>
      </c>
      <c r="AQ874" s="819" t="str">
        <f>IFERROR(VLOOKUP(E874,'liquidaciones '!$B$2:$C$1048576,2,0),"NO")</f>
        <v>NO</v>
      </c>
      <c r="AR874" s="909" t="str">
        <f>IFERROR(VLOOKUP(E874,'liquidaciones '!$B$2:$I$1048576,8,0),"")</f>
        <v/>
      </c>
      <c r="AS874" s="406"/>
      <c r="AT874" s="156" t="str">
        <f t="shared" ca="1" si="171"/>
        <v>SI</v>
      </c>
      <c r="AU874" s="156" t="s">
        <v>5875</v>
      </c>
      <c r="AV874" s="1001" t="s">
        <v>4575</v>
      </c>
      <c r="AW874" s="930" t="s">
        <v>560</v>
      </c>
      <c r="AX874" s="930" t="s">
        <v>6222</v>
      </c>
      <c r="AY874" s="930" t="s">
        <v>5987</v>
      </c>
    </row>
    <row r="875" spans="3:51" ht="81.599999999999994" x14ac:dyDescent="0.3">
      <c r="C875" s="837">
        <v>491</v>
      </c>
      <c r="E875" s="120" t="s">
        <v>5655</v>
      </c>
      <c r="F875" s="414" t="s">
        <v>5656</v>
      </c>
      <c r="G875" s="863" t="s">
        <v>5657</v>
      </c>
      <c r="H875" s="969" t="s">
        <v>5658</v>
      </c>
      <c r="I875" s="84">
        <v>146450600</v>
      </c>
      <c r="J875" s="843" t="s">
        <v>5659</v>
      </c>
      <c r="K875" s="269">
        <v>2019</v>
      </c>
      <c r="L875" s="519">
        <v>43822</v>
      </c>
      <c r="M875" s="844">
        <v>43865</v>
      </c>
      <c r="N875" s="844">
        <v>44230</v>
      </c>
      <c r="O875" s="1099" t="str">
        <f>IF(+Modificaciones!I875=0,"",VLOOKUP(E875,Modificaciones!$B$7:$I$2400,8,0))</f>
        <v/>
      </c>
      <c r="P875" s="115">
        <f>COUNTA(Modificaciones!J875,Modificaciones!L875,Modificaciones!N875,Modificaciones!P875)</f>
        <v>0</v>
      </c>
      <c r="Q875" s="116">
        <f>VLOOKUP(E875,Modificaciones!$B$7:$R$2300,17,0)</f>
        <v>0</v>
      </c>
      <c r="R875" s="117">
        <f>COUNTA(Modificaciones!T875,Modificaciones!V875,Modificaciones!X875,Modificaciones!Z875)</f>
        <v>0</v>
      </c>
      <c r="S875" s="118" t="str">
        <f>IF(Modificaciones!AA875=0,"",VLOOKUP(E875,Modificaciones!$B$7:$AA$2400,26,0))</f>
        <v/>
      </c>
      <c r="T875" s="119" t="str">
        <f>IF(Modificaciones!AB875=0,"",VLOOKUP(E875,Modificaciones!$B$7:$AB$2400,27,0))</f>
        <v/>
      </c>
      <c r="U875" s="1080" t="str">
        <f>+Modificaciones!AC875</f>
        <v/>
      </c>
      <c r="V875" s="825" t="str">
        <f>+Modificaciones!AK875</f>
        <v/>
      </c>
      <c r="W875" s="825">
        <f t="shared" si="166"/>
        <v>44230</v>
      </c>
      <c r="X875" s="59">
        <f t="shared" si="165"/>
        <v>146450600</v>
      </c>
      <c r="Y875" s="151">
        <f>VLOOKUP(E875,Modificaciones!$B$7:$BE$2300,56,0)</f>
        <v>0</v>
      </c>
      <c r="Z875" s="84">
        <f t="shared" si="172"/>
        <v>146450600</v>
      </c>
      <c r="AA875" s="1000" t="s">
        <v>5450</v>
      </c>
      <c r="AB875" s="823">
        <f t="shared" si="173"/>
        <v>0</v>
      </c>
      <c r="AC875" s="40">
        <f t="shared" ca="1" si="167"/>
        <v>0.9945205479452055</v>
      </c>
      <c r="AD875" s="41">
        <f t="shared" ca="1" si="168"/>
        <v>0.9945205479452055</v>
      </c>
      <c r="AE875" s="181">
        <f t="shared" ca="1" si="169"/>
        <v>2</v>
      </c>
      <c r="AF875" s="42" t="str">
        <f t="shared" si="174"/>
        <v>NO</v>
      </c>
      <c r="AG875" s="1017" t="s">
        <v>4920</v>
      </c>
      <c r="AH875" s="841" t="s">
        <v>1256</v>
      </c>
      <c r="AI875" s="841" t="s">
        <v>5660</v>
      </c>
      <c r="AJ875" s="152" t="s">
        <v>1438</v>
      </c>
      <c r="AK875" s="255" t="s">
        <v>560</v>
      </c>
      <c r="AL875" s="414" t="s">
        <v>4850</v>
      </c>
      <c r="AM875" s="838" t="s">
        <v>4851</v>
      </c>
      <c r="AN875" s="161" t="str">
        <f t="shared" ca="1" si="170"/>
        <v>EN EJECUCIÓN</v>
      </c>
      <c r="AO875" s="414" t="s">
        <v>5112</v>
      </c>
      <c r="AP875" s="406" t="s">
        <v>390</v>
      </c>
      <c r="AQ875" s="819" t="str">
        <f>IFERROR(VLOOKUP(E875,'liquidaciones '!$B$2:$C$1048576,2,0),"NO")</f>
        <v>NO</v>
      </c>
      <c r="AR875" s="909" t="str">
        <f>IFERROR(VLOOKUP(E875,'liquidaciones '!$B$2:$I$1048576,8,0),"")</f>
        <v/>
      </c>
      <c r="AS875" s="406"/>
      <c r="AT875" s="156" t="str">
        <f t="shared" ca="1" si="171"/>
        <v>SI</v>
      </c>
      <c r="AU875" s="1102" t="s">
        <v>5966</v>
      </c>
      <c r="AV875" s="1001"/>
      <c r="AW875" s="930" t="s">
        <v>560</v>
      </c>
      <c r="AX875" s="930" t="s">
        <v>6036</v>
      </c>
      <c r="AY875" s="928"/>
    </row>
    <row r="876" spans="3:51" ht="20.399999999999999" x14ac:dyDescent="0.3">
      <c r="C876" s="837">
        <v>60</v>
      </c>
      <c r="E876" s="120" t="s">
        <v>5717</v>
      </c>
      <c r="F876" s="414" t="s">
        <v>3567</v>
      </c>
      <c r="G876" s="863" t="s">
        <v>5718</v>
      </c>
      <c r="H876" s="969" t="s">
        <v>5719</v>
      </c>
      <c r="I876" s="84">
        <v>922200</v>
      </c>
      <c r="J876" s="843" t="s">
        <v>5717</v>
      </c>
      <c r="K876" s="269">
        <v>2019</v>
      </c>
      <c r="L876" s="519">
        <v>43761</v>
      </c>
      <c r="M876" s="844">
        <v>43874</v>
      </c>
      <c r="N876" s="844">
        <v>44239</v>
      </c>
      <c r="O876" s="1099" t="str">
        <f>IF(+Modificaciones!I876=0,"",VLOOKUP(E876,Modificaciones!$B$7:$I$2400,8,0))</f>
        <v/>
      </c>
      <c r="P876" s="115">
        <f>COUNTA(Modificaciones!J876,Modificaciones!L876,Modificaciones!N876,Modificaciones!P876)</f>
        <v>0</v>
      </c>
      <c r="Q876" s="116">
        <f>VLOOKUP(E876,Modificaciones!$B$7:$R$2300,17,0)</f>
        <v>0</v>
      </c>
      <c r="R876" s="117">
        <f>COUNTA(Modificaciones!T876,Modificaciones!V876,Modificaciones!X876,Modificaciones!Z876)</f>
        <v>0</v>
      </c>
      <c r="S876" s="118" t="str">
        <f>IF(Modificaciones!AA876=0,"",VLOOKUP(E876,Modificaciones!$B$7:$AA$2400,26,0))</f>
        <v/>
      </c>
      <c r="T876" s="119" t="str">
        <f>IF(Modificaciones!AB876=0,"",VLOOKUP(E876,Modificaciones!$B$7:$AB$2400,27,0))</f>
        <v/>
      </c>
      <c r="U876" s="1080" t="str">
        <f>+Modificaciones!AC876</f>
        <v/>
      </c>
      <c r="V876" s="825" t="str">
        <f>+Modificaciones!AK876</f>
        <v/>
      </c>
      <c r="W876" s="825">
        <f t="shared" si="166"/>
        <v>44239</v>
      </c>
      <c r="X876" s="59">
        <f t="shared" si="165"/>
        <v>922200</v>
      </c>
      <c r="Y876" s="151">
        <f>VLOOKUP(E876,Modificaciones!$B$7:$BE$2300,56,0)</f>
        <v>922200</v>
      </c>
      <c r="Z876" s="84">
        <f t="shared" si="172"/>
        <v>0</v>
      </c>
      <c r="AA876" s="1000" t="s">
        <v>5450</v>
      </c>
      <c r="AB876" s="823">
        <f t="shared" si="173"/>
        <v>1</v>
      </c>
      <c r="AC876" s="40">
        <f t="shared" ca="1" si="167"/>
        <v>0.96986301369863015</v>
      </c>
      <c r="AD876" s="41">
        <f t="shared" ca="1" si="168"/>
        <v>-3.013698630136985E-2</v>
      </c>
      <c r="AE876" s="181">
        <f t="shared" ca="1" si="169"/>
        <v>11</v>
      </c>
      <c r="AF876" s="42" t="str">
        <f t="shared" si="174"/>
        <v>SI</v>
      </c>
      <c r="AG876" s="1037" t="s">
        <v>5235</v>
      </c>
      <c r="AH876" s="841" t="s">
        <v>1255</v>
      </c>
      <c r="AI876" s="841" t="s">
        <v>5720</v>
      </c>
      <c r="AJ876" s="838" t="s">
        <v>1429</v>
      </c>
      <c r="AK876" s="255" t="s">
        <v>564</v>
      </c>
      <c r="AL876" s="838"/>
      <c r="AM876" s="838" t="s">
        <v>4247</v>
      </c>
      <c r="AN876" s="161" t="str">
        <f t="shared" ca="1" si="170"/>
        <v>EN EJECUCIÓN</v>
      </c>
      <c r="AO876" s="284" t="s">
        <v>582</v>
      </c>
      <c r="AP876" s="406" t="s">
        <v>390</v>
      </c>
      <c r="AQ876" s="819" t="str">
        <f>IFERROR(VLOOKUP(E876,'liquidaciones '!$B$2:$C$1048576,2,0),"NO")</f>
        <v>NO</v>
      </c>
      <c r="AR876" s="909" t="str">
        <f>IFERROR(VLOOKUP(E876,'liquidaciones '!$B$2:$I$1048576,8,0),"")</f>
        <v/>
      </c>
      <c r="AS876" s="406"/>
      <c r="AT876" s="156" t="str">
        <f t="shared" ca="1" si="171"/>
        <v>SI</v>
      </c>
      <c r="AU876" s="1023" t="s">
        <v>5851</v>
      </c>
      <c r="AV876" s="1001"/>
      <c r="AW876" s="930" t="s">
        <v>564</v>
      </c>
      <c r="AX876" s="928"/>
      <c r="AY876" s="928"/>
    </row>
    <row r="877" spans="3:51" ht="28.8" x14ac:dyDescent="0.3">
      <c r="C877" s="837">
        <v>1096</v>
      </c>
      <c r="E877" s="120" t="s">
        <v>5730</v>
      </c>
      <c r="F877" s="414" t="s">
        <v>2360</v>
      </c>
      <c r="G877" s="863" t="s">
        <v>4646</v>
      </c>
      <c r="H877" s="969" t="s">
        <v>5731</v>
      </c>
      <c r="I877" s="84">
        <v>220337244</v>
      </c>
      <c r="J877" s="843" t="s">
        <v>5732</v>
      </c>
      <c r="K877" s="269">
        <v>2020</v>
      </c>
      <c r="L877" s="519">
        <v>43875</v>
      </c>
      <c r="M877" s="844">
        <v>43875</v>
      </c>
      <c r="N877" s="844">
        <v>44196</v>
      </c>
      <c r="O877" s="1099" t="str">
        <f>IF(+Modificaciones!I877=0,"",VLOOKUP(E877,Modificaciones!$B$7:$I$2400,8,0))</f>
        <v/>
      </c>
      <c r="P877" s="115">
        <f>COUNTA(Modificaciones!J877,Modificaciones!L877,Modificaciones!N877,Modificaciones!P877)</f>
        <v>0</v>
      </c>
      <c r="Q877" s="116">
        <f>VLOOKUP(E877,Modificaciones!$B$7:$R$2300,17,0)</f>
        <v>0</v>
      </c>
      <c r="R877" s="117">
        <f>COUNTA(Modificaciones!T877,Modificaciones!V877,Modificaciones!X877,Modificaciones!Z877)</f>
        <v>0</v>
      </c>
      <c r="S877" s="118" t="str">
        <f>IF(Modificaciones!AA877=0,"",VLOOKUP(E877,Modificaciones!$B$7:$AA$2400,26,0))</f>
        <v/>
      </c>
      <c r="T877" s="119" t="str">
        <f>IF(Modificaciones!AB877=0,"",VLOOKUP(E877,Modificaciones!$B$7:$AB$2400,27,0))</f>
        <v/>
      </c>
      <c r="U877" s="1080" t="str">
        <f>+Modificaciones!AC877</f>
        <v/>
      </c>
      <c r="V877" s="825" t="str">
        <f>+Modificaciones!AK877</f>
        <v/>
      </c>
      <c r="W877" s="825">
        <f t="shared" si="166"/>
        <v>44196</v>
      </c>
      <c r="X877" s="59">
        <f t="shared" si="165"/>
        <v>220337244</v>
      </c>
      <c r="Y877" s="151">
        <f>VLOOKUP(E877,Modificaciones!$B$7:$BE$2300,56,0)</f>
        <v>220337244</v>
      </c>
      <c r="Z877" s="84">
        <f t="shared" si="172"/>
        <v>0</v>
      </c>
      <c r="AA877" s="1000"/>
      <c r="AB877" s="823">
        <f t="shared" si="173"/>
        <v>1</v>
      </c>
      <c r="AC877" s="40">
        <f t="shared" ca="1" si="167"/>
        <v>1</v>
      </c>
      <c r="AD877" s="41">
        <f t="shared" ca="1" si="168"/>
        <v>0</v>
      </c>
      <c r="AE877" s="181" t="str">
        <f t="shared" ca="1" si="169"/>
        <v/>
      </c>
      <c r="AF877" s="42" t="str">
        <f t="shared" si="174"/>
        <v>SI</v>
      </c>
      <c r="AG877" s="1017" t="s">
        <v>4920</v>
      </c>
      <c r="AH877" s="841" t="s">
        <v>1256</v>
      </c>
      <c r="AI877" s="841" t="s">
        <v>5733</v>
      </c>
      <c r="AJ877" s="152" t="s">
        <v>1438</v>
      </c>
      <c r="AK877" s="255" t="s">
        <v>560</v>
      </c>
      <c r="AL877" s="414" t="s">
        <v>4850</v>
      </c>
      <c r="AM877" s="838" t="s">
        <v>5734</v>
      </c>
      <c r="AN877" s="161" t="str">
        <f t="shared" ca="1" si="170"/>
        <v>TERMINO</v>
      </c>
      <c r="AO877" s="414" t="s">
        <v>2906</v>
      </c>
      <c r="AP877" s="406"/>
      <c r="AQ877" s="819" t="str">
        <f>IFERROR(VLOOKUP(E877,'liquidaciones '!$B$2:$C$1048576,2,0),"NO")</f>
        <v>NO</v>
      </c>
      <c r="AR877" s="909" t="str">
        <f>IFERROR(VLOOKUP(E877,'liquidaciones '!$B$2:$I$1048576,8,0),"")</f>
        <v/>
      </c>
      <c r="AS877" s="406"/>
      <c r="AT877" s="156" t="str">
        <f t="shared" ca="1" si="171"/>
        <v>SI</v>
      </c>
      <c r="AU877" s="1023" t="s">
        <v>5967</v>
      </c>
      <c r="AV877" s="406" t="s">
        <v>4852</v>
      </c>
      <c r="AW877" s="930" t="s">
        <v>560</v>
      </c>
      <c r="AX877" s="928"/>
      <c r="AY877" s="928"/>
    </row>
    <row r="878" spans="3:51" ht="40.799999999999997" x14ac:dyDescent="0.3">
      <c r="C878" s="837">
        <v>41</v>
      </c>
      <c r="E878" s="120" t="s">
        <v>5740</v>
      </c>
      <c r="F878" s="414" t="s">
        <v>3485</v>
      </c>
      <c r="G878" s="863">
        <v>860047657</v>
      </c>
      <c r="H878" s="969" t="s">
        <v>5741</v>
      </c>
      <c r="I878" s="84">
        <v>5671000</v>
      </c>
      <c r="J878" s="843" t="s">
        <v>5740</v>
      </c>
      <c r="K878" s="269">
        <v>2019</v>
      </c>
      <c r="L878" s="519">
        <v>43794</v>
      </c>
      <c r="M878" s="844">
        <v>43943</v>
      </c>
      <c r="N878" s="844">
        <v>44064</v>
      </c>
      <c r="O878" s="1099" t="str">
        <f>IF(+Modificaciones!I878=0,"",VLOOKUP(E878,Modificaciones!$B$7:$I$2400,8,0))</f>
        <v/>
      </c>
      <c r="P878" s="115">
        <f>COUNTA(Modificaciones!J878,Modificaciones!L878,Modificaciones!N878,Modificaciones!P878)</f>
        <v>0</v>
      </c>
      <c r="Q878" s="116">
        <f>VLOOKUP(E878,Modificaciones!$B$7:$R$2300,17,0)</f>
        <v>0</v>
      </c>
      <c r="R878" s="117">
        <f>COUNTA(Modificaciones!T878,Modificaciones!V878,Modificaciones!X878,Modificaciones!Z878)</f>
        <v>1</v>
      </c>
      <c r="S878" s="118" t="str">
        <f>IF(Modificaciones!AA878=0,"",VLOOKUP(E878,Modificaciones!$B$7:$AA$2400,26,0))</f>
        <v>3 meses y 9 días</v>
      </c>
      <c r="T878" s="119">
        <f>IF(Modificaciones!AB878=0,"",VLOOKUP(E878,Modificaciones!$B$7:$AB$2400,27,0))</f>
        <v>44165</v>
      </c>
      <c r="U878" s="1080" t="str">
        <f>+Modificaciones!AC878</f>
        <v/>
      </c>
      <c r="V878" s="825" t="str">
        <f>+Modificaciones!AK878</f>
        <v/>
      </c>
      <c r="W878" s="825">
        <f t="shared" si="166"/>
        <v>44165</v>
      </c>
      <c r="X878" s="59">
        <f t="shared" si="165"/>
        <v>5671000</v>
      </c>
      <c r="Y878" s="151">
        <f>VLOOKUP(E878,Modificaciones!$B$7:$BE$2300,56,0)</f>
        <v>4514170</v>
      </c>
      <c r="Z878" s="84">
        <f t="shared" si="172"/>
        <v>1156830</v>
      </c>
      <c r="AA878" s="1000" t="s">
        <v>4899</v>
      </c>
      <c r="AB878" s="823">
        <f t="shared" si="173"/>
        <v>0.79600952213013576</v>
      </c>
      <c r="AC878" s="40">
        <f t="shared" ca="1" si="167"/>
        <v>1</v>
      </c>
      <c r="AD878" s="41">
        <f t="shared" ca="1" si="168"/>
        <v>0.20399047786986424</v>
      </c>
      <c r="AE878" s="181" t="str">
        <f t="shared" ca="1" si="169"/>
        <v/>
      </c>
      <c r="AF878" s="42" t="str">
        <f t="shared" si="174"/>
        <v>NO</v>
      </c>
      <c r="AG878" s="1017" t="s">
        <v>4920</v>
      </c>
      <c r="AH878" s="841" t="s">
        <v>1255</v>
      </c>
      <c r="AI878" s="841" t="s">
        <v>5742</v>
      </c>
      <c r="AJ878" s="152" t="s">
        <v>1441</v>
      </c>
      <c r="AK878" s="255" t="s">
        <v>559</v>
      </c>
      <c r="AL878" s="838"/>
      <c r="AM878" s="838" t="s">
        <v>5734</v>
      </c>
      <c r="AN878" s="161" t="str">
        <f t="shared" ca="1" si="170"/>
        <v>TERMINO</v>
      </c>
      <c r="AO878" s="284" t="s">
        <v>582</v>
      </c>
      <c r="AP878" s="406" t="s">
        <v>390</v>
      </c>
      <c r="AQ878" s="819" t="str">
        <f>IFERROR(VLOOKUP(E878,'liquidaciones '!$B$2:$C$1048576,2,0),"NO")</f>
        <v>NO</v>
      </c>
      <c r="AR878" s="909" t="str">
        <f>IFERROR(VLOOKUP(E878,'liquidaciones '!$B$2:$I$1048576,8,0),"")</f>
        <v/>
      </c>
      <c r="AS878" s="406"/>
      <c r="AT878" s="156" t="str">
        <f t="shared" ca="1" si="171"/>
        <v>SI</v>
      </c>
      <c r="AU878" s="156" t="s">
        <v>5875</v>
      </c>
      <c r="AV878" s="1001"/>
      <c r="AW878" s="930" t="s">
        <v>560</v>
      </c>
      <c r="AX878" s="930" t="s">
        <v>6350</v>
      </c>
      <c r="AY878" s="928"/>
    </row>
    <row r="879" spans="3:51" ht="30.6" x14ac:dyDescent="0.3">
      <c r="C879" s="837">
        <v>1305</v>
      </c>
      <c r="E879" s="120" t="s">
        <v>5770</v>
      </c>
      <c r="F879" s="414" t="s">
        <v>4424</v>
      </c>
      <c r="G879" s="863">
        <v>36454156</v>
      </c>
      <c r="H879" s="969" t="s">
        <v>5771</v>
      </c>
      <c r="I879" s="84">
        <v>78630000</v>
      </c>
      <c r="J879" s="843" t="s">
        <v>5772</v>
      </c>
      <c r="K879" s="269">
        <v>2020</v>
      </c>
      <c r="L879" s="519">
        <v>43895</v>
      </c>
      <c r="M879" s="844">
        <v>43899</v>
      </c>
      <c r="N879" s="844">
        <v>44196</v>
      </c>
      <c r="O879" s="1099" t="str">
        <f>IF(+Modificaciones!I879=0,"",VLOOKUP(E879,Modificaciones!$B$7:$I$2400,8,0))</f>
        <v/>
      </c>
      <c r="P879" s="115">
        <f>COUNTA(Modificaciones!J879,Modificaciones!L879,Modificaciones!N879,Modificaciones!P879)</f>
        <v>0</v>
      </c>
      <c r="Q879" s="116">
        <f>VLOOKUP(E879,Modificaciones!$B$7:$R$2300,17,0)</f>
        <v>0</v>
      </c>
      <c r="R879" s="117">
        <f>COUNTA(Modificaciones!T879,Modificaciones!V879,Modificaciones!X879,Modificaciones!Z879)</f>
        <v>0</v>
      </c>
      <c r="S879" s="118" t="str">
        <f>IF(Modificaciones!AA879=0,"",VLOOKUP(E879,Modificaciones!$B$7:$AA$2400,26,0))</f>
        <v/>
      </c>
      <c r="T879" s="119" t="str">
        <f>IF(Modificaciones!AB879=0,"",VLOOKUP(E879,Modificaciones!$B$7:$AB$2400,27,0))</f>
        <v/>
      </c>
      <c r="U879" s="1080" t="str">
        <f>+Modificaciones!AC879</f>
        <v/>
      </c>
      <c r="V879" s="825" t="str">
        <f>+Modificaciones!AK879</f>
        <v/>
      </c>
      <c r="W879" s="825">
        <f t="shared" si="166"/>
        <v>44196</v>
      </c>
      <c r="X879" s="59">
        <f t="shared" si="165"/>
        <v>78630000</v>
      </c>
      <c r="Y879" s="151">
        <f>VLOOKUP(E879,Modificaciones!$B$7:$BE$2300,56,0)</f>
        <v>76533200</v>
      </c>
      <c r="Z879" s="84">
        <f t="shared" si="172"/>
        <v>2096800</v>
      </c>
      <c r="AA879" s="1000" t="s">
        <v>5324</v>
      </c>
      <c r="AB879" s="823">
        <f t="shared" si="173"/>
        <v>0.97333333333333338</v>
      </c>
      <c r="AC879" s="40">
        <f t="shared" ca="1" si="167"/>
        <v>1</v>
      </c>
      <c r="AD879" s="41">
        <f t="shared" ca="1" si="168"/>
        <v>2.6666666666666616E-2</v>
      </c>
      <c r="AE879" s="181" t="str">
        <f t="shared" ca="1" si="169"/>
        <v/>
      </c>
      <c r="AF879" s="42" t="str">
        <f t="shared" si="174"/>
        <v>NO</v>
      </c>
      <c r="AG879" s="732" t="s">
        <v>5773</v>
      </c>
      <c r="AH879" s="841" t="s">
        <v>1255</v>
      </c>
      <c r="AI879" s="841" t="s">
        <v>4426</v>
      </c>
      <c r="AJ879" s="838" t="s">
        <v>5394</v>
      </c>
      <c r="AK879" s="255" t="s">
        <v>559</v>
      </c>
      <c r="AL879" s="838"/>
      <c r="AM879" s="414" t="s">
        <v>5774</v>
      </c>
      <c r="AN879" s="161" t="str">
        <f t="shared" ca="1" si="170"/>
        <v>TERMINO</v>
      </c>
      <c r="AO879" s="284" t="s">
        <v>582</v>
      </c>
      <c r="AP879" s="406" t="s">
        <v>391</v>
      </c>
      <c r="AQ879" s="819" t="str">
        <f>IFERROR(VLOOKUP(E879,'liquidaciones '!$B$2:$C$1048576,2,0),"NO")</f>
        <v>NO</v>
      </c>
      <c r="AR879" s="909" t="str">
        <f>IFERROR(VLOOKUP(E879,'liquidaciones '!$B$2:$I$1048576,8,0),"")</f>
        <v/>
      </c>
      <c r="AS879" s="406"/>
      <c r="AT879" s="156" t="str">
        <f t="shared" ca="1" si="171"/>
        <v>SI</v>
      </c>
      <c r="AU879" s="1023" t="s">
        <v>5946</v>
      </c>
      <c r="AV879" s="1001"/>
      <c r="AW879" s="930" t="s">
        <v>559</v>
      </c>
      <c r="AX879" s="928"/>
      <c r="AY879" s="928"/>
    </row>
    <row r="880" spans="3:51" ht="40.799999999999997" x14ac:dyDescent="0.3">
      <c r="C880" s="837">
        <v>1171</v>
      </c>
      <c r="E880" s="120" t="s">
        <v>5777</v>
      </c>
      <c r="F880" s="414" t="s">
        <v>4149</v>
      </c>
      <c r="G880" s="863">
        <v>1098792121</v>
      </c>
      <c r="H880" s="969" t="s">
        <v>4150</v>
      </c>
      <c r="I880" s="84">
        <v>40970000</v>
      </c>
      <c r="J880" s="843" t="s">
        <v>5778</v>
      </c>
      <c r="K880" s="269">
        <v>2020</v>
      </c>
      <c r="L880" s="519">
        <v>43896</v>
      </c>
      <c r="M880" s="844">
        <v>43902</v>
      </c>
      <c r="N880" s="844">
        <v>44196</v>
      </c>
      <c r="O880" s="1099" t="str">
        <f>IF(+Modificaciones!I880=0,"",VLOOKUP(E880,Modificaciones!$B$7:$I$2400,8,0))</f>
        <v/>
      </c>
      <c r="P880" s="115">
        <f>COUNTA(Modificaciones!J880,Modificaciones!L880,Modificaciones!N880,Modificaciones!P880)</f>
        <v>0</v>
      </c>
      <c r="Q880" s="116">
        <f>VLOOKUP(E880,Modificaciones!$B$7:$R$2300,17,0)</f>
        <v>0</v>
      </c>
      <c r="R880" s="117">
        <f>COUNTA(Modificaciones!T880,Modificaciones!V880,Modificaciones!X880,Modificaciones!Z880)</f>
        <v>0</v>
      </c>
      <c r="S880" s="118" t="str">
        <f>IF(Modificaciones!AA880=0,"",VLOOKUP(E880,Modificaciones!$B$7:$AA$2400,26,0))</f>
        <v/>
      </c>
      <c r="T880" s="119" t="str">
        <f>IF(Modificaciones!AB880=0,"",VLOOKUP(E880,Modificaciones!$B$7:$AB$2400,27,0))</f>
        <v/>
      </c>
      <c r="U880" s="1080" t="str">
        <f>+Modificaciones!AC880</f>
        <v/>
      </c>
      <c r="V880" s="825" t="str">
        <f>+Modificaciones!AK880</f>
        <v/>
      </c>
      <c r="W880" s="825">
        <f t="shared" si="166"/>
        <v>44196</v>
      </c>
      <c r="X880" s="59">
        <f t="shared" si="165"/>
        <v>40970000</v>
      </c>
      <c r="Y880" s="151">
        <f>VLOOKUP(E880,Modificaciones!$B$7:$BE$2300,56,0)</f>
        <v>39467767</v>
      </c>
      <c r="Z880" s="84">
        <f t="shared" si="172"/>
        <v>1502233</v>
      </c>
      <c r="AA880" s="1000" t="s">
        <v>5324</v>
      </c>
      <c r="AB880" s="823">
        <f t="shared" si="173"/>
        <v>0.96333334146936778</v>
      </c>
      <c r="AC880" s="40">
        <f t="shared" ca="1" si="167"/>
        <v>1</v>
      </c>
      <c r="AD880" s="41">
        <f t="shared" ca="1" si="168"/>
        <v>3.6666658530632223E-2</v>
      </c>
      <c r="AE880" s="181" t="str">
        <f t="shared" ca="1" si="169"/>
        <v/>
      </c>
      <c r="AF880" s="42" t="str">
        <f t="shared" si="174"/>
        <v>NO</v>
      </c>
      <c r="AG880" s="732" t="s">
        <v>5773</v>
      </c>
      <c r="AH880" s="841" t="s">
        <v>1255</v>
      </c>
      <c r="AI880" s="841" t="s">
        <v>5779</v>
      </c>
      <c r="AJ880" s="838" t="s">
        <v>5394</v>
      </c>
      <c r="AK880" s="255" t="s">
        <v>559</v>
      </c>
      <c r="AL880" s="838"/>
      <c r="AM880" s="838" t="s">
        <v>6065</v>
      </c>
      <c r="AN880" s="161" t="str">
        <f t="shared" ca="1" si="170"/>
        <v>TERMINO</v>
      </c>
      <c r="AO880" s="284" t="s">
        <v>582</v>
      </c>
      <c r="AP880" s="406" t="s">
        <v>391</v>
      </c>
      <c r="AQ880" s="819" t="str">
        <f>IFERROR(VLOOKUP(E880,'liquidaciones '!$B$2:$C$1048576,2,0),"NO")</f>
        <v>NO</v>
      </c>
      <c r="AR880" s="909" t="str">
        <f>IFERROR(VLOOKUP(E880,'liquidaciones '!$B$2:$I$1048576,8,0),"")</f>
        <v/>
      </c>
      <c r="AS880" s="406"/>
      <c r="AT880" s="156" t="str">
        <f t="shared" ca="1" si="171"/>
        <v>SI</v>
      </c>
      <c r="AU880" s="1023" t="s">
        <v>4805</v>
      </c>
      <c r="AV880" s="1001"/>
      <c r="AW880" s="930" t="s">
        <v>6064</v>
      </c>
      <c r="AX880" s="928"/>
      <c r="AY880" s="928"/>
    </row>
    <row r="881" spans="3:51" ht="40.799999999999997" x14ac:dyDescent="0.3">
      <c r="C881" s="837">
        <v>1168</v>
      </c>
      <c r="E881" s="120" t="s">
        <v>5781</v>
      </c>
      <c r="F881" s="414" t="s">
        <v>5782</v>
      </c>
      <c r="G881" s="863">
        <v>1010163773</v>
      </c>
      <c r="H881" s="969" t="s">
        <v>5783</v>
      </c>
      <c r="I881" s="84">
        <v>45342000</v>
      </c>
      <c r="J881" s="843" t="s">
        <v>5784</v>
      </c>
      <c r="K881" s="269">
        <v>2020</v>
      </c>
      <c r="L881" s="519">
        <v>43906</v>
      </c>
      <c r="M881" s="844">
        <v>43914</v>
      </c>
      <c r="N881" s="844">
        <v>44188</v>
      </c>
      <c r="O881" s="1099" t="str">
        <f>IF(+Modificaciones!I881=0,"",VLOOKUP(E881,Modificaciones!$B$7:$I$2400,8,0))</f>
        <v/>
      </c>
      <c r="P881" s="115">
        <f>COUNTA(Modificaciones!J881,Modificaciones!L881,Modificaciones!N881,Modificaciones!P881)</f>
        <v>0</v>
      </c>
      <c r="Q881" s="116">
        <f>VLOOKUP(E881,Modificaciones!$B$7:$R$2300,17,0)</f>
        <v>0</v>
      </c>
      <c r="R881" s="117">
        <f>COUNTA(Modificaciones!T881,Modificaciones!V881,Modificaciones!X881,Modificaciones!Z881)</f>
        <v>0</v>
      </c>
      <c r="S881" s="118" t="str">
        <f>IF(Modificaciones!AA881=0,"",VLOOKUP(E881,Modificaciones!$B$7:$AA$2400,26,0))</f>
        <v/>
      </c>
      <c r="T881" s="119" t="str">
        <f>IF(Modificaciones!AB881=0,"",VLOOKUP(E881,Modificaciones!$B$7:$AB$2400,27,0))</f>
        <v/>
      </c>
      <c r="U881" s="1080" t="str">
        <f>+Modificaciones!AC881</f>
        <v/>
      </c>
      <c r="V881" s="825" t="str">
        <f>+Modificaciones!AK881</f>
        <v/>
      </c>
      <c r="W881" s="825">
        <f t="shared" si="166"/>
        <v>44188</v>
      </c>
      <c r="X881" s="59">
        <f t="shared" si="165"/>
        <v>45342000</v>
      </c>
      <c r="Y881" s="151">
        <f>VLOOKUP(E881,Modificaciones!$B$7:$BE$2300,56,0)</f>
        <v>41479533</v>
      </c>
      <c r="Z881" s="84">
        <f t="shared" si="172"/>
        <v>3862467</v>
      </c>
      <c r="AA881" s="1000" t="s">
        <v>5324</v>
      </c>
      <c r="AB881" s="823">
        <f t="shared" si="173"/>
        <v>0.91481480746327903</v>
      </c>
      <c r="AC881" s="40">
        <f t="shared" ca="1" si="167"/>
        <v>1</v>
      </c>
      <c r="AD881" s="41">
        <f t="shared" ca="1" si="168"/>
        <v>8.5185192536720966E-2</v>
      </c>
      <c r="AE881" s="181" t="str">
        <f t="shared" ca="1" si="169"/>
        <v/>
      </c>
      <c r="AF881" s="42" t="str">
        <f t="shared" si="174"/>
        <v>NO</v>
      </c>
      <c r="AG881" s="732" t="s">
        <v>5773</v>
      </c>
      <c r="AH881" s="841" t="s">
        <v>1255</v>
      </c>
      <c r="AI881" s="841" t="s">
        <v>4320</v>
      </c>
      <c r="AJ881" s="152" t="s">
        <v>5091</v>
      </c>
      <c r="AK881" s="255" t="s">
        <v>561</v>
      </c>
      <c r="AL881" s="838"/>
      <c r="AM881" s="838" t="s">
        <v>6034</v>
      </c>
      <c r="AN881" s="161" t="str">
        <f t="shared" ca="1" si="170"/>
        <v>TERMINO</v>
      </c>
      <c r="AO881" s="284" t="s">
        <v>582</v>
      </c>
      <c r="AP881" s="406" t="s">
        <v>391</v>
      </c>
      <c r="AQ881" s="819" t="str">
        <f>IFERROR(VLOOKUP(E881,'liquidaciones '!$B$2:$C$1048576,2,0),"NO")</f>
        <v>NO</v>
      </c>
      <c r="AR881" s="909" t="str">
        <f>IFERROR(VLOOKUP(E881,'liquidaciones '!$B$2:$I$1048576,8,0),"")</f>
        <v/>
      </c>
      <c r="AS881" s="406"/>
      <c r="AT881" s="156" t="str">
        <f t="shared" ca="1" si="171"/>
        <v>SI</v>
      </c>
      <c r="AU881" s="156" t="s">
        <v>5855</v>
      </c>
      <c r="AV881" s="1001"/>
      <c r="AW881" s="930" t="s">
        <v>6032</v>
      </c>
      <c r="AX881" s="928"/>
      <c r="AY881" s="928"/>
    </row>
    <row r="882" spans="3:51" ht="30.6" x14ac:dyDescent="0.3">
      <c r="C882" s="837">
        <v>1302</v>
      </c>
      <c r="E882" s="120" t="s">
        <v>5807</v>
      </c>
      <c r="F882" s="414" t="s">
        <v>5808</v>
      </c>
      <c r="G882" s="863">
        <v>1073157136</v>
      </c>
      <c r="H882" s="969" t="s">
        <v>5806</v>
      </c>
      <c r="I882" s="84">
        <v>39069000</v>
      </c>
      <c r="J882" s="843" t="s">
        <v>5809</v>
      </c>
      <c r="K882" s="269">
        <v>2020</v>
      </c>
      <c r="L882" s="519">
        <v>43909</v>
      </c>
      <c r="M882" s="844">
        <v>43915</v>
      </c>
      <c r="N882" s="844">
        <v>44189</v>
      </c>
      <c r="O882" s="1099" t="str">
        <f>IF(+Modificaciones!I882=0,"",VLOOKUP(E882,Modificaciones!$B$7:$I$2400,8,0))</f>
        <v/>
      </c>
      <c r="P882" s="115">
        <f>COUNTA(Modificaciones!J882,Modificaciones!L882,Modificaciones!N882,Modificaciones!P882)</f>
        <v>0</v>
      </c>
      <c r="Q882" s="116">
        <f>VLOOKUP(E882,Modificaciones!$B$7:$R$2300,17,0)</f>
        <v>0</v>
      </c>
      <c r="R882" s="117">
        <f>COUNTA(Modificaciones!T882,Modificaciones!V882,Modificaciones!X882,Modificaciones!Z882)</f>
        <v>0</v>
      </c>
      <c r="S882" s="118" t="str">
        <f>IF(Modificaciones!AA882=0,"",VLOOKUP(E882,Modificaciones!$B$7:$AA$2400,26,0))</f>
        <v/>
      </c>
      <c r="T882" s="119" t="str">
        <f>IF(Modificaciones!AB882=0,"",VLOOKUP(E882,Modificaciones!$B$7:$AB$2400,27,0))</f>
        <v/>
      </c>
      <c r="U882" s="1080" t="str">
        <f>+Modificaciones!AC882</f>
        <v/>
      </c>
      <c r="V882" s="825" t="str">
        <f>+Modificaciones!AK882</f>
        <v/>
      </c>
      <c r="W882" s="825">
        <f t="shared" si="166"/>
        <v>44189</v>
      </c>
      <c r="X882" s="59">
        <f t="shared" si="165"/>
        <v>39069000</v>
      </c>
      <c r="Y882" s="151">
        <f>VLOOKUP(E882,Modificaciones!$B$7:$BE$2300,56,0)</f>
        <v>39069000</v>
      </c>
      <c r="Z882" s="84">
        <f t="shared" si="172"/>
        <v>0</v>
      </c>
      <c r="AA882" s="1000" t="s">
        <v>5324</v>
      </c>
      <c r="AB882" s="823">
        <f t="shared" si="173"/>
        <v>1</v>
      </c>
      <c r="AC882" s="40">
        <f t="shared" ca="1" si="167"/>
        <v>1</v>
      </c>
      <c r="AD882" s="41">
        <f t="shared" ca="1" si="168"/>
        <v>0</v>
      </c>
      <c r="AE882" s="181" t="str">
        <f t="shared" ca="1" si="169"/>
        <v/>
      </c>
      <c r="AF882" s="42" t="str">
        <f t="shared" si="174"/>
        <v>SI</v>
      </c>
      <c r="AG882" s="732" t="s">
        <v>5773</v>
      </c>
      <c r="AH882" s="841" t="s">
        <v>1255</v>
      </c>
      <c r="AI882" s="870" t="s">
        <v>4872</v>
      </c>
      <c r="AJ882" s="152" t="s">
        <v>1434</v>
      </c>
      <c r="AK882" s="255" t="s">
        <v>560</v>
      </c>
      <c r="AL882" s="838"/>
      <c r="AM882" s="414" t="s">
        <v>6031</v>
      </c>
      <c r="AN882" s="161" t="str">
        <f t="shared" ca="1" si="170"/>
        <v>TERMINO</v>
      </c>
      <c r="AO882" s="284" t="s">
        <v>582</v>
      </c>
      <c r="AP882" s="406" t="s">
        <v>391</v>
      </c>
      <c r="AQ882" s="819" t="str">
        <f>IFERROR(VLOOKUP(E882,'liquidaciones '!$B$2:$C$1048576,2,0),"NO")</f>
        <v>NO</v>
      </c>
      <c r="AR882" s="909" t="str">
        <f>IFERROR(VLOOKUP(E882,'liquidaciones '!$B$2:$I$1048576,8,0),"")</f>
        <v/>
      </c>
      <c r="AS882" s="406"/>
      <c r="AT882" s="156" t="str">
        <f t="shared" ca="1" si="171"/>
        <v>SI</v>
      </c>
      <c r="AU882" s="1023" t="s">
        <v>4805</v>
      </c>
      <c r="AV882" s="1001"/>
      <c r="AW882" s="930" t="s">
        <v>6032</v>
      </c>
      <c r="AX882" s="928"/>
      <c r="AY882" s="928"/>
    </row>
    <row r="883" spans="3:51" ht="30.6" x14ac:dyDescent="0.3">
      <c r="C883" s="837">
        <v>1157</v>
      </c>
      <c r="E883" s="120" t="s">
        <v>5810</v>
      </c>
      <c r="F883" s="414" t="s">
        <v>1337</v>
      </c>
      <c r="G883" s="863" t="s">
        <v>2719</v>
      </c>
      <c r="H883" s="969" t="s">
        <v>5811</v>
      </c>
      <c r="I883" s="84">
        <v>142040304</v>
      </c>
      <c r="J883" s="843" t="s">
        <v>5812</v>
      </c>
      <c r="K883" s="269">
        <v>2020</v>
      </c>
      <c r="L883" s="519">
        <v>43909</v>
      </c>
      <c r="M883" s="844">
        <v>43912</v>
      </c>
      <c r="N883" s="844">
        <v>44276</v>
      </c>
      <c r="O883" s="1099" t="str">
        <f>IF(+Modificaciones!I883=0,"",VLOOKUP(E883,Modificaciones!$B$7:$I$2400,8,0))</f>
        <v/>
      </c>
      <c r="P883" s="115">
        <f>COUNTA(Modificaciones!J883,Modificaciones!L883,Modificaciones!N883,Modificaciones!P883)</f>
        <v>0</v>
      </c>
      <c r="Q883" s="116">
        <f>VLOOKUP(E883,Modificaciones!$B$7:$R$2300,17,0)</f>
        <v>0</v>
      </c>
      <c r="R883" s="117">
        <f>COUNTA(Modificaciones!T883,Modificaciones!V883,Modificaciones!X883,Modificaciones!Z883)</f>
        <v>0</v>
      </c>
      <c r="S883" s="118" t="str">
        <f>IF(Modificaciones!AA883=0,"",VLOOKUP(E883,Modificaciones!$B$7:$AA$2400,26,0))</f>
        <v/>
      </c>
      <c r="T883" s="119" t="str">
        <f>IF(Modificaciones!AB883=0,"",VLOOKUP(E883,Modificaciones!$B$7:$AB$2400,27,0))</f>
        <v/>
      </c>
      <c r="U883" s="1080" t="str">
        <f>+Modificaciones!AC883</f>
        <v/>
      </c>
      <c r="V883" s="825" t="str">
        <f>+Modificaciones!AK883</f>
        <v/>
      </c>
      <c r="W883" s="825">
        <f t="shared" si="166"/>
        <v>44276</v>
      </c>
      <c r="X883" s="59">
        <f t="shared" si="165"/>
        <v>142040304</v>
      </c>
      <c r="Y883" s="151">
        <f>VLOOKUP(E883,Modificaciones!$B$7:$BE$2300,56,0)</f>
        <v>0</v>
      </c>
      <c r="Z883" s="84">
        <f t="shared" si="172"/>
        <v>142040304</v>
      </c>
      <c r="AA883" s="1000" t="s">
        <v>2837</v>
      </c>
      <c r="AB883" s="823">
        <f t="shared" si="173"/>
        <v>0</v>
      </c>
      <c r="AC883" s="40">
        <f t="shared" ca="1" si="167"/>
        <v>0.86813186813186816</v>
      </c>
      <c r="AD883" s="41">
        <f t="shared" ca="1" si="168"/>
        <v>0.86813186813186816</v>
      </c>
      <c r="AE883" s="181">
        <f t="shared" ca="1" si="169"/>
        <v>48</v>
      </c>
      <c r="AF883" s="42" t="str">
        <f t="shared" si="174"/>
        <v>NO</v>
      </c>
      <c r="AG883" s="406" t="s">
        <v>1718</v>
      </c>
      <c r="AH883" s="841" t="s">
        <v>1256</v>
      </c>
      <c r="AI883" s="841" t="s">
        <v>5813</v>
      </c>
      <c r="AJ883" s="152" t="s">
        <v>1438</v>
      </c>
      <c r="AK883" s="255" t="s">
        <v>560</v>
      </c>
      <c r="AL883" s="406" t="s">
        <v>4852</v>
      </c>
      <c r="AM883" s="838" t="s">
        <v>5734</v>
      </c>
      <c r="AN883" s="161" t="str">
        <f t="shared" ca="1" si="170"/>
        <v>EN EJECUCIÓN</v>
      </c>
      <c r="AO883" s="284" t="s">
        <v>582</v>
      </c>
      <c r="AP883" s="406" t="s">
        <v>390</v>
      </c>
      <c r="AQ883" s="819" t="str">
        <f>IFERROR(VLOOKUP(E883,'liquidaciones '!$B$2:$C$1048576,2,0),"NO")</f>
        <v>NO</v>
      </c>
      <c r="AR883" s="909" t="str">
        <f>IFERROR(VLOOKUP(E883,'liquidaciones '!$B$2:$I$1048576,8,0),"")</f>
        <v/>
      </c>
      <c r="AS883" s="406"/>
      <c r="AT883" s="156" t="str">
        <f t="shared" ca="1" si="171"/>
        <v>SI</v>
      </c>
      <c r="AU883" s="1023" t="s">
        <v>5967</v>
      </c>
      <c r="AV883" s="406" t="s">
        <v>4852</v>
      </c>
      <c r="AW883" s="930" t="s">
        <v>560</v>
      </c>
      <c r="AX883" s="928"/>
      <c r="AY883" s="928"/>
    </row>
    <row r="884" spans="3:51" ht="30.6" x14ac:dyDescent="0.3">
      <c r="C884" s="837">
        <v>1306</v>
      </c>
      <c r="E884" s="120" t="s">
        <v>5814</v>
      </c>
      <c r="F884" s="414" t="s">
        <v>5815</v>
      </c>
      <c r="G884" s="863">
        <v>52538684</v>
      </c>
      <c r="H884" s="969" t="s">
        <v>5816</v>
      </c>
      <c r="I884" s="84">
        <v>30012959</v>
      </c>
      <c r="J884" s="843" t="s">
        <v>5817</v>
      </c>
      <c r="K884" s="269">
        <v>2020</v>
      </c>
      <c r="L884" s="519">
        <v>43908</v>
      </c>
      <c r="M884" s="844">
        <v>43922</v>
      </c>
      <c r="N884" s="844">
        <v>44196</v>
      </c>
      <c r="O884" s="1099" t="str">
        <f>IF(+Modificaciones!I884=0,"",VLOOKUP(E884,Modificaciones!$B$7:$I$2400,8,0))</f>
        <v/>
      </c>
      <c r="P884" s="115">
        <f>COUNTA(Modificaciones!J884,Modificaciones!L884,Modificaciones!N884,Modificaciones!P884)</f>
        <v>0</v>
      </c>
      <c r="Q884" s="116">
        <f>VLOOKUP(E884,Modificaciones!$B$7:$R$2300,17,0)</f>
        <v>0</v>
      </c>
      <c r="R884" s="117">
        <f>COUNTA(Modificaciones!T884,Modificaciones!V884,Modificaciones!X884,Modificaciones!Z884)</f>
        <v>0</v>
      </c>
      <c r="S884" s="118" t="str">
        <f>IF(Modificaciones!AA884=0,"",VLOOKUP(E884,Modificaciones!$B$7:$AA$2400,26,0))</f>
        <v/>
      </c>
      <c r="T884" s="119" t="str">
        <f>IF(Modificaciones!AB884=0,"",VLOOKUP(E884,Modificaciones!$B$7:$AB$2400,27,0))</f>
        <v/>
      </c>
      <c r="U884" s="1080" t="str">
        <f>+Modificaciones!AC884</f>
        <v/>
      </c>
      <c r="V884" s="825" t="str">
        <f>+Modificaciones!AK884</f>
        <v/>
      </c>
      <c r="W884" s="825">
        <f t="shared" si="166"/>
        <v>44196</v>
      </c>
      <c r="X884" s="59">
        <f t="shared" si="165"/>
        <v>30012959</v>
      </c>
      <c r="Y884" s="151">
        <f>VLOOKUP(E884,Modificaciones!$B$7:$BE$2300,56,0)</f>
        <v>24584000</v>
      </c>
      <c r="Z884" s="84">
        <f t="shared" si="172"/>
        <v>5428959</v>
      </c>
      <c r="AA884" s="1000" t="s">
        <v>5324</v>
      </c>
      <c r="AB884" s="823">
        <f t="shared" si="173"/>
        <v>0.81911283722474681</v>
      </c>
      <c r="AC884" s="40">
        <f t="shared" ca="1" si="167"/>
        <v>1</v>
      </c>
      <c r="AD884" s="41">
        <f t="shared" ca="1" si="168"/>
        <v>0.18088716277525319</v>
      </c>
      <c r="AE884" s="181" t="str">
        <f t="shared" ca="1" si="169"/>
        <v/>
      </c>
      <c r="AF884" s="42" t="str">
        <f t="shared" si="174"/>
        <v>NO</v>
      </c>
      <c r="AG884" s="732" t="s">
        <v>5773</v>
      </c>
      <c r="AH884" s="841" t="s">
        <v>1255</v>
      </c>
      <c r="AI884" s="870" t="s">
        <v>2588</v>
      </c>
      <c r="AJ884" s="838" t="s">
        <v>5394</v>
      </c>
      <c r="AK884" s="255" t="s">
        <v>559</v>
      </c>
      <c r="AL884" s="838"/>
      <c r="AM884" s="414" t="s">
        <v>6065</v>
      </c>
      <c r="AN884" s="161" t="str">
        <f t="shared" ca="1" si="170"/>
        <v>TERMINO</v>
      </c>
      <c r="AO884" s="284" t="s">
        <v>582</v>
      </c>
      <c r="AP884" s="406" t="s">
        <v>391</v>
      </c>
      <c r="AQ884" s="819" t="str">
        <f>IFERROR(VLOOKUP(E884,'liquidaciones '!$B$2:$C$1048576,2,0),"NO")</f>
        <v>NO</v>
      </c>
      <c r="AR884" s="909" t="str">
        <f>IFERROR(VLOOKUP(E884,'liquidaciones '!$B$2:$I$1048576,8,0),"")</f>
        <v/>
      </c>
      <c r="AS884" s="406"/>
      <c r="AT884" s="156" t="str">
        <f t="shared" ca="1" si="171"/>
        <v>SI</v>
      </c>
      <c r="AU884" s="1023" t="s">
        <v>5946</v>
      </c>
      <c r="AV884" s="1001"/>
      <c r="AW884" s="930" t="s">
        <v>6064</v>
      </c>
      <c r="AX884" s="928"/>
      <c r="AY884" s="928"/>
    </row>
    <row r="885" spans="3:51" ht="40.799999999999997" x14ac:dyDescent="0.3">
      <c r="C885" s="837">
        <v>1315</v>
      </c>
      <c r="E885" s="120" t="s">
        <v>5821</v>
      </c>
      <c r="F885" s="414" t="s">
        <v>5836</v>
      </c>
      <c r="G885" s="863">
        <v>80756520</v>
      </c>
      <c r="H885" s="969" t="s">
        <v>5822</v>
      </c>
      <c r="I885" s="84">
        <v>55305000</v>
      </c>
      <c r="J885" s="843" t="s">
        <v>5823</v>
      </c>
      <c r="K885" s="269">
        <v>2020</v>
      </c>
      <c r="L885" s="519">
        <v>43908</v>
      </c>
      <c r="M885" s="844">
        <v>43922</v>
      </c>
      <c r="N885" s="844">
        <v>44196</v>
      </c>
      <c r="O885" s="1099" t="str">
        <f>IF(+Modificaciones!I885=0,"",VLOOKUP(E885,Modificaciones!$B$7:$I$2400,8,0))</f>
        <v/>
      </c>
      <c r="P885" s="115">
        <f>COUNTA(Modificaciones!J885,Modificaciones!L885,Modificaciones!N885,Modificaciones!P885)</f>
        <v>0</v>
      </c>
      <c r="Q885" s="116">
        <f>VLOOKUP(E885,Modificaciones!$B$7:$R$2300,17,0)</f>
        <v>0</v>
      </c>
      <c r="R885" s="117">
        <f>COUNTA(Modificaciones!T885,Modificaciones!V885,Modificaciones!X885,Modificaciones!Z885)</f>
        <v>0</v>
      </c>
      <c r="S885" s="118" t="str">
        <f>IF(Modificaciones!AA885=0,"",VLOOKUP(E885,Modificaciones!$B$7:$AA$2400,26,0))</f>
        <v/>
      </c>
      <c r="T885" s="119" t="str">
        <f>IF(Modificaciones!AB885=0,"",VLOOKUP(E885,Modificaciones!$B$7:$AB$2400,27,0))</f>
        <v/>
      </c>
      <c r="U885" s="1080" t="str">
        <f>+Modificaciones!AC885</f>
        <v/>
      </c>
      <c r="V885" s="825" t="str">
        <f>+Modificaciones!AK885</f>
        <v/>
      </c>
      <c r="W885" s="825">
        <f t="shared" si="166"/>
        <v>44196</v>
      </c>
      <c r="X885" s="59">
        <f t="shared" si="165"/>
        <v>55305000</v>
      </c>
      <c r="Y885" s="151">
        <f>VLOOKUP(E885,Modificaciones!$B$7:$BE$2300,56,0)</f>
        <v>49160000</v>
      </c>
      <c r="Z885" s="84">
        <f t="shared" si="172"/>
        <v>6145000</v>
      </c>
      <c r="AA885" s="1000" t="s">
        <v>5324</v>
      </c>
      <c r="AB885" s="823">
        <f t="shared" si="173"/>
        <v>0.88888888888888884</v>
      </c>
      <c r="AC885" s="40">
        <f t="shared" ca="1" si="167"/>
        <v>1</v>
      </c>
      <c r="AD885" s="41">
        <f t="shared" ca="1" si="168"/>
        <v>0.11111111111111116</v>
      </c>
      <c r="AE885" s="181" t="str">
        <f t="shared" ca="1" si="169"/>
        <v/>
      </c>
      <c r="AF885" s="42" t="str">
        <f t="shared" si="174"/>
        <v>NO</v>
      </c>
      <c r="AG885" s="732" t="s">
        <v>5773</v>
      </c>
      <c r="AH885" s="841" t="s">
        <v>1255</v>
      </c>
      <c r="AI885" s="870" t="s">
        <v>4878</v>
      </c>
      <c r="AJ885" s="152" t="s">
        <v>5091</v>
      </c>
      <c r="AK885" s="255" t="s">
        <v>561</v>
      </c>
      <c r="AL885" s="838"/>
      <c r="AM885" s="838" t="s">
        <v>5785</v>
      </c>
      <c r="AN885" s="161" t="str">
        <f t="shared" ca="1" si="170"/>
        <v>TERMINO</v>
      </c>
      <c r="AO885" s="284" t="s">
        <v>582</v>
      </c>
      <c r="AP885" s="406" t="s">
        <v>391</v>
      </c>
      <c r="AQ885" s="819" t="str">
        <f>IFERROR(VLOOKUP(E885,'liquidaciones '!$B$2:$C$1048576,2,0),"NO")</f>
        <v>NO</v>
      </c>
      <c r="AR885" s="909" t="str">
        <f>IFERROR(VLOOKUP(E885,'liquidaciones '!$B$2:$I$1048576,8,0),"")</f>
        <v/>
      </c>
      <c r="AS885" s="406"/>
      <c r="AT885" s="156" t="str">
        <f t="shared" ca="1" si="171"/>
        <v>SI</v>
      </c>
      <c r="AU885" s="156" t="s">
        <v>5855</v>
      </c>
      <c r="AV885" s="1001"/>
      <c r="AW885" s="930" t="s">
        <v>561</v>
      </c>
      <c r="AX885" s="928"/>
      <c r="AY885" s="928"/>
    </row>
    <row r="886" spans="3:51" ht="30.6" x14ac:dyDescent="0.3">
      <c r="C886" s="837">
        <v>1220</v>
      </c>
      <c r="E886" s="120" t="s">
        <v>5825</v>
      </c>
      <c r="F886" s="120" t="s">
        <v>5824</v>
      </c>
      <c r="G886" s="863">
        <v>80197126</v>
      </c>
      <c r="H886" s="969" t="s">
        <v>5826</v>
      </c>
      <c r="I886" s="84">
        <v>40194000</v>
      </c>
      <c r="J886" s="843" t="s">
        <v>5827</v>
      </c>
      <c r="K886" s="269">
        <v>2020</v>
      </c>
      <c r="L886" s="519">
        <v>43908</v>
      </c>
      <c r="M886" s="844">
        <v>43917</v>
      </c>
      <c r="N886" s="844">
        <v>44191</v>
      </c>
      <c r="O886" s="1099" t="str">
        <f>IF(+Modificaciones!I886=0,"",VLOOKUP(E886,Modificaciones!$B$7:$I$2400,8,0))</f>
        <v/>
      </c>
      <c r="P886" s="115">
        <f>COUNTA(Modificaciones!J886,Modificaciones!L886,Modificaciones!N886,Modificaciones!P886)</f>
        <v>0</v>
      </c>
      <c r="Q886" s="116">
        <f>VLOOKUP(E886,Modificaciones!$B$7:$R$2300,17,0)</f>
        <v>0</v>
      </c>
      <c r="R886" s="117">
        <f>COUNTA(Modificaciones!T886,Modificaciones!V886,Modificaciones!X886,Modificaciones!Z886)</f>
        <v>0</v>
      </c>
      <c r="S886" s="118" t="str">
        <f>IF(Modificaciones!AA886=0,"",VLOOKUP(E886,Modificaciones!$B$7:$AA$2400,26,0))</f>
        <v/>
      </c>
      <c r="T886" s="119" t="str">
        <f>IF(Modificaciones!AB886=0,"",VLOOKUP(E886,Modificaciones!$B$7:$AB$2400,27,0))</f>
        <v/>
      </c>
      <c r="U886" s="1080" t="str">
        <f>+Modificaciones!AC886</f>
        <v/>
      </c>
      <c r="V886" s="825" t="str">
        <f>+Modificaciones!AK886</f>
        <v/>
      </c>
      <c r="W886" s="825">
        <f t="shared" si="166"/>
        <v>44191</v>
      </c>
      <c r="X886" s="59">
        <f t="shared" si="165"/>
        <v>40194000</v>
      </c>
      <c r="Y886" s="151">
        <f>VLOOKUP(E886,Modificaciones!$B$7:$BE$2300,56,0)</f>
        <v>40194000</v>
      </c>
      <c r="Z886" s="84">
        <f t="shared" si="172"/>
        <v>0</v>
      </c>
      <c r="AA886" s="1000" t="s">
        <v>5324</v>
      </c>
      <c r="AB886" s="823">
        <f t="shared" si="173"/>
        <v>1</v>
      </c>
      <c r="AC886" s="40">
        <f t="shared" ca="1" si="167"/>
        <v>1</v>
      </c>
      <c r="AD886" s="41">
        <f t="shared" ca="1" si="168"/>
        <v>0</v>
      </c>
      <c r="AE886" s="181" t="str">
        <f t="shared" ca="1" si="169"/>
        <v/>
      </c>
      <c r="AF886" s="42" t="str">
        <f t="shared" si="174"/>
        <v>SI</v>
      </c>
      <c r="AG886" s="732" t="s">
        <v>5773</v>
      </c>
      <c r="AH886" s="841" t="s">
        <v>1255</v>
      </c>
      <c r="AI886" s="870" t="s">
        <v>4872</v>
      </c>
      <c r="AJ886" s="838"/>
      <c r="AK886" s="255" t="s">
        <v>560</v>
      </c>
      <c r="AL886" s="838"/>
      <c r="AM886" s="414" t="s">
        <v>6068</v>
      </c>
      <c r="AN886" s="161" t="str">
        <f t="shared" ca="1" si="170"/>
        <v>TERMINO</v>
      </c>
      <c r="AO886" s="284" t="s">
        <v>582</v>
      </c>
      <c r="AP886" s="406" t="s">
        <v>391</v>
      </c>
      <c r="AQ886" s="819" t="str">
        <f>IFERROR(VLOOKUP(E886,'liquidaciones '!$B$2:$C$1048576,2,0),"NO")</f>
        <v>NO</v>
      </c>
      <c r="AR886" s="909" t="str">
        <f>IFERROR(VLOOKUP(E886,'liquidaciones '!$B$2:$I$1048576,8,0),"")</f>
        <v/>
      </c>
      <c r="AS886" s="406"/>
      <c r="AT886" s="156" t="str">
        <f t="shared" ca="1" si="171"/>
        <v>SI</v>
      </c>
      <c r="AU886" s="1104" t="s">
        <v>4805</v>
      </c>
      <c r="AV886" s="1001"/>
      <c r="AW886" s="930" t="s">
        <v>6064</v>
      </c>
      <c r="AX886" s="928"/>
      <c r="AY886" s="928"/>
    </row>
    <row r="887" spans="3:51" ht="122.4" x14ac:dyDescent="0.3">
      <c r="C887" s="837">
        <v>1192</v>
      </c>
      <c r="E887" s="120" t="s">
        <v>5829</v>
      </c>
      <c r="F887" s="414" t="s">
        <v>5830</v>
      </c>
      <c r="G887" s="863">
        <v>860524654</v>
      </c>
      <c r="H887" s="969" t="s">
        <v>5831</v>
      </c>
      <c r="I887" s="84">
        <v>33765812</v>
      </c>
      <c r="J887" s="843" t="s">
        <v>5832</v>
      </c>
      <c r="K887" s="269">
        <v>2020</v>
      </c>
      <c r="L887" s="519">
        <v>43908</v>
      </c>
      <c r="M887" s="844">
        <v>43952</v>
      </c>
      <c r="N887" s="844">
        <v>44687</v>
      </c>
      <c r="O887" s="1099" t="str">
        <f>IF(+Modificaciones!I887=0,"",VLOOKUP(E887,Modificaciones!$B$7:$I$2400,8,0))</f>
        <v/>
      </c>
      <c r="P887" s="115">
        <f>COUNTA(Modificaciones!J887,Modificaciones!L887,Modificaciones!N887,Modificaciones!P887)</f>
        <v>0</v>
      </c>
      <c r="Q887" s="116">
        <f>VLOOKUP(E887,Modificaciones!$B$7:$R$2300,17,0)</f>
        <v>0</v>
      </c>
      <c r="R887" s="117">
        <f>COUNTA(Modificaciones!T887,Modificaciones!V887,Modificaciones!X887,Modificaciones!Z887)</f>
        <v>0</v>
      </c>
      <c r="S887" s="118" t="str">
        <f>IF(Modificaciones!AA887=0,"",VLOOKUP(E887,Modificaciones!$B$7:$AA$2400,26,0))</f>
        <v/>
      </c>
      <c r="T887" s="119" t="str">
        <f>IF(Modificaciones!AB887=0,"",VLOOKUP(E887,Modificaciones!$B$7:$AB$2400,27,0))</f>
        <v/>
      </c>
      <c r="U887" s="1080" t="str">
        <f>+Modificaciones!AC887</f>
        <v/>
      </c>
      <c r="V887" s="825" t="str">
        <f>+Modificaciones!AK887</f>
        <v/>
      </c>
      <c r="W887" s="825">
        <f t="shared" si="166"/>
        <v>44687</v>
      </c>
      <c r="X887" s="59">
        <f t="shared" si="165"/>
        <v>33765812</v>
      </c>
      <c r="Y887" s="151">
        <f>VLOOKUP(E887,Modificaciones!$B$7:$BE$2300,56,0)</f>
        <v>33765812</v>
      </c>
      <c r="Z887" s="84">
        <f t="shared" si="172"/>
        <v>0</v>
      </c>
      <c r="AA887" s="1000" t="s">
        <v>5833</v>
      </c>
      <c r="AB887" s="823">
        <f t="shared" si="173"/>
        <v>1</v>
      </c>
      <c r="AC887" s="40">
        <f t="shared" ca="1" si="167"/>
        <v>0.37551020408163266</v>
      </c>
      <c r="AD887" s="41">
        <f t="shared" ca="1" si="168"/>
        <v>-0.62448979591836729</v>
      </c>
      <c r="AE887" s="181">
        <f t="shared" ca="1" si="169"/>
        <v>459</v>
      </c>
      <c r="AF887" s="42" t="str">
        <f t="shared" si="174"/>
        <v>SI</v>
      </c>
      <c r="AG887" s="1037" t="s">
        <v>5834</v>
      </c>
      <c r="AH887" s="841" t="s">
        <v>1255</v>
      </c>
      <c r="AI887" s="841" t="s">
        <v>5835</v>
      </c>
      <c r="AJ887" s="838" t="s">
        <v>5394</v>
      </c>
      <c r="AK887" s="255" t="s">
        <v>559</v>
      </c>
      <c r="AL887" s="838"/>
      <c r="AM887" s="838" t="s">
        <v>6571</v>
      </c>
      <c r="AN887" s="161" t="str">
        <f t="shared" ca="1" si="170"/>
        <v>EN EJECUCIÓN</v>
      </c>
      <c r="AO887" s="414" t="s">
        <v>573</v>
      </c>
      <c r="AP887" s="406" t="s">
        <v>390</v>
      </c>
      <c r="AQ887" s="819" t="str">
        <f>IFERROR(VLOOKUP(E887,'liquidaciones '!$B$2:$C$1048576,2,0),"NO")</f>
        <v>NO</v>
      </c>
      <c r="AR887" s="909" t="str">
        <f>IFERROR(VLOOKUP(E887,'liquidaciones '!$B$2:$I$1048576,8,0),"")</f>
        <v/>
      </c>
      <c r="AS887" s="406"/>
      <c r="AT887" s="156" t="str">
        <f t="shared" ca="1" si="171"/>
        <v>SI</v>
      </c>
      <c r="AU887" s="156" t="s">
        <v>5875</v>
      </c>
      <c r="AV887" s="1001"/>
      <c r="AW887" s="930" t="s">
        <v>559</v>
      </c>
      <c r="AX887" s="928"/>
      <c r="AY887" s="928"/>
    </row>
    <row r="888" spans="3:51" ht="30.6" x14ac:dyDescent="0.3">
      <c r="C888" s="837">
        <v>1221</v>
      </c>
      <c r="E888" s="120" t="s">
        <v>5837</v>
      </c>
      <c r="F888" s="414" t="s">
        <v>5035</v>
      </c>
      <c r="G888" s="863">
        <v>1013633500</v>
      </c>
      <c r="H888" s="969" t="s">
        <v>5838</v>
      </c>
      <c r="I888" s="84">
        <v>40194000</v>
      </c>
      <c r="J888" s="843" t="s">
        <v>5839</v>
      </c>
      <c r="K888" s="269">
        <v>2020</v>
      </c>
      <c r="L888" s="519">
        <v>43915</v>
      </c>
      <c r="M888" s="844">
        <v>43917</v>
      </c>
      <c r="N888" s="844">
        <v>44191</v>
      </c>
      <c r="O888" s="1099" t="str">
        <f>IF(+Modificaciones!I888=0,"",VLOOKUP(E888,Modificaciones!$B$7:$I$2400,8,0))</f>
        <v/>
      </c>
      <c r="P888" s="115">
        <f>COUNTA(Modificaciones!J888,Modificaciones!L888,Modificaciones!N888,Modificaciones!P888)</f>
        <v>0</v>
      </c>
      <c r="Q888" s="116">
        <f>VLOOKUP(E888,Modificaciones!$B$7:$R$2300,17,0)</f>
        <v>0</v>
      </c>
      <c r="R888" s="117">
        <f>COUNTA(Modificaciones!T888,Modificaciones!V888,Modificaciones!X888,Modificaciones!Z888)</f>
        <v>0</v>
      </c>
      <c r="S888" s="118" t="str">
        <f>IF(Modificaciones!AA888=0,"",VLOOKUP(E888,Modificaciones!$B$7:$AA$2400,26,0))</f>
        <v/>
      </c>
      <c r="T888" s="119" t="str">
        <f>IF(Modificaciones!AB888=0,"",VLOOKUP(E888,Modificaciones!$B$7:$AB$2400,27,0))</f>
        <v/>
      </c>
      <c r="U888" s="1080" t="str">
        <f>+Modificaciones!AC888</f>
        <v/>
      </c>
      <c r="V888" s="825" t="str">
        <f>+Modificaciones!AK888</f>
        <v/>
      </c>
      <c r="W888" s="825">
        <f t="shared" si="166"/>
        <v>44191</v>
      </c>
      <c r="X888" s="59">
        <f t="shared" si="165"/>
        <v>40194000</v>
      </c>
      <c r="Y888" s="151">
        <f>VLOOKUP(E888,Modificaciones!$B$7:$BE$2300,56,0)</f>
        <v>40194000</v>
      </c>
      <c r="Z888" s="84">
        <f t="shared" si="172"/>
        <v>0</v>
      </c>
      <c r="AA888" s="1000" t="s">
        <v>5324</v>
      </c>
      <c r="AB888" s="823">
        <f t="shared" si="173"/>
        <v>1</v>
      </c>
      <c r="AC888" s="40">
        <f t="shared" ca="1" si="167"/>
        <v>1</v>
      </c>
      <c r="AD888" s="41">
        <f t="shared" ca="1" si="168"/>
        <v>0</v>
      </c>
      <c r="AE888" s="181" t="str">
        <f t="shared" ca="1" si="169"/>
        <v/>
      </c>
      <c r="AF888" s="42" t="str">
        <f t="shared" si="174"/>
        <v>SI</v>
      </c>
      <c r="AG888" s="732" t="s">
        <v>5773</v>
      </c>
      <c r="AH888" s="841" t="s">
        <v>1255</v>
      </c>
      <c r="AI888" s="870" t="s">
        <v>2588</v>
      </c>
      <c r="AJ888" s="838" t="s">
        <v>5394</v>
      </c>
      <c r="AK888" s="255" t="s">
        <v>559</v>
      </c>
      <c r="AL888" s="838"/>
      <c r="AM888" s="838" t="s">
        <v>5774</v>
      </c>
      <c r="AN888" s="161" t="str">
        <f t="shared" ca="1" si="170"/>
        <v>TERMINO</v>
      </c>
      <c r="AO888" s="284" t="s">
        <v>582</v>
      </c>
      <c r="AP888" s="406" t="s">
        <v>391</v>
      </c>
      <c r="AQ888" s="819" t="str">
        <f>IFERROR(VLOOKUP(E888,'liquidaciones '!$B$2:$C$1048576,2,0),"NO")</f>
        <v>NO</v>
      </c>
      <c r="AR888" s="909" t="str">
        <f>IFERROR(VLOOKUP(E888,'liquidaciones '!$B$2:$I$1048576,8,0),"")</f>
        <v/>
      </c>
      <c r="AS888" s="406"/>
      <c r="AT888" s="156" t="str">
        <f t="shared" ca="1" si="171"/>
        <v>SI</v>
      </c>
      <c r="AU888" s="1023" t="s">
        <v>4805</v>
      </c>
      <c r="AV888" s="1001"/>
      <c r="AW888" s="930" t="s">
        <v>559</v>
      </c>
      <c r="AX888" s="928"/>
      <c r="AY888" s="928"/>
    </row>
    <row r="889" spans="3:51" ht="40.799999999999997" x14ac:dyDescent="0.3">
      <c r="C889" s="837">
        <v>1310</v>
      </c>
      <c r="E889" s="120" t="s">
        <v>5840</v>
      </c>
      <c r="F889" s="414" t="s">
        <v>5841</v>
      </c>
      <c r="G889" s="863">
        <v>23782373</v>
      </c>
      <c r="H889" s="969" t="s">
        <v>5842</v>
      </c>
      <c r="I889" s="84">
        <v>49707000</v>
      </c>
      <c r="J889" s="843" t="s">
        <v>5843</v>
      </c>
      <c r="K889" s="269">
        <v>2020</v>
      </c>
      <c r="L889" s="519">
        <v>43915</v>
      </c>
      <c r="M889" s="844">
        <v>43922</v>
      </c>
      <c r="N889" s="844">
        <v>44196</v>
      </c>
      <c r="O889" s="1099" t="str">
        <f>IF(+Modificaciones!I889=0,"",VLOOKUP(E889,Modificaciones!$B$7:$I$2400,8,0))</f>
        <v/>
      </c>
      <c r="P889" s="115">
        <f>COUNTA(Modificaciones!J889,Modificaciones!L889,Modificaciones!N889,Modificaciones!P889)</f>
        <v>0</v>
      </c>
      <c r="Q889" s="116">
        <f>VLOOKUP(E889,Modificaciones!$B$7:$R$2300,17,0)</f>
        <v>0</v>
      </c>
      <c r="R889" s="117">
        <f>COUNTA(Modificaciones!T889,Modificaciones!V889,Modificaciones!X889,Modificaciones!Z889)</f>
        <v>0</v>
      </c>
      <c r="S889" s="118" t="str">
        <f>IF(Modificaciones!AA889=0,"",VLOOKUP(E889,Modificaciones!$B$7:$AA$2400,26,0))</f>
        <v/>
      </c>
      <c r="T889" s="119" t="str">
        <f>IF(Modificaciones!AB889=0,"",VLOOKUP(E889,Modificaciones!$B$7:$AB$2400,27,0))</f>
        <v/>
      </c>
      <c r="U889" s="1080" t="str">
        <f>+Modificaciones!AC889</f>
        <v/>
      </c>
      <c r="V889" s="825" t="str">
        <f>+Modificaciones!AK889</f>
        <v/>
      </c>
      <c r="W889" s="825">
        <f t="shared" si="166"/>
        <v>44196</v>
      </c>
      <c r="X889" s="59">
        <f t="shared" si="165"/>
        <v>49707000</v>
      </c>
      <c r="Y889" s="151">
        <f>VLOOKUP(E889,Modificaciones!$B$7:$BE$2300,56,0)</f>
        <v>0</v>
      </c>
      <c r="Z889" s="84">
        <f t="shared" si="172"/>
        <v>49707000</v>
      </c>
      <c r="AA889" s="1000" t="s">
        <v>5324</v>
      </c>
      <c r="AB889" s="823">
        <f t="shared" si="173"/>
        <v>0</v>
      </c>
      <c r="AC889" s="40">
        <f t="shared" ca="1" si="167"/>
        <v>1</v>
      </c>
      <c r="AD889" s="41">
        <f t="shared" ca="1" si="168"/>
        <v>1</v>
      </c>
      <c r="AE889" s="181" t="str">
        <f t="shared" ca="1" si="169"/>
        <v/>
      </c>
      <c r="AF889" s="42" t="str">
        <f t="shared" si="174"/>
        <v>NO</v>
      </c>
      <c r="AG889" s="732" t="s">
        <v>5773</v>
      </c>
      <c r="AH889" s="841" t="s">
        <v>1255</v>
      </c>
      <c r="AI889" s="870" t="s">
        <v>5844</v>
      </c>
      <c r="AJ889" s="838" t="s">
        <v>5242</v>
      </c>
      <c r="AK889" s="255" t="s">
        <v>560</v>
      </c>
      <c r="AL889" s="838"/>
      <c r="AM889" s="838" t="s">
        <v>6068</v>
      </c>
      <c r="AN889" s="161" t="str">
        <f t="shared" ca="1" si="170"/>
        <v>TERMINO</v>
      </c>
      <c r="AO889" s="284" t="s">
        <v>582</v>
      </c>
      <c r="AP889" s="406" t="s">
        <v>391</v>
      </c>
      <c r="AQ889" s="819" t="str">
        <f>IFERROR(VLOOKUP(E889,'liquidaciones '!$B$2:$C$1048576,2,0),"NO")</f>
        <v>NO</v>
      </c>
      <c r="AR889" s="909" t="str">
        <f>IFERROR(VLOOKUP(E889,'liquidaciones '!$B$2:$I$1048576,8,0),"")</f>
        <v/>
      </c>
      <c r="AS889" s="406"/>
      <c r="AT889" s="156" t="str">
        <f t="shared" ca="1" si="171"/>
        <v>SI</v>
      </c>
      <c r="AU889" s="1105" t="s">
        <v>4805</v>
      </c>
      <c r="AV889" s="1001"/>
      <c r="AW889" s="930" t="s">
        <v>6064</v>
      </c>
      <c r="AX889" s="928"/>
      <c r="AY889" s="928"/>
    </row>
    <row r="890" spans="3:51" ht="51" x14ac:dyDescent="0.3">
      <c r="C890" s="837">
        <v>1307</v>
      </c>
      <c r="E890" s="120" t="s">
        <v>5883</v>
      </c>
      <c r="F890" s="414" t="s">
        <v>5846</v>
      </c>
      <c r="G890" s="863">
        <v>1010200102</v>
      </c>
      <c r="H890" s="969" t="s">
        <v>5847</v>
      </c>
      <c r="I890" s="84">
        <v>45040000</v>
      </c>
      <c r="J890" s="843" t="s">
        <v>5848</v>
      </c>
      <c r="K890" s="269">
        <v>2020</v>
      </c>
      <c r="L890" s="519">
        <v>43915</v>
      </c>
      <c r="M890" s="844">
        <v>43922</v>
      </c>
      <c r="N890" s="844">
        <v>44196</v>
      </c>
      <c r="O890" s="1099" t="str">
        <f>IF(+Modificaciones!I890=0,"",VLOOKUP(E890,Modificaciones!$B$7:$I$2400,8,0))</f>
        <v/>
      </c>
      <c r="P890" s="115">
        <f>COUNTA(Modificaciones!J890,Modificaciones!L890,Modificaciones!N890,Modificaciones!P890)</f>
        <v>0</v>
      </c>
      <c r="Q890" s="116">
        <f>VLOOKUP(E890,Modificaciones!$B$7:$R$2300,17,0)</f>
        <v>0</v>
      </c>
      <c r="R890" s="117">
        <f>COUNTA(Modificaciones!T890,Modificaciones!V890,Modificaciones!X890,Modificaciones!Z890)</f>
        <v>0</v>
      </c>
      <c r="S890" s="118" t="str">
        <f>IF(Modificaciones!AA890=0,"",VLOOKUP(E890,Modificaciones!$B$7:$AA$2400,26,0))</f>
        <v/>
      </c>
      <c r="T890" s="119" t="str">
        <f>IF(Modificaciones!AB890=0,"",VLOOKUP(E890,Modificaciones!$B$7:$AB$2400,27,0))</f>
        <v/>
      </c>
      <c r="U890" s="1080" t="str">
        <f>+Modificaciones!AC890</f>
        <v/>
      </c>
      <c r="V890" s="825" t="str">
        <f>+Modificaciones!AK890</f>
        <v/>
      </c>
      <c r="W890" s="825">
        <f t="shared" si="166"/>
        <v>44196</v>
      </c>
      <c r="X890" s="59">
        <f t="shared" si="165"/>
        <v>45040000</v>
      </c>
      <c r="Y890" s="151">
        <f>VLOOKUP(E890,Modificaciones!$B$7:$BE$2300,56,0)</f>
        <v>40536000</v>
      </c>
      <c r="Z890" s="84">
        <f t="shared" si="172"/>
        <v>4504000</v>
      </c>
      <c r="AA890" s="1000" t="s">
        <v>5324</v>
      </c>
      <c r="AB890" s="823">
        <f t="shared" si="173"/>
        <v>0.9</v>
      </c>
      <c r="AC890" s="40">
        <f t="shared" ca="1" si="167"/>
        <v>1</v>
      </c>
      <c r="AD890" s="41">
        <f t="shared" ca="1" si="168"/>
        <v>9.9999999999999978E-2</v>
      </c>
      <c r="AE890" s="181" t="str">
        <f t="shared" ca="1" si="169"/>
        <v/>
      </c>
      <c r="AF890" s="42" t="str">
        <f t="shared" si="174"/>
        <v>NO</v>
      </c>
      <c r="AG890" s="732" t="s">
        <v>5773</v>
      </c>
      <c r="AH890" s="841" t="s">
        <v>1255</v>
      </c>
      <c r="AI890" s="870" t="s">
        <v>2588</v>
      </c>
      <c r="AJ890" s="838" t="s">
        <v>5009</v>
      </c>
      <c r="AK890" s="255" t="s">
        <v>559</v>
      </c>
      <c r="AL890" s="838"/>
      <c r="AM890" s="838" t="s">
        <v>5774</v>
      </c>
      <c r="AN890" s="161" t="str">
        <f t="shared" ca="1" si="170"/>
        <v>TERMINO</v>
      </c>
      <c r="AO890" s="284" t="s">
        <v>582</v>
      </c>
      <c r="AP890" s="406" t="s">
        <v>391</v>
      </c>
      <c r="AQ890" s="819" t="str">
        <f>IFERROR(VLOOKUP(E890,'liquidaciones '!$B$2:$C$1048576,2,0),"NO")</f>
        <v>NO</v>
      </c>
      <c r="AR890" s="909" t="str">
        <f>IFERROR(VLOOKUP(E890,'liquidaciones '!$B$2:$I$1048576,8,0),"")</f>
        <v/>
      </c>
      <c r="AS890" s="406"/>
      <c r="AT890" s="156" t="str">
        <f t="shared" ca="1" si="171"/>
        <v>SI</v>
      </c>
      <c r="AU890" s="1023" t="s">
        <v>4805</v>
      </c>
      <c r="AV890" s="1001"/>
      <c r="AW890" s="930" t="s">
        <v>559</v>
      </c>
      <c r="AX890" s="928"/>
      <c r="AY890" s="928"/>
    </row>
    <row r="891" spans="3:51" ht="30.6" x14ac:dyDescent="0.3">
      <c r="C891" s="837">
        <v>1308</v>
      </c>
      <c r="E891" s="120" t="s">
        <v>5857</v>
      </c>
      <c r="F891" s="414" t="s">
        <v>5973</v>
      </c>
      <c r="G891" s="863">
        <v>1130604072</v>
      </c>
      <c r="H891" s="969" t="s">
        <v>5845</v>
      </c>
      <c r="I891" s="84">
        <v>57285000</v>
      </c>
      <c r="J891" s="843" t="s">
        <v>5849</v>
      </c>
      <c r="K891" s="269">
        <v>2020</v>
      </c>
      <c r="L891" s="519">
        <v>43915</v>
      </c>
      <c r="M891" s="844">
        <v>43922</v>
      </c>
      <c r="N891" s="844">
        <v>44196</v>
      </c>
      <c r="O891" s="1099" t="str">
        <f>IF(+Modificaciones!I891=0,"",VLOOKUP(E891,Modificaciones!$B$7:$I$2400,8,0))</f>
        <v/>
      </c>
      <c r="P891" s="115">
        <f>COUNTA(Modificaciones!J891,Modificaciones!L891,Modificaciones!N891,Modificaciones!P891)</f>
        <v>0</v>
      </c>
      <c r="Q891" s="116">
        <f>VLOOKUP(E891,Modificaciones!$B$7:$R$2300,17,0)</f>
        <v>0</v>
      </c>
      <c r="R891" s="117">
        <f>COUNTA(Modificaciones!T891,Modificaciones!V891,Modificaciones!X891,Modificaciones!Z891)</f>
        <v>0</v>
      </c>
      <c r="S891" s="118" t="str">
        <f>IF(Modificaciones!AA891=0,"",VLOOKUP(E891,Modificaciones!$B$7:$AA$2400,26,0))</f>
        <v/>
      </c>
      <c r="T891" s="119" t="str">
        <f>IF(Modificaciones!AB891=0,"",VLOOKUP(E891,Modificaciones!$B$7:$AB$2400,27,0))</f>
        <v/>
      </c>
      <c r="U891" s="1080" t="str">
        <f>+Modificaciones!AC891</f>
        <v/>
      </c>
      <c r="V891" s="825" t="str">
        <f>+Modificaciones!AK891</f>
        <v/>
      </c>
      <c r="W891" s="825">
        <f t="shared" si="166"/>
        <v>44196</v>
      </c>
      <c r="X891" s="59">
        <f t="shared" si="165"/>
        <v>57285000</v>
      </c>
      <c r="Y891" s="151">
        <f>VLOOKUP(E891,Modificaciones!$B$7:$BE$2300,56,0)</f>
        <v>57285000</v>
      </c>
      <c r="Z891" s="84">
        <f t="shared" si="172"/>
        <v>0</v>
      </c>
      <c r="AA891" s="1000" t="s">
        <v>5324</v>
      </c>
      <c r="AB891" s="823">
        <f t="shared" si="173"/>
        <v>1</v>
      </c>
      <c r="AC891" s="40">
        <f t="shared" ca="1" si="167"/>
        <v>1</v>
      </c>
      <c r="AD891" s="41">
        <f t="shared" ca="1" si="168"/>
        <v>0</v>
      </c>
      <c r="AE891" s="181" t="str">
        <f t="shared" ca="1" si="169"/>
        <v/>
      </c>
      <c r="AF891" s="42" t="str">
        <f t="shared" si="174"/>
        <v>SI</v>
      </c>
      <c r="AG891" s="732" t="s">
        <v>5773</v>
      </c>
      <c r="AH891" s="841" t="s">
        <v>1255</v>
      </c>
      <c r="AI891" s="870" t="s">
        <v>4872</v>
      </c>
      <c r="AJ891" s="838"/>
      <c r="AK891" s="255" t="s">
        <v>560</v>
      </c>
      <c r="AL891" s="838"/>
      <c r="AM891" s="414" t="s">
        <v>6031</v>
      </c>
      <c r="AN891" s="161" t="str">
        <f t="shared" ca="1" si="170"/>
        <v>TERMINO</v>
      </c>
      <c r="AO891" s="284" t="s">
        <v>582</v>
      </c>
      <c r="AP891" s="406" t="s">
        <v>391</v>
      </c>
      <c r="AQ891" s="819" t="str">
        <f>IFERROR(VLOOKUP(E891,'liquidaciones '!$B$2:$C$1048576,2,0),"NO")</f>
        <v>NO</v>
      </c>
      <c r="AR891" s="909" t="str">
        <f>IFERROR(VLOOKUP(E891,'liquidaciones '!$B$2:$I$1048576,8,0),"")</f>
        <v/>
      </c>
      <c r="AS891" s="406"/>
      <c r="AT891" s="156" t="str">
        <f t="shared" ca="1" si="171"/>
        <v>SI</v>
      </c>
      <c r="AU891" s="1023" t="s">
        <v>4805</v>
      </c>
      <c r="AV891" s="1001"/>
      <c r="AW891" s="930" t="s">
        <v>6032</v>
      </c>
      <c r="AX891" s="928"/>
      <c r="AY891" s="928"/>
    </row>
    <row r="892" spans="3:51" ht="81.599999999999994" x14ac:dyDescent="0.3">
      <c r="C892" s="837">
        <v>1261</v>
      </c>
      <c r="E892" s="120" t="s">
        <v>5856</v>
      </c>
      <c r="F892" s="414" t="s">
        <v>2433</v>
      </c>
      <c r="G892" s="863" t="s">
        <v>5858</v>
      </c>
      <c r="H892" s="969" t="s">
        <v>5859</v>
      </c>
      <c r="I892" s="84">
        <v>2661445368</v>
      </c>
      <c r="J892" s="843" t="s">
        <v>5860</v>
      </c>
      <c r="K892" s="269">
        <v>2020</v>
      </c>
      <c r="L892" s="519">
        <v>43921</v>
      </c>
      <c r="M892" s="844">
        <v>43922</v>
      </c>
      <c r="N892" s="844">
        <v>44104</v>
      </c>
      <c r="O892" s="1099" t="str">
        <f>IF(+Modificaciones!I892=0,"",VLOOKUP(E892,Modificaciones!$B$7:$I$2400,8,0))</f>
        <v/>
      </c>
      <c r="P892" s="115">
        <f>COUNTA(Modificaciones!J892,Modificaciones!L892,Modificaciones!N892,Modificaciones!P892)</f>
        <v>1</v>
      </c>
      <c r="Q892" s="116">
        <f>VLOOKUP(E892,Modificaciones!$B$7:$R$2300,17,0)</f>
        <v>700000000</v>
      </c>
      <c r="R892" s="117">
        <f>COUNTA(Modificaciones!T892,Modificaciones!V892,Modificaciones!X892,Modificaciones!Z892)</f>
        <v>2</v>
      </c>
      <c r="S892" s="118" t="str">
        <f>IF(Modificaciones!AA892=0,"",VLOOKUP(E892,Modificaciones!$B$7:$AA$2400,26,0))</f>
        <v>2 meses y 15 días</v>
      </c>
      <c r="T892" s="119">
        <f>IF(Modificaciones!AB892=0,"",VLOOKUP(E892,Modificaciones!$B$7:$AB$2400,27,0))</f>
        <v>44227</v>
      </c>
      <c r="U892" s="1080" t="str">
        <f>+Modificaciones!AC892</f>
        <v/>
      </c>
      <c r="V892" s="825" t="str">
        <f>+Modificaciones!AK892</f>
        <v/>
      </c>
      <c r="W892" s="825">
        <f t="shared" si="166"/>
        <v>44227</v>
      </c>
      <c r="X892" s="59">
        <f t="shared" si="165"/>
        <v>3361445368</v>
      </c>
      <c r="Y892" s="151">
        <f>VLOOKUP(E892,Modificaciones!$B$7:$BE$2300,56,0)</f>
        <v>2038108331</v>
      </c>
      <c r="Z892" s="84">
        <f t="shared" si="172"/>
        <v>1323337037</v>
      </c>
      <c r="AA892" s="1000" t="s">
        <v>5324</v>
      </c>
      <c r="AB892" s="823">
        <f t="shared" si="173"/>
        <v>0.60631904073236154</v>
      </c>
      <c r="AC892" s="40">
        <f t="shared" ca="1" si="167"/>
        <v>1</v>
      </c>
      <c r="AD892" s="41">
        <f t="shared" ca="1" si="168"/>
        <v>0.39368095926763846</v>
      </c>
      <c r="AE892" s="181" t="str">
        <f t="shared" ca="1" si="169"/>
        <v/>
      </c>
      <c r="AF892" s="42" t="str">
        <f t="shared" si="174"/>
        <v>NO</v>
      </c>
      <c r="AG892" s="406" t="s">
        <v>1717</v>
      </c>
      <c r="AH892" s="841" t="s">
        <v>1255</v>
      </c>
      <c r="AI892" s="841" t="s">
        <v>5861</v>
      </c>
      <c r="AJ892" s="838"/>
      <c r="AL892" s="838"/>
      <c r="AM892" s="406" t="s">
        <v>6571</v>
      </c>
      <c r="AN892" s="161" t="str">
        <f t="shared" ca="1" si="170"/>
        <v>TERMINO</v>
      </c>
      <c r="AO892" s="414" t="s">
        <v>6164</v>
      </c>
      <c r="AP892" s="406" t="s">
        <v>390</v>
      </c>
      <c r="AQ892" s="819" t="str">
        <f>IFERROR(VLOOKUP(E892,'liquidaciones '!$B$2:$C$1048576,2,0),"NO")</f>
        <v>NO</v>
      </c>
      <c r="AR892" s="909" t="str">
        <f>IFERROR(VLOOKUP(E892,'liquidaciones '!$B$2:$I$1048576,8,0),"")</f>
        <v/>
      </c>
      <c r="AS892" s="406"/>
      <c r="AT892" s="156" t="str">
        <f t="shared" ca="1" si="171"/>
        <v>SI</v>
      </c>
      <c r="AU892" s="1023" t="s">
        <v>4299</v>
      </c>
      <c r="AV892" s="1001"/>
      <c r="AW892" s="930" t="s">
        <v>5872</v>
      </c>
      <c r="AX892" s="930" t="s">
        <v>6528</v>
      </c>
      <c r="AY892" s="928"/>
    </row>
    <row r="893" spans="3:51" ht="51" x14ac:dyDescent="0.3">
      <c r="C893" s="837">
        <v>1192</v>
      </c>
      <c r="E893" s="120" t="s">
        <v>5862</v>
      </c>
      <c r="F893" s="414" t="s">
        <v>6067</v>
      </c>
      <c r="G893" s="863">
        <v>860037013</v>
      </c>
      <c r="H893" s="969" t="s">
        <v>5863</v>
      </c>
      <c r="I893" s="1106">
        <v>114787917.42</v>
      </c>
      <c r="J893" s="843" t="s">
        <v>5864</v>
      </c>
      <c r="K893" s="269">
        <v>2020</v>
      </c>
      <c r="L893" s="519">
        <v>43907</v>
      </c>
      <c r="M893" s="844">
        <v>43952</v>
      </c>
      <c r="N893" s="844">
        <v>44837</v>
      </c>
      <c r="O893" s="1099" t="str">
        <f>IF(+Modificaciones!I893=0,"",VLOOKUP(E893,Modificaciones!$B$7:$I$2400,8,0))</f>
        <v/>
      </c>
      <c r="P893" s="115">
        <f>COUNTA(Modificaciones!J893,Modificaciones!L893,Modificaciones!N893,Modificaciones!P893)</f>
        <v>0</v>
      </c>
      <c r="Q893" s="116">
        <f>VLOOKUP(E893,Modificaciones!$B$7:$R$2300,17,0)</f>
        <v>0</v>
      </c>
      <c r="R893" s="117">
        <f>COUNTA(Modificaciones!T893,Modificaciones!V893,Modificaciones!X893,Modificaciones!Z893)</f>
        <v>0</v>
      </c>
      <c r="S893" s="118" t="str">
        <f>IF(Modificaciones!AA893=0,"",VLOOKUP(E893,Modificaciones!$B$7:$AA$2400,26,0))</f>
        <v/>
      </c>
      <c r="T893" s="119" t="str">
        <f>IF(Modificaciones!AB893=0,"",VLOOKUP(E893,Modificaciones!$B$7:$AB$2400,27,0))</f>
        <v/>
      </c>
      <c r="U893" s="1080" t="str">
        <f>+Modificaciones!AC893</f>
        <v/>
      </c>
      <c r="V893" s="825" t="str">
        <f>+Modificaciones!AK893</f>
        <v/>
      </c>
      <c r="W893" s="825">
        <f t="shared" si="166"/>
        <v>44837</v>
      </c>
      <c r="X893" s="59">
        <f t="shared" si="165"/>
        <v>114787917.42</v>
      </c>
      <c r="Y893" s="151">
        <f>VLOOKUP(E893,Modificaciones!$B$7:$BE$2300,56,0)</f>
        <v>114787917</v>
      </c>
      <c r="Z893" s="84">
        <f t="shared" si="172"/>
        <v>0.42000000178813934</v>
      </c>
      <c r="AA893" s="1000" t="s">
        <v>5865</v>
      </c>
      <c r="AB893" s="823">
        <f t="shared" si="173"/>
        <v>0.99999999634107828</v>
      </c>
      <c r="AC893" s="40">
        <f t="shared" ca="1" si="167"/>
        <v>0.31186440677966104</v>
      </c>
      <c r="AD893" s="41">
        <f t="shared" ca="1" si="168"/>
        <v>-0.68813558956141718</v>
      </c>
      <c r="AE893" s="181">
        <f t="shared" ca="1" si="169"/>
        <v>609</v>
      </c>
      <c r="AF893" s="42" t="str">
        <f t="shared" si="174"/>
        <v>SI</v>
      </c>
      <c r="AG893" s="1037" t="s">
        <v>5834</v>
      </c>
      <c r="AH893" s="841" t="s">
        <v>1255</v>
      </c>
      <c r="AI893" s="841" t="s">
        <v>5866</v>
      </c>
      <c r="AJ893" s="838" t="s">
        <v>5394</v>
      </c>
      <c r="AK893" s="255" t="s">
        <v>559</v>
      </c>
      <c r="AL893" s="838"/>
      <c r="AM893" s="838" t="s">
        <v>6571</v>
      </c>
      <c r="AN893" s="161" t="str">
        <f t="shared" ca="1" si="170"/>
        <v>EN EJECUCIÓN</v>
      </c>
      <c r="AO893" s="414" t="s">
        <v>573</v>
      </c>
      <c r="AP893" s="406" t="s">
        <v>390</v>
      </c>
      <c r="AQ893" s="819" t="str">
        <f>IFERROR(VLOOKUP(E893,'liquidaciones '!$B$2:$C$1048576,2,0),"NO")</f>
        <v>NO</v>
      </c>
      <c r="AR893" s="909" t="str">
        <f>IFERROR(VLOOKUP(E893,'liquidaciones '!$B$2:$I$1048576,8,0),"")</f>
        <v/>
      </c>
      <c r="AS893" s="406"/>
      <c r="AT893" s="156" t="str">
        <f t="shared" ca="1" si="171"/>
        <v>SI</v>
      </c>
      <c r="AU893" s="156" t="s">
        <v>5875</v>
      </c>
      <c r="AV893" s="1001"/>
      <c r="AW893" s="930" t="s">
        <v>559</v>
      </c>
      <c r="AX893" s="928"/>
      <c r="AY893" s="928"/>
    </row>
    <row r="894" spans="3:51" ht="51" x14ac:dyDescent="0.3">
      <c r="C894" s="837">
        <v>1216</v>
      </c>
      <c r="E894" s="120" t="s">
        <v>5867</v>
      </c>
      <c r="F894" s="414" t="s">
        <v>4995</v>
      </c>
      <c r="G894" s="863">
        <v>52157724</v>
      </c>
      <c r="H894" s="969" t="s">
        <v>5868</v>
      </c>
      <c r="I894" s="84">
        <v>36432000</v>
      </c>
      <c r="J894" s="843" t="s">
        <v>5869</v>
      </c>
      <c r="K894" s="269">
        <v>2020</v>
      </c>
      <c r="L894" s="519">
        <v>43921</v>
      </c>
      <c r="M894" s="844">
        <v>43922</v>
      </c>
      <c r="N894" s="844">
        <v>44043</v>
      </c>
      <c r="O894" s="1099" t="str">
        <f>IF(+Modificaciones!I894=0,"",VLOOKUP(E894,Modificaciones!$B$7:$I$2400,8,0))</f>
        <v/>
      </c>
      <c r="P894" s="115">
        <f>COUNTA(Modificaciones!J894,Modificaciones!L894,Modificaciones!N894,Modificaciones!P894)</f>
        <v>0</v>
      </c>
      <c r="Q894" s="116">
        <f>VLOOKUP(E894,Modificaciones!$B$7:$R$2300,17,0)</f>
        <v>0</v>
      </c>
      <c r="R894" s="117">
        <f>COUNTA(Modificaciones!T894,Modificaciones!V894,Modificaciones!X894,Modificaciones!Z894)</f>
        <v>0</v>
      </c>
      <c r="S894" s="118" t="str">
        <f>IF(Modificaciones!AA894=0,"",VLOOKUP(E894,Modificaciones!$B$7:$AA$2400,26,0))</f>
        <v/>
      </c>
      <c r="T894" s="119" t="str">
        <f>IF(Modificaciones!AB894=0,"",VLOOKUP(E894,Modificaciones!$B$7:$AB$2400,27,0))</f>
        <v/>
      </c>
      <c r="U894" s="1080" t="str">
        <f>+Modificaciones!AC894</f>
        <v/>
      </c>
      <c r="V894" s="825" t="str">
        <f>+Modificaciones!AK894</f>
        <v/>
      </c>
      <c r="W894" s="825">
        <f t="shared" si="166"/>
        <v>44043</v>
      </c>
      <c r="X894" s="59">
        <f t="shared" si="165"/>
        <v>36432000</v>
      </c>
      <c r="Y894" s="151">
        <f>VLOOKUP(E894,Modificaciones!$B$7:$BE$2300,56,0)</f>
        <v>16192000</v>
      </c>
      <c r="Z894" s="84">
        <f>X894-Y894</f>
        <v>20240000</v>
      </c>
      <c r="AA894" s="1000" t="s">
        <v>5324</v>
      </c>
      <c r="AB894" s="823">
        <f t="shared" si="173"/>
        <v>0.44444444444444442</v>
      </c>
      <c r="AC894" s="40">
        <f t="shared" ca="1" si="167"/>
        <v>1</v>
      </c>
      <c r="AD894" s="41">
        <f t="shared" ca="1" si="168"/>
        <v>0.55555555555555558</v>
      </c>
      <c r="AE894" s="181" t="str">
        <f t="shared" ca="1" si="169"/>
        <v/>
      </c>
      <c r="AF894" s="42" t="str">
        <f t="shared" si="174"/>
        <v>NO</v>
      </c>
      <c r="AG894" s="732" t="s">
        <v>5773</v>
      </c>
      <c r="AH894" s="841" t="s">
        <v>1255</v>
      </c>
      <c r="AI894" s="870" t="s">
        <v>5870</v>
      </c>
      <c r="AJ894" s="838" t="s">
        <v>4998</v>
      </c>
      <c r="AK894" s="255" t="s">
        <v>563</v>
      </c>
      <c r="AL894" s="838"/>
      <c r="AM894" s="838" t="s">
        <v>5871</v>
      </c>
      <c r="AN894" s="161" t="str">
        <f t="shared" ca="1" si="170"/>
        <v>TERMINO</v>
      </c>
      <c r="AO894" s="284" t="s">
        <v>582</v>
      </c>
      <c r="AP894" s="406" t="s">
        <v>391</v>
      </c>
      <c r="AQ894" s="819" t="str">
        <f>IFERROR(VLOOKUP(E894,'liquidaciones '!$B$2:$C$1048576,2,0),"NO")</f>
        <v>NO</v>
      </c>
      <c r="AR894" s="909" t="str">
        <f>IFERROR(VLOOKUP(E894,'liquidaciones '!$B$2:$I$1048576,8,0),"")</f>
        <v/>
      </c>
      <c r="AS894" s="406"/>
      <c r="AT894" s="156" t="str">
        <f t="shared" ca="1" si="171"/>
        <v>SI</v>
      </c>
      <c r="AU894" s="1023" t="s">
        <v>5853</v>
      </c>
      <c r="AV894" s="1001"/>
      <c r="AW894" s="930" t="s">
        <v>5000</v>
      </c>
      <c r="AX894" s="928"/>
      <c r="AY894" s="928"/>
    </row>
    <row r="895" spans="3:51" ht="30.6" x14ac:dyDescent="0.3">
      <c r="C895" s="837">
        <v>1221</v>
      </c>
      <c r="E895" s="120" t="s">
        <v>5884</v>
      </c>
      <c r="F895" s="414" t="s">
        <v>5875</v>
      </c>
      <c r="G895" s="863">
        <v>1026278442</v>
      </c>
      <c r="H895" s="969" t="s">
        <v>5838</v>
      </c>
      <c r="I895" s="84">
        <v>40194000</v>
      </c>
      <c r="J895" s="843" t="s">
        <v>5839</v>
      </c>
      <c r="K895" s="269">
        <v>2020</v>
      </c>
      <c r="L895" s="519">
        <v>43921</v>
      </c>
      <c r="M895" s="844">
        <v>43927</v>
      </c>
      <c r="N895" s="844">
        <v>44196</v>
      </c>
      <c r="O895" s="1099" t="str">
        <f>IF(+Modificaciones!I895=0,"",VLOOKUP(E895,Modificaciones!$B$7:$I$2400,8,0))</f>
        <v/>
      </c>
      <c r="P895" s="115">
        <f>COUNTA(Modificaciones!J895,Modificaciones!L895,Modificaciones!N895,Modificaciones!P895)</f>
        <v>0</v>
      </c>
      <c r="Q895" s="116">
        <f>VLOOKUP(E895,Modificaciones!$B$7:$R$2300,17,0)</f>
        <v>0</v>
      </c>
      <c r="R895" s="117">
        <f>COUNTA(Modificaciones!T895,Modificaciones!V895,Modificaciones!X895,Modificaciones!Z895)</f>
        <v>0</v>
      </c>
      <c r="S895" s="118" t="str">
        <f>IF(Modificaciones!AA895=0,"",VLOOKUP(E895,Modificaciones!$B$7:$AA$2400,26,0))</f>
        <v/>
      </c>
      <c r="T895" s="119" t="str">
        <f>IF(Modificaciones!AB895=0,"",VLOOKUP(E895,Modificaciones!$B$7:$AB$2400,27,0))</f>
        <v/>
      </c>
      <c r="U895" s="1080" t="str">
        <f>+Modificaciones!AC895</f>
        <v/>
      </c>
      <c r="V895" s="825" t="str">
        <f>+Modificaciones!AK895</f>
        <v/>
      </c>
      <c r="W895" s="825">
        <f t="shared" si="166"/>
        <v>44196</v>
      </c>
      <c r="X895" s="59">
        <f t="shared" si="165"/>
        <v>40194000</v>
      </c>
      <c r="Y895" s="151">
        <f>VLOOKUP(E895,Modificaciones!$B$7:$BE$2300,56,0)</f>
        <v>39449667</v>
      </c>
      <c r="Z895" s="84">
        <f t="shared" si="172"/>
        <v>744333</v>
      </c>
      <c r="AA895" s="1000" t="s">
        <v>5324</v>
      </c>
      <c r="AB895" s="823">
        <f t="shared" si="173"/>
        <v>0.98148148977459326</v>
      </c>
      <c r="AC895" s="40">
        <f t="shared" ca="1" si="167"/>
        <v>1</v>
      </c>
      <c r="AD895" s="41">
        <f t="shared" ca="1" si="168"/>
        <v>1.8518510225406737E-2</v>
      </c>
      <c r="AE895" s="181" t="str">
        <f t="shared" ca="1" si="169"/>
        <v/>
      </c>
      <c r="AF895" s="42" t="str">
        <f t="shared" si="174"/>
        <v>NO</v>
      </c>
      <c r="AG895" s="732" t="s">
        <v>5773</v>
      </c>
      <c r="AH895" s="841" t="s">
        <v>1255</v>
      </c>
      <c r="AI895" s="870" t="s">
        <v>2588</v>
      </c>
      <c r="AJ895" s="838" t="s">
        <v>5009</v>
      </c>
      <c r="AK895" s="255" t="s">
        <v>559</v>
      </c>
      <c r="AL895" s="838"/>
      <c r="AM895" s="414" t="s">
        <v>6065</v>
      </c>
      <c r="AN895" s="161" t="str">
        <f t="shared" ca="1" si="170"/>
        <v>TERMINO</v>
      </c>
      <c r="AO895" s="284" t="s">
        <v>582</v>
      </c>
      <c r="AP895" s="406" t="s">
        <v>391</v>
      </c>
      <c r="AQ895" s="819" t="str">
        <f>IFERROR(VLOOKUP(E895,'liquidaciones '!$B$2:$C$1048576,2,0),"NO")</f>
        <v>NO</v>
      </c>
      <c r="AR895" s="909" t="str">
        <f>IFERROR(VLOOKUP(E895,'liquidaciones '!$B$2:$I$1048576,8,0),"")</f>
        <v/>
      </c>
      <c r="AS895" s="406"/>
      <c r="AT895" s="156" t="str">
        <f t="shared" ca="1" si="171"/>
        <v>SI</v>
      </c>
      <c r="AU895" s="1107" t="s">
        <v>4805</v>
      </c>
      <c r="AV895" s="1001"/>
      <c r="AW895" s="930" t="s">
        <v>6064</v>
      </c>
      <c r="AX895" s="928"/>
      <c r="AY895" s="928"/>
    </row>
    <row r="896" spans="3:51" ht="30.6" x14ac:dyDescent="0.3">
      <c r="C896" s="837">
        <v>1214</v>
      </c>
      <c r="E896" s="120" t="s">
        <v>5876</v>
      </c>
      <c r="F896" s="414" t="s">
        <v>5877</v>
      </c>
      <c r="G896" s="863">
        <v>79536706</v>
      </c>
      <c r="H896" s="969" t="s">
        <v>5878</v>
      </c>
      <c r="I896" s="84">
        <v>18451600</v>
      </c>
      <c r="J896" s="843" t="s">
        <v>5879</v>
      </c>
      <c r="K896" s="269">
        <v>2020</v>
      </c>
      <c r="L896" s="519">
        <v>43923</v>
      </c>
      <c r="M896" s="844">
        <v>43928</v>
      </c>
      <c r="N896" s="844">
        <v>44196</v>
      </c>
      <c r="O896" s="1099" t="str">
        <f>IF(+Modificaciones!I896=0,"",VLOOKUP(E896,Modificaciones!$B$7:$I$2400,8,0))</f>
        <v/>
      </c>
      <c r="P896" s="115">
        <f>COUNTA(Modificaciones!J896,Modificaciones!L896,Modificaciones!N896,Modificaciones!P896)</f>
        <v>0</v>
      </c>
      <c r="Q896" s="116">
        <f>VLOOKUP(E896,Modificaciones!$B$7:$R$2300,17,0)</f>
        <v>0</v>
      </c>
      <c r="R896" s="117">
        <f>COUNTA(Modificaciones!T896,Modificaciones!V896,Modificaciones!X896,Modificaciones!Z896)</f>
        <v>0</v>
      </c>
      <c r="S896" s="118" t="str">
        <f>IF(Modificaciones!AA896=0,"",VLOOKUP(E896,Modificaciones!$B$7:$AA$2400,26,0))</f>
        <v/>
      </c>
      <c r="T896" s="119" t="str">
        <f>IF(Modificaciones!AB896=0,"",VLOOKUP(E896,Modificaciones!$B$7:$AB$2400,27,0))</f>
        <v/>
      </c>
      <c r="U896" s="1080" t="str">
        <f>+Modificaciones!AC896</f>
        <v/>
      </c>
      <c r="V896" s="825" t="str">
        <f>+Modificaciones!AK896</f>
        <v/>
      </c>
      <c r="W896" s="825">
        <f t="shared" si="166"/>
        <v>44196</v>
      </c>
      <c r="X896" s="59">
        <f t="shared" si="165"/>
        <v>18451600</v>
      </c>
      <c r="Y896" s="151">
        <f>VLOOKUP(E896,Modificaciones!$B$7:$BE$2300,56,0)</f>
        <v>15256800</v>
      </c>
      <c r="Z896" s="84">
        <f t="shared" si="172"/>
        <v>3194800</v>
      </c>
      <c r="AA896" s="1000" t="s">
        <v>5324</v>
      </c>
      <c r="AB896" s="823">
        <f t="shared" si="173"/>
        <v>0.82685512367491165</v>
      </c>
      <c r="AC896" s="40">
        <f t="shared" ca="1" si="167"/>
        <v>1</v>
      </c>
      <c r="AD896" s="41">
        <f t="shared" ca="1" si="168"/>
        <v>0.17314487632508835</v>
      </c>
      <c r="AE896" s="181" t="str">
        <f t="shared" ca="1" si="169"/>
        <v/>
      </c>
      <c r="AF896" s="42" t="str">
        <f t="shared" si="174"/>
        <v>NO</v>
      </c>
      <c r="AG896" s="732" t="s">
        <v>5773</v>
      </c>
      <c r="AH896" s="841" t="s">
        <v>1255</v>
      </c>
      <c r="AI896" s="870" t="s">
        <v>4872</v>
      </c>
      <c r="AJ896" s="838" t="s">
        <v>1279</v>
      </c>
      <c r="AK896" s="255" t="s">
        <v>560</v>
      </c>
      <c r="AL896" s="838"/>
      <c r="AM896" s="838" t="s">
        <v>6458</v>
      </c>
      <c r="AN896" s="161" t="str">
        <f t="shared" ca="1" si="170"/>
        <v>TERMINO</v>
      </c>
      <c r="AO896" s="284" t="s">
        <v>582</v>
      </c>
      <c r="AP896" s="406" t="s">
        <v>390</v>
      </c>
      <c r="AQ896" s="819" t="str">
        <f>IFERROR(VLOOKUP(E896,'liquidaciones '!$B$2:$C$1048576,2,0),"NO")</f>
        <v>NO</v>
      </c>
      <c r="AR896" s="909" t="str">
        <f>IFERROR(VLOOKUP(E896,'liquidaciones '!$B$2:$I$1048576,8,0),"")</f>
        <v/>
      </c>
      <c r="AS896" s="406"/>
      <c r="AT896" s="156" t="str">
        <f t="shared" ca="1" si="171"/>
        <v>SI</v>
      </c>
      <c r="AU896" s="1108" t="s">
        <v>4805</v>
      </c>
      <c r="AV896" s="1001"/>
      <c r="AW896" s="930" t="s">
        <v>6032</v>
      </c>
      <c r="AX896" s="928"/>
      <c r="AY896" s="928"/>
    </row>
    <row r="897" spans="3:51" ht="40.799999999999997" x14ac:dyDescent="0.3">
      <c r="C897" s="837">
        <v>1183</v>
      </c>
      <c r="E897" s="120" t="s">
        <v>5882</v>
      </c>
      <c r="F897" s="414" t="s">
        <v>4617</v>
      </c>
      <c r="G897" s="863">
        <v>79730476</v>
      </c>
      <c r="H897" s="969" t="s">
        <v>5880</v>
      </c>
      <c r="I897" s="84">
        <v>53757200</v>
      </c>
      <c r="J897" s="843" t="s">
        <v>5881</v>
      </c>
      <c r="K897" s="269">
        <v>2020</v>
      </c>
      <c r="L897" s="519">
        <v>43923</v>
      </c>
      <c r="M897" s="844">
        <v>43928</v>
      </c>
      <c r="N897" s="844">
        <v>44196</v>
      </c>
      <c r="O897" s="1099" t="str">
        <f>IF(+Modificaciones!I897=0,"",VLOOKUP(E897,Modificaciones!$B$7:$I$2400,8,0))</f>
        <v/>
      </c>
      <c r="P897" s="115">
        <f>COUNTA(Modificaciones!J897,Modificaciones!L897,Modificaciones!N897,Modificaciones!P897)</f>
        <v>0</v>
      </c>
      <c r="Q897" s="116">
        <f>VLOOKUP(E897,Modificaciones!$B$7:$R$2300,17,0)</f>
        <v>0</v>
      </c>
      <c r="R897" s="117">
        <f>COUNTA(Modificaciones!T897,Modificaciones!V897,Modificaciones!X897,Modificaciones!Z897)</f>
        <v>0</v>
      </c>
      <c r="S897" s="118" t="str">
        <f>IF(Modificaciones!AA897=0,"",VLOOKUP(E897,Modificaciones!$B$7:$AA$2400,26,0))</f>
        <v/>
      </c>
      <c r="T897" s="119" t="str">
        <f>IF(Modificaciones!AB897=0,"",VLOOKUP(E897,Modificaciones!$B$7:$AB$2400,27,0))</f>
        <v/>
      </c>
      <c r="U897" s="1080" t="str">
        <f>+Modificaciones!AC897</f>
        <v/>
      </c>
      <c r="V897" s="825" t="str">
        <f>+Modificaciones!AK897</f>
        <v/>
      </c>
      <c r="W897" s="825">
        <f t="shared" si="166"/>
        <v>44196</v>
      </c>
      <c r="X897" s="59">
        <f t="shared" si="165"/>
        <v>53757200</v>
      </c>
      <c r="Y897" s="151">
        <f>VLOOKUP(E897,Modificaciones!$B$7:$BE$2300,56,0)</f>
        <v>48602400</v>
      </c>
      <c r="Z897" s="84">
        <f t="shared" si="172"/>
        <v>5154800</v>
      </c>
      <c r="AA897" s="1000" t="s">
        <v>5324</v>
      </c>
      <c r="AB897" s="823">
        <f t="shared" si="173"/>
        <v>0.90410958904109584</v>
      </c>
      <c r="AC897" s="40">
        <f t="shared" ca="1" si="167"/>
        <v>1</v>
      </c>
      <c r="AD897" s="41">
        <f t="shared" ca="1" si="168"/>
        <v>9.589041095890416E-2</v>
      </c>
      <c r="AE897" s="181" t="str">
        <f t="shared" ca="1" si="169"/>
        <v/>
      </c>
      <c r="AF897" s="42" t="str">
        <f t="shared" si="174"/>
        <v>NO</v>
      </c>
      <c r="AG897" s="732" t="s">
        <v>5773</v>
      </c>
      <c r="AH897" s="841" t="s">
        <v>1255</v>
      </c>
      <c r="AI897" s="870" t="s">
        <v>2588</v>
      </c>
      <c r="AJ897" s="838" t="s">
        <v>5009</v>
      </c>
      <c r="AK897" s="255" t="s">
        <v>559</v>
      </c>
      <c r="AL897" s="838"/>
      <c r="AM897" s="838" t="s">
        <v>6065</v>
      </c>
      <c r="AN897" s="161" t="str">
        <f t="shared" ca="1" si="170"/>
        <v>TERMINO</v>
      </c>
      <c r="AO897" s="284" t="s">
        <v>582</v>
      </c>
      <c r="AP897" s="406" t="s">
        <v>391</v>
      </c>
      <c r="AQ897" s="819" t="str">
        <f>IFERROR(VLOOKUP(E897,'liquidaciones '!$B$2:$C$1048576,2,0),"NO")</f>
        <v>NO</v>
      </c>
      <c r="AR897" s="909" t="str">
        <f>IFERROR(VLOOKUP(E897,'liquidaciones '!$B$2:$I$1048576,8,0),"")</f>
        <v/>
      </c>
      <c r="AS897" s="406"/>
      <c r="AT897" s="156" t="str">
        <f t="shared" ca="1" si="171"/>
        <v>SI</v>
      </c>
      <c r="AU897" s="1023" t="s">
        <v>4805</v>
      </c>
      <c r="AV897" s="1001"/>
      <c r="AW897" s="930" t="s">
        <v>6064</v>
      </c>
      <c r="AX897" s="928"/>
      <c r="AY897" s="928"/>
    </row>
    <row r="898" spans="3:51" ht="122.4" x14ac:dyDescent="0.3">
      <c r="C898" s="837">
        <v>1192</v>
      </c>
      <c r="E898" s="120" t="s">
        <v>5885</v>
      </c>
      <c r="F898" s="414" t="s">
        <v>5886</v>
      </c>
      <c r="G898" s="1109">
        <v>901376464</v>
      </c>
      <c r="H898" s="969" t="s">
        <v>5887</v>
      </c>
      <c r="I898" s="84">
        <v>223111797</v>
      </c>
      <c r="J898" s="843" t="s">
        <v>5864</v>
      </c>
      <c r="K898" s="269">
        <v>2020</v>
      </c>
      <c r="L898" s="519">
        <v>43908</v>
      </c>
      <c r="M898" s="844">
        <v>43952</v>
      </c>
      <c r="N898" s="844">
        <v>44452</v>
      </c>
      <c r="O898" s="1099" t="str">
        <f>IF(+Modificaciones!I898=0,"",VLOOKUP(E898,Modificaciones!$B$7:$I$2400,8,0))</f>
        <v/>
      </c>
      <c r="P898" s="115">
        <f>COUNTA(Modificaciones!J898,Modificaciones!L898,Modificaciones!N898,Modificaciones!P898)</f>
        <v>0</v>
      </c>
      <c r="Q898" s="116">
        <f>VLOOKUP(E898,Modificaciones!$B$7:$R$2300,17,0)</f>
        <v>0</v>
      </c>
      <c r="R898" s="117">
        <f>COUNTA(Modificaciones!T898,Modificaciones!V898,Modificaciones!X898,Modificaciones!Z898)</f>
        <v>0</v>
      </c>
      <c r="S898" s="118" t="str">
        <f>IF(Modificaciones!AA898=0,"",VLOOKUP(E898,Modificaciones!$B$7:$AA$2400,26,0))</f>
        <v/>
      </c>
      <c r="T898" s="119" t="str">
        <f>IF(Modificaciones!AB898=0,"",VLOOKUP(E898,Modificaciones!$B$7:$AB$2400,27,0))</f>
        <v/>
      </c>
      <c r="U898" s="1080" t="str">
        <f>+Modificaciones!AC898</f>
        <v/>
      </c>
      <c r="V898" s="825" t="str">
        <f>+Modificaciones!AK898</f>
        <v/>
      </c>
      <c r="W898" s="825">
        <f t="shared" si="166"/>
        <v>44452</v>
      </c>
      <c r="X898" s="59">
        <f t="shared" si="165"/>
        <v>223111797</v>
      </c>
      <c r="Y898" s="151">
        <f>VLOOKUP(E898,Modificaciones!$B$7:$BE$2300,56,0)</f>
        <v>223111797</v>
      </c>
      <c r="Z898" s="84">
        <f t="shared" si="172"/>
        <v>0</v>
      </c>
      <c r="AA898" s="1000" t="s">
        <v>5888</v>
      </c>
      <c r="AB898" s="823">
        <f t="shared" si="173"/>
        <v>1</v>
      </c>
      <c r="AC898" s="40">
        <f t="shared" ca="1" si="167"/>
        <v>0.55200000000000005</v>
      </c>
      <c r="AD898" s="41">
        <f t="shared" ca="1" si="168"/>
        <v>-0.44799999999999995</v>
      </c>
      <c r="AE898" s="181">
        <f t="shared" ca="1" si="169"/>
        <v>224</v>
      </c>
      <c r="AF898" s="42" t="str">
        <f t="shared" si="174"/>
        <v>SI</v>
      </c>
      <c r="AG898" s="1037" t="s">
        <v>5834</v>
      </c>
      <c r="AH898" s="841" t="s">
        <v>1255</v>
      </c>
      <c r="AI898" s="841" t="s">
        <v>5866</v>
      </c>
      <c r="AJ898" s="838" t="s">
        <v>5394</v>
      </c>
      <c r="AK898" s="255" t="s">
        <v>559</v>
      </c>
      <c r="AL898" s="838"/>
      <c r="AM898" s="838" t="s">
        <v>6571</v>
      </c>
      <c r="AN898" s="161" t="str">
        <f t="shared" ca="1" si="170"/>
        <v>EN EJECUCIÓN</v>
      </c>
      <c r="AO898" s="414" t="s">
        <v>5889</v>
      </c>
      <c r="AP898" s="406" t="s">
        <v>390</v>
      </c>
      <c r="AQ898" s="819" t="str">
        <f>IFERROR(VLOOKUP(E898,'liquidaciones '!$B$2:$C$1048576,2,0),"NO")</f>
        <v>NO</v>
      </c>
      <c r="AR898" s="909" t="str">
        <f>IFERROR(VLOOKUP(E898,'liquidaciones '!$B$2:$I$1048576,8,0),"")</f>
        <v/>
      </c>
      <c r="AS898" s="406"/>
      <c r="AT898" s="156" t="str">
        <f t="shared" ca="1" si="171"/>
        <v>SI</v>
      </c>
      <c r="AU898" s="156" t="s">
        <v>5875</v>
      </c>
      <c r="AV898" s="1001"/>
      <c r="AW898" s="930" t="s">
        <v>559</v>
      </c>
      <c r="AX898" s="928"/>
      <c r="AY898" s="928"/>
    </row>
    <row r="899" spans="3:51" ht="40.799999999999997" x14ac:dyDescent="0.3">
      <c r="C899" s="837">
        <v>1169</v>
      </c>
      <c r="E899" s="120" t="s">
        <v>5890</v>
      </c>
      <c r="F899" s="414" t="s">
        <v>5891</v>
      </c>
      <c r="G899" s="863">
        <v>53893094</v>
      </c>
      <c r="H899" s="969" t="s">
        <v>5892</v>
      </c>
      <c r="I899" s="84">
        <v>27657000</v>
      </c>
      <c r="J899" s="843" t="s">
        <v>5893</v>
      </c>
      <c r="K899" s="269">
        <v>2020</v>
      </c>
      <c r="L899" s="519">
        <v>43929</v>
      </c>
      <c r="M899" s="844">
        <v>43936</v>
      </c>
      <c r="N899" s="844">
        <v>44196</v>
      </c>
      <c r="O899" s="1099" t="str">
        <f>IF(+Modificaciones!I899=0,"",VLOOKUP(E899,Modificaciones!$B$7:$I$2400,8,0))</f>
        <v/>
      </c>
      <c r="P899" s="115">
        <f>COUNTA(Modificaciones!J899,Modificaciones!L899,Modificaciones!N899,Modificaciones!P899)</f>
        <v>0</v>
      </c>
      <c r="Q899" s="116">
        <f>VLOOKUP(E899,Modificaciones!$B$7:$R$2300,17,0)</f>
        <v>0</v>
      </c>
      <c r="R899" s="117">
        <f>COUNTA(Modificaciones!T899,Modificaciones!V899,Modificaciones!X899,Modificaciones!Z899)</f>
        <v>0</v>
      </c>
      <c r="S899" s="118" t="str">
        <f>IF(Modificaciones!AA899=0,"",VLOOKUP(E899,Modificaciones!$B$7:$AA$2400,26,0))</f>
        <v/>
      </c>
      <c r="T899" s="119" t="str">
        <f>IF(Modificaciones!AB899=0,"",VLOOKUP(E899,Modificaciones!$B$7:$AB$2400,27,0))</f>
        <v/>
      </c>
      <c r="U899" s="1080" t="str">
        <f>+Modificaciones!AC899</f>
        <v/>
      </c>
      <c r="V899" s="825" t="str">
        <f>+Modificaciones!AK899</f>
        <v/>
      </c>
      <c r="W899" s="825">
        <f t="shared" si="166"/>
        <v>44196</v>
      </c>
      <c r="X899" s="59">
        <f t="shared" si="165"/>
        <v>27657000</v>
      </c>
      <c r="Y899" s="151">
        <f>VLOOKUP(E899,Modificaciones!$B$7:$BE$2300,56,0)</f>
        <v>26222933</v>
      </c>
      <c r="Z899" s="84">
        <f t="shared" si="172"/>
        <v>1434067</v>
      </c>
      <c r="AA899" s="1000" t="s">
        <v>5324</v>
      </c>
      <c r="AB899" s="823">
        <f t="shared" si="173"/>
        <v>0.94814813609574433</v>
      </c>
      <c r="AC899" s="40">
        <f t="shared" ca="1" si="167"/>
        <v>1</v>
      </c>
      <c r="AD899" s="41">
        <f t="shared" ca="1" si="168"/>
        <v>5.1851863904255668E-2</v>
      </c>
      <c r="AE899" s="181" t="str">
        <f t="shared" ca="1" si="169"/>
        <v/>
      </c>
      <c r="AF899" s="42" t="str">
        <f t="shared" si="174"/>
        <v>NO</v>
      </c>
      <c r="AG899" s="732" t="s">
        <v>5773</v>
      </c>
      <c r="AH899" s="841" t="s">
        <v>1255</v>
      </c>
      <c r="AI899" s="870" t="s">
        <v>5894</v>
      </c>
      <c r="AJ899" s="838" t="s">
        <v>5394</v>
      </c>
      <c r="AK899" s="255" t="s">
        <v>559</v>
      </c>
      <c r="AL899" s="838"/>
      <c r="AM899" s="414" t="s">
        <v>5774</v>
      </c>
      <c r="AN899" s="161" t="str">
        <f t="shared" ca="1" si="170"/>
        <v>TERMINO</v>
      </c>
      <c r="AO899" s="284" t="s">
        <v>582</v>
      </c>
      <c r="AP899" s="406" t="s">
        <v>391</v>
      </c>
      <c r="AQ899" s="819" t="str">
        <f>IFERROR(VLOOKUP(E899,'liquidaciones '!$B$2:$C$1048576,2,0),"NO")</f>
        <v>NO</v>
      </c>
      <c r="AR899" s="909" t="str">
        <f>IFERROR(VLOOKUP(E899,'liquidaciones '!$B$2:$I$1048576,8,0),"")</f>
        <v/>
      </c>
      <c r="AS899" s="406"/>
      <c r="AT899" s="156" t="str">
        <f t="shared" ca="1" si="171"/>
        <v>SI</v>
      </c>
      <c r="AU899" s="1023" t="s">
        <v>4805</v>
      </c>
      <c r="AV899" s="1001"/>
      <c r="AW899" s="930" t="s">
        <v>559</v>
      </c>
      <c r="AX899" s="928"/>
      <c r="AY899" s="928"/>
    </row>
    <row r="900" spans="3:51" ht="30.6" x14ac:dyDescent="0.3">
      <c r="C900" s="837">
        <v>1184</v>
      </c>
      <c r="E900" s="120" t="s">
        <v>5896</v>
      </c>
      <c r="F900" s="414" t="s">
        <v>5897</v>
      </c>
      <c r="G900" s="863">
        <v>80037526</v>
      </c>
      <c r="H900" s="969" t="s">
        <v>5898</v>
      </c>
      <c r="I900" s="84">
        <v>45342000</v>
      </c>
      <c r="J900" s="843" t="s">
        <v>5899</v>
      </c>
      <c r="K900" s="269">
        <v>2020</v>
      </c>
      <c r="L900" s="519">
        <v>43928</v>
      </c>
      <c r="M900" s="844">
        <v>43936</v>
      </c>
      <c r="N900" s="844">
        <v>44211</v>
      </c>
      <c r="O900" s="1099" t="str">
        <f>IF(+Modificaciones!I900=0,"",VLOOKUP(E900,Modificaciones!$B$7:$I$2400,8,0))</f>
        <v/>
      </c>
      <c r="P900" s="115">
        <f>COUNTA(Modificaciones!J900,Modificaciones!L900,Modificaciones!N900,Modificaciones!P900)</f>
        <v>0</v>
      </c>
      <c r="Q900" s="116">
        <f>VLOOKUP(E900,Modificaciones!$B$7:$R$2300,17,0)</f>
        <v>0</v>
      </c>
      <c r="R900" s="117">
        <f>COUNTA(Modificaciones!T900,Modificaciones!V900,Modificaciones!X900,Modificaciones!Z900)</f>
        <v>0</v>
      </c>
      <c r="S900" s="118" t="str">
        <f>IF(Modificaciones!AA900=0,"",VLOOKUP(E900,Modificaciones!$B$7:$AA$2400,26,0))</f>
        <v/>
      </c>
      <c r="T900" s="119" t="str">
        <f>IF(Modificaciones!AB900=0,"",VLOOKUP(E900,Modificaciones!$B$7:$AB$2400,27,0))</f>
        <v/>
      </c>
      <c r="U900" s="1080" t="str">
        <f>+Modificaciones!AC900</f>
        <v/>
      </c>
      <c r="V900" s="825" t="str">
        <f>+Modificaciones!AK900</f>
        <v/>
      </c>
      <c r="W900" s="825">
        <f t="shared" si="166"/>
        <v>44211</v>
      </c>
      <c r="X900" s="59">
        <f t="shared" si="165"/>
        <v>45342000</v>
      </c>
      <c r="Y900" s="151">
        <f>VLOOKUP(E900,Modificaciones!$B$7:$BE$2300,56,0)</f>
        <v>37952933</v>
      </c>
      <c r="Z900" s="84">
        <f t="shared" ref="Z900:Z963" si="175">X900-Y900</f>
        <v>7389067</v>
      </c>
      <c r="AA900" s="1000" t="s">
        <v>5324</v>
      </c>
      <c r="AB900" s="823">
        <f t="shared" ref="AB900:AB963" si="176">(Y900*100%)/X900</f>
        <v>0.83703702968550131</v>
      </c>
      <c r="AC900" s="40">
        <f t="shared" ca="1" si="167"/>
        <v>1</v>
      </c>
      <c r="AD900" s="41">
        <f t="shared" ca="1" si="168"/>
        <v>0.16296297031449869</v>
      </c>
      <c r="AE900" s="181" t="str">
        <f t="shared" ca="1" si="169"/>
        <v/>
      </c>
      <c r="AF900" s="42" t="str">
        <f t="shared" ref="AF900:AF963" si="177">IF(AB900&lt;=99.9%,"NO","SI")</f>
        <v>NO</v>
      </c>
      <c r="AG900" s="732" t="s">
        <v>5773</v>
      </c>
      <c r="AH900" s="841" t="s">
        <v>1255</v>
      </c>
      <c r="AI900" s="870" t="s">
        <v>5900</v>
      </c>
      <c r="AJ900" s="838" t="s">
        <v>5901</v>
      </c>
      <c r="AK900" s="255" t="s">
        <v>564</v>
      </c>
      <c r="AL900" s="838"/>
      <c r="AM900" s="414" t="s">
        <v>5902</v>
      </c>
      <c r="AN900" s="161" t="str">
        <f t="shared" ca="1" si="170"/>
        <v>TERMINO</v>
      </c>
      <c r="AO900" s="284" t="s">
        <v>582</v>
      </c>
      <c r="AP900" s="406" t="s">
        <v>391</v>
      </c>
      <c r="AQ900" s="819" t="str">
        <f>IFERROR(VLOOKUP(E900,'liquidaciones '!$B$2:$C$1048576,2,0),"NO")</f>
        <v>NO</v>
      </c>
      <c r="AR900" s="909" t="str">
        <f>IFERROR(VLOOKUP(E900,'liquidaciones '!$B$2:$I$1048576,8,0),"")</f>
        <v/>
      </c>
      <c r="AS900" s="406"/>
      <c r="AT900" s="156" t="str">
        <f ca="1">IF((TODAY()-W900&lt;900),"SI","NO")</f>
        <v>SI</v>
      </c>
      <c r="AU900" s="1113" t="s">
        <v>6169</v>
      </c>
      <c r="AV900" s="1001"/>
      <c r="AW900" s="930" t="s">
        <v>564</v>
      </c>
      <c r="AX900" s="928"/>
      <c r="AY900" s="928"/>
    </row>
    <row r="901" spans="3:51" ht="30.6" x14ac:dyDescent="0.3">
      <c r="C901" s="837">
        <v>1184</v>
      </c>
      <c r="E901" s="120" t="s">
        <v>5903</v>
      </c>
      <c r="F901" s="414" t="s">
        <v>5904</v>
      </c>
      <c r="G901" s="863">
        <v>1018437987</v>
      </c>
      <c r="H901" s="969" t="s">
        <v>5898</v>
      </c>
      <c r="I901" s="84">
        <v>45342000</v>
      </c>
      <c r="J901" s="843" t="s">
        <v>5899</v>
      </c>
      <c r="K901" s="269">
        <v>2020</v>
      </c>
      <c r="L901" s="519">
        <v>43934</v>
      </c>
      <c r="M901" s="844">
        <v>43936</v>
      </c>
      <c r="N901" s="844">
        <v>44211</v>
      </c>
      <c r="O901" s="1099" t="str">
        <f>IF(+Modificaciones!I901=0,"",VLOOKUP(E901,Modificaciones!$B$7:$I$2400,8,0))</f>
        <v/>
      </c>
      <c r="P901" s="115">
        <f>COUNTA(Modificaciones!J901,Modificaciones!L901,Modificaciones!N901,Modificaciones!P901)</f>
        <v>0</v>
      </c>
      <c r="Q901" s="116">
        <f>VLOOKUP(E901,Modificaciones!$B$7:$R$2300,17,0)</f>
        <v>0</v>
      </c>
      <c r="R901" s="117">
        <f>COUNTA(Modificaciones!T901,Modificaciones!V901,Modificaciones!X901,Modificaciones!Z901)</f>
        <v>0</v>
      </c>
      <c r="S901" s="118" t="str">
        <f>IF(Modificaciones!AA901=0,"",VLOOKUP(E901,Modificaciones!$B$7:$AA$2400,26,0))</f>
        <v/>
      </c>
      <c r="T901" s="119" t="str">
        <f>IF(Modificaciones!AB901=0,"",VLOOKUP(E901,Modificaciones!$B$7:$AB$2400,27,0))</f>
        <v/>
      </c>
      <c r="U901" s="1080" t="str">
        <f>+Modificaciones!AC901</f>
        <v/>
      </c>
      <c r="V901" s="825" t="str">
        <f>+Modificaciones!AK901</f>
        <v/>
      </c>
      <c r="W901" s="825">
        <f t="shared" si="166"/>
        <v>44211</v>
      </c>
      <c r="X901" s="59">
        <f t="shared" si="165"/>
        <v>45342000</v>
      </c>
      <c r="Y901" s="151">
        <f>VLOOKUP(E901,Modificaciones!$B$7:$BE$2300,56,0)</f>
        <v>37952933</v>
      </c>
      <c r="Z901" s="84">
        <f t="shared" si="175"/>
        <v>7389067</v>
      </c>
      <c r="AA901" s="1000" t="s">
        <v>5324</v>
      </c>
      <c r="AB901" s="823">
        <f t="shared" si="176"/>
        <v>0.83703702968550131</v>
      </c>
      <c r="AC901" s="40">
        <f t="shared" ca="1" si="167"/>
        <v>1</v>
      </c>
      <c r="AD901" s="41">
        <f t="shared" ca="1" si="168"/>
        <v>0.16296297031449869</v>
      </c>
      <c r="AE901" s="181" t="str">
        <f t="shared" ca="1" si="169"/>
        <v/>
      </c>
      <c r="AF901" s="42" t="str">
        <f t="shared" si="177"/>
        <v>NO</v>
      </c>
      <c r="AG901" s="732" t="s">
        <v>5773</v>
      </c>
      <c r="AH901" s="841" t="s">
        <v>1255</v>
      </c>
      <c r="AI901" s="870" t="s">
        <v>5900</v>
      </c>
      <c r="AJ901" s="838" t="s">
        <v>5901</v>
      </c>
      <c r="AK901" s="255" t="s">
        <v>564</v>
      </c>
      <c r="AL901" s="838"/>
      <c r="AM901" s="414" t="s">
        <v>5902</v>
      </c>
      <c r="AN901" s="161" t="str">
        <f t="shared" ca="1" si="170"/>
        <v>TERMINO</v>
      </c>
      <c r="AO901" s="284" t="s">
        <v>582</v>
      </c>
      <c r="AP901" s="406" t="s">
        <v>391</v>
      </c>
      <c r="AQ901" s="819" t="str">
        <f>IFERROR(VLOOKUP(E901,'liquidaciones '!$B$2:$C$1048576,2,0),"NO")</f>
        <v>NO</v>
      </c>
      <c r="AR901" s="909" t="str">
        <f>IFERROR(VLOOKUP(E901,'liquidaciones '!$B$2:$I$1048576,8,0),"")</f>
        <v/>
      </c>
      <c r="AS901" s="406"/>
      <c r="AT901" s="156" t="str">
        <f t="shared" ca="1" si="171"/>
        <v>SI</v>
      </c>
      <c r="AU901" s="1130" t="s">
        <v>6169</v>
      </c>
      <c r="AV901" s="1001"/>
      <c r="AW901" s="930" t="s">
        <v>564</v>
      </c>
      <c r="AX901" s="928"/>
      <c r="AY901" s="928"/>
    </row>
    <row r="902" spans="3:51" ht="40.799999999999997" x14ac:dyDescent="0.3">
      <c r="C902" s="837">
        <v>1344</v>
      </c>
      <c r="E902" s="120" t="s">
        <v>5907</v>
      </c>
      <c r="F902" s="414" t="s">
        <v>5908</v>
      </c>
      <c r="G902" s="863">
        <v>1020809904</v>
      </c>
      <c r="H902" s="969" t="s">
        <v>5909</v>
      </c>
      <c r="I902" s="84">
        <v>36032000</v>
      </c>
      <c r="J902" s="843" t="s">
        <v>5910</v>
      </c>
      <c r="K902" s="269">
        <v>2020</v>
      </c>
      <c r="L902" s="519">
        <v>43934</v>
      </c>
      <c r="M902" s="844">
        <v>43941</v>
      </c>
      <c r="N902" s="844">
        <v>44184</v>
      </c>
      <c r="O902" s="1099" t="str">
        <f>IF(+Modificaciones!I902=0,"",VLOOKUP(E902,Modificaciones!$B$7:$I$2400,8,0))</f>
        <v/>
      </c>
      <c r="P902" s="115">
        <f>COUNTA(Modificaciones!J902,Modificaciones!L902,Modificaciones!N902,Modificaciones!P902)</f>
        <v>0</v>
      </c>
      <c r="Q902" s="116">
        <f>VLOOKUP(E902,Modificaciones!$B$7:$R$2300,17,0)</f>
        <v>0</v>
      </c>
      <c r="R902" s="117">
        <f>COUNTA(Modificaciones!T902,Modificaciones!V902,Modificaciones!X902,Modificaciones!Z902)</f>
        <v>0</v>
      </c>
      <c r="S902" s="118" t="str">
        <f>IF(Modificaciones!AA902=0,"",VLOOKUP(E902,Modificaciones!$B$7:$AA$2400,26,0))</f>
        <v/>
      </c>
      <c r="T902" s="119" t="str">
        <f>IF(Modificaciones!AB902=0,"",VLOOKUP(E902,Modificaciones!$B$7:$AB$2400,27,0))</f>
        <v/>
      </c>
      <c r="U902" s="1080" t="str">
        <f>+Modificaciones!AC902</f>
        <v/>
      </c>
      <c r="V902" s="825" t="str">
        <f>+Modificaciones!AK902</f>
        <v/>
      </c>
      <c r="W902" s="825">
        <f t="shared" si="166"/>
        <v>44184</v>
      </c>
      <c r="X902" s="59">
        <f t="shared" si="165"/>
        <v>36032000</v>
      </c>
      <c r="Y902" s="151">
        <f>VLOOKUP(E902,Modificaciones!$B$7:$BE$2300,56,0)</f>
        <v>36032000</v>
      </c>
      <c r="Z902" s="84">
        <f t="shared" si="175"/>
        <v>0</v>
      </c>
      <c r="AA902" s="1000" t="s">
        <v>5324</v>
      </c>
      <c r="AB902" s="823">
        <f t="shared" si="176"/>
        <v>1</v>
      </c>
      <c r="AC902" s="40">
        <f t="shared" ca="1" si="167"/>
        <v>1</v>
      </c>
      <c r="AD902" s="41">
        <f t="shared" ca="1" si="168"/>
        <v>0</v>
      </c>
      <c r="AE902" s="181" t="str">
        <f t="shared" ca="1" si="169"/>
        <v/>
      </c>
      <c r="AF902" s="42" t="str">
        <f t="shared" si="177"/>
        <v>SI</v>
      </c>
      <c r="AG902" s="732" t="s">
        <v>5773</v>
      </c>
      <c r="AH902" s="841" t="s">
        <v>1255</v>
      </c>
      <c r="AI902" s="870" t="s">
        <v>5900</v>
      </c>
      <c r="AJ902" s="838" t="s">
        <v>5901</v>
      </c>
      <c r="AK902" s="255" t="s">
        <v>564</v>
      </c>
      <c r="AL902" s="838"/>
      <c r="AM902" s="414" t="s">
        <v>5902</v>
      </c>
      <c r="AN902" s="161" t="str">
        <f t="shared" ca="1" si="170"/>
        <v>TERMINO</v>
      </c>
      <c r="AO902" s="284" t="s">
        <v>582</v>
      </c>
      <c r="AP902" s="406" t="s">
        <v>391</v>
      </c>
      <c r="AQ902" s="819" t="str">
        <f>IFERROR(VLOOKUP(E902,'liquidaciones '!$B$2:$C$1048576,2,0),"NO")</f>
        <v>NO</v>
      </c>
      <c r="AR902" s="909" t="str">
        <f>IFERROR(VLOOKUP(E902,'liquidaciones '!$B$2:$I$1048576,8,0),"")</f>
        <v/>
      </c>
      <c r="AS902" s="406"/>
      <c r="AT902" s="156" t="str">
        <f t="shared" ca="1" si="171"/>
        <v>SI</v>
      </c>
      <c r="AU902" s="1130" t="s">
        <v>6169</v>
      </c>
      <c r="AV902" s="1001"/>
      <c r="AW902" s="930" t="s">
        <v>564</v>
      </c>
      <c r="AX902" s="928"/>
      <c r="AY902" s="928"/>
    </row>
    <row r="903" spans="3:51" ht="40.799999999999997" x14ac:dyDescent="0.3">
      <c r="C903" s="837">
        <v>1233</v>
      </c>
      <c r="E903" s="120" t="s">
        <v>5912</v>
      </c>
      <c r="F903" s="868" t="s">
        <v>6259</v>
      </c>
      <c r="G903" s="863">
        <v>36719511</v>
      </c>
      <c r="H903" s="969" t="s">
        <v>5913</v>
      </c>
      <c r="I903" s="84">
        <v>40194000</v>
      </c>
      <c r="J903" s="843" t="s">
        <v>5914</v>
      </c>
      <c r="K903" s="269">
        <v>2020</v>
      </c>
      <c r="L903" s="519">
        <v>43935</v>
      </c>
      <c r="M903" s="844">
        <v>43969</v>
      </c>
      <c r="N903" s="844">
        <v>44001</v>
      </c>
      <c r="O903" s="1099" t="str">
        <f>IF(+Modificaciones!I903=0,"",VLOOKUP(E903,Modificaciones!$B$7:$I$2400,8,0))</f>
        <v/>
      </c>
      <c r="P903" s="115">
        <f>COUNTA(Modificaciones!J903,Modificaciones!L903,Modificaciones!N903,Modificaciones!P903)</f>
        <v>0</v>
      </c>
      <c r="Q903" s="116">
        <f>VLOOKUP(E903,Modificaciones!$B$7:$R$2300,17,0)</f>
        <v>0</v>
      </c>
      <c r="R903" s="117">
        <f>COUNTA(Modificaciones!T903,Modificaciones!V903,Modificaciones!X903,Modificaciones!Z903)</f>
        <v>0</v>
      </c>
      <c r="S903" s="118" t="str">
        <f>IF(Modificaciones!AA903=0,"",VLOOKUP(E903,Modificaciones!$B$7:$AA$2400,26,0))</f>
        <v/>
      </c>
      <c r="T903" s="119" t="str">
        <f>IF(Modificaciones!AB903=0,"",VLOOKUP(E903,Modificaciones!$B$7:$AB$2400,27,0))</f>
        <v/>
      </c>
      <c r="U903" s="1080" t="str">
        <f>+Modificaciones!AC903</f>
        <v/>
      </c>
      <c r="V903" s="825" t="str">
        <f>+Modificaciones!AK903</f>
        <v/>
      </c>
      <c r="W903" s="825">
        <f t="shared" si="166"/>
        <v>44001</v>
      </c>
      <c r="X903" s="59">
        <f t="shared" ref="X903:X966" si="178">I903+Q903</f>
        <v>40194000</v>
      </c>
      <c r="Y903" s="151">
        <f>VLOOKUP(E903,Modificaciones!$B$7:$BE$2300,56,0)</f>
        <v>4763734</v>
      </c>
      <c r="Z903" s="84">
        <f t="shared" si="175"/>
        <v>35430266</v>
      </c>
      <c r="AA903" s="1000" t="s">
        <v>5324</v>
      </c>
      <c r="AB903" s="823">
        <f t="shared" si="176"/>
        <v>0.118518535104742</v>
      </c>
      <c r="AC903" s="40">
        <f t="shared" ca="1" si="167"/>
        <v>1</v>
      </c>
      <c r="AD903" s="41">
        <f t="shared" ca="1" si="168"/>
        <v>0.88148146489525803</v>
      </c>
      <c r="AE903" s="181" t="str">
        <f t="shared" ca="1" si="169"/>
        <v/>
      </c>
      <c r="AF903" s="42" t="str">
        <f t="shared" si="177"/>
        <v>NO</v>
      </c>
      <c r="AG903" s="732" t="s">
        <v>5773</v>
      </c>
      <c r="AH903" s="841" t="s">
        <v>1255</v>
      </c>
      <c r="AI903" s="870" t="s">
        <v>4878</v>
      </c>
      <c r="AJ903" s="152" t="s">
        <v>5091</v>
      </c>
      <c r="AK903" s="255" t="s">
        <v>561</v>
      </c>
      <c r="AL903" s="838"/>
      <c r="AM903" s="838" t="s">
        <v>6034</v>
      </c>
      <c r="AN903" s="161" t="str">
        <f t="shared" ca="1" si="170"/>
        <v>TERMINO</v>
      </c>
      <c r="AO903" s="284" t="s">
        <v>582</v>
      </c>
      <c r="AP903" s="406" t="s">
        <v>391</v>
      </c>
      <c r="AQ903" s="819" t="str">
        <f>IFERROR(VLOOKUP(E903,'liquidaciones '!$B$2:$C$1048576,2,0),"NO")</f>
        <v>NO</v>
      </c>
      <c r="AR903" s="909" t="str">
        <f>IFERROR(VLOOKUP(E903,'liquidaciones '!$B$2:$I$1048576,8,0),"")</f>
        <v/>
      </c>
      <c r="AS903" s="406"/>
      <c r="AT903" s="156" t="str">
        <f t="shared" ca="1" si="171"/>
        <v>SI</v>
      </c>
      <c r="AU903" s="156" t="s">
        <v>5855</v>
      </c>
      <c r="AV903" s="1001"/>
      <c r="AW903" s="930" t="s">
        <v>6035</v>
      </c>
      <c r="AX903" s="928"/>
      <c r="AY903" s="928"/>
    </row>
    <row r="904" spans="3:51" ht="30.6" x14ac:dyDescent="0.3">
      <c r="C904" s="837">
        <v>1211</v>
      </c>
      <c r="E904" s="120" t="s">
        <v>5921</v>
      </c>
      <c r="F904" s="414" t="s">
        <v>5915</v>
      </c>
      <c r="G904" s="863">
        <v>79302809</v>
      </c>
      <c r="H904" s="969" t="s">
        <v>5916</v>
      </c>
      <c r="I904" s="84">
        <v>49707000</v>
      </c>
      <c r="J904" s="843" t="s">
        <v>5917</v>
      </c>
      <c r="K904" s="269">
        <v>2020</v>
      </c>
      <c r="L904" s="519">
        <v>43935</v>
      </c>
      <c r="M904" s="844">
        <v>43942</v>
      </c>
      <c r="N904" s="844">
        <v>44196</v>
      </c>
      <c r="O904" s="1099" t="str">
        <f>IF(+Modificaciones!I904=0,"",VLOOKUP(E904,Modificaciones!$B$7:$I$2400,8,0))</f>
        <v/>
      </c>
      <c r="P904" s="115">
        <f>COUNTA(Modificaciones!J904,Modificaciones!L904,Modificaciones!N904,Modificaciones!P904)</f>
        <v>0</v>
      </c>
      <c r="Q904" s="116">
        <f>VLOOKUP(E904,Modificaciones!$B$7:$R$2300,17,0)</f>
        <v>0</v>
      </c>
      <c r="R904" s="117">
        <f>COUNTA(Modificaciones!T904,Modificaciones!V904,Modificaciones!X904,Modificaciones!Z904)</f>
        <v>0</v>
      </c>
      <c r="S904" s="118" t="str">
        <f>IF(Modificaciones!AA904=0,"",VLOOKUP(E904,Modificaciones!$B$7:$AA$2400,26,0))</f>
        <v/>
      </c>
      <c r="T904" s="119" t="str">
        <f>IF(Modificaciones!AB904=0,"",VLOOKUP(E904,Modificaciones!$B$7:$AB$2400,27,0))</f>
        <v/>
      </c>
      <c r="U904" s="1080" t="str">
        <f>+Modificaciones!AC904</f>
        <v/>
      </c>
      <c r="V904" s="825" t="str">
        <f>+Modificaciones!AK904</f>
        <v/>
      </c>
      <c r="W904" s="825">
        <f t="shared" ref="W904:W967" si="179">MAX(N904,O904,T904,V904)</f>
        <v>44196</v>
      </c>
      <c r="X904" s="59">
        <f t="shared" si="178"/>
        <v>49707000</v>
      </c>
      <c r="Y904" s="151">
        <f>VLOOKUP(E904,Modificaciones!$B$7:$BE$2300,56,0)</f>
        <v>46025000</v>
      </c>
      <c r="Z904" s="84">
        <f t="shared" si="175"/>
        <v>3682000</v>
      </c>
      <c r="AA904" s="1000" t="s">
        <v>5324</v>
      </c>
      <c r="AB904" s="823">
        <f t="shared" si="176"/>
        <v>0.92592592592592593</v>
      </c>
      <c r="AC904" s="40">
        <f t="shared" ref="AC904:AC967" ca="1" si="180">IF((($F$3-M904)*100%/(W904-M904))&gt;100%,100%,(($F$3-M904)*100%/(W904-M904)))</f>
        <v>1</v>
      </c>
      <c r="AD904" s="41">
        <f t="shared" ref="AD904:AD967" ca="1" si="181">AC904-AB904</f>
        <v>7.407407407407407E-2</v>
      </c>
      <c r="AE904" s="181" t="str">
        <f t="shared" ref="AE904:AE967" ca="1" si="182">IF(AC904&lt;100%,W904-$F$3,"")</f>
        <v/>
      </c>
      <c r="AF904" s="42" t="str">
        <f t="shared" si="177"/>
        <v>NO</v>
      </c>
      <c r="AG904" s="732" t="s">
        <v>5773</v>
      </c>
      <c r="AH904" s="841" t="s">
        <v>1255</v>
      </c>
      <c r="AI904" s="870" t="s">
        <v>5918</v>
      </c>
      <c r="AJ904" s="838" t="s">
        <v>2498</v>
      </c>
      <c r="AK904" s="255" t="s">
        <v>2498</v>
      </c>
      <c r="AL904" s="838"/>
      <c r="AM904" s="838" t="s">
        <v>6269</v>
      </c>
      <c r="AN904" s="161" t="str">
        <f t="shared" ref="AN904:AN967" ca="1" si="183">IF(W904&gt;=$F$3,"EN EJECUCIÓN","TERMINO")</f>
        <v>TERMINO</v>
      </c>
      <c r="AO904" s="284" t="s">
        <v>582</v>
      </c>
      <c r="AP904" s="406" t="s">
        <v>391</v>
      </c>
      <c r="AQ904" s="819" t="str">
        <f>IFERROR(VLOOKUP(E904,'liquidaciones '!$B$2:$C$1048576,2,0),"NO")</f>
        <v>NO</v>
      </c>
      <c r="AR904" s="909" t="str">
        <f>IFERROR(VLOOKUP(E904,'liquidaciones '!$B$2:$I$1048576,8,0),"")</f>
        <v/>
      </c>
      <c r="AS904" s="406"/>
      <c r="AT904" s="156" t="str">
        <f t="shared" ref="AT904:AT967" ca="1" si="184">IF((TODAY()-W904&lt;900),"SI","NO")</f>
        <v>SI</v>
      </c>
      <c r="AU904" s="1023" t="s">
        <v>4805</v>
      </c>
      <c r="AV904" s="1001"/>
      <c r="AW904" s="930" t="s">
        <v>6112</v>
      </c>
      <c r="AX904" s="928"/>
      <c r="AY904" s="928"/>
    </row>
    <row r="905" spans="3:51" ht="51" x14ac:dyDescent="0.3">
      <c r="C905" s="837">
        <v>1312</v>
      </c>
      <c r="E905" s="120" t="s">
        <v>5920</v>
      </c>
      <c r="F905" s="414" t="s">
        <v>5922</v>
      </c>
      <c r="G905" s="863">
        <v>79557237</v>
      </c>
      <c r="H905" s="969" t="s">
        <v>5923</v>
      </c>
      <c r="I905" s="84">
        <v>35845833</v>
      </c>
      <c r="J905" s="843" t="s">
        <v>5924</v>
      </c>
      <c r="K905" s="269">
        <v>2020</v>
      </c>
      <c r="L905" s="519">
        <v>43935</v>
      </c>
      <c r="M905" s="844">
        <v>43942</v>
      </c>
      <c r="N905" s="844">
        <v>44119</v>
      </c>
      <c r="O905" s="1099" t="str">
        <f>IF(+Modificaciones!I905=0,"",VLOOKUP(E905,Modificaciones!$B$7:$I$2400,8,0))</f>
        <v/>
      </c>
      <c r="P905" s="115">
        <f>COUNTA(Modificaciones!J905,Modificaciones!L905,Modificaciones!N905,Modificaciones!P905)</f>
        <v>0</v>
      </c>
      <c r="Q905" s="116">
        <f>VLOOKUP(E905,Modificaciones!$B$7:$R$2300,17,0)</f>
        <v>0</v>
      </c>
      <c r="R905" s="117">
        <f>COUNTA(Modificaciones!T905,Modificaciones!V905,Modificaciones!X905,Modificaciones!Z905)</f>
        <v>0</v>
      </c>
      <c r="S905" s="118" t="str">
        <f>IF(Modificaciones!AA905=0,"",VLOOKUP(E905,Modificaciones!$B$7:$AA$2400,26,0))</f>
        <v/>
      </c>
      <c r="T905" s="119" t="str">
        <f>IF(Modificaciones!AB905=0,"",VLOOKUP(E905,Modificaciones!$B$7:$AB$2400,27,0))</f>
        <v/>
      </c>
      <c r="U905" s="1080" t="str">
        <f>+Modificaciones!AC905</f>
        <v/>
      </c>
      <c r="V905" s="825" t="str">
        <f>+Modificaciones!AK905</f>
        <v/>
      </c>
      <c r="W905" s="825">
        <f t="shared" si="179"/>
        <v>44119</v>
      </c>
      <c r="X905" s="59">
        <f t="shared" si="178"/>
        <v>35845833</v>
      </c>
      <c r="Y905" s="151">
        <f>VLOOKUP(E905,Modificaciones!$B$7:$BE$2300,56,0)</f>
        <v>35845833</v>
      </c>
      <c r="Z905" s="84">
        <f t="shared" si="175"/>
        <v>0</v>
      </c>
      <c r="AA905" s="1000" t="s">
        <v>5324</v>
      </c>
      <c r="AB905" s="823">
        <f t="shared" si="176"/>
        <v>1</v>
      </c>
      <c r="AC905" s="40">
        <f t="shared" ca="1" si="180"/>
        <v>1</v>
      </c>
      <c r="AD905" s="41">
        <f t="shared" ca="1" si="181"/>
        <v>0</v>
      </c>
      <c r="AE905" s="181" t="str">
        <f t="shared" ca="1" si="182"/>
        <v/>
      </c>
      <c r="AF905" s="42" t="str">
        <f t="shared" si="177"/>
        <v>SI</v>
      </c>
      <c r="AG905" s="732" t="s">
        <v>5773</v>
      </c>
      <c r="AH905" s="841" t="s">
        <v>1255</v>
      </c>
      <c r="AI905" s="870" t="s">
        <v>5870</v>
      </c>
      <c r="AJ905" s="838" t="s">
        <v>4998</v>
      </c>
      <c r="AK905" s="255" t="s">
        <v>563</v>
      </c>
      <c r="AL905" s="838"/>
      <c r="AM905" s="838" t="s">
        <v>5871</v>
      </c>
      <c r="AN905" s="161" t="str">
        <f t="shared" ca="1" si="183"/>
        <v>TERMINO</v>
      </c>
      <c r="AO905" s="284" t="s">
        <v>582</v>
      </c>
      <c r="AP905" s="406" t="s">
        <v>391</v>
      </c>
      <c r="AQ905" s="819" t="str">
        <f>IFERROR(VLOOKUP(E905,'liquidaciones '!$B$2:$C$1048576,2,0),"NO")</f>
        <v>NO</v>
      </c>
      <c r="AR905" s="909" t="str">
        <f>IFERROR(VLOOKUP(E905,'liquidaciones '!$B$2:$I$1048576,8,0),"")</f>
        <v/>
      </c>
      <c r="AS905" s="406"/>
      <c r="AT905" s="156" t="str">
        <f t="shared" ca="1" si="184"/>
        <v>SI</v>
      </c>
      <c r="AU905" s="1111" t="s">
        <v>4805</v>
      </c>
      <c r="AV905" s="1001"/>
      <c r="AW905" s="930" t="s">
        <v>5000</v>
      </c>
      <c r="AX905" s="930" t="s">
        <v>6390</v>
      </c>
      <c r="AY905" s="928"/>
    </row>
    <row r="906" spans="3:51" ht="40.799999999999997" x14ac:dyDescent="0.3">
      <c r="C906" s="837">
        <v>1179</v>
      </c>
      <c r="E906" s="120" t="s">
        <v>5939</v>
      </c>
      <c r="F906" s="414" t="s">
        <v>4175</v>
      </c>
      <c r="G906" s="863">
        <v>1030532647</v>
      </c>
      <c r="H906" s="969" t="s">
        <v>3594</v>
      </c>
      <c r="I906" s="84">
        <v>26109000</v>
      </c>
      <c r="J906" s="843" t="s">
        <v>5940</v>
      </c>
      <c r="K906" s="269">
        <v>2020</v>
      </c>
      <c r="L906" s="519">
        <v>43941</v>
      </c>
      <c r="M906" s="844">
        <v>43948</v>
      </c>
      <c r="N906" s="844">
        <v>44196</v>
      </c>
      <c r="O906" s="1099" t="str">
        <f>IF(+Modificaciones!I906=0,"",VLOOKUP(E906,Modificaciones!$B$7:$I$2400,8,0))</f>
        <v/>
      </c>
      <c r="P906" s="115">
        <f>COUNTA(Modificaciones!J906,Modificaciones!L906,Modificaciones!N906,Modificaciones!P906)</f>
        <v>0</v>
      </c>
      <c r="Q906" s="116">
        <f>VLOOKUP(E906,Modificaciones!$B$7:$R$2300,17,0)</f>
        <v>0</v>
      </c>
      <c r="R906" s="117">
        <f>COUNTA(Modificaciones!T906,Modificaciones!V906,Modificaciones!X906,Modificaciones!Z906)</f>
        <v>0</v>
      </c>
      <c r="S906" s="118" t="str">
        <f>IF(Modificaciones!AA906=0,"",VLOOKUP(E906,Modificaciones!$B$7:$AA$2400,26,0))</f>
        <v/>
      </c>
      <c r="T906" s="119" t="str">
        <f>IF(Modificaciones!AB906=0,"",VLOOKUP(E906,Modificaciones!$B$7:$AB$2400,27,0))</f>
        <v/>
      </c>
      <c r="U906" s="1080" t="str">
        <f>+Modificaciones!AC906</f>
        <v/>
      </c>
      <c r="V906" s="825" t="str">
        <f>+Modificaciones!AK906</f>
        <v/>
      </c>
      <c r="W906" s="825">
        <f t="shared" si="179"/>
        <v>44196</v>
      </c>
      <c r="X906" s="59">
        <f t="shared" si="178"/>
        <v>26109000</v>
      </c>
      <c r="Y906" s="151">
        <f>VLOOKUP(E906,Modificaciones!$B$7:$BE$2300,56,0)</f>
        <v>23594800</v>
      </c>
      <c r="Z906" s="84">
        <f t="shared" si="175"/>
        <v>2514200</v>
      </c>
      <c r="AA906" s="1000" t="s">
        <v>5324</v>
      </c>
      <c r="AB906" s="823">
        <f t="shared" si="176"/>
        <v>0.90370370370370368</v>
      </c>
      <c r="AC906" s="40">
        <f t="shared" ca="1" si="180"/>
        <v>1</v>
      </c>
      <c r="AD906" s="41">
        <f t="shared" ca="1" si="181"/>
        <v>9.6296296296296324E-2</v>
      </c>
      <c r="AE906" s="181" t="str">
        <f t="shared" ca="1" si="182"/>
        <v/>
      </c>
      <c r="AF906" s="42" t="str">
        <f t="shared" si="177"/>
        <v>NO</v>
      </c>
      <c r="AG906" s="732" t="s">
        <v>5773</v>
      </c>
      <c r="AH906" s="841" t="s">
        <v>1255</v>
      </c>
      <c r="AI906" s="870" t="s">
        <v>5941</v>
      </c>
      <c r="AJ906" s="838" t="s">
        <v>1281</v>
      </c>
      <c r="AK906" s="255" t="s">
        <v>560</v>
      </c>
      <c r="AL906" s="838" t="s">
        <v>5060</v>
      </c>
      <c r="AM906" s="414" t="s">
        <v>6068</v>
      </c>
      <c r="AN906" s="161" t="str">
        <f t="shared" ca="1" si="183"/>
        <v>TERMINO</v>
      </c>
      <c r="AO906" s="284" t="s">
        <v>582</v>
      </c>
      <c r="AP906" s="406" t="s">
        <v>391</v>
      </c>
      <c r="AQ906" s="819" t="str">
        <f>IFERROR(VLOOKUP(E906,'liquidaciones '!$B$2:$C$1048576,2,0),"NO")</f>
        <v>NO</v>
      </c>
      <c r="AR906" s="909" t="str">
        <f>IFERROR(VLOOKUP(E906,'liquidaciones '!$B$2:$I$1048576,8,0),"")</f>
        <v/>
      </c>
      <c r="AS906" s="406"/>
      <c r="AT906" s="156" t="str">
        <f t="shared" ca="1" si="184"/>
        <v>SI</v>
      </c>
      <c r="AU906" s="1023" t="s">
        <v>4805</v>
      </c>
      <c r="AV906" s="1001" t="s">
        <v>5044</v>
      </c>
      <c r="AW906" s="930" t="s">
        <v>6064</v>
      </c>
      <c r="AX906" s="928"/>
      <c r="AY906" s="928"/>
    </row>
    <row r="907" spans="3:51" ht="51" x14ac:dyDescent="0.3">
      <c r="C907" s="837">
        <v>1343</v>
      </c>
      <c r="E907" s="120" t="s">
        <v>5942</v>
      </c>
      <c r="F907" s="414" t="s">
        <v>4161</v>
      </c>
      <c r="G907" s="863">
        <v>79629653</v>
      </c>
      <c r="H907" s="969" t="s">
        <v>5943</v>
      </c>
      <c r="I907" s="84">
        <v>45648000</v>
      </c>
      <c r="J907" s="843" t="s">
        <v>5944</v>
      </c>
      <c r="K907" s="269">
        <v>2020</v>
      </c>
      <c r="L907" s="519">
        <v>43941</v>
      </c>
      <c r="M907" s="844">
        <v>43948</v>
      </c>
      <c r="N907" s="844">
        <v>44191</v>
      </c>
      <c r="O907" s="1099" t="str">
        <f>IF(+Modificaciones!I907=0,"",VLOOKUP(E907,Modificaciones!$B$7:$I$2400,8,0))</f>
        <v/>
      </c>
      <c r="P907" s="115">
        <f>COUNTA(Modificaciones!J907,Modificaciones!L907,Modificaciones!N907,Modificaciones!P907)</f>
        <v>0</v>
      </c>
      <c r="Q907" s="116">
        <f>VLOOKUP(E907,Modificaciones!$B$7:$R$2300,17,0)</f>
        <v>0</v>
      </c>
      <c r="R907" s="117">
        <f>COUNTA(Modificaciones!T907,Modificaciones!V907,Modificaciones!X907,Modificaciones!Z907)</f>
        <v>0</v>
      </c>
      <c r="S907" s="118" t="str">
        <f>IF(Modificaciones!AA907=0,"",VLOOKUP(E907,Modificaciones!$B$7:$AA$2400,26,0))</f>
        <v/>
      </c>
      <c r="T907" s="119" t="str">
        <f>IF(Modificaciones!AB907=0,"",VLOOKUP(E907,Modificaciones!$B$7:$AB$2400,27,0))</f>
        <v/>
      </c>
      <c r="U907" s="1080" t="str">
        <f>+Modificaciones!AC907</f>
        <v/>
      </c>
      <c r="V907" s="825" t="str">
        <f>+Modificaciones!AK907</f>
        <v/>
      </c>
      <c r="W907" s="825">
        <f t="shared" si="179"/>
        <v>44191</v>
      </c>
      <c r="X907" s="59">
        <f t="shared" si="178"/>
        <v>45648000</v>
      </c>
      <c r="Y907" s="151">
        <f>VLOOKUP(E907,Modificaciones!$B$7:$BE$2300,56,0)</f>
        <v>45648000</v>
      </c>
      <c r="Z907" s="84">
        <f t="shared" si="175"/>
        <v>0</v>
      </c>
      <c r="AA907" s="1000" t="s">
        <v>5324</v>
      </c>
      <c r="AB907" s="823">
        <f t="shared" si="176"/>
        <v>1</v>
      </c>
      <c r="AC907" s="40">
        <f t="shared" ca="1" si="180"/>
        <v>1</v>
      </c>
      <c r="AD907" s="41">
        <f t="shared" ca="1" si="181"/>
        <v>0</v>
      </c>
      <c r="AE907" s="181" t="str">
        <f t="shared" ca="1" si="182"/>
        <v/>
      </c>
      <c r="AF907" s="42" t="str">
        <f t="shared" si="177"/>
        <v>SI</v>
      </c>
      <c r="AG907" s="732" t="s">
        <v>5773</v>
      </c>
      <c r="AH907" s="841" t="s">
        <v>1255</v>
      </c>
      <c r="AI907" s="870" t="s">
        <v>4872</v>
      </c>
      <c r="AJ907" s="838"/>
      <c r="AK907" s="255" t="s">
        <v>560</v>
      </c>
      <c r="AL907" s="838"/>
      <c r="AM907" s="838" t="s">
        <v>6068</v>
      </c>
      <c r="AN907" s="161" t="str">
        <f t="shared" ca="1" si="183"/>
        <v>TERMINO</v>
      </c>
      <c r="AO907" s="284" t="s">
        <v>582</v>
      </c>
      <c r="AP907" s="406" t="s">
        <v>391</v>
      </c>
      <c r="AQ907" s="819" t="str">
        <f>IFERROR(VLOOKUP(E907,'liquidaciones '!$B$2:$C$1048576,2,0),"NO")</f>
        <v>NO</v>
      </c>
      <c r="AR907" s="909" t="str">
        <f>IFERROR(VLOOKUP(E907,'liquidaciones '!$B$2:$I$1048576,8,0),"")</f>
        <v/>
      </c>
      <c r="AS907" s="406"/>
      <c r="AT907" s="156" t="str">
        <f t="shared" ca="1" si="184"/>
        <v>SI</v>
      </c>
      <c r="AU907" s="1023" t="s">
        <v>4805</v>
      </c>
      <c r="AV907" s="1001"/>
      <c r="AW907" s="930" t="s">
        <v>6064</v>
      </c>
      <c r="AX907" s="928"/>
      <c r="AY907" s="928"/>
    </row>
    <row r="908" spans="3:51" ht="40.799999999999997" x14ac:dyDescent="0.3">
      <c r="C908" s="837">
        <v>1342</v>
      </c>
      <c r="E908" s="120" t="s">
        <v>5947</v>
      </c>
      <c r="F908" s="414" t="s">
        <v>4546</v>
      </c>
      <c r="G908" s="863">
        <v>80751229</v>
      </c>
      <c r="H908" s="969" t="s">
        <v>5948</v>
      </c>
      <c r="I908" s="84">
        <v>38472000</v>
      </c>
      <c r="J908" s="843" t="s">
        <v>5949</v>
      </c>
      <c r="K908" s="269">
        <v>2020</v>
      </c>
      <c r="L908" s="519">
        <v>43944</v>
      </c>
      <c r="M908" s="844">
        <v>43950</v>
      </c>
      <c r="N908" s="844">
        <v>44193</v>
      </c>
      <c r="O908" s="1099" t="str">
        <f>IF(+Modificaciones!I908=0,"",VLOOKUP(E908,Modificaciones!$B$7:$I$2400,8,0))</f>
        <v/>
      </c>
      <c r="P908" s="115">
        <f>COUNTA(Modificaciones!J908,Modificaciones!L908,Modificaciones!N908,Modificaciones!P908)</f>
        <v>0</v>
      </c>
      <c r="Q908" s="116">
        <f>VLOOKUP(E908,Modificaciones!$B$7:$R$2300,17,0)</f>
        <v>0</v>
      </c>
      <c r="R908" s="117">
        <f>COUNTA(Modificaciones!T908,Modificaciones!V908,Modificaciones!X908,Modificaciones!Z908)</f>
        <v>0</v>
      </c>
      <c r="S908" s="118" t="str">
        <f>IF(Modificaciones!AA908=0,"",VLOOKUP(E908,Modificaciones!$B$7:$AA$2400,26,0))</f>
        <v/>
      </c>
      <c r="T908" s="119" t="str">
        <f>IF(Modificaciones!AB908=0,"",VLOOKUP(E908,Modificaciones!$B$7:$AB$2400,27,0))</f>
        <v/>
      </c>
      <c r="U908" s="1080" t="str">
        <f>+Modificaciones!AC908</f>
        <v/>
      </c>
      <c r="V908" s="825" t="str">
        <f>+Modificaciones!AK908</f>
        <v/>
      </c>
      <c r="W908" s="825">
        <f t="shared" si="179"/>
        <v>44193</v>
      </c>
      <c r="X908" s="59">
        <f t="shared" si="178"/>
        <v>38472000</v>
      </c>
      <c r="Y908" s="151">
        <f>VLOOKUP(E908,Modificaciones!$B$7:$BE$2300,56,0)</f>
        <v>38472000</v>
      </c>
      <c r="Z908" s="84">
        <f t="shared" si="175"/>
        <v>0</v>
      </c>
      <c r="AA908" s="1000" t="s">
        <v>5324</v>
      </c>
      <c r="AB908" s="823">
        <f t="shared" si="176"/>
        <v>1</v>
      </c>
      <c r="AC908" s="40">
        <f t="shared" ca="1" si="180"/>
        <v>1</v>
      </c>
      <c r="AD908" s="41">
        <f t="shared" ca="1" si="181"/>
        <v>0</v>
      </c>
      <c r="AE908" s="181" t="str">
        <f t="shared" ca="1" si="182"/>
        <v/>
      </c>
      <c r="AF908" s="42" t="str">
        <f t="shared" si="177"/>
        <v>SI</v>
      </c>
      <c r="AG908" s="732" t="s">
        <v>5773</v>
      </c>
      <c r="AH908" s="841" t="s">
        <v>1255</v>
      </c>
      <c r="AI908" s="870" t="s">
        <v>2588</v>
      </c>
      <c r="AJ908" s="838" t="s">
        <v>5394</v>
      </c>
      <c r="AK908" s="255" t="s">
        <v>559</v>
      </c>
      <c r="AL908" s="838"/>
      <c r="AM908" s="838" t="s">
        <v>5774</v>
      </c>
      <c r="AN908" s="161" t="str">
        <f t="shared" ca="1" si="183"/>
        <v>TERMINO</v>
      </c>
      <c r="AO908" s="284" t="s">
        <v>582</v>
      </c>
      <c r="AP908" s="406" t="s">
        <v>391</v>
      </c>
      <c r="AQ908" s="819" t="str">
        <f>IFERROR(VLOOKUP(E908,'liquidaciones '!$B$2:$C$1048576,2,0),"NO")</f>
        <v>NO</v>
      </c>
      <c r="AR908" s="909" t="str">
        <f>IFERROR(VLOOKUP(E908,'liquidaciones '!$B$2:$I$1048576,8,0),"")</f>
        <v/>
      </c>
      <c r="AS908" s="406"/>
      <c r="AT908" s="156" t="str">
        <f t="shared" ca="1" si="184"/>
        <v>SI</v>
      </c>
      <c r="AU908" s="1023" t="s">
        <v>4805</v>
      </c>
      <c r="AV908" s="1001"/>
      <c r="AW908" s="930" t="s">
        <v>559</v>
      </c>
      <c r="AX908" s="928"/>
      <c r="AY908" s="930" t="s">
        <v>6578</v>
      </c>
    </row>
    <row r="909" spans="3:51" ht="28.8" x14ac:dyDescent="0.3">
      <c r="C909" s="837">
        <v>1121</v>
      </c>
      <c r="E909" s="120" t="s">
        <v>5951</v>
      </c>
      <c r="F909" s="414" t="s">
        <v>5950</v>
      </c>
      <c r="G909" s="863" t="s">
        <v>5952</v>
      </c>
      <c r="H909" s="969" t="s">
        <v>5953</v>
      </c>
      <c r="I909" s="84">
        <v>12231961</v>
      </c>
      <c r="J909" s="843" t="s">
        <v>5954</v>
      </c>
      <c r="K909" s="269">
        <v>2020</v>
      </c>
      <c r="L909" s="519">
        <v>43929</v>
      </c>
      <c r="M909" s="844">
        <v>43951</v>
      </c>
      <c r="N909" s="844">
        <v>44315</v>
      </c>
      <c r="O909" s="1099" t="str">
        <f>IF(+Modificaciones!I909=0,"",VLOOKUP(E909,Modificaciones!$B$7:$I$2400,8,0))</f>
        <v/>
      </c>
      <c r="P909" s="115">
        <f>COUNTA(Modificaciones!J909,Modificaciones!L909,Modificaciones!N909,Modificaciones!P909)</f>
        <v>0</v>
      </c>
      <c r="Q909" s="116">
        <f>VLOOKUP(E909,Modificaciones!$B$7:$R$2300,17,0)</f>
        <v>0</v>
      </c>
      <c r="R909" s="117">
        <f>COUNTA(Modificaciones!T909,Modificaciones!V909,Modificaciones!X909,Modificaciones!Z909)</f>
        <v>0</v>
      </c>
      <c r="S909" s="118" t="str">
        <f>IF(Modificaciones!AA909=0,"",VLOOKUP(E909,Modificaciones!$B$7:$AA$2400,26,0))</f>
        <v/>
      </c>
      <c r="T909" s="119" t="str">
        <f>IF(Modificaciones!AB909=0,"",VLOOKUP(E909,Modificaciones!$B$7:$AB$2400,27,0))</f>
        <v/>
      </c>
      <c r="U909" s="1080" t="str">
        <f>+Modificaciones!AC909</f>
        <v/>
      </c>
      <c r="V909" s="825" t="str">
        <f>+Modificaciones!AK909</f>
        <v/>
      </c>
      <c r="W909" s="825">
        <f t="shared" si="179"/>
        <v>44315</v>
      </c>
      <c r="X909" s="59">
        <f t="shared" si="178"/>
        <v>12231961</v>
      </c>
      <c r="Y909" s="151">
        <f>VLOOKUP(E909,Modificaciones!$B$7:$BE$2300,56,0)</f>
        <v>0</v>
      </c>
      <c r="Z909" s="84">
        <f t="shared" si="175"/>
        <v>12231961</v>
      </c>
      <c r="AA909" s="1000" t="s">
        <v>5955</v>
      </c>
      <c r="AB909" s="823">
        <f t="shared" si="176"/>
        <v>0</v>
      </c>
      <c r="AC909" s="40">
        <f t="shared" ca="1" si="180"/>
        <v>0.76098901098901095</v>
      </c>
      <c r="AD909" s="41">
        <f t="shared" ca="1" si="181"/>
        <v>0.76098901098901095</v>
      </c>
      <c r="AE909" s="181">
        <f t="shared" ca="1" si="182"/>
        <v>87</v>
      </c>
      <c r="AF909" s="42" t="str">
        <f t="shared" si="177"/>
        <v>NO</v>
      </c>
      <c r="AG909" s="1017" t="s">
        <v>4920</v>
      </c>
      <c r="AH909" s="841" t="s">
        <v>1256</v>
      </c>
      <c r="AI909" s="841" t="s">
        <v>5956</v>
      </c>
      <c r="AJ909" s="152" t="s">
        <v>1438</v>
      </c>
      <c r="AK909" s="255" t="s">
        <v>560</v>
      </c>
      <c r="AL909" s="838" t="s">
        <v>4852</v>
      </c>
      <c r="AM909" s="838" t="s">
        <v>5734</v>
      </c>
      <c r="AN909" s="161" t="str">
        <f t="shared" ca="1" si="183"/>
        <v>EN EJECUCIÓN</v>
      </c>
      <c r="AO909" s="284" t="s">
        <v>582</v>
      </c>
      <c r="AP909" s="406" t="s">
        <v>390</v>
      </c>
      <c r="AQ909" s="819" t="str">
        <f>IFERROR(VLOOKUP(E909,'liquidaciones '!$B$2:$C$1048576,2,0),"NO")</f>
        <v>NO</v>
      </c>
      <c r="AR909" s="909" t="str">
        <f>IFERROR(VLOOKUP(E909,'liquidaciones '!$B$2:$I$1048576,8,0),"")</f>
        <v/>
      </c>
      <c r="AS909" s="406"/>
      <c r="AT909" s="156" t="str">
        <f t="shared" ca="1" si="184"/>
        <v>SI</v>
      </c>
      <c r="AU909" s="1023" t="s">
        <v>5875</v>
      </c>
      <c r="AV909" s="1001"/>
      <c r="AW909" s="930" t="s">
        <v>560</v>
      </c>
      <c r="AX909" s="928"/>
      <c r="AY909" s="928"/>
    </row>
    <row r="910" spans="3:51" ht="30.6" x14ac:dyDescent="0.3">
      <c r="C910" s="837">
        <v>1338</v>
      </c>
      <c r="E910" s="120" t="s">
        <v>5957</v>
      </c>
      <c r="F910" s="414" t="s">
        <v>5958</v>
      </c>
      <c r="G910" s="863">
        <v>40937641</v>
      </c>
      <c r="H910" s="969" t="s">
        <v>5959</v>
      </c>
      <c r="I910" s="84">
        <v>28096000</v>
      </c>
      <c r="J910" s="843" t="s">
        <v>5960</v>
      </c>
      <c r="K910" s="269">
        <v>2020</v>
      </c>
      <c r="L910" s="519">
        <v>43947</v>
      </c>
      <c r="M910" s="844">
        <v>43955</v>
      </c>
      <c r="N910" s="844">
        <v>44196</v>
      </c>
      <c r="O910" s="1099" t="str">
        <f>IF(+Modificaciones!I910=0,"",VLOOKUP(E910,Modificaciones!$B$7:$I$2400,8,0))</f>
        <v/>
      </c>
      <c r="P910" s="115">
        <f>COUNTA(Modificaciones!J910,Modificaciones!L910,Modificaciones!N910,Modificaciones!P910)</f>
        <v>0</v>
      </c>
      <c r="Q910" s="116">
        <f>VLOOKUP(E910,Modificaciones!$B$7:$R$2300,17,0)</f>
        <v>0</v>
      </c>
      <c r="R910" s="117">
        <f>COUNTA(Modificaciones!T910,Modificaciones!V910,Modificaciones!X910,Modificaciones!Z910)</f>
        <v>0</v>
      </c>
      <c r="S910" s="118" t="str">
        <f>IF(Modificaciones!AA910=0,"",VLOOKUP(E910,Modificaciones!$B$7:$AA$2400,26,0))</f>
        <v/>
      </c>
      <c r="T910" s="119" t="str">
        <f>IF(Modificaciones!AB910=0,"",VLOOKUP(E910,Modificaciones!$B$7:$AB$2400,27,0))</f>
        <v/>
      </c>
      <c r="U910" s="1080" t="str">
        <f>+Modificaciones!AC910</f>
        <v/>
      </c>
      <c r="V910" s="825" t="str">
        <f>+Modificaciones!AK910</f>
        <v/>
      </c>
      <c r="W910" s="825">
        <f t="shared" si="179"/>
        <v>44196</v>
      </c>
      <c r="X910" s="59">
        <f t="shared" si="178"/>
        <v>28096000</v>
      </c>
      <c r="Y910" s="151">
        <f>VLOOKUP(E910,Modificaciones!$B$7:$BE$2300,56,0)</f>
        <v>27744800</v>
      </c>
      <c r="Z910" s="84">
        <f t="shared" si="175"/>
        <v>351200</v>
      </c>
      <c r="AA910" s="1000" t="s">
        <v>5324</v>
      </c>
      <c r="AB910" s="823">
        <f t="shared" si="176"/>
        <v>0.98750000000000004</v>
      </c>
      <c r="AC910" s="40">
        <f t="shared" ca="1" si="180"/>
        <v>1</v>
      </c>
      <c r="AD910" s="41">
        <f t="shared" ca="1" si="181"/>
        <v>1.2499999999999956E-2</v>
      </c>
      <c r="AE910" s="181" t="str">
        <f t="shared" ca="1" si="182"/>
        <v/>
      </c>
      <c r="AF910" s="42" t="str">
        <f t="shared" si="177"/>
        <v>NO</v>
      </c>
      <c r="AG910" s="732" t="s">
        <v>5773</v>
      </c>
      <c r="AH910" s="841" t="s">
        <v>1255</v>
      </c>
      <c r="AI910" s="870" t="s">
        <v>2588</v>
      </c>
      <c r="AJ910" s="838" t="s">
        <v>5394</v>
      </c>
      <c r="AK910" s="255" t="s">
        <v>559</v>
      </c>
      <c r="AL910" s="838"/>
      <c r="AM910" s="838" t="s">
        <v>6065</v>
      </c>
      <c r="AN910" s="161" t="str">
        <f t="shared" ca="1" si="183"/>
        <v>TERMINO</v>
      </c>
      <c r="AO910" s="284" t="s">
        <v>582</v>
      </c>
      <c r="AP910" s="406" t="s">
        <v>391</v>
      </c>
      <c r="AQ910" s="819" t="str">
        <f>IFERROR(VLOOKUP(E910,'liquidaciones '!$B$2:$C$1048576,2,0),"NO")</f>
        <v>NO</v>
      </c>
      <c r="AR910" s="909" t="str">
        <f>IFERROR(VLOOKUP(E910,'liquidaciones '!$B$2:$I$1048576,8,0),"")</f>
        <v/>
      </c>
      <c r="AS910" s="406"/>
      <c r="AT910" s="156" t="str">
        <f t="shared" ca="1" si="184"/>
        <v>SI</v>
      </c>
      <c r="AU910" s="1112" t="s">
        <v>4805</v>
      </c>
      <c r="AV910" s="1001"/>
      <c r="AW910" s="930" t="s">
        <v>6064</v>
      </c>
      <c r="AX910" s="928"/>
      <c r="AY910" s="928"/>
    </row>
    <row r="911" spans="3:51" ht="20.399999999999999" x14ac:dyDescent="0.3">
      <c r="C911" s="837">
        <v>1205</v>
      </c>
      <c r="E911" s="120" t="s">
        <v>5969</v>
      </c>
      <c r="F911" s="414" t="s">
        <v>5968</v>
      </c>
      <c r="G911" s="863" t="s">
        <v>5970</v>
      </c>
      <c r="H911" s="969" t="s">
        <v>5971</v>
      </c>
      <c r="I911" s="84">
        <v>1530000</v>
      </c>
      <c r="J911" s="843" t="s">
        <v>5972</v>
      </c>
      <c r="K911" s="269">
        <v>2020</v>
      </c>
      <c r="L911" s="519">
        <v>43951</v>
      </c>
      <c r="M911" s="844">
        <v>43957</v>
      </c>
      <c r="N911" s="844">
        <v>44321</v>
      </c>
      <c r="O911" s="1099" t="str">
        <f>IF(+Modificaciones!I911=0,"",VLOOKUP(E911,Modificaciones!$B$7:$I$2400,8,0))</f>
        <v/>
      </c>
      <c r="P911" s="115">
        <f>COUNTA(Modificaciones!J911,Modificaciones!L911,Modificaciones!N911,Modificaciones!P911)</f>
        <v>0</v>
      </c>
      <c r="Q911" s="116">
        <f>VLOOKUP(E911,Modificaciones!$B$7:$R$2300,17,0)</f>
        <v>0</v>
      </c>
      <c r="R911" s="117">
        <f>COUNTA(Modificaciones!T911,Modificaciones!V911,Modificaciones!X911,Modificaciones!Z911)</f>
        <v>0</v>
      </c>
      <c r="S911" s="118" t="str">
        <f>IF(Modificaciones!AA911=0,"",VLOOKUP(E911,Modificaciones!$B$7:$AA$2400,26,0))</f>
        <v/>
      </c>
      <c r="T911" s="119" t="str">
        <f>IF(Modificaciones!AB911=0,"",VLOOKUP(E911,Modificaciones!$B$7:$AB$2400,27,0))</f>
        <v/>
      </c>
      <c r="U911" s="1080" t="str">
        <f>+Modificaciones!AC911</f>
        <v/>
      </c>
      <c r="V911" s="825" t="str">
        <f>+Modificaciones!AK911</f>
        <v/>
      </c>
      <c r="W911" s="825">
        <f t="shared" si="179"/>
        <v>44321</v>
      </c>
      <c r="X911" s="59">
        <f t="shared" si="178"/>
        <v>1530000</v>
      </c>
      <c r="Y911" s="151">
        <f>VLOOKUP(E911,Modificaciones!$B$7:$BE$2300,56,0)</f>
        <v>1530000</v>
      </c>
      <c r="Z911" s="84">
        <f t="shared" si="175"/>
        <v>0</v>
      </c>
      <c r="AA911" s="1000" t="s">
        <v>5519</v>
      </c>
      <c r="AB911" s="823">
        <f t="shared" si="176"/>
        <v>1</v>
      </c>
      <c r="AC911" s="40">
        <f t="shared" ca="1" si="180"/>
        <v>0.74450549450549453</v>
      </c>
      <c r="AD911" s="41">
        <f t="shared" ca="1" si="181"/>
        <v>-0.25549450549450547</v>
      </c>
      <c r="AE911" s="181">
        <f t="shared" ca="1" si="182"/>
        <v>93</v>
      </c>
      <c r="AF911" s="42" t="str">
        <f t="shared" si="177"/>
        <v>SI</v>
      </c>
      <c r="AG911" s="1037" t="s">
        <v>1713</v>
      </c>
      <c r="AH911" s="841" t="s">
        <v>1255</v>
      </c>
      <c r="AI911" s="841" t="s">
        <v>1124</v>
      </c>
      <c r="AJ911" s="838"/>
      <c r="AK911" s="255" t="s">
        <v>564</v>
      </c>
      <c r="AL911" s="838"/>
      <c r="AM911" s="414" t="s">
        <v>5902</v>
      </c>
      <c r="AN911" s="161" t="str">
        <f t="shared" ca="1" si="183"/>
        <v>EN EJECUCIÓN</v>
      </c>
      <c r="AO911" s="284" t="s">
        <v>582</v>
      </c>
      <c r="AP911" s="406" t="s">
        <v>391</v>
      </c>
      <c r="AQ911" s="819" t="str">
        <f>IFERROR(VLOOKUP(E911,'liquidaciones '!$B$2:$C$1048576,2,0),"NO")</f>
        <v>NO</v>
      </c>
      <c r="AR911" s="909" t="str">
        <f>IFERROR(VLOOKUP(E911,'liquidaciones '!$B$2:$I$1048576,8,0),"")</f>
        <v/>
      </c>
      <c r="AS911" s="406"/>
      <c r="AT911" s="156" t="str">
        <f t="shared" ca="1" si="184"/>
        <v>SI</v>
      </c>
      <c r="AU911" s="1023" t="s">
        <v>5851</v>
      </c>
      <c r="AV911" s="1001"/>
      <c r="AW911" s="930" t="s">
        <v>564</v>
      </c>
      <c r="AX911" s="928"/>
      <c r="AY911" s="928"/>
    </row>
    <row r="912" spans="3:51" ht="40.799999999999997" x14ac:dyDescent="0.3">
      <c r="C912" s="837">
        <v>1208</v>
      </c>
      <c r="E912" s="120" t="s">
        <v>5975</v>
      </c>
      <c r="F912" s="414" t="s">
        <v>5976</v>
      </c>
      <c r="G912" s="863">
        <v>52831370</v>
      </c>
      <c r="H912" s="969" t="s">
        <v>5977</v>
      </c>
      <c r="I912" s="84">
        <v>35728000</v>
      </c>
      <c r="J912" s="843" t="s">
        <v>5978</v>
      </c>
      <c r="K912" s="269">
        <v>2020</v>
      </c>
      <c r="L912" s="519">
        <v>43951</v>
      </c>
      <c r="M912" s="844">
        <v>43963</v>
      </c>
      <c r="N912" s="844">
        <v>44196</v>
      </c>
      <c r="O912" s="1099" t="str">
        <f>IF(+Modificaciones!I912=0,"",VLOOKUP(E912,Modificaciones!$B$7:$I$2400,8,0))</f>
        <v/>
      </c>
      <c r="P912" s="115">
        <f>COUNTA(Modificaciones!J912,Modificaciones!L912,Modificaciones!N912,Modificaciones!P912)</f>
        <v>0</v>
      </c>
      <c r="Q912" s="116">
        <f>VLOOKUP(E912,Modificaciones!$B$7:$R$2300,17,0)</f>
        <v>0</v>
      </c>
      <c r="R912" s="117">
        <f>COUNTA(Modificaciones!T912,Modificaciones!V912,Modificaciones!X912,Modificaciones!Z912)</f>
        <v>0</v>
      </c>
      <c r="S912" s="118" t="str">
        <f>IF(Modificaciones!AA912=0,"",VLOOKUP(E912,Modificaciones!$B$7:$AA$2400,26,0))</f>
        <v/>
      </c>
      <c r="T912" s="119" t="str">
        <f>IF(Modificaciones!AB912=0,"",VLOOKUP(E912,Modificaciones!$B$7:$AB$2400,27,0))</f>
        <v/>
      </c>
      <c r="U912" s="1080" t="str">
        <f>+Modificaciones!AC912</f>
        <v/>
      </c>
      <c r="V912" s="825" t="str">
        <f>+Modificaciones!AK912</f>
        <v/>
      </c>
      <c r="W912" s="825">
        <f t="shared" si="179"/>
        <v>44196</v>
      </c>
      <c r="X912" s="59">
        <f t="shared" si="178"/>
        <v>35728000</v>
      </c>
      <c r="Y912" s="151">
        <f>VLOOKUP(E912,Modificaciones!$B$7:$BE$2300,56,0)</f>
        <v>34090467</v>
      </c>
      <c r="Z912" s="84">
        <f t="shared" si="175"/>
        <v>1637533</v>
      </c>
      <c r="AA912" s="1000" t="s">
        <v>5324</v>
      </c>
      <c r="AB912" s="823">
        <f t="shared" si="176"/>
        <v>0.95416667599641736</v>
      </c>
      <c r="AC912" s="40">
        <f t="shared" ca="1" si="180"/>
        <v>1</v>
      </c>
      <c r="AD912" s="41">
        <f t="shared" ca="1" si="181"/>
        <v>4.5833324003582643E-2</v>
      </c>
      <c r="AE912" s="181" t="str">
        <f t="shared" ca="1" si="182"/>
        <v/>
      </c>
      <c r="AF912" s="42" t="str">
        <f t="shared" si="177"/>
        <v>NO</v>
      </c>
      <c r="AG912" s="732" t="s">
        <v>5773</v>
      </c>
      <c r="AH912" s="841" t="s">
        <v>1255</v>
      </c>
      <c r="AI912" s="870" t="s">
        <v>2588</v>
      </c>
      <c r="AJ912" s="838" t="s">
        <v>5394</v>
      </c>
      <c r="AK912" s="255" t="s">
        <v>559</v>
      </c>
      <c r="AL912" s="838"/>
      <c r="AM912" s="838" t="s">
        <v>6065</v>
      </c>
      <c r="AN912" s="161" t="str">
        <f t="shared" ca="1" si="183"/>
        <v>TERMINO</v>
      </c>
      <c r="AO912" s="284" t="s">
        <v>582</v>
      </c>
      <c r="AP912" s="406" t="s">
        <v>391</v>
      </c>
      <c r="AQ912" s="819" t="str">
        <f>IFERROR(VLOOKUP(E912,'liquidaciones '!$B$2:$C$1048576,2,0),"NO")</f>
        <v>NO</v>
      </c>
      <c r="AR912" s="909" t="str">
        <f>IFERROR(VLOOKUP(E912,'liquidaciones '!$B$2:$I$1048576,8,0),"")</f>
        <v/>
      </c>
      <c r="AS912" s="406"/>
      <c r="AT912" s="156" t="str">
        <f t="shared" ca="1" si="184"/>
        <v>SI</v>
      </c>
      <c r="AU912" s="1023" t="s">
        <v>4805</v>
      </c>
      <c r="AV912" s="1001"/>
      <c r="AW912" s="930" t="s">
        <v>6064</v>
      </c>
      <c r="AX912" s="928"/>
      <c r="AY912" s="928"/>
    </row>
    <row r="913" spans="3:51" ht="112.2" x14ac:dyDescent="0.3">
      <c r="C913" s="837">
        <v>1353</v>
      </c>
      <c r="E913" s="120" t="s">
        <v>5980</v>
      </c>
      <c r="F913" s="414" t="s">
        <v>5979</v>
      </c>
      <c r="G913" s="863">
        <v>800011951</v>
      </c>
      <c r="H913" s="969" t="s">
        <v>5981</v>
      </c>
      <c r="I913" s="84">
        <v>11900000</v>
      </c>
      <c r="J913" s="843" t="s">
        <v>5982</v>
      </c>
      <c r="K913" s="269">
        <v>2020</v>
      </c>
      <c r="L913" s="519">
        <v>43959</v>
      </c>
      <c r="M913" s="844">
        <v>43964</v>
      </c>
      <c r="N913" s="844">
        <v>44055</v>
      </c>
      <c r="O913" s="1099" t="str">
        <f>IF(+Modificaciones!I913=0,"",VLOOKUP(E913,Modificaciones!$B$7:$I$2400,8,0))</f>
        <v/>
      </c>
      <c r="P913" s="115">
        <f>COUNTA(Modificaciones!J913,Modificaciones!L913,Modificaciones!N913,Modificaciones!P913)</f>
        <v>0</v>
      </c>
      <c r="Q913" s="116">
        <f>VLOOKUP(E913,Modificaciones!$B$7:$R$2300,17,0)</f>
        <v>0</v>
      </c>
      <c r="R913" s="117">
        <f>COUNTA(Modificaciones!T913,Modificaciones!V913,Modificaciones!X913,Modificaciones!Z913)</f>
        <v>0</v>
      </c>
      <c r="S913" s="118" t="str">
        <f>IF(Modificaciones!AA913=0,"",VLOOKUP(E913,Modificaciones!$B$7:$AA$2400,26,0))</f>
        <v/>
      </c>
      <c r="T913" s="119" t="str">
        <f>IF(Modificaciones!AB913=0,"",VLOOKUP(E913,Modificaciones!$B$7:$AB$2400,27,0))</f>
        <v/>
      </c>
      <c r="U913" s="1080" t="str">
        <f>+Modificaciones!AC913</f>
        <v/>
      </c>
      <c r="V913" s="825" t="str">
        <f>+Modificaciones!AK913</f>
        <v/>
      </c>
      <c r="W913" s="825">
        <f t="shared" si="179"/>
        <v>44055</v>
      </c>
      <c r="X913" s="59">
        <f t="shared" si="178"/>
        <v>11900000</v>
      </c>
      <c r="Y913" s="151">
        <f>VLOOKUP(E913,Modificaciones!$B$7:$BE$2300,56,0)</f>
        <v>11900000</v>
      </c>
      <c r="Z913" s="84">
        <f t="shared" si="175"/>
        <v>0</v>
      </c>
      <c r="AA913" s="1000" t="s">
        <v>5983</v>
      </c>
      <c r="AB913" s="823">
        <f t="shared" si="176"/>
        <v>1</v>
      </c>
      <c r="AC913" s="40">
        <f t="shared" ca="1" si="180"/>
        <v>1</v>
      </c>
      <c r="AD913" s="41">
        <f t="shared" ca="1" si="181"/>
        <v>0</v>
      </c>
      <c r="AE913" s="181" t="str">
        <f t="shared" ca="1" si="182"/>
        <v/>
      </c>
      <c r="AF913" s="42" t="str">
        <f t="shared" si="177"/>
        <v>SI</v>
      </c>
      <c r="AG913" s="732" t="s">
        <v>4920</v>
      </c>
      <c r="AH913" s="841" t="s">
        <v>1255</v>
      </c>
      <c r="AI913" s="870" t="s">
        <v>5984</v>
      </c>
      <c r="AJ913" s="838" t="s">
        <v>5985</v>
      </c>
      <c r="AL913" s="838"/>
      <c r="AM913" s="414" t="s">
        <v>5873</v>
      </c>
      <c r="AN913" s="161" t="str">
        <f t="shared" ca="1" si="183"/>
        <v>TERMINO</v>
      </c>
      <c r="AO913" s="414" t="s">
        <v>6164</v>
      </c>
      <c r="AP913" s="406" t="s">
        <v>391</v>
      </c>
      <c r="AQ913" s="819" t="str">
        <f>IFERROR(VLOOKUP(E913,'liquidaciones '!$B$2:$C$1048576,2,0),"NO")</f>
        <v>NO</v>
      </c>
      <c r="AR913" s="909" t="str">
        <f>IFERROR(VLOOKUP(E913,'liquidaciones '!$B$2:$I$1048576,8,0),"")</f>
        <v/>
      </c>
      <c r="AS913" s="406"/>
      <c r="AT913" s="156" t="str">
        <f t="shared" ca="1" si="184"/>
        <v>SI</v>
      </c>
      <c r="AU913" s="1023" t="s">
        <v>5852</v>
      </c>
      <c r="AV913" s="1001"/>
      <c r="AW913" s="930" t="s">
        <v>6064</v>
      </c>
      <c r="AX913" s="928"/>
      <c r="AY913" s="928"/>
    </row>
    <row r="914" spans="3:51" ht="20.399999999999999" x14ac:dyDescent="0.3">
      <c r="C914" s="837">
        <v>1363</v>
      </c>
      <c r="E914" s="120" t="s">
        <v>5989</v>
      </c>
      <c r="F914" s="414" t="s">
        <v>5990</v>
      </c>
      <c r="G914" s="863" t="s">
        <v>5991</v>
      </c>
      <c r="H914" s="969" t="s">
        <v>5992</v>
      </c>
      <c r="I914" s="84">
        <v>8085170</v>
      </c>
      <c r="J914" s="839"/>
      <c r="K914" s="269">
        <v>2020</v>
      </c>
      <c r="L914" s="519">
        <v>43966</v>
      </c>
      <c r="M914" s="844">
        <v>43966</v>
      </c>
      <c r="N914" s="844">
        <v>43997</v>
      </c>
      <c r="O914" s="1099" t="str">
        <f>IF(+Modificaciones!I914=0,"",VLOOKUP(E914,Modificaciones!$B$7:$I$2400,8,0))</f>
        <v/>
      </c>
      <c r="P914" s="115">
        <f>COUNTA(Modificaciones!J914,Modificaciones!L914,Modificaciones!N914,Modificaciones!P914)</f>
        <v>0</v>
      </c>
      <c r="Q914" s="116">
        <f>VLOOKUP(E914,Modificaciones!$B$7:$R$2300,17,0)</f>
        <v>0</v>
      </c>
      <c r="R914" s="117">
        <f>COUNTA(Modificaciones!T914,Modificaciones!V914,Modificaciones!X914,Modificaciones!Z914)</f>
        <v>0</v>
      </c>
      <c r="S914" s="118" t="str">
        <f>IF(Modificaciones!AA914=0,"",VLOOKUP(E914,Modificaciones!$B$7:$AA$2400,26,0))</f>
        <v/>
      </c>
      <c r="T914" s="119" t="str">
        <f>IF(Modificaciones!AB914=0,"",VLOOKUP(E914,Modificaciones!$B$7:$AB$2400,27,0))</f>
        <v/>
      </c>
      <c r="U914" s="1080" t="str">
        <f>+Modificaciones!AC914</f>
        <v/>
      </c>
      <c r="V914" s="825" t="str">
        <f>+Modificaciones!AK914</f>
        <v/>
      </c>
      <c r="W914" s="825">
        <f t="shared" si="179"/>
        <v>43997</v>
      </c>
      <c r="X914" s="59">
        <f t="shared" si="178"/>
        <v>8085170</v>
      </c>
      <c r="Y914" s="151">
        <f>VLOOKUP(E914,Modificaciones!$B$7:$BE$2300,56,0)</f>
        <v>8085169</v>
      </c>
      <c r="Z914" s="84">
        <f t="shared" si="175"/>
        <v>1</v>
      </c>
      <c r="AA914" s="1000"/>
      <c r="AB914" s="823">
        <f t="shared" si="176"/>
        <v>0.99999987631676268</v>
      </c>
      <c r="AC914" s="40">
        <f t="shared" ca="1" si="180"/>
        <v>1</v>
      </c>
      <c r="AD914" s="41">
        <f t="shared" ca="1" si="181"/>
        <v>1.2368323731859476E-7</v>
      </c>
      <c r="AE914" s="181" t="str">
        <f t="shared" ca="1" si="182"/>
        <v/>
      </c>
      <c r="AF914" s="42" t="str">
        <f t="shared" si="177"/>
        <v>SI</v>
      </c>
      <c r="AG914" s="1037" t="s">
        <v>1712</v>
      </c>
      <c r="AH914" s="841" t="s">
        <v>1255</v>
      </c>
      <c r="AI914" s="841" t="s">
        <v>5993</v>
      </c>
      <c r="AJ914" s="838" t="s">
        <v>5242</v>
      </c>
      <c r="AK914" s="255" t="s">
        <v>560</v>
      </c>
      <c r="AL914" s="838" t="s">
        <v>4333</v>
      </c>
      <c r="AM914" s="838" t="s">
        <v>5734</v>
      </c>
      <c r="AN914" s="161" t="str">
        <f t="shared" ca="1" si="183"/>
        <v>TERMINO</v>
      </c>
      <c r="AO914" s="414" t="s">
        <v>2906</v>
      </c>
      <c r="AP914" s="406"/>
      <c r="AQ914" s="819" t="str">
        <f>IFERROR(VLOOKUP(E914,'liquidaciones '!$B$2:$C$1048576,2,0),"NO")</f>
        <v>NO</v>
      </c>
      <c r="AR914" s="909" t="str">
        <f>IFERROR(VLOOKUP(E914,'liquidaciones '!$B$2:$I$1048576,8,0),"")</f>
        <v/>
      </c>
      <c r="AS914" s="406"/>
      <c r="AT914" s="156" t="str">
        <f t="shared" ca="1" si="184"/>
        <v>SI</v>
      </c>
      <c r="AU914" s="1023" t="s">
        <v>6007</v>
      </c>
      <c r="AV914" s="1001"/>
      <c r="AW914" s="930" t="s">
        <v>560</v>
      </c>
      <c r="AX914" s="928"/>
      <c r="AY914" s="928"/>
    </row>
    <row r="915" spans="3:51" ht="20.399999999999999" x14ac:dyDescent="0.3">
      <c r="C915" s="837">
        <v>1363</v>
      </c>
      <c r="E915" s="120" t="s">
        <v>5994</v>
      </c>
      <c r="F915" s="414" t="s">
        <v>5995</v>
      </c>
      <c r="G915" s="863" t="s">
        <v>5996</v>
      </c>
      <c r="H915" s="969" t="s">
        <v>5992</v>
      </c>
      <c r="I915" s="84">
        <v>1483402</v>
      </c>
      <c r="J915" s="839"/>
      <c r="K915" s="269">
        <v>2020</v>
      </c>
      <c r="L915" s="519">
        <v>43966</v>
      </c>
      <c r="M915" s="844">
        <v>43966</v>
      </c>
      <c r="N915" s="844">
        <v>43997</v>
      </c>
      <c r="O915" s="1099" t="str">
        <f>IF(+Modificaciones!I915=0,"",VLOOKUP(E915,Modificaciones!$B$7:$I$2400,8,0))</f>
        <v/>
      </c>
      <c r="P915" s="115">
        <f>COUNTA(Modificaciones!J915,Modificaciones!L915,Modificaciones!N915,Modificaciones!P915)</f>
        <v>0</v>
      </c>
      <c r="Q915" s="116">
        <f>VLOOKUP(E915,Modificaciones!$B$7:$R$2300,17,0)</f>
        <v>0</v>
      </c>
      <c r="R915" s="117">
        <f>COUNTA(Modificaciones!T915,Modificaciones!V915,Modificaciones!X915,Modificaciones!Z915)</f>
        <v>0</v>
      </c>
      <c r="S915" s="118" t="str">
        <f>IF(Modificaciones!AA915=0,"",VLOOKUP(E915,Modificaciones!$B$7:$AA$2400,26,0))</f>
        <v/>
      </c>
      <c r="T915" s="119" t="str">
        <f>IF(Modificaciones!AB915=0,"",VLOOKUP(E915,Modificaciones!$B$7:$AB$2400,27,0))</f>
        <v/>
      </c>
      <c r="U915" s="1080" t="str">
        <f>+Modificaciones!AC915</f>
        <v/>
      </c>
      <c r="V915" s="825" t="str">
        <f>+Modificaciones!AK915</f>
        <v/>
      </c>
      <c r="W915" s="825">
        <f t="shared" si="179"/>
        <v>43997</v>
      </c>
      <c r="X915" s="59">
        <f t="shared" si="178"/>
        <v>1483402</v>
      </c>
      <c r="Y915" s="151">
        <f>VLOOKUP(E915,Modificaciones!$B$7:$BE$2300,56,0)</f>
        <v>1483402</v>
      </c>
      <c r="Z915" s="84">
        <f t="shared" si="175"/>
        <v>0</v>
      </c>
      <c r="AA915" s="1000"/>
      <c r="AB915" s="823">
        <f t="shared" si="176"/>
        <v>1</v>
      </c>
      <c r="AC915" s="40">
        <f t="shared" ca="1" si="180"/>
        <v>1</v>
      </c>
      <c r="AD915" s="41">
        <f t="shared" ca="1" si="181"/>
        <v>0</v>
      </c>
      <c r="AE915" s="181" t="str">
        <f t="shared" ca="1" si="182"/>
        <v/>
      </c>
      <c r="AF915" s="42" t="str">
        <f t="shared" si="177"/>
        <v>SI</v>
      </c>
      <c r="AG915" s="1114" t="s">
        <v>1712</v>
      </c>
      <c r="AH915" s="841" t="s">
        <v>1255</v>
      </c>
      <c r="AI915" s="841" t="s">
        <v>5993</v>
      </c>
      <c r="AJ915" s="838" t="s">
        <v>5242</v>
      </c>
      <c r="AK915" s="255" t="s">
        <v>560</v>
      </c>
      <c r="AL915" s="838" t="s">
        <v>4333</v>
      </c>
      <c r="AM915" s="838" t="s">
        <v>5734</v>
      </c>
      <c r="AN915" s="161" t="str">
        <f t="shared" ca="1" si="183"/>
        <v>TERMINO</v>
      </c>
      <c r="AO915" s="414" t="s">
        <v>2906</v>
      </c>
      <c r="AP915" s="406"/>
      <c r="AQ915" s="819" t="str">
        <f>IFERROR(VLOOKUP(E915,'liquidaciones '!$B$2:$C$1048576,2,0),"NO")</f>
        <v>NO</v>
      </c>
      <c r="AR915" s="909" t="str">
        <f>IFERROR(VLOOKUP(E915,'liquidaciones '!$B$2:$I$1048576,8,0),"")</f>
        <v/>
      </c>
      <c r="AS915" s="406"/>
      <c r="AT915" s="156" t="str">
        <f t="shared" ca="1" si="184"/>
        <v>SI</v>
      </c>
      <c r="AU915" s="1116" t="s">
        <v>6007</v>
      </c>
      <c r="AV915" s="1001"/>
      <c r="AW915" s="930" t="s">
        <v>560</v>
      </c>
      <c r="AX915" s="928"/>
      <c r="AY915" s="928"/>
    </row>
    <row r="916" spans="3:51" ht="20.399999999999999" x14ac:dyDescent="0.3">
      <c r="C916" s="837">
        <v>1363</v>
      </c>
      <c r="E916" s="120" t="s">
        <v>5997</v>
      </c>
      <c r="F916" s="414" t="s">
        <v>5999</v>
      </c>
      <c r="G916" s="863" t="s">
        <v>5998</v>
      </c>
      <c r="H916" s="969" t="s">
        <v>5992</v>
      </c>
      <c r="I916" s="84">
        <v>1279046</v>
      </c>
      <c r="J916" s="839"/>
      <c r="K916" s="269">
        <v>2020</v>
      </c>
      <c r="L916" s="519">
        <v>43966</v>
      </c>
      <c r="M916" s="844">
        <v>43966</v>
      </c>
      <c r="N916" s="844">
        <v>43997</v>
      </c>
      <c r="O916" s="1099" t="str">
        <f>IF(+Modificaciones!I916=0,"",VLOOKUP(E916,Modificaciones!$B$7:$I$2400,8,0))</f>
        <v/>
      </c>
      <c r="P916" s="115">
        <f>COUNTA(Modificaciones!J916,Modificaciones!L916,Modificaciones!N916,Modificaciones!P916)</f>
        <v>0</v>
      </c>
      <c r="Q916" s="116">
        <f>VLOOKUP(E916,Modificaciones!$B$7:$R$2300,17,0)</f>
        <v>0</v>
      </c>
      <c r="R916" s="117">
        <f>COUNTA(Modificaciones!T916,Modificaciones!V916,Modificaciones!X916,Modificaciones!Z916)</f>
        <v>0</v>
      </c>
      <c r="S916" s="118" t="str">
        <f>IF(Modificaciones!AA916=0,"",VLOOKUP(E916,Modificaciones!$B$7:$AA$2400,26,0))</f>
        <v/>
      </c>
      <c r="T916" s="119" t="str">
        <f>IF(Modificaciones!AB916=0,"",VLOOKUP(E916,Modificaciones!$B$7:$AB$2400,27,0))</f>
        <v/>
      </c>
      <c r="U916" s="1080" t="str">
        <f>+Modificaciones!AC916</f>
        <v/>
      </c>
      <c r="V916" s="825" t="str">
        <f>+Modificaciones!AK916</f>
        <v/>
      </c>
      <c r="W916" s="825">
        <f t="shared" si="179"/>
        <v>43997</v>
      </c>
      <c r="X916" s="59">
        <f t="shared" si="178"/>
        <v>1279046</v>
      </c>
      <c r="Y916" s="151">
        <f>VLOOKUP(E916,Modificaciones!$B$7:$BE$2300,56,0)</f>
        <v>1279046</v>
      </c>
      <c r="Z916" s="84">
        <f t="shared" si="175"/>
        <v>0</v>
      </c>
      <c r="AA916" s="1000"/>
      <c r="AB916" s="823">
        <f t="shared" si="176"/>
        <v>1</v>
      </c>
      <c r="AC916" s="40">
        <f t="shared" ca="1" si="180"/>
        <v>1</v>
      </c>
      <c r="AD916" s="41">
        <f t="shared" ca="1" si="181"/>
        <v>0</v>
      </c>
      <c r="AE916" s="181" t="str">
        <f t="shared" ca="1" si="182"/>
        <v/>
      </c>
      <c r="AF916" s="42" t="str">
        <f t="shared" si="177"/>
        <v>SI</v>
      </c>
      <c r="AG916" s="1114" t="s">
        <v>1712</v>
      </c>
      <c r="AH916" s="841" t="s">
        <v>1255</v>
      </c>
      <c r="AI916" s="841" t="s">
        <v>5993</v>
      </c>
      <c r="AJ916" s="838" t="s">
        <v>5242</v>
      </c>
      <c r="AK916" s="255" t="s">
        <v>560</v>
      </c>
      <c r="AL916" s="838" t="s">
        <v>4333</v>
      </c>
      <c r="AM916" s="838" t="s">
        <v>5734</v>
      </c>
      <c r="AN916" s="161" t="str">
        <f t="shared" ca="1" si="183"/>
        <v>TERMINO</v>
      </c>
      <c r="AO916" s="414" t="s">
        <v>2906</v>
      </c>
      <c r="AP916" s="406"/>
      <c r="AQ916" s="819" t="str">
        <f>IFERROR(VLOOKUP(E916,'liquidaciones '!$B$2:$C$1048576,2,0),"NO")</f>
        <v>NO</v>
      </c>
      <c r="AR916" s="909" t="str">
        <f>IFERROR(VLOOKUP(E916,'liquidaciones '!$B$2:$I$1048576,8,0),"")</f>
        <v/>
      </c>
      <c r="AS916" s="406"/>
      <c r="AT916" s="156" t="str">
        <f t="shared" ca="1" si="184"/>
        <v>SI</v>
      </c>
      <c r="AU916" s="1116" t="s">
        <v>6007</v>
      </c>
      <c r="AV916" s="1001"/>
      <c r="AW916" s="930" t="s">
        <v>560</v>
      </c>
      <c r="AX916" s="928"/>
      <c r="AY916" s="928"/>
    </row>
    <row r="917" spans="3:51" ht="30.6" x14ac:dyDescent="0.3">
      <c r="C917" s="837">
        <v>1363</v>
      </c>
      <c r="E917" s="120" t="s">
        <v>6000</v>
      </c>
      <c r="F917" s="414" t="s">
        <v>6002</v>
      </c>
      <c r="G917" s="863" t="s">
        <v>6001</v>
      </c>
      <c r="H917" s="969" t="s">
        <v>6003</v>
      </c>
      <c r="I917" s="84">
        <v>945976</v>
      </c>
      <c r="J917" s="839"/>
      <c r="K917" s="269">
        <v>2020</v>
      </c>
      <c r="L917" s="519">
        <v>43966</v>
      </c>
      <c r="M917" s="844">
        <v>43966</v>
      </c>
      <c r="N917" s="844">
        <v>43997</v>
      </c>
      <c r="O917" s="1099" t="str">
        <f>IF(+Modificaciones!I917=0,"",VLOOKUP(E917,Modificaciones!$B$7:$I$2400,8,0))</f>
        <v/>
      </c>
      <c r="P917" s="115">
        <f>COUNTA(Modificaciones!J917,Modificaciones!L917,Modificaciones!N917,Modificaciones!P917)</f>
        <v>0</v>
      </c>
      <c r="Q917" s="116">
        <f>VLOOKUP(E917,Modificaciones!$B$7:$R$2300,17,0)</f>
        <v>0</v>
      </c>
      <c r="R917" s="117">
        <f>COUNTA(Modificaciones!T917,Modificaciones!V917,Modificaciones!X917,Modificaciones!Z917)</f>
        <v>0</v>
      </c>
      <c r="S917" s="118" t="str">
        <f>IF(Modificaciones!AA917=0,"",VLOOKUP(E917,Modificaciones!$B$7:$AA$2400,26,0))</f>
        <v/>
      </c>
      <c r="T917" s="119" t="str">
        <f>IF(Modificaciones!AB917=0,"",VLOOKUP(E917,Modificaciones!$B$7:$AB$2400,27,0))</f>
        <v/>
      </c>
      <c r="U917" s="1080" t="str">
        <f>+Modificaciones!AC917</f>
        <v/>
      </c>
      <c r="V917" s="825" t="str">
        <f>+Modificaciones!AK917</f>
        <v/>
      </c>
      <c r="W917" s="825">
        <f t="shared" si="179"/>
        <v>43997</v>
      </c>
      <c r="X917" s="59">
        <f t="shared" si="178"/>
        <v>945976</v>
      </c>
      <c r="Y917" s="151">
        <f>VLOOKUP(E917,Modificaciones!$B$7:$BE$2300,56,0)</f>
        <v>945975</v>
      </c>
      <c r="Z917" s="84">
        <f t="shared" si="175"/>
        <v>1</v>
      </c>
      <c r="AA917" s="1000"/>
      <c r="AB917" s="823">
        <f t="shared" si="176"/>
        <v>0.99999894289072877</v>
      </c>
      <c r="AC917" s="40">
        <f t="shared" ca="1" si="180"/>
        <v>1</v>
      </c>
      <c r="AD917" s="41">
        <f t="shared" ca="1" si="181"/>
        <v>1.0571092712297059E-6</v>
      </c>
      <c r="AE917" s="181" t="str">
        <f t="shared" ca="1" si="182"/>
        <v/>
      </c>
      <c r="AF917" s="42" t="str">
        <f t="shared" si="177"/>
        <v>SI</v>
      </c>
      <c r="AG917" s="1116" t="s">
        <v>1712</v>
      </c>
      <c r="AH917" s="841" t="s">
        <v>1255</v>
      </c>
      <c r="AI917" s="841" t="s">
        <v>5993</v>
      </c>
      <c r="AJ917" s="838" t="s">
        <v>5242</v>
      </c>
      <c r="AK917" s="255" t="s">
        <v>560</v>
      </c>
      <c r="AL917" s="838" t="s">
        <v>4333</v>
      </c>
      <c r="AM917" s="838" t="s">
        <v>5734</v>
      </c>
      <c r="AN917" s="161" t="str">
        <f t="shared" ca="1" si="183"/>
        <v>TERMINO</v>
      </c>
      <c r="AO917" s="414" t="s">
        <v>2906</v>
      </c>
      <c r="AP917" s="406"/>
      <c r="AQ917" s="819" t="str">
        <f>IFERROR(VLOOKUP(E917,'liquidaciones '!$B$2:$C$1048576,2,0),"NO")</f>
        <v>NO</v>
      </c>
      <c r="AR917" s="909" t="str">
        <f>IFERROR(VLOOKUP(E917,'liquidaciones '!$B$2:$I$1048576,8,0),"")</f>
        <v/>
      </c>
      <c r="AS917" s="406"/>
      <c r="AT917" s="156" t="str">
        <f t="shared" ca="1" si="184"/>
        <v>SI</v>
      </c>
      <c r="AU917" s="1116" t="s">
        <v>6007</v>
      </c>
      <c r="AV917" s="1001"/>
      <c r="AW917" s="930" t="s">
        <v>560</v>
      </c>
      <c r="AX917" s="928"/>
      <c r="AY917" s="928"/>
    </row>
    <row r="918" spans="3:51" ht="20.399999999999999" x14ac:dyDescent="0.3">
      <c r="C918" s="837">
        <v>1363</v>
      </c>
      <c r="E918" s="120" t="s">
        <v>6004</v>
      </c>
      <c r="F918" s="414" t="s">
        <v>6005</v>
      </c>
      <c r="G918" s="863" t="s">
        <v>6006</v>
      </c>
      <c r="H918" s="969" t="s">
        <v>5992</v>
      </c>
      <c r="I918" s="84">
        <v>56016600</v>
      </c>
      <c r="J918" s="839"/>
      <c r="K918" s="269">
        <v>2020</v>
      </c>
      <c r="L918" s="519">
        <v>43966</v>
      </c>
      <c r="M918" s="844">
        <v>43966</v>
      </c>
      <c r="N918" s="844">
        <v>43997</v>
      </c>
      <c r="O918" s="1099" t="str">
        <f>IF(+Modificaciones!I918=0,"",VLOOKUP(E918,Modificaciones!$B$7:$I$2400,8,0))</f>
        <v/>
      </c>
      <c r="P918" s="115">
        <f>COUNTA(Modificaciones!J918,Modificaciones!L918,Modificaciones!N918,Modificaciones!P918)</f>
        <v>0</v>
      </c>
      <c r="Q918" s="116">
        <f>VLOOKUP(E918,Modificaciones!$B$7:$R$2300,17,0)</f>
        <v>0</v>
      </c>
      <c r="R918" s="117">
        <f>COUNTA(Modificaciones!T918,Modificaciones!V918,Modificaciones!X918,Modificaciones!Z918)</f>
        <v>0</v>
      </c>
      <c r="S918" s="118" t="str">
        <f>IF(Modificaciones!AA918=0,"",VLOOKUP(E918,Modificaciones!$B$7:$AA$2400,26,0))</f>
        <v/>
      </c>
      <c r="T918" s="119" t="str">
        <f>IF(Modificaciones!AB918=0,"",VLOOKUP(E918,Modificaciones!$B$7:$AB$2400,27,0))</f>
        <v/>
      </c>
      <c r="U918" s="1080" t="str">
        <f>+Modificaciones!AC918</f>
        <v/>
      </c>
      <c r="V918" s="825" t="str">
        <f>+Modificaciones!AK918</f>
        <v/>
      </c>
      <c r="W918" s="825">
        <f t="shared" si="179"/>
        <v>43997</v>
      </c>
      <c r="X918" s="59">
        <f t="shared" si="178"/>
        <v>56016600</v>
      </c>
      <c r="Y918" s="151">
        <f>VLOOKUP(E918,Modificaciones!$B$7:$BE$2300,56,0)</f>
        <v>56016600</v>
      </c>
      <c r="Z918" s="84">
        <f t="shared" si="175"/>
        <v>0</v>
      </c>
      <c r="AA918" s="1000"/>
      <c r="AB918" s="823">
        <f t="shared" si="176"/>
        <v>1</v>
      </c>
      <c r="AC918" s="40">
        <f t="shared" ca="1" si="180"/>
        <v>1</v>
      </c>
      <c r="AD918" s="41">
        <f t="shared" ca="1" si="181"/>
        <v>0</v>
      </c>
      <c r="AE918" s="181" t="str">
        <f t="shared" ca="1" si="182"/>
        <v/>
      </c>
      <c r="AF918" s="42" t="str">
        <f t="shared" si="177"/>
        <v>SI</v>
      </c>
      <c r="AG918" s="1116" t="s">
        <v>1712</v>
      </c>
      <c r="AH918" s="841" t="s">
        <v>1255</v>
      </c>
      <c r="AI918" s="841" t="s">
        <v>5993</v>
      </c>
      <c r="AJ918" s="838" t="s">
        <v>5242</v>
      </c>
      <c r="AK918" s="255" t="s">
        <v>560</v>
      </c>
      <c r="AL918" s="838" t="s">
        <v>4333</v>
      </c>
      <c r="AM918" s="838" t="s">
        <v>5734</v>
      </c>
      <c r="AN918" s="161" t="str">
        <f t="shared" ca="1" si="183"/>
        <v>TERMINO</v>
      </c>
      <c r="AO918" s="414" t="s">
        <v>2906</v>
      </c>
      <c r="AP918" s="406"/>
      <c r="AQ918" s="819" t="str">
        <f>IFERROR(VLOOKUP(E918,'liquidaciones '!$B$2:$C$1048576,2,0),"NO")</f>
        <v>NO</v>
      </c>
      <c r="AR918" s="909" t="str">
        <f>IFERROR(VLOOKUP(E918,'liquidaciones '!$B$2:$I$1048576,8,0),"")</f>
        <v/>
      </c>
      <c r="AS918" s="406"/>
      <c r="AT918" s="156" t="str">
        <f t="shared" ca="1" si="184"/>
        <v>SI</v>
      </c>
      <c r="AU918" s="1116" t="s">
        <v>6007</v>
      </c>
      <c r="AV918" s="1001"/>
      <c r="AW918" s="930" t="s">
        <v>560</v>
      </c>
      <c r="AX918" s="928"/>
      <c r="AY918" s="928"/>
    </row>
    <row r="919" spans="3:51" ht="20.399999999999999" x14ac:dyDescent="0.3">
      <c r="C919" s="837">
        <v>1363</v>
      </c>
      <c r="E919" s="120" t="s">
        <v>6008</v>
      </c>
      <c r="F919" s="414" t="s">
        <v>6010</v>
      </c>
      <c r="G919" s="863" t="s">
        <v>6009</v>
      </c>
      <c r="H919" s="969" t="s">
        <v>5992</v>
      </c>
      <c r="I919" s="84">
        <v>2282158</v>
      </c>
      <c r="J919" s="839"/>
      <c r="K919" s="269">
        <v>2020</v>
      </c>
      <c r="L919" s="519">
        <v>43966</v>
      </c>
      <c r="M919" s="844">
        <v>43966</v>
      </c>
      <c r="N919" s="844">
        <v>43997</v>
      </c>
      <c r="O919" s="1099" t="str">
        <f>IF(+Modificaciones!I919=0,"",VLOOKUP(E919,Modificaciones!$B$7:$I$2400,8,0))</f>
        <v/>
      </c>
      <c r="P919" s="115">
        <f>COUNTA(Modificaciones!J919,Modificaciones!L919,Modificaciones!N919,Modificaciones!P919)</f>
        <v>0</v>
      </c>
      <c r="Q919" s="116">
        <f>VLOOKUP(E919,Modificaciones!$B$7:$R$2300,17,0)</f>
        <v>0</v>
      </c>
      <c r="R919" s="117">
        <f>COUNTA(Modificaciones!T919,Modificaciones!V919,Modificaciones!X919,Modificaciones!Z919)</f>
        <v>0</v>
      </c>
      <c r="S919" s="118" t="str">
        <f>IF(Modificaciones!AA919=0,"",VLOOKUP(E919,Modificaciones!$B$7:$AA$2400,26,0))</f>
        <v/>
      </c>
      <c r="T919" s="119" t="str">
        <f>IF(Modificaciones!AB919=0,"",VLOOKUP(E919,Modificaciones!$B$7:$AB$2400,27,0))</f>
        <v/>
      </c>
      <c r="U919" s="1080" t="str">
        <f>+Modificaciones!AC919</f>
        <v/>
      </c>
      <c r="V919" s="825" t="str">
        <f>+Modificaciones!AK919</f>
        <v/>
      </c>
      <c r="W919" s="825">
        <f t="shared" si="179"/>
        <v>43997</v>
      </c>
      <c r="X919" s="59">
        <f t="shared" si="178"/>
        <v>2282158</v>
      </c>
      <c r="Y919" s="151">
        <f>VLOOKUP(E919,Modificaciones!$B$7:$BE$2300,56,0)</f>
        <v>2282158</v>
      </c>
      <c r="Z919" s="84">
        <f t="shared" si="175"/>
        <v>0</v>
      </c>
      <c r="AA919" s="1000"/>
      <c r="AB919" s="823">
        <f t="shared" si="176"/>
        <v>1</v>
      </c>
      <c r="AC919" s="40">
        <f t="shared" ca="1" si="180"/>
        <v>1</v>
      </c>
      <c r="AD919" s="41">
        <f t="shared" ca="1" si="181"/>
        <v>0</v>
      </c>
      <c r="AE919" s="181" t="str">
        <f t="shared" ca="1" si="182"/>
        <v/>
      </c>
      <c r="AF919" s="42" t="str">
        <f t="shared" si="177"/>
        <v>SI</v>
      </c>
      <c r="AG919" s="1117" t="s">
        <v>1712</v>
      </c>
      <c r="AH919" s="841" t="s">
        <v>1255</v>
      </c>
      <c r="AI919" s="841" t="s">
        <v>5993</v>
      </c>
      <c r="AJ919" s="838" t="s">
        <v>5242</v>
      </c>
      <c r="AK919" s="255" t="s">
        <v>560</v>
      </c>
      <c r="AL919" s="838" t="s">
        <v>4333</v>
      </c>
      <c r="AM919" s="838" t="s">
        <v>5734</v>
      </c>
      <c r="AN919" s="161" t="str">
        <f t="shared" ca="1" si="183"/>
        <v>TERMINO</v>
      </c>
      <c r="AO919" s="414" t="s">
        <v>2906</v>
      </c>
      <c r="AP919" s="406"/>
      <c r="AQ919" s="819" t="str">
        <f>IFERROR(VLOOKUP(E919,'liquidaciones '!$B$2:$C$1048576,2,0),"NO")</f>
        <v>NO</v>
      </c>
      <c r="AR919" s="909" t="str">
        <f>IFERROR(VLOOKUP(E919,'liquidaciones '!$B$2:$I$1048576,8,0),"")</f>
        <v/>
      </c>
      <c r="AS919" s="406"/>
      <c r="AT919" s="156" t="str">
        <f t="shared" ca="1" si="184"/>
        <v>SI</v>
      </c>
      <c r="AU919" s="1117" t="s">
        <v>6007</v>
      </c>
      <c r="AV919" s="1001"/>
      <c r="AW919" s="930" t="s">
        <v>560</v>
      </c>
      <c r="AX919" s="928"/>
      <c r="AY919" s="928"/>
    </row>
    <row r="920" spans="3:51" ht="20.399999999999999" x14ac:dyDescent="0.3">
      <c r="C920" s="837">
        <v>1363</v>
      </c>
      <c r="E920" s="120" t="s">
        <v>6012</v>
      </c>
      <c r="F920" s="414" t="s">
        <v>6013</v>
      </c>
      <c r="G920" s="863" t="s">
        <v>6014</v>
      </c>
      <c r="H920" s="969" t="s">
        <v>5992</v>
      </c>
      <c r="I920" s="84">
        <v>10979259</v>
      </c>
      <c r="J920" s="839"/>
      <c r="K920" s="269">
        <v>2020</v>
      </c>
      <c r="L920" s="519">
        <v>43966</v>
      </c>
      <c r="M920" s="844">
        <v>43966</v>
      </c>
      <c r="N920" s="844">
        <v>43997</v>
      </c>
      <c r="O920" s="1099" t="str">
        <f>IF(+Modificaciones!I920=0,"",VLOOKUP(E920,Modificaciones!$B$7:$I$2400,8,0))</f>
        <v/>
      </c>
      <c r="P920" s="115">
        <f>COUNTA(Modificaciones!J920,Modificaciones!L920,Modificaciones!N920,Modificaciones!P920)</f>
        <v>0</v>
      </c>
      <c r="Q920" s="116">
        <f>VLOOKUP(E920,Modificaciones!$B$7:$R$2300,17,0)</f>
        <v>0</v>
      </c>
      <c r="R920" s="117">
        <f>COUNTA(Modificaciones!T920,Modificaciones!V920,Modificaciones!X920,Modificaciones!Z920)</f>
        <v>0</v>
      </c>
      <c r="S920" s="118" t="str">
        <f>IF(Modificaciones!AA920=0,"",VLOOKUP(E920,Modificaciones!$B$7:$AA$2400,26,0))</f>
        <v/>
      </c>
      <c r="T920" s="119" t="str">
        <f>IF(Modificaciones!AB920=0,"",VLOOKUP(E920,Modificaciones!$B$7:$AB$2400,27,0))</f>
        <v/>
      </c>
      <c r="U920" s="1080" t="str">
        <f>+Modificaciones!AC920</f>
        <v/>
      </c>
      <c r="V920" s="825" t="str">
        <f>+Modificaciones!AK920</f>
        <v/>
      </c>
      <c r="W920" s="825">
        <f t="shared" si="179"/>
        <v>43997</v>
      </c>
      <c r="X920" s="59">
        <f t="shared" si="178"/>
        <v>10979259</v>
      </c>
      <c r="Y920" s="151">
        <f>VLOOKUP(E920,Modificaciones!$B$7:$BE$2300,56,0)</f>
        <v>10979258</v>
      </c>
      <c r="Z920" s="84">
        <f t="shared" si="175"/>
        <v>1</v>
      </c>
      <c r="AA920" s="1000"/>
      <c r="AB920" s="823">
        <f t="shared" si="176"/>
        <v>0.99999990891917201</v>
      </c>
      <c r="AC920" s="40">
        <f t="shared" ca="1" si="180"/>
        <v>1</v>
      </c>
      <c r="AD920" s="41">
        <f t="shared" ca="1" si="181"/>
        <v>9.1080827990808189E-8</v>
      </c>
      <c r="AE920" s="181" t="str">
        <f t="shared" ca="1" si="182"/>
        <v/>
      </c>
      <c r="AF920" s="42" t="str">
        <f t="shared" si="177"/>
        <v>SI</v>
      </c>
      <c r="AG920" s="1118" t="s">
        <v>1712</v>
      </c>
      <c r="AH920" s="841" t="s">
        <v>1255</v>
      </c>
      <c r="AI920" s="841" t="s">
        <v>5993</v>
      </c>
      <c r="AJ920" s="838" t="s">
        <v>5242</v>
      </c>
      <c r="AK920" s="255" t="s">
        <v>560</v>
      </c>
      <c r="AL920" s="838" t="s">
        <v>4333</v>
      </c>
      <c r="AM920" s="838" t="s">
        <v>5734</v>
      </c>
      <c r="AN920" s="161" t="str">
        <f t="shared" ca="1" si="183"/>
        <v>TERMINO</v>
      </c>
      <c r="AO920" s="414" t="s">
        <v>2906</v>
      </c>
      <c r="AP920" s="406"/>
      <c r="AQ920" s="819" t="str">
        <f>IFERROR(VLOOKUP(E920,'liquidaciones '!$B$2:$C$1048576,2,0),"NO")</f>
        <v>NO</v>
      </c>
      <c r="AR920" s="909" t="str">
        <f>IFERROR(VLOOKUP(E920,'liquidaciones '!$B$2:$I$1048576,8,0),"")</f>
        <v/>
      </c>
      <c r="AS920" s="406"/>
      <c r="AT920" s="156" t="str">
        <f t="shared" ca="1" si="184"/>
        <v>SI</v>
      </c>
      <c r="AU920" s="1118" t="s">
        <v>6007</v>
      </c>
      <c r="AV920" s="1001"/>
      <c r="AW920" s="930" t="s">
        <v>560</v>
      </c>
      <c r="AX920" s="928"/>
      <c r="AY920" s="928"/>
    </row>
    <row r="921" spans="3:51" ht="51" x14ac:dyDescent="0.3">
      <c r="C921" s="837">
        <v>1207</v>
      </c>
      <c r="E921" s="120" t="s">
        <v>6015</v>
      </c>
      <c r="F921" s="414" t="s">
        <v>6016</v>
      </c>
      <c r="G921" s="863">
        <v>79953531</v>
      </c>
      <c r="H921" s="969" t="s">
        <v>6017</v>
      </c>
      <c r="I921" s="84">
        <v>44184000</v>
      </c>
      <c r="J921" s="843" t="s">
        <v>6018</v>
      </c>
      <c r="K921" s="269">
        <v>2020</v>
      </c>
      <c r="L921" s="519">
        <v>43977</v>
      </c>
      <c r="M921" s="844">
        <v>43978</v>
      </c>
      <c r="N921" s="844">
        <v>44196</v>
      </c>
      <c r="O921" s="1099" t="str">
        <f>IF(+Modificaciones!I921=0,"",VLOOKUP(E921,Modificaciones!$B$7:$I$2400,8,0))</f>
        <v/>
      </c>
      <c r="P921" s="115">
        <f>COUNTA(Modificaciones!J921,Modificaciones!L921,Modificaciones!N921,Modificaciones!P921)</f>
        <v>0</v>
      </c>
      <c r="Q921" s="116">
        <f>VLOOKUP(E921,Modificaciones!$B$7:$R$2300,17,0)</f>
        <v>0</v>
      </c>
      <c r="R921" s="117">
        <f>COUNTA(Modificaciones!T921,Modificaciones!V921,Modificaciones!X921,Modificaciones!Z921)</f>
        <v>0</v>
      </c>
      <c r="S921" s="118" t="str">
        <f>IF(Modificaciones!AA921=0,"",VLOOKUP(E921,Modificaciones!$B$7:$AA$2400,26,0))</f>
        <v/>
      </c>
      <c r="T921" s="119" t="str">
        <f>IF(Modificaciones!AB921=0,"",VLOOKUP(E921,Modificaciones!$B$7:$AB$2400,27,0))</f>
        <v/>
      </c>
      <c r="U921" s="1080" t="str">
        <f>+Modificaciones!AC921</f>
        <v/>
      </c>
      <c r="V921" s="825" t="str">
        <f>+Modificaciones!AK921</f>
        <v/>
      </c>
      <c r="W921" s="825">
        <f t="shared" si="179"/>
        <v>44196</v>
      </c>
      <c r="X921" s="59">
        <f t="shared" si="178"/>
        <v>44184000</v>
      </c>
      <c r="Y921" s="151">
        <f>VLOOKUP(E921,Modificaciones!$B$7:$BE$2300,56,0)</f>
        <v>33874400</v>
      </c>
      <c r="Z921" s="84">
        <f t="shared" si="175"/>
        <v>10309600</v>
      </c>
      <c r="AA921" s="1000" t="s">
        <v>5324</v>
      </c>
      <c r="AB921" s="823">
        <f t="shared" si="176"/>
        <v>0.76666666666666672</v>
      </c>
      <c r="AC921" s="40">
        <f t="shared" ca="1" si="180"/>
        <v>1</v>
      </c>
      <c r="AD921" s="41">
        <f t="shared" ca="1" si="181"/>
        <v>0.23333333333333328</v>
      </c>
      <c r="AE921" s="181" t="str">
        <f t="shared" ca="1" si="182"/>
        <v/>
      </c>
      <c r="AF921" s="42" t="str">
        <f t="shared" si="177"/>
        <v>NO</v>
      </c>
      <c r="AG921" s="732" t="s">
        <v>5773</v>
      </c>
      <c r="AH921" s="841" t="s">
        <v>1255</v>
      </c>
      <c r="AI921" s="870" t="s">
        <v>2588</v>
      </c>
      <c r="AJ921" s="838" t="s">
        <v>5394</v>
      </c>
      <c r="AK921" s="255" t="s">
        <v>559</v>
      </c>
      <c r="AL921" s="838"/>
      <c r="AM921" s="838" t="s">
        <v>5774</v>
      </c>
      <c r="AN921" s="161" t="str">
        <f t="shared" ca="1" si="183"/>
        <v>TERMINO</v>
      </c>
      <c r="AO921" s="284" t="s">
        <v>582</v>
      </c>
      <c r="AP921" s="406" t="s">
        <v>391</v>
      </c>
      <c r="AQ921" s="819" t="str">
        <f>IFERROR(VLOOKUP(E921,'liquidaciones '!$B$2:$C$1048576,2,0),"NO")</f>
        <v>NO</v>
      </c>
      <c r="AR921" s="909" t="str">
        <f>IFERROR(VLOOKUP(E921,'liquidaciones '!$B$2:$I$1048576,8,0),"")</f>
        <v/>
      </c>
      <c r="AS921" s="406"/>
      <c r="AT921" s="156" t="str">
        <f t="shared" ca="1" si="184"/>
        <v>SI</v>
      </c>
      <c r="AU921" s="1023" t="s">
        <v>4805</v>
      </c>
      <c r="AV921" s="1001"/>
      <c r="AW921" s="930" t="s">
        <v>559</v>
      </c>
      <c r="AX921" s="928"/>
      <c r="AY921" s="928"/>
    </row>
    <row r="922" spans="3:51" ht="40.799999999999997" x14ac:dyDescent="0.3">
      <c r="C922" s="837">
        <v>1311</v>
      </c>
      <c r="E922" s="120" t="s">
        <v>6019</v>
      </c>
      <c r="F922" s="414" t="s">
        <v>6020</v>
      </c>
      <c r="G922" s="863">
        <v>34537617</v>
      </c>
      <c r="H922" s="969" t="s">
        <v>6021</v>
      </c>
      <c r="I922" s="84">
        <v>69616000</v>
      </c>
      <c r="J922" s="843" t="s">
        <v>6022</v>
      </c>
      <c r="K922" s="269">
        <v>2020</v>
      </c>
      <c r="L922" s="519">
        <v>43971</v>
      </c>
      <c r="M922" s="844">
        <v>43985</v>
      </c>
      <c r="N922" s="844">
        <v>44196</v>
      </c>
      <c r="O922" s="1099" t="str">
        <f>IF(+Modificaciones!I922=0,"",VLOOKUP(E922,Modificaciones!$B$7:$I$2400,8,0))</f>
        <v/>
      </c>
      <c r="P922" s="115">
        <f>COUNTA(Modificaciones!J922,Modificaciones!L922,Modificaciones!N922,Modificaciones!P922)</f>
        <v>0</v>
      </c>
      <c r="Q922" s="116">
        <f>VLOOKUP(E922,Modificaciones!$B$7:$R$2300,17,0)</f>
        <v>0</v>
      </c>
      <c r="R922" s="117">
        <f>COUNTA(Modificaciones!T922,Modificaciones!V922,Modificaciones!X922,Modificaciones!Z922)</f>
        <v>0</v>
      </c>
      <c r="S922" s="118" t="str">
        <f>IF(Modificaciones!AA922=0,"",VLOOKUP(E922,Modificaciones!$B$7:$AA$2400,26,0))</f>
        <v/>
      </c>
      <c r="T922" s="119" t="str">
        <f>IF(Modificaciones!AB922=0,"",VLOOKUP(E922,Modificaciones!$B$7:$AB$2400,27,0))</f>
        <v/>
      </c>
      <c r="U922" s="1080" t="str">
        <f>+Modificaciones!AC922</f>
        <v/>
      </c>
      <c r="V922" s="825" t="str">
        <f>+Modificaciones!AK922</f>
        <v/>
      </c>
      <c r="W922" s="825">
        <f t="shared" si="179"/>
        <v>44196</v>
      </c>
      <c r="X922" s="59">
        <f t="shared" si="178"/>
        <v>69616000</v>
      </c>
      <c r="Y922" s="151">
        <f>VLOOKUP(E922,Modificaciones!$B$7:$BE$2300,56,0)</f>
        <v>51631866</v>
      </c>
      <c r="Z922" s="84">
        <f t="shared" si="175"/>
        <v>17984134</v>
      </c>
      <c r="AA922" s="1000" t="s">
        <v>5324</v>
      </c>
      <c r="AB922" s="823">
        <f t="shared" si="176"/>
        <v>0.74166665709032409</v>
      </c>
      <c r="AC922" s="40">
        <f t="shared" ca="1" si="180"/>
        <v>1</v>
      </c>
      <c r="AD922" s="41">
        <f t="shared" ca="1" si="181"/>
        <v>0.25833334290967591</v>
      </c>
      <c r="AE922" s="181" t="str">
        <f t="shared" ca="1" si="182"/>
        <v/>
      </c>
      <c r="AF922" s="42" t="str">
        <f t="shared" si="177"/>
        <v>NO</v>
      </c>
      <c r="AG922" s="732" t="s">
        <v>5773</v>
      </c>
      <c r="AH922" s="841" t="s">
        <v>1255</v>
      </c>
      <c r="AI922" s="870" t="s">
        <v>4878</v>
      </c>
      <c r="AJ922" s="838" t="s">
        <v>4879</v>
      </c>
      <c r="AK922" s="255" t="s">
        <v>561</v>
      </c>
      <c r="AL922" s="838"/>
      <c r="AM922" s="838" t="s">
        <v>5785</v>
      </c>
      <c r="AN922" s="161" t="str">
        <f t="shared" ca="1" si="183"/>
        <v>TERMINO</v>
      </c>
      <c r="AO922" s="284" t="s">
        <v>582</v>
      </c>
      <c r="AP922" s="406" t="s">
        <v>391</v>
      </c>
      <c r="AQ922" s="819" t="str">
        <f>IFERROR(VLOOKUP(E922,'liquidaciones '!$B$2:$C$1048576,2,0),"NO")</f>
        <v>NO</v>
      </c>
      <c r="AR922" s="909" t="str">
        <f>IFERROR(VLOOKUP(E922,'liquidaciones '!$B$2:$I$1048576,8,0),"")</f>
        <v/>
      </c>
      <c r="AS922" s="406"/>
      <c r="AT922" s="156" t="str">
        <f t="shared" ca="1" si="184"/>
        <v>SI</v>
      </c>
      <c r="AU922" s="1023" t="s">
        <v>6027</v>
      </c>
      <c r="AV922" s="1001"/>
      <c r="AW922" s="930" t="s">
        <v>561</v>
      </c>
      <c r="AX922" s="928"/>
      <c r="AY922" s="928"/>
    </row>
    <row r="923" spans="3:51" ht="51" x14ac:dyDescent="0.3">
      <c r="C923" s="837">
        <v>1313</v>
      </c>
      <c r="E923" s="120" t="s">
        <v>6023</v>
      </c>
      <c r="F923" s="414" t="s">
        <v>4842</v>
      </c>
      <c r="G923" s="863">
        <v>1032474202</v>
      </c>
      <c r="H923" s="969" t="s">
        <v>6024</v>
      </c>
      <c r="I923" s="84">
        <v>30048000</v>
      </c>
      <c r="J923" s="843" t="s">
        <v>6025</v>
      </c>
      <c r="K923" s="269">
        <v>2020</v>
      </c>
      <c r="L923" s="519">
        <v>43971</v>
      </c>
      <c r="M923" s="844">
        <v>43978</v>
      </c>
      <c r="N923" s="844">
        <v>44196</v>
      </c>
      <c r="O923" s="1099" t="str">
        <f>IF(+Modificaciones!I923=0,"",VLOOKUP(E923,Modificaciones!$B$7:$I$2400,8,0))</f>
        <v/>
      </c>
      <c r="P923" s="115">
        <f>COUNTA(Modificaciones!J923,Modificaciones!L923,Modificaciones!N923,Modificaciones!P923)</f>
        <v>0</v>
      </c>
      <c r="Q923" s="116">
        <f>VLOOKUP(E923,Modificaciones!$B$7:$R$2300,17,0)</f>
        <v>0</v>
      </c>
      <c r="R923" s="117">
        <f>COUNTA(Modificaciones!T923,Modificaciones!V923,Modificaciones!X923,Modificaciones!Z923)</f>
        <v>0</v>
      </c>
      <c r="S923" s="118" t="str">
        <f>IF(Modificaciones!AA923=0,"",VLOOKUP(E923,Modificaciones!$B$7:$AA$2400,26,0))</f>
        <v/>
      </c>
      <c r="T923" s="119" t="str">
        <f>IF(Modificaciones!AB923=0,"",VLOOKUP(E923,Modificaciones!$B$7:$AB$2400,27,0))</f>
        <v/>
      </c>
      <c r="U923" s="1080" t="str">
        <f>+Modificaciones!AC923</f>
        <v/>
      </c>
      <c r="V923" s="825" t="str">
        <f>+Modificaciones!AK923</f>
        <v/>
      </c>
      <c r="W923" s="825">
        <f t="shared" si="179"/>
        <v>44196</v>
      </c>
      <c r="X923" s="59">
        <f t="shared" si="178"/>
        <v>30048000</v>
      </c>
      <c r="Y923" s="151">
        <f>VLOOKUP(E923,Modificaciones!$B$7:$BE$2300,56,0)</f>
        <v>26792800</v>
      </c>
      <c r="Z923" s="84">
        <f t="shared" si="175"/>
        <v>3255200</v>
      </c>
      <c r="AA923" s="1000" t="s">
        <v>5324</v>
      </c>
      <c r="AB923" s="823">
        <f t="shared" si="176"/>
        <v>0.89166666666666672</v>
      </c>
      <c r="AC923" s="40">
        <f t="shared" ca="1" si="180"/>
        <v>1</v>
      </c>
      <c r="AD923" s="41">
        <f t="shared" ca="1" si="181"/>
        <v>0.10833333333333328</v>
      </c>
      <c r="AE923" s="181" t="str">
        <f t="shared" ca="1" si="182"/>
        <v/>
      </c>
      <c r="AF923" s="42" t="str">
        <f t="shared" si="177"/>
        <v>NO</v>
      </c>
      <c r="AG923" s="732" t="s">
        <v>5773</v>
      </c>
      <c r="AH923" s="841" t="s">
        <v>1255</v>
      </c>
      <c r="AI923" s="870" t="s">
        <v>6026</v>
      </c>
      <c r="AJ923" s="838" t="s">
        <v>5901</v>
      </c>
      <c r="AK923" s="255" t="s">
        <v>561</v>
      </c>
      <c r="AL923" s="838"/>
      <c r="AM923" s="414" t="s">
        <v>5902</v>
      </c>
      <c r="AN923" s="161" t="str">
        <f t="shared" ca="1" si="183"/>
        <v>TERMINO</v>
      </c>
      <c r="AO923" s="284" t="s">
        <v>582</v>
      </c>
      <c r="AP923" s="406" t="s">
        <v>391</v>
      </c>
      <c r="AQ923" s="819" t="str">
        <f>IFERROR(VLOOKUP(E923,'liquidaciones '!$B$2:$C$1048576,2,0),"NO")</f>
        <v>NO</v>
      </c>
      <c r="AR923" s="909" t="str">
        <f>IFERROR(VLOOKUP(E923,'liquidaciones '!$B$2:$I$1048576,8,0),"")</f>
        <v/>
      </c>
      <c r="AS923" s="406"/>
      <c r="AT923" s="156" t="str">
        <f t="shared" ca="1" si="184"/>
        <v>SI</v>
      </c>
      <c r="AU923" s="1023" t="s">
        <v>5875</v>
      </c>
      <c r="AV923" s="1001"/>
      <c r="AW923" s="930" t="s">
        <v>564</v>
      </c>
      <c r="AX923" s="928"/>
      <c r="AY923" s="928"/>
    </row>
    <row r="924" spans="3:51" ht="20.399999999999999" x14ac:dyDescent="0.3">
      <c r="C924" s="837">
        <v>1363</v>
      </c>
      <c r="E924" s="120" t="s">
        <v>6038</v>
      </c>
      <c r="F924" s="414" t="s">
        <v>6039</v>
      </c>
      <c r="G924" s="863">
        <v>8300013381</v>
      </c>
      <c r="H924" s="969" t="s">
        <v>6003</v>
      </c>
      <c r="I924" s="84">
        <v>10762448</v>
      </c>
      <c r="J924" s="839"/>
      <c r="K924" s="269">
        <v>2020</v>
      </c>
      <c r="L924" s="519">
        <v>43966</v>
      </c>
      <c r="M924" s="844">
        <v>43966</v>
      </c>
      <c r="N924" s="844">
        <v>43997</v>
      </c>
      <c r="O924" s="1099" t="str">
        <f>IF(+Modificaciones!I924=0,"",VLOOKUP(E924,Modificaciones!$B$7:$I$2400,8,0))</f>
        <v/>
      </c>
      <c r="P924" s="115">
        <f>COUNTA(Modificaciones!J924,Modificaciones!L924,Modificaciones!N924,Modificaciones!P924)</f>
        <v>0</v>
      </c>
      <c r="Q924" s="116">
        <f>VLOOKUP(E924,Modificaciones!$B$7:$R$2300,17,0)</f>
        <v>0</v>
      </c>
      <c r="R924" s="117">
        <f>COUNTA(Modificaciones!T924,Modificaciones!V924,Modificaciones!X924,Modificaciones!Z924)</f>
        <v>0</v>
      </c>
      <c r="S924" s="118" t="str">
        <f>IF(Modificaciones!AA924=0,"",VLOOKUP(E924,Modificaciones!$B$7:$AA$2400,26,0))</f>
        <v/>
      </c>
      <c r="T924" s="119" t="str">
        <f>IF(Modificaciones!AB924=0,"",VLOOKUP(E924,Modificaciones!$B$7:$AB$2400,27,0))</f>
        <v/>
      </c>
      <c r="U924" s="1080" t="str">
        <f>+Modificaciones!AC924</f>
        <v/>
      </c>
      <c r="V924" s="825" t="str">
        <f>+Modificaciones!AK924</f>
        <v/>
      </c>
      <c r="W924" s="825">
        <f t="shared" si="179"/>
        <v>43997</v>
      </c>
      <c r="X924" s="59">
        <f t="shared" si="178"/>
        <v>10762448</v>
      </c>
      <c r="Y924" s="151">
        <f>VLOOKUP(E924,Modificaciones!$B$7:$BE$2300,56,0)</f>
        <v>10762448</v>
      </c>
      <c r="Z924" s="84">
        <f t="shared" si="175"/>
        <v>0</v>
      </c>
      <c r="AA924" s="1000"/>
      <c r="AB924" s="823">
        <f t="shared" si="176"/>
        <v>1</v>
      </c>
      <c r="AC924" s="40">
        <f t="shared" ca="1" si="180"/>
        <v>1</v>
      </c>
      <c r="AD924" s="41">
        <f t="shared" ca="1" si="181"/>
        <v>0</v>
      </c>
      <c r="AE924" s="181" t="str">
        <f t="shared" ca="1" si="182"/>
        <v/>
      </c>
      <c r="AF924" s="42" t="str">
        <f t="shared" si="177"/>
        <v>SI</v>
      </c>
      <c r="AG924" s="1120" t="s">
        <v>1712</v>
      </c>
      <c r="AH924" s="841" t="s">
        <v>1255</v>
      </c>
      <c r="AI924" s="841" t="s">
        <v>5993</v>
      </c>
      <c r="AJ924" s="838" t="s">
        <v>5242</v>
      </c>
      <c r="AK924" s="255" t="s">
        <v>560</v>
      </c>
      <c r="AL924" s="838" t="s">
        <v>4333</v>
      </c>
      <c r="AM924" s="838" t="s">
        <v>5734</v>
      </c>
      <c r="AN924" s="161" t="str">
        <f t="shared" ca="1" si="183"/>
        <v>TERMINO</v>
      </c>
      <c r="AO924" s="414" t="s">
        <v>2906</v>
      </c>
      <c r="AP924" s="406"/>
      <c r="AQ924" s="819" t="str">
        <f>IFERROR(VLOOKUP(E924,'liquidaciones '!$B$2:$C$1048576,2,0),"NO")</f>
        <v>NO</v>
      </c>
      <c r="AR924" s="909" t="str">
        <f>IFERROR(VLOOKUP(E924,'liquidaciones '!$B$2:$I$1048576,8,0),"")</f>
        <v/>
      </c>
      <c r="AS924" s="406"/>
      <c r="AT924" s="156" t="str">
        <f t="shared" ca="1" si="184"/>
        <v>SI</v>
      </c>
      <c r="AU924" s="1120" t="s">
        <v>6007</v>
      </c>
      <c r="AV924" s="1001"/>
      <c r="AW924" s="930" t="s">
        <v>560</v>
      </c>
      <c r="AX924" s="928"/>
      <c r="AY924" s="928"/>
    </row>
    <row r="925" spans="3:51" ht="28.8" x14ac:dyDescent="0.3">
      <c r="C925" s="837">
        <v>1356</v>
      </c>
      <c r="E925" s="120" t="s">
        <v>6030</v>
      </c>
      <c r="F925" s="414" t="s">
        <v>6040</v>
      </c>
      <c r="G925" s="863">
        <v>811009788</v>
      </c>
      <c r="H925" s="969" t="s">
        <v>6047</v>
      </c>
      <c r="I925" s="84">
        <v>1846088</v>
      </c>
      <c r="J925" s="843" t="s">
        <v>6069</v>
      </c>
      <c r="K925" s="269">
        <v>2020</v>
      </c>
      <c r="L925" s="519">
        <v>43980</v>
      </c>
      <c r="M925" s="844">
        <v>43980</v>
      </c>
      <c r="N925" s="844">
        <v>44103</v>
      </c>
      <c r="O925" s="1099" t="str">
        <f>IF(+Modificaciones!I925=0,"",VLOOKUP(E925,Modificaciones!$B$7:$I$2400,8,0))</f>
        <v/>
      </c>
      <c r="P925" s="115">
        <f>COUNTA(Modificaciones!J925,Modificaciones!L925,Modificaciones!N925,Modificaciones!P925)</f>
        <v>0</v>
      </c>
      <c r="Q925" s="116">
        <f>VLOOKUP(E925,Modificaciones!$B$7:$R$2300,17,0)</f>
        <v>0</v>
      </c>
      <c r="R925" s="117">
        <f>COUNTA(Modificaciones!T925,Modificaciones!V925,Modificaciones!X925,Modificaciones!Z925)</f>
        <v>0</v>
      </c>
      <c r="S925" s="118" t="str">
        <f>IF(Modificaciones!AA925=0,"",VLOOKUP(E925,Modificaciones!$B$7:$AA$2400,26,0))</f>
        <v/>
      </c>
      <c r="T925" s="119" t="str">
        <f>IF(Modificaciones!AB925=0,"",VLOOKUP(E925,Modificaciones!$B$7:$AB$2400,27,0))</f>
        <v/>
      </c>
      <c r="U925" s="1080" t="str">
        <f>+Modificaciones!AC925</f>
        <v/>
      </c>
      <c r="V925" s="825" t="str">
        <f>+Modificaciones!AK925</f>
        <v/>
      </c>
      <c r="W925" s="825">
        <f t="shared" si="179"/>
        <v>44103</v>
      </c>
      <c r="X925" s="59">
        <f t="shared" si="178"/>
        <v>1846088</v>
      </c>
      <c r="Y925" s="151">
        <f>VLOOKUP(E925,Modificaciones!$B$7:$BE$2300,56,0)</f>
        <v>1440000</v>
      </c>
      <c r="Z925" s="84">
        <f t="shared" si="175"/>
        <v>406088</v>
      </c>
      <c r="AA925" s="1000"/>
      <c r="AB925" s="823">
        <f t="shared" si="176"/>
        <v>0.78002782099228207</v>
      </c>
      <c r="AC925" s="40">
        <f t="shared" ca="1" si="180"/>
        <v>1</v>
      </c>
      <c r="AD925" s="41">
        <f t="shared" ca="1" si="181"/>
        <v>0.21997217900771793</v>
      </c>
      <c r="AE925" s="181" t="str">
        <f t="shared" ca="1" si="182"/>
        <v/>
      </c>
      <c r="AF925" s="42" t="str">
        <f t="shared" si="177"/>
        <v>NO</v>
      </c>
      <c r="AG925" s="1121" t="s">
        <v>1712</v>
      </c>
      <c r="AH925" s="841" t="s">
        <v>1255</v>
      </c>
      <c r="AI925" s="841"/>
      <c r="AJ925" s="838" t="s">
        <v>6048</v>
      </c>
      <c r="AK925" s="255" t="s">
        <v>559</v>
      </c>
      <c r="AL925" s="838"/>
      <c r="AM925" s="838" t="s">
        <v>5774</v>
      </c>
      <c r="AN925" s="161" t="str">
        <f t="shared" ca="1" si="183"/>
        <v>TERMINO</v>
      </c>
      <c r="AO925" s="414" t="s">
        <v>2906</v>
      </c>
      <c r="AP925" s="406"/>
      <c r="AQ925" s="819" t="str">
        <f>IFERROR(VLOOKUP(E925,'liquidaciones '!$B$2:$C$1048576,2,0),"NO")</f>
        <v>NO</v>
      </c>
      <c r="AR925" s="909" t="str">
        <f>IFERROR(VLOOKUP(E925,'liquidaciones '!$B$2:$I$1048576,8,0),"")</f>
        <v/>
      </c>
      <c r="AS925" s="406"/>
      <c r="AT925" s="156" t="str">
        <f t="shared" ca="1" si="184"/>
        <v>SI</v>
      </c>
      <c r="AU925" s="1023" t="s">
        <v>4299</v>
      </c>
      <c r="AV925" s="1001"/>
      <c r="AW925" s="930" t="s">
        <v>559</v>
      </c>
      <c r="AX925" s="930" t="s">
        <v>6396</v>
      </c>
      <c r="AY925" s="928"/>
    </row>
    <row r="926" spans="3:51" ht="30.6" x14ac:dyDescent="0.3">
      <c r="C926" s="837">
        <v>1337</v>
      </c>
      <c r="E926" s="120" t="s">
        <v>6041</v>
      </c>
      <c r="F926" s="414" t="s">
        <v>6042</v>
      </c>
      <c r="G926" s="863">
        <v>1010242936</v>
      </c>
      <c r="H926" s="969" t="s">
        <v>6043</v>
      </c>
      <c r="I926" s="84">
        <v>17560000</v>
      </c>
      <c r="J926" s="843" t="s">
        <v>6044</v>
      </c>
      <c r="K926" s="269">
        <v>2020</v>
      </c>
      <c r="L926" s="519">
        <v>43978</v>
      </c>
      <c r="M926" s="844">
        <v>43985</v>
      </c>
      <c r="N926" s="844">
        <v>44196</v>
      </c>
      <c r="O926" s="1099" t="str">
        <f>IF(+Modificaciones!I926=0,"",VLOOKUP(E926,Modificaciones!$B$7:$I$2400,8,0))</f>
        <v/>
      </c>
      <c r="P926" s="115">
        <f>COUNTA(Modificaciones!J926,Modificaciones!L926,Modificaciones!N926,Modificaciones!P926)</f>
        <v>0</v>
      </c>
      <c r="Q926" s="116">
        <f>VLOOKUP(E926,Modificaciones!$B$7:$R$2300,17,0)</f>
        <v>0</v>
      </c>
      <c r="R926" s="117">
        <f>COUNTA(Modificaciones!T926,Modificaciones!V926,Modificaciones!X926,Modificaciones!Z926)</f>
        <v>0</v>
      </c>
      <c r="S926" s="118" t="str">
        <f>IF(Modificaciones!AA926=0,"",VLOOKUP(E926,Modificaciones!$B$7:$AA$2400,26,0))</f>
        <v/>
      </c>
      <c r="T926" s="119" t="str">
        <f>IF(Modificaciones!AB926=0,"",VLOOKUP(E926,Modificaciones!$B$7:$AB$2400,27,0))</f>
        <v/>
      </c>
      <c r="U926" s="1080" t="str">
        <f>+Modificaciones!AC926</f>
        <v/>
      </c>
      <c r="V926" s="825" t="str">
        <f>+Modificaciones!AK926</f>
        <v/>
      </c>
      <c r="W926" s="825">
        <f t="shared" si="179"/>
        <v>44196</v>
      </c>
      <c r="X926" s="59">
        <f t="shared" si="178"/>
        <v>17560000</v>
      </c>
      <c r="Y926" s="151">
        <f>VLOOKUP(E926,Modificaciones!$B$7:$BE$2300,56,0)</f>
        <v>13023667</v>
      </c>
      <c r="Z926" s="84">
        <f t="shared" si="175"/>
        <v>4536333</v>
      </c>
      <c r="AA926" s="1000" t="s">
        <v>5324</v>
      </c>
      <c r="AB926" s="823">
        <f t="shared" si="176"/>
        <v>0.74166668564920268</v>
      </c>
      <c r="AC926" s="40">
        <f t="shared" ca="1" si="180"/>
        <v>1</v>
      </c>
      <c r="AD926" s="41">
        <f t="shared" ca="1" si="181"/>
        <v>0.25833331435079732</v>
      </c>
      <c r="AE926" s="181" t="str">
        <f t="shared" ca="1" si="182"/>
        <v/>
      </c>
      <c r="AF926" s="42" t="str">
        <f t="shared" si="177"/>
        <v>NO</v>
      </c>
      <c r="AG926" s="732" t="s">
        <v>5773</v>
      </c>
      <c r="AH926" s="841" t="s">
        <v>1255</v>
      </c>
      <c r="AI926" s="870" t="s">
        <v>6045</v>
      </c>
      <c r="AJ926" s="838"/>
      <c r="AK926" s="255" t="s">
        <v>560</v>
      </c>
      <c r="AL926" s="838"/>
      <c r="AM926" s="414" t="s">
        <v>6068</v>
      </c>
      <c r="AN926" s="161" t="str">
        <f t="shared" ca="1" si="183"/>
        <v>TERMINO</v>
      </c>
      <c r="AO926" s="284" t="s">
        <v>582</v>
      </c>
      <c r="AP926" s="406" t="s">
        <v>391</v>
      </c>
      <c r="AQ926" s="819" t="str">
        <f>IFERROR(VLOOKUP(E926,'liquidaciones '!$B$2:$C$1048576,2,0),"NO")</f>
        <v>NO</v>
      </c>
      <c r="AR926" s="909" t="str">
        <f>IFERROR(VLOOKUP(E926,'liquidaciones '!$B$2:$I$1048576,8,0),"")</f>
        <v/>
      </c>
      <c r="AS926" s="406"/>
      <c r="AT926" s="156" t="str">
        <f t="shared" ca="1" si="184"/>
        <v>SI</v>
      </c>
      <c r="AU926" s="1023" t="s">
        <v>4805</v>
      </c>
      <c r="AV926" s="1001"/>
      <c r="AW926" s="930" t="s">
        <v>6064</v>
      </c>
      <c r="AX926" s="928"/>
      <c r="AY926" s="928"/>
    </row>
    <row r="927" spans="3:51" ht="30.6" x14ac:dyDescent="0.3">
      <c r="C927" s="837">
        <v>1038</v>
      </c>
      <c r="E927" s="120" t="s">
        <v>6056</v>
      </c>
      <c r="F927" s="414" t="s">
        <v>6057</v>
      </c>
      <c r="G927" s="863">
        <v>900251060</v>
      </c>
      <c r="H927" s="969" t="s">
        <v>6058</v>
      </c>
      <c r="I927" s="84">
        <v>6763400</v>
      </c>
      <c r="J927" s="843" t="s">
        <v>6059</v>
      </c>
      <c r="K927" s="269">
        <v>2020</v>
      </c>
      <c r="L927" s="519">
        <v>43980</v>
      </c>
      <c r="M927" s="844">
        <v>44070</v>
      </c>
      <c r="N927" s="844">
        <v>44434</v>
      </c>
      <c r="O927" s="1099" t="str">
        <f>IF(+Modificaciones!I927=0,"",VLOOKUP(E927,Modificaciones!$B$7:$I$2400,8,0))</f>
        <v/>
      </c>
      <c r="P927" s="115">
        <f>COUNTA(Modificaciones!J927,Modificaciones!L927,Modificaciones!N927,Modificaciones!P927)</f>
        <v>0</v>
      </c>
      <c r="Q927" s="116">
        <f>VLOOKUP(E927,Modificaciones!$B$7:$R$2300,17,0)</f>
        <v>0</v>
      </c>
      <c r="R927" s="117">
        <f>COUNTA(Modificaciones!T927,Modificaciones!V927,Modificaciones!X927,Modificaciones!Z927)</f>
        <v>0</v>
      </c>
      <c r="S927" s="118" t="str">
        <f>IF(Modificaciones!AA927=0,"",VLOOKUP(E927,Modificaciones!$B$7:$AA$2400,26,0))</f>
        <v/>
      </c>
      <c r="T927" s="119" t="str">
        <f>IF(Modificaciones!AB927=0,"",VLOOKUP(E927,Modificaciones!$B$7:$AB$2400,27,0))</f>
        <v/>
      </c>
      <c r="U927" s="1080" t="str">
        <f>+Modificaciones!AC927</f>
        <v/>
      </c>
      <c r="V927" s="825" t="str">
        <f>+Modificaciones!AK927</f>
        <v/>
      </c>
      <c r="W927" s="825">
        <f t="shared" si="179"/>
        <v>44434</v>
      </c>
      <c r="X927" s="59">
        <f t="shared" si="178"/>
        <v>6763400</v>
      </c>
      <c r="Y927" s="151">
        <f>VLOOKUP(E927,Modificaciones!$B$7:$BE$2300,56,0)</f>
        <v>1840600</v>
      </c>
      <c r="Z927" s="84">
        <f t="shared" si="175"/>
        <v>4922800</v>
      </c>
      <c r="AA927" s="1000" t="s">
        <v>5324</v>
      </c>
      <c r="AB927" s="823">
        <f t="shared" si="176"/>
        <v>0.27214123074193453</v>
      </c>
      <c r="AC927" s="40">
        <f t="shared" ca="1" si="180"/>
        <v>0.43406593406593408</v>
      </c>
      <c r="AD927" s="41">
        <f t="shared" ca="1" si="181"/>
        <v>0.16192470332399955</v>
      </c>
      <c r="AE927" s="181">
        <f t="shared" ca="1" si="182"/>
        <v>206</v>
      </c>
      <c r="AF927" s="42" t="str">
        <f t="shared" si="177"/>
        <v>NO</v>
      </c>
      <c r="AG927" s="406" t="s">
        <v>1709</v>
      </c>
      <c r="AH927" s="841" t="s">
        <v>1255</v>
      </c>
      <c r="AI927" s="841" t="s">
        <v>6060</v>
      </c>
      <c r="AJ927" s="838"/>
      <c r="AK927" s="255" t="s">
        <v>560</v>
      </c>
      <c r="AL927" s="838"/>
      <c r="AM927" s="414" t="s">
        <v>6068</v>
      </c>
      <c r="AN927" s="161" t="str">
        <f t="shared" ca="1" si="183"/>
        <v>EN EJECUCIÓN</v>
      </c>
      <c r="AO927" s="414" t="s">
        <v>4489</v>
      </c>
      <c r="AP927" s="406" t="s">
        <v>390</v>
      </c>
      <c r="AQ927" s="819" t="str">
        <f>IFERROR(VLOOKUP(E927,'liquidaciones '!$B$2:$C$1048576,2,0),"NO")</f>
        <v>NO</v>
      </c>
      <c r="AR927" s="909" t="str">
        <f>IFERROR(VLOOKUP(E927,'liquidaciones '!$B$2:$I$1048576,8,0),"")</f>
        <v/>
      </c>
      <c r="AS927" s="406"/>
      <c r="AT927" s="156" t="str">
        <f t="shared" ca="1" si="184"/>
        <v>SI</v>
      </c>
      <c r="AU927" s="1023" t="s">
        <v>5852</v>
      </c>
      <c r="AV927" s="930" t="s">
        <v>5044</v>
      </c>
      <c r="AW927" s="930" t="s">
        <v>6064</v>
      </c>
      <c r="AX927" s="928"/>
      <c r="AY927" s="928"/>
    </row>
    <row r="928" spans="3:51" ht="51" x14ac:dyDescent="0.3">
      <c r="C928" s="837">
        <v>1056</v>
      </c>
      <c r="E928" s="120" t="s">
        <v>6061</v>
      </c>
      <c r="F928" s="414" t="s">
        <v>4869</v>
      </c>
      <c r="G928" s="863">
        <v>830023178</v>
      </c>
      <c r="H928" s="969" t="s">
        <v>6062</v>
      </c>
      <c r="I928" s="84">
        <v>24021932.5</v>
      </c>
      <c r="J928" s="843" t="s">
        <v>6063</v>
      </c>
      <c r="K928" s="269">
        <v>2020</v>
      </c>
      <c r="L928" s="519">
        <v>43980</v>
      </c>
      <c r="M928" s="844">
        <v>44091</v>
      </c>
      <c r="N928" s="844">
        <v>44183</v>
      </c>
      <c r="O928" s="1099" t="str">
        <f>IF(+Modificaciones!I928=0,"",VLOOKUP(E928,Modificaciones!$B$7:$I$2400,8,0))</f>
        <v/>
      </c>
      <c r="P928" s="115">
        <f>COUNTA(Modificaciones!J928,Modificaciones!L928,Modificaciones!N928,Modificaciones!P928)</f>
        <v>0</v>
      </c>
      <c r="Q928" s="116">
        <f>VLOOKUP(E928,Modificaciones!$B$7:$R$2300,17,0)</f>
        <v>0</v>
      </c>
      <c r="R928" s="117">
        <f>COUNTA(Modificaciones!T928,Modificaciones!V928,Modificaciones!X928,Modificaciones!Z928)</f>
        <v>0</v>
      </c>
      <c r="S928" s="118" t="str">
        <f>IF(Modificaciones!AA928=0,"",VLOOKUP(E928,Modificaciones!$B$7:$AA$2400,26,0))</f>
        <v/>
      </c>
      <c r="T928" s="119" t="str">
        <f>IF(Modificaciones!AB928=0,"",VLOOKUP(E928,Modificaciones!$B$7:$AB$2400,27,0))</f>
        <v/>
      </c>
      <c r="U928" s="1080" t="str">
        <f>+Modificaciones!AC928</f>
        <v/>
      </c>
      <c r="V928" s="825" t="str">
        <f>+Modificaciones!AK928</f>
        <v/>
      </c>
      <c r="W928" s="825">
        <f t="shared" si="179"/>
        <v>44183</v>
      </c>
      <c r="X928" s="59">
        <f t="shared" si="178"/>
        <v>24021932.5</v>
      </c>
      <c r="Y928" s="151">
        <f>VLOOKUP(E928,Modificaciones!$B$7:$BE$2300,56,0)</f>
        <v>0</v>
      </c>
      <c r="Z928" s="84">
        <f t="shared" si="175"/>
        <v>24021932.5</v>
      </c>
      <c r="AA928" s="1000" t="s">
        <v>2837</v>
      </c>
      <c r="AB928" s="823">
        <f t="shared" si="176"/>
        <v>0</v>
      </c>
      <c r="AC928" s="40">
        <f t="shared" ca="1" si="180"/>
        <v>1</v>
      </c>
      <c r="AD928" s="41">
        <f t="shared" ca="1" si="181"/>
        <v>1</v>
      </c>
      <c r="AE928" s="181" t="str">
        <f t="shared" ca="1" si="182"/>
        <v/>
      </c>
      <c r="AF928" s="42" t="str">
        <f t="shared" si="177"/>
        <v>NO</v>
      </c>
      <c r="AG928" s="406" t="s">
        <v>1709</v>
      </c>
      <c r="AH928" s="841" t="s">
        <v>1255</v>
      </c>
      <c r="AI928" s="841" t="s">
        <v>6070</v>
      </c>
      <c r="AJ928" s="838"/>
      <c r="AK928" s="255" t="s">
        <v>559</v>
      </c>
      <c r="AL928" s="838"/>
      <c r="AM928" s="838" t="s">
        <v>5774</v>
      </c>
      <c r="AN928" s="161" t="str">
        <f t="shared" ca="1" si="183"/>
        <v>TERMINO</v>
      </c>
      <c r="AO928" s="414" t="s">
        <v>5112</v>
      </c>
      <c r="AP928" s="406" t="s">
        <v>390</v>
      </c>
      <c r="AQ928" s="819" t="str">
        <f>IFERROR(VLOOKUP(E928,'liquidaciones '!$B$2:$C$1048576,2,0),"NO")</f>
        <v>NO</v>
      </c>
      <c r="AR928" s="909" t="str">
        <f>IFERROR(VLOOKUP(E928,'liquidaciones '!$B$2:$I$1048576,8,0),"")</f>
        <v/>
      </c>
      <c r="AS928" s="406"/>
      <c r="AT928" s="156" t="str">
        <f t="shared" ca="1" si="184"/>
        <v>SI</v>
      </c>
      <c r="AU928" s="1023" t="s">
        <v>5047</v>
      </c>
      <c r="AV928" s="1001"/>
      <c r="AW928" s="930" t="s">
        <v>559</v>
      </c>
      <c r="AX928" s="930" t="s">
        <v>6536</v>
      </c>
      <c r="AY928" s="928"/>
    </row>
    <row r="929" spans="3:51" ht="40.799999999999997" x14ac:dyDescent="0.3">
      <c r="C929" s="837">
        <v>1227</v>
      </c>
      <c r="E929" s="120" t="s">
        <v>6082</v>
      </c>
      <c r="F929" s="414" t="s">
        <v>6083</v>
      </c>
      <c r="G929" s="863">
        <v>77194260</v>
      </c>
      <c r="H929" s="969" t="s">
        <v>6084</v>
      </c>
      <c r="I929" s="84">
        <v>21170000</v>
      </c>
      <c r="J929" s="843" t="s">
        <v>6085</v>
      </c>
      <c r="K929" s="269">
        <v>2020</v>
      </c>
      <c r="L929" s="519"/>
      <c r="M929" s="844">
        <v>44005</v>
      </c>
      <c r="N929" s="844">
        <v>44065</v>
      </c>
      <c r="O929" s="1099" t="str">
        <f>IF(+Modificaciones!I929=0,"",VLOOKUP(E929,Modificaciones!$B$7:$I$2400,8,0))</f>
        <v/>
      </c>
      <c r="P929" s="115">
        <f>COUNTA(Modificaciones!J929,Modificaciones!L929,Modificaciones!N929,Modificaciones!P929)</f>
        <v>0</v>
      </c>
      <c r="Q929" s="116">
        <f>VLOOKUP(E929,Modificaciones!$B$7:$R$2300,17,0)</f>
        <v>0</v>
      </c>
      <c r="R929" s="117">
        <f>COUNTA(Modificaciones!T929,Modificaciones!V929,Modificaciones!X929,Modificaciones!Z929)</f>
        <v>0</v>
      </c>
      <c r="S929" s="118" t="str">
        <f>IF(Modificaciones!AA929=0,"",VLOOKUP(E929,Modificaciones!$B$7:$AA$2400,26,0))</f>
        <v/>
      </c>
      <c r="T929" s="119" t="str">
        <f>IF(Modificaciones!AB929=0,"",VLOOKUP(E929,Modificaciones!$B$7:$AB$2400,27,0))</f>
        <v/>
      </c>
      <c r="U929" s="1080" t="str">
        <f>+Modificaciones!AC929</f>
        <v/>
      </c>
      <c r="V929" s="825" t="str">
        <f>+Modificaciones!AK929</f>
        <v/>
      </c>
      <c r="W929" s="825">
        <f t="shared" si="179"/>
        <v>44065</v>
      </c>
      <c r="X929" s="59">
        <f t="shared" si="178"/>
        <v>21170000</v>
      </c>
      <c r="Y929" s="151">
        <f>VLOOKUP(E929,Modificaciones!$B$7:$BE$2300,56,0)</f>
        <v>21169999</v>
      </c>
      <c r="Z929" s="84">
        <f t="shared" si="175"/>
        <v>1</v>
      </c>
      <c r="AA929" s="1000" t="s">
        <v>5324</v>
      </c>
      <c r="AB929" s="823">
        <f t="shared" si="176"/>
        <v>0.9999999527633443</v>
      </c>
      <c r="AC929" s="40">
        <f t="shared" ca="1" si="180"/>
        <v>1</v>
      </c>
      <c r="AD929" s="41">
        <f t="shared" ca="1" si="181"/>
        <v>4.7236655698057461E-8</v>
      </c>
      <c r="AE929" s="181" t="str">
        <f t="shared" ca="1" si="182"/>
        <v/>
      </c>
      <c r="AF929" s="42" t="str">
        <f t="shared" si="177"/>
        <v>SI</v>
      </c>
      <c r="AG929" s="1037" t="s">
        <v>1712</v>
      </c>
      <c r="AH929" s="841" t="s">
        <v>1255</v>
      </c>
      <c r="AI929" s="841" t="s">
        <v>6086</v>
      </c>
      <c r="AJ929" s="838"/>
      <c r="AK929" s="255" t="s">
        <v>560</v>
      </c>
      <c r="AL929" s="838"/>
      <c r="AM929" s="838" t="s">
        <v>6068</v>
      </c>
      <c r="AN929" s="161" t="str">
        <f t="shared" ca="1" si="183"/>
        <v>TERMINO</v>
      </c>
      <c r="AO929" s="414" t="s">
        <v>5452</v>
      </c>
      <c r="AP929" s="406" t="s">
        <v>390</v>
      </c>
      <c r="AQ929" s="819" t="str">
        <f>IFERROR(VLOOKUP(E929,'liquidaciones '!$B$2:$C$1048576,2,0),"NO")</f>
        <v>NO</v>
      </c>
      <c r="AR929" s="909" t="str">
        <f>IFERROR(VLOOKUP(E929,'liquidaciones '!$B$2:$I$1048576,8,0),"")</f>
        <v/>
      </c>
      <c r="AS929" s="406"/>
      <c r="AT929" s="156" t="str">
        <f t="shared" ca="1" si="184"/>
        <v>SI</v>
      </c>
      <c r="AU929" s="1023" t="s">
        <v>5919</v>
      </c>
      <c r="AV929" s="1001"/>
      <c r="AW929" s="930" t="s">
        <v>6064</v>
      </c>
      <c r="AX929" s="928"/>
      <c r="AY929" s="928"/>
    </row>
    <row r="930" spans="3:51" ht="30.6" x14ac:dyDescent="0.3">
      <c r="C930" s="837">
        <v>1175</v>
      </c>
      <c r="E930" s="120" t="s">
        <v>6088</v>
      </c>
      <c r="F930" s="414" t="s">
        <v>6089</v>
      </c>
      <c r="G930" s="863">
        <v>900446648</v>
      </c>
      <c r="H930" s="969" t="s">
        <v>6090</v>
      </c>
      <c r="I930" s="84">
        <v>32467000</v>
      </c>
      <c r="J930" s="843" t="s">
        <v>6091</v>
      </c>
      <c r="K930" s="269">
        <v>2020</v>
      </c>
      <c r="L930" s="519">
        <v>44005</v>
      </c>
      <c r="M930" s="844">
        <v>44039</v>
      </c>
      <c r="N930" s="844">
        <v>44403</v>
      </c>
      <c r="O930" s="1099" t="str">
        <f>IF(+Modificaciones!I930=0,"",VLOOKUP(E930,Modificaciones!$B$7:$I$2400,8,0))</f>
        <v/>
      </c>
      <c r="P930" s="115">
        <f>COUNTA(Modificaciones!J930,Modificaciones!L930,Modificaciones!N930,Modificaciones!P930)</f>
        <v>0</v>
      </c>
      <c r="Q930" s="116">
        <f>VLOOKUP(E930,Modificaciones!$B$7:$R$2300,17,0)</f>
        <v>0</v>
      </c>
      <c r="R930" s="117">
        <f>COUNTA(Modificaciones!T930,Modificaciones!V930,Modificaciones!X930,Modificaciones!Z930)</f>
        <v>0</v>
      </c>
      <c r="S930" s="118" t="str">
        <f>IF(Modificaciones!AA930=0,"",VLOOKUP(E930,Modificaciones!$B$7:$AA$2400,26,0))</f>
        <v/>
      </c>
      <c r="T930" s="119" t="str">
        <f>IF(Modificaciones!AB930=0,"",VLOOKUP(E930,Modificaciones!$B$7:$AB$2400,27,0))</f>
        <v/>
      </c>
      <c r="U930" s="1080" t="str">
        <f>+Modificaciones!AC930</f>
        <v/>
      </c>
      <c r="V930" s="825" t="str">
        <f>+Modificaciones!AK930</f>
        <v/>
      </c>
      <c r="W930" s="825">
        <f t="shared" si="179"/>
        <v>44403</v>
      </c>
      <c r="X930" s="59">
        <f t="shared" si="178"/>
        <v>32467000</v>
      </c>
      <c r="Y930" s="151">
        <f>VLOOKUP(E930,Modificaciones!$B$7:$BE$2300,56,0)</f>
        <v>0</v>
      </c>
      <c r="Z930" s="84">
        <f t="shared" si="175"/>
        <v>32467000</v>
      </c>
      <c r="AA930" s="1000" t="s">
        <v>6092</v>
      </c>
      <c r="AB930" s="823">
        <f t="shared" si="176"/>
        <v>0</v>
      </c>
      <c r="AC930" s="40">
        <f t="shared" ca="1" si="180"/>
        <v>0.51923076923076927</v>
      </c>
      <c r="AD930" s="41">
        <f t="shared" ca="1" si="181"/>
        <v>0.51923076923076927</v>
      </c>
      <c r="AE930" s="181">
        <f t="shared" ca="1" si="182"/>
        <v>175</v>
      </c>
      <c r="AF930" s="42" t="str">
        <f t="shared" si="177"/>
        <v>NO</v>
      </c>
      <c r="AG930" s="406" t="s">
        <v>1709</v>
      </c>
      <c r="AH930" s="841" t="s">
        <v>1256</v>
      </c>
      <c r="AI930" s="841" t="s">
        <v>6093</v>
      </c>
      <c r="AJ930" s="152" t="s">
        <v>1438</v>
      </c>
      <c r="AK930" s="255" t="s">
        <v>560</v>
      </c>
      <c r="AL930" s="838" t="s">
        <v>4852</v>
      </c>
      <c r="AM930" s="838" t="s">
        <v>5734</v>
      </c>
      <c r="AN930" s="161" t="str">
        <f t="shared" ca="1" si="183"/>
        <v>EN EJECUCIÓN</v>
      </c>
      <c r="AO930" s="414" t="s">
        <v>5452</v>
      </c>
      <c r="AP930" s="406" t="s">
        <v>390</v>
      </c>
      <c r="AQ930" s="819" t="str">
        <f>IFERROR(VLOOKUP(E930,'liquidaciones '!$B$2:$C$1048576,2,0),"NO")</f>
        <v>NO</v>
      </c>
      <c r="AR930" s="909" t="str">
        <f>IFERROR(VLOOKUP(E930,'liquidaciones '!$B$2:$I$1048576,8,0),"")</f>
        <v/>
      </c>
      <c r="AS930" s="406"/>
      <c r="AT930" s="156" t="str">
        <f t="shared" ca="1" si="184"/>
        <v>SI</v>
      </c>
      <c r="AU930" s="1023"/>
      <c r="AV930" s="1001"/>
      <c r="AW930" s="930" t="s">
        <v>560</v>
      </c>
      <c r="AX930" s="928"/>
      <c r="AY930" s="928"/>
    </row>
    <row r="931" spans="3:51" ht="30.6" x14ac:dyDescent="0.3">
      <c r="C931" s="837">
        <v>1381</v>
      </c>
      <c r="E931" s="120" t="s">
        <v>6094</v>
      </c>
      <c r="F931" s="414" t="s">
        <v>6095</v>
      </c>
      <c r="G931" s="863">
        <v>52996607</v>
      </c>
      <c r="H931" s="969" t="s">
        <v>6096</v>
      </c>
      <c r="I931" s="84">
        <v>14046000</v>
      </c>
      <c r="J931" s="843" t="s">
        <v>6097</v>
      </c>
      <c r="K931" s="269">
        <v>2020</v>
      </c>
      <c r="L931" s="519">
        <v>44006</v>
      </c>
      <c r="M931" s="844">
        <v>44015</v>
      </c>
      <c r="N931" s="844">
        <v>44196</v>
      </c>
      <c r="O931" s="1099" t="str">
        <f>IF(+Modificaciones!I931=0,"",VLOOKUP(E931,Modificaciones!$B$7:$I$2400,8,0))</f>
        <v/>
      </c>
      <c r="P931" s="115">
        <f>COUNTA(Modificaciones!J931,Modificaciones!L931,Modificaciones!N931,Modificaciones!P931)</f>
        <v>0</v>
      </c>
      <c r="Q931" s="116">
        <f>VLOOKUP(E931,Modificaciones!$B$7:$R$2300,17,0)</f>
        <v>0</v>
      </c>
      <c r="R931" s="117">
        <f>COUNTA(Modificaciones!T931,Modificaciones!V931,Modificaciones!X931,Modificaciones!Z931)</f>
        <v>0</v>
      </c>
      <c r="S931" s="118" t="str">
        <f>IF(Modificaciones!AA931=0,"",VLOOKUP(E931,Modificaciones!$B$7:$AA$2400,26,0))</f>
        <v/>
      </c>
      <c r="T931" s="119" t="str">
        <f>IF(Modificaciones!AB931=0,"",VLOOKUP(E931,Modificaciones!$B$7:$AB$2400,27,0))</f>
        <v/>
      </c>
      <c r="U931" s="1080" t="str">
        <f>+Modificaciones!AC931</f>
        <v/>
      </c>
      <c r="V931" s="825" t="str">
        <f>+Modificaciones!AK931</f>
        <v/>
      </c>
      <c r="W931" s="825">
        <f t="shared" si="179"/>
        <v>44196</v>
      </c>
      <c r="X931" s="59">
        <f t="shared" si="178"/>
        <v>14046000</v>
      </c>
      <c r="Y931" s="151">
        <f>VLOOKUP(E931,Modificaciones!$B$7:$BE$2300,56,0)</f>
        <v>13889933</v>
      </c>
      <c r="Z931" s="84">
        <f t="shared" si="175"/>
        <v>156067</v>
      </c>
      <c r="AA931" s="1000" t="s">
        <v>5324</v>
      </c>
      <c r="AB931" s="823">
        <f t="shared" si="176"/>
        <v>0.9888888651573402</v>
      </c>
      <c r="AC931" s="40">
        <f t="shared" ca="1" si="180"/>
        <v>1</v>
      </c>
      <c r="AD931" s="41">
        <f t="shared" ca="1" si="181"/>
        <v>1.1111134842659798E-2</v>
      </c>
      <c r="AE931" s="181" t="str">
        <f t="shared" ca="1" si="182"/>
        <v/>
      </c>
      <c r="AF931" s="42" t="str">
        <f t="shared" si="177"/>
        <v>NO</v>
      </c>
      <c r="AG931" s="406" t="s">
        <v>5773</v>
      </c>
      <c r="AH931" s="841" t="s">
        <v>1255</v>
      </c>
      <c r="AI931" s="870" t="s">
        <v>6045</v>
      </c>
      <c r="AJ931" s="838" t="s">
        <v>6098</v>
      </c>
      <c r="AK931" s="255" t="s">
        <v>560</v>
      </c>
      <c r="AL931" s="838"/>
      <c r="AM931" s="838" t="s">
        <v>6068</v>
      </c>
      <c r="AN931" s="161" t="str">
        <f t="shared" ca="1" si="183"/>
        <v>TERMINO</v>
      </c>
      <c r="AO931" s="284" t="s">
        <v>582</v>
      </c>
      <c r="AP931" s="406" t="s">
        <v>391</v>
      </c>
      <c r="AQ931" s="819" t="str">
        <f>IFERROR(VLOOKUP(E931,'liquidaciones '!$B$2:$C$1048576,2,0),"NO")</f>
        <v>NO</v>
      </c>
      <c r="AR931" s="909" t="str">
        <f>IFERROR(VLOOKUP(E931,'liquidaciones '!$B$2:$I$1048576,8,0),"")</f>
        <v/>
      </c>
      <c r="AS931" s="406"/>
      <c r="AT931" s="156" t="str">
        <f t="shared" ca="1" si="184"/>
        <v>SI</v>
      </c>
      <c r="AU931" s="1023" t="s">
        <v>4805</v>
      </c>
      <c r="AV931" s="1001"/>
      <c r="AW931" s="930" t="s">
        <v>6064</v>
      </c>
      <c r="AX931" s="928"/>
      <c r="AY931" s="928"/>
    </row>
    <row r="932" spans="3:51" ht="40.799999999999997" x14ac:dyDescent="0.3">
      <c r="C932" s="837">
        <v>1373</v>
      </c>
      <c r="E932" s="120" t="s">
        <v>6099</v>
      </c>
      <c r="F932" s="414" t="s">
        <v>6100</v>
      </c>
      <c r="G932" s="863">
        <v>52698555</v>
      </c>
      <c r="H932" s="969" t="s">
        <v>6101</v>
      </c>
      <c r="I932" s="84">
        <v>24584000</v>
      </c>
      <c r="J932" s="843" t="s">
        <v>6102</v>
      </c>
      <c r="K932" s="269">
        <v>2020</v>
      </c>
      <c r="L932" s="519">
        <v>44007</v>
      </c>
      <c r="M932" s="844">
        <v>44013</v>
      </c>
      <c r="N932" s="844">
        <v>44196</v>
      </c>
      <c r="O932" s="1099" t="str">
        <f>IF(+Modificaciones!I932=0,"",VLOOKUP(E932,Modificaciones!$B$7:$I$2400,8,0))</f>
        <v/>
      </c>
      <c r="P932" s="115">
        <f>COUNTA(Modificaciones!J932,Modificaciones!L932,Modificaciones!N932,Modificaciones!P932)</f>
        <v>0</v>
      </c>
      <c r="Q932" s="116">
        <f>VLOOKUP(E932,Modificaciones!$B$7:$R$2300,17,0)</f>
        <v>0</v>
      </c>
      <c r="R932" s="117">
        <f>COUNTA(Modificaciones!T932,Modificaciones!V932,Modificaciones!X932,Modificaciones!Z932)</f>
        <v>0</v>
      </c>
      <c r="S932" s="118" t="str">
        <f>IF(Modificaciones!AA932=0,"",VLOOKUP(E932,Modificaciones!$B$7:$AA$2400,26,0))</f>
        <v/>
      </c>
      <c r="T932" s="119" t="str">
        <f>IF(Modificaciones!AB932=0,"",VLOOKUP(E932,Modificaciones!$B$7:$AB$2400,27,0))</f>
        <v/>
      </c>
      <c r="U932" s="1080" t="str">
        <f>+Modificaciones!AC932</f>
        <v/>
      </c>
      <c r="V932" s="825" t="str">
        <f>+Modificaciones!AK932</f>
        <v/>
      </c>
      <c r="W932" s="825">
        <f t="shared" si="179"/>
        <v>44196</v>
      </c>
      <c r="X932" s="59">
        <f t="shared" si="178"/>
        <v>24584000</v>
      </c>
      <c r="Y932" s="151">
        <f>VLOOKUP(E932,Modificaciones!$B$7:$BE$2300,56,0)</f>
        <v>21072000</v>
      </c>
      <c r="Z932" s="84">
        <f t="shared" si="175"/>
        <v>3512000</v>
      </c>
      <c r="AA932" s="1000" t="s">
        <v>5324</v>
      </c>
      <c r="AB932" s="823">
        <f t="shared" si="176"/>
        <v>0.8571428571428571</v>
      </c>
      <c r="AC932" s="40">
        <f t="shared" ca="1" si="180"/>
        <v>1</v>
      </c>
      <c r="AD932" s="41">
        <f t="shared" ca="1" si="181"/>
        <v>0.1428571428571429</v>
      </c>
      <c r="AE932" s="181" t="str">
        <f t="shared" ca="1" si="182"/>
        <v/>
      </c>
      <c r="AF932" s="42" t="str">
        <f t="shared" si="177"/>
        <v>NO</v>
      </c>
      <c r="AG932" s="406" t="s">
        <v>5773</v>
      </c>
      <c r="AH932" s="841" t="s">
        <v>1255</v>
      </c>
      <c r="AI932" s="870" t="s">
        <v>6103</v>
      </c>
      <c r="AJ932" s="838"/>
      <c r="AK932" s="255" t="s">
        <v>564</v>
      </c>
      <c r="AL932" s="838"/>
      <c r="AM932" s="414" t="s">
        <v>5902</v>
      </c>
      <c r="AN932" s="161" t="str">
        <f t="shared" ca="1" si="183"/>
        <v>TERMINO</v>
      </c>
      <c r="AO932" s="284" t="s">
        <v>582</v>
      </c>
      <c r="AP932" s="406" t="s">
        <v>391</v>
      </c>
      <c r="AQ932" s="819" t="str">
        <f>IFERROR(VLOOKUP(E932,'liquidaciones '!$B$2:$C$1048576,2,0),"NO")</f>
        <v>NO</v>
      </c>
      <c r="AR932" s="909" t="str">
        <f>IFERROR(VLOOKUP(E932,'liquidaciones '!$B$2:$I$1048576,8,0),"")</f>
        <v/>
      </c>
      <c r="AS932" s="406"/>
      <c r="AT932" s="156" t="str">
        <f t="shared" ca="1" si="184"/>
        <v>SI</v>
      </c>
      <c r="AU932" s="1130" t="s">
        <v>5875</v>
      </c>
      <c r="AV932" s="1001"/>
      <c r="AW932" s="930" t="s">
        <v>564</v>
      </c>
      <c r="AX932" s="928"/>
      <c r="AY932" s="928"/>
    </row>
    <row r="933" spans="3:51" ht="71.400000000000006" x14ac:dyDescent="0.3">
      <c r="C933" s="837">
        <v>1375</v>
      </c>
      <c r="E933" s="120" t="s">
        <v>6104</v>
      </c>
      <c r="F933" s="414" t="s">
        <v>6105</v>
      </c>
      <c r="G933" s="863">
        <v>52498257</v>
      </c>
      <c r="H933" s="969" t="s">
        <v>6106</v>
      </c>
      <c r="I933" s="84">
        <v>21072000</v>
      </c>
      <c r="J933" s="843" t="s">
        <v>6107</v>
      </c>
      <c r="K933" s="269">
        <v>2020</v>
      </c>
      <c r="L933" s="519">
        <v>43997</v>
      </c>
      <c r="M933" s="844">
        <v>44015</v>
      </c>
      <c r="N933" s="844">
        <v>44114</v>
      </c>
      <c r="O933" s="1099" t="str">
        <f>IF(+Modificaciones!I933=0,"",VLOOKUP(E933,Modificaciones!$B$7:$I$2400,8,0))</f>
        <v/>
      </c>
      <c r="P933" s="115">
        <f>COUNTA(Modificaciones!J933,Modificaciones!L933,Modificaciones!N933,Modificaciones!P933)</f>
        <v>0</v>
      </c>
      <c r="Q933" s="116">
        <f>VLOOKUP(E933,Modificaciones!$B$7:$R$2300,17,0)</f>
        <v>0</v>
      </c>
      <c r="R933" s="117">
        <f>COUNTA(Modificaciones!T933,Modificaciones!V933,Modificaciones!X933,Modificaciones!Z933)</f>
        <v>0</v>
      </c>
      <c r="S933" s="118" t="str">
        <f>IF(Modificaciones!AA933=0,"",VLOOKUP(E933,Modificaciones!$B$7:$AA$2400,26,0))</f>
        <v/>
      </c>
      <c r="T933" s="119" t="str">
        <f>IF(Modificaciones!AB933=0,"",VLOOKUP(E933,Modificaciones!$B$7:$AB$2400,27,0))</f>
        <v/>
      </c>
      <c r="U933" s="1080" t="str">
        <f>+Modificaciones!AC933</f>
        <v/>
      </c>
      <c r="V933" s="825" t="str">
        <f>+Modificaciones!AK933</f>
        <v/>
      </c>
      <c r="W933" s="825">
        <f t="shared" si="179"/>
        <v>44114</v>
      </c>
      <c r="X933" s="59">
        <f t="shared" si="178"/>
        <v>21072000</v>
      </c>
      <c r="Y933" s="151">
        <f>VLOOKUP(E933,Modificaciones!$B$7:$BE$2300,56,0)</f>
        <v>11472533</v>
      </c>
      <c r="Z933" s="84">
        <f t="shared" si="175"/>
        <v>9599467</v>
      </c>
      <c r="AA933" s="1000" t="s">
        <v>5324</v>
      </c>
      <c r="AB933" s="823">
        <f t="shared" si="176"/>
        <v>0.54444442862566433</v>
      </c>
      <c r="AC933" s="40">
        <f t="shared" ca="1" si="180"/>
        <v>1</v>
      </c>
      <c r="AD933" s="41">
        <f t="shared" ca="1" si="181"/>
        <v>0.45555557137433567</v>
      </c>
      <c r="AE933" s="181" t="str">
        <f t="shared" ca="1" si="182"/>
        <v/>
      </c>
      <c r="AF933" s="42" t="str">
        <f t="shared" si="177"/>
        <v>NO</v>
      </c>
      <c r="AG933" s="406" t="s">
        <v>5773</v>
      </c>
      <c r="AH933" s="841" t="s">
        <v>1255</v>
      </c>
      <c r="AI933" s="870" t="s">
        <v>6045</v>
      </c>
      <c r="AJ933" s="838"/>
      <c r="AK933" s="255" t="s">
        <v>560</v>
      </c>
      <c r="AL933" s="838"/>
      <c r="AM933" s="414" t="s">
        <v>6068</v>
      </c>
      <c r="AN933" s="161" t="str">
        <f t="shared" ca="1" si="183"/>
        <v>TERMINO</v>
      </c>
      <c r="AO933" s="284" t="s">
        <v>582</v>
      </c>
      <c r="AP933" s="406" t="s">
        <v>391</v>
      </c>
      <c r="AQ933" s="819" t="str">
        <f>IFERROR(VLOOKUP(E933,'liquidaciones '!$B$2:$C$1048576,2,0),"NO")</f>
        <v>NO</v>
      </c>
      <c r="AR933" s="909" t="str">
        <f>IFERROR(VLOOKUP(E933,'liquidaciones '!$B$2:$I$1048576,8,0),"")</f>
        <v/>
      </c>
      <c r="AS933" s="406"/>
      <c r="AT933" s="156" t="str">
        <f t="shared" ca="1" si="184"/>
        <v>SI</v>
      </c>
      <c r="AU933" s="1023" t="s">
        <v>4805</v>
      </c>
      <c r="AV933" s="1001"/>
      <c r="AW933" s="930" t="s">
        <v>6064</v>
      </c>
      <c r="AX933" s="928"/>
      <c r="AY933" s="928"/>
    </row>
    <row r="934" spans="3:51" ht="51" x14ac:dyDescent="0.3">
      <c r="C934" s="837">
        <v>1372</v>
      </c>
      <c r="E934" s="120" t="s">
        <v>6108</v>
      </c>
      <c r="F934" s="414" t="s">
        <v>6109</v>
      </c>
      <c r="G934" s="863">
        <v>79661279</v>
      </c>
      <c r="H934" s="969" t="s">
        <v>6110</v>
      </c>
      <c r="I934" s="84">
        <v>18320000</v>
      </c>
      <c r="J934" s="843" t="s">
        <v>6111</v>
      </c>
      <c r="K934" s="269">
        <v>2020</v>
      </c>
      <c r="L934" s="519">
        <v>44007</v>
      </c>
      <c r="M934" s="844">
        <v>44018</v>
      </c>
      <c r="N934" s="844">
        <v>44140</v>
      </c>
      <c r="O934" s="1099" t="str">
        <f>IF(+Modificaciones!I934=0,"",VLOOKUP(E934,Modificaciones!$B$7:$I$2400,8,0))</f>
        <v/>
      </c>
      <c r="P934" s="115">
        <f>COUNTA(Modificaciones!J934,Modificaciones!L934,Modificaciones!N934,Modificaciones!P934)</f>
        <v>0</v>
      </c>
      <c r="Q934" s="116">
        <f>VLOOKUP(E934,Modificaciones!$B$7:$R$2300,17,0)</f>
        <v>0</v>
      </c>
      <c r="R934" s="117">
        <f>COUNTA(Modificaciones!T934,Modificaciones!V934,Modificaciones!X934,Modificaciones!Z934)</f>
        <v>0</v>
      </c>
      <c r="S934" s="118" t="str">
        <f>IF(Modificaciones!AA934=0,"",VLOOKUP(E934,Modificaciones!$B$7:$AA$2400,26,0))</f>
        <v/>
      </c>
      <c r="T934" s="119" t="str">
        <f>IF(Modificaciones!AB934=0,"",VLOOKUP(E934,Modificaciones!$B$7:$AB$2400,27,0))</f>
        <v/>
      </c>
      <c r="U934" s="1080" t="str">
        <f>+Modificaciones!AC934</f>
        <v/>
      </c>
      <c r="V934" s="825" t="str">
        <f>+Modificaciones!AK934</f>
        <v/>
      </c>
      <c r="W934" s="825">
        <f t="shared" si="179"/>
        <v>44140</v>
      </c>
      <c r="X934" s="59">
        <f t="shared" si="178"/>
        <v>18320000</v>
      </c>
      <c r="Y934" s="151">
        <f>VLOOKUP(E934,Modificaciones!$B$7:$BE$2300,56,0)</f>
        <v>18320000</v>
      </c>
      <c r="Z934" s="84">
        <f t="shared" si="175"/>
        <v>0</v>
      </c>
      <c r="AA934" s="1000" t="s">
        <v>5324</v>
      </c>
      <c r="AB934" s="823">
        <f t="shared" si="176"/>
        <v>1</v>
      </c>
      <c r="AC934" s="40">
        <f t="shared" ca="1" si="180"/>
        <v>1</v>
      </c>
      <c r="AD934" s="41">
        <f t="shared" ca="1" si="181"/>
        <v>0</v>
      </c>
      <c r="AE934" s="181" t="str">
        <f t="shared" ca="1" si="182"/>
        <v/>
      </c>
      <c r="AF934" s="42" t="str">
        <f t="shared" si="177"/>
        <v>SI</v>
      </c>
      <c r="AG934" s="406" t="s">
        <v>5773</v>
      </c>
      <c r="AH934" s="841" t="s">
        <v>1255</v>
      </c>
      <c r="AI934" s="870" t="s">
        <v>6026</v>
      </c>
      <c r="AJ934" s="838"/>
      <c r="AK934" s="255" t="s">
        <v>564</v>
      </c>
      <c r="AL934" s="838"/>
      <c r="AM934" s="414" t="s">
        <v>5902</v>
      </c>
      <c r="AN934" s="161" t="str">
        <f t="shared" ca="1" si="183"/>
        <v>TERMINO</v>
      </c>
      <c r="AO934" s="284" t="s">
        <v>582</v>
      </c>
      <c r="AP934" s="406" t="s">
        <v>391</v>
      </c>
      <c r="AQ934" s="819" t="str">
        <f>IFERROR(VLOOKUP(E934,'liquidaciones '!$B$2:$C$1048576,2,0),"NO")</f>
        <v>NO</v>
      </c>
      <c r="AR934" s="909" t="str">
        <f>IFERROR(VLOOKUP(E934,'liquidaciones '!$B$2:$I$1048576,8,0),"")</f>
        <v/>
      </c>
      <c r="AS934" s="406"/>
      <c r="AT934" s="156" t="str">
        <f t="shared" ca="1" si="184"/>
        <v>SI</v>
      </c>
      <c r="AU934" s="406" t="s">
        <v>5875</v>
      </c>
      <c r="AV934" s="1001"/>
      <c r="AW934" s="930" t="s">
        <v>564</v>
      </c>
      <c r="AX934" s="928"/>
      <c r="AY934" s="928"/>
    </row>
    <row r="935" spans="3:51" ht="40.799999999999997" x14ac:dyDescent="0.3">
      <c r="C935" s="837">
        <v>1349</v>
      </c>
      <c r="E935" s="120" t="s">
        <v>6115</v>
      </c>
      <c r="F935" s="414" t="s">
        <v>6116</v>
      </c>
      <c r="G935" s="863">
        <v>51624539</v>
      </c>
      <c r="H935" s="969" t="s">
        <v>6117</v>
      </c>
      <c r="I935" s="84">
        <v>44555000</v>
      </c>
      <c r="J935" s="843" t="s">
        <v>6118</v>
      </c>
      <c r="K935" s="269">
        <v>2020</v>
      </c>
      <c r="L935" s="519">
        <v>44007</v>
      </c>
      <c r="M935" s="844">
        <v>44022</v>
      </c>
      <c r="N935" s="844">
        <v>44196</v>
      </c>
      <c r="O935" s="1099" t="str">
        <f>IF(+Modificaciones!I935=0,"",VLOOKUP(E935,Modificaciones!$B$7:$I$2400,8,0))</f>
        <v/>
      </c>
      <c r="P935" s="115">
        <f>COUNTA(Modificaciones!J935,Modificaciones!L935,Modificaciones!N935,Modificaciones!P935)</f>
        <v>0</v>
      </c>
      <c r="Q935" s="116">
        <f>VLOOKUP(E935,Modificaciones!$B$7:$R$2300,17,0)</f>
        <v>0</v>
      </c>
      <c r="R935" s="117">
        <f>COUNTA(Modificaciones!T935,Modificaciones!V935,Modificaciones!X935,Modificaciones!Z935)</f>
        <v>0</v>
      </c>
      <c r="S935" s="118" t="str">
        <f>IF(Modificaciones!AA935=0,"",VLOOKUP(E935,Modificaciones!$B$7:$AA$2400,26,0))</f>
        <v/>
      </c>
      <c r="T935" s="119" t="str">
        <f>IF(Modificaciones!AB935=0,"",VLOOKUP(E935,Modificaciones!$B$7:$AB$2400,27,0))</f>
        <v/>
      </c>
      <c r="U935" s="1080" t="str">
        <f>+Modificaciones!AC935</f>
        <v/>
      </c>
      <c r="V935" s="825" t="str">
        <f>+Modificaciones!AK935</f>
        <v/>
      </c>
      <c r="W935" s="825">
        <f t="shared" si="179"/>
        <v>44196</v>
      </c>
      <c r="X935" s="59">
        <f t="shared" si="178"/>
        <v>44555000</v>
      </c>
      <c r="Y935" s="151">
        <f>VLOOKUP(E935,Modificaciones!$B$7:$BE$2300,56,0)</f>
        <v>36280500</v>
      </c>
      <c r="Z935" s="84">
        <f t="shared" si="175"/>
        <v>8274500</v>
      </c>
      <c r="AA935" s="1000" t="s">
        <v>5324</v>
      </c>
      <c r="AB935" s="823">
        <f t="shared" si="176"/>
        <v>0.81428571428571428</v>
      </c>
      <c r="AC935" s="40">
        <f t="shared" ca="1" si="180"/>
        <v>1</v>
      </c>
      <c r="AD935" s="41">
        <f t="shared" ca="1" si="181"/>
        <v>0.18571428571428572</v>
      </c>
      <c r="AE935" s="181" t="str">
        <f t="shared" ca="1" si="182"/>
        <v/>
      </c>
      <c r="AF935" s="42" t="str">
        <f t="shared" si="177"/>
        <v>NO</v>
      </c>
      <c r="AG935" s="406" t="s">
        <v>5773</v>
      </c>
      <c r="AH935" s="841" t="s">
        <v>1255</v>
      </c>
      <c r="AI935" s="870" t="s">
        <v>6045</v>
      </c>
      <c r="AJ935" s="838"/>
      <c r="AK935" s="255" t="s">
        <v>560</v>
      </c>
      <c r="AL935" s="838"/>
      <c r="AM935" s="838" t="s">
        <v>6068</v>
      </c>
      <c r="AN935" s="161" t="str">
        <f t="shared" ca="1" si="183"/>
        <v>TERMINO</v>
      </c>
      <c r="AO935" s="284" t="s">
        <v>582</v>
      </c>
      <c r="AP935" s="406" t="s">
        <v>391</v>
      </c>
      <c r="AQ935" s="819" t="str">
        <f>IFERROR(VLOOKUP(E935,'liquidaciones '!$B$2:$C$1048576,2,0),"NO")</f>
        <v>NO</v>
      </c>
      <c r="AR935" s="909" t="str">
        <f>IFERROR(VLOOKUP(E935,'liquidaciones '!$B$2:$I$1048576,8,0),"")</f>
        <v/>
      </c>
      <c r="AS935" s="406"/>
      <c r="AT935" s="156" t="str">
        <f t="shared" ca="1" si="184"/>
        <v>SI</v>
      </c>
      <c r="AU935" s="1023" t="s">
        <v>4805</v>
      </c>
      <c r="AV935" s="1001"/>
      <c r="AW935" s="930" t="s">
        <v>6064</v>
      </c>
      <c r="AX935" s="930" t="s">
        <v>6521</v>
      </c>
      <c r="AY935" s="928"/>
    </row>
    <row r="936" spans="3:51" ht="40.799999999999997" x14ac:dyDescent="0.3">
      <c r="C936" s="837">
        <v>1174</v>
      </c>
      <c r="E936" s="120" t="s">
        <v>6119</v>
      </c>
      <c r="F936" s="414" t="s">
        <v>6120</v>
      </c>
      <c r="G936" s="863">
        <v>80014213</v>
      </c>
      <c r="H936" s="969" t="s">
        <v>6121</v>
      </c>
      <c r="I936" s="84">
        <v>35728000</v>
      </c>
      <c r="J936" s="843" t="s">
        <v>6123</v>
      </c>
      <c r="K936" s="269">
        <v>2020</v>
      </c>
      <c r="L936" s="519">
        <v>44014</v>
      </c>
      <c r="M936" s="844">
        <v>44025</v>
      </c>
      <c r="N936" s="844">
        <v>44196</v>
      </c>
      <c r="O936" s="1099" t="str">
        <f>IF(+Modificaciones!I936=0,"",VLOOKUP(E936,Modificaciones!$B$7:$I$2400,8,0))</f>
        <v/>
      </c>
      <c r="P936" s="115">
        <f>COUNTA(Modificaciones!J936,Modificaciones!L936,Modificaciones!N936,Modificaciones!P936)</f>
        <v>0</v>
      </c>
      <c r="Q936" s="116">
        <f>VLOOKUP(E936,Modificaciones!$B$7:$R$2300,17,0)</f>
        <v>0</v>
      </c>
      <c r="R936" s="117">
        <f>COUNTA(Modificaciones!T936,Modificaciones!V936,Modificaciones!X936,Modificaciones!Z936)</f>
        <v>0</v>
      </c>
      <c r="S936" s="118" t="str">
        <f>IF(Modificaciones!AA936=0,"",VLOOKUP(E936,Modificaciones!$B$7:$AA$2400,26,0))</f>
        <v/>
      </c>
      <c r="T936" s="119" t="str">
        <f>IF(Modificaciones!AB936=0,"",VLOOKUP(E936,Modificaciones!$B$7:$AB$2400,27,0))</f>
        <v/>
      </c>
      <c r="U936" s="1080" t="str">
        <f>+Modificaciones!AC936</f>
        <v/>
      </c>
      <c r="V936" s="825" t="str">
        <f>+Modificaciones!AK936</f>
        <v/>
      </c>
      <c r="W936" s="825">
        <f t="shared" si="179"/>
        <v>44196</v>
      </c>
      <c r="X936" s="59">
        <f t="shared" si="178"/>
        <v>35728000</v>
      </c>
      <c r="Y936" s="151">
        <f>VLOOKUP(E936,Modificaciones!$B$7:$BE$2300,56,0)</f>
        <v>20543600</v>
      </c>
      <c r="Z936" s="84">
        <f t="shared" si="175"/>
        <v>15184400</v>
      </c>
      <c r="AA936" s="1000" t="s">
        <v>5324</v>
      </c>
      <c r="AB936" s="823">
        <f t="shared" si="176"/>
        <v>0.57499999999999996</v>
      </c>
      <c r="AC936" s="40">
        <f t="shared" ca="1" si="180"/>
        <v>1</v>
      </c>
      <c r="AD936" s="41">
        <f t="shared" ca="1" si="181"/>
        <v>0.42500000000000004</v>
      </c>
      <c r="AE936" s="181" t="str">
        <f t="shared" ca="1" si="182"/>
        <v/>
      </c>
      <c r="AF936" s="42" t="str">
        <f t="shared" si="177"/>
        <v>NO</v>
      </c>
      <c r="AG936" s="406" t="s">
        <v>5773</v>
      </c>
      <c r="AH936" s="841" t="s">
        <v>1256</v>
      </c>
      <c r="AI936" s="870" t="s">
        <v>5779</v>
      </c>
      <c r="AJ936" s="838"/>
      <c r="AK936" s="255" t="s">
        <v>560</v>
      </c>
      <c r="AL936" s="838"/>
      <c r="AM936" s="838" t="s">
        <v>6122</v>
      </c>
      <c r="AN936" s="161" t="str">
        <f t="shared" ca="1" si="183"/>
        <v>TERMINO</v>
      </c>
      <c r="AO936" s="284" t="s">
        <v>582</v>
      </c>
      <c r="AP936" s="406" t="s">
        <v>391</v>
      </c>
      <c r="AQ936" s="819" t="str">
        <f>IFERROR(VLOOKUP(E936,'liquidaciones '!$B$2:$C$1048576,2,0),"NO")</f>
        <v>NO</v>
      </c>
      <c r="AR936" s="909" t="str">
        <f>IFERROR(VLOOKUP(E936,'liquidaciones '!$B$2:$I$1048576,8,0),"")</f>
        <v/>
      </c>
      <c r="AS936" s="406"/>
      <c r="AT936" s="156" t="str">
        <f t="shared" ca="1" si="184"/>
        <v>SI</v>
      </c>
      <c r="AU936" s="1122" t="s">
        <v>4805</v>
      </c>
      <c r="AV936" s="1001"/>
      <c r="AW936" s="930" t="s">
        <v>6032</v>
      </c>
      <c r="AX936" s="928"/>
      <c r="AY936" s="928"/>
    </row>
    <row r="937" spans="3:51" ht="173.4" x14ac:dyDescent="0.3">
      <c r="C937" s="837">
        <v>1285</v>
      </c>
      <c r="E937" s="120" t="s">
        <v>6126</v>
      </c>
      <c r="F937" s="414" t="s">
        <v>6127</v>
      </c>
      <c r="G937" s="863">
        <v>900109994</v>
      </c>
      <c r="H937" s="969" t="s">
        <v>6128</v>
      </c>
      <c r="I937" s="84">
        <v>318288600</v>
      </c>
      <c r="J937" s="843" t="s">
        <v>6130</v>
      </c>
      <c r="K937" s="269">
        <v>2020</v>
      </c>
      <c r="L937" s="519">
        <v>44013</v>
      </c>
      <c r="M937" s="844">
        <v>44028</v>
      </c>
      <c r="N937" s="844">
        <v>44377</v>
      </c>
      <c r="O937" s="1099" t="str">
        <f>IF(+Modificaciones!I937=0,"",VLOOKUP(E937,Modificaciones!$B$7:$I$2400,8,0))</f>
        <v/>
      </c>
      <c r="P937" s="115">
        <f>COUNTA(Modificaciones!J937,Modificaciones!L937,Modificaciones!N937,Modificaciones!P937)</f>
        <v>0</v>
      </c>
      <c r="Q937" s="116">
        <f>VLOOKUP(E937,Modificaciones!$B$7:$R$2300,17,0)</f>
        <v>0</v>
      </c>
      <c r="R937" s="117">
        <f>COUNTA(Modificaciones!T937,Modificaciones!V937,Modificaciones!X937,Modificaciones!Z937)</f>
        <v>0</v>
      </c>
      <c r="S937" s="118" t="str">
        <f>IF(Modificaciones!AA937=0,"",VLOOKUP(E937,Modificaciones!$B$7:$AA$2400,26,0))</f>
        <v/>
      </c>
      <c r="T937" s="119" t="str">
        <f>IF(Modificaciones!AB937=0,"",VLOOKUP(E937,Modificaciones!$B$7:$AB$2400,27,0))</f>
        <v/>
      </c>
      <c r="U937" s="1080" t="str">
        <f>+Modificaciones!AC937</f>
        <v/>
      </c>
      <c r="V937" s="825" t="str">
        <f>+Modificaciones!AK937</f>
        <v/>
      </c>
      <c r="W937" s="825">
        <f t="shared" si="179"/>
        <v>44377</v>
      </c>
      <c r="X937" s="59">
        <f t="shared" si="178"/>
        <v>318288600</v>
      </c>
      <c r="Y937" s="151">
        <f>VLOOKUP(E937,Modificaciones!$B$7:$BE$2300,56,0)</f>
        <v>64625537</v>
      </c>
      <c r="Z937" s="84">
        <f t="shared" si="175"/>
        <v>253663063</v>
      </c>
      <c r="AA937" s="1000" t="s">
        <v>6129</v>
      </c>
      <c r="AB937" s="823">
        <f t="shared" si="176"/>
        <v>0.20304069011582571</v>
      </c>
      <c r="AC937" s="40">
        <f t="shared" ca="1" si="180"/>
        <v>0.57306590257879653</v>
      </c>
      <c r="AD937" s="41">
        <f t="shared" ca="1" si="181"/>
        <v>0.37002521246297082</v>
      </c>
      <c r="AE937" s="181">
        <f t="shared" ca="1" si="182"/>
        <v>149</v>
      </c>
      <c r="AF937" s="42" t="str">
        <f t="shared" si="177"/>
        <v>NO</v>
      </c>
      <c r="AG937" s="1037" t="s">
        <v>1716</v>
      </c>
      <c r="AH937" s="841" t="s">
        <v>1255</v>
      </c>
      <c r="AI937" s="841" t="s">
        <v>1285</v>
      </c>
      <c r="AJ937" s="838" t="s">
        <v>6098</v>
      </c>
      <c r="AK937" s="255" t="s">
        <v>560</v>
      </c>
      <c r="AL937" s="838"/>
      <c r="AM937" s="414" t="s">
        <v>6068</v>
      </c>
      <c r="AN937" s="161" t="str">
        <f t="shared" ca="1" si="183"/>
        <v>EN EJECUCIÓN</v>
      </c>
      <c r="AO937" s="414" t="s">
        <v>6131</v>
      </c>
      <c r="AP937" s="406" t="s">
        <v>390</v>
      </c>
      <c r="AQ937" s="819" t="str">
        <f>IFERROR(VLOOKUP(E937,'liquidaciones '!$B$2:$C$1048576,2,0),"NO")</f>
        <v>NO</v>
      </c>
      <c r="AR937" s="909" t="str">
        <f>IFERROR(VLOOKUP(E937,'liquidaciones '!$B$2:$I$1048576,8,0),"")</f>
        <v/>
      </c>
      <c r="AS937" s="406"/>
      <c r="AT937" s="156" t="str">
        <f t="shared" ca="1" si="184"/>
        <v>SI</v>
      </c>
      <c r="AU937" s="1023" t="s">
        <v>6078</v>
      </c>
      <c r="AV937" s="1001"/>
      <c r="AW937" s="930" t="s">
        <v>6064</v>
      </c>
      <c r="AX937" s="928"/>
      <c r="AY937" s="928"/>
    </row>
    <row r="938" spans="3:51" ht="132.6" x14ac:dyDescent="0.3">
      <c r="C938" s="837">
        <v>1160</v>
      </c>
      <c r="E938" s="120" t="s">
        <v>6133</v>
      </c>
      <c r="F938" s="414" t="s">
        <v>3616</v>
      </c>
      <c r="G938" s="863">
        <v>830077975</v>
      </c>
      <c r="H938" s="969" t="s">
        <v>6134</v>
      </c>
      <c r="I938" s="84">
        <v>79691108</v>
      </c>
      <c r="J938" s="839"/>
      <c r="K938" s="269">
        <v>2020</v>
      </c>
      <c r="L938" s="519">
        <v>44015</v>
      </c>
      <c r="M938" s="844">
        <v>44034</v>
      </c>
      <c r="N938" s="844">
        <v>44276</v>
      </c>
      <c r="O938" s="1099" t="str">
        <f>IF(+Modificaciones!I938=0,"",VLOOKUP(E938,Modificaciones!$B$7:$I$2400,8,0))</f>
        <v/>
      </c>
      <c r="P938" s="115">
        <f>COUNTA(Modificaciones!J938,Modificaciones!L938,Modificaciones!N938,Modificaciones!P938)</f>
        <v>0</v>
      </c>
      <c r="Q938" s="116">
        <f>VLOOKUP(E938,Modificaciones!$B$7:$R$2300,17,0)</f>
        <v>0</v>
      </c>
      <c r="R938" s="117">
        <f>COUNTA(Modificaciones!T938,Modificaciones!V938,Modificaciones!X938,Modificaciones!Z938)</f>
        <v>0</v>
      </c>
      <c r="S938" s="118" t="str">
        <f>IF(Modificaciones!AA938=0,"",VLOOKUP(E938,Modificaciones!$B$7:$AA$2400,26,0))</f>
        <v/>
      </c>
      <c r="T938" s="119" t="str">
        <f>IF(Modificaciones!AB938=0,"",VLOOKUP(E938,Modificaciones!$B$7:$AB$2400,27,0))</f>
        <v/>
      </c>
      <c r="U938" s="1080" t="str">
        <f>+Modificaciones!AC938</f>
        <v/>
      </c>
      <c r="V938" s="825" t="str">
        <f>+Modificaciones!AK938</f>
        <v/>
      </c>
      <c r="W938" s="825">
        <f t="shared" si="179"/>
        <v>44276</v>
      </c>
      <c r="X938" s="59">
        <f t="shared" si="178"/>
        <v>79691108</v>
      </c>
      <c r="Y938" s="151">
        <f>VLOOKUP(E938,Modificaciones!$B$7:$BE$2300,56,0)</f>
        <v>0</v>
      </c>
      <c r="Z938" s="84">
        <f t="shared" si="175"/>
        <v>79691108</v>
      </c>
      <c r="AA938" s="1000" t="s">
        <v>6135</v>
      </c>
      <c r="AB938" s="823">
        <f t="shared" si="176"/>
        <v>0</v>
      </c>
      <c r="AC938" s="40">
        <f t="shared" ca="1" si="180"/>
        <v>0.80165289256198347</v>
      </c>
      <c r="AD938" s="41">
        <f t="shared" ca="1" si="181"/>
        <v>0.80165289256198347</v>
      </c>
      <c r="AE938" s="181">
        <f t="shared" ca="1" si="182"/>
        <v>48</v>
      </c>
      <c r="AF938" s="42" t="str">
        <f t="shared" si="177"/>
        <v>NO</v>
      </c>
      <c r="AG938" s="406" t="s">
        <v>1709</v>
      </c>
      <c r="AH938" s="841" t="s">
        <v>1256</v>
      </c>
      <c r="AI938" s="841" t="s">
        <v>6136</v>
      </c>
      <c r="AJ938" s="152" t="s">
        <v>1438</v>
      </c>
      <c r="AK938" s="255" t="s">
        <v>560</v>
      </c>
      <c r="AL938" s="838" t="s">
        <v>4852</v>
      </c>
      <c r="AM938" s="838" t="s">
        <v>5734</v>
      </c>
      <c r="AN938" s="161" t="str">
        <f t="shared" ca="1" si="183"/>
        <v>EN EJECUCIÓN</v>
      </c>
      <c r="AO938" s="284" t="s">
        <v>582</v>
      </c>
      <c r="AP938" s="406" t="s">
        <v>390</v>
      </c>
      <c r="AQ938" s="819" t="str">
        <f>IFERROR(VLOOKUP(E938,'liquidaciones '!$B$2:$C$1048576,2,0),"NO")</f>
        <v>NO</v>
      </c>
      <c r="AR938" s="909" t="str">
        <f>IFERROR(VLOOKUP(E938,'liquidaciones '!$B$2:$I$1048576,8,0),"")</f>
        <v/>
      </c>
      <c r="AS938" s="406"/>
      <c r="AT938" s="156" t="str">
        <f t="shared" ca="1" si="184"/>
        <v>SI</v>
      </c>
      <c r="AU938" s="1023" t="s">
        <v>5919</v>
      </c>
      <c r="AV938" s="1001"/>
      <c r="AW938" s="930" t="s">
        <v>560</v>
      </c>
      <c r="AX938" s="928"/>
      <c r="AY938" s="928"/>
    </row>
    <row r="939" spans="3:51" ht="30.6" x14ac:dyDescent="0.3">
      <c r="C939" s="837">
        <v>1383</v>
      </c>
      <c r="E939" s="120" t="s">
        <v>6137</v>
      </c>
      <c r="F939" s="414" t="s">
        <v>6138</v>
      </c>
      <c r="G939" s="863">
        <v>1026279681</v>
      </c>
      <c r="H939" s="969" t="s">
        <v>6139</v>
      </c>
      <c r="I939" s="84">
        <v>13758000</v>
      </c>
      <c r="J939" s="843" t="s">
        <v>6140</v>
      </c>
      <c r="K939" s="269">
        <v>2020</v>
      </c>
      <c r="L939" s="519">
        <v>44022</v>
      </c>
      <c r="M939" s="844">
        <v>44028</v>
      </c>
      <c r="N939" s="844">
        <v>44211</v>
      </c>
      <c r="O939" s="1099" t="str">
        <f>IF(+Modificaciones!I939=0,"",VLOOKUP(E939,Modificaciones!$B$7:$I$2400,8,0))</f>
        <v/>
      </c>
      <c r="P939" s="115">
        <f>COUNTA(Modificaciones!J939,Modificaciones!L939,Modificaciones!N939,Modificaciones!P939)</f>
        <v>0</v>
      </c>
      <c r="Q939" s="116">
        <f>VLOOKUP(E939,Modificaciones!$B$7:$R$2300,17,0)</f>
        <v>0</v>
      </c>
      <c r="R939" s="117">
        <f>COUNTA(Modificaciones!T939,Modificaciones!V939,Modificaciones!X939,Modificaciones!Z939)</f>
        <v>0</v>
      </c>
      <c r="S939" s="118" t="str">
        <f>IF(Modificaciones!AA939=0,"",VLOOKUP(E939,Modificaciones!$B$7:$AA$2400,26,0))</f>
        <v/>
      </c>
      <c r="T939" s="119" t="str">
        <f>IF(Modificaciones!AB939=0,"",VLOOKUP(E939,Modificaciones!$B$7:$AB$2400,27,0))</f>
        <v/>
      </c>
      <c r="U939" s="1080" t="str">
        <f>+Modificaciones!AC939</f>
        <v/>
      </c>
      <c r="V939" s="825" t="str">
        <f>+Modificaciones!AK939</f>
        <v/>
      </c>
      <c r="W939" s="825">
        <f t="shared" si="179"/>
        <v>44211</v>
      </c>
      <c r="X939" s="59">
        <f t="shared" si="178"/>
        <v>13758000</v>
      </c>
      <c r="Y939" s="151">
        <f>VLOOKUP(E939,Modificaciones!$B$7:$BE$2300,56,0)</f>
        <v>12611500</v>
      </c>
      <c r="Z939" s="84">
        <f t="shared" si="175"/>
        <v>1146500</v>
      </c>
      <c r="AA939" s="1000" t="s">
        <v>5324</v>
      </c>
      <c r="AB939" s="823">
        <f t="shared" si="176"/>
        <v>0.91666666666666663</v>
      </c>
      <c r="AC939" s="40">
        <f t="shared" ca="1" si="180"/>
        <v>1</v>
      </c>
      <c r="AD939" s="41">
        <f t="shared" ca="1" si="181"/>
        <v>8.333333333333337E-2</v>
      </c>
      <c r="AE939" s="181" t="str">
        <f t="shared" ca="1" si="182"/>
        <v/>
      </c>
      <c r="AF939" s="42" t="str">
        <f t="shared" si="177"/>
        <v>NO</v>
      </c>
      <c r="AG939" s="406" t="s">
        <v>5773</v>
      </c>
      <c r="AH939" s="841" t="s">
        <v>1255</v>
      </c>
      <c r="AI939" s="870" t="s">
        <v>5779</v>
      </c>
      <c r="AJ939" s="838"/>
      <c r="AK939" s="255" t="s">
        <v>560</v>
      </c>
      <c r="AL939" s="838"/>
      <c r="AM939" s="414" t="s">
        <v>6068</v>
      </c>
      <c r="AN939" s="161" t="str">
        <f t="shared" ca="1" si="183"/>
        <v>TERMINO</v>
      </c>
      <c r="AO939" s="284" t="s">
        <v>582</v>
      </c>
      <c r="AP939" s="406" t="s">
        <v>391</v>
      </c>
      <c r="AQ939" s="819" t="str">
        <f>IFERROR(VLOOKUP(E939,'liquidaciones '!$B$2:$C$1048576,2,0),"NO")</f>
        <v>NO</v>
      </c>
      <c r="AR939" s="909" t="str">
        <f>IFERROR(VLOOKUP(E939,'liquidaciones '!$B$2:$I$1048576,8,0),"")</f>
        <v/>
      </c>
      <c r="AS939" s="406"/>
      <c r="AT939" s="156" t="str">
        <f t="shared" ca="1" si="184"/>
        <v>SI</v>
      </c>
      <c r="AU939" s="1023" t="s">
        <v>4805</v>
      </c>
      <c r="AV939" s="1001"/>
      <c r="AW939" s="930" t="s">
        <v>6064</v>
      </c>
      <c r="AX939" s="928"/>
      <c r="AY939" s="928"/>
    </row>
    <row r="940" spans="3:51" ht="30.6" x14ac:dyDescent="0.3">
      <c r="C940" s="837">
        <v>1371</v>
      </c>
      <c r="E940" s="120" t="s">
        <v>6141</v>
      </c>
      <c r="F940" s="414" t="s">
        <v>6142</v>
      </c>
      <c r="G940" s="863">
        <v>1019061107</v>
      </c>
      <c r="H940" s="969" t="s">
        <v>6143</v>
      </c>
      <c r="I940" s="84">
        <v>19236000</v>
      </c>
      <c r="J940" s="843" t="s">
        <v>6144</v>
      </c>
      <c r="K940" s="269">
        <v>2020</v>
      </c>
      <c r="L940" s="519">
        <v>44022</v>
      </c>
      <c r="M940" s="844">
        <v>44028</v>
      </c>
      <c r="N940" s="844">
        <v>44150</v>
      </c>
      <c r="O940" s="1099" t="str">
        <f>IF(+Modificaciones!I940=0,"",VLOOKUP(E940,Modificaciones!$B$7:$I$2400,8,0))</f>
        <v/>
      </c>
      <c r="P940" s="115">
        <f>COUNTA(Modificaciones!J940,Modificaciones!L940,Modificaciones!N940,Modificaciones!P940)</f>
        <v>0</v>
      </c>
      <c r="Q940" s="116">
        <f>VLOOKUP(E940,Modificaciones!$B$7:$R$2300,17,0)</f>
        <v>0</v>
      </c>
      <c r="R940" s="117">
        <f>COUNTA(Modificaciones!T940,Modificaciones!V940,Modificaciones!X940,Modificaciones!Z940)</f>
        <v>0</v>
      </c>
      <c r="S940" s="118" t="str">
        <f>IF(Modificaciones!AA940=0,"",VLOOKUP(E940,Modificaciones!$B$7:$AA$2400,26,0))</f>
        <v/>
      </c>
      <c r="T940" s="119" t="str">
        <f>IF(Modificaciones!AB940=0,"",VLOOKUP(E940,Modificaciones!$B$7:$AB$2400,27,0))</f>
        <v/>
      </c>
      <c r="U940" s="1080" t="str">
        <f>+Modificaciones!AC940</f>
        <v/>
      </c>
      <c r="V940" s="825" t="str">
        <f>+Modificaciones!AK940</f>
        <v/>
      </c>
      <c r="W940" s="825">
        <f t="shared" si="179"/>
        <v>44150</v>
      </c>
      <c r="X940" s="59">
        <f t="shared" si="178"/>
        <v>19236000</v>
      </c>
      <c r="Y940" s="151">
        <f>VLOOKUP(E940,Modificaciones!$B$7:$BE$2300,56,0)</f>
        <v>12022500</v>
      </c>
      <c r="Z940" s="84">
        <f t="shared" si="175"/>
        <v>7213500</v>
      </c>
      <c r="AA940" s="1000" t="s">
        <v>5324</v>
      </c>
      <c r="AB940" s="823">
        <f t="shared" si="176"/>
        <v>0.625</v>
      </c>
      <c r="AC940" s="40">
        <f t="shared" ca="1" si="180"/>
        <v>1</v>
      </c>
      <c r="AD940" s="41">
        <f t="shared" ca="1" si="181"/>
        <v>0.375</v>
      </c>
      <c r="AE940" s="181" t="str">
        <f t="shared" ca="1" si="182"/>
        <v/>
      </c>
      <c r="AF940" s="42" t="str">
        <f t="shared" si="177"/>
        <v>NO</v>
      </c>
      <c r="AG940" s="406" t="s">
        <v>5773</v>
      </c>
      <c r="AH940" s="841" t="s">
        <v>1255</v>
      </c>
      <c r="AI940" s="870" t="s">
        <v>5779</v>
      </c>
      <c r="AJ940" s="838"/>
      <c r="AK940" s="255" t="s">
        <v>559</v>
      </c>
      <c r="AL940" s="838"/>
      <c r="AM940" s="838" t="s">
        <v>6065</v>
      </c>
      <c r="AN940" s="161" t="str">
        <f t="shared" ca="1" si="183"/>
        <v>TERMINO</v>
      </c>
      <c r="AO940" s="284" t="s">
        <v>582</v>
      </c>
      <c r="AP940" s="406" t="s">
        <v>391</v>
      </c>
      <c r="AQ940" s="819" t="str">
        <f>IFERROR(VLOOKUP(E940,'liquidaciones '!$B$2:$C$1048576,2,0),"NO")</f>
        <v>NO</v>
      </c>
      <c r="AR940" s="909" t="str">
        <f>IFERROR(VLOOKUP(E940,'liquidaciones '!$B$2:$I$1048576,8,0),"")</f>
        <v/>
      </c>
      <c r="AS940" s="406"/>
      <c r="AT940" s="156" t="str">
        <f t="shared" ca="1" si="184"/>
        <v>SI</v>
      </c>
      <c r="AU940" s="1023" t="s">
        <v>4805</v>
      </c>
      <c r="AV940" s="1001"/>
      <c r="AW940" s="930" t="s">
        <v>6064</v>
      </c>
      <c r="AX940" s="928"/>
      <c r="AY940" s="928"/>
    </row>
    <row r="941" spans="3:51" ht="30.6" x14ac:dyDescent="0.3">
      <c r="C941" s="837">
        <v>1350</v>
      </c>
      <c r="E941" s="120" t="s">
        <v>6145</v>
      </c>
      <c r="F941" s="414" t="s">
        <v>6146</v>
      </c>
      <c r="G941" s="863">
        <v>52424532</v>
      </c>
      <c r="H941" s="969" t="s">
        <v>6147</v>
      </c>
      <c r="I941" s="84">
        <v>28398000</v>
      </c>
      <c r="J941" s="843" t="s">
        <v>6148</v>
      </c>
      <c r="K941" s="269">
        <v>2020</v>
      </c>
      <c r="L941" s="519">
        <v>44020</v>
      </c>
      <c r="M941" s="844">
        <v>44035</v>
      </c>
      <c r="N941" s="844">
        <v>44196</v>
      </c>
      <c r="O941" s="1099" t="str">
        <f>IF(+Modificaciones!I941=0,"",VLOOKUP(E941,Modificaciones!$B$7:$I$2400,8,0))</f>
        <v/>
      </c>
      <c r="P941" s="115">
        <f>COUNTA(Modificaciones!J941,Modificaciones!L941,Modificaciones!N941,Modificaciones!P941)</f>
        <v>0</v>
      </c>
      <c r="Q941" s="116">
        <f>VLOOKUP(E941,Modificaciones!$B$7:$R$2300,17,0)</f>
        <v>0</v>
      </c>
      <c r="R941" s="117">
        <f>COUNTA(Modificaciones!T941,Modificaciones!V941,Modificaciones!X941,Modificaciones!Z941)</f>
        <v>0</v>
      </c>
      <c r="S941" s="118" t="str">
        <f>IF(Modificaciones!AA941=0,"",VLOOKUP(E941,Modificaciones!$B$7:$AA$2400,26,0))</f>
        <v/>
      </c>
      <c r="T941" s="119" t="str">
        <f>IF(Modificaciones!AB941=0,"",VLOOKUP(E941,Modificaciones!$B$7:$AB$2400,27,0))</f>
        <v/>
      </c>
      <c r="U941" s="1080" t="str">
        <f>+Modificaciones!AC941</f>
        <v/>
      </c>
      <c r="V941" s="825" t="str">
        <f>+Modificaciones!AK941</f>
        <v/>
      </c>
      <c r="W941" s="825">
        <f t="shared" si="179"/>
        <v>44196</v>
      </c>
      <c r="X941" s="59">
        <f t="shared" si="178"/>
        <v>28398000</v>
      </c>
      <c r="Y941" s="151">
        <f>VLOOKUP(E941,Modificaciones!$B$7:$BE$2300,56,0)</f>
        <v>24927133</v>
      </c>
      <c r="Z941" s="84">
        <f t="shared" si="175"/>
        <v>3470867</v>
      </c>
      <c r="AA941" s="1000" t="s">
        <v>5324</v>
      </c>
      <c r="AB941" s="823">
        <f t="shared" si="176"/>
        <v>0.87777776603986202</v>
      </c>
      <c r="AC941" s="40">
        <f t="shared" ca="1" si="180"/>
        <v>1</v>
      </c>
      <c r="AD941" s="41">
        <f t="shared" ca="1" si="181"/>
        <v>0.12222223396013798</v>
      </c>
      <c r="AE941" s="181" t="str">
        <f t="shared" ca="1" si="182"/>
        <v/>
      </c>
      <c r="AF941" s="42" t="str">
        <f t="shared" si="177"/>
        <v>NO</v>
      </c>
      <c r="AG941" s="406" t="s">
        <v>5773</v>
      </c>
      <c r="AH941" s="841" t="s">
        <v>1255</v>
      </c>
      <c r="AI941" s="870" t="s">
        <v>5779</v>
      </c>
      <c r="AJ941" s="838"/>
      <c r="AK941" s="255" t="s">
        <v>564</v>
      </c>
      <c r="AL941" s="838"/>
      <c r="AM941" s="414" t="s">
        <v>5902</v>
      </c>
      <c r="AN941" s="161" t="str">
        <f t="shared" ca="1" si="183"/>
        <v>TERMINO</v>
      </c>
      <c r="AO941" s="284" t="s">
        <v>582</v>
      </c>
      <c r="AP941" s="406" t="s">
        <v>391</v>
      </c>
      <c r="AQ941" s="819" t="str">
        <f>IFERROR(VLOOKUP(E941,'liquidaciones '!$B$2:$C$1048576,2,0),"NO")</f>
        <v>NO</v>
      </c>
      <c r="AR941" s="909" t="str">
        <f>IFERROR(VLOOKUP(E941,'liquidaciones '!$B$2:$I$1048576,8,0),"")</f>
        <v/>
      </c>
      <c r="AS941" s="406"/>
      <c r="AT941" s="156" t="str">
        <f t="shared" ca="1" si="184"/>
        <v>SI</v>
      </c>
      <c r="AU941" s="1130" t="s">
        <v>5875</v>
      </c>
      <c r="AV941" s="1001"/>
      <c r="AW941" s="930" t="s">
        <v>564</v>
      </c>
      <c r="AX941" s="928"/>
      <c r="AY941" s="928"/>
    </row>
    <row r="942" spans="3:51" ht="40.799999999999997" x14ac:dyDescent="0.3">
      <c r="C942" s="837">
        <v>1179</v>
      </c>
      <c r="E942" s="120" t="s">
        <v>6149</v>
      </c>
      <c r="F942" s="414" t="s">
        <v>6150</v>
      </c>
      <c r="G942" s="863">
        <v>79961309</v>
      </c>
      <c r="H942" s="969" t="s">
        <v>3594</v>
      </c>
      <c r="I942" s="84">
        <v>26109000</v>
      </c>
      <c r="J942" s="843" t="s">
        <v>6151</v>
      </c>
      <c r="K942" s="269">
        <v>2020</v>
      </c>
      <c r="L942" s="519">
        <v>44022</v>
      </c>
      <c r="M942" s="844">
        <v>44035</v>
      </c>
      <c r="N942" s="844">
        <v>44196</v>
      </c>
      <c r="O942" s="1099" t="str">
        <f>IF(+Modificaciones!I942=0,"",VLOOKUP(E942,Modificaciones!$B$7:$I$2400,8,0))</f>
        <v/>
      </c>
      <c r="P942" s="115">
        <f>COUNTA(Modificaciones!J942,Modificaciones!L942,Modificaciones!N942,Modificaciones!P942)</f>
        <v>0</v>
      </c>
      <c r="Q942" s="116">
        <f>VLOOKUP(E942,Modificaciones!$B$7:$R$2300,17,0)</f>
        <v>0</v>
      </c>
      <c r="R942" s="117">
        <f>COUNTA(Modificaciones!T942,Modificaciones!V942,Modificaciones!X942,Modificaciones!Z942)</f>
        <v>0</v>
      </c>
      <c r="S942" s="118" t="str">
        <f>IF(Modificaciones!AA942=0,"",VLOOKUP(E942,Modificaciones!$B$7:$AA$2400,26,0))</f>
        <v/>
      </c>
      <c r="T942" s="119" t="str">
        <f>IF(Modificaciones!AB942=0,"",VLOOKUP(E942,Modificaciones!$B$7:$AB$2400,27,0))</f>
        <v/>
      </c>
      <c r="U942" s="1080" t="str">
        <f>+Modificaciones!AC942</f>
        <v/>
      </c>
      <c r="V942" s="825" t="str">
        <f>+Modificaciones!AK942</f>
        <v/>
      </c>
      <c r="W942" s="825">
        <f t="shared" si="179"/>
        <v>44196</v>
      </c>
      <c r="X942" s="59">
        <f t="shared" si="178"/>
        <v>26109000</v>
      </c>
      <c r="Y942" s="151">
        <f>VLOOKUP(E942,Modificaciones!$B$7:$BE$2300,56,0)</f>
        <v>15278600</v>
      </c>
      <c r="Z942" s="84">
        <f t="shared" si="175"/>
        <v>10830400</v>
      </c>
      <c r="AA942" s="1000" t="s">
        <v>5324</v>
      </c>
      <c r="AB942" s="823">
        <f t="shared" si="176"/>
        <v>0.58518518518518514</v>
      </c>
      <c r="AC942" s="40">
        <f t="shared" ca="1" si="180"/>
        <v>1</v>
      </c>
      <c r="AD942" s="41">
        <f t="shared" ca="1" si="181"/>
        <v>0.41481481481481486</v>
      </c>
      <c r="AE942" s="181" t="str">
        <f t="shared" ca="1" si="182"/>
        <v/>
      </c>
      <c r="AF942" s="42" t="str">
        <f t="shared" si="177"/>
        <v>NO</v>
      </c>
      <c r="AG942" s="406" t="s">
        <v>5773</v>
      </c>
      <c r="AH942" s="841" t="s">
        <v>1255</v>
      </c>
      <c r="AI942" s="841" t="s">
        <v>1130</v>
      </c>
      <c r="AJ942" s="838"/>
      <c r="AK942" s="255" t="s">
        <v>560</v>
      </c>
      <c r="AL942" s="838"/>
      <c r="AM942" s="414" t="s">
        <v>6068</v>
      </c>
      <c r="AN942" s="161" t="str">
        <f t="shared" ca="1" si="183"/>
        <v>TERMINO</v>
      </c>
      <c r="AO942" s="284" t="s">
        <v>582</v>
      </c>
      <c r="AP942" s="406" t="s">
        <v>391</v>
      </c>
      <c r="AQ942" s="819" t="str">
        <f>IFERROR(VLOOKUP(E942,'liquidaciones '!$B$2:$C$1048576,2,0),"NO")</f>
        <v>NO</v>
      </c>
      <c r="AR942" s="909" t="str">
        <f>IFERROR(VLOOKUP(E942,'liquidaciones '!$B$2:$I$1048576,8,0),"")</f>
        <v/>
      </c>
      <c r="AS942" s="406"/>
      <c r="AT942" s="156" t="str">
        <f t="shared" ca="1" si="184"/>
        <v>SI</v>
      </c>
      <c r="AU942" s="1023" t="s">
        <v>4805</v>
      </c>
      <c r="AV942" s="1001"/>
      <c r="AW942" s="930" t="s">
        <v>6064</v>
      </c>
      <c r="AX942" s="928"/>
      <c r="AY942" s="928"/>
    </row>
    <row r="943" spans="3:51" ht="91.8" x14ac:dyDescent="0.3">
      <c r="C943" s="837">
        <v>1177</v>
      </c>
      <c r="E943" s="120" t="s">
        <v>6152</v>
      </c>
      <c r="F943" s="414" t="s">
        <v>6153</v>
      </c>
      <c r="G943" s="863">
        <v>830084433</v>
      </c>
      <c r="H943" s="969" t="s">
        <v>6154</v>
      </c>
      <c r="I943" s="84">
        <v>7916832</v>
      </c>
      <c r="J943" s="843" t="s">
        <v>6157</v>
      </c>
      <c r="K943" s="269">
        <v>2020</v>
      </c>
      <c r="L943" s="519"/>
      <c r="M943" s="844">
        <v>44078</v>
      </c>
      <c r="N943" s="844">
        <v>44442</v>
      </c>
      <c r="O943" s="1099" t="str">
        <f>IF(+Modificaciones!I943=0,"",VLOOKUP(E943,Modificaciones!$B$7:$I$2400,8,0))</f>
        <v/>
      </c>
      <c r="P943" s="115">
        <f>COUNTA(Modificaciones!J943,Modificaciones!L943,Modificaciones!N943,Modificaciones!P943)</f>
        <v>0</v>
      </c>
      <c r="Q943" s="116">
        <f>VLOOKUP(E943,Modificaciones!$B$7:$R$2300,17,0)</f>
        <v>0</v>
      </c>
      <c r="R943" s="117">
        <f>COUNTA(Modificaciones!T943,Modificaciones!V943,Modificaciones!X943,Modificaciones!Z943)</f>
        <v>0</v>
      </c>
      <c r="S943" s="118" t="str">
        <f>IF(Modificaciones!AA943=0,"",VLOOKUP(E943,Modificaciones!$B$7:$AA$2400,26,0))</f>
        <v/>
      </c>
      <c r="T943" s="119" t="str">
        <f>IF(Modificaciones!AB943=0,"",VLOOKUP(E943,Modificaciones!$B$7:$AB$2400,27,0))</f>
        <v/>
      </c>
      <c r="U943" s="1080" t="str">
        <f>+Modificaciones!AC943</f>
        <v/>
      </c>
      <c r="V943" s="825" t="str">
        <f>+Modificaciones!AK943</f>
        <v/>
      </c>
      <c r="W943" s="825">
        <f t="shared" si="179"/>
        <v>44442</v>
      </c>
      <c r="X943" s="59">
        <f t="shared" si="178"/>
        <v>7916832</v>
      </c>
      <c r="Y943" s="151">
        <f>VLOOKUP(E943,Modificaciones!$B$7:$BE$2300,56,0)</f>
        <v>0</v>
      </c>
      <c r="Z943" s="84">
        <f t="shared" si="175"/>
        <v>7916832</v>
      </c>
      <c r="AA943" s="1000" t="s">
        <v>6155</v>
      </c>
      <c r="AB943" s="823">
        <f t="shared" si="176"/>
        <v>0</v>
      </c>
      <c r="AC943" s="40">
        <f t="shared" ca="1" si="180"/>
        <v>0.41208791208791207</v>
      </c>
      <c r="AD943" s="41">
        <f t="shared" ca="1" si="181"/>
        <v>0.41208791208791207</v>
      </c>
      <c r="AE943" s="181">
        <f t="shared" ca="1" si="182"/>
        <v>214</v>
      </c>
      <c r="AF943" s="42" t="str">
        <f t="shared" si="177"/>
        <v>NO</v>
      </c>
      <c r="AG943" s="1037" t="s">
        <v>1711</v>
      </c>
      <c r="AH943" s="841" t="s">
        <v>1256</v>
      </c>
      <c r="AI943" s="841" t="s">
        <v>6156</v>
      </c>
      <c r="AJ943" s="152" t="s">
        <v>1438</v>
      </c>
      <c r="AK943" s="255" t="s">
        <v>560</v>
      </c>
      <c r="AL943" s="838" t="s">
        <v>4852</v>
      </c>
      <c r="AM943" s="838" t="s">
        <v>5734</v>
      </c>
      <c r="AN943" s="161" t="str">
        <f t="shared" ca="1" si="183"/>
        <v>EN EJECUCIÓN</v>
      </c>
      <c r="AO943" s="414" t="s">
        <v>5452</v>
      </c>
      <c r="AP943" s="406" t="s">
        <v>391</v>
      </c>
      <c r="AQ943" s="819" t="str">
        <f>IFERROR(VLOOKUP(E943,'liquidaciones '!$B$2:$C$1048576,2,0),"NO")</f>
        <v>NO</v>
      </c>
      <c r="AR943" s="909" t="str">
        <f>IFERROR(VLOOKUP(E943,'liquidaciones '!$B$2:$I$1048576,8,0),"")</f>
        <v/>
      </c>
      <c r="AS943" s="406"/>
      <c r="AT943" s="156" t="str">
        <f t="shared" ca="1" si="184"/>
        <v>SI</v>
      </c>
      <c r="AU943" s="1023" t="s">
        <v>6169</v>
      </c>
      <c r="AV943" s="1001"/>
      <c r="AW943" s="930" t="s">
        <v>560</v>
      </c>
      <c r="AX943" s="928"/>
      <c r="AY943" s="928"/>
    </row>
    <row r="944" spans="3:51" ht="142.80000000000001" x14ac:dyDescent="0.3">
      <c r="C944" s="837">
        <v>1271</v>
      </c>
      <c r="E944" s="120" t="s">
        <v>6158</v>
      </c>
      <c r="F944" s="414" t="s">
        <v>6159</v>
      </c>
      <c r="G944" s="863" t="s">
        <v>6160</v>
      </c>
      <c r="H944" s="969" t="s">
        <v>6161</v>
      </c>
      <c r="I944" s="84">
        <v>299880000</v>
      </c>
      <c r="J944" s="843" t="s">
        <v>6168</v>
      </c>
      <c r="K944" s="269">
        <v>2020</v>
      </c>
      <c r="L944" s="519"/>
      <c r="M944" s="844">
        <v>44034</v>
      </c>
      <c r="N944" s="844">
        <v>44217</v>
      </c>
      <c r="O944" s="1099" t="str">
        <f>IF(+Modificaciones!I944=0,"",VLOOKUP(E944,Modificaciones!$B$7:$I$2400,8,0))</f>
        <v/>
      </c>
      <c r="P944" s="115">
        <f>COUNTA(Modificaciones!J944,Modificaciones!L944,Modificaciones!N944,Modificaciones!P944)</f>
        <v>0</v>
      </c>
      <c r="Q944" s="116">
        <f>VLOOKUP(E944,Modificaciones!$B$7:$R$2300,17,0)</f>
        <v>0</v>
      </c>
      <c r="R944" s="117">
        <f>COUNTA(Modificaciones!T944,Modificaciones!V944,Modificaciones!X944,Modificaciones!Z944)</f>
        <v>0</v>
      </c>
      <c r="S944" s="118" t="str">
        <f>IF(Modificaciones!AA944=0,"",VLOOKUP(E944,Modificaciones!$B$7:$AA$2400,26,0))</f>
        <v/>
      </c>
      <c r="T944" s="119" t="str">
        <f>IF(Modificaciones!AB944=0,"",VLOOKUP(E944,Modificaciones!$B$7:$AB$2400,27,0))</f>
        <v/>
      </c>
      <c r="U944" s="1080" t="str">
        <f>+Modificaciones!AC944</f>
        <v/>
      </c>
      <c r="V944" s="825" t="str">
        <f>+Modificaciones!AK944</f>
        <v/>
      </c>
      <c r="W944" s="825">
        <f t="shared" si="179"/>
        <v>44217</v>
      </c>
      <c r="X944" s="59">
        <f t="shared" si="178"/>
        <v>299880000</v>
      </c>
      <c r="Y944" s="151">
        <f>VLOOKUP(E944,Modificaciones!$B$7:$BE$2300,56,0)</f>
        <v>0</v>
      </c>
      <c r="Z944" s="84">
        <f t="shared" si="175"/>
        <v>299880000</v>
      </c>
      <c r="AA944" s="1000" t="s">
        <v>6162</v>
      </c>
      <c r="AB944" s="823">
        <f t="shared" si="176"/>
        <v>0</v>
      </c>
      <c r="AC944" s="40">
        <f t="shared" ca="1" si="180"/>
        <v>1</v>
      </c>
      <c r="AD944" s="41">
        <f t="shared" ca="1" si="181"/>
        <v>1</v>
      </c>
      <c r="AE944" s="181" t="str">
        <f t="shared" ca="1" si="182"/>
        <v/>
      </c>
      <c r="AF944" s="42" t="str">
        <f t="shared" si="177"/>
        <v>NO</v>
      </c>
      <c r="AG944" s="406" t="s">
        <v>1718</v>
      </c>
      <c r="AH944" s="841" t="s">
        <v>1256</v>
      </c>
      <c r="AI944" s="870" t="s">
        <v>6163</v>
      </c>
      <c r="AJ944" s="152" t="s">
        <v>1438</v>
      </c>
      <c r="AK944" s="255" t="s">
        <v>560</v>
      </c>
      <c r="AL944" s="838" t="s">
        <v>4852</v>
      </c>
      <c r="AM944" s="838" t="s">
        <v>5734</v>
      </c>
      <c r="AN944" s="161" t="str">
        <f t="shared" ca="1" si="183"/>
        <v>TERMINO</v>
      </c>
      <c r="AO944" s="414" t="s">
        <v>6164</v>
      </c>
      <c r="AP944" s="406" t="s">
        <v>390</v>
      </c>
      <c r="AQ944" s="819" t="str">
        <f>IFERROR(VLOOKUP(E944,'liquidaciones '!$B$2:$C$1048576,2,0),"NO")</f>
        <v>NO</v>
      </c>
      <c r="AR944" s="909" t="str">
        <f>IFERROR(VLOOKUP(E944,'liquidaciones '!$B$2:$I$1048576,8,0),"")</f>
        <v/>
      </c>
      <c r="AS944" s="406"/>
      <c r="AT944" s="156" t="str">
        <f t="shared" ca="1" si="184"/>
        <v>SI</v>
      </c>
      <c r="AU944" s="1124" t="s">
        <v>6169</v>
      </c>
      <c r="AV944" s="1001"/>
      <c r="AW944" s="930" t="s">
        <v>560</v>
      </c>
      <c r="AX944" s="928"/>
      <c r="AY944" s="928"/>
    </row>
    <row r="945" spans="3:51" ht="30.6" x14ac:dyDescent="0.3">
      <c r="C945" s="837">
        <v>1374</v>
      </c>
      <c r="E945" s="120" t="s">
        <v>6170</v>
      </c>
      <c r="F945" s="414" t="s">
        <v>6171</v>
      </c>
      <c r="G945" s="863">
        <v>1010172202</v>
      </c>
      <c r="H945" s="969" t="s">
        <v>6172</v>
      </c>
      <c r="I945" s="84">
        <v>9560000</v>
      </c>
      <c r="J945" s="843" t="s">
        <v>6174</v>
      </c>
      <c r="K945" s="269">
        <v>2020</v>
      </c>
      <c r="L945" s="519">
        <v>44026</v>
      </c>
      <c r="M945" s="844">
        <v>44035</v>
      </c>
      <c r="N945" s="844">
        <v>44157</v>
      </c>
      <c r="O945" s="1099" t="str">
        <f>IF(+Modificaciones!I945=0,"",VLOOKUP(E945,Modificaciones!$B$7:$I$2400,8,0))</f>
        <v/>
      </c>
      <c r="P945" s="115">
        <f>COUNTA(Modificaciones!J945,Modificaciones!L945,Modificaciones!N945,Modificaciones!P945)</f>
        <v>0</v>
      </c>
      <c r="Q945" s="116">
        <f>VLOOKUP(E945,Modificaciones!$B$7:$R$2300,17,0)</f>
        <v>0</v>
      </c>
      <c r="R945" s="117">
        <f>COUNTA(Modificaciones!T945,Modificaciones!V945,Modificaciones!X945,Modificaciones!Z945)</f>
        <v>0</v>
      </c>
      <c r="S945" s="118" t="str">
        <f>IF(Modificaciones!AA945=0,"",VLOOKUP(E945,Modificaciones!$B$7:$AA$2400,26,0))</f>
        <v/>
      </c>
      <c r="T945" s="119" t="str">
        <f>IF(Modificaciones!AB945=0,"",VLOOKUP(E945,Modificaciones!$B$7:$AB$2400,27,0))</f>
        <v/>
      </c>
      <c r="U945" s="1080" t="str">
        <f>+Modificaciones!AC945</f>
        <v/>
      </c>
      <c r="V945" s="825" t="str">
        <f>+Modificaciones!AK945</f>
        <v/>
      </c>
      <c r="W945" s="825">
        <f t="shared" si="179"/>
        <v>44157</v>
      </c>
      <c r="X945" s="59">
        <f t="shared" si="178"/>
        <v>9560000</v>
      </c>
      <c r="Y945" s="151">
        <f>VLOOKUP(E945,Modificaciones!$B$7:$BE$2300,56,0)</f>
        <v>9560000</v>
      </c>
      <c r="Z945" s="84">
        <f t="shared" si="175"/>
        <v>0</v>
      </c>
      <c r="AA945" s="1000" t="s">
        <v>5324</v>
      </c>
      <c r="AB945" s="823">
        <f t="shared" si="176"/>
        <v>1</v>
      </c>
      <c r="AC945" s="40">
        <f t="shared" ca="1" si="180"/>
        <v>1</v>
      </c>
      <c r="AD945" s="41">
        <f t="shared" ca="1" si="181"/>
        <v>0</v>
      </c>
      <c r="AE945" s="181" t="str">
        <f t="shared" ca="1" si="182"/>
        <v/>
      </c>
      <c r="AF945" s="42" t="str">
        <f t="shared" si="177"/>
        <v>SI</v>
      </c>
      <c r="AG945" s="406" t="s">
        <v>5773</v>
      </c>
      <c r="AH945" s="841" t="s">
        <v>1255</v>
      </c>
      <c r="AI945" s="841" t="s">
        <v>6173</v>
      </c>
      <c r="AJ945" s="838"/>
      <c r="AK945" s="255" t="s">
        <v>560</v>
      </c>
      <c r="AL945" s="838"/>
      <c r="AM945" s="838" t="s">
        <v>6458</v>
      </c>
      <c r="AN945" s="161" t="str">
        <f t="shared" ca="1" si="183"/>
        <v>TERMINO</v>
      </c>
      <c r="AO945" s="284" t="s">
        <v>582</v>
      </c>
      <c r="AP945" s="406" t="s">
        <v>391</v>
      </c>
      <c r="AQ945" s="819" t="str">
        <f>IFERROR(VLOOKUP(E945,'liquidaciones '!$B$2:$C$1048576,2,0),"NO")</f>
        <v>NO</v>
      </c>
      <c r="AR945" s="909" t="str">
        <f>IFERROR(VLOOKUP(E945,'liquidaciones '!$B$2:$I$1048576,8,0),"")</f>
        <v/>
      </c>
      <c r="AS945" s="406"/>
      <c r="AT945" s="156" t="str">
        <f t="shared" ca="1" si="184"/>
        <v>SI</v>
      </c>
      <c r="AU945" s="1023" t="s">
        <v>4805</v>
      </c>
      <c r="AV945" s="1001"/>
      <c r="AW945" s="930" t="s">
        <v>6032</v>
      </c>
      <c r="AX945" s="928"/>
      <c r="AY945" s="928"/>
    </row>
    <row r="946" spans="3:51" ht="40.799999999999997" x14ac:dyDescent="0.3">
      <c r="C946" s="837">
        <v>1379</v>
      </c>
      <c r="E946" s="120" t="s">
        <v>6178</v>
      </c>
      <c r="F946" s="414" t="s">
        <v>6177</v>
      </c>
      <c r="G946" s="1126">
        <v>80818487</v>
      </c>
      <c r="H946" s="969" t="s">
        <v>6179</v>
      </c>
      <c r="I946" s="84">
        <v>30380000</v>
      </c>
      <c r="J946" s="843" t="s">
        <v>6182</v>
      </c>
      <c r="K946" s="269">
        <v>2020</v>
      </c>
      <c r="L946" s="519">
        <v>44029</v>
      </c>
      <c r="M946" s="844">
        <v>44039</v>
      </c>
      <c r="N946" s="844">
        <v>44161</v>
      </c>
      <c r="O946" s="1099" t="str">
        <f>IF(+Modificaciones!I946=0,"",VLOOKUP(E946,Modificaciones!$B$7:$I$2400,8,0))</f>
        <v/>
      </c>
      <c r="P946" s="115">
        <f>COUNTA(Modificaciones!J946,Modificaciones!L946,Modificaciones!N946,Modificaciones!P946)</f>
        <v>1</v>
      </c>
      <c r="Q946" s="116">
        <f>VLOOKUP(E946,Modificaciones!$B$7:$R$2300,17,0)</f>
        <v>8860833</v>
      </c>
      <c r="R946" s="117">
        <f>COUNTA(Modificaciones!T946,Modificaciones!V946,Modificaciones!X946,Modificaciones!Z946)</f>
        <v>1</v>
      </c>
      <c r="S946" s="118" t="str">
        <f>IF(Modificaciones!AA946=0,"",VLOOKUP(E946,Modificaciones!$B$7:$AA$2400,26,0))</f>
        <v>1 mes y 5 días</v>
      </c>
      <c r="T946" s="119">
        <f>IF(Modificaciones!AB946=0,"",VLOOKUP(E946,Modificaciones!$B$7:$AB$2400,27,0))</f>
        <v>44196</v>
      </c>
      <c r="U946" s="1080" t="str">
        <f>+Modificaciones!AC946</f>
        <v/>
      </c>
      <c r="V946" s="825" t="str">
        <f>+Modificaciones!AK946</f>
        <v/>
      </c>
      <c r="W946" s="825">
        <f t="shared" si="179"/>
        <v>44196</v>
      </c>
      <c r="X946" s="59">
        <f t="shared" si="178"/>
        <v>39240833</v>
      </c>
      <c r="Y946" s="151">
        <f>VLOOKUP(E946,Modificaciones!$B$7:$BE$2300,56,0)</f>
        <v>31392667</v>
      </c>
      <c r="Z946" s="84">
        <f t="shared" si="175"/>
        <v>7848166</v>
      </c>
      <c r="AA946" s="1000" t="s">
        <v>5324</v>
      </c>
      <c r="AB946" s="823">
        <f t="shared" si="176"/>
        <v>0.80000001529019527</v>
      </c>
      <c r="AC946" s="40">
        <f t="shared" ca="1" si="180"/>
        <v>1</v>
      </c>
      <c r="AD946" s="41">
        <f t="shared" ca="1" si="181"/>
        <v>0.19999998470980473</v>
      </c>
      <c r="AE946" s="181" t="str">
        <f t="shared" ca="1" si="182"/>
        <v/>
      </c>
      <c r="AF946" s="42" t="str">
        <f t="shared" si="177"/>
        <v>NO</v>
      </c>
      <c r="AG946" s="406" t="s">
        <v>5773</v>
      </c>
      <c r="AH946" s="841" t="s">
        <v>1255</v>
      </c>
      <c r="AI946" s="841" t="s">
        <v>6180</v>
      </c>
      <c r="AJ946" s="838"/>
      <c r="AK946" s="255" t="s">
        <v>6181</v>
      </c>
      <c r="AL946" s="838"/>
      <c r="AM946" s="414" t="s">
        <v>5873</v>
      </c>
      <c r="AN946" s="161" t="str">
        <f t="shared" ca="1" si="183"/>
        <v>TERMINO</v>
      </c>
      <c r="AO946" s="284" t="s">
        <v>582</v>
      </c>
      <c r="AP946" s="406" t="s">
        <v>391</v>
      </c>
      <c r="AQ946" s="819" t="str">
        <f>IFERROR(VLOOKUP(E946,'liquidaciones '!$B$2:$C$1048576,2,0),"NO")</f>
        <v>NO</v>
      </c>
      <c r="AR946" s="909" t="str">
        <f>IFERROR(VLOOKUP(E946,'liquidaciones '!$B$2:$I$1048576,8,0),"")</f>
        <v/>
      </c>
      <c r="AS946" s="406"/>
      <c r="AT946" s="156" t="str">
        <f t="shared" ca="1" si="184"/>
        <v>SI</v>
      </c>
      <c r="AU946" s="1023" t="s">
        <v>4805</v>
      </c>
      <c r="AV946" s="1001"/>
      <c r="AW946" s="930" t="s">
        <v>6064</v>
      </c>
      <c r="AX946" s="930" t="s">
        <v>6477</v>
      </c>
      <c r="AY946" s="928"/>
    </row>
    <row r="947" spans="3:51" ht="71.400000000000006" x14ac:dyDescent="0.3">
      <c r="C947" s="837">
        <v>1158</v>
      </c>
      <c r="E947" s="120" t="s">
        <v>6183</v>
      </c>
      <c r="F947" s="414" t="s">
        <v>184</v>
      </c>
      <c r="G947" s="863">
        <v>800230639</v>
      </c>
      <c r="H947" s="969" t="s">
        <v>6184</v>
      </c>
      <c r="I947" s="84">
        <v>39000000</v>
      </c>
      <c r="J947" s="843" t="s">
        <v>6197</v>
      </c>
      <c r="K947" s="269">
        <v>2020</v>
      </c>
      <c r="L947" s="519">
        <v>44021</v>
      </c>
      <c r="M947" s="844">
        <v>44063</v>
      </c>
      <c r="N947" s="844">
        <v>44427</v>
      </c>
      <c r="O947" s="1099" t="str">
        <f>IF(+Modificaciones!I947=0,"",VLOOKUP(E947,Modificaciones!$B$7:$I$2400,8,0))</f>
        <v/>
      </c>
      <c r="P947" s="115">
        <f>COUNTA(Modificaciones!J947,Modificaciones!L947,Modificaciones!N947,Modificaciones!P947)</f>
        <v>0</v>
      </c>
      <c r="Q947" s="116">
        <f>VLOOKUP(E947,Modificaciones!$B$7:$R$2300,17,0)</f>
        <v>0</v>
      </c>
      <c r="R947" s="117">
        <f>COUNTA(Modificaciones!T947,Modificaciones!V947,Modificaciones!X947,Modificaciones!Z947)</f>
        <v>0</v>
      </c>
      <c r="S947" s="118" t="str">
        <f>IF(Modificaciones!AA947=0,"",VLOOKUP(E947,Modificaciones!$B$7:$AA$2400,26,0))</f>
        <v/>
      </c>
      <c r="T947" s="119" t="str">
        <f>IF(Modificaciones!AB947=0,"",VLOOKUP(E947,Modificaciones!$B$7:$AB$2400,27,0))</f>
        <v/>
      </c>
      <c r="U947" s="1080" t="str">
        <f>+Modificaciones!AC947</f>
        <v/>
      </c>
      <c r="V947" s="825" t="str">
        <f>+Modificaciones!AK947</f>
        <v/>
      </c>
      <c r="W947" s="825">
        <f t="shared" si="179"/>
        <v>44427</v>
      </c>
      <c r="X947" s="59">
        <f t="shared" si="178"/>
        <v>39000000</v>
      </c>
      <c r="Y947" s="151">
        <f>VLOOKUP(E947,Modificaciones!$B$7:$BE$2300,56,0)</f>
        <v>0</v>
      </c>
      <c r="Z947" s="84">
        <f t="shared" si="175"/>
        <v>39000000</v>
      </c>
      <c r="AA947" s="1000" t="s">
        <v>6198</v>
      </c>
      <c r="AB947" s="823">
        <f t="shared" si="176"/>
        <v>0</v>
      </c>
      <c r="AC947" s="40">
        <f t="shared" ca="1" si="180"/>
        <v>0.4532967032967033</v>
      </c>
      <c r="AD947" s="41">
        <f t="shared" ca="1" si="181"/>
        <v>0.4532967032967033</v>
      </c>
      <c r="AE947" s="181">
        <f t="shared" ca="1" si="182"/>
        <v>199</v>
      </c>
      <c r="AF947" s="42" t="str">
        <f t="shared" si="177"/>
        <v>NO</v>
      </c>
      <c r="AG947" s="406" t="s">
        <v>6199</v>
      </c>
      <c r="AH947" s="841" t="s">
        <v>1256</v>
      </c>
      <c r="AI947" s="870" t="s">
        <v>6200</v>
      </c>
      <c r="AJ947" s="152" t="s">
        <v>1438</v>
      </c>
      <c r="AK947" s="255" t="s">
        <v>560</v>
      </c>
      <c r="AL947" s="838" t="s">
        <v>4852</v>
      </c>
      <c r="AM947" s="838" t="s">
        <v>5734</v>
      </c>
      <c r="AN947" s="161" t="str">
        <f t="shared" ca="1" si="183"/>
        <v>EN EJECUCIÓN</v>
      </c>
      <c r="AO947" s="414" t="s">
        <v>6201</v>
      </c>
      <c r="AP947" s="406" t="s">
        <v>390</v>
      </c>
      <c r="AQ947" s="819" t="str">
        <f>IFERROR(VLOOKUP(E947,'liquidaciones '!$B$2:$C$1048576,2,0),"NO")</f>
        <v>NO</v>
      </c>
      <c r="AR947" s="909" t="str">
        <f>IFERROR(VLOOKUP(E947,'liquidaciones '!$B$2:$I$1048576,8,0),"")</f>
        <v/>
      </c>
      <c r="AS947" s="406"/>
      <c r="AT947" s="156" t="str">
        <f t="shared" ca="1" si="184"/>
        <v>SI</v>
      </c>
      <c r="AU947" s="1125" t="s">
        <v>6169</v>
      </c>
      <c r="AV947" s="1001"/>
      <c r="AW947" s="930" t="s">
        <v>560</v>
      </c>
      <c r="AX947" s="928"/>
      <c r="AY947" s="928"/>
    </row>
    <row r="948" spans="3:51" ht="122.4" x14ac:dyDescent="0.3">
      <c r="C948" s="837">
        <v>1123</v>
      </c>
      <c r="E948" s="120" t="s">
        <v>6202</v>
      </c>
      <c r="F948" s="414" t="s">
        <v>6203</v>
      </c>
      <c r="G948" s="863">
        <v>830099766</v>
      </c>
      <c r="H948" s="969" t="s">
        <v>6204</v>
      </c>
      <c r="I948" s="84">
        <v>71646350</v>
      </c>
      <c r="J948" s="843" t="s">
        <v>6205</v>
      </c>
      <c r="K948" s="269">
        <v>2020</v>
      </c>
      <c r="L948" s="519">
        <v>44028</v>
      </c>
      <c r="M948" s="844">
        <v>44053</v>
      </c>
      <c r="N948" s="844">
        <v>44386</v>
      </c>
      <c r="O948" s="1099" t="str">
        <f>IF(+Modificaciones!I948=0,"",VLOOKUP(E948,Modificaciones!$B$7:$I$2400,8,0))</f>
        <v/>
      </c>
      <c r="P948" s="115">
        <f>COUNTA(Modificaciones!J948,Modificaciones!L948,Modificaciones!N948,Modificaciones!P948)</f>
        <v>0</v>
      </c>
      <c r="Q948" s="116">
        <f>VLOOKUP(E948,Modificaciones!$B$7:$R$2300,17,0)</f>
        <v>0</v>
      </c>
      <c r="R948" s="117">
        <f>COUNTA(Modificaciones!T948,Modificaciones!V948,Modificaciones!X948,Modificaciones!Z948)</f>
        <v>0</v>
      </c>
      <c r="S948" s="118" t="str">
        <f>IF(Modificaciones!AA948=0,"",VLOOKUP(E948,Modificaciones!$B$7:$AA$2400,26,0))</f>
        <v/>
      </c>
      <c r="T948" s="119" t="str">
        <f>IF(Modificaciones!AB948=0,"",VLOOKUP(E948,Modificaciones!$B$7:$AB$2400,27,0))</f>
        <v/>
      </c>
      <c r="U948" s="1080" t="str">
        <f>+Modificaciones!AC948</f>
        <v/>
      </c>
      <c r="V948" s="825" t="str">
        <f>+Modificaciones!AK948</f>
        <v/>
      </c>
      <c r="W948" s="825">
        <f t="shared" si="179"/>
        <v>44386</v>
      </c>
      <c r="X948" s="59">
        <f t="shared" si="178"/>
        <v>71646350</v>
      </c>
      <c r="Y948" s="151">
        <f>VLOOKUP(E948,Modificaciones!$B$7:$BE$2300,56,0)</f>
        <v>0</v>
      </c>
      <c r="Z948" s="84">
        <f t="shared" si="175"/>
        <v>71646350</v>
      </c>
      <c r="AA948" s="1000" t="s">
        <v>6206</v>
      </c>
      <c r="AB948" s="823">
        <f t="shared" si="176"/>
        <v>0</v>
      </c>
      <c r="AC948" s="40">
        <f t="shared" ca="1" si="180"/>
        <v>0.52552552552552556</v>
      </c>
      <c r="AD948" s="41">
        <f t="shared" ca="1" si="181"/>
        <v>0.52552552552552556</v>
      </c>
      <c r="AE948" s="181">
        <f t="shared" ca="1" si="182"/>
        <v>158</v>
      </c>
      <c r="AF948" s="42" t="str">
        <f t="shared" si="177"/>
        <v>NO</v>
      </c>
      <c r="AG948" s="406" t="s">
        <v>6199</v>
      </c>
      <c r="AH948" s="841" t="s">
        <v>1256</v>
      </c>
      <c r="AI948" s="870" t="s">
        <v>6207</v>
      </c>
      <c r="AJ948" s="152" t="s">
        <v>1438</v>
      </c>
      <c r="AK948" s="255" t="s">
        <v>560</v>
      </c>
      <c r="AL948" s="838" t="s">
        <v>4852</v>
      </c>
      <c r="AM948" s="838" t="s">
        <v>5734</v>
      </c>
      <c r="AN948" s="161" t="str">
        <f t="shared" ca="1" si="183"/>
        <v>EN EJECUCIÓN</v>
      </c>
      <c r="AO948" s="414" t="s">
        <v>6208</v>
      </c>
      <c r="AP948" s="406" t="s">
        <v>390</v>
      </c>
      <c r="AQ948" s="819" t="str">
        <f>IFERROR(VLOOKUP(E948,'liquidaciones '!$B$2:$C$1048576,2,0),"NO")</f>
        <v>NO</v>
      </c>
      <c r="AR948" s="909" t="str">
        <f>IFERROR(VLOOKUP(E948,'liquidaciones '!$B$2:$I$1048576,8,0),"")</f>
        <v/>
      </c>
      <c r="AS948" s="406"/>
      <c r="AT948" s="156" t="str">
        <f t="shared" ca="1" si="184"/>
        <v>SI</v>
      </c>
      <c r="AU948" s="1023" t="s">
        <v>6169</v>
      </c>
      <c r="AV948" s="1001"/>
      <c r="AW948" s="930" t="s">
        <v>560</v>
      </c>
      <c r="AX948" s="928"/>
      <c r="AY948" s="928"/>
    </row>
    <row r="949" spans="3:51" ht="30.6" x14ac:dyDescent="0.3">
      <c r="C949" s="837">
        <v>1382</v>
      </c>
      <c r="E949" s="120" t="s">
        <v>6213</v>
      </c>
      <c r="F949" s="414" t="s">
        <v>6209</v>
      </c>
      <c r="G949" s="863">
        <v>79558153</v>
      </c>
      <c r="H949" s="969" t="s">
        <v>6214</v>
      </c>
      <c r="I949" s="84">
        <v>13170000</v>
      </c>
      <c r="J949" s="843" t="s">
        <v>6210</v>
      </c>
      <c r="K949" s="269">
        <v>2020</v>
      </c>
      <c r="L949" s="519">
        <v>44035</v>
      </c>
      <c r="M949" s="844">
        <v>44041</v>
      </c>
      <c r="N949" s="844">
        <v>44196</v>
      </c>
      <c r="O949" s="1099" t="str">
        <f>IF(+Modificaciones!I949=0,"",VLOOKUP(E949,Modificaciones!$B$7:$I$2400,8,0))</f>
        <v/>
      </c>
      <c r="P949" s="115">
        <f>COUNTA(Modificaciones!J949,Modificaciones!L949,Modificaciones!N949,Modificaciones!P949)</f>
        <v>0</v>
      </c>
      <c r="Q949" s="116">
        <f>VLOOKUP(E949,Modificaciones!$B$7:$R$2300,17,0)</f>
        <v>0</v>
      </c>
      <c r="R949" s="117">
        <f>COUNTA(Modificaciones!T949,Modificaciones!V949,Modificaciones!X949,Modificaciones!Z949)</f>
        <v>0</v>
      </c>
      <c r="S949" s="118" t="str">
        <f>IF(Modificaciones!AA949=0,"",VLOOKUP(E949,Modificaciones!$B$7:$AA$2400,26,0))</f>
        <v/>
      </c>
      <c r="T949" s="119" t="str">
        <f>IF(Modificaciones!AB949=0,"",VLOOKUP(E949,Modificaciones!$B$7:$AB$2400,27,0))</f>
        <v/>
      </c>
      <c r="U949" s="1080" t="str">
        <f>+Modificaciones!AC949</f>
        <v/>
      </c>
      <c r="V949" s="825" t="str">
        <f>+Modificaciones!AK949</f>
        <v/>
      </c>
      <c r="W949" s="825">
        <f t="shared" si="179"/>
        <v>44196</v>
      </c>
      <c r="X949" s="59">
        <f t="shared" si="178"/>
        <v>13170000</v>
      </c>
      <c r="Y949" s="151">
        <f>VLOOKUP(E949,Modificaciones!$B$7:$BE$2300,56,0)</f>
        <v>11121333</v>
      </c>
      <c r="Z949" s="84">
        <f t="shared" si="175"/>
        <v>2048667</v>
      </c>
      <c r="AA949" s="1000" t="s">
        <v>5324</v>
      </c>
      <c r="AB949" s="823">
        <f t="shared" si="176"/>
        <v>0.84444441913439638</v>
      </c>
      <c r="AC949" s="40">
        <f t="shared" ca="1" si="180"/>
        <v>1</v>
      </c>
      <c r="AD949" s="41">
        <f t="shared" ca="1" si="181"/>
        <v>0.15555558086560362</v>
      </c>
      <c r="AE949" s="181" t="str">
        <f t="shared" ca="1" si="182"/>
        <v/>
      </c>
      <c r="AF949" s="42" t="str">
        <f t="shared" si="177"/>
        <v>NO</v>
      </c>
      <c r="AG949" s="406" t="s">
        <v>5773</v>
      </c>
      <c r="AH949" s="841" t="s">
        <v>1255</v>
      </c>
      <c r="AI949" s="841" t="s">
        <v>6173</v>
      </c>
      <c r="AJ949" s="838"/>
      <c r="AK949" s="255" t="s">
        <v>560</v>
      </c>
      <c r="AL949" s="838"/>
      <c r="AM949" s="838" t="s">
        <v>6458</v>
      </c>
      <c r="AN949" s="161" t="str">
        <f t="shared" ca="1" si="183"/>
        <v>TERMINO</v>
      </c>
      <c r="AO949" s="284" t="s">
        <v>582</v>
      </c>
      <c r="AP949" s="406" t="s">
        <v>391</v>
      </c>
      <c r="AQ949" s="819" t="str">
        <f>IFERROR(VLOOKUP(E949,'liquidaciones '!$B$2:$C$1048576,2,0),"NO")</f>
        <v>NO</v>
      </c>
      <c r="AR949" s="909" t="str">
        <f>IFERROR(VLOOKUP(E949,'liquidaciones '!$B$2:$I$1048576,8,0),"")</f>
        <v/>
      </c>
      <c r="AS949" s="406"/>
      <c r="AT949" s="156" t="str">
        <f t="shared" ca="1" si="184"/>
        <v>SI</v>
      </c>
      <c r="AU949" s="1023" t="s">
        <v>4805</v>
      </c>
      <c r="AV949" s="1001"/>
      <c r="AW949" s="930" t="s">
        <v>6032</v>
      </c>
      <c r="AX949" s="928"/>
      <c r="AY949" s="928"/>
    </row>
    <row r="950" spans="3:51" ht="52.5" customHeight="1" x14ac:dyDescent="0.3">
      <c r="C950" s="837">
        <v>1377</v>
      </c>
      <c r="E950" s="120" t="s">
        <v>6215</v>
      </c>
      <c r="F950" s="414" t="s">
        <v>6211</v>
      </c>
      <c r="G950" s="863">
        <v>1130744119</v>
      </c>
      <c r="H950" s="969" t="s">
        <v>6216</v>
      </c>
      <c r="I950" s="84">
        <v>24872000</v>
      </c>
      <c r="J950" s="843" t="s">
        <v>6212</v>
      </c>
      <c r="K950" s="269">
        <v>2020</v>
      </c>
      <c r="L950" s="519">
        <v>44029</v>
      </c>
      <c r="M950" s="844">
        <v>44040</v>
      </c>
      <c r="N950" s="844">
        <v>44162</v>
      </c>
      <c r="O950" s="1099" t="str">
        <f>IF(+Modificaciones!I950=0,"",VLOOKUP(E950,Modificaciones!$B$7:$I$2400,8,0))</f>
        <v/>
      </c>
      <c r="P950" s="115">
        <f>COUNTA(Modificaciones!J950,Modificaciones!L950,Modificaciones!N950,Modificaciones!P950)</f>
        <v>1</v>
      </c>
      <c r="Q950" s="116">
        <f>VLOOKUP(E950,Modificaciones!$B$7:$R$2300,17,0)</f>
        <v>7047066</v>
      </c>
      <c r="R950" s="117">
        <f>COUNTA(Modificaciones!T950,Modificaciones!V950,Modificaciones!X950,Modificaciones!Z950)</f>
        <v>1</v>
      </c>
      <c r="S950" s="118" t="str">
        <f>IF(Modificaciones!AA950=0,"",VLOOKUP(E950,Modificaciones!$B$7:$AA$2400,26,0))</f>
        <v>1 mes y 4 días</v>
      </c>
      <c r="T950" s="119">
        <f>IF(Modificaciones!AB950=0,"",VLOOKUP(E950,Modificaciones!$B$7:$AB$2400,27,0))</f>
        <v>44196</v>
      </c>
      <c r="U950" s="1080" t="str">
        <f>+Modificaciones!AC950</f>
        <v/>
      </c>
      <c r="V950" s="825" t="str">
        <f>+Modificaciones!AK950</f>
        <v/>
      </c>
      <c r="W950" s="825">
        <f t="shared" si="179"/>
        <v>44196</v>
      </c>
      <c r="X950" s="59">
        <f t="shared" si="178"/>
        <v>31919066</v>
      </c>
      <c r="Y950" s="151">
        <f>VLOOKUP(E950,Modificaciones!$B$7:$BE$2300,56,0)</f>
        <v>31711800</v>
      </c>
      <c r="Z950" s="84">
        <f t="shared" si="175"/>
        <v>207266</v>
      </c>
      <c r="AA950" s="1000" t="s">
        <v>5324</v>
      </c>
      <c r="AB950" s="823">
        <f t="shared" si="176"/>
        <v>0.99350651425702741</v>
      </c>
      <c r="AC950" s="40">
        <f t="shared" ca="1" si="180"/>
        <v>1</v>
      </c>
      <c r="AD950" s="41">
        <f t="shared" ca="1" si="181"/>
        <v>6.4934857429725934E-3</v>
      </c>
      <c r="AE950" s="181" t="str">
        <f t="shared" ca="1" si="182"/>
        <v/>
      </c>
      <c r="AF950" s="42" t="str">
        <f t="shared" si="177"/>
        <v>NO</v>
      </c>
      <c r="AG950" s="406" t="s">
        <v>5773</v>
      </c>
      <c r="AH950" s="841" t="s">
        <v>1255</v>
      </c>
      <c r="AI950" s="841" t="s">
        <v>5779</v>
      </c>
      <c r="AJ950" s="838"/>
      <c r="AK950" s="255" t="s">
        <v>6181</v>
      </c>
      <c r="AL950" s="838"/>
      <c r="AM950" s="414" t="s">
        <v>5873</v>
      </c>
      <c r="AN950" s="161" t="str">
        <f t="shared" ca="1" si="183"/>
        <v>TERMINO</v>
      </c>
      <c r="AO950" s="284" t="s">
        <v>582</v>
      </c>
      <c r="AP950" s="406" t="s">
        <v>391</v>
      </c>
      <c r="AQ950" s="819" t="str">
        <f>IFERROR(VLOOKUP(E950,'liquidaciones '!$B$2:$C$1048576,2,0),"NO")</f>
        <v>NO</v>
      </c>
      <c r="AR950" s="909" t="str">
        <f>IFERROR(VLOOKUP(E950,'liquidaciones '!$B$2:$I$1048576,8,0),"")</f>
        <v/>
      </c>
      <c r="AS950" s="406"/>
      <c r="AT950" s="156" t="str">
        <f t="shared" ca="1" si="184"/>
        <v>SI</v>
      </c>
      <c r="AU950" s="1125" t="s">
        <v>4805</v>
      </c>
      <c r="AV950" s="1001"/>
      <c r="AW950" s="930" t="s">
        <v>6064</v>
      </c>
      <c r="AX950" s="930" t="s">
        <v>6478</v>
      </c>
      <c r="AY950" s="928"/>
    </row>
    <row r="951" spans="3:51" ht="20.399999999999999" x14ac:dyDescent="0.3">
      <c r="C951" s="837">
        <v>1218</v>
      </c>
      <c r="E951" s="120" t="s">
        <v>6217</v>
      </c>
      <c r="F951" s="414" t="s">
        <v>6218</v>
      </c>
      <c r="G951" s="863">
        <v>900062917</v>
      </c>
      <c r="H951" s="969" t="s">
        <v>3046</v>
      </c>
      <c r="I951" s="84">
        <v>80539473</v>
      </c>
      <c r="J951" s="843" t="s">
        <v>6219</v>
      </c>
      <c r="K951" s="269">
        <v>2020</v>
      </c>
      <c r="L951" s="519">
        <v>44035</v>
      </c>
      <c r="M951" s="844">
        <v>44040</v>
      </c>
      <c r="N951" s="844">
        <v>44254</v>
      </c>
      <c r="O951" s="1099" t="str">
        <f>IF(+Modificaciones!I951=0,"",VLOOKUP(E951,Modificaciones!$B$7:$I$2400,8,0))</f>
        <v/>
      </c>
      <c r="P951" s="115">
        <f>COUNTA(Modificaciones!J951,Modificaciones!L951,Modificaciones!N951,Modificaciones!P951)</f>
        <v>0</v>
      </c>
      <c r="Q951" s="116">
        <f>VLOOKUP(E951,Modificaciones!$B$7:$R$2300,17,0)</f>
        <v>0</v>
      </c>
      <c r="R951" s="117">
        <f>COUNTA(Modificaciones!T951,Modificaciones!V951,Modificaciones!X951,Modificaciones!Z951)</f>
        <v>0</v>
      </c>
      <c r="S951" s="118" t="str">
        <f>IF(Modificaciones!AA951=0,"",VLOOKUP(E951,Modificaciones!$B$7:$AA$2400,26,0))</f>
        <v/>
      </c>
      <c r="T951" s="119" t="str">
        <f>IF(Modificaciones!AB951=0,"",VLOOKUP(E951,Modificaciones!$B$7:$AB$2400,27,0))</f>
        <v/>
      </c>
      <c r="U951" s="1080" t="str">
        <f>+Modificaciones!AC951</f>
        <v/>
      </c>
      <c r="V951" s="825" t="str">
        <f>+Modificaciones!AK951</f>
        <v/>
      </c>
      <c r="W951" s="825">
        <f t="shared" si="179"/>
        <v>44254</v>
      </c>
      <c r="X951" s="59">
        <f t="shared" si="178"/>
        <v>80539473</v>
      </c>
      <c r="Y951" s="151">
        <f>VLOOKUP(E951,Modificaciones!$B$7:$BE$2300,56,0)</f>
        <v>0</v>
      </c>
      <c r="Z951" s="84">
        <f t="shared" si="175"/>
        <v>80539473</v>
      </c>
      <c r="AA951" s="1000" t="s">
        <v>2837</v>
      </c>
      <c r="AB951" s="823">
        <f t="shared" si="176"/>
        <v>0</v>
      </c>
      <c r="AC951" s="40">
        <f t="shared" ca="1" si="180"/>
        <v>0.87850467289719625</v>
      </c>
      <c r="AD951" s="41">
        <f t="shared" ca="1" si="181"/>
        <v>0.87850467289719625</v>
      </c>
      <c r="AE951" s="181">
        <f t="shared" ca="1" si="182"/>
        <v>26</v>
      </c>
      <c r="AF951" s="42" t="str">
        <f t="shared" si="177"/>
        <v>NO</v>
      </c>
      <c r="AG951" s="1125" t="s">
        <v>6220</v>
      </c>
      <c r="AH951" s="841" t="s">
        <v>1255</v>
      </c>
      <c r="AI951" s="841" t="s">
        <v>1136</v>
      </c>
      <c r="AJ951" s="838"/>
      <c r="AK951" s="255" t="s">
        <v>560</v>
      </c>
      <c r="AL951" s="838"/>
      <c r="AM951" s="414" t="s">
        <v>6068</v>
      </c>
      <c r="AN951" s="161" t="str">
        <f t="shared" ca="1" si="183"/>
        <v>EN EJECUCIÓN</v>
      </c>
      <c r="AO951" s="284" t="s">
        <v>582</v>
      </c>
      <c r="AP951" s="406" t="s">
        <v>390</v>
      </c>
      <c r="AQ951" s="819" t="str">
        <f>IFERROR(VLOOKUP(E951,'liquidaciones '!$B$2:$C$1048576,2,0),"NO")</f>
        <v>NO</v>
      </c>
      <c r="AR951" s="909" t="str">
        <f>IFERROR(VLOOKUP(E951,'liquidaciones '!$B$2:$I$1048576,8,0),"")</f>
        <v/>
      </c>
      <c r="AS951" s="406"/>
      <c r="AT951" s="156" t="str">
        <f t="shared" ca="1" si="184"/>
        <v>SI</v>
      </c>
      <c r="AU951" s="1023" t="s">
        <v>5047</v>
      </c>
      <c r="AV951" s="1001"/>
      <c r="AW951" s="930" t="s">
        <v>6064</v>
      </c>
      <c r="AX951" s="930" t="s">
        <v>6576</v>
      </c>
      <c r="AY951" s="928"/>
    </row>
    <row r="952" spans="3:51" ht="56.25" customHeight="1" x14ac:dyDescent="0.3">
      <c r="C952" s="837">
        <v>1063</v>
      </c>
      <c r="E952" s="120" t="s">
        <v>6232</v>
      </c>
      <c r="F952" s="414" t="s">
        <v>6233</v>
      </c>
      <c r="G952" s="863">
        <v>830005800</v>
      </c>
      <c r="H952" s="969" t="s">
        <v>6234</v>
      </c>
      <c r="I952" s="84">
        <v>5430621</v>
      </c>
      <c r="J952" s="843" t="s">
        <v>6237</v>
      </c>
      <c r="K952" s="269">
        <v>2020</v>
      </c>
      <c r="L952" s="519">
        <v>44039</v>
      </c>
      <c r="M952" s="844">
        <v>44085</v>
      </c>
      <c r="N952" s="844">
        <v>44357</v>
      </c>
      <c r="O952" s="1099" t="str">
        <f>IF(+Modificaciones!I952=0,"",VLOOKUP(E952,Modificaciones!$B$7:$I$2400,8,0))</f>
        <v/>
      </c>
      <c r="P952" s="115">
        <f>COUNTA(Modificaciones!J952,Modificaciones!L952,Modificaciones!N952,Modificaciones!P952)</f>
        <v>0</v>
      </c>
      <c r="Q952" s="116">
        <f>VLOOKUP(E952,Modificaciones!$B$7:$R$2300,17,0)</f>
        <v>0</v>
      </c>
      <c r="R952" s="117">
        <f>COUNTA(Modificaciones!T952,Modificaciones!V952,Modificaciones!X952,Modificaciones!Z952)</f>
        <v>0</v>
      </c>
      <c r="S952" s="118" t="str">
        <f>IF(Modificaciones!AA952=0,"",VLOOKUP(E952,Modificaciones!$B$7:$AA$2400,26,0))</f>
        <v/>
      </c>
      <c r="T952" s="119" t="str">
        <f>IF(Modificaciones!AB952=0,"",VLOOKUP(E952,Modificaciones!$B$7:$AB$2400,27,0))</f>
        <v/>
      </c>
      <c r="U952" s="1080" t="str">
        <f>+Modificaciones!AC952</f>
        <v/>
      </c>
      <c r="V952" s="825" t="str">
        <f>+Modificaciones!AK952</f>
        <v/>
      </c>
      <c r="W952" s="825">
        <f t="shared" si="179"/>
        <v>44357</v>
      </c>
      <c r="X952" s="59">
        <f t="shared" si="178"/>
        <v>5430621</v>
      </c>
      <c r="Y952" s="151">
        <f>VLOOKUP(E952,Modificaciones!$B$7:$BE$2300,56,0)</f>
        <v>0</v>
      </c>
      <c r="Z952" s="84">
        <f t="shared" si="175"/>
        <v>5430621</v>
      </c>
      <c r="AA952" s="1000" t="s">
        <v>6235</v>
      </c>
      <c r="AB952" s="823">
        <f t="shared" si="176"/>
        <v>0</v>
      </c>
      <c r="AC952" s="40">
        <f t="shared" ca="1" si="180"/>
        <v>0.52573529411764708</v>
      </c>
      <c r="AD952" s="41">
        <f t="shared" ca="1" si="181"/>
        <v>0.52573529411764708</v>
      </c>
      <c r="AE952" s="181">
        <f t="shared" ca="1" si="182"/>
        <v>129</v>
      </c>
      <c r="AF952" s="42" t="str">
        <f t="shared" si="177"/>
        <v>NO</v>
      </c>
      <c r="AG952" s="406" t="s">
        <v>4920</v>
      </c>
      <c r="AH952" s="841" t="s">
        <v>1255</v>
      </c>
      <c r="AI952" s="870" t="s">
        <v>6236</v>
      </c>
      <c r="AJ952" s="838"/>
      <c r="AK952" s="255" t="s">
        <v>560</v>
      </c>
      <c r="AL952" s="414"/>
      <c r="AM952" s="838" t="s">
        <v>6068</v>
      </c>
      <c r="AN952" s="161" t="str">
        <f t="shared" ca="1" si="183"/>
        <v>EN EJECUCIÓN</v>
      </c>
      <c r="AO952" s="414" t="s">
        <v>5452</v>
      </c>
      <c r="AP952" s="406" t="s">
        <v>390</v>
      </c>
      <c r="AQ952" s="819" t="str">
        <f>IFERROR(VLOOKUP(E952,'liquidaciones '!$B$2:$C$1048576,2,0),"NO")</f>
        <v>NO</v>
      </c>
      <c r="AR952" s="909" t="str">
        <f>IFERROR(VLOOKUP(E952,'liquidaciones '!$B$2:$I$1048576,8,0),"")</f>
        <v/>
      </c>
      <c r="AS952" s="406"/>
      <c r="AT952" s="156" t="str">
        <f t="shared" ca="1" si="184"/>
        <v>SI</v>
      </c>
      <c r="AU952" s="1127" t="s">
        <v>6169</v>
      </c>
      <c r="AV952" s="1001"/>
      <c r="AW952" s="930" t="s">
        <v>6064</v>
      </c>
      <c r="AX952" s="928"/>
      <c r="AY952" s="928"/>
    </row>
    <row r="953" spans="3:51" ht="30.6" x14ac:dyDescent="0.3">
      <c r="C953" s="837">
        <v>1351</v>
      </c>
      <c r="E953" s="120" t="s">
        <v>6239</v>
      </c>
      <c r="F953" s="414" t="s">
        <v>6238</v>
      </c>
      <c r="G953" s="863">
        <v>80094006</v>
      </c>
      <c r="H953" s="969" t="s">
        <v>6240</v>
      </c>
      <c r="I953" s="84">
        <v>36640000</v>
      </c>
      <c r="J953" s="843" t="s">
        <v>6241</v>
      </c>
      <c r="K953" s="269">
        <v>2020</v>
      </c>
      <c r="L953" s="519">
        <v>44042</v>
      </c>
      <c r="M953" s="844">
        <v>44048</v>
      </c>
      <c r="N953" s="844">
        <v>44196</v>
      </c>
      <c r="O953" s="1099" t="str">
        <f>IF(+Modificaciones!I953=0,"",VLOOKUP(E953,Modificaciones!$B$7:$I$2400,8,0))</f>
        <v/>
      </c>
      <c r="P953" s="115">
        <f>COUNTA(Modificaciones!J953,Modificaciones!L953,Modificaciones!N953,Modificaciones!P953)</f>
        <v>0</v>
      </c>
      <c r="Q953" s="116">
        <f>VLOOKUP(E953,Modificaciones!$B$7:$R$2300,17,0)</f>
        <v>0</v>
      </c>
      <c r="R953" s="117">
        <f>COUNTA(Modificaciones!T953,Modificaciones!V953,Modificaciones!X953,Modificaciones!Z953)</f>
        <v>0</v>
      </c>
      <c r="S953" s="118" t="str">
        <f>IF(Modificaciones!AA953=0,"",VLOOKUP(E953,Modificaciones!$B$7:$AA$2400,26,0))</f>
        <v/>
      </c>
      <c r="T953" s="119" t="str">
        <f>IF(Modificaciones!AB953=0,"",VLOOKUP(E953,Modificaciones!$B$7:$AB$2400,27,0))</f>
        <v/>
      </c>
      <c r="U953" s="1080" t="str">
        <f>+Modificaciones!AC953</f>
        <v/>
      </c>
      <c r="V953" s="825" t="str">
        <f>+Modificaciones!AK953</f>
        <v/>
      </c>
      <c r="W953" s="825">
        <f t="shared" si="179"/>
        <v>44196</v>
      </c>
      <c r="X953" s="59">
        <f t="shared" si="178"/>
        <v>36640000</v>
      </c>
      <c r="Y953" s="151">
        <f>VLOOKUP(E953,Modificaciones!$B$7:$BE$2300,56,0)</f>
        <v>22289333</v>
      </c>
      <c r="Z953" s="84">
        <f t="shared" si="175"/>
        <v>14350667</v>
      </c>
      <c r="AA953" s="1000" t="s">
        <v>5324</v>
      </c>
      <c r="AB953" s="823">
        <f t="shared" si="176"/>
        <v>0.60833332423580788</v>
      </c>
      <c r="AC953" s="40">
        <f t="shared" ca="1" si="180"/>
        <v>1</v>
      </c>
      <c r="AD953" s="41">
        <f t="shared" ca="1" si="181"/>
        <v>0.39166667576419212</v>
      </c>
      <c r="AE953" s="181" t="str">
        <f t="shared" ca="1" si="182"/>
        <v/>
      </c>
      <c r="AF953" s="42" t="str">
        <f t="shared" si="177"/>
        <v>NO</v>
      </c>
      <c r="AG953" s="406" t="s">
        <v>5773</v>
      </c>
      <c r="AH953" s="841" t="s">
        <v>1255</v>
      </c>
      <c r="AI953" s="841" t="s">
        <v>5779</v>
      </c>
      <c r="AJ953" s="838"/>
      <c r="AK953" s="255" t="s">
        <v>564</v>
      </c>
      <c r="AL953" s="838"/>
      <c r="AM953" s="414" t="s">
        <v>5902</v>
      </c>
      <c r="AN953" s="161" t="str">
        <f t="shared" ca="1" si="183"/>
        <v>TERMINO</v>
      </c>
      <c r="AO953" s="284" t="s">
        <v>582</v>
      </c>
      <c r="AP953" s="406" t="s">
        <v>391</v>
      </c>
      <c r="AQ953" s="819" t="str">
        <f>IFERROR(VLOOKUP(E953,'liquidaciones '!$B$2:$C$1048576,2,0),"NO")</f>
        <v>NO</v>
      </c>
      <c r="AR953" s="909" t="str">
        <f>IFERROR(VLOOKUP(E953,'liquidaciones '!$B$2:$I$1048576,8,0),"")</f>
        <v/>
      </c>
      <c r="AS953" s="406"/>
      <c r="AT953" s="156" t="str">
        <f t="shared" ca="1" si="184"/>
        <v>SI</v>
      </c>
      <c r="AU953" s="1023" t="s">
        <v>6246</v>
      </c>
      <c r="AV953" s="1001"/>
      <c r="AW953" s="930" t="s">
        <v>564</v>
      </c>
      <c r="AX953" s="928"/>
      <c r="AY953" s="928"/>
    </row>
    <row r="954" spans="3:51" ht="40.799999999999997" x14ac:dyDescent="0.3">
      <c r="C954" s="837">
        <v>1149</v>
      </c>
      <c r="E954" s="120" t="s">
        <v>6242</v>
      </c>
      <c r="F954" s="414" t="s">
        <v>6243</v>
      </c>
      <c r="G954" s="863">
        <v>88230935</v>
      </c>
      <c r="H954" s="969" t="s">
        <v>6244</v>
      </c>
      <c r="I954" s="84">
        <v>35728000</v>
      </c>
      <c r="J954" s="843" t="s">
        <v>6245</v>
      </c>
      <c r="K954" s="269">
        <v>2020</v>
      </c>
      <c r="L954" s="519">
        <v>44036</v>
      </c>
      <c r="M954" s="844">
        <v>44055</v>
      </c>
      <c r="N954" s="844">
        <v>44196</v>
      </c>
      <c r="O954" s="1099" t="str">
        <f>IF(+Modificaciones!I954=0,"",VLOOKUP(E954,Modificaciones!$B$7:$I$2400,8,0))</f>
        <v/>
      </c>
      <c r="P954" s="115">
        <f>COUNTA(Modificaciones!J954,Modificaciones!L954,Modificaciones!N954,Modificaciones!P954)</f>
        <v>0</v>
      </c>
      <c r="Q954" s="116">
        <f>VLOOKUP(E954,Modificaciones!$B$7:$R$2300,17,0)</f>
        <v>0</v>
      </c>
      <c r="R954" s="117">
        <f>COUNTA(Modificaciones!T954,Modificaciones!V954,Modificaciones!X954,Modificaciones!Z954)</f>
        <v>0</v>
      </c>
      <c r="S954" s="118" t="str">
        <f>IF(Modificaciones!AA954=0,"",VLOOKUP(E954,Modificaciones!$B$7:$AA$2400,26,0))</f>
        <v/>
      </c>
      <c r="T954" s="119" t="str">
        <f>IF(Modificaciones!AB954=0,"",VLOOKUP(E954,Modificaciones!$B$7:$AB$2400,27,0))</f>
        <v/>
      </c>
      <c r="U954" s="1080" t="str">
        <f>+Modificaciones!AC954</f>
        <v/>
      </c>
      <c r="V954" s="825" t="str">
        <f>+Modificaciones!AK954</f>
        <v/>
      </c>
      <c r="W954" s="825">
        <f t="shared" si="179"/>
        <v>44196</v>
      </c>
      <c r="X954" s="59">
        <f t="shared" si="178"/>
        <v>35728000</v>
      </c>
      <c r="Y954" s="151">
        <f>VLOOKUP(E954,Modificaciones!$B$7:$BE$2300,56,0)</f>
        <v>20692467</v>
      </c>
      <c r="Z954" s="84">
        <f t="shared" si="175"/>
        <v>15035533</v>
      </c>
      <c r="AA954" s="1000" t="s">
        <v>5324</v>
      </c>
      <c r="AB954" s="823">
        <f t="shared" si="176"/>
        <v>0.57916667599641736</v>
      </c>
      <c r="AC954" s="40">
        <f t="shared" ca="1" si="180"/>
        <v>1</v>
      </c>
      <c r="AD954" s="41">
        <f t="shared" ca="1" si="181"/>
        <v>0.42083332400358264</v>
      </c>
      <c r="AE954" s="181" t="str">
        <f t="shared" ca="1" si="182"/>
        <v/>
      </c>
      <c r="AF954" s="42" t="str">
        <f t="shared" si="177"/>
        <v>NO</v>
      </c>
      <c r="AG954" s="406" t="s">
        <v>5773</v>
      </c>
      <c r="AH954" s="841" t="s">
        <v>1256</v>
      </c>
      <c r="AI954" s="841" t="s">
        <v>5779</v>
      </c>
      <c r="AJ954" s="838"/>
      <c r="AK954" s="255" t="s">
        <v>560</v>
      </c>
      <c r="AL954" s="838"/>
      <c r="AM954" s="838" t="s">
        <v>6122</v>
      </c>
      <c r="AN954" s="161" t="str">
        <f t="shared" ca="1" si="183"/>
        <v>TERMINO</v>
      </c>
      <c r="AO954" s="284" t="s">
        <v>582</v>
      </c>
      <c r="AP954" s="406" t="s">
        <v>391</v>
      </c>
      <c r="AQ954" s="819" t="str">
        <f>IFERROR(VLOOKUP(E954,'liquidaciones '!$B$2:$C$1048576,2,0),"NO")</f>
        <v>NO</v>
      </c>
      <c r="AR954" s="909" t="str">
        <f>IFERROR(VLOOKUP(E954,'liquidaciones '!$B$2:$I$1048576,8,0),"")</f>
        <v/>
      </c>
      <c r="AS954" s="406"/>
      <c r="AT954" s="156" t="str">
        <f t="shared" ca="1" si="184"/>
        <v>SI</v>
      </c>
      <c r="AU954" s="1023" t="s">
        <v>4805</v>
      </c>
      <c r="AV954" s="1001"/>
      <c r="AW954" s="930" t="s">
        <v>6032</v>
      </c>
      <c r="AX954" s="928"/>
      <c r="AY954" s="928"/>
    </row>
    <row r="955" spans="3:51" ht="97.5" customHeight="1" x14ac:dyDescent="0.3">
      <c r="C955" s="837">
        <v>1120</v>
      </c>
      <c r="E955" s="120" t="s">
        <v>6249</v>
      </c>
      <c r="F955" s="414" t="s">
        <v>6250</v>
      </c>
      <c r="G955" s="863">
        <v>900891247</v>
      </c>
      <c r="H955" s="969" t="s">
        <v>6251</v>
      </c>
      <c r="I955" s="84">
        <v>73151134</v>
      </c>
      <c r="J955" s="843" t="s">
        <v>6254</v>
      </c>
      <c r="K955" s="269">
        <v>2020</v>
      </c>
      <c r="L955" s="519">
        <v>44043</v>
      </c>
      <c r="M955" s="844">
        <v>44056</v>
      </c>
      <c r="N955" s="844">
        <v>44420</v>
      </c>
      <c r="O955" s="1099" t="str">
        <f>IF(+Modificaciones!I955=0,"",VLOOKUP(E955,Modificaciones!$B$7:$I$2400,8,0))</f>
        <v/>
      </c>
      <c r="P955" s="115">
        <f>COUNTA(Modificaciones!J955,Modificaciones!L955,Modificaciones!N955,Modificaciones!P955)</f>
        <v>0</v>
      </c>
      <c r="Q955" s="116">
        <f>VLOOKUP(E955,Modificaciones!$B$7:$R$2300,17,0)</f>
        <v>0</v>
      </c>
      <c r="R955" s="117">
        <f>COUNTA(Modificaciones!T955,Modificaciones!V955,Modificaciones!X955,Modificaciones!Z955)</f>
        <v>0</v>
      </c>
      <c r="S955" s="118" t="str">
        <f>IF(Modificaciones!AA955=0,"",VLOOKUP(E955,Modificaciones!$B$7:$AA$2400,26,0))</f>
        <v/>
      </c>
      <c r="T955" s="119" t="str">
        <f>IF(Modificaciones!AB955=0,"",VLOOKUP(E955,Modificaciones!$B$7:$AB$2400,27,0))</f>
        <v/>
      </c>
      <c r="U955" s="1080" t="str">
        <f>+Modificaciones!AC955</f>
        <v/>
      </c>
      <c r="V955" s="825" t="str">
        <f>+Modificaciones!AK955</f>
        <v/>
      </c>
      <c r="W955" s="825">
        <f t="shared" si="179"/>
        <v>44420</v>
      </c>
      <c r="X955" s="59">
        <f t="shared" si="178"/>
        <v>73151134</v>
      </c>
      <c r="Y955" s="151">
        <f>VLOOKUP(E955,Modificaciones!$B$7:$BE$2300,56,0)</f>
        <v>0</v>
      </c>
      <c r="Z955" s="84">
        <f t="shared" si="175"/>
        <v>73151134</v>
      </c>
      <c r="AA955" s="1000" t="s">
        <v>6252</v>
      </c>
      <c r="AB955" s="823">
        <f t="shared" si="176"/>
        <v>0</v>
      </c>
      <c r="AC955" s="40">
        <f t="shared" ca="1" si="180"/>
        <v>0.47252747252747251</v>
      </c>
      <c r="AD955" s="41">
        <f t="shared" ca="1" si="181"/>
        <v>0.47252747252747251</v>
      </c>
      <c r="AE955" s="181">
        <f t="shared" ca="1" si="182"/>
        <v>192</v>
      </c>
      <c r="AF955" s="42" t="str">
        <f t="shared" si="177"/>
        <v>NO</v>
      </c>
      <c r="AG955" s="406" t="s">
        <v>6199</v>
      </c>
      <c r="AH955" s="841" t="s">
        <v>1256</v>
      </c>
      <c r="AI955" s="841" t="s">
        <v>6253</v>
      </c>
      <c r="AJ955" s="152" t="s">
        <v>1438</v>
      </c>
      <c r="AK955" s="255" t="s">
        <v>560</v>
      </c>
      <c r="AL955" s="838" t="s">
        <v>4852</v>
      </c>
      <c r="AM955" s="838" t="s">
        <v>5734</v>
      </c>
      <c r="AN955" s="161" t="str">
        <f t="shared" ca="1" si="183"/>
        <v>EN EJECUCIÓN</v>
      </c>
      <c r="AO955" s="414" t="s">
        <v>5654</v>
      </c>
      <c r="AP955" s="406" t="s">
        <v>390</v>
      </c>
      <c r="AQ955" s="819" t="str">
        <f>IFERROR(VLOOKUP(E955,'liquidaciones '!$B$2:$C$1048576,2,0),"NO")</f>
        <v>NO</v>
      </c>
      <c r="AR955" s="909" t="str">
        <f>IFERROR(VLOOKUP(E955,'liquidaciones '!$B$2:$I$1048576,8,0),"")</f>
        <v/>
      </c>
      <c r="AS955" s="406"/>
      <c r="AT955" s="156" t="str">
        <f t="shared" ca="1" si="184"/>
        <v>SI</v>
      </c>
      <c r="AU955" s="1023" t="s">
        <v>5919</v>
      </c>
      <c r="AV955" s="1001"/>
      <c r="AW955" s="930" t="s">
        <v>560</v>
      </c>
      <c r="AX955" s="928"/>
      <c r="AY955" s="928"/>
    </row>
    <row r="956" spans="3:51" ht="51.75" customHeight="1" x14ac:dyDescent="0.3">
      <c r="C956" s="837">
        <v>1429</v>
      </c>
      <c r="E956" s="120" t="s">
        <v>6255</v>
      </c>
      <c r="F956" s="414" t="s">
        <v>6256</v>
      </c>
      <c r="G956" s="863">
        <v>79887061</v>
      </c>
      <c r="H956" s="969" t="s">
        <v>6257</v>
      </c>
      <c r="I956" s="84">
        <v>32920000</v>
      </c>
      <c r="J956" s="843" t="s">
        <v>6258</v>
      </c>
      <c r="K956" s="269">
        <v>2020</v>
      </c>
      <c r="L956" s="519">
        <v>44043</v>
      </c>
      <c r="M956" s="844">
        <v>44055</v>
      </c>
      <c r="N956" s="844">
        <v>44196</v>
      </c>
      <c r="O956" s="1099" t="str">
        <f>IF(+Modificaciones!I956=0,"",VLOOKUP(E956,Modificaciones!$B$7:$I$2400,8,0))</f>
        <v/>
      </c>
      <c r="P956" s="115">
        <f>COUNTA(Modificaciones!J956,Modificaciones!L956,Modificaciones!N956,Modificaciones!P956)</f>
        <v>0</v>
      </c>
      <c r="Q956" s="116">
        <f>VLOOKUP(E956,Modificaciones!$B$7:$R$2300,17,0)</f>
        <v>0</v>
      </c>
      <c r="R956" s="117">
        <f>COUNTA(Modificaciones!T956,Modificaciones!V956,Modificaciones!X956,Modificaciones!Z956)</f>
        <v>0</v>
      </c>
      <c r="S956" s="118" t="str">
        <f>IF(Modificaciones!AA956=0,"",VLOOKUP(E956,Modificaciones!$B$7:$AA$2400,26,0))</f>
        <v/>
      </c>
      <c r="T956" s="119" t="str">
        <f>IF(Modificaciones!AB956=0,"",VLOOKUP(E956,Modificaciones!$B$7:$AB$2400,27,0))</f>
        <v/>
      </c>
      <c r="U956" s="1080" t="str">
        <f>+Modificaciones!AC956</f>
        <v/>
      </c>
      <c r="V956" s="825" t="str">
        <f>+Modificaciones!AK956</f>
        <v/>
      </c>
      <c r="W956" s="825">
        <f t="shared" si="179"/>
        <v>44196</v>
      </c>
      <c r="X956" s="59">
        <f t="shared" si="178"/>
        <v>32920000</v>
      </c>
      <c r="Y956" s="151">
        <f>VLOOKUP(E956,Modificaciones!$B$7:$BE$2300,56,0)</f>
        <v>30505867</v>
      </c>
      <c r="Z956" s="84">
        <f t="shared" si="175"/>
        <v>2414133</v>
      </c>
      <c r="AA956" s="1000" t="s">
        <v>5324</v>
      </c>
      <c r="AB956" s="823">
        <f t="shared" si="176"/>
        <v>0.92666667679222359</v>
      </c>
      <c r="AC956" s="40">
        <f t="shared" ca="1" si="180"/>
        <v>1</v>
      </c>
      <c r="AD956" s="41">
        <f t="shared" ca="1" si="181"/>
        <v>7.3333323207776413E-2</v>
      </c>
      <c r="AE956" s="181" t="str">
        <f t="shared" ca="1" si="182"/>
        <v/>
      </c>
      <c r="AF956" s="42" t="str">
        <f t="shared" si="177"/>
        <v>NO</v>
      </c>
      <c r="AG956" s="406" t="s">
        <v>5773</v>
      </c>
      <c r="AH956" s="841" t="s">
        <v>1256</v>
      </c>
      <c r="AI956" s="841" t="s">
        <v>5779</v>
      </c>
      <c r="AJ956" s="152" t="s">
        <v>1438</v>
      </c>
      <c r="AK956" s="255" t="s">
        <v>560</v>
      </c>
      <c r="AL956" s="838" t="s">
        <v>4852</v>
      </c>
      <c r="AM956" s="838" t="s">
        <v>6122</v>
      </c>
      <c r="AN956" s="161" t="str">
        <f t="shared" ca="1" si="183"/>
        <v>TERMINO</v>
      </c>
      <c r="AO956" s="284" t="s">
        <v>582</v>
      </c>
      <c r="AP956" s="406" t="s">
        <v>391</v>
      </c>
      <c r="AQ956" s="819" t="str">
        <f>IFERROR(VLOOKUP(E956,'liquidaciones '!$B$2:$C$1048576,2,0),"NO")</f>
        <v>NO</v>
      </c>
      <c r="AR956" s="909" t="str">
        <f>IFERROR(VLOOKUP(E956,'liquidaciones '!$B$2:$I$1048576,8,0),"")</f>
        <v/>
      </c>
      <c r="AS956" s="406"/>
      <c r="AT956" s="156" t="str">
        <f t="shared" ca="1" si="184"/>
        <v>SI</v>
      </c>
      <c r="AU956" s="1023" t="s">
        <v>4805</v>
      </c>
      <c r="AV956" s="1001"/>
      <c r="AW956" s="930" t="s">
        <v>6032</v>
      </c>
      <c r="AX956" s="928"/>
      <c r="AY956" s="928"/>
    </row>
    <row r="957" spans="3:51" ht="30.6" x14ac:dyDescent="0.3">
      <c r="C957" s="837">
        <v>1380</v>
      </c>
      <c r="E957" s="120" t="s">
        <v>6260</v>
      </c>
      <c r="F957" s="414" t="s">
        <v>6261</v>
      </c>
      <c r="G957" s="863">
        <v>52093179</v>
      </c>
      <c r="H957" s="969" t="s">
        <v>6262</v>
      </c>
      <c r="I957" s="84">
        <v>18438000</v>
      </c>
      <c r="J957" s="843" t="s">
        <v>6263</v>
      </c>
      <c r="K957" s="269">
        <v>2020</v>
      </c>
      <c r="L957" s="519">
        <v>44046</v>
      </c>
      <c r="M957" s="844">
        <v>44064</v>
      </c>
      <c r="N957" s="844">
        <v>44196</v>
      </c>
      <c r="O957" s="1099" t="str">
        <f>IF(+Modificaciones!I957=0,"",VLOOKUP(E957,Modificaciones!$B$7:$I$2400,8,0))</f>
        <v/>
      </c>
      <c r="P957" s="115">
        <f>COUNTA(Modificaciones!J957,Modificaciones!L957,Modificaciones!N957,Modificaciones!P957)</f>
        <v>0</v>
      </c>
      <c r="Q957" s="116">
        <f>VLOOKUP(E957,Modificaciones!$B$7:$R$2300,17,0)</f>
        <v>0</v>
      </c>
      <c r="R957" s="117">
        <f>COUNTA(Modificaciones!T957,Modificaciones!V957,Modificaciones!X957,Modificaciones!Z957)</f>
        <v>0</v>
      </c>
      <c r="S957" s="118" t="str">
        <f>IF(Modificaciones!AA957=0,"",VLOOKUP(E957,Modificaciones!$B$7:$AA$2400,26,0))</f>
        <v/>
      </c>
      <c r="T957" s="119" t="str">
        <f>IF(Modificaciones!AB957=0,"",VLOOKUP(E957,Modificaciones!$B$7:$AB$2400,27,0))</f>
        <v/>
      </c>
      <c r="U957" s="1080" t="str">
        <f>+Modificaciones!AC957</f>
        <v/>
      </c>
      <c r="V957" s="825" t="str">
        <f>+Modificaciones!AK957</f>
        <v/>
      </c>
      <c r="W957" s="825">
        <f t="shared" si="179"/>
        <v>44196</v>
      </c>
      <c r="X957" s="59">
        <f t="shared" si="178"/>
        <v>18438000</v>
      </c>
      <c r="Y957" s="151">
        <f>VLOOKUP(E957,Modificaciones!$B$7:$BE$2300,56,0)</f>
        <v>10243333</v>
      </c>
      <c r="Z957" s="84">
        <f t="shared" si="175"/>
        <v>8194667</v>
      </c>
      <c r="AA957" s="1000" t="s">
        <v>5324</v>
      </c>
      <c r="AB957" s="823">
        <f t="shared" si="176"/>
        <v>0.55555553747694975</v>
      </c>
      <c r="AC957" s="40">
        <f t="shared" ca="1" si="180"/>
        <v>1</v>
      </c>
      <c r="AD957" s="41">
        <f t="shared" ca="1" si="181"/>
        <v>0.44444446252305025</v>
      </c>
      <c r="AE957" s="181" t="str">
        <f t="shared" ca="1" si="182"/>
        <v/>
      </c>
      <c r="AF957" s="42" t="str">
        <f t="shared" si="177"/>
        <v>NO</v>
      </c>
      <c r="AG957" s="406" t="s">
        <v>5773</v>
      </c>
      <c r="AH957" s="841" t="s">
        <v>1255</v>
      </c>
      <c r="AI957" s="841" t="s">
        <v>5779</v>
      </c>
      <c r="AJ957" s="838"/>
      <c r="AK957" s="255" t="s">
        <v>559</v>
      </c>
      <c r="AL957" s="838"/>
      <c r="AM957" s="838" t="s">
        <v>5774</v>
      </c>
      <c r="AN957" s="161" t="str">
        <f t="shared" ca="1" si="183"/>
        <v>TERMINO</v>
      </c>
      <c r="AO957" s="284" t="s">
        <v>582</v>
      </c>
      <c r="AP957" s="406" t="s">
        <v>391</v>
      </c>
      <c r="AQ957" s="819" t="str">
        <f>IFERROR(VLOOKUP(E957,'liquidaciones '!$B$2:$C$1048576,2,0),"NO")</f>
        <v>NO</v>
      </c>
      <c r="AR957" s="909" t="str">
        <f>IFERROR(VLOOKUP(E957,'liquidaciones '!$B$2:$I$1048576,8,0),"")</f>
        <v/>
      </c>
      <c r="AS957" s="406"/>
      <c r="AT957" s="156" t="str">
        <f t="shared" ca="1" si="184"/>
        <v>SI</v>
      </c>
      <c r="AU957" s="1128" t="s">
        <v>4805</v>
      </c>
      <c r="AV957" s="1001"/>
      <c r="AW957" s="930" t="s">
        <v>559</v>
      </c>
      <c r="AX957" s="928"/>
      <c r="AY957" s="928"/>
    </row>
    <row r="958" spans="3:51" ht="30.6" x14ac:dyDescent="0.3">
      <c r="C958" s="837">
        <v>1125</v>
      </c>
      <c r="E958" s="120" t="s">
        <v>6264</v>
      </c>
      <c r="F958" s="414" t="s">
        <v>22</v>
      </c>
      <c r="G958" s="863">
        <v>830112518</v>
      </c>
      <c r="H958" s="969" t="s">
        <v>6265</v>
      </c>
      <c r="I958" s="84">
        <v>75855000</v>
      </c>
      <c r="J958" s="843" t="s">
        <v>6266</v>
      </c>
      <c r="K958" s="269">
        <v>2020</v>
      </c>
      <c r="L958" s="519">
        <v>44047</v>
      </c>
      <c r="M958" s="844">
        <v>44056</v>
      </c>
      <c r="N958" s="844">
        <v>44420</v>
      </c>
      <c r="O958" s="1099" t="str">
        <f>IF(+Modificaciones!I958=0,"",VLOOKUP(E958,Modificaciones!$B$7:$I$2400,8,0))</f>
        <v/>
      </c>
      <c r="P958" s="115">
        <f>COUNTA(Modificaciones!J958,Modificaciones!L958,Modificaciones!N958,Modificaciones!P958)</f>
        <v>0</v>
      </c>
      <c r="Q958" s="116">
        <f>VLOOKUP(E958,Modificaciones!$B$7:$R$2300,17,0)</f>
        <v>0</v>
      </c>
      <c r="R958" s="117">
        <f>COUNTA(Modificaciones!T958,Modificaciones!V958,Modificaciones!X958,Modificaciones!Z958)</f>
        <v>0</v>
      </c>
      <c r="S958" s="118" t="str">
        <f>IF(Modificaciones!AA958=0,"",VLOOKUP(E958,Modificaciones!$B$7:$AA$2400,26,0))</f>
        <v/>
      </c>
      <c r="T958" s="119" t="str">
        <f>IF(Modificaciones!AB958=0,"",VLOOKUP(E958,Modificaciones!$B$7:$AB$2400,27,0))</f>
        <v/>
      </c>
      <c r="U958" s="1080" t="str">
        <f>+Modificaciones!AC958</f>
        <v/>
      </c>
      <c r="V958" s="825" t="str">
        <f>+Modificaciones!AK958</f>
        <v/>
      </c>
      <c r="W958" s="825">
        <f t="shared" si="179"/>
        <v>44420</v>
      </c>
      <c r="X958" s="59">
        <f t="shared" si="178"/>
        <v>75855000</v>
      </c>
      <c r="Y958" s="151">
        <f>VLOOKUP(E958,Modificaciones!$B$7:$BE$2300,56,0)</f>
        <v>0</v>
      </c>
      <c r="Z958" s="84">
        <f t="shared" si="175"/>
        <v>75855000</v>
      </c>
      <c r="AA958" s="1000" t="s">
        <v>5324</v>
      </c>
      <c r="AB958" s="823">
        <f t="shared" si="176"/>
        <v>0</v>
      </c>
      <c r="AC958" s="40">
        <f t="shared" ca="1" si="180"/>
        <v>0.47252747252747251</v>
      </c>
      <c r="AD958" s="41">
        <f t="shared" ca="1" si="181"/>
        <v>0.47252747252747251</v>
      </c>
      <c r="AE958" s="181">
        <f t="shared" ca="1" si="182"/>
        <v>192</v>
      </c>
      <c r="AF958" s="42" t="str">
        <f t="shared" si="177"/>
        <v>NO</v>
      </c>
      <c r="AG958" s="406" t="s">
        <v>6199</v>
      </c>
      <c r="AH958" s="841" t="s">
        <v>1256</v>
      </c>
      <c r="AI958" s="841" t="s">
        <v>6267</v>
      </c>
      <c r="AJ958" s="152" t="s">
        <v>1438</v>
      </c>
      <c r="AK958" s="255" t="s">
        <v>560</v>
      </c>
      <c r="AL958" s="838" t="s">
        <v>4852</v>
      </c>
      <c r="AM958" s="838" t="s">
        <v>5734</v>
      </c>
      <c r="AN958" s="161" t="str">
        <f t="shared" ca="1" si="183"/>
        <v>EN EJECUCIÓN</v>
      </c>
      <c r="AO958" s="284" t="s">
        <v>582</v>
      </c>
      <c r="AP958" s="406" t="s">
        <v>390</v>
      </c>
      <c r="AQ958" s="819" t="str">
        <f>IFERROR(VLOOKUP(E958,'liquidaciones '!$B$2:$C$1048576,2,0),"NO")</f>
        <v>NO</v>
      </c>
      <c r="AR958" s="909" t="str">
        <f>IFERROR(VLOOKUP(E958,'liquidaciones '!$B$2:$I$1048576,8,0),"")</f>
        <v/>
      </c>
      <c r="AS958" s="406"/>
      <c r="AT958" s="156" t="str">
        <f t="shared" ca="1" si="184"/>
        <v>SI</v>
      </c>
      <c r="AU958" s="1023" t="s">
        <v>5919</v>
      </c>
      <c r="AV958" s="1001"/>
      <c r="AW958" s="930" t="s">
        <v>560</v>
      </c>
      <c r="AX958" s="928"/>
      <c r="AY958" s="928"/>
    </row>
    <row r="959" spans="3:51" ht="30.6" x14ac:dyDescent="0.3">
      <c r="C959" s="837">
        <v>1376</v>
      </c>
      <c r="E959" s="120" t="s">
        <v>6270</v>
      </c>
      <c r="F959" s="414" t="s">
        <v>6271</v>
      </c>
      <c r="G959" s="863">
        <v>85459440</v>
      </c>
      <c r="H959" s="969" t="s">
        <v>6272</v>
      </c>
      <c r="I959" s="84">
        <v>26335000</v>
      </c>
      <c r="J959" s="843" t="s">
        <v>6273</v>
      </c>
      <c r="K959" s="269">
        <v>2020</v>
      </c>
      <c r="L959" s="519">
        <v>44046</v>
      </c>
      <c r="M959" s="844">
        <v>44067</v>
      </c>
      <c r="N959" s="844">
        <v>44196</v>
      </c>
      <c r="O959" s="1099" t="str">
        <f>IF(+Modificaciones!I959=0,"",VLOOKUP(E959,Modificaciones!$B$7:$I$2400,8,0))</f>
        <v/>
      </c>
      <c r="P959" s="115">
        <f>COUNTA(Modificaciones!J959,Modificaciones!L959,Modificaciones!N959,Modificaciones!P959)</f>
        <v>0</v>
      </c>
      <c r="Q959" s="116">
        <f>VLOOKUP(E959,Modificaciones!$B$7:$R$2300,17,0)</f>
        <v>0</v>
      </c>
      <c r="R959" s="117">
        <f>COUNTA(Modificaciones!T959,Modificaciones!V959,Modificaciones!X959,Modificaciones!Z959)</f>
        <v>0</v>
      </c>
      <c r="S959" s="118" t="str">
        <f>IF(Modificaciones!AA959=0,"",VLOOKUP(E959,Modificaciones!$B$7:$AA$2400,26,0))</f>
        <v/>
      </c>
      <c r="T959" s="119" t="str">
        <f>IF(Modificaciones!AB959=0,"",VLOOKUP(E959,Modificaciones!$B$7:$AB$2400,27,0))</f>
        <v/>
      </c>
      <c r="U959" s="1080" t="str">
        <f>+Modificaciones!AC959</f>
        <v/>
      </c>
      <c r="V959" s="825" t="str">
        <f>+Modificaciones!AK959</f>
        <v/>
      </c>
      <c r="W959" s="825">
        <f t="shared" si="179"/>
        <v>44196</v>
      </c>
      <c r="X959" s="59">
        <f t="shared" si="178"/>
        <v>26335000</v>
      </c>
      <c r="Y959" s="151">
        <f>VLOOKUP(E959,Modificaciones!$B$7:$BE$2300,56,0)</f>
        <v>17029967</v>
      </c>
      <c r="Z959" s="84">
        <f t="shared" si="175"/>
        <v>9305033</v>
      </c>
      <c r="AA959" s="1000" t="s">
        <v>5324</v>
      </c>
      <c r="AB959" s="823">
        <f t="shared" si="176"/>
        <v>0.64666667932409339</v>
      </c>
      <c r="AC959" s="40">
        <f t="shared" ca="1" si="180"/>
        <v>1</v>
      </c>
      <c r="AD959" s="41">
        <f t="shared" ca="1" si="181"/>
        <v>0.35333332067590661</v>
      </c>
      <c r="AE959" s="181" t="str">
        <f t="shared" ca="1" si="182"/>
        <v/>
      </c>
      <c r="AF959" s="42" t="str">
        <f t="shared" si="177"/>
        <v>NO</v>
      </c>
      <c r="AG959" s="406" t="s">
        <v>5773</v>
      </c>
      <c r="AH959" s="841" t="s">
        <v>1255</v>
      </c>
      <c r="AI959" s="841" t="s">
        <v>5779</v>
      </c>
      <c r="AJ959" s="838"/>
      <c r="AK959" s="255" t="s">
        <v>561</v>
      </c>
      <c r="AL959" s="838"/>
      <c r="AM959" s="838" t="s">
        <v>5785</v>
      </c>
      <c r="AN959" s="161" t="str">
        <f t="shared" ca="1" si="183"/>
        <v>TERMINO</v>
      </c>
      <c r="AO959" s="284" t="s">
        <v>582</v>
      </c>
      <c r="AP959" s="406" t="s">
        <v>390</v>
      </c>
      <c r="AQ959" s="819" t="str">
        <f>IFERROR(VLOOKUP(E959,'liquidaciones '!$B$2:$C$1048576,2,0),"NO")</f>
        <v>NO</v>
      </c>
      <c r="AR959" s="909" t="str">
        <f>IFERROR(VLOOKUP(E959,'liquidaciones '!$B$2:$I$1048576,8,0),"")</f>
        <v/>
      </c>
      <c r="AS959" s="406"/>
      <c r="AT959" s="156" t="str">
        <f t="shared" ca="1" si="184"/>
        <v>SI</v>
      </c>
      <c r="AU959" s="1023" t="s">
        <v>6027</v>
      </c>
      <c r="AV959" s="1001"/>
      <c r="AW959" s="930" t="s">
        <v>561</v>
      </c>
      <c r="AX959" s="928"/>
      <c r="AY959" s="928"/>
    </row>
    <row r="960" spans="3:51" ht="33" customHeight="1" x14ac:dyDescent="0.3">
      <c r="C960" s="837">
        <v>1336</v>
      </c>
      <c r="E960" s="120" t="s">
        <v>6274</v>
      </c>
      <c r="F960" s="414" t="s">
        <v>6275</v>
      </c>
      <c r="G960" s="863">
        <v>80434419</v>
      </c>
      <c r="H960" s="969" t="s">
        <v>6276</v>
      </c>
      <c r="I960" s="84">
        <v>13170000</v>
      </c>
      <c r="J960" s="843" t="s">
        <v>6278</v>
      </c>
      <c r="K960" s="269">
        <v>2020</v>
      </c>
      <c r="L960" s="519">
        <v>44043</v>
      </c>
      <c r="M960" s="844">
        <v>44056</v>
      </c>
      <c r="N960" s="844">
        <v>44196</v>
      </c>
      <c r="O960" s="1099" t="str">
        <f>IF(+Modificaciones!I960=0,"",VLOOKUP(E960,Modificaciones!$B$7:$I$2400,8,0))</f>
        <v/>
      </c>
      <c r="P960" s="115">
        <f>COUNTA(Modificaciones!J960,Modificaciones!L960,Modificaciones!N960,Modificaciones!P960)</f>
        <v>0</v>
      </c>
      <c r="Q960" s="116">
        <f>VLOOKUP(E960,Modificaciones!$B$7:$R$2300,17,0)</f>
        <v>0</v>
      </c>
      <c r="R960" s="117">
        <f>COUNTA(Modificaciones!T960,Modificaciones!V960,Modificaciones!X960,Modificaciones!Z960)</f>
        <v>0</v>
      </c>
      <c r="S960" s="118" t="str">
        <f>IF(Modificaciones!AA960=0,"",VLOOKUP(E960,Modificaciones!$B$7:$AA$2400,26,0))</f>
        <v/>
      </c>
      <c r="T960" s="119" t="str">
        <f>IF(Modificaciones!AB960=0,"",VLOOKUP(E960,Modificaciones!$B$7:$AB$2400,27,0))</f>
        <v/>
      </c>
      <c r="U960" s="1080" t="str">
        <f>+Modificaciones!AC960</f>
        <v/>
      </c>
      <c r="V960" s="825" t="str">
        <f>+Modificaciones!AK960</f>
        <v/>
      </c>
      <c r="W960" s="825">
        <f t="shared" si="179"/>
        <v>44196</v>
      </c>
      <c r="X960" s="59">
        <f t="shared" si="178"/>
        <v>13170000</v>
      </c>
      <c r="Y960" s="151">
        <f>VLOOKUP(E960,Modificaciones!$B$7:$BE$2300,56,0)</f>
        <v>7902000</v>
      </c>
      <c r="Z960" s="84">
        <f t="shared" si="175"/>
        <v>5268000</v>
      </c>
      <c r="AA960" s="1000" t="s">
        <v>5324</v>
      </c>
      <c r="AB960" s="823">
        <f t="shared" si="176"/>
        <v>0.6</v>
      </c>
      <c r="AC960" s="40">
        <f t="shared" ca="1" si="180"/>
        <v>1</v>
      </c>
      <c r="AD960" s="41">
        <f t="shared" ca="1" si="181"/>
        <v>0.4</v>
      </c>
      <c r="AE960" s="181" t="str">
        <f t="shared" ca="1" si="182"/>
        <v/>
      </c>
      <c r="AF960" s="42" t="str">
        <f t="shared" si="177"/>
        <v>NO</v>
      </c>
      <c r="AG960" s="406" t="s">
        <v>5773</v>
      </c>
      <c r="AH960" s="841" t="s">
        <v>1255</v>
      </c>
      <c r="AI960" s="841" t="s">
        <v>6277</v>
      </c>
      <c r="AJ960" s="838" t="s">
        <v>1281</v>
      </c>
      <c r="AK960" s="255" t="s">
        <v>560</v>
      </c>
      <c r="AL960" s="838"/>
      <c r="AM960" s="414" t="s">
        <v>6068</v>
      </c>
      <c r="AN960" s="161" t="str">
        <f t="shared" ca="1" si="183"/>
        <v>TERMINO</v>
      </c>
      <c r="AO960" s="284" t="s">
        <v>582</v>
      </c>
      <c r="AP960" s="406" t="s">
        <v>391</v>
      </c>
      <c r="AQ960" s="819" t="str">
        <f>IFERROR(VLOOKUP(E960,'liquidaciones '!$B$2:$C$1048576,2,0),"NO")</f>
        <v>NO</v>
      </c>
      <c r="AR960" s="909" t="str">
        <f>IFERROR(VLOOKUP(E960,'liquidaciones '!$B$2:$I$1048576,8,0),"")</f>
        <v/>
      </c>
      <c r="AS960" s="406"/>
      <c r="AT960" s="156" t="str">
        <f t="shared" ca="1" si="184"/>
        <v>SI</v>
      </c>
      <c r="AU960" s="1023" t="s">
        <v>4805</v>
      </c>
      <c r="AV960" s="1001"/>
      <c r="AW960" s="930" t="s">
        <v>6064</v>
      </c>
      <c r="AX960" s="928"/>
      <c r="AY960" s="928"/>
    </row>
    <row r="961" spans="3:51" ht="28.8" x14ac:dyDescent="0.3">
      <c r="C961" s="837">
        <v>1091</v>
      </c>
      <c r="E961" s="120" t="s">
        <v>6280</v>
      </c>
      <c r="F961" s="414" t="s">
        <v>6279</v>
      </c>
      <c r="G961" s="863">
        <v>900105979</v>
      </c>
      <c r="H961" s="969" t="s">
        <v>6281</v>
      </c>
      <c r="I961" s="84">
        <v>120820000</v>
      </c>
      <c r="J961" s="843" t="s">
        <v>6287</v>
      </c>
      <c r="K961" s="269">
        <v>2020</v>
      </c>
      <c r="L961" s="519">
        <v>44048</v>
      </c>
      <c r="M961" s="844">
        <v>44068</v>
      </c>
      <c r="N961" s="844">
        <v>44340</v>
      </c>
      <c r="O961" s="1099" t="str">
        <f>IF(+Modificaciones!I961=0,"",VLOOKUP(E961,Modificaciones!$B$7:$I$2400,8,0))</f>
        <v/>
      </c>
      <c r="P961" s="115">
        <f>COUNTA(Modificaciones!J961,Modificaciones!L961,Modificaciones!N961,Modificaciones!P961)</f>
        <v>0</v>
      </c>
      <c r="Q961" s="116">
        <f>VLOOKUP(E961,Modificaciones!$B$7:$R$2300,17,0)</f>
        <v>0</v>
      </c>
      <c r="R961" s="117">
        <f>COUNTA(Modificaciones!T961,Modificaciones!V961,Modificaciones!X961,Modificaciones!Z961)</f>
        <v>0</v>
      </c>
      <c r="S961" s="118" t="str">
        <f>IF(Modificaciones!AA961=0,"",VLOOKUP(E961,Modificaciones!$B$7:$AA$2400,26,0))</f>
        <v/>
      </c>
      <c r="T961" s="119" t="str">
        <f>IF(Modificaciones!AB961=0,"",VLOOKUP(E961,Modificaciones!$B$7:$AB$2400,27,0))</f>
        <v/>
      </c>
      <c r="U961" s="1080" t="str">
        <f>+Modificaciones!AC961</f>
        <v/>
      </c>
      <c r="V961" s="825" t="str">
        <f>+Modificaciones!AK961</f>
        <v/>
      </c>
      <c r="W961" s="825">
        <f t="shared" si="179"/>
        <v>44340</v>
      </c>
      <c r="X961" s="59">
        <f t="shared" si="178"/>
        <v>120820000</v>
      </c>
      <c r="Y961" s="151">
        <f>VLOOKUP(E961,Modificaciones!$B$7:$BE$2300,56,0)</f>
        <v>0</v>
      </c>
      <c r="Z961" s="84">
        <f t="shared" si="175"/>
        <v>120820000</v>
      </c>
      <c r="AA961" s="1000" t="s">
        <v>6282</v>
      </c>
      <c r="AB961" s="823">
        <f t="shared" si="176"/>
        <v>0</v>
      </c>
      <c r="AC961" s="40">
        <f t="shared" ca="1" si="180"/>
        <v>0.58823529411764708</v>
      </c>
      <c r="AD961" s="41">
        <f t="shared" ca="1" si="181"/>
        <v>0.58823529411764708</v>
      </c>
      <c r="AE961" s="181">
        <f t="shared" ca="1" si="182"/>
        <v>112</v>
      </c>
      <c r="AF961" s="42" t="str">
        <f t="shared" si="177"/>
        <v>NO</v>
      </c>
      <c r="AG961" s="406" t="s">
        <v>6199</v>
      </c>
      <c r="AH961" s="841" t="s">
        <v>1256</v>
      </c>
      <c r="AI961" s="841" t="s">
        <v>6283</v>
      </c>
      <c r="AJ961" s="152" t="s">
        <v>1438</v>
      </c>
      <c r="AK961" s="255" t="s">
        <v>560</v>
      </c>
      <c r="AL961" s="838" t="s">
        <v>4852</v>
      </c>
      <c r="AM961" s="838" t="s">
        <v>5734</v>
      </c>
      <c r="AN961" s="161" t="str">
        <f t="shared" ca="1" si="183"/>
        <v>EN EJECUCIÓN</v>
      </c>
      <c r="AO961" s="414" t="s">
        <v>5112</v>
      </c>
      <c r="AP961" s="406" t="s">
        <v>390</v>
      </c>
      <c r="AQ961" s="819" t="str">
        <f>IFERROR(VLOOKUP(E961,'liquidaciones '!$B$2:$C$1048576,2,0),"NO")</f>
        <v>NO</v>
      </c>
      <c r="AR961" s="909" t="str">
        <f>IFERROR(VLOOKUP(E961,'liquidaciones '!$B$2:$I$1048576,8,0),"")</f>
        <v/>
      </c>
      <c r="AS961" s="406"/>
      <c r="AT961" s="156" t="str">
        <f t="shared" ca="1" si="184"/>
        <v>SI</v>
      </c>
      <c r="AU961" s="1023" t="s">
        <v>6169</v>
      </c>
      <c r="AV961" s="1001"/>
      <c r="AW961" s="930" t="s">
        <v>560</v>
      </c>
      <c r="AX961" s="928"/>
      <c r="AY961" s="928"/>
    </row>
    <row r="962" spans="3:51" ht="71.400000000000006" x14ac:dyDescent="0.3">
      <c r="C962" s="837">
        <v>1059</v>
      </c>
      <c r="E962" s="120" t="s">
        <v>6284</v>
      </c>
      <c r="F962" s="414" t="s">
        <v>6285</v>
      </c>
      <c r="G962" s="863">
        <v>860526793</v>
      </c>
      <c r="H962" s="969" t="s">
        <v>6286</v>
      </c>
      <c r="I962" s="84">
        <v>775204498</v>
      </c>
      <c r="J962" s="843" t="s">
        <v>6288</v>
      </c>
      <c r="K962" s="269">
        <v>2020</v>
      </c>
      <c r="L962" s="519">
        <v>44043</v>
      </c>
      <c r="M962" s="844">
        <v>44075</v>
      </c>
      <c r="N962" s="844">
        <v>44255</v>
      </c>
      <c r="O962" s="1099" t="str">
        <f>IF(+Modificaciones!I962=0,"",VLOOKUP(E962,Modificaciones!$B$7:$I$2400,8,0))</f>
        <v/>
      </c>
      <c r="P962" s="115">
        <f>COUNTA(Modificaciones!J962,Modificaciones!L962,Modificaciones!N962,Modificaciones!P962)</f>
        <v>0</v>
      </c>
      <c r="Q962" s="116">
        <f>VLOOKUP(E962,Modificaciones!$B$7:$R$2300,17,0)</f>
        <v>0</v>
      </c>
      <c r="R962" s="117">
        <f>COUNTA(Modificaciones!T962,Modificaciones!V962,Modificaciones!X962,Modificaciones!Z962)</f>
        <v>0</v>
      </c>
      <c r="S962" s="118" t="str">
        <f>IF(Modificaciones!AA962=0,"",VLOOKUP(E962,Modificaciones!$B$7:$AA$2400,26,0))</f>
        <v/>
      </c>
      <c r="T962" s="119" t="str">
        <f>IF(Modificaciones!AB962=0,"",VLOOKUP(E962,Modificaciones!$B$7:$AB$2400,27,0))</f>
        <v/>
      </c>
      <c r="U962" s="1080" t="str">
        <f>+Modificaciones!AC962</f>
        <v/>
      </c>
      <c r="V962" s="825" t="str">
        <f>+Modificaciones!AK962</f>
        <v/>
      </c>
      <c r="W962" s="825">
        <f t="shared" si="179"/>
        <v>44255</v>
      </c>
      <c r="X962" s="59">
        <f t="shared" si="178"/>
        <v>775204498</v>
      </c>
      <c r="Y962" s="151">
        <f>VLOOKUP(E962,Modificaciones!$B$7:$BE$2300,56,0)</f>
        <v>101899245</v>
      </c>
      <c r="Z962" s="84">
        <f t="shared" si="175"/>
        <v>673305253</v>
      </c>
      <c r="AA962" s="1000" t="s">
        <v>2837</v>
      </c>
      <c r="AB962" s="823">
        <f t="shared" si="176"/>
        <v>0.13144821174657323</v>
      </c>
      <c r="AC962" s="40">
        <f t="shared" ca="1" si="180"/>
        <v>0.85</v>
      </c>
      <c r="AD962" s="41">
        <f t="shared" ca="1" si="181"/>
        <v>0.71855178825342669</v>
      </c>
      <c r="AE962" s="181">
        <f t="shared" ca="1" si="182"/>
        <v>27</v>
      </c>
      <c r="AF962" s="42" t="str">
        <f t="shared" si="177"/>
        <v>NO</v>
      </c>
      <c r="AG962" s="406" t="s">
        <v>6199</v>
      </c>
      <c r="AH962" s="841" t="s">
        <v>1255</v>
      </c>
      <c r="AI962" s="841" t="s">
        <v>1126</v>
      </c>
      <c r="AJ962" s="838"/>
      <c r="AK962" s="255" t="s">
        <v>560</v>
      </c>
      <c r="AL962" s="838"/>
      <c r="AM962" s="414" t="s">
        <v>6068</v>
      </c>
      <c r="AN962" s="161" t="str">
        <f t="shared" ca="1" si="183"/>
        <v>EN EJECUCIÓN</v>
      </c>
      <c r="AO962" s="414" t="s">
        <v>5889</v>
      </c>
      <c r="AP962" s="406" t="s">
        <v>390</v>
      </c>
      <c r="AQ962" s="819" t="str">
        <f>IFERROR(VLOOKUP(E962,'liquidaciones '!$B$2:$C$1048576,2,0),"NO")</f>
        <v>NO</v>
      </c>
      <c r="AR962" s="909" t="str">
        <f>IFERROR(VLOOKUP(E962,'liquidaciones '!$B$2:$I$1048576,8,0),"")</f>
        <v/>
      </c>
      <c r="AS962" s="406"/>
      <c r="AT962" s="156" t="str">
        <f t="shared" ca="1" si="184"/>
        <v>SI</v>
      </c>
      <c r="AU962" s="1023" t="s">
        <v>4245</v>
      </c>
      <c r="AV962" s="1001"/>
      <c r="AW962" s="930" t="s">
        <v>6064</v>
      </c>
      <c r="AX962" s="406" t="s">
        <v>6577</v>
      </c>
      <c r="AY962" s="928"/>
    </row>
    <row r="963" spans="3:51" ht="51" x14ac:dyDescent="0.3">
      <c r="C963" s="837">
        <v>1016</v>
      </c>
      <c r="E963" s="120" t="s">
        <v>6289</v>
      </c>
      <c r="F963" s="414" t="s">
        <v>6290</v>
      </c>
      <c r="G963" s="863">
        <v>811044253</v>
      </c>
      <c r="H963" s="969" t="s">
        <v>6291</v>
      </c>
      <c r="I963" s="84">
        <v>325608608</v>
      </c>
      <c r="J963" s="843" t="s">
        <v>6292</v>
      </c>
      <c r="K963" s="269">
        <v>2020</v>
      </c>
      <c r="L963" s="519">
        <v>44054</v>
      </c>
      <c r="M963" s="844">
        <v>44061</v>
      </c>
      <c r="N963" s="844">
        <v>44303</v>
      </c>
      <c r="O963" s="1099" t="str">
        <f>IF(+Modificaciones!I963=0,"",VLOOKUP(E963,Modificaciones!$B$7:$I$2400,8,0))</f>
        <v/>
      </c>
      <c r="P963" s="115">
        <f>COUNTA(Modificaciones!J963,Modificaciones!L963,Modificaciones!N963,Modificaciones!P963)</f>
        <v>0</v>
      </c>
      <c r="Q963" s="116">
        <f>VLOOKUP(E963,Modificaciones!$B$7:$R$2300,17,0)</f>
        <v>0</v>
      </c>
      <c r="R963" s="117">
        <f>COUNTA(Modificaciones!T963,Modificaciones!V963,Modificaciones!X963,Modificaciones!Z963)</f>
        <v>0</v>
      </c>
      <c r="S963" s="118" t="str">
        <f>IF(Modificaciones!AA963=0,"",VLOOKUP(E963,Modificaciones!$B$7:$AA$2400,26,0))</f>
        <v/>
      </c>
      <c r="T963" s="119" t="str">
        <f>IF(Modificaciones!AB963=0,"",VLOOKUP(E963,Modificaciones!$B$7:$AB$2400,27,0))</f>
        <v/>
      </c>
      <c r="U963" s="1080" t="str">
        <f>+Modificaciones!AC963</f>
        <v/>
      </c>
      <c r="V963" s="825" t="str">
        <f>+Modificaciones!AK963</f>
        <v/>
      </c>
      <c r="W963" s="825">
        <f t="shared" si="179"/>
        <v>44303</v>
      </c>
      <c r="X963" s="59">
        <f t="shared" si="178"/>
        <v>325608608</v>
      </c>
      <c r="Y963" s="151">
        <f>VLOOKUP(E963,Modificaciones!$B$7:$BE$2300,56,0)</f>
        <v>7786515</v>
      </c>
      <c r="Z963" s="84">
        <f t="shared" si="175"/>
        <v>317822093</v>
      </c>
      <c r="AA963" s="1000" t="s">
        <v>2837</v>
      </c>
      <c r="AB963" s="823">
        <f t="shared" si="176"/>
        <v>2.3913725892652078E-2</v>
      </c>
      <c r="AC963" s="40">
        <f t="shared" ca="1" si="180"/>
        <v>0.69008264462809921</v>
      </c>
      <c r="AD963" s="41">
        <f t="shared" ca="1" si="181"/>
        <v>0.66616891873544715</v>
      </c>
      <c r="AE963" s="181">
        <f t="shared" ca="1" si="182"/>
        <v>75</v>
      </c>
      <c r="AF963" s="42" t="str">
        <f t="shared" si="177"/>
        <v>NO</v>
      </c>
      <c r="AG963" s="406" t="s">
        <v>6199</v>
      </c>
      <c r="AH963" s="841" t="s">
        <v>1255</v>
      </c>
      <c r="AI963" s="841" t="s">
        <v>1137</v>
      </c>
      <c r="AJ963" s="838"/>
      <c r="AK963" s="255" t="s">
        <v>560</v>
      </c>
      <c r="AL963" s="838"/>
      <c r="AM963" s="414" t="s">
        <v>6033</v>
      </c>
      <c r="AN963" s="161" t="str">
        <f t="shared" ca="1" si="183"/>
        <v>EN EJECUCIÓN</v>
      </c>
      <c r="AO963" s="414" t="s">
        <v>6293</v>
      </c>
      <c r="AP963" s="406" t="s">
        <v>390</v>
      </c>
      <c r="AQ963" s="819" t="str">
        <f>IFERROR(VLOOKUP(E963,'liquidaciones '!$B$2:$C$1048576,2,0),"NO")</f>
        <v>NO</v>
      </c>
      <c r="AR963" s="909" t="str">
        <f>IFERROR(VLOOKUP(E963,'liquidaciones '!$B$2:$I$1048576,8,0),"")</f>
        <v/>
      </c>
      <c r="AS963" s="406"/>
      <c r="AT963" s="156" t="str">
        <f t="shared" ca="1" si="184"/>
        <v>SI</v>
      </c>
      <c r="AU963" s="1129" t="s">
        <v>4245</v>
      </c>
      <c r="AV963" s="1001"/>
      <c r="AW963" s="930" t="s">
        <v>6032</v>
      </c>
      <c r="AX963" s="928"/>
      <c r="AY963" s="928"/>
    </row>
    <row r="964" spans="3:51" ht="61.2" x14ac:dyDescent="0.3">
      <c r="C964" s="837">
        <v>1167</v>
      </c>
      <c r="E964" s="120" t="s">
        <v>6295</v>
      </c>
      <c r="F964" s="414" t="s">
        <v>6296</v>
      </c>
      <c r="G964" s="863">
        <v>19425959</v>
      </c>
      <c r="H964" s="969" t="s">
        <v>6297</v>
      </c>
      <c r="I964" s="84">
        <v>35728000</v>
      </c>
      <c r="J964" s="843" t="s">
        <v>6299</v>
      </c>
      <c r="K964" s="269">
        <v>2020</v>
      </c>
      <c r="L964" s="519">
        <v>44055</v>
      </c>
      <c r="M964" s="844">
        <v>44075</v>
      </c>
      <c r="N964" s="844">
        <v>44196</v>
      </c>
      <c r="O964" s="1099" t="str">
        <f>IF(+Modificaciones!I964=0,"",VLOOKUP(E964,Modificaciones!$B$7:$I$2400,8,0))</f>
        <v/>
      </c>
      <c r="P964" s="115">
        <f>COUNTA(Modificaciones!J964,Modificaciones!L964,Modificaciones!N964,Modificaciones!P964)</f>
        <v>0</v>
      </c>
      <c r="Q964" s="116">
        <f>VLOOKUP(E964,Modificaciones!$B$7:$R$2300,17,0)</f>
        <v>0</v>
      </c>
      <c r="R964" s="117">
        <f>COUNTA(Modificaciones!T964,Modificaciones!V964,Modificaciones!X964,Modificaciones!Z964)</f>
        <v>0</v>
      </c>
      <c r="S964" s="118" t="str">
        <f>IF(Modificaciones!AA964=0,"",VLOOKUP(E964,Modificaciones!$B$7:$AA$2400,26,0))</f>
        <v/>
      </c>
      <c r="T964" s="119" t="str">
        <f>IF(Modificaciones!AB964=0,"",VLOOKUP(E964,Modificaciones!$B$7:$AB$2400,27,0))</f>
        <v/>
      </c>
      <c r="U964" s="1080" t="str">
        <f>+Modificaciones!AC964</f>
        <v/>
      </c>
      <c r="V964" s="825" t="str">
        <f>+Modificaciones!AK964</f>
        <v/>
      </c>
      <c r="W964" s="825">
        <f t="shared" si="179"/>
        <v>44196</v>
      </c>
      <c r="X964" s="59">
        <f t="shared" si="178"/>
        <v>35728000</v>
      </c>
      <c r="Y964" s="151">
        <f>VLOOKUP(E964,Modificaciones!$B$7:$BE$2300,56,0)</f>
        <v>17864000</v>
      </c>
      <c r="Z964" s="84">
        <f t="shared" ref="Z964:Z1000" si="185">X964-Y964</f>
        <v>17864000</v>
      </c>
      <c r="AA964" s="1000" t="s">
        <v>5324</v>
      </c>
      <c r="AB964" s="823">
        <f t="shared" ref="AB964:AB1000" si="186">(Y964*100%)/X964</f>
        <v>0.5</v>
      </c>
      <c r="AC964" s="40">
        <f t="shared" ca="1" si="180"/>
        <v>1</v>
      </c>
      <c r="AD964" s="41">
        <f t="shared" ca="1" si="181"/>
        <v>0.5</v>
      </c>
      <c r="AE964" s="181" t="str">
        <f t="shared" ca="1" si="182"/>
        <v/>
      </c>
      <c r="AF964" s="42" t="str">
        <f t="shared" ref="AF964:AF1000" si="187">IF(AB964&lt;=99.9%,"NO","SI")</f>
        <v>NO</v>
      </c>
      <c r="AG964" s="406" t="s">
        <v>5773</v>
      </c>
      <c r="AH964" s="841" t="s">
        <v>1256</v>
      </c>
      <c r="AI964" s="841" t="s">
        <v>6298</v>
      </c>
      <c r="AJ964" s="414" t="s">
        <v>1438</v>
      </c>
      <c r="AK964" s="255" t="s">
        <v>560</v>
      </c>
      <c r="AL964" s="838" t="s">
        <v>4850</v>
      </c>
      <c r="AM964" s="838" t="s">
        <v>6122</v>
      </c>
      <c r="AN964" s="161" t="str">
        <f t="shared" ca="1" si="183"/>
        <v>TERMINO</v>
      </c>
      <c r="AO964" s="284" t="s">
        <v>582</v>
      </c>
      <c r="AP964" s="406" t="s">
        <v>391</v>
      </c>
      <c r="AQ964" s="819" t="str">
        <f>IFERROR(VLOOKUP(E964,'liquidaciones '!$B$2:$C$1048576,2,0),"NO")</f>
        <v>NO</v>
      </c>
      <c r="AR964" s="909" t="str">
        <f>IFERROR(VLOOKUP(E964,'liquidaciones '!$B$2:$I$1048576,8,0),"")</f>
        <v/>
      </c>
      <c r="AS964" s="406"/>
      <c r="AT964" s="156" t="str">
        <f t="shared" ca="1" si="184"/>
        <v>SI</v>
      </c>
      <c r="AU964" s="1023" t="s">
        <v>4805</v>
      </c>
      <c r="AV964" s="1001"/>
      <c r="AW964" s="930" t="s">
        <v>6032</v>
      </c>
      <c r="AX964" s="928"/>
      <c r="AY964" s="928"/>
    </row>
    <row r="965" spans="3:51" ht="61.2" x14ac:dyDescent="0.3">
      <c r="C965" s="837">
        <v>1206</v>
      </c>
      <c r="E965" s="120" t="s">
        <v>6302</v>
      </c>
      <c r="F965" s="414" t="s">
        <v>6303</v>
      </c>
      <c r="G965" s="863">
        <v>900852009</v>
      </c>
      <c r="H965" s="969" t="s">
        <v>6304</v>
      </c>
      <c r="I965" s="84">
        <v>1980000</v>
      </c>
      <c r="J965" s="843" t="s">
        <v>6306</v>
      </c>
      <c r="K965" s="269">
        <v>2020</v>
      </c>
      <c r="L965" s="519">
        <v>44057</v>
      </c>
      <c r="M965" s="844">
        <v>44067</v>
      </c>
      <c r="N965" s="844">
        <v>44431</v>
      </c>
      <c r="O965" s="1099" t="str">
        <f>IF(+Modificaciones!I965=0,"",VLOOKUP(E965,Modificaciones!$B$7:$I$2400,8,0))</f>
        <v/>
      </c>
      <c r="P965" s="115">
        <f>COUNTA(Modificaciones!J965,Modificaciones!L965,Modificaciones!N965,Modificaciones!P965)</f>
        <v>0</v>
      </c>
      <c r="Q965" s="116">
        <f>VLOOKUP(E965,Modificaciones!$B$7:$R$2300,17,0)</f>
        <v>0</v>
      </c>
      <c r="R965" s="117">
        <f>COUNTA(Modificaciones!T965,Modificaciones!V965,Modificaciones!X965,Modificaciones!Z965)</f>
        <v>0</v>
      </c>
      <c r="S965" s="118" t="str">
        <f>IF(Modificaciones!AA965=0,"",VLOOKUP(E965,Modificaciones!$B$7:$AA$2400,26,0))</f>
        <v/>
      </c>
      <c r="T965" s="119" t="str">
        <f>IF(Modificaciones!AB965=0,"",VLOOKUP(E965,Modificaciones!$B$7:$AB$2400,27,0))</f>
        <v/>
      </c>
      <c r="U965" s="1080" t="str">
        <f>+Modificaciones!AC965</f>
        <v/>
      </c>
      <c r="V965" s="825" t="str">
        <f>+Modificaciones!AK965</f>
        <v/>
      </c>
      <c r="W965" s="825">
        <f t="shared" si="179"/>
        <v>44431</v>
      </c>
      <c r="X965" s="59">
        <f t="shared" si="178"/>
        <v>1980000</v>
      </c>
      <c r="Y965" s="151">
        <f>VLOOKUP(E965,Modificaciones!$B$7:$BE$2300,56,0)</f>
        <v>1980000</v>
      </c>
      <c r="Z965" s="84">
        <f t="shared" si="185"/>
        <v>0</v>
      </c>
      <c r="AA965" s="1000" t="s">
        <v>5519</v>
      </c>
      <c r="AB965" s="823">
        <f t="shared" si="186"/>
        <v>1</v>
      </c>
      <c r="AC965" s="40">
        <f t="shared" ca="1" si="180"/>
        <v>0.44230769230769229</v>
      </c>
      <c r="AD965" s="41">
        <f t="shared" ca="1" si="181"/>
        <v>-0.55769230769230771</v>
      </c>
      <c r="AE965" s="181">
        <f t="shared" ca="1" si="182"/>
        <v>203</v>
      </c>
      <c r="AF965" s="42" t="str">
        <f t="shared" si="187"/>
        <v>SI</v>
      </c>
      <c r="AG965" s="838" t="s">
        <v>1713</v>
      </c>
      <c r="AH965" s="841" t="s">
        <v>1255</v>
      </c>
      <c r="AI965" s="841" t="s">
        <v>6305</v>
      </c>
      <c r="AJ965" s="838"/>
      <c r="AK965" s="255" t="s">
        <v>564</v>
      </c>
      <c r="AL965" s="838"/>
      <c r="AM965" s="414" t="s">
        <v>5902</v>
      </c>
      <c r="AN965" s="161" t="str">
        <f t="shared" ca="1" si="183"/>
        <v>EN EJECUCIÓN</v>
      </c>
      <c r="AO965" s="414" t="s">
        <v>5452</v>
      </c>
      <c r="AP965" s="406" t="s">
        <v>390</v>
      </c>
      <c r="AQ965" s="819" t="str">
        <f>IFERROR(VLOOKUP(E965,'liquidaciones '!$B$2:$C$1048576,2,0),"NO")</f>
        <v>NO</v>
      </c>
      <c r="AR965" s="909" t="str">
        <f>IFERROR(VLOOKUP(E965,'liquidaciones '!$B$2:$I$1048576,8,0),"")</f>
        <v/>
      </c>
      <c r="AS965" s="406"/>
      <c r="AT965" s="156" t="str">
        <f t="shared" ca="1" si="184"/>
        <v>SI</v>
      </c>
      <c r="AU965" s="1023" t="s">
        <v>6169</v>
      </c>
      <c r="AV965" s="1001"/>
      <c r="AW965" s="930" t="s">
        <v>564</v>
      </c>
      <c r="AX965" s="928"/>
      <c r="AY965" s="928"/>
    </row>
    <row r="966" spans="3:51" ht="40.799999999999997" x14ac:dyDescent="0.3">
      <c r="C966" s="837">
        <v>1428</v>
      </c>
      <c r="E966" s="120" t="s">
        <v>6307</v>
      </c>
      <c r="F966" s="414" t="s">
        <v>6308</v>
      </c>
      <c r="G966" s="863">
        <v>1136888028</v>
      </c>
      <c r="H966" s="969" t="s">
        <v>6309</v>
      </c>
      <c r="I966" s="84">
        <v>15175000</v>
      </c>
      <c r="J966" s="843" t="s">
        <v>6310</v>
      </c>
      <c r="K966" s="269">
        <v>2020</v>
      </c>
      <c r="L966" s="519">
        <v>44063</v>
      </c>
      <c r="M966" s="844">
        <v>44068</v>
      </c>
      <c r="N966" s="844">
        <v>44196</v>
      </c>
      <c r="O966" s="1099" t="str">
        <f>IF(+Modificaciones!I966=0,"",VLOOKUP(E966,Modificaciones!$B$7:$I$2400,8,0))</f>
        <v/>
      </c>
      <c r="P966" s="115">
        <f>COUNTA(Modificaciones!J966,Modificaciones!L966,Modificaciones!N966,Modificaciones!P966)</f>
        <v>0</v>
      </c>
      <c r="Q966" s="116">
        <f>VLOOKUP(E966,Modificaciones!$B$7:$R$2300,17,0)</f>
        <v>0</v>
      </c>
      <c r="R966" s="117">
        <f>COUNTA(Modificaciones!T966,Modificaciones!V966,Modificaciones!X966,Modificaciones!Z966)</f>
        <v>0</v>
      </c>
      <c r="S966" s="118" t="str">
        <f>IF(Modificaciones!AA966=0,"",VLOOKUP(E966,Modificaciones!$B$7:$AA$2400,26,0))</f>
        <v/>
      </c>
      <c r="T966" s="119" t="str">
        <f>IF(Modificaciones!AB966=0,"",VLOOKUP(E966,Modificaciones!$B$7:$AB$2400,27,0))</f>
        <v/>
      </c>
      <c r="U966" s="1080" t="str">
        <f>+Modificaciones!AC966</f>
        <v/>
      </c>
      <c r="V966" s="825" t="str">
        <f>+Modificaciones!AK966</f>
        <v/>
      </c>
      <c r="W966" s="825">
        <f t="shared" si="179"/>
        <v>44196</v>
      </c>
      <c r="X966" s="59">
        <f t="shared" si="178"/>
        <v>15175000</v>
      </c>
      <c r="Y966" s="151">
        <f>VLOOKUP(E966,Modificaciones!$B$7:$BE$2300,56,0)</f>
        <v>9712000</v>
      </c>
      <c r="Z966" s="84">
        <f t="shared" si="185"/>
        <v>5463000</v>
      </c>
      <c r="AA966" s="1000" t="s">
        <v>5324</v>
      </c>
      <c r="AB966" s="823">
        <f t="shared" si="186"/>
        <v>0.64</v>
      </c>
      <c r="AC966" s="40">
        <f t="shared" ca="1" si="180"/>
        <v>1</v>
      </c>
      <c r="AD966" s="41">
        <f t="shared" ca="1" si="181"/>
        <v>0.36</v>
      </c>
      <c r="AE966" s="181" t="str">
        <f t="shared" ca="1" si="182"/>
        <v/>
      </c>
      <c r="AF966" s="42" t="str">
        <f t="shared" si="187"/>
        <v>NO</v>
      </c>
      <c r="AG966" s="414" t="s">
        <v>5773</v>
      </c>
      <c r="AH966" s="841" t="s">
        <v>1255</v>
      </c>
      <c r="AI966" s="870" t="s">
        <v>6311</v>
      </c>
      <c r="AJ966" s="838"/>
      <c r="AK966" s="255" t="s">
        <v>562</v>
      </c>
      <c r="AL966" s="838"/>
      <c r="AM966" s="838" t="s">
        <v>6312</v>
      </c>
      <c r="AN966" s="161" t="str">
        <f t="shared" ca="1" si="183"/>
        <v>TERMINO</v>
      </c>
      <c r="AO966" s="284" t="s">
        <v>582</v>
      </c>
      <c r="AP966" s="406" t="s">
        <v>391</v>
      </c>
      <c r="AQ966" s="819" t="str">
        <f>IFERROR(VLOOKUP(E966,'liquidaciones '!$B$2:$C$1048576,2,0),"NO")</f>
        <v>NO</v>
      </c>
      <c r="AR966" s="909" t="str">
        <f>IFERROR(VLOOKUP(E966,'liquidaciones '!$B$2:$I$1048576,8,0),"")</f>
        <v/>
      </c>
      <c r="AS966" s="406"/>
      <c r="AT966" s="156" t="str">
        <f t="shared" ca="1" si="184"/>
        <v>SI</v>
      </c>
      <c r="AU966" s="1023" t="s">
        <v>4805</v>
      </c>
      <c r="AV966" s="1001"/>
      <c r="AW966" s="930" t="s">
        <v>5092</v>
      </c>
      <c r="AX966" s="928"/>
      <c r="AY966" s="928"/>
    </row>
    <row r="967" spans="3:51" ht="30.6" x14ac:dyDescent="0.3">
      <c r="C967" s="837">
        <v>1060</v>
      </c>
      <c r="E967" s="120" t="s">
        <v>6315</v>
      </c>
      <c r="F967" s="414" t="s">
        <v>6316</v>
      </c>
      <c r="G967" s="863" t="s">
        <v>6317</v>
      </c>
      <c r="H967" s="969" t="s">
        <v>6318</v>
      </c>
      <c r="I967" s="84">
        <v>5513949</v>
      </c>
      <c r="J967" s="843" t="s">
        <v>6319</v>
      </c>
      <c r="K967" s="269">
        <v>2020</v>
      </c>
      <c r="L967" s="519">
        <v>44057</v>
      </c>
      <c r="M967" s="844">
        <v>44069</v>
      </c>
      <c r="N967" s="844">
        <v>44252</v>
      </c>
      <c r="O967" s="1099" t="str">
        <f>IF(+Modificaciones!I967=0,"",VLOOKUP(E967,Modificaciones!$B$7:$I$2400,8,0))</f>
        <v/>
      </c>
      <c r="P967" s="115">
        <f>COUNTA(Modificaciones!J967,Modificaciones!L967,Modificaciones!N967,Modificaciones!P967)</f>
        <v>0</v>
      </c>
      <c r="Q967" s="116">
        <f>VLOOKUP(E967,Modificaciones!$B$7:$R$2300,17,0)</f>
        <v>0</v>
      </c>
      <c r="R967" s="117">
        <f>COUNTA(Modificaciones!T967,Modificaciones!V967,Modificaciones!X967,Modificaciones!Z967)</f>
        <v>0</v>
      </c>
      <c r="S967" s="118" t="str">
        <f>IF(Modificaciones!AA967=0,"",VLOOKUP(E967,Modificaciones!$B$7:$AA$2400,26,0))</f>
        <v/>
      </c>
      <c r="T967" s="119" t="str">
        <f>IF(Modificaciones!AB967=0,"",VLOOKUP(E967,Modificaciones!$B$7:$AB$2400,27,0))</f>
        <v/>
      </c>
      <c r="U967" s="1080" t="str">
        <f>+Modificaciones!AC967</f>
        <v/>
      </c>
      <c r="V967" s="825" t="str">
        <f>+Modificaciones!AK967</f>
        <v/>
      </c>
      <c r="W967" s="825">
        <f t="shared" si="179"/>
        <v>44252</v>
      </c>
      <c r="X967" s="59">
        <f t="shared" ref="X967:X1000" si="188">I967+Q967</f>
        <v>5513949</v>
      </c>
      <c r="Y967" s="151">
        <f>VLOOKUP(E967,Modificaciones!$B$7:$BE$2300,56,0)</f>
        <v>0</v>
      </c>
      <c r="Z967" s="84">
        <f t="shared" si="185"/>
        <v>5513949</v>
      </c>
      <c r="AA967" s="1000" t="s">
        <v>5324</v>
      </c>
      <c r="AB967" s="823">
        <f t="shared" si="186"/>
        <v>0</v>
      </c>
      <c r="AC967" s="40">
        <f t="shared" ca="1" si="180"/>
        <v>0.86885245901639341</v>
      </c>
      <c r="AD967" s="41">
        <f t="shared" ca="1" si="181"/>
        <v>0.86885245901639341</v>
      </c>
      <c r="AE967" s="181">
        <f t="shared" ca="1" si="182"/>
        <v>24</v>
      </c>
      <c r="AF967" s="42" t="str">
        <f t="shared" si="187"/>
        <v>NO</v>
      </c>
      <c r="AG967" s="406" t="s">
        <v>6199</v>
      </c>
      <c r="AH967" s="841" t="s">
        <v>1255</v>
      </c>
      <c r="AI967" s="841" t="s">
        <v>6320</v>
      </c>
      <c r="AJ967" s="838"/>
      <c r="AK967" s="255" t="s">
        <v>560</v>
      </c>
      <c r="AL967" s="838"/>
      <c r="AM967" s="414" t="s">
        <v>6068</v>
      </c>
      <c r="AN967" s="161" t="str">
        <f t="shared" ca="1" si="183"/>
        <v>EN EJECUCIÓN</v>
      </c>
      <c r="AO967" s="414" t="s">
        <v>5654</v>
      </c>
      <c r="AP967" s="406" t="s">
        <v>390</v>
      </c>
      <c r="AQ967" s="819" t="str">
        <f>IFERROR(VLOOKUP(E967,'liquidaciones '!$B$2:$C$1048576,2,0),"NO")</f>
        <v>NO</v>
      </c>
      <c r="AR967" s="909" t="str">
        <f>IFERROR(VLOOKUP(E967,'liquidaciones '!$B$2:$I$1048576,8,0),"")</f>
        <v/>
      </c>
      <c r="AS967" s="406"/>
      <c r="AT967" s="156" t="str">
        <f t="shared" ca="1" si="184"/>
        <v>SI</v>
      </c>
      <c r="AU967" s="1023" t="s">
        <v>6169</v>
      </c>
      <c r="AV967" s="1001"/>
      <c r="AW967" s="930" t="s">
        <v>6064</v>
      </c>
      <c r="AX967" s="928"/>
      <c r="AY967" s="928"/>
    </row>
    <row r="968" spans="3:51" ht="40.799999999999997" x14ac:dyDescent="0.3">
      <c r="C968" s="837">
        <v>1404</v>
      </c>
      <c r="E968" s="120" t="s">
        <v>6323</v>
      </c>
      <c r="F968" s="414" t="s">
        <v>6324</v>
      </c>
      <c r="G968" s="863">
        <v>80191080</v>
      </c>
      <c r="H968" s="969" t="s">
        <v>6325</v>
      </c>
      <c r="I968" s="84">
        <v>22330000</v>
      </c>
      <c r="J968" s="843" t="s">
        <v>6326</v>
      </c>
      <c r="K968" s="269">
        <v>2020</v>
      </c>
      <c r="L968" s="519">
        <v>44053</v>
      </c>
      <c r="M968" s="844">
        <v>44069</v>
      </c>
      <c r="N968" s="844">
        <v>44196</v>
      </c>
      <c r="O968" s="1099" t="str">
        <f>IF(+Modificaciones!I968=0,"",VLOOKUP(E968,Modificaciones!$B$7:$I$2400,8,0))</f>
        <v/>
      </c>
      <c r="P968" s="115">
        <f>COUNTA(Modificaciones!J968,Modificaciones!L968,Modificaciones!N968,Modificaciones!P968)</f>
        <v>0</v>
      </c>
      <c r="Q968" s="116">
        <f>VLOOKUP(E968,Modificaciones!$B$7:$R$2300,17,0)</f>
        <v>0</v>
      </c>
      <c r="R968" s="117">
        <f>COUNTA(Modificaciones!T968,Modificaciones!V968,Modificaciones!X968,Modificaciones!Z968)</f>
        <v>0</v>
      </c>
      <c r="S968" s="118" t="str">
        <f>IF(Modificaciones!AA968=0,"",VLOOKUP(E968,Modificaciones!$B$7:$AA$2400,26,0))</f>
        <v/>
      </c>
      <c r="T968" s="119" t="str">
        <f>IF(Modificaciones!AB968=0,"",VLOOKUP(E968,Modificaciones!$B$7:$AB$2400,27,0))</f>
        <v/>
      </c>
      <c r="U968" s="1080" t="str">
        <f>+Modificaciones!AC968</f>
        <v/>
      </c>
      <c r="V968" s="825" t="str">
        <f>+Modificaciones!AK968</f>
        <v/>
      </c>
      <c r="W968" s="825">
        <f t="shared" ref="W968:W1000" si="189">MAX(N968,O968,T968,V968)</f>
        <v>44196</v>
      </c>
      <c r="X968" s="59">
        <f t="shared" si="188"/>
        <v>22330000</v>
      </c>
      <c r="Y968" s="151">
        <f>VLOOKUP(E968,Modificaciones!$B$7:$BE$2300,56,0)</f>
        <v>14142333</v>
      </c>
      <c r="Z968" s="84">
        <f t="shared" si="185"/>
        <v>8187667</v>
      </c>
      <c r="AA968" s="1000" t="s">
        <v>5324</v>
      </c>
      <c r="AB968" s="823">
        <f t="shared" si="186"/>
        <v>0.63333331840573215</v>
      </c>
      <c r="AC968" s="40">
        <f t="shared" ref="AC968:AC1000" ca="1" si="190">IF((($F$3-M968)*100%/(W968-M968))&gt;100%,100%,(($F$3-M968)*100%/(W968-M968)))</f>
        <v>1</v>
      </c>
      <c r="AD968" s="41">
        <f t="shared" ref="AD968:AD1000" ca="1" si="191">AC968-AB968</f>
        <v>0.36666668159426785</v>
      </c>
      <c r="AE968" s="181" t="str">
        <f t="shared" ref="AE968:AE1000" ca="1" si="192">IF(AC968&lt;100%,W968-$F$3,"")</f>
        <v/>
      </c>
      <c r="AF968" s="42" t="str">
        <f t="shared" si="187"/>
        <v>NO</v>
      </c>
      <c r="AG968" s="414" t="s">
        <v>5773</v>
      </c>
      <c r="AH968" s="841" t="s">
        <v>1255</v>
      </c>
      <c r="AI968" s="870" t="s">
        <v>6327</v>
      </c>
      <c r="AJ968" s="838"/>
      <c r="AK968" s="255" t="s">
        <v>562</v>
      </c>
      <c r="AL968" s="838"/>
      <c r="AM968" s="838" t="s">
        <v>6312</v>
      </c>
      <c r="AN968" s="161" t="str">
        <f t="shared" ref="AN968:AN1000" ca="1" si="193">IF(W968&gt;=$F$3,"EN EJECUCIÓN","TERMINO")</f>
        <v>TERMINO</v>
      </c>
      <c r="AO968" s="284" t="s">
        <v>582</v>
      </c>
      <c r="AP968" s="406" t="s">
        <v>391</v>
      </c>
      <c r="AQ968" s="819" t="str">
        <f>IFERROR(VLOOKUP(E968,'liquidaciones '!$B$2:$C$1048576,2,0),"NO")</f>
        <v>NO</v>
      </c>
      <c r="AR968" s="909" t="str">
        <f>IFERROR(VLOOKUP(E968,'liquidaciones '!$B$2:$I$1048576,8,0),"")</f>
        <v/>
      </c>
      <c r="AS968" s="406"/>
      <c r="AT968" s="156" t="str">
        <f t="shared" ref="AT968:AT1000" ca="1" si="194">IF((TODAY()-W968&lt;900),"SI","NO")</f>
        <v>SI</v>
      </c>
      <c r="AU968" s="1023" t="s">
        <v>4805</v>
      </c>
      <c r="AV968" s="1001"/>
      <c r="AW968" s="930" t="s">
        <v>5092</v>
      </c>
      <c r="AX968" s="928"/>
      <c r="AY968" s="928"/>
    </row>
    <row r="969" spans="3:51" ht="40.799999999999997" x14ac:dyDescent="0.3">
      <c r="C969" s="837">
        <v>1378</v>
      </c>
      <c r="E969" s="120" t="s">
        <v>6364</v>
      </c>
      <c r="F969" s="414" t="s">
        <v>6330</v>
      </c>
      <c r="G969" s="863">
        <v>1032389671</v>
      </c>
      <c r="H969" s="969" t="s">
        <v>6331</v>
      </c>
      <c r="I969" s="84">
        <v>17560000</v>
      </c>
      <c r="J969" s="843" t="s">
        <v>6333</v>
      </c>
      <c r="K969" s="269">
        <v>2020</v>
      </c>
      <c r="L969" s="519">
        <v>44067</v>
      </c>
      <c r="M969" s="844">
        <v>44071</v>
      </c>
      <c r="N969" s="844">
        <v>44192</v>
      </c>
      <c r="O969" s="1099" t="str">
        <f>IF(+Modificaciones!I969=0,"",VLOOKUP(E969,Modificaciones!$B$7:$I$2400,8,0))</f>
        <v/>
      </c>
      <c r="P969" s="115">
        <f>COUNTA(Modificaciones!J969,Modificaciones!L969,Modificaciones!N969,Modificaciones!P969)</f>
        <v>0</v>
      </c>
      <c r="Q969" s="116">
        <f>VLOOKUP(E969,Modificaciones!$B$7:$R$2300,17,0)</f>
        <v>0</v>
      </c>
      <c r="R969" s="117">
        <f>COUNTA(Modificaciones!T969,Modificaciones!V969,Modificaciones!X969,Modificaciones!Z969)</f>
        <v>0</v>
      </c>
      <c r="S969" s="118" t="str">
        <f>IF(Modificaciones!AA969=0,"",VLOOKUP(E969,Modificaciones!$B$7:$AA$2400,26,0))</f>
        <v/>
      </c>
      <c r="T969" s="119" t="str">
        <f>IF(Modificaciones!AB969=0,"",VLOOKUP(E969,Modificaciones!$B$7:$AB$2400,27,0))</f>
        <v/>
      </c>
      <c r="U969" s="1080" t="str">
        <f>+Modificaciones!AC969</f>
        <v/>
      </c>
      <c r="V969" s="825" t="str">
        <f>+Modificaciones!AK969</f>
        <v/>
      </c>
      <c r="W969" s="825">
        <f t="shared" si="189"/>
        <v>44192</v>
      </c>
      <c r="X969" s="59">
        <f t="shared" si="188"/>
        <v>17560000</v>
      </c>
      <c r="Y969" s="151">
        <f>VLOOKUP(E969,Modificaciones!$B$7:$BE$2300,56,0)</f>
        <v>17559999</v>
      </c>
      <c r="Z969" s="84">
        <f t="shared" si="185"/>
        <v>1</v>
      </c>
      <c r="AA969" s="1000" t="s">
        <v>5324</v>
      </c>
      <c r="AB969" s="823">
        <f t="shared" si="186"/>
        <v>0.99999994305239182</v>
      </c>
      <c r="AC969" s="40">
        <f t="shared" ca="1" si="190"/>
        <v>1</v>
      </c>
      <c r="AD969" s="41">
        <f t="shared" ca="1" si="191"/>
        <v>5.6947608184643173E-8</v>
      </c>
      <c r="AE969" s="181" t="str">
        <f t="shared" ca="1" si="192"/>
        <v/>
      </c>
      <c r="AF969" s="42" t="str">
        <f t="shared" si="187"/>
        <v>SI</v>
      </c>
      <c r="AG969" s="414" t="s">
        <v>5773</v>
      </c>
      <c r="AH969" s="841" t="s">
        <v>1255</v>
      </c>
      <c r="AI969" s="870" t="s">
        <v>6332</v>
      </c>
      <c r="AJ969" s="838"/>
      <c r="AK969" s="255" t="s">
        <v>6181</v>
      </c>
      <c r="AL969" s="838"/>
      <c r="AM969" s="414" t="s">
        <v>5873</v>
      </c>
      <c r="AN969" s="161" t="str">
        <f t="shared" ca="1" si="193"/>
        <v>TERMINO</v>
      </c>
      <c r="AO969" s="284" t="s">
        <v>582</v>
      </c>
      <c r="AP969" s="406" t="s">
        <v>391</v>
      </c>
      <c r="AQ969" s="819" t="str">
        <f>IFERROR(VLOOKUP(E969,'liquidaciones '!$B$2:$C$1048576,2,0),"NO")</f>
        <v>NO</v>
      </c>
      <c r="AR969" s="909" t="str">
        <f>IFERROR(VLOOKUP(E969,'liquidaciones '!$B$2:$I$1048576,8,0),"")</f>
        <v/>
      </c>
      <c r="AS969" s="406"/>
      <c r="AT969" s="156" t="str">
        <f t="shared" ca="1" si="194"/>
        <v>SI</v>
      </c>
      <c r="AU969" s="1023" t="s">
        <v>4805</v>
      </c>
      <c r="AV969" s="1001"/>
      <c r="AW969" s="930" t="s">
        <v>6181</v>
      </c>
      <c r="AX969" s="928"/>
      <c r="AY969" s="928"/>
    </row>
    <row r="970" spans="3:51" ht="33" customHeight="1" x14ac:dyDescent="0.3">
      <c r="C970" s="837">
        <v>1118</v>
      </c>
      <c r="E970" s="120" t="s">
        <v>6344</v>
      </c>
      <c r="F970" s="414" t="s">
        <v>6345</v>
      </c>
      <c r="G970" s="863">
        <v>800015583</v>
      </c>
      <c r="H970" s="969" t="s">
        <v>6346</v>
      </c>
      <c r="I970" s="84">
        <v>417474392</v>
      </c>
      <c r="J970" s="843" t="s">
        <v>6349</v>
      </c>
      <c r="K970" s="269">
        <v>2020</v>
      </c>
      <c r="L970" s="519">
        <v>44046</v>
      </c>
      <c r="M970" s="844">
        <v>44075</v>
      </c>
      <c r="N970" s="844">
        <v>44439</v>
      </c>
      <c r="O970" s="1099" t="str">
        <f>IF(+Modificaciones!I970=0,"",VLOOKUP(E970,Modificaciones!$B$7:$I$2400,8,0))</f>
        <v/>
      </c>
      <c r="P970" s="115">
        <f>COUNTA(Modificaciones!J970,Modificaciones!L970,Modificaciones!N970,Modificaciones!P970)</f>
        <v>0</v>
      </c>
      <c r="Q970" s="116">
        <f>VLOOKUP(E970,Modificaciones!$B$7:$R$2300,17,0)</f>
        <v>0</v>
      </c>
      <c r="R970" s="117">
        <f>COUNTA(Modificaciones!T970,Modificaciones!V970,Modificaciones!X970,Modificaciones!Z970)</f>
        <v>0</v>
      </c>
      <c r="S970" s="118" t="str">
        <f>IF(Modificaciones!AA970=0,"",VLOOKUP(E970,Modificaciones!$B$7:$AA$2400,26,0))</f>
        <v/>
      </c>
      <c r="T970" s="119" t="str">
        <f>IF(Modificaciones!AB970=0,"",VLOOKUP(E970,Modificaciones!$B$7:$AB$2400,27,0))</f>
        <v/>
      </c>
      <c r="U970" s="1080" t="str">
        <f>+Modificaciones!AC970</f>
        <v/>
      </c>
      <c r="V970" s="825" t="str">
        <f>+Modificaciones!AK970</f>
        <v/>
      </c>
      <c r="W970" s="825">
        <f t="shared" si="189"/>
        <v>44439</v>
      </c>
      <c r="X970" s="59">
        <f t="shared" si="188"/>
        <v>417474392</v>
      </c>
      <c r="Y970" s="151">
        <f>VLOOKUP(E970,Modificaciones!$B$7:$BE$2300,56,0)</f>
        <v>0</v>
      </c>
      <c r="Z970" s="84">
        <f t="shared" si="185"/>
        <v>417474392</v>
      </c>
      <c r="AA970" s="1000" t="s">
        <v>6347</v>
      </c>
      <c r="AB970" s="823">
        <f t="shared" si="186"/>
        <v>0</v>
      </c>
      <c r="AC970" s="40">
        <f t="shared" ca="1" si="190"/>
        <v>0.42032967032967034</v>
      </c>
      <c r="AD970" s="41">
        <f t="shared" ca="1" si="191"/>
        <v>0.42032967032967034</v>
      </c>
      <c r="AE970" s="181">
        <f t="shared" ca="1" si="192"/>
        <v>211</v>
      </c>
      <c r="AF970" s="42" t="str">
        <f t="shared" si="187"/>
        <v>NO</v>
      </c>
      <c r="AG970" s="406" t="s">
        <v>6199</v>
      </c>
      <c r="AH970" s="841" t="s">
        <v>1256</v>
      </c>
      <c r="AI970" s="841" t="s">
        <v>6348</v>
      </c>
      <c r="AJ970" s="414" t="s">
        <v>1438</v>
      </c>
      <c r="AK970" s="255" t="s">
        <v>560</v>
      </c>
      <c r="AL970" s="838" t="s">
        <v>4850</v>
      </c>
      <c r="AM970" s="838" t="s">
        <v>5734</v>
      </c>
      <c r="AN970" s="161" t="str">
        <f t="shared" ca="1" si="193"/>
        <v>EN EJECUCIÓN</v>
      </c>
      <c r="AO970" s="414" t="s">
        <v>5112</v>
      </c>
      <c r="AP970" s="406" t="s">
        <v>390</v>
      </c>
      <c r="AQ970" s="819" t="str">
        <f>IFERROR(VLOOKUP(E970,'liquidaciones '!$B$2:$C$1048576,2,0),"NO")</f>
        <v>NO</v>
      </c>
      <c r="AR970" s="909" t="str">
        <f>IFERROR(VLOOKUP(E970,'liquidaciones '!$B$2:$I$1048576,8,0),"")</f>
        <v/>
      </c>
      <c r="AS970" s="406"/>
      <c r="AT970" s="156" t="str">
        <f t="shared" ca="1" si="194"/>
        <v>SI</v>
      </c>
      <c r="AU970" s="1023" t="s">
        <v>5963</v>
      </c>
      <c r="AV970" s="1001"/>
      <c r="AW970" s="930" t="s">
        <v>560</v>
      </c>
      <c r="AX970" s="928"/>
      <c r="AY970" s="928"/>
    </row>
    <row r="971" spans="3:51" ht="40.799999999999997" x14ac:dyDescent="0.3">
      <c r="C971" s="837">
        <v>1378</v>
      </c>
      <c r="E971" s="120" t="s">
        <v>6355</v>
      </c>
      <c r="F971" s="414" t="s">
        <v>6354</v>
      </c>
      <c r="G971" s="863">
        <v>79945403</v>
      </c>
      <c r="H971" s="969" t="s">
        <v>6356</v>
      </c>
      <c r="I971" s="84">
        <v>17560000</v>
      </c>
      <c r="J971" s="843" t="s">
        <v>6333</v>
      </c>
      <c r="K971" s="269">
        <v>2020</v>
      </c>
      <c r="L971" s="519">
        <v>44067</v>
      </c>
      <c r="M971" s="844">
        <v>44078</v>
      </c>
      <c r="N971" s="844">
        <v>44196</v>
      </c>
      <c r="O971" s="1099" t="str">
        <f>IF(+Modificaciones!I971=0,"",VLOOKUP(E971,Modificaciones!$B$7:$I$2400,8,0))</f>
        <v/>
      </c>
      <c r="P971" s="115">
        <f>COUNTA(Modificaciones!J971,Modificaciones!L971,Modificaciones!N971,Modificaciones!P971)</f>
        <v>0</v>
      </c>
      <c r="Q971" s="116">
        <f>VLOOKUP(E971,Modificaciones!$B$7:$R$2300,17,0)</f>
        <v>0</v>
      </c>
      <c r="R971" s="117">
        <f>COUNTA(Modificaciones!T971,Modificaciones!V971,Modificaciones!X971,Modificaciones!Z971)</f>
        <v>0</v>
      </c>
      <c r="S971" s="118" t="str">
        <f>IF(Modificaciones!AA971=0,"",VLOOKUP(E971,Modificaciones!$B$7:$AA$2400,26,0))</f>
        <v/>
      </c>
      <c r="T971" s="119" t="str">
        <f>IF(Modificaciones!AB971=0,"",VLOOKUP(E971,Modificaciones!$B$7:$AB$2400,27,0))</f>
        <v/>
      </c>
      <c r="U971" s="1080" t="str">
        <f>+Modificaciones!AC971</f>
        <v/>
      </c>
      <c r="V971" s="825" t="str">
        <f>+Modificaciones!AK971</f>
        <v/>
      </c>
      <c r="W971" s="825">
        <f t="shared" si="189"/>
        <v>44196</v>
      </c>
      <c r="X971" s="59">
        <f t="shared" si="188"/>
        <v>17560000</v>
      </c>
      <c r="Y971" s="151">
        <f>VLOOKUP(E971,Modificaciones!$B$7:$BE$2300,56,0)</f>
        <v>17121000</v>
      </c>
      <c r="Z971" s="84">
        <f t="shared" si="185"/>
        <v>439000</v>
      </c>
      <c r="AA971" s="1000" t="s">
        <v>5324</v>
      </c>
      <c r="AB971" s="823">
        <f t="shared" si="186"/>
        <v>0.97499999999999998</v>
      </c>
      <c r="AC971" s="40">
        <f t="shared" ca="1" si="190"/>
        <v>1</v>
      </c>
      <c r="AD971" s="41">
        <f t="shared" ca="1" si="191"/>
        <v>2.5000000000000022E-2</v>
      </c>
      <c r="AE971" s="181" t="str">
        <f t="shared" ca="1" si="192"/>
        <v/>
      </c>
      <c r="AF971" s="42" t="str">
        <f t="shared" si="187"/>
        <v>NO</v>
      </c>
      <c r="AG971" s="414" t="s">
        <v>5773</v>
      </c>
      <c r="AH971" s="841" t="s">
        <v>1255</v>
      </c>
      <c r="AI971" s="870" t="s">
        <v>6332</v>
      </c>
      <c r="AJ971" s="838"/>
      <c r="AK971" s="255" t="s">
        <v>6181</v>
      </c>
      <c r="AL971" s="838"/>
      <c r="AM971" s="414" t="s">
        <v>5873</v>
      </c>
      <c r="AN971" s="161" t="str">
        <f t="shared" ca="1" si="193"/>
        <v>TERMINO</v>
      </c>
      <c r="AO971" s="284" t="s">
        <v>582</v>
      </c>
      <c r="AP971" s="406" t="s">
        <v>391</v>
      </c>
      <c r="AQ971" s="819" t="str">
        <f>IFERROR(VLOOKUP(E971,'liquidaciones '!$B$2:$C$1048576,2,0),"NO")</f>
        <v>NO</v>
      </c>
      <c r="AR971" s="909" t="str">
        <f>IFERROR(VLOOKUP(E971,'liquidaciones '!$B$2:$I$1048576,8,0),"")</f>
        <v/>
      </c>
      <c r="AS971" s="406"/>
      <c r="AT971" s="156" t="str">
        <f t="shared" ca="1" si="194"/>
        <v>SI</v>
      </c>
      <c r="AU971" s="1131" t="s">
        <v>4805</v>
      </c>
      <c r="AV971" s="1001"/>
      <c r="AW971" s="930" t="s">
        <v>6181</v>
      </c>
      <c r="AX971" s="928"/>
      <c r="AY971" s="928"/>
    </row>
    <row r="972" spans="3:51" ht="40.799999999999997" x14ac:dyDescent="0.3">
      <c r="C972" s="837">
        <v>1378</v>
      </c>
      <c r="E972" s="120" t="s">
        <v>6357</v>
      </c>
      <c r="F972" s="414" t="s">
        <v>6358</v>
      </c>
      <c r="G972" s="863">
        <v>1098710301</v>
      </c>
      <c r="H972" s="969" t="s">
        <v>6331</v>
      </c>
      <c r="I972" s="84">
        <v>17560000</v>
      </c>
      <c r="J972" s="843" t="s">
        <v>6333</v>
      </c>
      <c r="K972" s="269">
        <v>2020</v>
      </c>
      <c r="L972" s="519">
        <v>44067</v>
      </c>
      <c r="M972" s="844">
        <v>44078</v>
      </c>
      <c r="N972" s="844">
        <v>44196</v>
      </c>
      <c r="O972" s="1099" t="str">
        <f>IF(+Modificaciones!I972=0,"",VLOOKUP(E972,Modificaciones!$B$7:$I$2400,8,0))</f>
        <v/>
      </c>
      <c r="P972" s="115">
        <f>COUNTA(Modificaciones!J972,Modificaciones!L972,Modificaciones!N972,Modificaciones!P972)</f>
        <v>0</v>
      </c>
      <c r="Q972" s="116">
        <f>VLOOKUP(E972,Modificaciones!$B$7:$R$2300,17,0)</f>
        <v>0</v>
      </c>
      <c r="R972" s="117">
        <f>COUNTA(Modificaciones!T972,Modificaciones!V972,Modificaciones!X972,Modificaciones!Z972)</f>
        <v>0</v>
      </c>
      <c r="S972" s="118" t="str">
        <f>IF(Modificaciones!AA972=0,"",VLOOKUP(E972,Modificaciones!$B$7:$AA$2400,26,0))</f>
        <v/>
      </c>
      <c r="T972" s="119" t="str">
        <f>IF(Modificaciones!AB972=0,"",VLOOKUP(E972,Modificaciones!$B$7:$AB$2400,27,0))</f>
        <v/>
      </c>
      <c r="U972" s="1080" t="str">
        <f>+Modificaciones!AC972</f>
        <v/>
      </c>
      <c r="V972" s="825" t="str">
        <f>+Modificaciones!AK972</f>
        <v/>
      </c>
      <c r="W972" s="825">
        <f t="shared" si="189"/>
        <v>44196</v>
      </c>
      <c r="X972" s="59">
        <f t="shared" si="188"/>
        <v>17560000</v>
      </c>
      <c r="Y972" s="151">
        <f>VLOOKUP(E972,Modificaciones!$B$7:$BE$2300,56,0)</f>
        <v>17121000</v>
      </c>
      <c r="Z972" s="84">
        <f t="shared" si="185"/>
        <v>439000</v>
      </c>
      <c r="AA972" s="1000" t="s">
        <v>5324</v>
      </c>
      <c r="AB972" s="823">
        <f t="shared" si="186"/>
        <v>0.97499999999999998</v>
      </c>
      <c r="AC972" s="40">
        <f t="shared" ca="1" si="190"/>
        <v>1</v>
      </c>
      <c r="AD972" s="41">
        <f t="shared" ca="1" si="191"/>
        <v>2.5000000000000022E-2</v>
      </c>
      <c r="AE972" s="181" t="str">
        <f t="shared" ca="1" si="192"/>
        <v/>
      </c>
      <c r="AF972" s="42" t="str">
        <f t="shared" si="187"/>
        <v>NO</v>
      </c>
      <c r="AG972" s="414" t="s">
        <v>5773</v>
      </c>
      <c r="AH972" s="841" t="s">
        <v>1255</v>
      </c>
      <c r="AI972" s="870" t="s">
        <v>6332</v>
      </c>
      <c r="AJ972" s="838"/>
      <c r="AK972" s="255" t="s">
        <v>6181</v>
      </c>
      <c r="AL972" s="838"/>
      <c r="AM972" s="414" t="s">
        <v>5873</v>
      </c>
      <c r="AN972" s="161" t="str">
        <f t="shared" ca="1" si="193"/>
        <v>TERMINO</v>
      </c>
      <c r="AO972" s="284" t="s">
        <v>582</v>
      </c>
      <c r="AP972" s="406" t="s">
        <v>391</v>
      </c>
      <c r="AQ972" s="819" t="str">
        <f>IFERROR(VLOOKUP(E972,'liquidaciones '!$B$2:$C$1048576,2,0),"NO")</f>
        <v>NO</v>
      </c>
      <c r="AR972" s="909" t="str">
        <f>IFERROR(VLOOKUP(E972,'liquidaciones '!$B$2:$I$1048576,8,0),"")</f>
        <v/>
      </c>
      <c r="AS972" s="406"/>
      <c r="AT972" s="156" t="str">
        <f t="shared" ca="1" si="194"/>
        <v>SI</v>
      </c>
      <c r="AU972" s="1131" t="s">
        <v>4805</v>
      </c>
      <c r="AV972" s="1001"/>
      <c r="AW972" s="930" t="s">
        <v>6181</v>
      </c>
      <c r="AX972" s="928"/>
      <c r="AY972" s="928"/>
    </row>
    <row r="973" spans="3:51" ht="61.2" x14ac:dyDescent="0.3">
      <c r="C973" s="837">
        <v>1154</v>
      </c>
      <c r="E973" s="120" t="s">
        <v>6366</v>
      </c>
      <c r="F973" s="414" t="s">
        <v>186</v>
      </c>
      <c r="G973" s="863">
        <v>800039398</v>
      </c>
      <c r="H973" s="969" t="s">
        <v>6367</v>
      </c>
      <c r="I973" s="84">
        <v>192024000</v>
      </c>
      <c r="J973" s="843" t="s">
        <v>6370</v>
      </c>
      <c r="K973" s="269">
        <v>2020</v>
      </c>
      <c r="L973" s="519">
        <v>44067</v>
      </c>
      <c r="M973" s="844">
        <v>44078</v>
      </c>
      <c r="N973" s="844">
        <v>44442</v>
      </c>
      <c r="O973" s="1099" t="str">
        <f>IF(+Modificaciones!I973=0,"",VLOOKUP(E973,Modificaciones!$B$7:$I$2400,8,0))</f>
        <v/>
      </c>
      <c r="P973" s="115">
        <f>COUNTA(Modificaciones!J973,Modificaciones!L973,Modificaciones!N973,Modificaciones!P973)</f>
        <v>0</v>
      </c>
      <c r="Q973" s="116">
        <f>VLOOKUP(E973,Modificaciones!$B$7:$R$2300,17,0)</f>
        <v>0</v>
      </c>
      <c r="R973" s="117">
        <f>COUNTA(Modificaciones!T973,Modificaciones!V973,Modificaciones!X973,Modificaciones!Z973)</f>
        <v>0</v>
      </c>
      <c r="S973" s="118" t="str">
        <f>IF(Modificaciones!AA973=0,"",VLOOKUP(E973,Modificaciones!$B$7:$AA$2400,26,0))</f>
        <v/>
      </c>
      <c r="T973" s="119" t="str">
        <f>IF(Modificaciones!AB973=0,"",VLOOKUP(E973,Modificaciones!$B$7:$AB$2400,27,0))</f>
        <v/>
      </c>
      <c r="U973" s="1080" t="str">
        <f>+Modificaciones!AC973</f>
        <v/>
      </c>
      <c r="V973" s="825" t="str">
        <f>+Modificaciones!AK973</f>
        <v/>
      </c>
      <c r="W973" s="825">
        <f t="shared" si="189"/>
        <v>44442</v>
      </c>
      <c r="X973" s="59">
        <f t="shared" si="188"/>
        <v>192024000</v>
      </c>
      <c r="Y973" s="151">
        <f>VLOOKUP(E973,Modificaciones!$B$7:$BE$2300,56,0)</f>
        <v>0</v>
      </c>
      <c r="Z973" s="84">
        <f t="shared" si="185"/>
        <v>192024000</v>
      </c>
      <c r="AA973" s="1000" t="s">
        <v>6368</v>
      </c>
      <c r="AB973" s="823">
        <f t="shared" si="186"/>
        <v>0</v>
      </c>
      <c r="AC973" s="40">
        <f t="shared" ca="1" si="190"/>
        <v>0.41208791208791207</v>
      </c>
      <c r="AD973" s="41">
        <f t="shared" ca="1" si="191"/>
        <v>0.41208791208791207</v>
      </c>
      <c r="AE973" s="181">
        <f t="shared" ca="1" si="192"/>
        <v>214</v>
      </c>
      <c r="AF973" s="42" t="str">
        <f t="shared" si="187"/>
        <v>NO</v>
      </c>
      <c r="AG973" s="406" t="s">
        <v>6199</v>
      </c>
      <c r="AH973" s="841" t="s">
        <v>1256</v>
      </c>
      <c r="AI973" s="870" t="s">
        <v>6369</v>
      </c>
      <c r="AJ973" s="414" t="s">
        <v>1438</v>
      </c>
      <c r="AK973" s="255" t="s">
        <v>560</v>
      </c>
      <c r="AL973" s="838" t="s">
        <v>4850</v>
      </c>
      <c r="AM973" s="838" t="s">
        <v>5734</v>
      </c>
      <c r="AN973" s="161" t="str">
        <f t="shared" ca="1" si="193"/>
        <v>EN EJECUCIÓN</v>
      </c>
      <c r="AO973" s="414" t="s">
        <v>5112</v>
      </c>
      <c r="AP973" s="406" t="s">
        <v>390</v>
      </c>
      <c r="AQ973" s="819" t="str">
        <f>IFERROR(VLOOKUP(E973,'liquidaciones '!$B$2:$C$1048576,2,0),"NO")</f>
        <v>NO</v>
      </c>
      <c r="AR973" s="909" t="str">
        <f>IFERROR(VLOOKUP(E973,'liquidaciones '!$B$2:$I$1048576,8,0),"")</f>
        <v/>
      </c>
      <c r="AS973" s="406"/>
      <c r="AT973" s="156" t="str">
        <f t="shared" ca="1" si="194"/>
        <v>SI</v>
      </c>
      <c r="AU973" s="406" t="s">
        <v>5875</v>
      </c>
      <c r="AV973" s="1001"/>
      <c r="AW973" s="930" t="s">
        <v>560</v>
      </c>
      <c r="AX973" s="928"/>
      <c r="AY973" s="928"/>
    </row>
    <row r="974" spans="3:51" ht="30.6" x14ac:dyDescent="0.3">
      <c r="C974" s="837">
        <v>1228</v>
      </c>
      <c r="E974" s="120" t="s">
        <v>6377</v>
      </c>
      <c r="F974" s="414" t="s">
        <v>4896</v>
      </c>
      <c r="G974" s="863">
        <v>900677188</v>
      </c>
      <c r="H974" s="969" t="s">
        <v>6378</v>
      </c>
      <c r="I974" s="84">
        <v>542181000</v>
      </c>
      <c r="J974" s="843" t="s">
        <v>6379</v>
      </c>
      <c r="K974" s="269">
        <v>2020</v>
      </c>
      <c r="L974" s="519">
        <v>44083</v>
      </c>
      <c r="M974" s="844">
        <v>44088</v>
      </c>
      <c r="N974" s="844">
        <v>44299</v>
      </c>
      <c r="O974" s="1099" t="str">
        <f>IF(+Modificaciones!I974=0,"",VLOOKUP(E974,Modificaciones!$B$7:$I$2400,8,0))</f>
        <v/>
      </c>
      <c r="P974" s="115">
        <f>COUNTA(Modificaciones!J974,Modificaciones!L974,Modificaciones!N974,Modificaciones!P974)</f>
        <v>0</v>
      </c>
      <c r="Q974" s="116">
        <f>VLOOKUP(E974,Modificaciones!$B$7:$R$2300,17,0)</f>
        <v>0</v>
      </c>
      <c r="R974" s="117">
        <f>COUNTA(Modificaciones!T974,Modificaciones!V974,Modificaciones!X974,Modificaciones!Z974)</f>
        <v>0</v>
      </c>
      <c r="S974" s="118" t="str">
        <f>IF(Modificaciones!AA974=0,"",VLOOKUP(E974,Modificaciones!$B$7:$AA$2400,26,0))</f>
        <v/>
      </c>
      <c r="T974" s="119" t="str">
        <f>IF(Modificaciones!AB974=0,"",VLOOKUP(E974,Modificaciones!$B$7:$AB$2400,27,0))</f>
        <v/>
      </c>
      <c r="U974" s="1080" t="str">
        <f>+Modificaciones!AC974</f>
        <v/>
      </c>
      <c r="V974" s="825" t="str">
        <f>+Modificaciones!AK974</f>
        <v/>
      </c>
      <c r="W974" s="825">
        <f t="shared" si="189"/>
        <v>44299</v>
      </c>
      <c r="X974" s="59">
        <f t="shared" si="188"/>
        <v>542181000</v>
      </c>
      <c r="Y974" s="151">
        <f>VLOOKUP(E974,Modificaciones!$B$7:$BE$2300,56,0)</f>
        <v>14529457</v>
      </c>
      <c r="Z974" s="84">
        <f t="shared" si="185"/>
        <v>527651543</v>
      </c>
      <c r="AA974" s="1000" t="s">
        <v>2837</v>
      </c>
      <c r="AB974" s="823">
        <f t="shared" si="186"/>
        <v>2.6798167032780564E-2</v>
      </c>
      <c r="AC974" s="40">
        <f t="shared" ca="1" si="190"/>
        <v>0.6635071090047393</v>
      </c>
      <c r="AD974" s="41">
        <f t="shared" ca="1" si="191"/>
        <v>0.63670894197195871</v>
      </c>
      <c r="AE974" s="181">
        <f t="shared" ca="1" si="192"/>
        <v>71</v>
      </c>
      <c r="AF974" s="42" t="str">
        <f t="shared" si="187"/>
        <v>NO</v>
      </c>
      <c r="AG974" s="406" t="s">
        <v>6199</v>
      </c>
      <c r="AH974" s="841" t="s">
        <v>1255</v>
      </c>
      <c r="AI974" s="841" t="s">
        <v>6380</v>
      </c>
      <c r="AJ974" s="838" t="s">
        <v>4791</v>
      </c>
      <c r="AK974" s="255" t="s">
        <v>564</v>
      </c>
      <c r="AL974" s="838"/>
      <c r="AM974" s="414" t="s">
        <v>5902</v>
      </c>
      <c r="AN974" s="161" t="str">
        <f t="shared" ca="1" si="193"/>
        <v>EN EJECUCIÓN</v>
      </c>
      <c r="AO974" s="414" t="s">
        <v>5112</v>
      </c>
      <c r="AP974" s="406" t="s">
        <v>390</v>
      </c>
      <c r="AQ974" s="819" t="str">
        <f>IFERROR(VLOOKUP(E974,'liquidaciones '!$B$2:$C$1048576,2,0),"NO")</f>
        <v>NO</v>
      </c>
      <c r="AR974" s="909" t="str">
        <f>IFERROR(VLOOKUP(E974,'liquidaciones '!$B$2:$I$1048576,8,0),"")</f>
        <v/>
      </c>
      <c r="AS974" s="406"/>
      <c r="AT974" s="156" t="str">
        <f t="shared" ca="1" si="194"/>
        <v>SI</v>
      </c>
      <c r="AU974" s="1023" t="s">
        <v>5047</v>
      </c>
      <c r="AV974" s="1001"/>
      <c r="AW974" s="930" t="s">
        <v>564</v>
      </c>
      <c r="AX974" s="928"/>
      <c r="AY974" s="928"/>
    </row>
    <row r="975" spans="3:51" ht="28.8" x14ac:dyDescent="0.3">
      <c r="C975" s="837">
        <v>1230</v>
      </c>
      <c r="E975" s="120" t="s">
        <v>6386</v>
      </c>
      <c r="F975" s="414" t="s">
        <v>4525</v>
      </c>
      <c r="G975" s="863" t="s">
        <v>6387</v>
      </c>
      <c r="H975" s="969" t="s">
        <v>6388</v>
      </c>
      <c r="I975" s="84">
        <v>7354200</v>
      </c>
      <c r="J975" s="843" t="s">
        <v>6389</v>
      </c>
      <c r="K975" s="269">
        <v>2020</v>
      </c>
      <c r="L975" s="519">
        <v>44081</v>
      </c>
      <c r="M975" s="844">
        <v>44091</v>
      </c>
      <c r="N975" s="844">
        <v>44181</v>
      </c>
      <c r="O975" s="1099" t="str">
        <f>IF(+Modificaciones!I975=0,"",VLOOKUP(E975,Modificaciones!$B$7:$I$2400,8,0))</f>
        <v/>
      </c>
      <c r="P975" s="115">
        <f>COUNTA(Modificaciones!J975,Modificaciones!L975,Modificaciones!N975,Modificaciones!P975)</f>
        <v>0</v>
      </c>
      <c r="Q975" s="116">
        <f>VLOOKUP(E975,Modificaciones!$B$7:$R$2300,17,0)</f>
        <v>0</v>
      </c>
      <c r="R975" s="117">
        <f>COUNTA(Modificaciones!T975,Modificaciones!V975,Modificaciones!X975,Modificaciones!Z975)</f>
        <v>1</v>
      </c>
      <c r="S975" s="118" t="str">
        <f>IF(Modificaciones!AA975=0,"",VLOOKUP(E975,Modificaciones!$B$7:$AA$2400,26,0))</f>
        <v>2 meses</v>
      </c>
      <c r="T975" s="119">
        <f>IF(Modificaciones!AB975=0,"",VLOOKUP(E975,Modificaciones!$B$7:$AB$2400,27,0))</f>
        <v>44243</v>
      </c>
      <c r="U975" s="1080" t="str">
        <f>+Modificaciones!AC975</f>
        <v/>
      </c>
      <c r="V975" s="825" t="str">
        <f>+Modificaciones!AK975</f>
        <v/>
      </c>
      <c r="W975" s="825">
        <f t="shared" si="189"/>
        <v>44243</v>
      </c>
      <c r="X975" s="59">
        <f t="shared" si="188"/>
        <v>7354200</v>
      </c>
      <c r="Y975" s="151">
        <f>VLOOKUP(E975,Modificaciones!$B$7:$BE$2300,56,0)</f>
        <v>0</v>
      </c>
      <c r="Z975" s="84">
        <f t="shared" si="185"/>
        <v>7354200</v>
      </c>
      <c r="AA975" s="1000" t="s">
        <v>5519</v>
      </c>
      <c r="AB975" s="823">
        <f t="shared" si="186"/>
        <v>0</v>
      </c>
      <c r="AC975" s="40">
        <f t="shared" ca="1" si="190"/>
        <v>0.90131578947368418</v>
      </c>
      <c r="AD975" s="41">
        <f t="shared" ca="1" si="191"/>
        <v>0.90131578947368418</v>
      </c>
      <c r="AE975" s="181">
        <f t="shared" ca="1" si="192"/>
        <v>15</v>
      </c>
      <c r="AF975" s="42" t="str">
        <f t="shared" si="187"/>
        <v>NO</v>
      </c>
      <c r="AG975" s="838" t="s">
        <v>1711</v>
      </c>
      <c r="AH975" s="841" t="s">
        <v>1255</v>
      </c>
      <c r="AI975" s="841" t="s">
        <v>5308</v>
      </c>
      <c r="AJ975" s="838"/>
      <c r="AK975" s="255" t="s">
        <v>560</v>
      </c>
      <c r="AL975" s="838" t="s">
        <v>4333</v>
      </c>
      <c r="AM975" s="838" t="s">
        <v>6068</v>
      </c>
      <c r="AN975" s="161" t="str">
        <f t="shared" ca="1" si="193"/>
        <v>EN EJECUCIÓN</v>
      </c>
      <c r="AO975" s="414" t="s">
        <v>5452</v>
      </c>
      <c r="AP975" s="406" t="s">
        <v>391</v>
      </c>
      <c r="AQ975" s="819" t="str">
        <f>IFERROR(VLOOKUP(E975,'liquidaciones '!$B$2:$C$1048576,2,0),"NO")</f>
        <v>NO</v>
      </c>
      <c r="AR975" s="909" t="str">
        <f>IFERROR(VLOOKUP(E975,'liquidaciones '!$B$2:$I$1048576,8,0),"")</f>
        <v/>
      </c>
      <c r="AS975" s="406"/>
      <c r="AT975" s="156" t="s">
        <v>390</v>
      </c>
      <c r="AU975" s="1132" t="s">
        <v>5047</v>
      </c>
      <c r="AV975" s="1001"/>
      <c r="AW975" s="930" t="s">
        <v>560</v>
      </c>
      <c r="AX975" s="930" t="s">
        <v>6535</v>
      </c>
      <c r="AY975" s="928"/>
    </row>
    <row r="976" spans="3:51" ht="28.8" x14ac:dyDescent="0.3">
      <c r="C976" s="837">
        <v>1197</v>
      </c>
      <c r="E976" s="120" t="s">
        <v>6392</v>
      </c>
      <c r="F976" s="414" t="s">
        <v>6393</v>
      </c>
      <c r="G976" s="863" t="s">
        <v>2922</v>
      </c>
      <c r="H976" s="969" t="s">
        <v>5191</v>
      </c>
      <c r="I976" s="84">
        <v>42917000</v>
      </c>
      <c r="J976" s="843" t="s">
        <v>6395</v>
      </c>
      <c r="K976" s="269">
        <v>2020</v>
      </c>
      <c r="L976" s="519">
        <v>44091</v>
      </c>
      <c r="M976" s="844">
        <v>44118</v>
      </c>
      <c r="N976" s="844">
        <v>44360</v>
      </c>
      <c r="O976" s="1099" t="str">
        <f>IF(+Modificaciones!I976=0,"",VLOOKUP(E976,Modificaciones!$B$7:$I$2400,8,0))</f>
        <v/>
      </c>
      <c r="P976" s="115">
        <f>COUNTA(Modificaciones!J976,Modificaciones!L976,Modificaciones!N976,Modificaciones!P976)</f>
        <v>0</v>
      </c>
      <c r="Q976" s="116">
        <f>VLOOKUP(E976,Modificaciones!$B$7:$R$2300,17,0)</f>
        <v>0</v>
      </c>
      <c r="R976" s="117">
        <f>COUNTA(Modificaciones!T976,Modificaciones!V976,Modificaciones!X976,Modificaciones!Z976)</f>
        <v>0</v>
      </c>
      <c r="S976" s="118" t="str">
        <f>IF(Modificaciones!AA976=0,"",VLOOKUP(E976,Modificaciones!$B$7:$AA$2400,26,0))</f>
        <v/>
      </c>
      <c r="T976" s="119" t="str">
        <f>IF(Modificaciones!AB976=0,"",VLOOKUP(E976,Modificaciones!$B$7:$AB$2400,27,0))</f>
        <v/>
      </c>
      <c r="U976" s="1080" t="str">
        <f>+Modificaciones!AC976</f>
        <v/>
      </c>
      <c r="V976" s="825" t="str">
        <f>+Modificaciones!AK976</f>
        <v/>
      </c>
      <c r="W976" s="825">
        <f t="shared" si="189"/>
        <v>44360</v>
      </c>
      <c r="X976" s="59">
        <f t="shared" si="188"/>
        <v>42917000</v>
      </c>
      <c r="Y976" s="151">
        <f>VLOOKUP(E976,Modificaciones!$B$7:$BE$2300,56,0)</f>
        <v>0</v>
      </c>
      <c r="Z976" s="84">
        <f t="shared" si="185"/>
        <v>42917000</v>
      </c>
      <c r="AA976" s="1000" t="s">
        <v>5324</v>
      </c>
      <c r="AB976" s="823">
        <f t="shared" si="186"/>
        <v>0</v>
      </c>
      <c r="AC976" s="40">
        <f t="shared" ca="1" si="190"/>
        <v>0.45454545454545453</v>
      </c>
      <c r="AD976" s="41">
        <f t="shared" ca="1" si="191"/>
        <v>0.45454545454545453</v>
      </c>
      <c r="AE976" s="181">
        <f t="shared" ca="1" si="192"/>
        <v>132</v>
      </c>
      <c r="AF976" s="42" t="str">
        <f t="shared" si="187"/>
        <v>NO</v>
      </c>
      <c r="AG976" s="838" t="s">
        <v>1712</v>
      </c>
      <c r="AH976" s="841" t="s">
        <v>1255</v>
      </c>
      <c r="AI976" s="841" t="s">
        <v>6394</v>
      </c>
      <c r="AJ976" s="838"/>
      <c r="AK976" s="255" t="s">
        <v>562</v>
      </c>
      <c r="AL976" s="838"/>
      <c r="AM976" s="838" t="s">
        <v>6312</v>
      </c>
      <c r="AN976" s="161" t="str">
        <f t="shared" ca="1" si="193"/>
        <v>EN EJECUCIÓN</v>
      </c>
      <c r="AO976" s="414" t="s">
        <v>5452</v>
      </c>
      <c r="AP976" s="406" t="s">
        <v>390</v>
      </c>
      <c r="AQ976" s="819" t="str">
        <f>IFERROR(VLOOKUP(E976,'liquidaciones '!$B$2:$C$1048576,2,0),"NO")</f>
        <v>NO</v>
      </c>
      <c r="AR976" s="909" t="str">
        <f>IFERROR(VLOOKUP(E976,'liquidaciones '!$B$2:$I$1048576,8,0),"")</f>
        <v/>
      </c>
      <c r="AS976" s="406"/>
      <c r="AT976" s="156" t="str">
        <f t="shared" ca="1" si="194"/>
        <v>SI</v>
      </c>
      <c r="AU976" s="1023" t="s">
        <v>5850</v>
      </c>
      <c r="AV976" s="1001"/>
      <c r="AW976" s="930" t="s">
        <v>5092</v>
      </c>
      <c r="AX976" s="928"/>
      <c r="AY976" s="928"/>
    </row>
    <row r="977" spans="3:51" ht="30.6" x14ac:dyDescent="0.3">
      <c r="C977" s="837">
        <v>1173</v>
      </c>
      <c r="E977" s="120" t="s">
        <v>6398</v>
      </c>
      <c r="F977" s="414" t="s">
        <v>6397</v>
      </c>
      <c r="G977" s="863">
        <v>41747050</v>
      </c>
      <c r="H977" s="969" t="s">
        <v>6399</v>
      </c>
      <c r="I977" s="84">
        <v>22330000</v>
      </c>
      <c r="J977" s="843" t="s">
        <v>6401</v>
      </c>
      <c r="K977" s="269">
        <v>2020</v>
      </c>
      <c r="L977" s="519">
        <v>44083</v>
      </c>
      <c r="M977" s="844">
        <v>44098</v>
      </c>
      <c r="N977" s="844">
        <v>44196</v>
      </c>
      <c r="O977" s="1099" t="str">
        <f>IF(+Modificaciones!I977=0,"",VLOOKUP(E977,Modificaciones!$B$7:$I$2400,8,0))</f>
        <v/>
      </c>
      <c r="P977" s="115">
        <f>COUNTA(Modificaciones!J977,Modificaciones!L977,Modificaciones!N977,Modificaciones!P977)</f>
        <v>0</v>
      </c>
      <c r="Q977" s="116">
        <f>VLOOKUP(E977,Modificaciones!$B$7:$R$2300,17,0)</f>
        <v>0</v>
      </c>
      <c r="R977" s="117">
        <f>COUNTA(Modificaciones!T977,Modificaciones!V977,Modificaciones!X977,Modificaciones!Z977)</f>
        <v>0</v>
      </c>
      <c r="S977" s="118" t="str">
        <f>IF(Modificaciones!AA977=0,"",VLOOKUP(E977,Modificaciones!$B$7:$AA$2400,26,0))</f>
        <v/>
      </c>
      <c r="T977" s="119" t="str">
        <f>IF(Modificaciones!AB977=0,"",VLOOKUP(E977,Modificaciones!$B$7:$AB$2400,27,0))</f>
        <v/>
      </c>
      <c r="U977" s="1080" t="str">
        <f>+Modificaciones!AC977</f>
        <v/>
      </c>
      <c r="V977" s="825" t="str">
        <f>+Modificaciones!AK977</f>
        <v/>
      </c>
      <c r="W977" s="825">
        <f t="shared" si="189"/>
        <v>44196</v>
      </c>
      <c r="X977" s="59">
        <f t="shared" si="188"/>
        <v>22330000</v>
      </c>
      <c r="Y977" s="151">
        <f>VLOOKUP(E977,Modificaciones!$B$7:$BE$2300,56,0)</f>
        <v>14440067</v>
      </c>
      <c r="Z977" s="84">
        <f t="shared" si="185"/>
        <v>7889933</v>
      </c>
      <c r="AA977" s="1000" t="s">
        <v>5324</v>
      </c>
      <c r="AB977" s="823">
        <f t="shared" si="186"/>
        <v>0.64666668159426777</v>
      </c>
      <c r="AC977" s="40">
        <f t="shared" ca="1" si="190"/>
        <v>1</v>
      </c>
      <c r="AD977" s="41">
        <f t="shared" ca="1" si="191"/>
        <v>0.35333331840573223</v>
      </c>
      <c r="AE977" s="181" t="str">
        <f t="shared" ca="1" si="192"/>
        <v/>
      </c>
      <c r="AF977" s="42" t="str">
        <f t="shared" si="187"/>
        <v>NO</v>
      </c>
      <c r="AG977" s="414" t="s">
        <v>5773</v>
      </c>
      <c r="AH977" s="841" t="s">
        <v>1255</v>
      </c>
      <c r="AI977" s="841" t="s">
        <v>6400</v>
      </c>
      <c r="AJ977" s="838" t="s">
        <v>1279</v>
      </c>
      <c r="AK977" s="255" t="s">
        <v>560</v>
      </c>
      <c r="AL977" s="838" t="s">
        <v>4624</v>
      </c>
      <c r="AM977" s="838" t="s">
        <v>6068</v>
      </c>
      <c r="AN977" s="161" t="str">
        <f t="shared" ca="1" si="193"/>
        <v>TERMINO</v>
      </c>
      <c r="AO977" s="284" t="s">
        <v>582</v>
      </c>
      <c r="AP977" s="406" t="s">
        <v>391</v>
      </c>
      <c r="AQ977" s="819" t="str">
        <f>IFERROR(VLOOKUP(E977,'liquidaciones '!$B$2:$C$1048576,2,0),"NO")</f>
        <v>NO</v>
      </c>
      <c r="AR977" s="909" t="str">
        <f>IFERROR(VLOOKUP(E977,'liquidaciones '!$B$2:$I$1048576,8,0),"")</f>
        <v/>
      </c>
      <c r="AS977" s="406"/>
      <c r="AT977" s="156" t="str">
        <f t="shared" ca="1" si="194"/>
        <v>SI</v>
      </c>
      <c r="AU977" s="1023" t="s">
        <v>4805</v>
      </c>
      <c r="AV977" s="1001"/>
      <c r="AW977" s="930" t="s">
        <v>6064</v>
      </c>
      <c r="AX977" s="928"/>
      <c r="AY977" s="928"/>
    </row>
    <row r="978" spans="3:51" ht="28.8" x14ac:dyDescent="0.3">
      <c r="C978" s="837">
        <v>1201</v>
      </c>
      <c r="E978" s="120" t="s">
        <v>6406</v>
      </c>
      <c r="F978" s="414" t="s">
        <v>33</v>
      </c>
      <c r="G978" s="863" t="s">
        <v>6413</v>
      </c>
      <c r="H978" s="969" t="s">
        <v>6407</v>
      </c>
      <c r="I978" s="84">
        <v>1077000</v>
      </c>
      <c r="J978" s="843" t="s">
        <v>6409</v>
      </c>
      <c r="K978" s="269">
        <v>2020</v>
      </c>
      <c r="L978" s="519">
        <v>44092</v>
      </c>
      <c r="M978" s="844">
        <v>44140</v>
      </c>
      <c r="N978" s="844">
        <v>44504</v>
      </c>
      <c r="O978" s="1099" t="str">
        <f>IF(+Modificaciones!I978=0,"",VLOOKUP(E978,Modificaciones!$B$7:$I$2400,8,0))</f>
        <v/>
      </c>
      <c r="P978" s="115">
        <f>COUNTA(Modificaciones!J978,Modificaciones!L978,Modificaciones!N978,Modificaciones!P978)</f>
        <v>0</v>
      </c>
      <c r="Q978" s="116">
        <f>VLOOKUP(E978,Modificaciones!$B$7:$R$2300,17,0)</f>
        <v>0</v>
      </c>
      <c r="R978" s="117">
        <f>COUNTA(Modificaciones!T978,Modificaciones!V978,Modificaciones!X978,Modificaciones!Z978)</f>
        <v>0</v>
      </c>
      <c r="S978" s="118" t="str">
        <f>IF(Modificaciones!AA978=0,"",VLOOKUP(E978,Modificaciones!$B$7:$AA$2400,26,0))</f>
        <v/>
      </c>
      <c r="T978" s="119" t="str">
        <f>IF(Modificaciones!AB978=0,"",VLOOKUP(E978,Modificaciones!$B$7:$AB$2400,27,0))</f>
        <v/>
      </c>
      <c r="U978" s="1080" t="str">
        <f>+Modificaciones!AC978</f>
        <v/>
      </c>
      <c r="V978" s="825" t="str">
        <f>+Modificaciones!AK978</f>
        <v/>
      </c>
      <c r="W978" s="825">
        <f t="shared" si="189"/>
        <v>44504</v>
      </c>
      <c r="X978" s="59">
        <f t="shared" si="188"/>
        <v>1077000</v>
      </c>
      <c r="Y978" s="151">
        <f>VLOOKUP(E978,Modificaciones!$B$7:$BE$2300,56,0)</f>
        <v>0</v>
      </c>
      <c r="Z978" s="84">
        <f t="shared" si="185"/>
        <v>1077000</v>
      </c>
      <c r="AA978" s="1000" t="s">
        <v>5519</v>
      </c>
      <c r="AB978" s="823">
        <f t="shared" si="186"/>
        <v>0</v>
      </c>
      <c r="AC978" s="40">
        <f t="shared" ca="1" si="190"/>
        <v>0.24175824175824176</v>
      </c>
      <c r="AD978" s="41">
        <f t="shared" ca="1" si="191"/>
        <v>0.24175824175824176</v>
      </c>
      <c r="AE978" s="181">
        <f t="shared" ca="1" si="192"/>
        <v>276</v>
      </c>
      <c r="AF978" s="42" t="str">
        <f t="shared" si="187"/>
        <v>NO</v>
      </c>
      <c r="AG978" s="838" t="s">
        <v>1713</v>
      </c>
      <c r="AH978" s="841" t="s">
        <v>1255</v>
      </c>
      <c r="AI978" s="841" t="s">
        <v>6408</v>
      </c>
      <c r="AJ978" s="838"/>
      <c r="AK978" s="255" t="s">
        <v>564</v>
      </c>
      <c r="AL978" s="838"/>
      <c r="AM978" s="414" t="s">
        <v>5902</v>
      </c>
      <c r="AN978" s="161" t="str">
        <f t="shared" ca="1" si="193"/>
        <v>EN EJECUCIÓN</v>
      </c>
      <c r="AO978" s="284" t="s">
        <v>582</v>
      </c>
      <c r="AP978" s="406" t="s">
        <v>391</v>
      </c>
      <c r="AQ978" s="819" t="str">
        <f>IFERROR(VLOOKUP(E978,'liquidaciones '!$B$2:$C$1048576,2,0),"NO")</f>
        <v>NO</v>
      </c>
      <c r="AR978" s="909" t="str">
        <f>IFERROR(VLOOKUP(E978,'liquidaciones '!$B$2:$I$1048576,8,0),"")</f>
        <v/>
      </c>
      <c r="AS978" s="406"/>
      <c r="AT978" s="156" t="str">
        <f t="shared" ca="1" si="194"/>
        <v>SI</v>
      </c>
      <c r="AU978" s="1023" t="s">
        <v>5851</v>
      </c>
      <c r="AV978" s="1001"/>
      <c r="AW978" s="930" t="s">
        <v>564</v>
      </c>
      <c r="AX978" s="928"/>
      <c r="AY978" s="928"/>
    </row>
    <row r="979" spans="3:51" ht="30.6" x14ac:dyDescent="0.3">
      <c r="C979" s="837">
        <v>1099</v>
      </c>
      <c r="E979" s="120" t="s">
        <v>6410</v>
      </c>
      <c r="F979" s="414" t="s">
        <v>6412</v>
      </c>
      <c r="G979" s="863" t="s">
        <v>6414</v>
      </c>
      <c r="H979" s="969" t="s">
        <v>6411</v>
      </c>
      <c r="I979" s="84">
        <v>341584615</v>
      </c>
      <c r="J979" s="843" t="s">
        <v>6416</v>
      </c>
      <c r="K979" s="269">
        <v>2020</v>
      </c>
      <c r="L979" s="519">
        <v>44096</v>
      </c>
      <c r="M979" s="844">
        <v>44103</v>
      </c>
      <c r="N979" s="844">
        <v>44283</v>
      </c>
      <c r="O979" s="1099" t="str">
        <f>IF(+Modificaciones!I979=0,"",VLOOKUP(E979,Modificaciones!$B$7:$I$2400,8,0))</f>
        <v/>
      </c>
      <c r="P979" s="115">
        <f>COUNTA(Modificaciones!J979,Modificaciones!L979,Modificaciones!N979,Modificaciones!P979)</f>
        <v>0</v>
      </c>
      <c r="Q979" s="116">
        <f>VLOOKUP(E979,Modificaciones!$B$7:$R$2300,17,0)</f>
        <v>0</v>
      </c>
      <c r="R979" s="117">
        <f>COUNTA(Modificaciones!T979,Modificaciones!V979,Modificaciones!X979,Modificaciones!Z979)</f>
        <v>0</v>
      </c>
      <c r="S979" s="118" t="str">
        <f>IF(Modificaciones!AA979=0,"",VLOOKUP(E979,Modificaciones!$B$7:$AA$2400,26,0))</f>
        <v/>
      </c>
      <c r="T979" s="119" t="str">
        <f>IF(Modificaciones!AB979=0,"",VLOOKUP(E979,Modificaciones!$B$7:$AB$2400,27,0))</f>
        <v/>
      </c>
      <c r="U979" s="1080" t="str">
        <f>+Modificaciones!AC979</f>
        <v/>
      </c>
      <c r="V979" s="825">
        <v>6</v>
      </c>
      <c r="W979" s="825">
        <f t="shared" si="189"/>
        <v>44283</v>
      </c>
      <c r="X979" s="59">
        <f t="shared" si="188"/>
        <v>341584615</v>
      </c>
      <c r="Y979" s="151">
        <f>VLOOKUP(E979,Modificaciones!$B$7:$BE$2300,56,0)</f>
        <v>0</v>
      </c>
      <c r="Z979" s="84">
        <f t="shared" si="185"/>
        <v>341584615</v>
      </c>
      <c r="AA979" s="1000" t="s">
        <v>4980</v>
      </c>
      <c r="AB979" s="823">
        <f t="shared" si="186"/>
        <v>0</v>
      </c>
      <c r="AC979" s="40">
        <f t="shared" ca="1" si="190"/>
        <v>0.69444444444444442</v>
      </c>
      <c r="AD979" s="41">
        <f t="shared" ca="1" si="191"/>
        <v>0.69444444444444442</v>
      </c>
      <c r="AE979" s="181">
        <f t="shared" ca="1" si="192"/>
        <v>55</v>
      </c>
      <c r="AF979" s="42" t="str">
        <f t="shared" si="187"/>
        <v>NO</v>
      </c>
      <c r="AG979" s="406" t="s">
        <v>6199</v>
      </c>
      <c r="AH979" s="841" t="s">
        <v>1256</v>
      </c>
      <c r="AI979" s="870" t="s">
        <v>2183</v>
      </c>
      <c r="AJ979" s="414" t="s">
        <v>1438</v>
      </c>
      <c r="AK979" s="255" t="s">
        <v>560</v>
      </c>
      <c r="AL979" s="838" t="s">
        <v>4850</v>
      </c>
      <c r="AM979" s="838" t="s">
        <v>5734</v>
      </c>
      <c r="AN979" s="161" t="str">
        <f t="shared" ca="1" si="193"/>
        <v>EN EJECUCIÓN</v>
      </c>
      <c r="AO979" s="414" t="s">
        <v>6415</v>
      </c>
      <c r="AP979" s="406" t="s">
        <v>390</v>
      </c>
      <c r="AQ979" s="819" t="str">
        <f>IFERROR(VLOOKUP(E979,'liquidaciones '!$B$2:$C$1048576,2,0),"NO")</f>
        <v>NO</v>
      </c>
      <c r="AR979" s="909" t="str">
        <f>IFERROR(VLOOKUP(E979,'liquidaciones '!$B$2:$I$1048576,8,0),"")</f>
        <v/>
      </c>
      <c r="AS979" s="406"/>
      <c r="AT979" s="156" t="str">
        <f t="shared" ca="1" si="194"/>
        <v>SI</v>
      </c>
      <c r="AU979" s="1023" t="s">
        <v>5919</v>
      </c>
      <c r="AV979" s="1001"/>
      <c r="AW979" s="930" t="s">
        <v>560</v>
      </c>
      <c r="AX979" s="928"/>
      <c r="AY979" s="928"/>
    </row>
    <row r="980" spans="3:51" ht="40.799999999999997" x14ac:dyDescent="0.3">
      <c r="C980" s="837">
        <v>1378</v>
      </c>
      <c r="E980" s="120" t="s">
        <v>6418</v>
      </c>
      <c r="F980" s="414" t="s">
        <v>6419</v>
      </c>
      <c r="G980" s="863">
        <v>1020729422</v>
      </c>
      <c r="H980" s="969" t="s">
        <v>6331</v>
      </c>
      <c r="I980" s="84">
        <v>17560000</v>
      </c>
      <c r="J980" s="843" t="s">
        <v>6333</v>
      </c>
      <c r="K980" s="269">
        <v>2020</v>
      </c>
      <c r="L980" s="519">
        <v>44092</v>
      </c>
      <c r="M980" s="844">
        <v>44103</v>
      </c>
      <c r="N980" s="844">
        <v>44196</v>
      </c>
      <c r="O980" s="1099" t="str">
        <f>IF(+Modificaciones!I980=0,"",VLOOKUP(E980,Modificaciones!$B$7:$I$2400,8,0))</f>
        <v/>
      </c>
      <c r="P980" s="115">
        <f>COUNTA(Modificaciones!J980,Modificaciones!L980,Modificaciones!N980,Modificaciones!P980)</f>
        <v>0</v>
      </c>
      <c r="Q980" s="116">
        <f>VLOOKUP(E980,Modificaciones!$B$7:$R$2300,17,0)</f>
        <v>0</v>
      </c>
      <c r="R980" s="117">
        <f>COUNTA(Modificaciones!T980,Modificaciones!V980,Modificaciones!X980,Modificaciones!Z980)</f>
        <v>0</v>
      </c>
      <c r="S980" s="118" t="str">
        <f>IF(Modificaciones!AA980=0,"",VLOOKUP(E980,Modificaciones!$B$7:$AA$2400,26,0))</f>
        <v/>
      </c>
      <c r="T980" s="119" t="str">
        <f>IF(Modificaciones!AB980=0,"",VLOOKUP(E980,Modificaciones!$B$7:$AB$2400,27,0))</f>
        <v/>
      </c>
      <c r="U980" s="1080" t="str">
        <f>+Modificaciones!AC980</f>
        <v/>
      </c>
      <c r="V980" s="825" t="str">
        <f>+Modificaciones!AK980</f>
        <v/>
      </c>
      <c r="W980" s="825">
        <f t="shared" si="189"/>
        <v>44196</v>
      </c>
      <c r="X980" s="59">
        <f t="shared" si="188"/>
        <v>17560000</v>
      </c>
      <c r="Y980" s="151">
        <f>VLOOKUP(E980,Modificaciones!$B$7:$BE$2300,56,0)</f>
        <v>13462667</v>
      </c>
      <c r="Z980" s="84">
        <f t="shared" si="185"/>
        <v>4097333</v>
      </c>
      <c r="AA980" s="1000" t="s">
        <v>5324</v>
      </c>
      <c r="AB980" s="823">
        <f t="shared" si="186"/>
        <v>0.76666668564920271</v>
      </c>
      <c r="AC980" s="40">
        <f t="shared" ca="1" si="190"/>
        <v>1</v>
      </c>
      <c r="AD980" s="41">
        <f t="shared" ca="1" si="191"/>
        <v>0.23333331435079729</v>
      </c>
      <c r="AE980" s="181" t="str">
        <f t="shared" ca="1" si="192"/>
        <v/>
      </c>
      <c r="AF980" s="42" t="str">
        <f t="shared" si="187"/>
        <v>NO</v>
      </c>
      <c r="AG980" s="414" t="s">
        <v>5773</v>
      </c>
      <c r="AH980" s="841" t="s">
        <v>1255</v>
      </c>
      <c r="AI980" s="870" t="s">
        <v>6420</v>
      </c>
      <c r="AJ980" s="838"/>
      <c r="AK980" s="255" t="s">
        <v>6181</v>
      </c>
      <c r="AL980" s="838"/>
      <c r="AM980" s="414" t="s">
        <v>5873</v>
      </c>
      <c r="AN980" s="161" t="str">
        <f t="shared" ca="1" si="193"/>
        <v>TERMINO</v>
      </c>
      <c r="AO980" s="284" t="s">
        <v>582</v>
      </c>
      <c r="AP980" s="406" t="s">
        <v>391</v>
      </c>
      <c r="AQ980" s="819" t="str">
        <f>IFERROR(VLOOKUP(E980,'liquidaciones '!$B$2:$C$1048576,2,0),"NO")</f>
        <v>NO</v>
      </c>
      <c r="AR980" s="909" t="str">
        <f>IFERROR(VLOOKUP(E980,'liquidaciones '!$B$2:$I$1048576,8,0),"")</f>
        <v/>
      </c>
      <c r="AS980" s="406"/>
      <c r="AT980" s="156" t="str">
        <f t="shared" ca="1" si="194"/>
        <v>SI</v>
      </c>
      <c r="AU980" s="1023" t="s">
        <v>4805</v>
      </c>
      <c r="AV980" s="1001"/>
      <c r="AW980" s="930" t="s">
        <v>6181</v>
      </c>
      <c r="AX980" s="928"/>
      <c r="AY980" s="928"/>
    </row>
    <row r="981" spans="3:51" ht="40.799999999999997" x14ac:dyDescent="0.3">
      <c r="C981" s="837">
        <v>1415</v>
      </c>
      <c r="E981" s="120" t="s">
        <v>6422</v>
      </c>
      <c r="F981" s="414" t="s">
        <v>6421</v>
      </c>
      <c r="G981" s="863">
        <v>19159054</v>
      </c>
      <c r="H981" s="969" t="s">
        <v>6423</v>
      </c>
      <c r="I981" s="84">
        <v>12292000</v>
      </c>
      <c r="J981" s="843" t="s">
        <v>6429</v>
      </c>
      <c r="K981" s="269">
        <v>2020</v>
      </c>
      <c r="L981" s="519">
        <v>44099</v>
      </c>
      <c r="M981" s="844">
        <v>44105</v>
      </c>
      <c r="N981" s="844">
        <v>44196</v>
      </c>
      <c r="O981" s="1099" t="str">
        <f>IF(+Modificaciones!I981=0,"",VLOOKUP(E981,Modificaciones!$B$7:$I$2400,8,0))</f>
        <v/>
      </c>
      <c r="P981" s="115">
        <f>COUNTA(Modificaciones!J981,Modificaciones!L981,Modificaciones!N981,Modificaciones!P981)</f>
        <v>0</v>
      </c>
      <c r="Q981" s="116">
        <f>VLOOKUP(E981,Modificaciones!$B$7:$R$2300,17,0)</f>
        <v>0</v>
      </c>
      <c r="R981" s="117">
        <f>COUNTA(Modificaciones!T981,Modificaciones!V981,Modificaciones!X981,Modificaciones!Z981)</f>
        <v>0</v>
      </c>
      <c r="S981" s="118" t="str">
        <f>IF(Modificaciones!AA981=0,"",VLOOKUP(E981,Modificaciones!$B$7:$AA$2400,26,0))</f>
        <v/>
      </c>
      <c r="T981" s="119" t="str">
        <f>IF(Modificaciones!AB981=0,"",VLOOKUP(E981,Modificaciones!$B$7:$AB$2400,27,0))</f>
        <v/>
      </c>
      <c r="U981" s="1080" t="str">
        <f>+Modificaciones!AC981</f>
        <v/>
      </c>
      <c r="V981" s="825" t="str">
        <f>+Modificaciones!AK981</f>
        <v/>
      </c>
      <c r="W981" s="825">
        <f t="shared" si="189"/>
        <v>44196</v>
      </c>
      <c r="X981" s="59">
        <f t="shared" si="188"/>
        <v>12292000</v>
      </c>
      <c r="Y981" s="151">
        <f>VLOOKUP(E981,Modificaciones!$B$7:$BE$2300,56,0)</f>
        <v>6146000</v>
      </c>
      <c r="Z981" s="84">
        <f t="shared" si="185"/>
        <v>6146000</v>
      </c>
      <c r="AA981" s="1000" t="s">
        <v>5324</v>
      </c>
      <c r="AB981" s="823">
        <f t="shared" si="186"/>
        <v>0.5</v>
      </c>
      <c r="AC981" s="40">
        <f t="shared" ca="1" si="190"/>
        <v>1</v>
      </c>
      <c r="AD981" s="41">
        <f t="shared" ca="1" si="191"/>
        <v>0.5</v>
      </c>
      <c r="AE981" s="181" t="str">
        <f t="shared" ca="1" si="192"/>
        <v/>
      </c>
      <c r="AF981" s="42" t="str">
        <f t="shared" si="187"/>
        <v>NO</v>
      </c>
      <c r="AG981" s="414" t="s">
        <v>5773</v>
      </c>
      <c r="AH981" s="841" t="s">
        <v>1255</v>
      </c>
      <c r="AI981" s="870" t="s">
        <v>6424</v>
      </c>
      <c r="AJ981" s="838"/>
      <c r="AK981" s="255" t="s">
        <v>559</v>
      </c>
      <c r="AL981" s="838"/>
      <c r="AM981" s="838" t="s">
        <v>6065</v>
      </c>
      <c r="AN981" s="161" t="str">
        <f t="shared" ca="1" si="193"/>
        <v>TERMINO</v>
      </c>
      <c r="AO981" s="284" t="s">
        <v>582</v>
      </c>
      <c r="AP981" s="406" t="s">
        <v>391</v>
      </c>
      <c r="AQ981" s="819" t="str">
        <f>IFERROR(VLOOKUP(E981,'liquidaciones '!$B$2:$C$1048576,2,0),"NO")</f>
        <v>NO</v>
      </c>
      <c r="AR981" s="909" t="str">
        <f>IFERROR(VLOOKUP(E981,'liquidaciones '!$B$2:$I$1048576,8,0),"")</f>
        <v/>
      </c>
      <c r="AS981" s="406"/>
      <c r="AT981" s="156" t="str">
        <f t="shared" ca="1" si="194"/>
        <v>SI</v>
      </c>
      <c r="AU981" s="1023" t="s">
        <v>4805</v>
      </c>
      <c r="AV981" s="1001"/>
      <c r="AW981" s="930" t="s">
        <v>6064</v>
      </c>
      <c r="AX981" s="928"/>
      <c r="AY981" s="928"/>
    </row>
    <row r="982" spans="3:51" ht="40.799999999999997" x14ac:dyDescent="0.3">
      <c r="C982" s="837">
        <v>1509</v>
      </c>
      <c r="E982" s="120" t="s">
        <v>6426</v>
      </c>
      <c r="F982" s="414" t="s">
        <v>6425</v>
      </c>
      <c r="G982" s="863">
        <v>53065638</v>
      </c>
      <c r="H982" s="969" t="s">
        <v>6427</v>
      </c>
      <c r="I982" s="84">
        <v>18435000</v>
      </c>
      <c r="J982" s="843" t="s">
        <v>6430</v>
      </c>
      <c r="K982" s="269">
        <v>2020</v>
      </c>
      <c r="L982" s="519">
        <v>44099</v>
      </c>
      <c r="M982" s="844">
        <v>44105</v>
      </c>
      <c r="N982" s="844">
        <v>44196</v>
      </c>
      <c r="O982" s="1099" t="str">
        <f>IF(+Modificaciones!I982=0,"",VLOOKUP(E982,Modificaciones!$B$7:$I$2400,8,0))</f>
        <v/>
      </c>
      <c r="P982" s="115">
        <f>COUNTA(Modificaciones!J982,Modificaciones!L982,Modificaciones!N982,Modificaciones!P982)</f>
        <v>0</v>
      </c>
      <c r="Q982" s="116">
        <f>VLOOKUP(E982,Modificaciones!$B$7:$R$2300,17,0)</f>
        <v>0</v>
      </c>
      <c r="R982" s="117">
        <f>COUNTA(Modificaciones!T982,Modificaciones!V982,Modificaciones!X982,Modificaciones!Z982)</f>
        <v>0</v>
      </c>
      <c r="S982" s="118" t="str">
        <f>IF(Modificaciones!AA982=0,"",VLOOKUP(E982,Modificaciones!$B$7:$AA$2400,26,0))</f>
        <v/>
      </c>
      <c r="T982" s="119" t="str">
        <f>IF(Modificaciones!AB982=0,"",VLOOKUP(E982,Modificaciones!$B$7:$AB$2400,27,0))</f>
        <v/>
      </c>
      <c r="U982" s="1080" t="str">
        <f>+Modificaciones!AC982</f>
        <v/>
      </c>
      <c r="V982" s="825" t="str">
        <f>+Modificaciones!AK982</f>
        <v/>
      </c>
      <c r="W982" s="825">
        <f t="shared" si="189"/>
        <v>44196</v>
      </c>
      <c r="X982" s="59">
        <f t="shared" si="188"/>
        <v>18435000</v>
      </c>
      <c r="Y982" s="151">
        <f>VLOOKUP(E982,Modificaciones!$B$7:$BE$2300,56,0)</f>
        <v>18435000</v>
      </c>
      <c r="Z982" s="84">
        <f t="shared" si="185"/>
        <v>0</v>
      </c>
      <c r="AA982" s="1000" t="s">
        <v>5324</v>
      </c>
      <c r="AB982" s="823">
        <f t="shared" si="186"/>
        <v>1</v>
      </c>
      <c r="AC982" s="40">
        <f t="shared" ca="1" si="190"/>
        <v>1</v>
      </c>
      <c r="AD982" s="41">
        <f t="shared" ca="1" si="191"/>
        <v>0</v>
      </c>
      <c r="AE982" s="181" t="str">
        <f t="shared" ca="1" si="192"/>
        <v/>
      </c>
      <c r="AF982" s="42" t="str">
        <f t="shared" si="187"/>
        <v>SI</v>
      </c>
      <c r="AG982" s="414" t="s">
        <v>5773</v>
      </c>
      <c r="AH982" s="841" t="s">
        <v>1255</v>
      </c>
      <c r="AI982" s="870" t="s">
        <v>6428</v>
      </c>
      <c r="AJ982" s="838" t="s">
        <v>4791</v>
      </c>
      <c r="AK982" s="255" t="s">
        <v>564</v>
      </c>
      <c r="AL982" s="838"/>
      <c r="AM982" s="414" t="s">
        <v>5902</v>
      </c>
      <c r="AN982" s="161" t="str">
        <f t="shared" ca="1" si="193"/>
        <v>TERMINO</v>
      </c>
      <c r="AO982" s="284" t="s">
        <v>582</v>
      </c>
      <c r="AP982" s="406" t="s">
        <v>391</v>
      </c>
      <c r="AQ982" s="819" t="str">
        <f>IFERROR(VLOOKUP(E982,'liquidaciones '!$B$2:$C$1048576,2,0),"NO")</f>
        <v>NO</v>
      </c>
      <c r="AR982" s="909" t="str">
        <f>IFERROR(VLOOKUP(E982,'liquidaciones '!$B$2:$I$1048576,8,0),"")</f>
        <v/>
      </c>
      <c r="AS982" s="406"/>
      <c r="AT982" s="156" t="str">
        <f t="shared" ca="1" si="194"/>
        <v>SI</v>
      </c>
      <c r="AU982" s="1023" t="s">
        <v>6169</v>
      </c>
      <c r="AV982" s="1001"/>
      <c r="AW982" s="930" t="s">
        <v>564</v>
      </c>
      <c r="AX982" s="928"/>
      <c r="AY982" s="928"/>
    </row>
    <row r="983" spans="3:51" ht="51" x14ac:dyDescent="0.3">
      <c r="C983" s="837">
        <v>1518</v>
      </c>
      <c r="E983" s="120" t="s">
        <v>6432</v>
      </c>
      <c r="F983" s="414" t="s">
        <v>6433</v>
      </c>
      <c r="G983" s="863">
        <v>1015431884</v>
      </c>
      <c r="H983" s="969" t="s">
        <v>6434</v>
      </c>
      <c r="I983" s="84">
        <v>14427000</v>
      </c>
      <c r="J983" s="843" t="s">
        <v>6435</v>
      </c>
      <c r="K983" s="269">
        <v>2020</v>
      </c>
      <c r="L983" s="519">
        <v>44099</v>
      </c>
      <c r="M983" s="844">
        <v>44106</v>
      </c>
      <c r="N983" s="844">
        <v>44196</v>
      </c>
      <c r="O983" s="1099" t="str">
        <f>IF(+Modificaciones!I983=0,"",VLOOKUP(E983,Modificaciones!$B$7:$I$2400,8,0))</f>
        <v/>
      </c>
      <c r="P983" s="115">
        <f>COUNTA(Modificaciones!J983,Modificaciones!L983,Modificaciones!N983,Modificaciones!P983)</f>
        <v>0</v>
      </c>
      <c r="Q983" s="116">
        <f>VLOOKUP(E983,Modificaciones!$B$7:$R$2300,17,0)</f>
        <v>0</v>
      </c>
      <c r="R983" s="117">
        <f>COUNTA(Modificaciones!T983,Modificaciones!V983,Modificaciones!X983,Modificaciones!Z983)</f>
        <v>0</v>
      </c>
      <c r="S983" s="118" t="str">
        <f>IF(Modificaciones!AA983=0,"",VLOOKUP(E983,Modificaciones!$B$7:$AA$2400,26,0))</f>
        <v/>
      </c>
      <c r="T983" s="119" t="str">
        <f>IF(Modificaciones!AB983=0,"",VLOOKUP(E983,Modificaciones!$B$7:$AB$2400,27,0))</f>
        <v/>
      </c>
      <c r="U983" s="1080" t="str">
        <f>+Modificaciones!AC983</f>
        <v/>
      </c>
      <c r="V983" s="825" t="str">
        <f>+Modificaciones!AK983</f>
        <v/>
      </c>
      <c r="W983" s="825">
        <f t="shared" si="189"/>
        <v>44196</v>
      </c>
      <c r="X983" s="59">
        <f t="shared" si="188"/>
        <v>14427000</v>
      </c>
      <c r="Y983" s="151">
        <f>VLOOKUP(E983,Modificaciones!$B$7:$BE$2300,56,0)</f>
        <v>14106400</v>
      </c>
      <c r="Z983" s="84">
        <f t="shared" si="185"/>
        <v>320600</v>
      </c>
      <c r="AA983" s="1000" t="s">
        <v>5324</v>
      </c>
      <c r="AB983" s="823">
        <f t="shared" si="186"/>
        <v>0.97777777777777775</v>
      </c>
      <c r="AC983" s="40">
        <f t="shared" ca="1" si="190"/>
        <v>1</v>
      </c>
      <c r="AD983" s="41">
        <f t="shared" ca="1" si="191"/>
        <v>2.2222222222222254E-2</v>
      </c>
      <c r="AE983" s="181" t="str">
        <f t="shared" ca="1" si="192"/>
        <v/>
      </c>
      <c r="AF983" s="42" t="str">
        <f t="shared" si="187"/>
        <v>NO</v>
      </c>
      <c r="AG983" s="414" t="s">
        <v>5773</v>
      </c>
      <c r="AH983" s="841" t="s">
        <v>1255</v>
      </c>
      <c r="AI983" s="870" t="s">
        <v>6428</v>
      </c>
      <c r="AJ983" s="838" t="s">
        <v>4791</v>
      </c>
      <c r="AK983" s="255" t="s">
        <v>564</v>
      </c>
      <c r="AL983" s="838"/>
      <c r="AM983" s="414" t="s">
        <v>5902</v>
      </c>
      <c r="AN983" s="161" t="str">
        <f t="shared" ca="1" si="193"/>
        <v>TERMINO</v>
      </c>
      <c r="AO983" s="284" t="s">
        <v>582</v>
      </c>
      <c r="AP983" s="406" t="s">
        <v>391</v>
      </c>
      <c r="AQ983" s="819" t="str">
        <f>IFERROR(VLOOKUP(E983,'liquidaciones '!$B$2:$C$1048576,2,0),"NO")</f>
        <v>NO</v>
      </c>
      <c r="AR983" s="909" t="str">
        <f>IFERROR(VLOOKUP(E983,'liquidaciones '!$B$2:$I$1048576,8,0),"")</f>
        <v/>
      </c>
      <c r="AS983" s="406"/>
      <c r="AT983" s="156" t="str">
        <f t="shared" ca="1" si="194"/>
        <v>SI</v>
      </c>
      <c r="AU983" s="406" t="s">
        <v>5875</v>
      </c>
      <c r="AV983" s="1001"/>
      <c r="AW983" s="930" t="s">
        <v>564</v>
      </c>
      <c r="AX983" s="928"/>
      <c r="AY983" s="928"/>
    </row>
    <row r="984" spans="3:51" ht="30.6" x14ac:dyDescent="0.3">
      <c r="C984" s="837">
        <v>1382</v>
      </c>
      <c r="E984" s="120" t="s">
        <v>6437</v>
      </c>
      <c r="F984" s="414" t="s">
        <v>6438</v>
      </c>
      <c r="G984" s="863">
        <v>1026257724</v>
      </c>
      <c r="H984" s="969" t="s">
        <v>6214</v>
      </c>
      <c r="I984" s="84">
        <v>13170000</v>
      </c>
      <c r="J984" s="843" t="s">
        <v>6210</v>
      </c>
      <c r="K984" s="269">
        <v>2020</v>
      </c>
      <c r="L984" s="519">
        <v>44099</v>
      </c>
      <c r="M984" s="844">
        <v>44105</v>
      </c>
      <c r="N984" s="844">
        <v>44196</v>
      </c>
      <c r="O984" s="1099" t="str">
        <f>IF(+Modificaciones!I984=0,"",VLOOKUP(E984,Modificaciones!$B$7:$I$2400,8,0))</f>
        <v/>
      </c>
      <c r="P984" s="115">
        <f>COUNTA(Modificaciones!J984,Modificaciones!L984,Modificaciones!N984,Modificaciones!P984)</f>
        <v>0</v>
      </c>
      <c r="Q984" s="116">
        <f>VLOOKUP(E984,Modificaciones!$B$7:$R$2300,17,0)</f>
        <v>0</v>
      </c>
      <c r="R984" s="117">
        <f>COUNTA(Modificaciones!T984,Modificaciones!V984,Modificaciones!X984,Modificaciones!Z984)</f>
        <v>0</v>
      </c>
      <c r="S984" s="118" t="str">
        <f>IF(Modificaciones!AA984=0,"",VLOOKUP(E984,Modificaciones!$B$7:$AA$2400,26,0))</f>
        <v/>
      </c>
      <c r="T984" s="119" t="str">
        <f>IF(Modificaciones!AB984=0,"",VLOOKUP(E984,Modificaciones!$B$7:$AB$2400,27,0))</f>
        <v/>
      </c>
      <c r="U984" s="1080" t="str">
        <f>+Modificaciones!AC984</f>
        <v/>
      </c>
      <c r="V984" s="825" t="str">
        <f>+Modificaciones!AK984</f>
        <v/>
      </c>
      <c r="W984" s="825">
        <f t="shared" si="189"/>
        <v>44196</v>
      </c>
      <c r="X984" s="59">
        <f t="shared" si="188"/>
        <v>13170000</v>
      </c>
      <c r="Y984" s="151">
        <f>VLOOKUP(E984,Modificaciones!$B$7:$BE$2300,56,0)</f>
        <v>6585000</v>
      </c>
      <c r="Z984" s="84">
        <f t="shared" si="185"/>
        <v>6585000</v>
      </c>
      <c r="AA984" s="1000" t="s">
        <v>5324</v>
      </c>
      <c r="AB984" s="823">
        <f t="shared" si="186"/>
        <v>0.5</v>
      </c>
      <c r="AC984" s="40">
        <f t="shared" ca="1" si="190"/>
        <v>1</v>
      </c>
      <c r="AD984" s="41">
        <f t="shared" ca="1" si="191"/>
        <v>0.5</v>
      </c>
      <c r="AE984" s="181" t="str">
        <f t="shared" ca="1" si="192"/>
        <v/>
      </c>
      <c r="AF984" s="42" t="str">
        <f t="shared" si="187"/>
        <v>NO</v>
      </c>
      <c r="AG984" s="414" t="s">
        <v>5773</v>
      </c>
      <c r="AH984" s="841" t="s">
        <v>1255</v>
      </c>
      <c r="AI984" s="870" t="s">
        <v>6439</v>
      </c>
      <c r="AJ984" s="838" t="s">
        <v>5242</v>
      </c>
      <c r="AK984" s="255" t="s">
        <v>560</v>
      </c>
      <c r="AL984" s="838" t="s">
        <v>4333</v>
      </c>
      <c r="AM984" s="838" t="s">
        <v>6068</v>
      </c>
      <c r="AN984" s="161" t="str">
        <f t="shared" ca="1" si="193"/>
        <v>TERMINO</v>
      </c>
      <c r="AO984" s="284" t="s">
        <v>582</v>
      </c>
      <c r="AP984" s="406" t="s">
        <v>391</v>
      </c>
      <c r="AQ984" s="819" t="str">
        <f>IFERROR(VLOOKUP(E984,'liquidaciones '!$B$2:$C$1048576,2,0),"NO")</f>
        <v>NO</v>
      </c>
      <c r="AR984" s="909" t="str">
        <f>IFERROR(VLOOKUP(E984,'liquidaciones '!$B$2:$I$1048576,8,0),"")</f>
        <v/>
      </c>
      <c r="AS984" s="406"/>
      <c r="AT984" s="156" t="str">
        <f t="shared" ca="1" si="194"/>
        <v>SI</v>
      </c>
      <c r="AU984" s="1023" t="s">
        <v>4805</v>
      </c>
      <c r="AV984" s="1001"/>
      <c r="AW984" s="930" t="s">
        <v>6064</v>
      </c>
      <c r="AX984" s="930" t="s">
        <v>6527</v>
      </c>
      <c r="AY984" s="928"/>
    </row>
    <row r="985" spans="3:51" ht="51" x14ac:dyDescent="0.3">
      <c r="C985" s="837">
        <v>1491</v>
      </c>
      <c r="E985" s="120" t="s">
        <v>6444</v>
      </c>
      <c r="F985" s="414" t="s">
        <v>6445</v>
      </c>
      <c r="G985" s="863">
        <v>39685269</v>
      </c>
      <c r="H985" s="969" t="s">
        <v>6446</v>
      </c>
      <c r="I985" s="84">
        <v>24580000</v>
      </c>
      <c r="J985" s="843" t="s">
        <v>6448</v>
      </c>
      <c r="K985" s="269">
        <v>2020</v>
      </c>
      <c r="L985" s="519">
        <v>44095</v>
      </c>
      <c r="M985" s="844">
        <v>44105</v>
      </c>
      <c r="N985" s="844">
        <v>44196</v>
      </c>
      <c r="O985" s="1099" t="str">
        <f>IF(+Modificaciones!I985=0,"",VLOOKUP(E985,Modificaciones!$B$7:$I$2400,8,0))</f>
        <v/>
      </c>
      <c r="P985" s="115">
        <f>COUNTA(Modificaciones!J985,Modificaciones!L985,Modificaciones!N985,Modificaciones!P985)</f>
        <v>0</v>
      </c>
      <c r="Q985" s="116">
        <f>VLOOKUP(E985,Modificaciones!$B$7:$R$2300,17,0)</f>
        <v>0</v>
      </c>
      <c r="R985" s="117">
        <f>COUNTA(Modificaciones!T985,Modificaciones!V985,Modificaciones!X985,Modificaciones!Z985)</f>
        <v>0</v>
      </c>
      <c r="S985" s="118" t="str">
        <f>IF(Modificaciones!AA985=0,"",VLOOKUP(E985,Modificaciones!$B$7:$AA$2400,26,0))</f>
        <v/>
      </c>
      <c r="T985" s="119" t="str">
        <f>IF(Modificaciones!AB985=0,"",VLOOKUP(E985,Modificaciones!$B$7:$AB$2400,27,0))</f>
        <v/>
      </c>
      <c r="U985" s="1080" t="str">
        <f>+Modificaciones!AC985</f>
        <v/>
      </c>
      <c r="V985" s="825" t="str">
        <f>+Modificaciones!AK985</f>
        <v/>
      </c>
      <c r="W985" s="825">
        <f t="shared" si="189"/>
        <v>44196</v>
      </c>
      <c r="X985" s="59">
        <f t="shared" si="188"/>
        <v>24580000</v>
      </c>
      <c r="Y985" s="151">
        <f>VLOOKUP(E985,Modificaciones!$B$7:$BE$2300,56,0)</f>
        <v>18435000</v>
      </c>
      <c r="Z985" s="84">
        <f t="shared" si="185"/>
        <v>6145000</v>
      </c>
      <c r="AA985" s="1000" t="s">
        <v>5324</v>
      </c>
      <c r="AB985" s="823">
        <f t="shared" si="186"/>
        <v>0.75</v>
      </c>
      <c r="AC985" s="40">
        <f t="shared" ca="1" si="190"/>
        <v>1</v>
      </c>
      <c r="AD985" s="41">
        <f t="shared" ca="1" si="191"/>
        <v>0.25</v>
      </c>
      <c r="AE985" s="181" t="str">
        <f t="shared" ca="1" si="192"/>
        <v/>
      </c>
      <c r="AF985" s="42" t="str">
        <f t="shared" si="187"/>
        <v>NO</v>
      </c>
      <c r="AG985" s="414" t="s">
        <v>5773</v>
      </c>
      <c r="AH985" s="841" t="s">
        <v>1255</v>
      </c>
      <c r="AI985" s="870" t="s">
        <v>6447</v>
      </c>
      <c r="AJ985" s="838"/>
      <c r="AK985" s="255" t="s">
        <v>559</v>
      </c>
      <c r="AL985" s="838"/>
      <c r="AM985" s="838" t="s">
        <v>5774</v>
      </c>
      <c r="AN985" s="161" t="str">
        <f t="shared" ca="1" si="193"/>
        <v>TERMINO</v>
      </c>
      <c r="AO985" s="284" t="s">
        <v>582</v>
      </c>
      <c r="AP985" s="406" t="s">
        <v>391</v>
      </c>
      <c r="AQ985" s="819" t="str">
        <f>IFERROR(VLOOKUP(E985,'liquidaciones '!$B$2:$C$1048576,2,0),"NO")</f>
        <v>NO</v>
      </c>
      <c r="AR985" s="909" t="str">
        <f>IFERROR(VLOOKUP(E985,'liquidaciones '!$B$2:$I$1048576,8,0),"")</f>
        <v/>
      </c>
      <c r="AS985" s="406"/>
      <c r="AT985" s="156" t="str">
        <f t="shared" ca="1" si="194"/>
        <v>SI</v>
      </c>
      <c r="AU985" s="1023" t="s">
        <v>4805</v>
      </c>
      <c r="AV985" s="1001"/>
      <c r="AW985" s="930" t="s">
        <v>559</v>
      </c>
      <c r="AX985" s="928"/>
      <c r="AY985" s="928"/>
    </row>
    <row r="986" spans="3:51" ht="40.5" customHeight="1" x14ac:dyDescent="0.3">
      <c r="C986" s="837">
        <v>1193</v>
      </c>
      <c r="E986" s="120" t="s">
        <v>6488</v>
      </c>
      <c r="F986" s="414" t="s">
        <v>6489</v>
      </c>
      <c r="G986" s="863" t="s">
        <v>6490</v>
      </c>
      <c r="H986" s="969" t="s">
        <v>6491</v>
      </c>
      <c r="I986" s="84">
        <v>331896000</v>
      </c>
      <c r="J986" s="843" t="s">
        <v>6492</v>
      </c>
      <c r="K986" s="269">
        <v>2020</v>
      </c>
      <c r="L986" s="519"/>
      <c r="M986" s="844">
        <v>44210</v>
      </c>
      <c r="N986" s="844">
        <v>44390</v>
      </c>
      <c r="O986" s="1099" t="str">
        <f>IF(+Modificaciones!I986=0,"",VLOOKUP(E986,Modificaciones!$B$7:$I$2400,8,0))</f>
        <v/>
      </c>
      <c r="P986" s="115">
        <f>COUNTA(Modificaciones!J986,Modificaciones!L986,Modificaciones!N986,Modificaciones!P986)</f>
        <v>0</v>
      </c>
      <c r="Q986" s="116">
        <f>VLOOKUP(E986,Modificaciones!$B$7:$R$2300,17,0)</f>
        <v>0</v>
      </c>
      <c r="R986" s="117">
        <f>COUNTA(Modificaciones!T986,Modificaciones!V986,Modificaciones!X986,Modificaciones!Z986)</f>
        <v>0</v>
      </c>
      <c r="S986" s="118" t="str">
        <f>IF(Modificaciones!AA986=0,"",VLOOKUP(E986,Modificaciones!$B$7:$AA$2400,26,0))</f>
        <v/>
      </c>
      <c r="T986" s="119" t="str">
        <f>IF(Modificaciones!AB986=0,"",VLOOKUP(E986,Modificaciones!$B$7:$AB$2400,27,0))</f>
        <v/>
      </c>
      <c r="U986" s="1080" t="str">
        <f>+Modificaciones!AC986</f>
        <v/>
      </c>
      <c r="V986" s="825" t="str">
        <f>+Modificaciones!AK986</f>
        <v/>
      </c>
      <c r="W986" s="825">
        <f t="shared" si="189"/>
        <v>44390</v>
      </c>
      <c r="X986" s="59">
        <f t="shared" si="188"/>
        <v>331896000</v>
      </c>
      <c r="Y986" s="151">
        <f>VLOOKUP(E986,Modificaciones!$B$7:$BE$2300,56,0)</f>
        <v>0</v>
      </c>
      <c r="Z986" s="84">
        <f t="shared" si="185"/>
        <v>331896000</v>
      </c>
      <c r="AA986" s="1000" t="s">
        <v>5324</v>
      </c>
      <c r="AB986" s="823">
        <f t="shared" si="186"/>
        <v>0</v>
      </c>
      <c r="AC986" s="40">
        <f t="shared" ca="1" si="190"/>
        <v>0.1</v>
      </c>
      <c r="AD986" s="41">
        <f t="shared" ca="1" si="191"/>
        <v>0.1</v>
      </c>
      <c r="AE986" s="181">
        <f t="shared" ca="1" si="192"/>
        <v>162</v>
      </c>
      <c r="AF986" s="42" t="str">
        <f t="shared" si="187"/>
        <v>NO</v>
      </c>
      <c r="AG986" s="414" t="s">
        <v>4920</v>
      </c>
      <c r="AH986" s="841" t="s">
        <v>1255</v>
      </c>
      <c r="AI986" s="841" t="s">
        <v>6493</v>
      </c>
      <c r="AJ986" s="838" t="s">
        <v>1279</v>
      </c>
      <c r="AK986" s="255" t="s">
        <v>560</v>
      </c>
      <c r="AL986" s="838" t="s">
        <v>5149</v>
      </c>
      <c r="AM986" s="838" t="s">
        <v>6068</v>
      </c>
      <c r="AN986" s="161" t="str">
        <f t="shared" ca="1" si="193"/>
        <v>EN EJECUCIÓN</v>
      </c>
      <c r="AO986" s="414" t="s">
        <v>2970</v>
      </c>
      <c r="AP986" s="406" t="s">
        <v>390</v>
      </c>
      <c r="AQ986" s="819" t="str">
        <f>IFERROR(VLOOKUP(E986,'liquidaciones '!$B$2:$C$1048576,2,0),"NO")</f>
        <v>NO</v>
      </c>
      <c r="AR986" s="909" t="str">
        <f>IFERROR(VLOOKUP(E986,'liquidaciones '!$B$2:$I$1048576,8,0),"")</f>
        <v/>
      </c>
      <c r="AS986" s="406"/>
      <c r="AT986" s="156" t="str">
        <f t="shared" ca="1" si="194"/>
        <v>SI</v>
      </c>
      <c r="AU986" s="1023" t="s">
        <v>4299</v>
      </c>
      <c r="AV986" s="1001"/>
      <c r="AW986" s="930" t="s">
        <v>560</v>
      </c>
      <c r="AX986" s="928"/>
      <c r="AY986" s="928"/>
    </row>
    <row r="987" spans="3:51" ht="43.2" x14ac:dyDescent="0.3">
      <c r="C987" s="837">
        <v>1193</v>
      </c>
      <c r="E987" s="120" t="s">
        <v>6494</v>
      </c>
      <c r="F987" s="1136" t="s">
        <v>6495</v>
      </c>
      <c r="G987" s="1135" t="s">
        <v>6496</v>
      </c>
      <c r="H987" s="969" t="s">
        <v>6491</v>
      </c>
      <c r="I987" s="84">
        <v>99481101</v>
      </c>
      <c r="J987" s="843" t="s">
        <v>6492</v>
      </c>
      <c r="K987" s="269">
        <v>2020</v>
      </c>
      <c r="L987" s="519"/>
      <c r="M987" s="844">
        <v>44210</v>
      </c>
      <c r="N987" s="844">
        <v>44390</v>
      </c>
      <c r="O987" s="1099" t="str">
        <f>IF(+Modificaciones!I987=0,"",VLOOKUP(E987,Modificaciones!$B$7:$I$2400,8,0))</f>
        <v/>
      </c>
      <c r="P987" s="115">
        <f>COUNTA(Modificaciones!J987,Modificaciones!L987,Modificaciones!N987,Modificaciones!P987)</f>
        <v>0</v>
      </c>
      <c r="Q987" s="116">
        <f>VLOOKUP(E987,Modificaciones!$B$7:$R$2300,17,0)</f>
        <v>0</v>
      </c>
      <c r="R987" s="117">
        <f>COUNTA(Modificaciones!T987,Modificaciones!V987,Modificaciones!X987,Modificaciones!Z987)</f>
        <v>0</v>
      </c>
      <c r="S987" s="118" t="str">
        <f>IF(Modificaciones!AA987=0,"",VLOOKUP(E987,Modificaciones!$B$7:$AA$2400,26,0))</f>
        <v/>
      </c>
      <c r="T987" s="119" t="str">
        <f>IF(Modificaciones!AB987=0,"",VLOOKUP(E987,Modificaciones!$B$7:$AB$2400,27,0))</f>
        <v/>
      </c>
      <c r="U987" s="1080" t="str">
        <f>+Modificaciones!AC987</f>
        <v/>
      </c>
      <c r="V987" s="825" t="str">
        <f>+Modificaciones!AK987</f>
        <v/>
      </c>
      <c r="W987" s="825">
        <f t="shared" si="189"/>
        <v>44390</v>
      </c>
      <c r="X987" s="59">
        <f t="shared" si="188"/>
        <v>99481101</v>
      </c>
      <c r="Y987" s="151">
        <f>VLOOKUP(E987,Modificaciones!$B$7:$BE$2300,56,0)</f>
        <v>0</v>
      </c>
      <c r="Z987" s="84">
        <f t="shared" si="185"/>
        <v>99481101</v>
      </c>
      <c r="AA987" s="1000" t="s">
        <v>5324</v>
      </c>
      <c r="AB987" s="823">
        <f t="shared" si="186"/>
        <v>0</v>
      </c>
      <c r="AC987" s="40">
        <f t="shared" ca="1" si="190"/>
        <v>0.1</v>
      </c>
      <c r="AD987" s="41">
        <f t="shared" ca="1" si="191"/>
        <v>0.1</v>
      </c>
      <c r="AE987" s="181">
        <f t="shared" ca="1" si="192"/>
        <v>162</v>
      </c>
      <c r="AF987" s="42" t="str">
        <f t="shared" si="187"/>
        <v>NO</v>
      </c>
      <c r="AG987" s="414" t="s">
        <v>4920</v>
      </c>
      <c r="AH987" s="841" t="s">
        <v>1255</v>
      </c>
      <c r="AI987" s="841" t="s">
        <v>6493</v>
      </c>
      <c r="AJ987" s="838" t="s">
        <v>1279</v>
      </c>
      <c r="AK987" s="255" t="s">
        <v>560</v>
      </c>
      <c r="AL987" s="838" t="s">
        <v>5149</v>
      </c>
      <c r="AM987" s="838" t="s">
        <v>6068</v>
      </c>
      <c r="AN987" s="161" t="str">
        <f t="shared" ca="1" si="193"/>
        <v>EN EJECUCIÓN</v>
      </c>
      <c r="AO987" s="414" t="s">
        <v>2970</v>
      </c>
      <c r="AP987" s="406" t="s">
        <v>390</v>
      </c>
      <c r="AQ987" s="819" t="str">
        <f>IFERROR(VLOOKUP(E987,'liquidaciones '!$B$2:$C$1048576,2,0),"NO")</f>
        <v>NO</v>
      </c>
      <c r="AR987" s="909" t="str">
        <f>IFERROR(VLOOKUP(E987,'liquidaciones '!$B$2:$I$1048576,8,0),"")</f>
        <v/>
      </c>
      <c r="AS987" s="406"/>
      <c r="AT987" s="156" t="str">
        <f t="shared" ca="1" si="194"/>
        <v>SI</v>
      </c>
      <c r="AU987" s="1133" t="s">
        <v>4299</v>
      </c>
      <c r="AV987" s="1001"/>
      <c r="AW987" s="930" t="s">
        <v>560</v>
      </c>
      <c r="AX987" s="928"/>
      <c r="AY987" s="928"/>
    </row>
    <row r="988" spans="3:51" ht="29.25" customHeight="1" x14ac:dyDescent="0.3">
      <c r="C988" s="837">
        <v>1488</v>
      </c>
      <c r="E988" s="120" t="s">
        <v>6497</v>
      </c>
      <c r="F988" s="1137" t="s">
        <v>6498</v>
      </c>
      <c r="G988" s="863" t="s">
        <v>6563</v>
      </c>
      <c r="H988" s="969" t="s">
        <v>6564</v>
      </c>
      <c r="I988" s="84">
        <v>1171760000</v>
      </c>
      <c r="J988" s="843" t="s">
        <v>6565</v>
      </c>
      <c r="K988" s="269">
        <v>2020</v>
      </c>
      <c r="L988" s="519">
        <v>44166</v>
      </c>
      <c r="M988" s="844"/>
      <c r="N988" s="844"/>
      <c r="O988" s="1099" t="str">
        <f>IF(+Modificaciones!I988=0,"",VLOOKUP(E988,Modificaciones!$B$7:$I$2400,8,0))</f>
        <v/>
      </c>
      <c r="P988" s="115">
        <f>COUNTA(Modificaciones!J988,Modificaciones!L988,Modificaciones!N988,Modificaciones!P988)</f>
        <v>0</v>
      </c>
      <c r="Q988" s="116">
        <f>VLOOKUP(E988,Modificaciones!$B$7:$R$2300,17,0)</f>
        <v>0</v>
      </c>
      <c r="R988" s="117">
        <f>COUNTA(Modificaciones!T988,Modificaciones!V988,Modificaciones!X988,Modificaciones!Z988)</f>
        <v>0</v>
      </c>
      <c r="S988" s="118" t="str">
        <f>IF(Modificaciones!AA988=0,"",VLOOKUP(E988,Modificaciones!$B$7:$AA$2400,26,0))</f>
        <v/>
      </c>
      <c r="T988" s="119" t="str">
        <f>IF(Modificaciones!AB988=0,"",VLOOKUP(E988,Modificaciones!$B$7:$AB$2400,27,0))</f>
        <v/>
      </c>
      <c r="U988" s="1080" t="str">
        <f>+Modificaciones!AC988</f>
        <v/>
      </c>
      <c r="V988" s="825" t="str">
        <f>+Modificaciones!AK988</f>
        <v/>
      </c>
      <c r="W988" s="825">
        <f t="shared" si="189"/>
        <v>0</v>
      </c>
      <c r="X988" s="59">
        <f t="shared" si="188"/>
        <v>1171760000</v>
      </c>
      <c r="Y988" s="151">
        <f>VLOOKUP(E988,Modificaciones!$B$7:$BE$2300,56,0)</f>
        <v>0</v>
      </c>
      <c r="Z988" s="84">
        <f t="shared" si="185"/>
        <v>1171760000</v>
      </c>
      <c r="AA988" s="1000" t="s">
        <v>6566</v>
      </c>
      <c r="AB988" s="823">
        <f t="shared" si="186"/>
        <v>0</v>
      </c>
      <c r="AC988" s="40" t="e">
        <f t="shared" ca="1" si="190"/>
        <v>#DIV/0!</v>
      </c>
      <c r="AD988" s="41" t="e">
        <f t="shared" ca="1" si="191"/>
        <v>#DIV/0!</v>
      </c>
      <c r="AE988" s="181" t="e">
        <f t="shared" ca="1" si="192"/>
        <v>#DIV/0!</v>
      </c>
      <c r="AF988" s="42" t="str">
        <f t="shared" si="187"/>
        <v>NO</v>
      </c>
      <c r="AG988" s="414" t="s">
        <v>4920</v>
      </c>
      <c r="AH988" s="841" t="s">
        <v>1256</v>
      </c>
      <c r="AI988" s="870" t="s">
        <v>6567</v>
      </c>
      <c r="AJ988" s="414" t="s">
        <v>1438</v>
      </c>
      <c r="AK988" s="255" t="s">
        <v>560</v>
      </c>
      <c r="AL988" s="838" t="s">
        <v>4850</v>
      </c>
      <c r="AM988" s="838" t="s">
        <v>6068</v>
      </c>
      <c r="AN988" s="161" t="str">
        <f t="shared" ca="1" si="193"/>
        <v>TERMINO</v>
      </c>
      <c r="AO988" s="414" t="s">
        <v>5112</v>
      </c>
      <c r="AP988" s="406" t="s">
        <v>390</v>
      </c>
      <c r="AQ988" s="819" t="str">
        <f>IFERROR(VLOOKUP(E988,'liquidaciones '!$B$2:$C$1048576,2,0),"NO")</f>
        <v>NO</v>
      </c>
      <c r="AR988" s="909" t="str">
        <f>IFERROR(VLOOKUP(E988,'liquidaciones '!$B$2:$I$1048576,8,0),"")</f>
        <v/>
      </c>
      <c r="AS988" s="406"/>
      <c r="AT988" s="156" t="str">
        <f t="shared" ca="1" si="194"/>
        <v>NO</v>
      </c>
      <c r="AU988" s="1023"/>
      <c r="AV988" s="1001"/>
      <c r="AW988" s="930" t="s">
        <v>6064</v>
      </c>
      <c r="AX988" s="928"/>
      <c r="AY988" s="928"/>
    </row>
    <row r="989" spans="3:51" ht="28.8" x14ac:dyDescent="0.3">
      <c r="C989" s="837">
        <v>1202</v>
      </c>
      <c r="E989" s="120" t="s">
        <v>6499</v>
      </c>
      <c r="F989" s="414" t="s">
        <v>13</v>
      </c>
      <c r="G989" s="863" t="s">
        <v>6500</v>
      </c>
      <c r="H989" s="969" t="s">
        <v>6501</v>
      </c>
      <c r="I989" s="84">
        <v>1305000</v>
      </c>
      <c r="J989" s="843" t="s">
        <v>6502</v>
      </c>
      <c r="K989" s="269">
        <v>2020</v>
      </c>
      <c r="L989" s="519">
        <v>44104</v>
      </c>
      <c r="M989" s="844">
        <v>44172</v>
      </c>
      <c r="N989" s="844">
        <v>44536</v>
      </c>
      <c r="O989" s="1099" t="str">
        <f>IF(+Modificaciones!I989=0,"",VLOOKUP(E989,Modificaciones!$B$7:$I$2400,8,0))</f>
        <v/>
      </c>
      <c r="P989" s="115">
        <f>COUNTA(Modificaciones!J989,Modificaciones!L989,Modificaciones!N989,Modificaciones!P989)</f>
        <v>0</v>
      </c>
      <c r="Q989" s="116">
        <f>VLOOKUP(E989,Modificaciones!$B$7:$R$2300,17,0)</f>
        <v>0</v>
      </c>
      <c r="R989" s="117">
        <f>COUNTA(Modificaciones!T989,Modificaciones!V989,Modificaciones!X989,Modificaciones!Z989)</f>
        <v>0</v>
      </c>
      <c r="S989" s="118" t="str">
        <f>IF(Modificaciones!AA989=0,"",VLOOKUP(E989,Modificaciones!$B$7:$AA$2400,26,0))</f>
        <v/>
      </c>
      <c r="T989" s="119" t="str">
        <f>IF(Modificaciones!AB989=0,"",VLOOKUP(E989,Modificaciones!$B$7:$AB$2400,27,0))</f>
        <v/>
      </c>
      <c r="U989" s="1080" t="str">
        <f>+Modificaciones!AC989</f>
        <v/>
      </c>
      <c r="V989" s="825" t="str">
        <f>+Modificaciones!AK989</f>
        <v/>
      </c>
      <c r="W989" s="825">
        <f t="shared" si="189"/>
        <v>44536</v>
      </c>
      <c r="X989" s="59">
        <f t="shared" si="188"/>
        <v>1305000</v>
      </c>
      <c r="Y989" s="151">
        <f>VLOOKUP(E989,Modificaciones!$B$7:$BE$2300,56,0)</f>
        <v>0</v>
      </c>
      <c r="Z989" s="84">
        <f t="shared" si="185"/>
        <v>1305000</v>
      </c>
      <c r="AA989" s="1000" t="s">
        <v>5519</v>
      </c>
      <c r="AB989" s="823">
        <f t="shared" si="186"/>
        <v>0</v>
      </c>
      <c r="AC989" s="40">
        <f t="shared" ca="1" si="190"/>
        <v>0.15384615384615385</v>
      </c>
      <c r="AD989" s="41">
        <f t="shared" ca="1" si="191"/>
        <v>0.15384615384615385</v>
      </c>
      <c r="AE989" s="181">
        <f t="shared" ca="1" si="192"/>
        <v>308</v>
      </c>
      <c r="AF989" s="42" t="str">
        <f t="shared" si="187"/>
        <v>NO</v>
      </c>
      <c r="AG989" s="838" t="s">
        <v>1713</v>
      </c>
      <c r="AH989" s="841" t="s">
        <v>1255</v>
      </c>
      <c r="AI989" s="841" t="s">
        <v>6503</v>
      </c>
      <c r="AJ989" s="838" t="s">
        <v>4791</v>
      </c>
      <c r="AK989" s="255" t="s">
        <v>564</v>
      </c>
      <c r="AL989" s="838"/>
      <c r="AM989" s="414" t="s">
        <v>5902</v>
      </c>
      <c r="AN989" s="161" t="str">
        <f t="shared" ca="1" si="193"/>
        <v>EN EJECUCIÓN</v>
      </c>
      <c r="AO989" s="284" t="s">
        <v>582</v>
      </c>
      <c r="AP989" s="406" t="s">
        <v>390</v>
      </c>
      <c r="AQ989" s="819" t="str">
        <f>IFERROR(VLOOKUP(E989,'liquidaciones '!$B$2:$C$1048576,2,0),"NO")</f>
        <v>NO</v>
      </c>
      <c r="AR989" s="909" t="str">
        <f>IFERROR(VLOOKUP(E989,'liquidaciones '!$B$2:$I$1048576,8,0),"")</f>
        <v/>
      </c>
      <c r="AS989" s="406"/>
      <c r="AT989" s="156" t="str">
        <f t="shared" ca="1" si="194"/>
        <v>SI</v>
      </c>
      <c r="AU989" s="1023" t="s">
        <v>5851</v>
      </c>
      <c r="AV989" s="1001"/>
      <c r="AW989" s="930" t="s">
        <v>564</v>
      </c>
      <c r="AX989" s="928"/>
      <c r="AY989" s="928"/>
    </row>
    <row r="990" spans="3:51" ht="28.8" x14ac:dyDescent="0.3">
      <c r="C990" s="837">
        <v>1204</v>
      </c>
      <c r="E990" s="120" t="s">
        <v>6504</v>
      </c>
      <c r="F990" s="414" t="s">
        <v>3567</v>
      </c>
      <c r="G990" s="863">
        <v>901017183</v>
      </c>
      <c r="H990" s="969" t="s">
        <v>6505</v>
      </c>
      <c r="I990" s="84">
        <v>960000</v>
      </c>
      <c r="J990" s="843" t="s">
        <v>6506</v>
      </c>
      <c r="K990" s="269">
        <v>2020</v>
      </c>
      <c r="L990" s="519">
        <v>44109</v>
      </c>
      <c r="M990" s="844"/>
      <c r="N990" s="844"/>
      <c r="O990" s="1099" t="str">
        <f>IF(+Modificaciones!I990=0,"",VLOOKUP(E990,Modificaciones!$B$7:$I$2400,8,0))</f>
        <v/>
      </c>
      <c r="P990" s="115">
        <f>COUNTA(Modificaciones!J990,Modificaciones!L990,Modificaciones!N990,Modificaciones!P990)</f>
        <v>0</v>
      </c>
      <c r="Q990" s="116">
        <f>VLOOKUP(E990,Modificaciones!$B$7:$R$2300,17,0)</f>
        <v>0</v>
      </c>
      <c r="R990" s="117">
        <f>COUNTA(Modificaciones!T990,Modificaciones!V990,Modificaciones!X990,Modificaciones!Z990)</f>
        <v>0</v>
      </c>
      <c r="S990" s="118" t="str">
        <f>IF(Modificaciones!AA990=0,"",VLOOKUP(E990,Modificaciones!$B$7:$AA$2400,26,0))</f>
        <v/>
      </c>
      <c r="T990" s="119" t="str">
        <f>IF(Modificaciones!AB990=0,"",VLOOKUP(E990,Modificaciones!$B$7:$AB$2400,27,0))</f>
        <v/>
      </c>
      <c r="U990" s="1080" t="str">
        <f>+Modificaciones!AC990</f>
        <v/>
      </c>
      <c r="V990" s="825" t="str">
        <f>+Modificaciones!AK990</f>
        <v/>
      </c>
      <c r="W990" s="825">
        <f t="shared" si="189"/>
        <v>0</v>
      </c>
      <c r="X990" s="59">
        <f t="shared" si="188"/>
        <v>960000</v>
      </c>
      <c r="Y990" s="151">
        <f>VLOOKUP(E990,Modificaciones!$B$7:$BE$2300,56,0)</f>
        <v>0</v>
      </c>
      <c r="Z990" s="84">
        <f t="shared" si="185"/>
        <v>960000</v>
      </c>
      <c r="AA990" s="1000" t="s">
        <v>5519</v>
      </c>
      <c r="AB990" s="823">
        <f t="shared" si="186"/>
        <v>0</v>
      </c>
      <c r="AC990" s="40" t="e">
        <f t="shared" ca="1" si="190"/>
        <v>#DIV/0!</v>
      </c>
      <c r="AD990" s="41" t="e">
        <f t="shared" ca="1" si="191"/>
        <v>#DIV/0!</v>
      </c>
      <c r="AE990" s="181" t="e">
        <f t="shared" ca="1" si="192"/>
        <v>#DIV/0!</v>
      </c>
      <c r="AF990" s="42" t="str">
        <f t="shared" si="187"/>
        <v>NO</v>
      </c>
      <c r="AG990" s="838" t="s">
        <v>1713</v>
      </c>
      <c r="AH990" s="841" t="s">
        <v>1255</v>
      </c>
      <c r="AI990" s="841" t="s">
        <v>6507</v>
      </c>
      <c r="AJ990" s="838" t="s">
        <v>4791</v>
      </c>
      <c r="AK990" s="255" t="s">
        <v>564</v>
      </c>
      <c r="AL990" s="838"/>
      <c r="AM990" s="414" t="s">
        <v>5902</v>
      </c>
      <c r="AN990" s="161" t="str">
        <f t="shared" ca="1" si="193"/>
        <v>TERMINO</v>
      </c>
      <c r="AO990" s="284" t="s">
        <v>582</v>
      </c>
      <c r="AP990" s="406" t="s">
        <v>390</v>
      </c>
      <c r="AQ990" s="819" t="str">
        <f>IFERROR(VLOOKUP(E990,'liquidaciones '!$B$2:$C$1048576,2,0),"NO")</f>
        <v>NO</v>
      </c>
      <c r="AR990" s="909" t="str">
        <f>IFERROR(VLOOKUP(E990,'liquidaciones '!$B$2:$I$1048576,8,0),"")</f>
        <v/>
      </c>
      <c r="AS990" s="406"/>
      <c r="AT990" s="156" t="str">
        <f t="shared" ca="1" si="194"/>
        <v>NO</v>
      </c>
      <c r="AU990" s="1133" t="s">
        <v>5851</v>
      </c>
      <c r="AV990" s="1001"/>
      <c r="AW990" s="930" t="s">
        <v>564</v>
      </c>
      <c r="AX990" s="928"/>
      <c r="AY990" s="928"/>
    </row>
    <row r="991" spans="3:51" ht="71.400000000000006" x14ac:dyDescent="0.3">
      <c r="C991" s="837"/>
      <c r="E991" s="120" t="s">
        <v>6508</v>
      </c>
      <c r="F991" s="414" t="s">
        <v>5979</v>
      </c>
      <c r="G991" s="863">
        <v>800011951</v>
      </c>
      <c r="H991" s="969" t="s">
        <v>6509</v>
      </c>
      <c r="I991" s="84">
        <v>9133250</v>
      </c>
      <c r="J991" s="843" t="s">
        <v>6510</v>
      </c>
      <c r="K991" s="269">
        <v>2020</v>
      </c>
      <c r="L991" s="519">
        <v>44154</v>
      </c>
      <c r="M991" s="844">
        <v>44161</v>
      </c>
      <c r="N991" s="844">
        <v>44190</v>
      </c>
      <c r="O991" s="1099" t="str">
        <f>IF(+Modificaciones!I991=0,"",VLOOKUP(E991,Modificaciones!$B$7:$I$2400,8,0))</f>
        <v/>
      </c>
      <c r="P991" s="115">
        <f>COUNTA(Modificaciones!J991,Modificaciones!L991,Modificaciones!N991,Modificaciones!P991)</f>
        <v>0</v>
      </c>
      <c r="Q991" s="116">
        <f>VLOOKUP(E991,Modificaciones!$B$7:$R$2300,17,0)</f>
        <v>0</v>
      </c>
      <c r="R991" s="117">
        <f>COUNTA(Modificaciones!T991,Modificaciones!V991,Modificaciones!X991,Modificaciones!Z991)</f>
        <v>0</v>
      </c>
      <c r="S991" s="118" t="str">
        <f>IF(Modificaciones!AA991=0,"",VLOOKUP(E991,Modificaciones!$B$7:$AA$2400,26,0))</f>
        <v/>
      </c>
      <c r="T991" s="119" t="str">
        <f>IF(Modificaciones!AB991=0,"",VLOOKUP(E991,Modificaciones!$B$7:$AB$2400,27,0))</f>
        <v/>
      </c>
      <c r="U991" s="1080" t="str">
        <f>+Modificaciones!AC991</f>
        <v/>
      </c>
      <c r="V991" s="825" t="str">
        <f>+Modificaciones!AK991</f>
        <v/>
      </c>
      <c r="W991" s="825">
        <f t="shared" si="189"/>
        <v>44190</v>
      </c>
      <c r="X991" s="59">
        <f t="shared" si="188"/>
        <v>9133250</v>
      </c>
      <c r="Y991" s="151">
        <f>VLOOKUP(E991,Modificaciones!$B$7:$BE$2300,56,0)</f>
        <v>9133250</v>
      </c>
      <c r="Z991" s="84">
        <f t="shared" si="185"/>
        <v>0</v>
      </c>
      <c r="AA991" s="1000" t="s">
        <v>6511</v>
      </c>
      <c r="AB991" s="823">
        <f t="shared" si="186"/>
        <v>1</v>
      </c>
      <c r="AC991" s="40">
        <f t="shared" ca="1" si="190"/>
        <v>1</v>
      </c>
      <c r="AD991" s="41">
        <f t="shared" ca="1" si="191"/>
        <v>0</v>
      </c>
      <c r="AE991" s="181" t="str">
        <f t="shared" ca="1" si="192"/>
        <v/>
      </c>
      <c r="AF991" s="42" t="str">
        <f t="shared" si="187"/>
        <v>SI</v>
      </c>
      <c r="AG991" s="414" t="s">
        <v>6543</v>
      </c>
      <c r="AH991" s="841" t="s">
        <v>1255</v>
      </c>
      <c r="AI991" s="841"/>
      <c r="AJ991" s="838" t="s">
        <v>5985</v>
      </c>
      <c r="AK991" s="255" t="s">
        <v>6181</v>
      </c>
      <c r="AL991" s="838"/>
      <c r="AM991" s="414" t="s">
        <v>5873</v>
      </c>
      <c r="AN991" s="161" t="str">
        <f t="shared" ca="1" si="193"/>
        <v>TERMINO</v>
      </c>
      <c r="AO991" s="284" t="s">
        <v>582</v>
      </c>
      <c r="AP991" s="406" t="s">
        <v>391</v>
      </c>
      <c r="AQ991" s="819" t="str">
        <f>IFERROR(VLOOKUP(E991,'liquidaciones '!$B$2:$C$1048576,2,0),"NO")</f>
        <v>NO</v>
      </c>
      <c r="AR991" s="909" t="str">
        <f>IFERROR(VLOOKUP(E991,'liquidaciones '!$B$2:$I$1048576,8,0),"")</f>
        <v/>
      </c>
      <c r="AS991" s="406"/>
      <c r="AT991" s="156" t="str">
        <f t="shared" ca="1" si="194"/>
        <v>SI</v>
      </c>
      <c r="AU991" s="1023" t="s">
        <v>5852</v>
      </c>
      <c r="AV991" s="1001"/>
      <c r="AW991" s="930" t="s">
        <v>6064</v>
      </c>
      <c r="AX991" s="928"/>
      <c r="AY991" s="928"/>
    </row>
    <row r="992" spans="3:51" ht="81.599999999999994" x14ac:dyDescent="0.3">
      <c r="C992" s="837">
        <v>1481</v>
      </c>
      <c r="E992" s="120">
        <v>200418</v>
      </c>
      <c r="F992" s="414" t="s">
        <v>6524</v>
      </c>
      <c r="G992" s="863">
        <v>51672299</v>
      </c>
      <c r="H992" s="969" t="s">
        <v>6525</v>
      </c>
      <c r="I992" s="84">
        <v>13168000</v>
      </c>
      <c r="J992" s="843" t="s">
        <v>6526</v>
      </c>
      <c r="K992" s="269">
        <v>2020</v>
      </c>
      <c r="L992" s="519">
        <v>44165</v>
      </c>
      <c r="M992" s="844">
        <v>44167</v>
      </c>
      <c r="N992" s="844">
        <v>44196</v>
      </c>
      <c r="O992" s="1099" t="str">
        <f>IF(+Modificaciones!I992=0,"",VLOOKUP(E992,Modificaciones!$B$7:$I$2400,8,0))</f>
        <v/>
      </c>
      <c r="P992" s="115">
        <f>COUNTA(Modificaciones!J992,Modificaciones!L992,Modificaciones!N992,Modificaciones!P992)</f>
        <v>0</v>
      </c>
      <c r="Q992" s="116">
        <f>VLOOKUP(E992,Modificaciones!$B$7:$R$2300,17,0)</f>
        <v>0</v>
      </c>
      <c r="R992" s="117">
        <f>COUNTA(Modificaciones!T992,Modificaciones!V992,Modificaciones!X992,Modificaciones!Z992)</f>
        <v>0</v>
      </c>
      <c r="S992" s="118" t="str">
        <f>IF(Modificaciones!AA992=0,"",VLOOKUP(E992,Modificaciones!$B$7:$AA$2400,26,0))</f>
        <v/>
      </c>
      <c r="T992" s="119" t="str">
        <f>IF(Modificaciones!AB992=0,"",VLOOKUP(E992,Modificaciones!$B$7:$AB$2400,27,0))</f>
        <v/>
      </c>
      <c r="U992" s="1080" t="str">
        <f>+Modificaciones!AC992</f>
        <v/>
      </c>
      <c r="V992" s="825" t="str">
        <f>+Modificaciones!AK992</f>
        <v/>
      </c>
      <c r="W992" s="825">
        <f t="shared" si="189"/>
        <v>44196</v>
      </c>
      <c r="X992" s="59">
        <f t="shared" si="188"/>
        <v>13168000</v>
      </c>
      <c r="Y992" s="151">
        <f>VLOOKUP(E992,Modificaciones!$B$7:$BE$2300,56,0)</f>
        <v>0</v>
      </c>
      <c r="Z992" s="84">
        <f t="shared" si="185"/>
        <v>13168000</v>
      </c>
      <c r="AA992" s="1000" t="s">
        <v>5324</v>
      </c>
      <c r="AB992" s="823">
        <f t="shared" si="186"/>
        <v>0</v>
      </c>
      <c r="AC992" s="40">
        <f t="shared" ca="1" si="190"/>
        <v>1</v>
      </c>
      <c r="AD992" s="41">
        <f t="shared" ca="1" si="191"/>
        <v>1</v>
      </c>
      <c r="AE992" s="181" t="str">
        <f t="shared" ca="1" si="192"/>
        <v/>
      </c>
      <c r="AF992" s="42" t="str">
        <f t="shared" si="187"/>
        <v>NO</v>
      </c>
      <c r="AG992" s="414" t="s">
        <v>5773</v>
      </c>
      <c r="AH992" s="841" t="s">
        <v>1255</v>
      </c>
      <c r="AI992" s="841" t="s">
        <v>5779</v>
      </c>
      <c r="AJ992" s="838"/>
      <c r="AK992" s="255" t="s">
        <v>562</v>
      </c>
      <c r="AL992" s="838"/>
      <c r="AM992" s="838" t="s">
        <v>6312</v>
      </c>
      <c r="AN992" s="161" t="str">
        <f t="shared" ca="1" si="193"/>
        <v>TERMINO</v>
      </c>
      <c r="AO992" s="284" t="s">
        <v>582</v>
      </c>
      <c r="AP992" s="406" t="s">
        <v>391</v>
      </c>
      <c r="AQ992" s="819" t="str">
        <f>IFERROR(VLOOKUP(E992,'liquidaciones '!$B$2:$C$1048576,2,0),"NO")</f>
        <v>NO</v>
      </c>
      <c r="AR992" s="909" t="str">
        <f>IFERROR(VLOOKUP(E992,'liquidaciones '!$B$2:$I$1048576,8,0),"")</f>
        <v/>
      </c>
      <c r="AS992" s="406"/>
      <c r="AT992" s="156" t="str">
        <f t="shared" ca="1" si="194"/>
        <v>SI</v>
      </c>
      <c r="AU992" s="1023" t="s">
        <v>4805</v>
      </c>
      <c r="AV992" s="1001"/>
      <c r="AW992" s="930" t="s">
        <v>5092</v>
      </c>
      <c r="AX992" s="928"/>
      <c r="AY992" s="928"/>
    </row>
    <row r="993" spans="3:51" ht="51" x14ac:dyDescent="0.3">
      <c r="C993" s="837">
        <v>1485</v>
      </c>
      <c r="E993" s="120">
        <v>200416</v>
      </c>
      <c r="F993" s="414" t="s">
        <v>6529</v>
      </c>
      <c r="G993" s="863">
        <v>1024472306</v>
      </c>
      <c r="H993" s="969" t="s">
        <v>6530</v>
      </c>
      <c r="I993" s="84">
        <v>7024000</v>
      </c>
      <c r="J993" s="843" t="s">
        <v>6531</v>
      </c>
      <c r="K993" s="269">
        <v>2020</v>
      </c>
      <c r="L993" s="519">
        <v>44162</v>
      </c>
      <c r="M993" s="844">
        <v>44172</v>
      </c>
      <c r="N993" s="844">
        <v>44196</v>
      </c>
      <c r="O993" s="1099" t="str">
        <f>IF(+Modificaciones!I993=0,"",VLOOKUP(E993,Modificaciones!$B$7:$I$2400,8,0))</f>
        <v/>
      </c>
      <c r="P993" s="115">
        <f>COUNTA(Modificaciones!J993,Modificaciones!L993,Modificaciones!N993,Modificaciones!P993)</f>
        <v>0</v>
      </c>
      <c r="Q993" s="116">
        <f>VLOOKUP(E993,Modificaciones!$B$7:$R$2300,17,0)</f>
        <v>0</v>
      </c>
      <c r="R993" s="117">
        <f>COUNTA(Modificaciones!T993,Modificaciones!V993,Modificaciones!X993,Modificaciones!Z993)</f>
        <v>0</v>
      </c>
      <c r="S993" s="118" t="str">
        <f>IF(Modificaciones!AA993=0,"",VLOOKUP(E993,Modificaciones!$B$7:$AA$2400,26,0))</f>
        <v/>
      </c>
      <c r="T993" s="119" t="str">
        <f>IF(Modificaciones!AB993=0,"",VLOOKUP(E993,Modificaciones!$B$7:$AB$2400,27,0))</f>
        <v/>
      </c>
      <c r="U993" s="1080" t="str">
        <f>+Modificaciones!AC993</f>
        <v/>
      </c>
      <c r="V993" s="825" t="str">
        <f>+Modificaciones!AK993</f>
        <v/>
      </c>
      <c r="W993" s="825">
        <f t="shared" si="189"/>
        <v>44196</v>
      </c>
      <c r="X993" s="59">
        <f t="shared" si="188"/>
        <v>7024000</v>
      </c>
      <c r="Y993" s="151">
        <f>VLOOKUP(E993,Modificaciones!$B$7:$BE$2300,56,0)</f>
        <v>0</v>
      </c>
      <c r="Z993" s="84">
        <f t="shared" si="185"/>
        <v>7024000</v>
      </c>
      <c r="AA993" s="1000" t="s">
        <v>5324</v>
      </c>
      <c r="AB993" s="823">
        <f t="shared" si="186"/>
        <v>0</v>
      </c>
      <c r="AC993" s="40">
        <f t="shared" ca="1" si="190"/>
        <v>1</v>
      </c>
      <c r="AD993" s="41">
        <f t="shared" ca="1" si="191"/>
        <v>1</v>
      </c>
      <c r="AE993" s="181" t="str">
        <f t="shared" ca="1" si="192"/>
        <v/>
      </c>
      <c r="AF993" s="42" t="str">
        <f t="shared" si="187"/>
        <v>NO</v>
      </c>
      <c r="AG993" s="414" t="s">
        <v>5773</v>
      </c>
      <c r="AH993" s="841" t="s">
        <v>1255</v>
      </c>
      <c r="AI993" s="841" t="s">
        <v>5779</v>
      </c>
      <c r="AJ993" s="838"/>
      <c r="AK993" s="255" t="s">
        <v>562</v>
      </c>
      <c r="AL993" s="838"/>
      <c r="AM993" s="838" t="s">
        <v>6312</v>
      </c>
      <c r="AN993" s="161" t="str">
        <f t="shared" ca="1" si="193"/>
        <v>TERMINO</v>
      </c>
      <c r="AO993" s="284" t="s">
        <v>582</v>
      </c>
      <c r="AP993" s="406" t="s">
        <v>391</v>
      </c>
      <c r="AQ993" s="819" t="str">
        <f>IFERROR(VLOOKUP(E993,'liquidaciones '!$B$2:$C$1048576,2,0),"NO")</f>
        <v>NO</v>
      </c>
      <c r="AR993" s="909" t="str">
        <f>IFERROR(VLOOKUP(E993,'liquidaciones '!$B$2:$I$1048576,8,0),"")</f>
        <v/>
      </c>
      <c r="AS993" s="406"/>
      <c r="AT993" s="156" t="str">
        <f t="shared" ca="1" si="194"/>
        <v>SI</v>
      </c>
      <c r="AU993" s="1138" t="s">
        <v>4805</v>
      </c>
      <c r="AV993" s="1001"/>
      <c r="AW993" s="930" t="s">
        <v>5092</v>
      </c>
      <c r="AX993" s="928"/>
      <c r="AY993" s="928"/>
    </row>
    <row r="994" spans="3:51" ht="70.5" customHeight="1" x14ac:dyDescent="0.3">
      <c r="C994" s="837">
        <v>1486</v>
      </c>
      <c r="E994" s="120">
        <v>200419</v>
      </c>
      <c r="F994" s="414" t="s">
        <v>6532</v>
      </c>
      <c r="G994" s="863">
        <v>1020715729</v>
      </c>
      <c r="H994" s="969" t="s">
        <v>6533</v>
      </c>
      <c r="I994" s="84">
        <v>18435000</v>
      </c>
      <c r="J994" s="839"/>
      <c r="K994" s="269">
        <v>2020</v>
      </c>
      <c r="L994" s="519">
        <v>44168</v>
      </c>
      <c r="M994" s="844">
        <v>44172</v>
      </c>
      <c r="N994" s="844">
        <v>44196</v>
      </c>
      <c r="O994" s="1099" t="str">
        <f>IF(+Modificaciones!I994=0,"",VLOOKUP(E994,Modificaciones!$B$7:$I$2400,8,0))</f>
        <v/>
      </c>
      <c r="P994" s="115">
        <f>COUNTA(Modificaciones!J994,Modificaciones!L994,Modificaciones!N994,Modificaciones!P994)</f>
        <v>0</v>
      </c>
      <c r="Q994" s="116">
        <f>VLOOKUP(E994,Modificaciones!$B$7:$R$2300,17,0)</f>
        <v>0</v>
      </c>
      <c r="R994" s="117">
        <f>COUNTA(Modificaciones!T994,Modificaciones!V994,Modificaciones!X994,Modificaciones!Z994)</f>
        <v>0</v>
      </c>
      <c r="S994" s="118" t="str">
        <f>IF(Modificaciones!AA994=0,"",VLOOKUP(E994,Modificaciones!$B$7:$AA$2400,26,0))</f>
        <v/>
      </c>
      <c r="T994" s="119" t="str">
        <f>IF(Modificaciones!AB994=0,"",VLOOKUP(E994,Modificaciones!$B$7:$AB$2400,27,0))</f>
        <v/>
      </c>
      <c r="U994" s="1080" t="str">
        <f>+Modificaciones!AC994</f>
        <v/>
      </c>
      <c r="V994" s="825" t="str">
        <f>+Modificaciones!AK994</f>
        <v/>
      </c>
      <c r="W994" s="825">
        <f t="shared" si="189"/>
        <v>44196</v>
      </c>
      <c r="X994" s="59">
        <f t="shared" si="188"/>
        <v>18435000</v>
      </c>
      <c r="Y994" s="151">
        <f>VLOOKUP(E994,Modificaciones!$B$7:$BE$2300,56,0)</f>
        <v>0</v>
      </c>
      <c r="Z994" s="84">
        <f t="shared" si="185"/>
        <v>18435000</v>
      </c>
      <c r="AA994" s="1000" t="s">
        <v>5324</v>
      </c>
      <c r="AB994" s="823">
        <f t="shared" si="186"/>
        <v>0</v>
      </c>
      <c r="AC994" s="40">
        <f t="shared" ca="1" si="190"/>
        <v>1</v>
      </c>
      <c r="AD994" s="41">
        <f t="shared" ca="1" si="191"/>
        <v>1</v>
      </c>
      <c r="AE994" s="181" t="str">
        <f t="shared" ca="1" si="192"/>
        <v/>
      </c>
      <c r="AF994" s="42" t="str">
        <f t="shared" si="187"/>
        <v>NO</v>
      </c>
      <c r="AG994" s="414" t="s">
        <v>5773</v>
      </c>
      <c r="AH994" s="841" t="s">
        <v>1255</v>
      </c>
      <c r="AI994" s="841" t="s">
        <v>5779</v>
      </c>
      <c r="AJ994" s="838"/>
      <c r="AK994" s="255" t="s">
        <v>6181</v>
      </c>
      <c r="AL994" s="838"/>
      <c r="AM994" s="414" t="s">
        <v>5873</v>
      </c>
      <c r="AN994" s="161" t="str">
        <f t="shared" ca="1" si="193"/>
        <v>TERMINO</v>
      </c>
      <c r="AO994" s="284" t="s">
        <v>582</v>
      </c>
      <c r="AP994" s="406" t="s">
        <v>391</v>
      </c>
      <c r="AQ994" s="819" t="str">
        <f>IFERROR(VLOOKUP(E994,'liquidaciones '!$B$2:$C$1048576,2,0),"NO")</f>
        <v>NO</v>
      </c>
      <c r="AR994" s="909" t="str">
        <f>IFERROR(VLOOKUP(E994,'liquidaciones '!$B$2:$I$1048576,8,0),"")</f>
        <v/>
      </c>
      <c r="AS994" s="406"/>
      <c r="AT994" s="156" t="str">
        <f t="shared" ca="1" si="194"/>
        <v>SI</v>
      </c>
      <c r="AU994" s="1023" t="s">
        <v>4805</v>
      </c>
      <c r="AV994" s="1001"/>
      <c r="AW994" s="930" t="s">
        <v>6064</v>
      </c>
      <c r="AX994" s="928"/>
      <c r="AY994" s="928"/>
    </row>
    <row r="995" spans="3:51" ht="40.799999999999997" x14ac:dyDescent="0.3">
      <c r="C995" s="837">
        <v>1384</v>
      </c>
      <c r="E995" s="120">
        <v>200420</v>
      </c>
      <c r="F995" s="414" t="s">
        <v>6537</v>
      </c>
      <c r="G995" s="863">
        <v>14590293</v>
      </c>
      <c r="H995" s="969" t="s">
        <v>6538</v>
      </c>
      <c r="I995" s="84">
        <v>6146000</v>
      </c>
      <c r="J995" s="833" t="s">
        <v>6539</v>
      </c>
      <c r="K995" s="269">
        <v>2020</v>
      </c>
      <c r="L995" s="519">
        <v>44169</v>
      </c>
      <c r="M995" s="844">
        <v>44180</v>
      </c>
      <c r="N995" s="844">
        <v>44196</v>
      </c>
      <c r="O995" s="1099" t="str">
        <f>IF(+Modificaciones!I995=0,"",VLOOKUP(E995,Modificaciones!$B$7:$I$2400,8,0))</f>
        <v/>
      </c>
      <c r="P995" s="115">
        <f>COUNTA(Modificaciones!J995,Modificaciones!L995,Modificaciones!N995,Modificaciones!P995)</f>
        <v>0</v>
      </c>
      <c r="Q995" s="116">
        <f>VLOOKUP(E995,Modificaciones!$B$7:$R$2300,17,0)</f>
        <v>0</v>
      </c>
      <c r="R995" s="117">
        <f>COUNTA(Modificaciones!T995,Modificaciones!V995,Modificaciones!X995,Modificaciones!Z995)</f>
        <v>0</v>
      </c>
      <c r="S995" s="118" t="str">
        <f>IF(Modificaciones!AA995=0,"",VLOOKUP(E995,Modificaciones!$B$7:$AA$2400,26,0))</f>
        <v/>
      </c>
      <c r="T995" s="119" t="str">
        <f>IF(Modificaciones!AB995=0,"",VLOOKUP(E995,Modificaciones!$B$7:$AB$2400,27,0))</f>
        <v/>
      </c>
      <c r="U995" s="1080" t="str">
        <f>+Modificaciones!AC995</f>
        <v/>
      </c>
      <c r="V995" s="825" t="str">
        <f>+Modificaciones!AK995</f>
        <v/>
      </c>
      <c r="W995" s="825">
        <f t="shared" si="189"/>
        <v>44196</v>
      </c>
      <c r="X995" s="59">
        <f t="shared" si="188"/>
        <v>6146000</v>
      </c>
      <c r="Y995" s="151">
        <f>VLOOKUP(E995,Modificaciones!$B$7:$BE$2300,56,0)</f>
        <v>0</v>
      </c>
      <c r="Z995" s="84">
        <f t="shared" si="185"/>
        <v>6146000</v>
      </c>
      <c r="AA995" s="1000" t="s">
        <v>5324</v>
      </c>
      <c r="AB995" s="823">
        <f t="shared" si="186"/>
        <v>0</v>
      </c>
      <c r="AC995" s="40">
        <f t="shared" ca="1" si="190"/>
        <v>1</v>
      </c>
      <c r="AD995" s="41">
        <f t="shared" ca="1" si="191"/>
        <v>1</v>
      </c>
      <c r="AE995" s="181" t="str">
        <f t="shared" ca="1" si="192"/>
        <v/>
      </c>
      <c r="AF995" s="42" t="str">
        <f t="shared" si="187"/>
        <v>NO</v>
      </c>
      <c r="AG995" s="414" t="s">
        <v>5773</v>
      </c>
      <c r="AH995" s="841" t="s">
        <v>1255</v>
      </c>
      <c r="AI995" s="841" t="s">
        <v>5779</v>
      </c>
      <c r="AJ995" s="838"/>
      <c r="AK995" s="255" t="s">
        <v>562</v>
      </c>
      <c r="AL995" s="838"/>
      <c r="AM995" s="838" t="s">
        <v>6312</v>
      </c>
      <c r="AN995" s="161" t="str">
        <f t="shared" ca="1" si="193"/>
        <v>TERMINO</v>
      </c>
      <c r="AO995" s="284" t="s">
        <v>582</v>
      </c>
      <c r="AP995" s="406" t="s">
        <v>391</v>
      </c>
      <c r="AQ995" s="819" t="str">
        <f>IFERROR(VLOOKUP(E995,'liquidaciones '!$B$2:$C$1048576,2,0),"NO")</f>
        <v>NO</v>
      </c>
      <c r="AR995" s="909" t="str">
        <f>IFERROR(VLOOKUP(E995,'liquidaciones '!$B$2:$I$1048576,8,0),"")</f>
        <v/>
      </c>
      <c r="AS995" s="406"/>
      <c r="AT995" s="156" t="str">
        <f t="shared" ca="1" si="194"/>
        <v>SI</v>
      </c>
      <c r="AU995" s="1139" t="s">
        <v>4805</v>
      </c>
      <c r="AW995" s="930" t="s">
        <v>5092</v>
      </c>
      <c r="AX995" s="928"/>
      <c r="AY995" s="928"/>
    </row>
    <row r="996" spans="3:51" ht="67.5" customHeight="1" x14ac:dyDescent="0.3">
      <c r="C996" s="837">
        <v>1284</v>
      </c>
      <c r="E996" s="120">
        <v>200427</v>
      </c>
      <c r="F996" s="414" t="s">
        <v>2007</v>
      </c>
      <c r="G996" s="863">
        <v>860066942</v>
      </c>
      <c r="H996" s="969" t="s">
        <v>6541</v>
      </c>
      <c r="I996" s="84">
        <v>479985919</v>
      </c>
      <c r="J996" s="843" t="s">
        <v>6542</v>
      </c>
      <c r="K996" s="269">
        <v>2020</v>
      </c>
      <c r="L996" s="519">
        <v>44176</v>
      </c>
      <c r="M996" s="844">
        <v>44181</v>
      </c>
      <c r="N996" s="844">
        <v>44301</v>
      </c>
      <c r="O996" s="1099" t="str">
        <f>IF(+Modificaciones!I996=0,"",VLOOKUP(E996,Modificaciones!$B$7:$I$2400,8,0))</f>
        <v/>
      </c>
      <c r="P996" s="115">
        <f>COUNTA(Modificaciones!J996,Modificaciones!L996,Modificaciones!N996,Modificaciones!P996)</f>
        <v>0</v>
      </c>
      <c r="Q996" s="116">
        <f>VLOOKUP(E996,Modificaciones!$B$7:$R$2300,17,0)</f>
        <v>0</v>
      </c>
      <c r="R996" s="117">
        <f>COUNTA(Modificaciones!T996,Modificaciones!V996,Modificaciones!X996,Modificaciones!Z996)</f>
        <v>0</v>
      </c>
      <c r="S996" s="118" t="str">
        <f>IF(Modificaciones!AA996=0,"",VLOOKUP(E996,Modificaciones!$B$7:$AA$2400,26,0))</f>
        <v/>
      </c>
      <c r="T996" s="119" t="str">
        <f>IF(Modificaciones!AB996=0,"",VLOOKUP(E996,Modificaciones!$B$7:$AB$2400,27,0))</f>
        <v/>
      </c>
      <c r="U996" s="1080" t="str">
        <f>+Modificaciones!AC996</f>
        <v/>
      </c>
      <c r="V996" s="825" t="str">
        <f>+Modificaciones!AK996</f>
        <v/>
      </c>
      <c r="W996" s="825">
        <f t="shared" si="189"/>
        <v>44301</v>
      </c>
      <c r="X996" s="59">
        <f t="shared" si="188"/>
        <v>479985919</v>
      </c>
      <c r="Y996" s="151">
        <f>VLOOKUP(E996,Modificaciones!$B$7:$BE$2300,56,0)</f>
        <v>0</v>
      </c>
      <c r="Z996" s="84">
        <f t="shared" si="185"/>
        <v>479985919</v>
      </c>
      <c r="AA996" s="1000" t="s">
        <v>5324</v>
      </c>
      <c r="AB996" s="823">
        <f t="shared" si="186"/>
        <v>0</v>
      </c>
      <c r="AC996" s="40">
        <f t="shared" ca="1" si="190"/>
        <v>0.39166666666666666</v>
      </c>
      <c r="AD996" s="41">
        <f t="shared" ca="1" si="191"/>
        <v>0.39166666666666666</v>
      </c>
      <c r="AE996" s="181">
        <f t="shared" ca="1" si="192"/>
        <v>73</v>
      </c>
      <c r="AF996" s="42" t="str">
        <f t="shared" si="187"/>
        <v>NO</v>
      </c>
      <c r="AG996" s="414" t="s">
        <v>6543</v>
      </c>
      <c r="AH996" s="841" t="s">
        <v>1255</v>
      </c>
      <c r="AI996" s="841"/>
      <c r="AJ996" s="838"/>
      <c r="AK996" s="255" t="s">
        <v>560</v>
      </c>
      <c r="AL996" s="838"/>
      <c r="AM996" s="838" t="s">
        <v>6068</v>
      </c>
      <c r="AN996" s="161" t="str">
        <f t="shared" ca="1" si="193"/>
        <v>EN EJECUCIÓN</v>
      </c>
      <c r="AO996" s="284" t="s">
        <v>582</v>
      </c>
      <c r="AP996" s="406" t="s">
        <v>390</v>
      </c>
      <c r="AQ996" s="819" t="str">
        <f>IFERROR(VLOOKUP(E996,'liquidaciones '!$B$2:$C$1048576,2,0),"NO")</f>
        <v>NO</v>
      </c>
      <c r="AR996" s="909" t="str">
        <f>IFERROR(VLOOKUP(E996,'liquidaciones '!$B$2:$I$1048576,8,0),"")</f>
        <v/>
      </c>
      <c r="AS996" s="406"/>
      <c r="AT996" s="156" t="str">
        <f t="shared" ca="1" si="194"/>
        <v>SI</v>
      </c>
      <c r="AU996" s="1023" t="s">
        <v>5047</v>
      </c>
      <c r="AV996" s="1001"/>
      <c r="AW996" s="930" t="s">
        <v>560</v>
      </c>
      <c r="AX996" s="928"/>
      <c r="AY996" s="928"/>
    </row>
    <row r="997" spans="3:51" ht="28.8" x14ac:dyDescent="0.3">
      <c r="C997" s="837">
        <v>1489</v>
      </c>
      <c r="E997" s="120">
        <v>200448</v>
      </c>
      <c r="F997" s="414" t="s">
        <v>6551</v>
      </c>
      <c r="G997" s="863">
        <v>805019778</v>
      </c>
      <c r="H997" s="969" t="s">
        <v>6552</v>
      </c>
      <c r="I997" s="84">
        <v>5886700</v>
      </c>
      <c r="J997" s="843" t="s">
        <v>6553</v>
      </c>
      <c r="K997" s="269">
        <v>2020</v>
      </c>
      <c r="L997" s="519">
        <v>44183</v>
      </c>
      <c r="M997" s="840"/>
      <c r="N997" s="840"/>
      <c r="O997" s="1099" t="str">
        <f>IF(+Modificaciones!I997=0,"",VLOOKUP(E997,Modificaciones!$B$7:$I$2400,8,0))</f>
        <v/>
      </c>
      <c r="P997" s="115">
        <f>COUNTA(Modificaciones!J997,Modificaciones!L997,Modificaciones!N997,Modificaciones!P997)</f>
        <v>0</v>
      </c>
      <c r="Q997" s="116">
        <f>VLOOKUP(E997,Modificaciones!$B$7:$R$2300,17,0)</f>
        <v>0</v>
      </c>
      <c r="R997" s="117">
        <f>COUNTA(Modificaciones!T997,Modificaciones!V997,Modificaciones!X997,Modificaciones!Z997)</f>
        <v>0</v>
      </c>
      <c r="S997" s="118" t="str">
        <f>IF(Modificaciones!AA997=0,"",VLOOKUP(E997,Modificaciones!$B$7:$AA$2400,26,0))</f>
        <v/>
      </c>
      <c r="T997" s="119" t="str">
        <f>IF(Modificaciones!AB997=0,"",VLOOKUP(E997,Modificaciones!$B$7:$AB$2400,27,0))</f>
        <v/>
      </c>
      <c r="U997" s="1080" t="str">
        <f>+Modificaciones!AC997</f>
        <v/>
      </c>
      <c r="V997" s="825" t="str">
        <f>+Modificaciones!AK997</f>
        <v/>
      </c>
      <c r="W997" s="825">
        <f t="shared" si="189"/>
        <v>0</v>
      </c>
      <c r="X997" s="59">
        <f t="shared" si="188"/>
        <v>5886700</v>
      </c>
      <c r="Y997" s="151">
        <f>VLOOKUP(E997,Modificaciones!$B$7:$BE$2300,56,0)</f>
        <v>0</v>
      </c>
      <c r="Z997" s="84">
        <f t="shared" si="185"/>
        <v>5886700</v>
      </c>
      <c r="AA997" s="1000" t="s">
        <v>5450</v>
      </c>
      <c r="AB997" s="823">
        <f t="shared" si="186"/>
        <v>0</v>
      </c>
      <c r="AC997" s="40" t="e">
        <f t="shared" ca="1" si="190"/>
        <v>#DIV/0!</v>
      </c>
      <c r="AD997" s="41" t="e">
        <f t="shared" ca="1" si="191"/>
        <v>#DIV/0!</v>
      </c>
      <c r="AE997" s="181" t="e">
        <f t="shared" ca="1" si="192"/>
        <v>#DIV/0!</v>
      </c>
      <c r="AF997" s="42" t="str">
        <f t="shared" si="187"/>
        <v>NO</v>
      </c>
      <c r="AG997" s="838" t="s">
        <v>1711</v>
      </c>
      <c r="AH997" s="841" t="s">
        <v>1256</v>
      </c>
      <c r="AI997" s="841"/>
      <c r="AJ997" s="838"/>
      <c r="AK997" s="255" t="s">
        <v>560</v>
      </c>
      <c r="AL997" s="838"/>
      <c r="AM997" s="838" t="s">
        <v>5734</v>
      </c>
      <c r="AN997" s="161" t="str">
        <f t="shared" ca="1" si="193"/>
        <v>TERMINO</v>
      </c>
      <c r="AO997" s="414" t="s">
        <v>5452</v>
      </c>
      <c r="AP997" s="406" t="s">
        <v>391</v>
      </c>
      <c r="AQ997" s="819" t="str">
        <f>IFERROR(VLOOKUP(E997,'liquidaciones '!$B$2:$C$1048576,2,0),"NO")</f>
        <v>NO</v>
      </c>
      <c r="AR997" s="909" t="str">
        <f>IFERROR(VLOOKUP(E997,'liquidaciones '!$B$2:$I$1048576,8,0),"")</f>
        <v/>
      </c>
      <c r="AS997" s="406"/>
      <c r="AT997" s="156" t="str">
        <f t="shared" ca="1" si="194"/>
        <v>NO</v>
      </c>
      <c r="AU997" s="1023"/>
      <c r="AV997" s="1001"/>
      <c r="AW997" s="930" t="s">
        <v>560</v>
      </c>
      <c r="AX997" s="928"/>
      <c r="AY997" s="928"/>
    </row>
    <row r="998" spans="3:51" ht="28.8" x14ac:dyDescent="0.3">
      <c r="C998" s="837">
        <v>1194</v>
      </c>
      <c r="E998" s="120">
        <v>200447</v>
      </c>
      <c r="F998" s="414" t="s">
        <v>1481</v>
      </c>
      <c r="G998" s="863" t="s">
        <v>6554</v>
      </c>
      <c r="H998" s="969" t="s">
        <v>6555</v>
      </c>
      <c r="I998" s="84">
        <v>48103714</v>
      </c>
      <c r="J998" s="843" t="s">
        <v>6556</v>
      </c>
      <c r="K998" s="269">
        <v>2020</v>
      </c>
      <c r="L998" s="519">
        <v>44183</v>
      </c>
      <c r="M998" s="840">
        <v>44200</v>
      </c>
      <c r="N998" s="840">
        <v>44319</v>
      </c>
      <c r="O998" s="1099" t="str">
        <f>IF(+Modificaciones!I998=0,"",VLOOKUP(E998,Modificaciones!$B$7:$I$2400,8,0))</f>
        <v/>
      </c>
      <c r="P998" s="115">
        <f>COUNTA(Modificaciones!J998,Modificaciones!L998,Modificaciones!N998,Modificaciones!P998)</f>
        <v>0</v>
      </c>
      <c r="Q998" s="116">
        <f>VLOOKUP(E998,Modificaciones!$B$7:$R$2300,17,0)</f>
        <v>0</v>
      </c>
      <c r="R998" s="117">
        <f>COUNTA(Modificaciones!T998,Modificaciones!V998,Modificaciones!X998,Modificaciones!Z998)</f>
        <v>0</v>
      </c>
      <c r="S998" s="118" t="str">
        <f>IF(Modificaciones!AA998=0,"",VLOOKUP(E998,Modificaciones!$B$7:$AA$2400,26,0))</f>
        <v/>
      </c>
      <c r="T998" s="119" t="str">
        <f>IF(Modificaciones!AB998=0,"",VLOOKUP(E998,Modificaciones!$B$7:$AB$2400,27,0))</f>
        <v/>
      </c>
      <c r="U998" s="1080" t="str">
        <f>+Modificaciones!AC998</f>
        <v/>
      </c>
      <c r="V998" s="825" t="str">
        <f>+Modificaciones!AK998</f>
        <v/>
      </c>
      <c r="W998" s="825">
        <f t="shared" si="189"/>
        <v>44319</v>
      </c>
      <c r="X998" s="59">
        <f t="shared" si="188"/>
        <v>48103714</v>
      </c>
      <c r="Y998" s="151">
        <f>VLOOKUP(E998,Modificaciones!$B$7:$BE$2300,56,0)</f>
        <v>0</v>
      </c>
      <c r="Z998" s="84">
        <f t="shared" si="185"/>
        <v>48103714</v>
      </c>
      <c r="AA998" s="1000" t="s">
        <v>5324</v>
      </c>
      <c r="AB998" s="823">
        <f t="shared" si="186"/>
        <v>0</v>
      </c>
      <c r="AC998" s="40">
        <f t="shared" ca="1" si="190"/>
        <v>0.23529411764705882</v>
      </c>
      <c r="AD998" s="41">
        <f t="shared" ca="1" si="191"/>
        <v>0.23529411764705882</v>
      </c>
      <c r="AE998" s="181">
        <f t="shared" ca="1" si="192"/>
        <v>91</v>
      </c>
      <c r="AF998" s="42" t="str">
        <f t="shared" si="187"/>
        <v>NO</v>
      </c>
      <c r="AG998" s="838" t="s">
        <v>1711</v>
      </c>
      <c r="AH998" s="841" t="s">
        <v>1255</v>
      </c>
      <c r="AI998" s="841" t="s">
        <v>5402</v>
      </c>
      <c r="AJ998" s="838"/>
      <c r="AK998" s="255" t="s">
        <v>560</v>
      </c>
      <c r="AL998" s="838"/>
      <c r="AM998" s="838" t="s">
        <v>6068</v>
      </c>
      <c r="AN998" s="161" t="str">
        <f t="shared" ca="1" si="193"/>
        <v>EN EJECUCIÓN</v>
      </c>
      <c r="AO998" s="414" t="s">
        <v>4975</v>
      </c>
      <c r="AP998" s="406" t="s">
        <v>390</v>
      </c>
      <c r="AQ998" s="819" t="str">
        <f>IFERROR(VLOOKUP(E998,'liquidaciones '!$B$2:$C$1048576,2,0),"NO")</f>
        <v>NO</v>
      </c>
      <c r="AR998" s="909" t="str">
        <f>IFERROR(VLOOKUP(E998,'liquidaciones '!$B$2:$I$1048576,8,0),"")</f>
        <v/>
      </c>
      <c r="AS998" s="406"/>
      <c r="AT998" s="156" t="str">
        <f t="shared" ca="1" si="194"/>
        <v>SI</v>
      </c>
      <c r="AU998" s="1023" t="s">
        <v>4299</v>
      </c>
      <c r="AV998" s="1001"/>
      <c r="AW998" s="930" t="s">
        <v>6064</v>
      </c>
      <c r="AX998" s="928"/>
      <c r="AY998" s="928"/>
    </row>
    <row r="999" spans="3:51" ht="30.6" x14ac:dyDescent="0.3">
      <c r="C999" s="837"/>
      <c r="E999" s="120">
        <v>200461</v>
      </c>
      <c r="F999" s="414" t="s">
        <v>3212</v>
      </c>
      <c r="G999" s="863">
        <v>830095213</v>
      </c>
      <c r="H999" s="969" t="s">
        <v>4298</v>
      </c>
      <c r="I999" s="84">
        <v>1000000</v>
      </c>
      <c r="J999" s="843" t="s">
        <v>6557</v>
      </c>
      <c r="K999" s="269">
        <v>2020</v>
      </c>
      <c r="L999" s="519">
        <v>44194</v>
      </c>
      <c r="M999" s="840">
        <v>44194</v>
      </c>
      <c r="N999" s="840">
        <v>44240</v>
      </c>
      <c r="O999" s="1099" t="str">
        <f>IF(+Modificaciones!I999=0,"",VLOOKUP(E999,Modificaciones!$B$7:$I$2400,8,0))</f>
        <v/>
      </c>
      <c r="P999" s="115">
        <f>COUNTA(Modificaciones!J999,Modificaciones!L999,Modificaciones!N999,Modificaciones!P999)</f>
        <v>0</v>
      </c>
      <c r="Q999" s="116">
        <f>VLOOKUP(E999,Modificaciones!$B$7:$R$2300,17,0)</f>
        <v>0</v>
      </c>
      <c r="R999" s="117">
        <f>COUNTA(Modificaciones!T999,Modificaciones!V999,Modificaciones!X999,Modificaciones!Z999)</f>
        <v>0</v>
      </c>
      <c r="S999" s="118" t="str">
        <f>IF(Modificaciones!AA999=0,"",VLOOKUP(E999,Modificaciones!$B$7:$AA$2400,26,0))</f>
        <v/>
      </c>
      <c r="T999" s="119" t="str">
        <f>IF(Modificaciones!AB999=0,"",VLOOKUP(E999,Modificaciones!$B$7:$AB$2400,27,0))</f>
        <v/>
      </c>
      <c r="U999" s="1080" t="str">
        <f>+Modificaciones!AC999</f>
        <v/>
      </c>
      <c r="V999" s="825" t="str">
        <f>+Modificaciones!AK999</f>
        <v/>
      </c>
      <c r="W999" s="825">
        <f t="shared" si="189"/>
        <v>44240</v>
      </c>
      <c r="X999" s="59">
        <f t="shared" si="188"/>
        <v>1000000</v>
      </c>
      <c r="Y999" s="151">
        <f>VLOOKUP(E999,Modificaciones!$B$7:$BE$2300,56,0)</f>
        <v>0</v>
      </c>
      <c r="Z999" s="84">
        <f t="shared" si="185"/>
        <v>1000000</v>
      </c>
      <c r="AA999" s="1000" t="s">
        <v>5324</v>
      </c>
      <c r="AB999" s="823">
        <f t="shared" si="186"/>
        <v>0</v>
      </c>
      <c r="AC999" s="40">
        <f t="shared" ca="1" si="190"/>
        <v>0.73913043478260865</v>
      </c>
      <c r="AD999" s="41">
        <f t="shared" ca="1" si="191"/>
        <v>0.73913043478260865</v>
      </c>
      <c r="AE999" s="181">
        <f t="shared" ca="1" si="192"/>
        <v>12</v>
      </c>
      <c r="AF999" s="42" t="str">
        <f t="shared" si="187"/>
        <v>NO</v>
      </c>
      <c r="AG999" s="414" t="s">
        <v>6558</v>
      </c>
      <c r="AH999" s="841" t="s">
        <v>1255</v>
      </c>
      <c r="AI999" s="841"/>
      <c r="AJ999" s="838"/>
      <c r="AK999" s="255" t="s">
        <v>559</v>
      </c>
      <c r="AL999" s="838"/>
      <c r="AM999" s="838" t="s">
        <v>6571</v>
      </c>
      <c r="AN999" s="161" t="str">
        <f t="shared" ca="1" si="193"/>
        <v>EN EJECUCIÓN</v>
      </c>
      <c r="AO999" s="414" t="s">
        <v>2906</v>
      </c>
      <c r="AP999" s="406"/>
      <c r="AQ999" s="819" t="str">
        <f>IFERROR(VLOOKUP(E999,'liquidaciones '!$B$2:$C$1048576,2,0),"NO")</f>
        <v>NO</v>
      </c>
      <c r="AR999" s="909" t="str">
        <f>IFERROR(VLOOKUP(E999,'liquidaciones '!$B$2:$I$1048576,8,0),"")</f>
        <v/>
      </c>
      <c r="AS999" s="406"/>
      <c r="AT999" s="156" t="str">
        <f t="shared" ca="1" si="194"/>
        <v>SI</v>
      </c>
      <c r="AU999" s="1023" t="s">
        <v>4299</v>
      </c>
      <c r="AV999" s="1001"/>
      <c r="AW999" s="930" t="s">
        <v>559</v>
      </c>
      <c r="AX999" s="928"/>
      <c r="AY999" s="930" t="s">
        <v>6575</v>
      </c>
    </row>
    <row r="1000" spans="3:51" ht="40.799999999999997" x14ac:dyDescent="0.3">
      <c r="C1000" s="837">
        <v>1499</v>
      </c>
      <c r="E1000" s="120">
        <v>200452</v>
      </c>
      <c r="F1000" s="414" t="s">
        <v>6559</v>
      </c>
      <c r="G1000" s="863">
        <v>79054381</v>
      </c>
      <c r="H1000" s="969" t="s">
        <v>6560</v>
      </c>
      <c r="I1000" s="84">
        <v>10584000</v>
      </c>
      <c r="J1000" s="843" t="s">
        <v>6561</v>
      </c>
      <c r="K1000" s="269">
        <v>2020</v>
      </c>
      <c r="L1000" s="519">
        <v>44193</v>
      </c>
      <c r="M1000" s="840">
        <v>44200</v>
      </c>
      <c r="N1000" s="840">
        <v>44289</v>
      </c>
      <c r="O1000" s="1099" t="str">
        <f>IF(+Modificaciones!I1000=0,"",VLOOKUP(E1000,Modificaciones!$B$7:$I$2400,8,0))</f>
        <v/>
      </c>
      <c r="P1000" s="115">
        <f>COUNTA(Modificaciones!J1000,Modificaciones!L1000,Modificaciones!N1000,Modificaciones!P1000)</f>
        <v>0</v>
      </c>
      <c r="Q1000" s="116">
        <f>VLOOKUP(E1000,Modificaciones!$B$7:$R$2300,17,0)</f>
        <v>0</v>
      </c>
      <c r="R1000" s="117">
        <f>COUNTA(Modificaciones!T1000,Modificaciones!V1000,Modificaciones!X1000,Modificaciones!Z1000)</f>
        <v>0</v>
      </c>
      <c r="S1000" s="118" t="str">
        <f>IF(Modificaciones!AA1000=0,"",VLOOKUP(E1000,Modificaciones!$B$7:$AA$2400,26,0))</f>
        <v/>
      </c>
      <c r="T1000" s="119" t="str">
        <f>IF(Modificaciones!AB1000=0,"",VLOOKUP(E1000,Modificaciones!$B$7:$AB$2400,27,0))</f>
        <v/>
      </c>
      <c r="U1000" s="1080" t="str">
        <f>+Modificaciones!AC1000</f>
        <v/>
      </c>
      <c r="V1000" s="825" t="str">
        <f>+Modificaciones!AK1000</f>
        <v/>
      </c>
      <c r="W1000" s="825">
        <f t="shared" si="189"/>
        <v>44289</v>
      </c>
      <c r="X1000" s="59">
        <f t="shared" si="188"/>
        <v>10584000</v>
      </c>
      <c r="Y1000" s="151">
        <f>VLOOKUP(E1000,Modificaciones!$B$7:$BE$2300,56,0)</f>
        <v>0</v>
      </c>
      <c r="Z1000" s="84">
        <f t="shared" si="185"/>
        <v>10584000</v>
      </c>
      <c r="AA1000" s="1000" t="s">
        <v>5519</v>
      </c>
      <c r="AB1000" s="823">
        <f t="shared" si="186"/>
        <v>0</v>
      </c>
      <c r="AC1000" s="40">
        <f t="shared" ca="1" si="190"/>
        <v>0.3146067415730337</v>
      </c>
      <c r="AD1000" s="41">
        <f t="shared" ca="1" si="191"/>
        <v>0.3146067415730337</v>
      </c>
      <c r="AE1000" s="181">
        <f t="shared" ca="1" si="192"/>
        <v>61</v>
      </c>
      <c r="AF1000" s="42" t="str">
        <f t="shared" si="187"/>
        <v>NO</v>
      </c>
      <c r="AG1000" s="414" t="s">
        <v>1709</v>
      </c>
      <c r="AH1000" s="841" t="s">
        <v>1255</v>
      </c>
      <c r="AI1000" s="841" t="s">
        <v>6562</v>
      </c>
      <c r="AJ1000" s="838"/>
      <c r="AK1000" s="255" t="s">
        <v>560</v>
      </c>
      <c r="AL1000" s="838"/>
      <c r="AM1000" s="838" t="s">
        <v>6068</v>
      </c>
      <c r="AN1000" s="161" t="str">
        <f t="shared" ca="1" si="193"/>
        <v>EN EJECUCIÓN</v>
      </c>
      <c r="AO1000" s="414" t="s">
        <v>5452</v>
      </c>
      <c r="AP1000" s="406" t="s">
        <v>390</v>
      </c>
      <c r="AQ1000" s="819" t="str">
        <f>IFERROR(VLOOKUP(E1000,'liquidaciones '!$B$2:$C$1048576,2,0),"NO")</f>
        <v>NO</v>
      </c>
      <c r="AR1000" s="909" t="str">
        <f>IFERROR(VLOOKUP(E1000,'liquidaciones '!$B$2:$I$1048576,8,0),"")</f>
        <v/>
      </c>
      <c r="AS1000" s="406"/>
      <c r="AT1000" s="156" t="str">
        <f t="shared" ca="1" si="194"/>
        <v>SI</v>
      </c>
      <c r="AU1000" s="1023"/>
      <c r="AV1000" s="1001"/>
      <c r="AW1000" s="930" t="s">
        <v>560</v>
      </c>
      <c r="AX1000" s="928"/>
      <c r="AY1000" s="928"/>
    </row>
    <row r="1001" spans="3:51" ht="30.6" x14ac:dyDescent="0.3">
      <c r="C1001" s="837">
        <v>1203</v>
      </c>
      <c r="E1001" s="120">
        <v>200372</v>
      </c>
      <c r="F1001" s="414" t="s">
        <v>6568</v>
      </c>
      <c r="G1001" s="863">
        <v>860536029</v>
      </c>
      <c r="H1001" s="969" t="s">
        <v>6569</v>
      </c>
      <c r="I1001" s="84">
        <v>1050000</v>
      </c>
      <c r="J1001" s="843" t="s">
        <v>6570</v>
      </c>
      <c r="K1001" s="269">
        <v>2020</v>
      </c>
      <c r="L1001" s="519">
        <v>44106</v>
      </c>
      <c r="M1001" s="840"/>
      <c r="N1001" s="840"/>
      <c r="O1001" s="1099" t="str">
        <f>IF(+Modificaciones!I1001=0,"",VLOOKUP(E1001,Modificaciones!$B$7:$I$2400,8,0))</f>
        <v/>
      </c>
      <c r="P1001" s="115">
        <f>COUNTA(Modificaciones!J1001,Modificaciones!L1001,Modificaciones!N1001,Modificaciones!P1001)</f>
        <v>0</v>
      </c>
      <c r="Q1001" s="116">
        <f>VLOOKUP(E1001,Modificaciones!$B$7:$R$2300,17,0)</f>
        <v>0</v>
      </c>
      <c r="R1001" s="117">
        <f>COUNTA(Modificaciones!T1001,Modificaciones!V1001,Modificaciones!X1001,Modificaciones!Z1001)</f>
        <v>0</v>
      </c>
      <c r="S1001" s="118" t="str">
        <f>IF(Modificaciones!AA1001=0,"",VLOOKUP(E1001,Modificaciones!$B$7:$AA$2400,26,0))</f>
        <v/>
      </c>
      <c r="T1001" s="119" t="str">
        <f>IF(Modificaciones!AB1001=0,"",VLOOKUP(E1001,Modificaciones!$B$7:$AB$2400,27,0))</f>
        <v/>
      </c>
      <c r="U1001" s="1080" t="str">
        <f>+Modificaciones!AC1001</f>
        <v/>
      </c>
      <c r="V1001" s="825" t="str">
        <f>+Modificaciones!AK1001</f>
        <v/>
      </c>
      <c r="W1001" s="825">
        <f t="shared" ref="W1001:W1064" si="195">MAX(N1001,O1001,T1001,V1001)</f>
        <v>0</v>
      </c>
      <c r="X1001" s="59">
        <f t="shared" ref="X1001:X1064" si="196">I1001+Q1001</f>
        <v>1050000</v>
      </c>
      <c r="Y1001" s="151">
        <f>VLOOKUP(E1001,Modificaciones!$B$7:$BE$2300,56,0)</f>
        <v>0</v>
      </c>
      <c r="Z1001" s="84">
        <f t="shared" ref="Z1001:Z1064" si="197">X1001-Y1001</f>
        <v>1050000</v>
      </c>
      <c r="AA1001" s="1000" t="s">
        <v>5519</v>
      </c>
      <c r="AB1001" s="823">
        <f t="shared" ref="AB1001:AB1064" si="198">(Y1001*100%)/X1001</f>
        <v>0</v>
      </c>
      <c r="AC1001" s="40" t="e">
        <f t="shared" ref="AC1001:AC1064" ca="1" si="199">IF((($F$3-M1001)*100%/(W1001-M1001))&gt;100%,100%,(($F$3-M1001)*100%/(W1001-M1001)))</f>
        <v>#DIV/0!</v>
      </c>
      <c r="AD1001" s="41" t="e">
        <f t="shared" ref="AD1001:AD1064" ca="1" si="200">AC1001-AB1001</f>
        <v>#DIV/0!</v>
      </c>
      <c r="AE1001" s="181" t="e">
        <f t="shared" ref="AE1001:AE1064" ca="1" si="201">IF(AC1001&lt;100%,W1001-$F$3,"")</f>
        <v>#DIV/0!</v>
      </c>
      <c r="AF1001" s="42" t="str">
        <f t="shared" ref="AF1001:AF1064" si="202">IF(AB1001&lt;=99.9%,"NO","SI")</f>
        <v>NO</v>
      </c>
      <c r="AG1001" s="838" t="s">
        <v>1713</v>
      </c>
      <c r="AH1001" s="841" t="s">
        <v>1255</v>
      </c>
      <c r="AI1001" s="841"/>
      <c r="AJ1001" s="838" t="s">
        <v>4791</v>
      </c>
      <c r="AK1001" s="255" t="s">
        <v>564</v>
      </c>
      <c r="AL1001" s="838"/>
      <c r="AM1001" s="414" t="s">
        <v>5902</v>
      </c>
      <c r="AN1001" s="161" t="str">
        <f t="shared" ref="AN1001:AN1064" ca="1" si="203">IF(W1001&gt;=$F$3,"EN EJECUCIÓN","TERMINO")</f>
        <v>TERMINO</v>
      </c>
      <c r="AO1001" s="414" t="s">
        <v>6164</v>
      </c>
      <c r="AP1001" s="406" t="s">
        <v>390</v>
      </c>
      <c r="AQ1001" s="819" t="str">
        <f>IFERROR(VLOOKUP(E1001,'liquidaciones '!$B$2:$C$1048576,2,0),"NO")</f>
        <v>NO</v>
      </c>
      <c r="AR1001" s="909" t="str">
        <f>IFERROR(VLOOKUP(E1001,'liquidaciones '!$B$2:$I$1048576,8,0),"")</f>
        <v/>
      </c>
      <c r="AS1001" s="406"/>
      <c r="AT1001" s="156" t="str">
        <f t="shared" ref="AT1001:AT1064" ca="1" si="204">IF((TODAY()-W1001&lt;900),"SI","NO")</f>
        <v>NO</v>
      </c>
      <c r="AU1001" s="1140"/>
      <c r="AV1001" s="1001"/>
      <c r="AW1001" s="930" t="s">
        <v>564</v>
      </c>
      <c r="AX1001" s="928"/>
      <c r="AY1001" s="928"/>
    </row>
    <row r="1002" spans="3:51" x14ac:dyDescent="0.3">
      <c r="C1002" s="837"/>
      <c r="E1002" s="120"/>
      <c r="F1002" s="414"/>
      <c r="G1002" s="863"/>
      <c r="H1002" s="969"/>
      <c r="I1002" s="84"/>
      <c r="J1002" s="839"/>
      <c r="K1002" s="269"/>
      <c r="L1002" s="519"/>
      <c r="M1002" s="840"/>
      <c r="N1002" s="840"/>
      <c r="O1002" s="1099" t="str">
        <f>IF(+Modificaciones!I1002=0,"",VLOOKUP(E1002,Modificaciones!$B$7:$I$2400,8,0))</f>
        <v/>
      </c>
      <c r="P1002" s="115">
        <f>COUNTA(Modificaciones!J1002,Modificaciones!L1002,Modificaciones!N1002,Modificaciones!P1002)</f>
        <v>0</v>
      </c>
      <c r="Q1002" s="116">
        <f>VLOOKUP(E1002,Modificaciones!$B$7:$R$2300,17,0)</f>
        <v>0</v>
      </c>
      <c r="R1002" s="117">
        <f>COUNTA(Modificaciones!T1002,Modificaciones!V1002,Modificaciones!X1002,Modificaciones!Z1002)</f>
        <v>0</v>
      </c>
      <c r="S1002" s="118" t="str">
        <f>IF(Modificaciones!AA1002=0,"",VLOOKUP(E1002,Modificaciones!$B$7:$AA$2400,26,0))</f>
        <v/>
      </c>
      <c r="T1002" s="119" t="str">
        <f>IF(Modificaciones!AB1002=0,"",VLOOKUP(E1002,Modificaciones!$B$7:$AB$2400,27,0))</f>
        <v/>
      </c>
      <c r="U1002" s="1080" t="str">
        <f>+Modificaciones!AC1002</f>
        <v/>
      </c>
      <c r="V1002" s="825" t="str">
        <f>+Modificaciones!AK1002</f>
        <v/>
      </c>
      <c r="W1002" s="825">
        <f t="shared" si="195"/>
        <v>0</v>
      </c>
      <c r="X1002" s="59">
        <f t="shared" si="196"/>
        <v>0</v>
      </c>
      <c r="Y1002" s="151">
        <f>VLOOKUP(E1002,Modificaciones!$B$7:$BE$2300,56,0)</f>
        <v>0</v>
      </c>
      <c r="Z1002" s="84">
        <f t="shared" si="197"/>
        <v>0</v>
      </c>
      <c r="AA1002" s="1000"/>
      <c r="AB1002" s="823" t="e">
        <f t="shared" si="198"/>
        <v>#DIV/0!</v>
      </c>
      <c r="AC1002" s="40" t="e">
        <f t="shared" ca="1" si="199"/>
        <v>#DIV/0!</v>
      </c>
      <c r="AD1002" s="41" t="e">
        <f t="shared" ca="1" si="200"/>
        <v>#DIV/0!</v>
      </c>
      <c r="AE1002" s="181" t="e">
        <f t="shared" ca="1" si="201"/>
        <v>#DIV/0!</v>
      </c>
      <c r="AF1002" s="42" t="e">
        <f t="shared" si="202"/>
        <v>#DIV/0!</v>
      </c>
      <c r="AG1002" s="838"/>
      <c r="AH1002" s="841"/>
      <c r="AI1002" s="841"/>
      <c r="AJ1002" s="838"/>
      <c r="AL1002" s="838"/>
      <c r="AM1002" s="838"/>
      <c r="AN1002" s="161" t="str">
        <f t="shared" ca="1" si="203"/>
        <v>TERMINO</v>
      </c>
      <c r="AO1002" s="414"/>
      <c r="AP1002" s="406"/>
      <c r="AQ1002" s="819" t="str">
        <f>IFERROR(VLOOKUP(E1002,'liquidaciones '!$B$2:$C$1048576,2,0),"NO")</f>
        <v>NO</v>
      </c>
      <c r="AR1002" s="909" t="str">
        <f>IFERROR(VLOOKUP(E1002,'liquidaciones '!$B$2:$I$1048576,8,0),"")</f>
        <v/>
      </c>
      <c r="AS1002" s="406"/>
      <c r="AT1002" s="156" t="str">
        <f t="shared" ca="1" si="204"/>
        <v>NO</v>
      </c>
      <c r="AU1002" s="1140"/>
      <c r="AV1002" s="1001"/>
      <c r="AX1002" s="928"/>
      <c r="AY1002" s="928"/>
    </row>
    <row r="1003" spans="3:51" x14ac:dyDescent="0.3">
      <c r="C1003" s="837"/>
      <c r="E1003" s="120"/>
      <c r="F1003" s="414"/>
      <c r="G1003" s="863"/>
      <c r="H1003" s="969"/>
      <c r="I1003" s="84"/>
      <c r="J1003" s="839"/>
      <c r="K1003" s="269"/>
      <c r="L1003" s="519"/>
      <c r="M1003" s="840"/>
      <c r="N1003" s="840"/>
      <c r="O1003" s="1099" t="str">
        <f>IF(+Modificaciones!I1003=0,"",VLOOKUP(E1003,Modificaciones!$B$7:$I$2400,8,0))</f>
        <v/>
      </c>
      <c r="P1003" s="115">
        <f>COUNTA(Modificaciones!J1003,Modificaciones!L1003,Modificaciones!N1003,Modificaciones!P1003)</f>
        <v>0</v>
      </c>
      <c r="Q1003" s="116">
        <f>VLOOKUP(E1003,Modificaciones!$B$7:$R$2300,17,0)</f>
        <v>0</v>
      </c>
      <c r="R1003" s="117">
        <f>COUNTA(Modificaciones!T1003,Modificaciones!V1003,Modificaciones!X1003,Modificaciones!Z1003)</f>
        <v>0</v>
      </c>
      <c r="S1003" s="118" t="str">
        <f>IF(Modificaciones!AA1003=0,"",VLOOKUP(E1003,Modificaciones!$B$7:$AA$2400,26,0))</f>
        <v/>
      </c>
      <c r="T1003" s="119" t="str">
        <f>IF(Modificaciones!AB1003=0,"",VLOOKUP(E1003,Modificaciones!$B$7:$AB$2400,27,0))</f>
        <v/>
      </c>
      <c r="U1003" s="1080" t="str">
        <f>+Modificaciones!AC1003</f>
        <v/>
      </c>
      <c r="V1003" s="825" t="str">
        <f>+Modificaciones!AK1003</f>
        <v/>
      </c>
      <c r="W1003" s="825">
        <f t="shared" si="195"/>
        <v>0</v>
      </c>
      <c r="X1003" s="59">
        <f t="shared" si="196"/>
        <v>0</v>
      </c>
      <c r="Y1003" s="151">
        <f>VLOOKUP(E1003,Modificaciones!$B$7:$BE$2300,56,0)</f>
        <v>0</v>
      </c>
      <c r="Z1003" s="84">
        <f t="shared" si="197"/>
        <v>0</v>
      </c>
      <c r="AA1003" s="1000"/>
      <c r="AB1003" s="823" t="e">
        <f t="shared" si="198"/>
        <v>#DIV/0!</v>
      </c>
      <c r="AC1003" s="40" t="e">
        <f t="shared" ca="1" si="199"/>
        <v>#DIV/0!</v>
      </c>
      <c r="AD1003" s="41" t="e">
        <f t="shared" ca="1" si="200"/>
        <v>#DIV/0!</v>
      </c>
      <c r="AE1003" s="181" t="e">
        <f t="shared" ca="1" si="201"/>
        <v>#DIV/0!</v>
      </c>
      <c r="AF1003" s="42" t="e">
        <f t="shared" si="202"/>
        <v>#DIV/0!</v>
      </c>
      <c r="AG1003" s="838"/>
      <c r="AH1003" s="841"/>
      <c r="AI1003" s="841"/>
      <c r="AJ1003" s="838"/>
      <c r="AL1003" s="838"/>
      <c r="AM1003" s="838"/>
      <c r="AN1003" s="161" t="str">
        <f t="shared" ca="1" si="203"/>
        <v>TERMINO</v>
      </c>
      <c r="AO1003" s="414"/>
      <c r="AP1003" s="406"/>
      <c r="AQ1003" s="819" t="str">
        <f>IFERROR(VLOOKUP(E1003,'liquidaciones '!$B$2:$C$1048576,2,0),"NO")</f>
        <v>NO</v>
      </c>
      <c r="AR1003" s="909" t="str">
        <f>IFERROR(VLOOKUP(E1003,'liquidaciones '!$B$2:$I$1048576,8,0),"")</f>
        <v/>
      </c>
      <c r="AS1003" s="406"/>
      <c r="AT1003" s="156" t="str">
        <f t="shared" ca="1" si="204"/>
        <v>NO</v>
      </c>
      <c r="AU1003" s="1140"/>
      <c r="AV1003" s="1001"/>
      <c r="AX1003" s="928"/>
      <c r="AY1003" s="928"/>
    </row>
    <row r="1004" spans="3:51" x14ac:dyDescent="0.3">
      <c r="C1004" s="837"/>
      <c r="E1004" s="120"/>
      <c r="F1004" s="414"/>
      <c r="G1004" s="863"/>
      <c r="H1004" s="969"/>
      <c r="I1004" s="84"/>
      <c r="J1004" s="839"/>
      <c r="K1004" s="269"/>
      <c r="L1004" s="519"/>
      <c r="M1004" s="840"/>
      <c r="N1004" s="840"/>
      <c r="O1004" s="1099" t="str">
        <f>IF(+Modificaciones!I1004=0,"",VLOOKUP(E1004,Modificaciones!$B$7:$I$2400,8,0))</f>
        <v/>
      </c>
      <c r="P1004" s="115">
        <f>COUNTA(Modificaciones!J1004,Modificaciones!L1004,Modificaciones!N1004,Modificaciones!P1004)</f>
        <v>0</v>
      </c>
      <c r="Q1004" s="116">
        <f>VLOOKUP(E1004,Modificaciones!$B$7:$R$2300,17,0)</f>
        <v>0</v>
      </c>
      <c r="R1004" s="117">
        <f>COUNTA(Modificaciones!T1004,Modificaciones!V1004,Modificaciones!X1004,Modificaciones!Z1004)</f>
        <v>0</v>
      </c>
      <c r="S1004" s="118" t="str">
        <f>IF(Modificaciones!AA1004=0,"",VLOOKUP(E1004,Modificaciones!$B$7:$AA$2400,26,0))</f>
        <v/>
      </c>
      <c r="T1004" s="119" t="str">
        <f>IF(Modificaciones!AB1004=0,"",VLOOKUP(E1004,Modificaciones!$B$7:$AB$2400,27,0))</f>
        <v/>
      </c>
      <c r="U1004" s="1080" t="str">
        <f>+Modificaciones!AC1004</f>
        <v/>
      </c>
      <c r="V1004" s="825" t="str">
        <f>+Modificaciones!AK1004</f>
        <v/>
      </c>
      <c r="W1004" s="825">
        <f t="shared" si="195"/>
        <v>0</v>
      </c>
      <c r="X1004" s="59">
        <f t="shared" si="196"/>
        <v>0</v>
      </c>
      <c r="Y1004" s="151">
        <f>VLOOKUP(E1004,Modificaciones!$B$7:$BE$2300,56,0)</f>
        <v>0</v>
      </c>
      <c r="Z1004" s="84">
        <f t="shared" si="197"/>
        <v>0</v>
      </c>
      <c r="AA1004" s="1000"/>
      <c r="AB1004" s="823" t="e">
        <f t="shared" si="198"/>
        <v>#DIV/0!</v>
      </c>
      <c r="AC1004" s="40" t="e">
        <f t="shared" ca="1" si="199"/>
        <v>#DIV/0!</v>
      </c>
      <c r="AD1004" s="41" t="e">
        <f t="shared" ca="1" si="200"/>
        <v>#DIV/0!</v>
      </c>
      <c r="AE1004" s="181" t="e">
        <f t="shared" ca="1" si="201"/>
        <v>#DIV/0!</v>
      </c>
      <c r="AF1004" s="42" t="e">
        <f t="shared" si="202"/>
        <v>#DIV/0!</v>
      </c>
      <c r="AG1004" s="838"/>
      <c r="AH1004" s="841"/>
      <c r="AI1004" s="841"/>
      <c r="AJ1004" s="838"/>
      <c r="AL1004" s="838"/>
      <c r="AM1004" s="838"/>
      <c r="AN1004" s="161" t="str">
        <f t="shared" ca="1" si="203"/>
        <v>TERMINO</v>
      </c>
      <c r="AO1004" s="414"/>
      <c r="AP1004" s="406"/>
      <c r="AQ1004" s="819" t="str">
        <f>IFERROR(VLOOKUP(E1004,'liquidaciones '!$B$2:$C$1048576,2,0),"NO")</f>
        <v>NO</v>
      </c>
      <c r="AR1004" s="909" t="str">
        <f>IFERROR(VLOOKUP(E1004,'liquidaciones '!$B$2:$I$1048576,8,0),"")</f>
        <v/>
      </c>
      <c r="AS1004" s="406"/>
      <c r="AT1004" s="156" t="str">
        <f t="shared" ca="1" si="204"/>
        <v>NO</v>
      </c>
      <c r="AU1004" s="1140"/>
      <c r="AV1004" s="1001"/>
      <c r="AX1004" s="928"/>
      <c r="AY1004" s="928"/>
    </row>
    <row r="1005" spans="3:51" x14ac:dyDescent="0.3">
      <c r="C1005" s="837"/>
      <c r="E1005" s="120"/>
      <c r="F1005" s="414"/>
      <c r="G1005" s="863"/>
      <c r="H1005" s="969"/>
      <c r="I1005" s="84"/>
      <c r="J1005" s="839"/>
      <c r="K1005" s="269"/>
      <c r="L1005" s="519"/>
      <c r="M1005" s="840"/>
      <c r="N1005" s="840"/>
      <c r="O1005" s="1099" t="str">
        <f>IF(+Modificaciones!I1005=0,"",VLOOKUP(E1005,Modificaciones!$B$7:$I$2400,8,0))</f>
        <v/>
      </c>
      <c r="P1005" s="115">
        <f>COUNTA(Modificaciones!J1005,Modificaciones!L1005,Modificaciones!N1005,Modificaciones!P1005)</f>
        <v>0</v>
      </c>
      <c r="Q1005" s="116">
        <f>VLOOKUP(E1005,Modificaciones!$B$7:$R$2300,17,0)</f>
        <v>0</v>
      </c>
      <c r="R1005" s="117">
        <f>COUNTA(Modificaciones!T1005,Modificaciones!V1005,Modificaciones!X1005,Modificaciones!Z1005)</f>
        <v>0</v>
      </c>
      <c r="S1005" s="118" t="str">
        <f>IF(Modificaciones!AA1005=0,"",VLOOKUP(E1005,Modificaciones!$B$7:$AA$2400,26,0))</f>
        <v/>
      </c>
      <c r="T1005" s="119" t="str">
        <f>IF(Modificaciones!AB1005=0,"",VLOOKUP(E1005,Modificaciones!$B$7:$AB$2400,27,0))</f>
        <v/>
      </c>
      <c r="U1005" s="1080" t="str">
        <f>+Modificaciones!AC1005</f>
        <v/>
      </c>
      <c r="V1005" s="825" t="str">
        <f>+Modificaciones!AK1005</f>
        <v/>
      </c>
      <c r="W1005" s="825">
        <f t="shared" si="195"/>
        <v>0</v>
      </c>
      <c r="X1005" s="59">
        <f t="shared" si="196"/>
        <v>0</v>
      </c>
      <c r="Y1005" s="151">
        <f>VLOOKUP(E1005,Modificaciones!$B$7:$BE$2300,56,0)</f>
        <v>0</v>
      </c>
      <c r="Z1005" s="84">
        <f t="shared" si="197"/>
        <v>0</v>
      </c>
      <c r="AA1005" s="1000"/>
      <c r="AB1005" s="823" t="e">
        <f t="shared" si="198"/>
        <v>#DIV/0!</v>
      </c>
      <c r="AC1005" s="40" t="e">
        <f t="shared" ca="1" si="199"/>
        <v>#DIV/0!</v>
      </c>
      <c r="AD1005" s="41" t="e">
        <f t="shared" ca="1" si="200"/>
        <v>#DIV/0!</v>
      </c>
      <c r="AE1005" s="181" t="e">
        <f t="shared" ca="1" si="201"/>
        <v>#DIV/0!</v>
      </c>
      <c r="AF1005" s="42" t="e">
        <f t="shared" si="202"/>
        <v>#DIV/0!</v>
      </c>
      <c r="AG1005" s="838"/>
      <c r="AH1005" s="841"/>
      <c r="AI1005" s="841"/>
      <c r="AJ1005" s="838"/>
      <c r="AL1005" s="838"/>
      <c r="AM1005" s="838"/>
      <c r="AN1005" s="161" t="str">
        <f t="shared" ca="1" si="203"/>
        <v>TERMINO</v>
      </c>
      <c r="AO1005" s="414"/>
      <c r="AP1005" s="406"/>
      <c r="AQ1005" s="819" t="str">
        <f>IFERROR(VLOOKUP(E1005,'liquidaciones '!$B$2:$C$1048576,2,0),"NO")</f>
        <v>NO</v>
      </c>
      <c r="AR1005" s="909" t="str">
        <f>IFERROR(VLOOKUP(E1005,'liquidaciones '!$B$2:$I$1048576,8,0),"")</f>
        <v/>
      </c>
      <c r="AS1005" s="406"/>
      <c r="AT1005" s="156" t="str">
        <f t="shared" ca="1" si="204"/>
        <v>NO</v>
      </c>
      <c r="AU1005" s="1140"/>
      <c r="AV1005" s="1001"/>
      <c r="AX1005" s="928"/>
      <c r="AY1005" s="928"/>
    </row>
    <row r="1006" spans="3:51" x14ac:dyDescent="0.3">
      <c r="C1006" s="837"/>
      <c r="E1006" s="120"/>
      <c r="F1006" s="414"/>
      <c r="G1006" s="863"/>
      <c r="H1006" s="969"/>
      <c r="I1006" s="84"/>
      <c r="J1006" s="839"/>
      <c r="K1006" s="269"/>
      <c r="L1006" s="519"/>
      <c r="M1006" s="840"/>
      <c r="N1006" s="840"/>
      <c r="O1006" s="1099" t="str">
        <f>IF(+Modificaciones!I1006=0,"",VLOOKUP(E1006,Modificaciones!$B$7:$I$2400,8,0))</f>
        <v/>
      </c>
      <c r="P1006" s="115">
        <f>COUNTA(Modificaciones!J1006,Modificaciones!L1006,Modificaciones!N1006,Modificaciones!P1006)</f>
        <v>0</v>
      </c>
      <c r="Q1006" s="116">
        <f>VLOOKUP(E1006,Modificaciones!$B$7:$R$2300,17,0)</f>
        <v>0</v>
      </c>
      <c r="R1006" s="117">
        <f>COUNTA(Modificaciones!T1006,Modificaciones!V1006,Modificaciones!X1006,Modificaciones!Z1006)</f>
        <v>0</v>
      </c>
      <c r="S1006" s="118" t="str">
        <f>IF(Modificaciones!AA1006=0,"",VLOOKUP(E1006,Modificaciones!$B$7:$AA$2400,26,0))</f>
        <v/>
      </c>
      <c r="T1006" s="119" t="str">
        <f>IF(Modificaciones!AB1006=0,"",VLOOKUP(E1006,Modificaciones!$B$7:$AB$2400,27,0))</f>
        <v/>
      </c>
      <c r="U1006" s="1080" t="str">
        <f>+Modificaciones!AC1006</f>
        <v/>
      </c>
      <c r="V1006" s="825" t="str">
        <f>+Modificaciones!AK1006</f>
        <v/>
      </c>
      <c r="W1006" s="825">
        <f t="shared" si="195"/>
        <v>0</v>
      </c>
      <c r="X1006" s="59">
        <f t="shared" si="196"/>
        <v>0</v>
      </c>
      <c r="Y1006" s="151">
        <f>VLOOKUP(E1006,Modificaciones!$B$7:$BE$2300,56,0)</f>
        <v>0</v>
      </c>
      <c r="Z1006" s="84">
        <f t="shared" si="197"/>
        <v>0</v>
      </c>
      <c r="AA1006" s="1000"/>
      <c r="AB1006" s="823" t="e">
        <f t="shared" si="198"/>
        <v>#DIV/0!</v>
      </c>
      <c r="AC1006" s="40" t="e">
        <f t="shared" ca="1" si="199"/>
        <v>#DIV/0!</v>
      </c>
      <c r="AD1006" s="41" t="e">
        <f t="shared" ca="1" si="200"/>
        <v>#DIV/0!</v>
      </c>
      <c r="AE1006" s="181" t="e">
        <f t="shared" ca="1" si="201"/>
        <v>#DIV/0!</v>
      </c>
      <c r="AF1006" s="42" t="e">
        <f t="shared" si="202"/>
        <v>#DIV/0!</v>
      </c>
      <c r="AG1006" s="838"/>
      <c r="AH1006" s="841"/>
      <c r="AI1006" s="841"/>
      <c r="AJ1006" s="838"/>
      <c r="AL1006" s="838"/>
      <c r="AM1006" s="838"/>
      <c r="AN1006" s="161" t="str">
        <f t="shared" ca="1" si="203"/>
        <v>TERMINO</v>
      </c>
      <c r="AO1006" s="414"/>
      <c r="AP1006" s="406"/>
      <c r="AQ1006" s="819" t="str">
        <f>IFERROR(VLOOKUP(E1006,'liquidaciones '!$B$2:$C$1048576,2,0),"NO")</f>
        <v>NO</v>
      </c>
      <c r="AR1006" s="909" t="str">
        <f>IFERROR(VLOOKUP(E1006,'liquidaciones '!$B$2:$I$1048576,8,0),"")</f>
        <v/>
      </c>
      <c r="AS1006" s="406"/>
      <c r="AT1006" s="156" t="str">
        <f t="shared" ca="1" si="204"/>
        <v>NO</v>
      </c>
      <c r="AU1006" s="1140"/>
      <c r="AV1006" s="1001"/>
      <c r="AX1006" s="928"/>
      <c r="AY1006" s="928"/>
    </row>
    <row r="1007" spans="3:51" x14ac:dyDescent="0.3">
      <c r="C1007" s="837"/>
      <c r="E1007" s="120"/>
      <c r="F1007" s="414"/>
      <c r="G1007" s="863"/>
      <c r="H1007" s="969"/>
      <c r="I1007" s="84"/>
      <c r="J1007" s="839"/>
      <c r="K1007" s="269"/>
      <c r="L1007" s="519"/>
      <c r="M1007" s="840"/>
      <c r="N1007" s="840"/>
      <c r="O1007" s="1099" t="str">
        <f>IF(+Modificaciones!I1007=0,"",VLOOKUP(E1007,Modificaciones!$B$7:$I$2400,8,0))</f>
        <v/>
      </c>
      <c r="P1007" s="115">
        <f>COUNTA(Modificaciones!J1007,Modificaciones!L1007,Modificaciones!N1007,Modificaciones!P1007)</f>
        <v>0</v>
      </c>
      <c r="Q1007" s="116">
        <f>VLOOKUP(E1007,Modificaciones!$B$7:$R$2300,17,0)</f>
        <v>0</v>
      </c>
      <c r="R1007" s="117">
        <f>COUNTA(Modificaciones!T1007,Modificaciones!V1007,Modificaciones!X1007,Modificaciones!Z1007)</f>
        <v>0</v>
      </c>
      <c r="S1007" s="118" t="str">
        <f>IF(Modificaciones!AA1007=0,"",VLOOKUP(E1007,Modificaciones!$B$7:$AA$2400,26,0))</f>
        <v/>
      </c>
      <c r="T1007" s="119" t="str">
        <f>IF(Modificaciones!AB1007=0,"",VLOOKUP(E1007,Modificaciones!$B$7:$AB$2400,27,0))</f>
        <v/>
      </c>
      <c r="U1007" s="1080" t="str">
        <f>+Modificaciones!AC1007</f>
        <v/>
      </c>
      <c r="V1007" s="825" t="str">
        <f>+Modificaciones!AK1007</f>
        <v/>
      </c>
      <c r="W1007" s="825">
        <f t="shared" si="195"/>
        <v>0</v>
      </c>
      <c r="X1007" s="59">
        <f t="shared" si="196"/>
        <v>0</v>
      </c>
      <c r="Y1007" s="151">
        <f>VLOOKUP(E1007,Modificaciones!$B$7:$BE$2300,56,0)</f>
        <v>0</v>
      </c>
      <c r="Z1007" s="84">
        <f t="shared" si="197"/>
        <v>0</v>
      </c>
      <c r="AA1007" s="1000"/>
      <c r="AB1007" s="823" t="e">
        <f t="shared" si="198"/>
        <v>#DIV/0!</v>
      </c>
      <c r="AC1007" s="40" t="e">
        <f t="shared" ca="1" si="199"/>
        <v>#DIV/0!</v>
      </c>
      <c r="AD1007" s="41" t="e">
        <f t="shared" ca="1" si="200"/>
        <v>#DIV/0!</v>
      </c>
      <c r="AE1007" s="181" t="e">
        <f t="shared" ca="1" si="201"/>
        <v>#DIV/0!</v>
      </c>
      <c r="AF1007" s="42" t="e">
        <f t="shared" si="202"/>
        <v>#DIV/0!</v>
      </c>
      <c r="AG1007" s="838"/>
      <c r="AH1007" s="841"/>
      <c r="AI1007" s="841"/>
      <c r="AJ1007" s="838"/>
      <c r="AL1007" s="838"/>
      <c r="AM1007" s="838"/>
      <c r="AN1007" s="161" t="str">
        <f t="shared" ca="1" si="203"/>
        <v>TERMINO</v>
      </c>
      <c r="AO1007" s="414"/>
      <c r="AP1007" s="406"/>
      <c r="AQ1007" s="819" t="str">
        <f>IFERROR(VLOOKUP(E1007,'liquidaciones '!$B$2:$C$1048576,2,0),"NO")</f>
        <v>NO</v>
      </c>
      <c r="AR1007" s="909" t="str">
        <f>IFERROR(VLOOKUP(E1007,'liquidaciones '!$B$2:$I$1048576,8,0),"")</f>
        <v/>
      </c>
      <c r="AS1007" s="406"/>
      <c r="AT1007" s="156" t="str">
        <f t="shared" ca="1" si="204"/>
        <v>NO</v>
      </c>
      <c r="AU1007" s="1140"/>
      <c r="AV1007" s="1001"/>
      <c r="AX1007" s="928"/>
      <c r="AY1007" s="928"/>
    </row>
    <row r="1008" spans="3:51" x14ac:dyDescent="0.3">
      <c r="C1008" s="837"/>
      <c r="E1008" s="120"/>
      <c r="F1008" s="414"/>
      <c r="G1008" s="863"/>
      <c r="H1008" s="969"/>
      <c r="I1008" s="84"/>
      <c r="J1008" s="839"/>
      <c r="K1008" s="269"/>
      <c r="L1008" s="519"/>
      <c r="M1008" s="840"/>
      <c r="N1008" s="840"/>
      <c r="O1008" s="1099" t="str">
        <f>IF(+Modificaciones!I1008=0,"",VLOOKUP(E1008,Modificaciones!$B$7:$I$2400,8,0))</f>
        <v/>
      </c>
      <c r="P1008" s="115">
        <f>COUNTA(Modificaciones!J1008,Modificaciones!L1008,Modificaciones!N1008,Modificaciones!P1008)</f>
        <v>0</v>
      </c>
      <c r="Q1008" s="116">
        <f>VLOOKUP(E1008,Modificaciones!$B$7:$R$2300,17,0)</f>
        <v>0</v>
      </c>
      <c r="R1008" s="117">
        <f>COUNTA(Modificaciones!T1008,Modificaciones!V1008,Modificaciones!X1008,Modificaciones!Z1008)</f>
        <v>0</v>
      </c>
      <c r="S1008" s="118" t="str">
        <f>IF(Modificaciones!AA1008=0,"",VLOOKUP(E1008,Modificaciones!$B$7:$AA$2400,26,0))</f>
        <v/>
      </c>
      <c r="T1008" s="119" t="str">
        <f>IF(Modificaciones!AB1008=0,"",VLOOKUP(E1008,Modificaciones!$B$7:$AB$2400,27,0))</f>
        <v/>
      </c>
      <c r="U1008" s="1080" t="str">
        <f>+Modificaciones!AC1008</f>
        <v/>
      </c>
      <c r="V1008" s="825" t="str">
        <f>+Modificaciones!AK1008</f>
        <v/>
      </c>
      <c r="W1008" s="825">
        <f t="shared" si="195"/>
        <v>0</v>
      </c>
      <c r="X1008" s="59">
        <f t="shared" si="196"/>
        <v>0</v>
      </c>
      <c r="Y1008" s="151">
        <f>VLOOKUP(E1008,Modificaciones!$B$7:$BE$2300,56,0)</f>
        <v>0</v>
      </c>
      <c r="Z1008" s="84">
        <f t="shared" si="197"/>
        <v>0</v>
      </c>
      <c r="AA1008" s="1000"/>
      <c r="AB1008" s="823" t="e">
        <f t="shared" si="198"/>
        <v>#DIV/0!</v>
      </c>
      <c r="AC1008" s="40" t="e">
        <f t="shared" ca="1" si="199"/>
        <v>#DIV/0!</v>
      </c>
      <c r="AD1008" s="41" t="e">
        <f t="shared" ca="1" si="200"/>
        <v>#DIV/0!</v>
      </c>
      <c r="AE1008" s="181" t="e">
        <f t="shared" ca="1" si="201"/>
        <v>#DIV/0!</v>
      </c>
      <c r="AF1008" s="42" t="e">
        <f t="shared" si="202"/>
        <v>#DIV/0!</v>
      </c>
      <c r="AG1008" s="838"/>
      <c r="AH1008" s="841"/>
      <c r="AI1008" s="841"/>
      <c r="AJ1008" s="838"/>
      <c r="AL1008" s="838"/>
      <c r="AM1008" s="838"/>
      <c r="AN1008" s="161" t="str">
        <f t="shared" ca="1" si="203"/>
        <v>TERMINO</v>
      </c>
      <c r="AO1008" s="414"/>
      <c r="AP1008" s="406"/>
      <c r="AQ1008" s="819" t="str">
        <f>IFERROR(VLOOKUP(E1008,'liquidaciones '!$B$2:$C$1048576,2,0),"NO")</f>
        <v>NO</v>
      </c>
      <c r="AR1008" s="909" t="str">
        <f>IFERROR(VLOOKUP(E1008,'liquidaciones '!$B$2:$I$1048576,8,0),"")</f>
        <v/>
      </c>
      <c r="AS1008" s="406"/>
      <c r="AT1008" s="156" t="str">
        <f t="shared" ca="1" si="204"/>
        <v>NO</v>
      </c>
      <c r="AU1008" s="1140"/>
      <c r="AV1008" s="1001"/>
      <c r="AX1008" s="928"/>
      <c r="AY1008" s="928"/>
    </row>
    <row r="1009" spans="3:51" x14ac:dyDescent="0.3">
      <c r="C1009" s="837"/>
      <c r="E1009" s="120"/>
      <c r="F1009" s="414"/>
      <c r="G1009" s="863"/>
      <c r="H1009" s="969"/>
      <c r="I1009" s="84"/>
      <c r="J1009" s="839"/>
      <c r="K1009" s="269"/>
      <c r="L1009" s="519"/>
      <c r="M1009" s="840"/>
      <c r="N1009" s="840"/>
      <c r="O1009" s="1099" t="str">
        <f>IF(+Modificaciones!I1009=0,"",VLOOKUP(E1009,Modificaciones!$B$7:$I$2400,8,0))</f>
        <v/>
      </c>
      <c r="P1009" s="115">
        <f>COUNTA(Modificaciones!J1009,Modificaciones!L1009,Modificaciones!N1009,Modificaciones!P1009)</f>
        <v>0</v>
      </c>
      <c r="Q1009" s="116">
        <f>VLOOKUP(E1009,Modificaciones!$B$7:$R$2300,17,0)</f>
        <v>0</v>
      </c>
      <c r="R1009" s="117">
        <f>COUNTA(Modificaciones!T1009,Modificaciones!V1009,Modificaciones!X1009,Modificaciones!Z1009)</f>
        <v>0</v>
      </c>
      <c r="S1009" s="118" t="str">
        <f>IF(Modificaciones!AA1009=0,"",VLOOKUP(E1009,Modificaciones!$B$7:$AA$2400,26,0))</f>
        <v/>
      </c>
      <c r="T1009" s="119" t="str">
        <f>IF(Modificaciones!AB1009=0,"",VLOOKUP(E1009,Modificaciones!$B$7:$AB$2400,27,0))</f>
        <v/>
      </c>
      <c r="U1009" s="1080" t="str">
        <f>+Modificaciones!AC1009</f>
        <v/>
      </c>
      <c r="V1009" s="825" t="str">
        <f>+Modificaciones!AK1009</f>
        <v/>
      </c>
      <c r="W1009" s="825">
        <f t="shared" si="195"/>
        <v>0</v>
      </c>
      <c r="X1009" s="59">
        <f t="shared" si="196"/>
        <v>0</v>
      </c>
      <c r="Y1009" s="151">
        <f>VLOOKUP(E1009,Modificaciones!$B$7:$BE$2300,56,0)</f>
        <v>0</v>
      </c>
      <c r="Z1009" s="84">
        <f t="shared" si="197"/>
        <v>0</v>
      </c>
      <c r="AA1009" s="1000"/>
      <c r="AB1009" s="823" t="e">
        <f t="shared" si="198"/>
        <v>#DIV/0!</v>
      </c>
      <c r="AC1009" s="40" t="e">
        <f t="shared" ca="1" si="199"/>
        <v>#DIV/0!</v>
      </c>
      <c r="AD1009" s="41" t="e">
        <f t="shared" ca="1" si="200"/>
        <v>#DIV/0!</v>
      </c>
      <c r="AE1009" s="181" t="e">
        <f t="shared" ca="1" si="201"/>
        <v>#DIV/0!</v>
      </c>
      <c r="AF1009" s="42" t="e">
        <f t="shared" si="202"/>
        <v>#DIV/0!</v>
      </c>
      <c r="AG1009" s="838"/>
      <c r="AH1009" s="841"/>
      <c r="AI1009" s="841"/>
      <c r="AJ1009" s="838"/>
      <c r="AL1009" s="838"/>
      <c r="AM1009" s="838"/>
      <c r="AN1009" s="161" t="str">
        <f t="shared" ca="1" si="203"/>
        <v>TERMINO</v>
      </c>
      <c r="AO1009" s="414"/>
      <c r="AP1009" s="406"/>
      <c r="AQ1009" s="819" t="str">
        <f>IFERROR(VLOOKUP(E1009,'liquidaciones '!$B$2:$C$1048576,2,0),"NO")</f>
        <v>NO</v>
      </c>
      <c r="AR1009" s="909" t="str">
        <f>IFERROR(VLOOKUP(E1009,'liquidaciones '!$B$2:$I$1048576,8,0),"")</f>
        <v/>
      </c>
      <c r="AS1009" s="406"/>
      <c r="AT1009" s="156" t="str">
        <f t="shared" ca="1" si="204"/>
        <v>NO</v>
      </c>
      <c r="AU1009" s="1140"/>
      <c r="AV1009" s="1001"/>
      <c r="AX1009" s="928"/>
      <c r="AY1009" s="928"/>
    </row>
    <row r="1010" spans="3:51" x14ac:dyDescent="0.3">
      <c r="C1010" s="837"/>
      <c r="E1010" s="120"/>
      <c r="F1010" s="414"/>
      <c r="G1010" s="863"/>
      <c r="H1010" s="969"/>
      <c r="I1010" s="84"/>
      <c r="J1010" s="839"/>
      <c r="K1010" s="269"/>
      <c r="L1010" s="519"/>
      <c r="M1010" s="840"/>
      <c r="N1010" s="840"/>
      <c r="O1010" s="1099" t="str">
        <f>IF(+Modificaciones!I1010=0,"",VLOOKUP(E1010,Modificaciones!$B$7:$I$2400,8,0))</f>
        <v/>
      </c>
      <c r="P1010" s="115">
        <f>COUNTA(Modificaciones!J1010,Modificaciones!L1010,Modificaciones!N1010,Modificaciones!P1010)</f>
        <v>0</v>
      </c>
      <c r="Q1010" s="116">
        <f>VLOOKUP(E1010,Modificaciones!$B$7:$R$2300,17,0)</f>
        <v>0</v>
      </c>
      <c r="R1010" s="117">
        <f>COUNTA(Modificaciones!T1010,Modificaciones!V1010,Modificaciones!X1010,Modificaciones!Z1010)</f>
        <v>0</v>
      </c>
      <c r="S1010" s="118" t="str">
        <f>IF(Modificaciones!AA1010=0,"",VLOOKUP(E1010,Modificaciones!$B$7:$AA$2400,26,0))</f>
        <v/>
      </c>
      <c r="T1010" s="119" t="str">
        <f>IF(Modificaciones!AB1010=0,"",VLOOKUP(E1010,Modificaciones!$B$7:$AB$2400,27,0))</f>
        <v/>
      </c>
      <c r="U1010" s="1080" t="str">
        <f>+Modificaciones!AC1010</f>
        <v/>
      </c>
      <c r="V1010" s="825" t="str">
        <f>+Modificaciones!AK1010</f>
        <v/>
      </c>
      <c r="W1010" s="825">
        <f t="shared" si="195"/>
        <v>0</v>
      </c>
      <c r="X1010" s="59">
        <f t="shared" si="196"/>
        <v>0</v>
      </c>
      <c r="Y1010" s="151">
        <f>VLOOKUP(E1010,Modificaciones!$B$7:$BE$2300,56,0)</f>
        <v>0</v>
      </c>
      <c r="Z1010" s="84">
        <f t="shared" si="197"/>
        <v>0</v>
      </c>
      <c r="AA1010" s="1000"/>
      <c r="AB1010" s="823" t="e">
        <f t="shared" si="198"/>
        <v>#DIV/0!</v>
      </c>
      <c r="AC1010" s="40" t="e">
        <f t="shared" ca="1" si="199"/>
        <v>#DIV/0!</v>
      </c>
      <c r="AD1010" s="41" t="e">
        <f t="shared" ca="1" si="200"/>
        <v>#DIV/0!</v>
      </c>
      <c r="AE1010" s="181" t="e">
        <f t="shared" ca="1" si="201"/>
        <v>#DIV/0!</v>
      </c>
      <c r="AF1010" s="42" t="e">
        <f t="shared" si="202"/>
        <v>#DIV/0!</v>
      </c>
      <c r="AG1010" s="838"/>
      <c r="AH1010" s="841"/>
      <c r="AI1010" s="841"/>
      <c r="AJ1010" s="838"/>
      <c r="AL1010" s="838"/>
      <c r="AM1010" s="838"/>
      <c r="AN1010" s="161" t="str">
        <f t="shared" ca="1" si="203"/>
        <v>TERMINO</v>
      </c>
      <c r="AO1010" s="414"/>
      <c r="AP1010" s="406"/>
      <c r="AQ1010" s="819" t="str">
        <f>IFERROR(VLOOKUP(E1010,'liquidaciones '!$B$2:$C$1048576,2,0),"NO")</f>
        <v>NO</v>
      </c>
      <c r="AR1010" s="909" t="str">
        <f>IFERROR(VLOOKUP(E1010,'liquidaciones '!$B$2:$I$1048576,8,0),"")</f>
        <v/>
      </c>
      <c r="AS1010" s="406"/>
      <c r="AT1010" s="156" t="str">
        <f t="shared" ca="1" si="204"/>
        <v>NO</v>
      </c>
      <c r="AU1010" s="1140"/>
      <c r="AV1010" s="1001"/>
      <c r="AX1010" s="928"/>
      <c r="AY1010" s="928"/>
    </row>
    <row r="1011" spans="3:51" x14ac:dyDescent="0.3">
      <c r="C1011" s="837"/>
      <c r="E1011" s="120"/>
      <c r="F1011" s="414"/>
      <c r="G1011" s="863"/>
      <c r="H1011" s="969"/>
      <c r="I1011" s="84"/>
      <c r="J1011" s="839"/>
      <c r="K1011" s="269"/>
      <c r="L1011" s="519"/>
      <c r="M1011" s="840"/>
      <c r="N1011" s="840"/>
      <c r="O1011" s="1099" t="str">
        <f>IF(+Modificaciones!I1011=0,"",VLOOKUP(E1011,Modificaciones!$B$7:$I$2400,8,0))</f>
        <v/>
      </c>
      <c r="P1011" s="115">
        <f>COUNTA(Modificaciones!J1011,Modificaciones!L1011,Modificaciones!N1011,Modificaciones!P1011)</f>
        <v>0</v>
      </c>
      <c r="Q1011" s="116">
        <f>VLOOKUP(E1011,Modificaciones!$B$7:$R$2300,17,0)</f>
        <v>0</v>
      </c>
      <c r="R1011" s="117">
        <f>COUNTA(Modificaciones!T1011,Modificaciones!V1011,Modificaciones!X1011,Modificaciones!Z1011)</f>
        <v>0</v>
      </c>
      <c r="S1011" s="118" t="str">
        <f>IF(Modificaciones!AA1011=0,"",VLOOKUP(E1011,Modificaciones!$B$7:$AA$2400,26,0))</f>
        <v/>
      </c>
      <c r="T1011" s="119" t="str">
        <f>IF(Modificaciones!AB1011=0,"",VLOOKUP(E1011,Modificaciones!$B$7:$AB$2400,27,0))</f>
        <v/>
      </c>
      <c r="U1011" s="1080" t="str">
        <f>+Modificaciones!AC1011</f>
        <v/>
      </c>
      <c r="V1011" s="825" t="str">
        <f>+Modificaciones!AK1011</f>
        <v/>
      </c>
      <c r="W1011" s="825">
        <f t="shared" si="195"/>
        <v>0</v>
      </c>
      <c r="X1011" s="59">
        <f t="shared" si="196"/>
        <v>0</v>
      </c>
      <c r="Y1011" s="151">
        <f>VLOOKUP(E1011,Modificaciones!$B$7:$BE$2300,56,0)</f>
        <v>0</v>
      </c>
      <c r="Z1011" s="84">
        <f t="shared" si="197"/>
        <v>0</v>
      </c>
      <c r="AA1011" s="1000"/>
      <c r="AB1011" s="823" t="e">
        <f t="shared" si="198"/>
        <v>#DIV/0!</v>
      </c>
      <c r="AC1011" s="40" t="e">
        <f t="shared" ca="1" si="199"/>
        <v>#DIV/0!</v>
      </c>
      <c r="AD1011" s="41" t="e">
        <f t="shared" ca="1" si="200"/>
        <v>#DIV/0!</v>
      </c>
      <c r="AE1011" s="181" t="e">
        <f t="shared" ca="1" si="201"/>
        <v>#DIV/0!</v>
      </c>
      <c r="AF1011" s="42" t="e">
        <f t="shared" si="202"/>
        <v>#DIV/0!</v>
      </c>
      <c r="AG1011" s="838"/>
      <c r="AH1011" s="841"/>
      <c r="AI1011" s="841"/>
      <c r="AJ1011" s="838"/>
      <c r="AL1011" s="838"/>
      <c r="AM1011" s="838"/>
      <c r="AN1011" s="161" t="str">
        <f t="shared" ca="1" si="203"/>
        <v>TERMINO</v>
      </c>
      <c r="AO1011" s="414"/>
      <c r="AP1011" s="406"/>
      <c r="AQ1011" s="819" t="str">
        <f>IFERROR(VLOOKUP(E1011,'liquidaciones '!$B$2:$C$1048576,2,0),"NO")</f>
        <v>NO</v>
      </c>
      <c r="AR1011" s="909" t="str">
        <f>IFERROR(VLOOKUP(E1011,'liquidaciones '!$B$2:$I$1048576,8,0),"")</f>
        <v/>
      </c>
      <c r="AS1011" s="406"/>
      <c r="AT1011" s="156" t="str">
        <f t="shared" ca="1" si="204"/>
        <v>NO</v>
      </c>
      <c r="AU1011" s="1140"/>
      <c r="AV1011" s="1001"/>
      <c r="AX1011" s="928"/>
      <c r="AY1011" s="928"/>
    </row>
    <row r="1012" spans="3:51" x14ac:dyDescent="0.3">
      <c r="C1012" s="837"/>
      <c r="E1012" s="120"/>
      <c r="F1012" s="414"/>
      <c r="G1012" s="863"/>
      <c r="H1012" s="969"/>
      <c r="I1012" s="84"/>
      <c r="J1012" s="839"/>
      <c r="K1012" s="269"/>
      <c r="L1012" s="519"/>
      <c r="M1012" s="840"/>
      <c r="N1012" s="840"/>
      <c r="O1012" s="1099" t="str">
        <f>IF(+Modificaciones!I1012=0,"",VLOOKUP(E1012,Modificaciones!$B$7:$I$2400,8,0))</f>
        <v/>
      </c>
      <c r="P1012" s="115">
        <f>COUNTA(Modificaciones!J1012,Modificaciones!L1012,Modificaciones!N1012,Modificaciones!P1012)</f>
        <v>0</v>
      </c>
      <c r="Q1012" s="116">
        <f>VLOOKUP(E1012,Modificaciones!$B$7:$R$2300,17,0)</f>
        <v>0</v>
      </c>
      <c r="R1012" s="117">
        <f>COUNTA(Modificaciones!T1012,Modificaciones!V1012,Modificaciones!X1012,Modificaciones!Z1012)</f>
        <v>0</v>
      </c>
      <c r="S1012" s="118" t="str">
        <f>IF(Modificaciones!AA1012=0,"",VLOOKUP(E1012,Modificaciones!$B$7:$AA$2400,26,0))</f>
        <v/>
      </c>
      <c r="T1012" s="119" t="str">
        <f>IF(Modificaciones!AB1012=0,"",VLOOKUP(E1012,Modificaciones!$B$7:$AB$2400,27,0))</f>
        <v/>
      </c>
      <c r="U1012" s="1080" t="str">
        <f>+Modificaciones!AC1012</f>
        <v/>
      </c>
      <c r="V1012" s="825" t="str">
        <f>+Modificaciones!AK1012</f>
        <v/>
      </c>
      <c r="W1012" s="825">
        <f t="shared" si="195"/>
        <v>0</v>
      </c>
      <c r="X1012" s="59">
        <f t="shared" si="196"/>
        <v>0</v>
      </c>
      <c r="Y1012" s="151">
        <f>VLOOKUP(E1012,Modificaciones!$B$7:$BE$2300,56,0)</f>
        <v>0</v>
      </c>
      <c r="Z1012" s="84">
        <f t="shared" si="197"/>
        <v>0</v>
      </c>
      <c r="AA1012" s="1000"/>
      <c r="AB1012" s="823" t="e">
        <f t="shared" si="198"/>
        <v>#DIV/0!</v>
      </c>
      <c r="AC1012" s="40" t="e">
        <f t="shared" ca="1" si="199"/>
        <v>#DIV/0!</v>
      </c>
      <c r="AD1012" s="41" t="e">
        <f t="shared" ca="1" si="200"/>
        <v>#DIV/0!</v>
      </c>
      <c r="AE1012" s="181" t="e">
        <f t="shared" ca="1" si="201"/>
        <v>#DIV/0!</v>
      </c>
      <c r="AF1012" s="42" t="e">
        <f t="shared" si="202"/>
        <v>#DIV/0!</v>
      </c>
      <c r="AG1012" s="838"/>
      <c r="AH1012" s="841"/>
      <c r="AI1012" s="841"/>
      <c r="AJ1012" s="838"/>
      <c r="AL1012" s="838"/>
      <c r="AM1012" s="838"/>
      <c r="AN1012" s="161" t="str">
        <f t="shared" ca="1" si="203"/>
        <v>TERMINO</v>
      </c>
      <c r="AO1012" s="414"/>
      <c r="AP1012" s="406"/>
      <c r="AQ1012" s="819" t="str">
        <f>IFERROR(VLOOKUP(E1012,'liquidaciones '!$B$2:$C$1048576,2,0),"NO")</f>
        <v>NO</v>
      </c>
      <c r="AR1012" s="909" t="str">
        <f>IFERROR(VLOOKUP(E1012,'liquidaciones '!$B$2:$I$1048576,8,0),"")</f>
        <v/>
      </c>
      <c r="AS1012" s="406"/>
      <c r="AT1012" s="156" t="str">
        <f t="shared" ca="1" si="204"/>
        <v>NO</v>
      </c>
      <c r="AU1012" s="1140"/>
      <c r="AV1012" s="1001"/>
      <c r="AX1012" s="928"/>
      <c r="AY1012" s="928"/>
    </row>
    <row r="1013" spans="3:51" x14ac:dyDescent="0.3">
      <c r="C1013" s="837"/>
      <c r="E1013" s="120"/>
      <c r="F1013" s="414"/>
      <c r="G1013" s="863"/>
      <c r="H1013" s="969"/>
      <c r="I1013" s="84"/>
      <c r="J1013" s="839"/>
      <c r="K1013" s="269"/>
      <c r="L1013" s="519"/>
      <c r="M1013" s="840"/>
      <c r="N1013" s="840"/>
      <c r="O1013" s="1099" t="str">
        <f>IF(+Modificaciones!I1013=0,"",VLOOKUP(E1013,Modificaciones!$B$7:$I$2400,8,0))</f>
        <v/>
      </c>
      <c r="P1013" s="115">
        <f>COUNTA(Modificaciones!J1013,Modificaciones!L1013,Modificaciones!N1013,Modificaciones!P1013)</f>
        <v>0</v>
      </c>
      <c r="Q1013" s="116">
        <f>VLOOKUP(E1013,Modificaciones!$B$7:$R$2300,17,0)</f>
        <v>0</v>
      </c>
      <c r="R1013" s="117">
        <f>COUNTA(Modificaciones!T1013,Modificaciones!V1013,Modificaciones!X1013,Modificaciones!Z1013)</f>
        <v>0</v>
      </c>
      <c r="S1013" s="118" t="str">
        <f>IF(Modificaciones!AA1013=0,"",VLOOKUP(E1013,Modificaciones!$B$7:$AA$2400,26,0))</f>
        <v/>
      </c>
      <c r="T1013" s="119" t="str">
        <f>IF(Modificaciones!AB1013=0,"",VLOOKUP(E1013,Modificaciones!$B$7:$AB$2400,27,0))</f>
        <v/>
      </c>
      <c r="U1013" s="1080" t="str">
        <f>+Modificaciones!AC1013</f>
        <v/>
      </c>
      <c r="V1013" s="825" t="str">
        <f>+Modificaciones!AK1013</f>
        <v/>
      </c>
      <c r="W1013" s="825">
        <f t="shared" si="195"/>
        <v>0</v>
      </c>
      <c r="X1013" s="59">
        <f t="shared" si="196"/>
        <v>0</v>
      </c>
      <c r="Y1013" s="151">
        <f>VLOOKUP(E1013,Modificaciones!$B$7:$BE$2300,56,0)</f>
        <v>0</v>
      </c>
      <c r="Z1013" s="84">
        <f t="shared" si="197"/>
        <v>0</v>
      </c>
      <c r="AA1013" s="1000"/>
      <c r="AB1013" s="823" t="e">
        <f t="shared" si="198"/>
        <v>#DIV/0!</v>
      </c>
      <c r="AC1013" s="40" t="e">
        <f t="shared" ca="1" si="199"/>
        <v>#DIV/0!</v>
      </c>
      <c r="AD1013" s="41" t="e">
        <f t="shared" ca="1" si="200"/>
        <v>#DIV/0!</v>
      </c>
      <c r="AE1013" s="181" t="e">
        <f t="shared" ca="1" si="201"/>
        <v>#DIV/0!</v>
      </c>
      <c r="AF1013" s="42" t="e">
        <f t="shared" si="202"/>
        <v>#DIV/0!</v>
      </c>
      <c r="AG1013" s="838"/>
      <c r="AH1013" s="841"/>
      <c r="AI1013" s="841"/>
      <c r="AJ1013" s="838"/>
      <c r="AL1013" s="838"/>
      <c r="AM1013" s="838"/>
      <c r="AN1013" s="161" t="str">
        <f t="shared" ca="1" si="203"/>
        <v>TERMINO</v>
      </c>
      <c r="AO1013" s="414"/>
      <c r="AP1013" s="406"/>
      <c r="AQ1013" s="819" t="str">
        <f>IFERROR(VLOOKUP(E1013,'liquidaciones '!$B$2:$C$1048576,2,0),"NO")</f>
        <v>NO</v>
      </c>
      <c r="AR1013" s="909" t="str">
        <f>IFERROR(VLOOKUP(E1013,'liquidaciones '!$B$2:$I$1048576,8,0),"")</f>
        <v/>
      </c>
      <c r="AS1013" s="406"/>
      <c r="AT1013" s="156" t="str">
        <f t="shared" ca="1" si="204"/>
        <v>NO</v>
      </c>
      <c r="AU1013" s="1140"/>
      <c r="AV1013" s="1001"/>
      <c r="AX1013" s="928"/>
      <c r="AY1013" s="928"/>
    </row>
    <row r="1014" spans="3:51" x14ac:dyDescent="0.3">
      <c r="C1014" s="837"/>
      <c r="E1014" s="120"/>
      <c r="F1014" s="414"/>
      <c r="G1014" s="863"/>
      <c r="H1014" s="969"/>
      <c r="I1014" s="84"/>
      <c r="J1014" s="839"/>
      <c r="K1014" s="269"/>
      <c r="L1014" s="519"/>
      <c r="M1014" s="840"/>
      <c r="N1014" s="840"/>
      <c r="O1014" s="1099" t="str">
        <f>IF(+Modificaciones!I1014=0,"",VLOOKUP(E1014,Modificaciones!$B$7:$I$2400,8,0))</f>
        <v/>
      </c>
      <c r="P1014" s="115">
        <f>COUNTA(Modificaciones!J1014,Modificaciones!L1014,Modificaciones!N1014,Modificaciones!P1014)</f>
        <v>0</v>
      </c>
      <c r="Q1014" s="116">
        <f>VLOOKUP(E1014,Modificaciones!$B$7:$R$2300,17,0)</f>
        <v>0</v>
      </c>
      <c r="R1014" s="117">
        <f>COUNTA(Modificaciones!T1014,Modificaciones!V1014,Modificaciones!X1014,Modificaciones!Z1014)</f>
        <v>0</v>
      </c>
      <c r="S1014" s="118" t="str">
        <f>IF(Modificaciones!AA1014=0,"",VLOOKUP(E1014,Modificaciones!$B$7:$AA$2400,26,0))</f>
        <v/>
      </c>
      <c r="T1014" s="119" t="str">
        <f>IF(Modificaciones!AB1014=0,"",VLOOKUP(E1014,Modificaciones!$B$7:$AB$2400,27,0))</f>
        <v/>
      </c>
      <c r="U1014" s="1080" t="str">
        <f>+Modificaciones!AC1014</f>
        <v/>
      </c>
      <c r="V1014" s="825" t="str">
        <f>+Modificaciones!AK1014</f>
        <v/>
      </c>
      <c r="W1014" s="825">
        <f t="shared" si="195"/>
        <v>0</v>
      </c>
      <c r="X1014" s="59">
        <f t="shared" si="196"/>
        <v>0</v>
      </c>
      <c r="Y1014" s="151">
        <f>VLOOKUP(E1014,Modificaciones!$B$7:$BE$2300,56,0)</f>
        <v>0</v>
      </c>
      <c r="Z1014" s="84">
        <f t="shared" si="197"/>
        <v>0</v>
      </c>
      <c r="AA1014" s="1000"/>
      <c r="AB1014" s="823" t="e">
        <f t="shared" si="198"/>
        <v>#DIV/0!</v>
      </c>
      <c r="AC1014" s="40" t="e">
        <f t="shared" ca="1" si="199"/>
        <v>#DIV/0!</v>
      </c>
      <c r="AD1014" s="41" t="e">
        <f t="shared" ca="1" si="200"/>
        <v>#DIV/0!</v>
      </c>
      <c r="AE1014" s="181" t="e">
        <f t="shared" ca="1" si="201"/>
        <v>#DIV/0!</v>
      </c>
      <c r="AF1014" s="42" t="e">
        <f t="shared" si="202"/>
        <v>#DIV/0!</v>
      </c>
      <c r="AG1014" s="838"/>
      <c r="AH1014" s="841"/>
      <c r="AI1014" s="841"/>
      <c r="AJ1014" s="838"/>
      <c r="AL1014" s="838"/>
      <c r="AM1014" s="838"/>
      <c r="AN1014" s="161" t="str">
        <f t="shared" ca="1" si="203"/>
        <v>TERMINO</v>
      </c>
      <c r="AO1014" s="414"/>
      <c r="AP1014" s="406"/>
      <c r="AQ1014" s="819" t="str">
        <f>IFERROR(VLOOKUP(E1014,'liquidaciones '!$B$2:$C$1048576,2,0),"NO")</f>
        <v>NO</v>
      </c>
      <c r="AR1014" s="909" t="str">
        <f>IFERROR(VLOOKUP(E1014,'liquidaciones '!$B$2:$I$1048576,8,0),"")</f>
        <v/>
      </c>
      <c r="AS1014" s="406"/>
      <c r="AT1014" s="156" t="str">
        <f t="shared" ca="1" si="204"/>
        <v>NO</v>
      </c>
      <c r="AU1014" s="1140"/>
      <c r="AV1014" s="1001"/>
      <c r="AX1014" s="928"/>
      <c r="AY1014" s="928"/>
    </row>
    <row r="1015" spans="3:51" x14ac:dyDescent="0.3">
      <c r="C1015" s="837"/>
      <c r="E1015" s="120"/>
      <c r="F1015" s="414"/>
      <c r="G1015" s="863"/>
      <c r="H1015" s="969"/>
      <c r="I1015" s="84"/>
      <c r="J1015" s="839"/>
      <c r="K1015" s="269"/>
      <c r="L1015" s="519"/>
      <c r="M1015" s="840"/>
      <c r="N1015" s="840"/>
      <c r="O1015" s="1099" t="str">
        <f>IF(+Modificaciones!I1015=0,"",VLOOKUP(E1015,Modificaciones!$B$7:$I$2400,8,0))</f>
        <v/>
      </c>
      <c r="P1015" s="115">
        <f>COUNTA(Modificaciones!J1015,Modificaciones!L1015,Modificaciones!N1015,Modificaciones!P1015)</f>
        <v>0</v>
      </c>
      <c r="Q1015" s="116">
        <f>VLOOKUP(E1015,Modificaciones!$B$7:$R$2300,17,0)</f>
        <v>0</v>
      </c>
      <c r="R1015" s="117">
        <f>COUNTA(Modificaciones!T1015,Modificaciones!V1015,Modificaciones!X1015,Modificaciones!Z1015)</f>
        <v>0</v>
      </c>
      <c r="S1015" s="118" t="str">
        <f>IF(Modificaciones!AA1015=0,"",VLOOKUP(E1015,Modificaciones!$B$7:$AA$2400,26,0))</f>
        <v/>
      </c>
      <c r="T1015" s="119" t="str">
        <f>IF(Modificaciones!AB1015=0,"",VLOOKUP(E1015,Modificaciones!$B$7:$AB$2400,27,0))</f>
        <v/>
      </c>
      <c r="U1015" s="1080" t="str">
        <f>+Modificaciones!AC1015</f>
        <v/>
      </c>
      <c r="V1015" s="825" t="str">
        <f>+Modificaciones!AK1015</f>
        <v/>
      </c>
      <c r="W1015" s="825">
        <f t="shared" si="195"/>
        <v>0</v>
      </c>
      <c r="X1015" s="59">
        <f t="shared" si="196"/>
        <v>0</v>
      </c>
      <c r="Y1015" s="151">
        <f>VLOOKUP(E1015,Modificaciones!$B$7:$BE$2300,56,0)</f>
        <v>0</v>
      </c>
      <c r="Z1015" s="84">
        <f t="shared" si="197"/>
        <v>0</v>
      </c>
      <c r="AA1015" s="1000"/>
      <c r="AB1015" s="823" t="e">
        <f t="shared" si="198"/>
        <v>#DIV/0!</v>
      </c>
      <c r="AC1015" s="40" t="e">
        <f t="shared" ca="1" si="199"/>
        <v>#DIV/0!</v>
      </c>
      <c r="AD1015" s="41" t="e">
        <f t="shared" ca="1" si="200"/>
        <v>#DIV/0!</v>
      </c>
      <c r="AE1015" s="181" t="e">
        <f t="shared" ca="1" si="201"/>
        <v>#DIV/0!</v>
      </c>
      <c r="AF1015" s="42" t="e">
        <f t="shared" si="202"/>
        <v>#DIV/0!</v>
      </c>
      <c r="AG1015" s="838"/>
      <c r="AH1015" s="841"/>
      <c r="AI1015" s="841"/>
      <c r="AJ1015" s="838"/>
      <c r="AL1015" s="838"/>
      <c r="AM1015" s="838"/>
      <c r="AN1015" s="161" t="str">
        <f t="shared" ca="1" si="203"/>
        <v>TERMINO</v>
      </c>
      <c r="AO1015" s="414"/>
      <c r="AP1015" s="406"/>
      <c r="AQ1015" s="819" t="str">
        <f>IFERROR(VLOOKUP(E1015,'liquidaciones '!$B$2:$C$1048576,2,0),"NO")</f>
        <v>NO</v>
      </c>
      <c r="AR1015" s="909" t="str">
        <f>IFERROR(VLOOKUP(E1015,'liquidaciones '!$B$2:$I$1048576,8,0),"")</f>
        <v/>
      </c>
      <c r="AS1015" s="406"/>
      <c r="AT1015" s="156" t="str">
        <f t="shared" ca="1" si="204"/>
        <v>NO</v>
      </c>
      <c r="AU1015" s="1140"/>
      <c r="AV1015" s="1001"/>
      <c r="AX1015" s="928"/>
      <c r="AY1015" s="928"/>
    </row>
    <row r="1016" spans="3:51" x14ac:dyDescent="0.3">
      <c r="C1016" s="837"/>
      <c r="E1016" s="120"/>
      <c r="F1016" s="414"/>
      <c r="G1016" s="863"/>
      <c r="H1016" s="969"/>
      <c r="I1016" s="84"/>
      <c r="J1016" s="839"/>
      <c r="K1016" s="269"/>
      <c r="L1016" s="519"/>
      <c r="M1016" s="840"/>
      <c r="N1016" s="840"/>
      <c r="O1016" s="1099" t="str">
        <f>IF(+Modificaciones!I1016=0,"",VLOOKUP(E1016,Modificaciones!$B$7:$I$2400,8,0))</f>
        <v/>
      </c>
      <c r="P1016" s="115">
        <f>COUNTA(Modificaciones!J1016,Modificaciones!L1016,Modificaciones!N1016,Modificaciones!P1016)</f>
        <v>0</v>
      </c>
      <c r="Q1016" s="116">
        <f>VLOOKUP(E1016,Modificaciones!$B$7:$R$2300,17,0)</f>
        <v>0</v>
      </c>
      <c r="R1016" s="117">
        <f>COUNTA(Modificaciones!T1016,Modificaciones!V1016,Modificaciones!X1016,Modificaciones!Z1016)</f>
        <v>0</v>
      </c>
      <c r="S1016" s="118" t="str">
        <f>IF(Modificaciones!AA1016=0,"",VLOOKUP(E1016,Modificaciones!$B$7:$AA$2400,26,0))</f>
        <v/>
      </c>
      <c r="T1016" s="119" t="str">
        <f>IF(Modificaciones!AB1016=0,"",VLOOKUP(E1016,Modificaciones!$B$7:$AB$2400,27,0))</f>
        <v/>
      </c>
      <c r="U1016" s="1080" t="str">
        <f>+Modificaciones!AC1016</f>
        <v/>
      </c>
      <c r="V1016" s="825" t="str">
        <f>+Modificaciones!AK1016</f>
        <v/>
      </c>
      <c r="W1016" s="825">
        <f t="shared" si="195"/>
        <v>0</v>
      </c>
      <c r="X1016" s="59">
        <f t="shared" si="196"/>
        <v>0</v>
      </c>
      <c r="Y1016" s="151">
        <f>VLOOKUP(E1016,Modificaciones!$B$7:$BE$2300,56,0)</f>
        <v>0</v>
      </c>
      <c r="Z1016" s="84">
        <f t="shared" si="197"/>
        <v>0</v>
      </c>
      <c r="AA1016" s="1000"/>
      <c r="AB1016" s="823" t="e">
        <f t="shared" si="198"/>
        <v>#DIV/0!</v>
      </c>
      <c r="AC1016" s="40" t="e">
        <f t="shared" ca="1" si="199"/>
        <v>#DIV/0!</v>
      </c>
      <c r="AD1016" s="41" t="e">
        <f t="shared" ca="1" si="200"/>
        <v>#DIV/0!</v>
      </c>
      <c r="AE1016" s="181" t="e">
        <f t="shared" ca="1" si="201"/>
        <v>#DIV/0!</v>
      </c>
      <c r="AF1016" s="42" t="e">
        <f t="shared" si="202"/>
        <v>#DIV/0!</v>
      </c>
      <c r="AG1016" s="838"/>
      <c r="AH1016" s="841"/>
      <c r="AI1016" s="841"/>
      <c r="AJ1016" s="838"/>
      <c r="AL1016" s="838"/>
      <c r="AM1016" s="838"/>
      <c r="AN1016" s="161" t="str">
        <f t="shared" ca="1" si="203"/>
        <v>TERMINO</v>
      </c>
      <c r="AO1016" s="414"/>
      <c r="AP1016" s="406"/>
      <c r="AQ1016" s="819" t="str">
        <f>IFERROR(VLOOKUP(E1016,'liquidaciones '!$B$2:$C$1048576,2,0),"NO")</f>
        <v>NO</v>
      </c>
      <c r="AR1016" s="909" t="str">
        <f>IFERROR(VLOOKUP(E1016,'liquidaciones '!$B$2:$I$1048576,8,0),"")</f>
        <v/>
      </c>
      <c r="AS1016" s="406"/>
      <c r="AT1016" s="156" t="str">
        <f t="shared" ca="1" si="204"/>
        <v>NO</v>
      </c>
      <c r="AU1016" s="1140"/>
      <c r="AV1016" s="1001"/>
      <c r="AX1016" s="928"/>
      <c r="AY1016" s="928"/>
    </row>
    <row r="1017" spans="3:51" x14ac:dyDescent="0.3">
      <c r="C1017" s="837"/>
      <c r="E1017" s="120"/>
      <c r="F1017" s="414"/>
      <c r="G1017" s="863"/>
      <c r="H1017" s="969"/>
      <c r="I1017" s="84"/>
      <c r="J1017" s="839"/>
      <c r="K1017" s="269"/>
      <c r="L1017" s="519"/>
      <c r="M1017" s="840"/>
      <c r="N1017" s="840"/>
      <c r="O1017" s="1099" t="str">
        <f>IF(+Modificaciones!I1017=0,"",VLOOKUP(E1017,Modificaciones!$B$7:$I$2400,8,0))</f>
        <v/>
      </c>
      <c r="P1017" s="115">
        <f>COUNTA(Modificaciones!J1017,Modificaciones!L1017,Modificaciones!N1017,Modificaciones!P1017)</f>
        <v>0</v>
      </c>
      <c r="Q1017" s="116">
        <f>VLOOKUP(E1017,Modificaciones!$B$7:$R$2300,17,0)</f>
        <v>0</v>
      </c>
      <c r="R1017" s="117">
        <f>COUNTA(Modificaciones!T1017,Modificaciones!V1017,Modificaciones!X1017,Modificaciones!Z1017)</f>
        <v>0</v>
      </c>
      <c r="S1017" s="118" t="str">
        <f>IF(Modificaciones!AA1017=0,"",VLOOKUP(E1017,Modificaciones!$B$7:$AA$2400,26,0))</f>
        <v/>
      </c>
      <c r="T1017" s="119" t="str">
        <f>IF(Modificaciones!AB1017=0,"",VLOOKUP(E1017,Modificaciones!$B$7:$AB$2400,27,0))</f>
        <v/>
      </c>
      <c r="U1017" s="1080" t="str">
        <f>+Modificaciones!AC1017</f>
        <v/>
      </c>
      <c r="V1017" s="825" t="str">
        <f>+Modificaciones!AK1017</f>
        <v/>
      </c>
      <c r="W1017" s="825">
        <f t="shared" si="195"/>
        <v>0</v>
      </c>
      <c r="X1017" s="59">
        <f t="shared" si="196"/>
        <v>0</v>
      </c>
      <c r="Y1017" s="151">
        <f>VLOOKUP(E1017,Modificaciones!$B$7:$BE$2300,56,0)</f>
        <v>0</v>
      </c>
      <c r="Z1017" s="84">
        <f t="shared" si="197"/>
        <v>0</v>
      </c>
      <c r="AA1017" s="1000"/>
      <c r="AB1017" s="823" t="e">
        <f t="shared" si="198"/>
        <v>#DIV/0!</v>
      </c>
      <c r="AC1017" s="40" t="e">
        <f t="shared" ca="1" si="199"/>
        <v>#DIV/0!</v>
      </c>
      <c r="AD1017" s="41" t="e">
        <f t="shared" ca="1" si="200"/>
        <v>#DIV/0!</v>
      </c>
      <c r="AE1017" s="181" t="e">
        <f t="shared" ca="1" si="201"/>
        <v>#DIV/0!</v>
      </c>
      <c r="AF1017" s="42" t="e">
        <f t="shared" si="202"/>
        <v>#DIV/0!</v>
      </c>
      <c r="AG1017" s="838"/>
      <c r="AH1017" s="841"/>
      <c r="AI1017" s="841"/>
      <c r="AJ1017" s="838"/>
      <c r="AL1017" s="838"/>
      <c r="AM1017" s="838"/>
      <c r="AN1017" s="161" t="str">
        <f t="shared" ca="1" si="203"/>
        <v>TERMINO</v>
      </c>
      <c r="AO1017" s="414"/>
      <c r="AP1017" s="406"/>
      <c r="AQ1017" s="819" t="str">
        <f>IFERROR(VLOOKUP(E1017,'liquidaciones '!$B$2:$C$1048576,2,0),"NO")</f>
        <v>NO</v>
      </c>
      <c r="AR1017" s="909" t="str">
        <f>IFERROR(VLOOKUP(E1017,'liquidaciones '!$B$2:$I$1048576,8,0),"")</f>
        <v/>
      </c>
      <c r="AS1017" s="406"/>
      <c r="AT1017" s="156" t="str">
        <f t="shared" ca="1" si="204"/>
        <v>NO</v>
      </c>
      <c r="AU1017" s="1140"/>
      <c r="AV1017" s="1001"/>
      <c r="AX1017" s="928"/>
      <c r="AY1017" s="928"/>
    </row>
    <row r="1018" spans="3:51" x14ac:dyDescent="0.3">
      <c r="C1018" s="837"/>
      <c r="E1018" s="120"/>
      <c r="F1018" s="414"/>
      <c r="G1018" s="863"/>
      <c r="H1018" s="969"/>
      <c r="I1018" s="84"/>
      <c r="J1018" s="839"/>
      <c r="K1018" s="269"/>
      <c r="L1018" s="519"/>
      <c r="M1018" s="840"/>
      <c r="N1018" s="840"/>
      <c r="O1018" s="1099" t="str">
        <f>IF(+Modificaciones!I1018=0,"",VLOOKUP(E1018,Modificaciones!$B$7:$I$2400,8,0))</f>
        <v/>
      </c>
      <c r="P1018" s="115">
        <f>COUNTA(Modificaciones!J1018,Modificaciones!L1018,Modificaciones!N1018,Modificaciones!P1018)</f>
        <v>0</v>
      </c>
      <c r="Q1018" s="116">
        <f>VLOOKUP(E1018,Modificaciones!$B$7:$R$2300,17,0)</f>
        <v>0</v>
      </c>
      <c r="R1018" s="117">
        <f>COUNTA(Modificaciones!T1018,Modificaciones!V1018,Modificaciones!X1018,Modificaciones!Z1018)</f>
        <v>0</v>
      </c>
      <c r="S1018" s="118" t="str">
        <f>IF(Modificaciones!AA1018=0,"",VLOOKUP(E1018,Modificaciones!$B$7:$AA$2400,26,0))</f>
        <v/>
      </c>
      <c r="T1018" s="119" t="str">
        <f>IF(Modificaciones!AB1018=0,"",VLOOKUP(E1018,Modificaciones!$B$7:$AB$2400,27,0))</f>
        <v/>
      </c>
      <c r="U1018" s="1080" t="str">
        <f>+Modificaciones!AC1018</f>
        <v/>
      </c>
      <c r="V1018" s="825" t="str">
        <f>+Modificaciones!AK1018</f>
        <v/>
      </c>
      <c r="W1018" s="825">
        <f t="shared" si="195"/>
        <v>0</v>
      </c>
      <c r="X1018" s="59">
        <f t="shared" si="196"/>
        <v>0</v>
      </c>
      <c r="Y1018" s="151">
        <f>VLOOKUP(E1018,Modificaciones!$B$7:$BE$2300,56,0)</f>
        <v>0</v>
      </c>
      <c r="Z1018" s="84">
        <f t="shared" si="197"/>
        <v>0</v>
      </c>
      <c r="AA1018" s="1000"/>
      <c r="AB1018" s="823" t="e">
        <f t="shared" si="198"/>
        <v>#DIV/0!</v>
      </c>
      <c r="AC1018" s="40" t="e">
        <f t="shared" ca="1" si="199"/>
        <v>#DIV/0!</v>
      </c>
      <c r="AD1018" s="41" t="e">
        <f t="shared" ca="1" si="200"/>
        <v>#DIV/0!</v>
      </c>
      <c r="AE1018" s="181" t="e">
        <f t="shared" ca="1" si="201"/>
        <v>#DIV/0!</v>
      </c>
      <c r="AF1018" s="42" t="e">
        <f t="shared" si="202"/>
        <v>#DIV/0!</v>
      </c>
      <c r="AG1018" s="838"/>
      <c r="AH1018" s="841"/>
      <c r="AI1018" s="841"/>
      <c r="AJ1018" s="838"/>
      <c r="AL1018" s="838"/>
      <c r="AM1018" s="838"/>
      <c r="AN1018" s="161" t="str">
        <f t="shared" ca="1" si="203"/>
        <v>TERMINO</v>
      </c>
      <c r="AO1018" s="414"/>
      <c r="AP1018" s="406"/>
      <c r="AQ1018" s="819" t="str">
        <f>IFERROR(VLOOKUP(E1018,'liquidaciones '!$B$2:$C$1048576,2,0),"NO")</f>
        <v>NO</v>
      </c>
      <c r="AR1018" s="909" t="str">
        <f>IFERROR(VLOOKUP(E1018,'liquidaciones '!$B$2:$I$1048576,8,0),"")</f>
        <v/>
      </c>
      <c r="AS1018" s="406"/>
      <c r="AT1018" s="156" t="str">
        <f t="shared" ca="1" si="204"/>
        <v>NO</v>
      </c>
      <c r="AU1018" s="1140"/>
      <c r="AV1018" s="1001"/>
      <c r="AX1018" s="928"/>
      <c r="AY1018" s="928"/>
    </row>
    <row r="1019" spans="3:51" x14ac:dyDescent="0.3">
      <c r="C1019" s="837"/>
      <c r="E1019" s="120"/>
      <c r="F1019" s="414"/>
      <c r="G1019" s="863"/>
      <c r="H1019" s="969"/>
      <c r="I1019" s="84"/>
      <c r="J1019" s="839"/>
      <c r="K1019" s="269"/>
      <c r="L1019" s="519"/>
      <c r="M1019" s="840"/>
      <c r="N1019" s="840"/>
      <c r="O1019" s="1099" t="str">
        <f>IF(+Modificaciones!I1019=0,"",VLOOKUP(E1019,Modificaciones!$B$7:$I$2400,8,0))</f>
        <v/>
      </c>
      <c r="P1019" s="115">
        <f>COUNTA(Modificaciones!J1019,Modificaciones!L1019,Modificaciones!N1019,Modificaciones!P1019)</f>
        <v>0</v>
      </c>
      <c r="Q1019" s="116">
        <f>VLOOKUP(E1019,Modificaciones!$B$7:$R$2300,17,0)</f>
        <v>0</v>
      </c>
      <c r="R1019" s="117">
        <f>COUNTA(Modificaciones!T1019,Modificaciones!V1019,Modificaciones!X1019,Modificaciones!Z1019)</f>
        <v>0</v>
      </c>
      <c r="S1019" s="118" t="str">
        <f>IF(Modificaciones!AA1019=0,"",VLOOKUP(E1019,Modificaciones!$B$7:$AA$2400,26,0))</f>
        <v/>
      </c>
      <c r="T1019" s="119" t="str">
        <f>IF(Modificaciones!AB1019=0,"",VLOOKUP(E1019,Modificaciones!$B$7:$AB$2400,27,0))</f>
        <v/>
      </c>
      <c r="U1019" s="1080" t="str">
        <f>+Modificaciones!AC1019</f>
        <v/>
      </c>
      <c r="V1019" s="825" t="str">
        <f>+Modificaciones!AK1019</f>
        <v/>
      </c>
      <c r="W1019" s="825">
        <f t="shared" si="195"/>
        <v>0</v>
      </c>
      <c r="X1019" s="59">
        <f t="shared" si="196"/>
        <v>0</v>
      </c>
      <c r="Y1019" s="151">
        <f>VLOOKUP(E1019,Modificaciones!$B$7:$BE$2300,56,0)</f>
        <v>0</v>
      </c>
      <c r="Z1019" s="84">
        <f t="shared" si="197"/>
        <v>0</v>
      </c>
      <c r="AA1019" s="1000"/>
      <c r="AB1019" s="823" t="e">
        <f t="shared" si="198"/>
        <v>#DIV/0!</v>
      </c>
      <c r="AC1019" s="40" t="e">
        <f t="shared" ca="1" si="199"/>
        <v>#DIV/0!</v>
      </c>
      <c r="AD1019" s="41" t="e">
        <f t="shared" ca="1" si="200"/>
        <v>#DIV/0!</v>
      </c>
      <c r="AE1019" s="181" t="e">
        <f t="shared" ca="1" si="201"/>
        <v>#DIV/0!</v>
      </c>
      <c r="AF1019" s="42" t="e">
        <f t="shared" si="202"/>
        <v>#DIV/0!</v>
      </c>
      <c r="AG1019" s="838"/>
      <c r="AH1019" s="841"/>
      <c r="AI1019" s="841"/>
      <c r="AJ1019" s="838"/>
      <c r="AL1019" s="838"/>
      <c r="AM1019" s="838"/>
      <c r="AN1019" s="161" t="str">
        <f t="shared" ca="1" si="203"/>
        <v>TERMINO</v>
      </c>
      <c r="AO1019" s="414"/>
      <c r="AP1019" s="406"/>
      <c r="AQ1019" s="819" t="str">
        <f>IFERROR(VLOOKUP(E1019,'liquidaciones '!$B$2:$C$1048576,2,0),"NO")</f>
        <v>NO</v>
      </c>
      <c r="AR1019" s="909" t="str">
        <f>IFERROR(VLOOKUP(E1019,'liquidaciones '!$B$2:$I$1048576,8,0),"")</f>
        <v/>
      </c>
      <c r="AS1019" s="406"/>
      <c r="AT1019" s="156" t="str">
        <f t="shared" ca="1" si="204"/>
        <v>NO</v>
      </c>
      <c r="AU1019" s="1140"/>
      <c r="AV1019" s="1001"/>
      <c r="AX1019" s="928"/>
      <c r="AY1019" s="928"/>
    </row>
    <row r="1020" spans="3:51" x14ac:dyDescent="0.3">
      <c r="C1020" s="837"/>
      <c r="E1020" s="120"/>
      <c r="F1020" s="414"/>
      <c r="G1020" s="863"/>
      <c r="H1020" s="969"/>
      <c r="I1020" s="84"/>
      <c r="J1020" s="839"/>
      <c r="K1020" s="269"/>
      <c r="L1020" s="519"/>
      <c r="M1020" s="840"/>
      <c r="N1020" s="840"/>
      <c r="O1020" s="1099" t="str">
        <f>IF(+Modificaciones!I1020=0,"",VLOOKUP(E1020,Modificaciones!$B$7:$I$2400,8,0))</f>
        <v/>
      </c>
      <c r="P1020" s="115">
        <f>COUNTA(Modificaciones!J1020,Modificaciones!L1020,Modificaciones!N1020,Modificaciones!P1020)</f>
        <v>0</v>
      </c>
      <c r="Q1020" s="116">
        <f>VLOOKUP(E1020,Modificaciones!$B$7:$R$2300,17,0)</f>
        <v>0</v>
      </c>
      <c r="R1020" s="117">
        <f>COUNTA(Modificaciones!T1020,Modificaciones!V1020,Modificaciones!X1020,Modificaciones!Z1020)</f>
        <v>0</v>
      </c>
      <c r="S1020" s="118" t="str">
        <f>IF(Modificaciones!AA1020=0,"",VLOOKUP(E1020,Modificaciones!$B$7:$AA$2400,26,0))</f>
        <v/>
      </c>
      <c r="T1020" s="119" t="str">
        <f>IF(Modificaciones!AB1020=0,"",VLOOKUP(E1020,Modificaciones!$B$7:$AB$2400,27,0))</f>
        <v/>
      </c>
      <c r="U1020" s="1080" t="str">
        <f>+Modificaciones!AC1020</f>
        <v/>
      </c>
      <c r="V1020" s="825" t="str">
        <f>+Modificaciones!AK1020</f>
        <v/>
      </c>
      <c r="W1020" s="825">
        <f t="shared" si="195"/>
        <v>0</v>
      </c>
      <c r="X1020" s="59">
        <f t="shared" si="196"/>
        <v>0</v>
      </c>
      <c r="Y1020" s="151">
        <f>VLOOKUP(E1020,Modificaciones!$B$7:$BE$2300,56,0)</f>
        <v>0</v>
      </c>
      <c r="Z1020" s="84">
        <f t="shared" si="197"/>
        <v>0</v>
      </c>
      <c r="AA1020" s="1000"/>
      <c r="AB1020" s="823" t="e">
        <f t="shared" si="198"/>
        <v>#DIV/0!</v>
      </c>
      <c r="AC1020" s="40" t="e">
        <f t="shared" ca="1" si="199"/>
        <v>#DIV/0!</v>
      </c>
      <c r="AD1020" s="41" t="e">
        <f t="shared" ca="1" si="200"/>
        <v>#DIV/0!</v>
      </c>
      <c r="AE1020" s="181" t="e">
        <f t="shared" ca="1" si="201"/>
        <v>#DIV/0!</v>
      </c>
      <c r="AF1020" s="42" t="e">
        <f t="shared" si="202"/>
        <v>#DIV/0!</v>
      </c>
      <c r="AG1020" s="838"/>
      <c r="AH1020" s="841"/>
      <c r="AI1020" s="841"/>
      <c r="AJ1020" s="838"/>
      <c r="AL1020" s="838"/>
      <c r="AM1020" s="838"/>
      <c r="AN1020" s="161" t="str">
        <f t="shared" ca="1" si="203"/>
        <v>TERMINO</v>
      </c>
      <c r="AO1020" s="414"/>
      <c r="AP1020" s="406"/>
      <c r="AQ1020" s="819" t="str">
        <f>IFERROR(VLOOKUP(E1020,'liquidaciones '!$B$2:$C$1048576,2,0),"NO")</f>
        <v>NO</v>
      </c>
      <c r="AR1020" s="909" t="str">
        <f>IFERROR(VLOOKUP(E1020,'liquidaciones '!$B$2:$I$1048576,8,0),"")</f>
        <v/>
      </c>
      <c r="AS1020" s="406"/>
      <c r="AT1020" s="156" t="str">
        <f t="shared" ca="1" si="204"/>
        <v>NO</v>
      </c>
      <c r="AU1020" s="1140"/>
      <c r="AV1020" s="1001"/>
      <c r="AX1020" s="928"/>
      <c r="AY1020" s="928"/>
    </row>
    <row r="1021" spans="3:51" x14ac:dyDescent="0.3">
      <c r="C1021" s="837"/>
      <c r="E1021" s="120"/>
      <c r="F1021" s="414"/>
      <c r="G1021" s="863"/>
      <c r="H1021" s="969"/>
      <c r="I1021" s="84"/>
      <c r="J1021" s="839"/>
      <c r="K1021" s="269"/>
      <c r="L1021" s="519"/>
      <c r="M1021" s="840"/>
      <c r="N1021" s="840"/>
      <c r="O1021" s="1099" t="str">
        <f>IF(+Modificaciones!I1021=0,"",VLOOKUP(E1021,Modificaciones!$B$7:$I$2400,8,0))</f>
        <v/>
      </c>
      <c r="P1021" s="115">
        <f>COUNTA(Modificaciones!J1021,Modificaciones!L1021,Modificaciones!N1021,Modificaciones!P1021)</f>
        <v>0</v>
      </c>
      <c r="Q1021" s="116">
        <f>VLOOKUP(E1021,Modificaciones!$B$7:$R$2300,17,0)</f>
        <v>0</v>
      </c>
      <c r="R1021" s="117">
        <f>COUNTA(Modificaciones!T1021,Modificaciones!V1021,Modificaciones!X1021,Modificaciones!Z1021)</f>
        <v>0</v>
      </c>
      <c r="S1021" s="118" t="str">
        <f>IF(Modificaciones!AA1021=0,"",VLOOKUP(E1021,Modificaciones!$B$7:$AA$2400,26,0))</f>
        <v/>
      </c>
      <c r="T1021" s="119" t="str">
        <f>IF(Modificaciones!AB1021=0,"",VLOOKUP(E1021,Modificaciones!$B$7:$AB$2400,27,0))</f>
        <v/>
      </c>
      <c r="U1021" s="1080" t="str">
        <f>+Modificaciones!AC1021</f>
        <v/>
      </c>
      <c r="V1021" s="825" t="str">
        <f>+Modificaciones!AK1021</f>
        <v/>
      </c>
      <c r="W1021" s="825">
        <f t="shared" si="195"/>
        <v>0</v>
      </c>
      <c r="X1021" s="59">
        <f t="shared" si="196"/>
        <v>0</v>
      </c>
      <c r="Y1021" s="151">
        <f>VLOOKUP(E1021,Modificaciones!$B$7:$BE$2300,56,0)</f>
        <v>0</v>
      </c>
      <c r="Z1021" s="84">
        <f t="shared" si="197"/>
        <v>0</v>
      </c>
      <c r="AA1021" s="1000"/>
      <c r="AB1021" s="823" t="e">
        <f t="shared" si="198"/>
        <v>#DIV/0!</v>
      </c>
      <c r="AC1021" s="40" t="e">
        <f t="shared" ca="1" si="199"/>
        <v>#DIV/0!</v>
      </c>
      <c r="AD1021" s="41" t="e">
        <f t="shared" ca="1" si="200"/>
        <v>#DIV/0!</v>
      </c>
      <c r="AE1021" s="181" t="e">
        <f t="shared" ca="1" si="201"/>
        <v>#DIV/0!</v>
      </c>
      <c r="AF1021" s="42" t="e">
        <f t="shared" si="202"/>
        <v>#DIV/0!</v>
      </c>
      <c r="AG1021" s="838"/>
      <c r="AH1021" s="841"/>
      <c r="AI1021" s="841"/>
      <c r="AJ1021" s="838"/>
      <c r="AL1021" s="838"/>
      <c r="AM1021" s="838"/>
      <c r="AN1021" s="161" t="str">
        <f t="shared" ca="1" si="203"/>
        <v>TERMINO</v>
      </c>
      <c r="AO1021" s="414"/>
      <c r="AP1021" s="406"/>
      <c r="AQ1021" s="819" t="str">
        <f>IFERROR(VLOOKUP(E1021,'liquidaciones '!$B$2:$C$1048576,2,0),"NO")</f>
        <v>NO</v>
      </c>
      <c r="AR1021" s="909" t="str">
        <f>IFERROR(VLOOKUP(E1021,'liquidaciones '!$B$2:$I$1048576,8,0),"")</f>
        <v/>
      </c>
      <c r="AS1021" s="406"/>
      <c r="AT1021" s="156" t="str">
        <f t="shared" ca="1" si="204"/>
        <v>NO</v>
      </c>
      <c r="AU1021" s="1140"/>
      <c r="AV1021" s="1001"/>
      <c r="AX1021" s="928"/>
      <c r="AY1021" s="928"/>
    </row>
    <row r="1022" spans="3:51" x14ac:dyDescent="0.3">
      <c r="C1022" s="837"/>
      <c r="E1022" s="120"/>
      <c r="F1022" s="414"/>
      <c r="G1022" s="863"/>
      <c r="H1022" s="969"/>
      <c r="I1022" s="84"/>
      <c r="J1022" s="839"/>
      <c r="K1022" s="269"/>
      <c r="L1022" s="519"/>
      <c r="M1022" s="840"/>
      <c r="N1022" s="840"/>
      <c r="O1022" s="1099" t="str">
        <f>IF(+Modificaciones!I1022=0,"",VLOOKUP(E1022,Modificaciones!$B$7:$I$2400,8,0))</f>
        <v/>
      </c>
      <c r="P1022" s="115">
        <f>COUNTA(Modificaciones!J1022,Modificaciones!L1022,Modificaciones!N1022,Modificaciones!P1022)</f>
        <v>0</v>
      </c>
      <c r="Q1022" s="116">
        <f>VLOOKUP(E1022,Modificaciones!$B$7:$R$2300,17,0)</f>
        <v>0</v>
      </c>
      <c r="R1022" s="117">
        <f>COUNTA(Modificaciones!T1022,Modificaciones!V1022,Modificaciones!X1022,Modificaciones!Z1022)</f>
        <v>0</v>
      </c>
      <c r="S1022" s="118" t="str">
        <f>IF(Modificaciones!AA1022=0,"",VLOOKUP(E1022,Modificaciones!$B$7:$AA$2400,26,0))</f>
        <v/>
      </c>
      <c r="T1022" s="119" t="str">
        <f>IF(Modificaciones!AB1022=0,"",VLOOKUP(E1022,Modificaciones!$B$7:$AB$2400,27,0))</f>
        <v/>
      </c>
      <c r="U1022" s="1080" t="str">
        <f>+Modificaciones!AC1022</f>
        <v/>
      </c>
      <c r="V1022" s="825" t="str">
        <f>+Modificaciones!AK1022</f>
        <v/>
      </c>
      <c r="W1022" s="825">
        <f t="shared" si="195"/>
        <v>0</v>
      </c>
      <c r="X1022" s="59">
        <f t="shared" si="196"/>
        <v>0</v>
      </c>
      <c r="Y1022" s="151">
        <f>VLOOKUP(E1022,Modificaciones!$B$7:$BE$2300,56,0)</f>
        <v>0</v>
      </c>
      <c r="Z1022" s="84">
        <f t="shared" si="197"/>
        <v>0</v>
      </c>
      <c r="AA1022" s="1000"/>
      <c r="AB1022" s="823" t="e">
        <f t="shared" si="198"/>
        <v>#DIV/0!</v>
      </c>
      <c r="AC1022" s="40" t="e">
        <f t="shared" ca="1" si="199"/>
        <v>#DIV/0!</v>
      </c>
      <c r="AD1022" s="41" t="e">
        <f t="shared" ca="1" si="200"/>
        <v>#DIV/0!</v>
      </c>
      <c r="AE1022" s="181" t="e">
        <f t="shared" ca="1" si="201"/>
        <v>#DIV/0!</v>
      </c>
      <c r="AF1022" s="42" t="e">
        <f t="shared" si="202"/>
        <v>#DIV/0!</v>
      </c>
      <c r="AG1022" s="838"/>
      <c r="AH1022" s="841"/>
      <c r="AI1022" s="841"/>
      <c r="AJ1022" s="838"/>
      <c r="AL1022" s="838"/>
      <c r="AM1022" s="838"/>
      <c r="AN1022" s="161" t="str">
        <f t="shared" ca="1" si="203"/>
        <v>TERMINO</v>
      </c>
      <c r="AO1022" s="414"/>
      <c r="AP1022" s="406"/>
      <c r="AQ1022" s="819" t="str">
        <f>IFERROR(VLOOKUP(E1022,'liquidaciones '!$B$2:$C$1048576,2,0),"NO")</f>
        <v>NO</v>
      </c>
      <c r="AR1022" s="909" t="str">
        <f>IFERROR(VLOOKUP(E1022,'liquidaciones '!$B$2:$I$1048576,8,0),"")</f>
        <v/>
      </c>
      <c r="AS1022" s="406"/>
      <c r="AT1022" s="156" t="str">
        <f t="shared" ca="1" si="204"/>
        <v>NO</v>
      </c>
      <c r="AU1022" s="1140"/>
      <c r="AV1022" s="1001"/>
      <c r="AX1022" s="928"/>
      <c r="AY1022" s="928"/>
    </row>
    <row r="1023" spans="3:51" x14ac:dyDescent="0.3">
      <c r="C1023" s="837"/>
      <c r="E1023" s="120"/>
      <c r="F1023" s="414"/>
      <c r="G1023" s="863"/>
      <c r="H1023" s="969"/>
      <c r="I1023" s="84"/>
      <c r="J1023" s="839"/>
      <c r="K1023" s="269"/>
      <c r="L1023" s="519"/>
      <c r="M1023" s="840"/>
      <c r="N1023" s="840"/>
      <c r="O1023" s="1099" t="str">
        <f>IF(+Modificaciones!I1023=0,"",VLOOKUP(E1023,Modificaciones!$B$7:$I$2400,8,0))</f>
        <v/>
      </c>
      <c r="P1023" s="115">
        <f>COUNTA(Modificaciones!J1023,Modificaciones!L1023,Modificaciones!N1023,Modificaciones!P1023)</f>
        <v>0</v>
      </c>
      <c r="Q1023" s="116">
        <f>VLOOKUP(E1023,Modificaciones!$B$7:$R$2300,17,0)</f>
        <v>0</v>
      </c>
      <c r="R1023" s="117">
        <f>COUNTA(Modificaciones!T1023,Modificaciones!V1023,Modificaciones!X1023,Modificaciones!Z1023)</f>
        <v>0</v>
      </c>
      <c r="S1023" s="118" t="str">
        <f>IF(Modificaciones!AA1023=0,"",VLOOKUP(E1023,Modificaciones!$B$7:$AA$2400,26,0))</f>
        <v/>
      </c>
      <c r="T1023" s="119" t="str">
        <f>IF(Modificaciones!AB1023=0,"",VLOOKUP(E1023,Modificaciones!$B$7:$AB$2400,27,0))</f>
        <v/>
      </c>
      <c r="U1023" s="1080" t="str">
        <f>+Modificaciones!AC1023</f>
        <v/>
      </c>
      <c r="V1023" s="825" t="str">
        <f>+Modificaciones!AK1023</f>
        <v/>
      </c>
      <c r="W1023" s="825">
        <f t="shared" si="195"/>
        <v>0</v>
      </c>
      <c r="X1023" s="59">
        <f t="shared" si="196"/>
        <v>0</v>
      </c>
      <c r="Y1023" s="151">
        <f>VLOOKUP(E1023,Modificaciones!$B$7:$BE$2300,56,0)</f>
        <v>0</v>
      </c>
      <c r="Z1023" s="84">
        <f t="shared" si="197"/>
        <v>0</v>
      </c>
      <c r="AA1023" s="1000"/>
      <c r="AB1023" s="823" t="e">
        <f t="shared" si="198"/>
        <v>#DIV/0!</v>
      </c>
      <c r="AC1023" s="40" t="e">
        <f t="shared" ca="1" si="199"/>
        <v>#DIV/0!</v>
      </c>
      <c r="AD1023" s="41" t="e">
        <f t="shared" ca="1" si="200"/>
        <v>#DIV/0!</v>
      </c>
      <c r="AE1023" s="181" t="e">
        <f t="shared" ca="1" si="201"/>
        <v>#DIV/0!</v>
      </c>
      <c r="AF1023" s="42" t="e">
        <f t="shared" si="202"/>
        <v>#DIV/0!</v>
      </c>
      <c r="AG1023" s="838"/>
      <c r="AH1023" s="841"/>
      <c r="AI1023" s="841"/>
      <c r="AJ1023" s="838"/>
      <c r="AL1023" s="838"/>
      <c r="AM1023" s="838"/>
      <c r="AN1023" s="161" t="str">
        <f t="shared" ca="1" si="203"/>
        <v>TERMINO</v>
      </c>
      <c r="AO1023" s="414"/>
      <c r="AP1023" s="406"/>
      <c r="AQ1023" s="819" t="str">
        <f>IFERROR(VLOOKUP(E1023,'liquidaciones '!$B$2:$C$1048576,2,0),"NO")</f>
        <v>NO</v>
      </c>
      <c r="AR1023" s="909" t="str">
        <f>IFERROR(VLOOKUP(E1023,'liquidaciones '!$B$2:$I$1048576,8,0),"")</f>
        <v/>
      </c>
      <c r="AS1023" s="406"/>
      <c r="AT1023" s="156" t="str">
        <f t="shared" ca="1" si="204"/>
        <v>NO</v>
      </c>
      <c r="AU1023" s="1140"/>
      <c r="AV1023" s="1001"/>
      <c r="AX1023" s="928"/>
      <c r="AY1023" s="928"/>
    </row>
    <row r="1024" spans="3:51" x14ac:dyDescent="0.3">
      <c r="C1024" s="837"/>
      <c r="E1024" s="120"/>
      <c r="F1024" s="414"/>
      <c r="G1024" s="863"/>
      <c r="H1024" s="969"/>
      <c r="I1024" s="84"/>
      <c r="J1024" s="839"/>
      <c r="K1024" s="269"/>
      <c r="L1024" s="519"/>
      <c r="M1024" s="840"/>
      <c r="N1024" s="840"/>
      <c r="O1024" s="1099" t="str">
        <f>IF(+Modificaciones!I1024=0,"",VLOOKUP(E1024,Modificaciones!$B$7:$I$2400,8,0))</f>
        <v/>
      </c>
      <c r="P1024" s="115">
        <f>COUNTA(Modificaciones!J1024,Modificaciones!L1024,Modificaciones!N1024,Modificaciones!P1024)</f>
        <v>0</v>
      </c>
      <c r="Q1024" s="116">
        <f>VLOOKUP(E1024,Modificaciones!$B$7:$R$2300,17,0)</f>
        <v>0</v>
      </c>
      <c r="R1024" s="117">
        <f>COUNTA(Modificaciones!T1024,Modificaciones!V1024,Modificaciones!X1024,Modificaciones!Z1024)</f>
        <v>0</v>
      </c>
      <c r="S1024" s="118" t="str">
        <f>IF(Modificaciones!AA1024=0,"",VLOOKUP(E1024,Modificaciones!$B$7:$AA$2400,26,0))</f>
        <v/>
      </c>
      <c r="T1024" s="119" t="str">
        <f>IF(Modificaciones!AB1024=0,"",VLOOKUP(E1024,Modificaciones!$B$7:$AB$2400,27,0))</f>
        <v/>
      </c>
      <c r="U1024" s="1080" t="str">
        <f>+Modificaciones!AC1024</f>
        <v/>
      </c>
      <c r="V1024" s="825" t="str">
        <f>+Modificaciones!AK1024</f>
        <v/>
      </c>
      <c r="W1024" s="825">
        <f t="shared" si="195"/>
        <v>0</v>
      </c>
      <c r="X1024" s="59">
        <f t="shared" si="196"/>
        <v>0</v>
      </c>
      <c r="Y1024" s="151">
        <f>VLOOKUP(E1024,Modificaciones!$B$7:$BE$2300,56,0)</f>
        <v>0</v>
      </c>
      <c r="Z1024" s="84">
        <f t="shared" si="197"/>
        <v>0</v>
      </c>
      <c r="AA1024" s="1000"/>
      <c r="AB1024" s="823" t="e">
        <f t="shared" si="198"/>
        <v>#DIV/0!</v>
      </c>
      <c r="AC1024" s="40" t="e">
        <f t="shared" ca="1" si="199"/>
        <v>#DIV/0!</v>
      </c>
      <c r="AD1024" s="41" t="e">
        <f t="shared" ca="1" si="200"/>
        <v>#DIV/0!</v>
      </c>
      <c r="AE1024" s="181" t="e">
        <f t="shared" ca="1" si="201"/>
        <v>#DIV/0!</v>
      </c>
      <c r="AF1024" s="42" t="e">
        <f t="shared" si="202"/>
        <v>#DIV/0!</v>
      </c>
      <c r="AG1024" s="838"/>
      <c r="AH1024" s="841"/>
      <c r="AI1024" s="841"/>
      <c r="AJ1024" s="838"/>
      <c r="AL1024" s="838"/>
      <c r="AM1024" s="838"/>
      <c r="AN1024" s="161" t="str">
        <f t="shared" ca="1" si="203"/>
        <v>TERMINO</v>
      </c>
      <c r="AO1024" s="414"/>
      <c r="AP1024" s="406"/>
      <c r="AQ1024" s="819" t="str">
        <f>IFERROR(VLOOKUP(E1024,'liquidaciones '!$B$2:$C$1048576,2,0),"NO")</f>
        <v>NO</v>
      </c>
      <c r="AR1024" s="909" t="str">
        <f>IFERROR(VLOOKUP(E1024,'liquidaciones '!$B$2:$I$1048576,8,0),"")</f>
        <v/>
      </c>
      <c r="AS1024" s="406"/>
      <c r="AT1024" s="156" t="str">
        <f t="shared" ca="1" si="204"/>
        <v>NO</v>
      </c>
      <c r="AU1024" s="1140"/>
      <c r="AV1024" s="1001"/>
      <c r="AX1024" s="928"/>
      <c r="AY1024" s="928"/>
    </row>
    <row r="1025" spans="3:51" x14ac:dyDescent="0.3">
      <c r="C1025" s="837"/>
      <c r="E1025" s="120"/>
      <c r="F1025" s="414"/>
      <c r="G1025" s="863"/>
      <c r="H1025" s="969"/>
      <c r="I1025" s="84"/>
      <c r="J1025" s="839"/>
      <c r="K1025" s="269"/>
      <c r="L1025" s="519"/>
      <c r="M1025" s="840"/>
      <c r="N1025" s="840"/>
      <c r="O1025" s="1099" t="str">
        <f>IF(+Modificaciones!I1025=0,"",VLOOKUP(E1025,Modificaciones!$B$7:$I$2400,8,0))</f>
        <v/>
      </c>
      <c r="P1025" s="115">
        <f>COUNTA(Modificaciones!J1025,Modificaciones!L1025,Modificaciones!N1025,Modificaciones!P1025)</f>
        <v>0</v>
      </c>
      <c r="Q1025" s="116">
        <f>VLOOKUP(E1025,Modificaciones!$B$7:$R$2300,17,0)</f>
        <v>0</v>
      </c>
      <c r="R1025" s="117">
        <f>COUNTA(Modificaciones!T1025,Modificaciones!V1025,Modificaciones!X1025,Modificaciones!Z1025)</f>
        <v>0</v>
      </c>
      <c r="S1025" s="118" t="str">
        <f>IF(Modificaciones!AA1025=0,"",VLOOKUP(E1025,Modificaciones!$B$7:$AA$2400,26,0))</f>
        <v/>
      </c>
      <c r="T1025" s="119" t="str">
        <f>IF(Modificaciones!AB1025=0,"",VLOOKUP(E1025,Modificaciones!$B$7:$AB$2400,27,0))</f>
        <v/>
      </c>
      <c r="U1025" s="1080" t="str">
        <f>+Modificaciones!AC1025</f>
        <v/>
      </c>
      <c r="V1025" s="825" t="str">
        <f>+Modificaciones!AK1025</f>
        <v/>
      </c>
      <c r="W1025" s="825">
        <f t="shared" si="195"/>
        <v>0</v>
      </c>
      <c r="X1025" s="59">
        <f t="shared" si="196"/>
        <v>0</v>
      </c>
      <c r="Y1025" s="151">
        <f>VLOOKUP(E1025,Modificaciones!$B$7:$BE$2300,56,0)</f>
        <v>0</v>
      </c>
      <c r="Z1025" s="84">
        <f t="shared" si="197"/>
        <v>0</v>
      </c>
      <c r="AA1025" s="1000"/>
      <c r="AB1025" s="823" t="e">
        <f t="shared" si="198"/>
        <v>#DIV/0!</v>
      </c>
      <c r="AC1025" s="40" t="e">
        <f t="shared" ca="1" si="199"/>
        <v>#DIV/0!</v>
      </c>
      <c r="AD1025" s="41" t="e">
        <f t="shared" ca="1" si="200"/>
        <v>#DIV/0!</v>
      </c>
      <c r="AE1025" s="181" t="e">
        <f t="shared" ca="1" si="201"/>
        <v>#DIV/0!</v>
      </c>
      <c r="AF1025" s="42" t="e">
        <f t="shared" si="202"/>
        <v>#DIV/0!</v>
      </c>
      <c r="AG1025" s="838"/>
      <c r="AH1025" s="841"/>
      <c r="AI1025" s="841"/>
      <c r="AJ1025" s="838"/>
      <c r="AL1025" s="838"/>
      <c r="AM1025" s="838"/>
      <c r="AN1025" s="161" t="str">
        <f t="shared" ca="1" si="203"/>
        <v>TERMINO</v>
      </c>
      <c r="AO1025" s="414"/>
      <c r="AP1025" s="406"/>
      <c r="AQ1025" s="819" t="str">
        <f>IFERROR(VLOOKUP(E1025,'liquidaciones '!$B$2:$C$1048576,2,0),"NO")</f>
        <v>NO</v>
      </c>
      <c r="AR1025" s="909" t="str">
        <f>IFERROR(VLOOKUP(E1025,'liquidaciones '!$B$2:$I$1048576,8,0),"")</f>
        <v/>
      </c>
      <c r="AS1025" s="406"/>
      <c r="AT1025" s="156" t="str">
        <f t="shared" ca="1" si="204"/>
        <v>NO</v>
      </c>
      <c r="AU1025" s="1140"/>
      <c r="AV1025" s="1001"/>
      <c r="AX1025" s="928"/>
      <c r="AY1025" s="928"/>
    </row>
    <row r="1026" spans="3:51" x14ac:dyDescent="0.3">
      <c r="C1026" s="837"/>
      <c r="E1026" s="120"/>
      <c r="F1026" s="414"/>
      <c r="G1026" s="863"/>
      <c r="H1026" s="969"/>
      <c r="I1026" s="84"/>
      <c r="J1026" s="839"/>
      <c r="K1026" s="269"/>
      <c r="L1026" s="519"/>
      <c r="M1026" s="840"/>
      <c r="N1026" s="840"/>
      <c r="O1026" s="1099" t="str">
        <f>IF(+Modificaciones!I1026=0,"",VLOOKUP(E1026,Modificaciones!$B$7:$I$2400,8,0))</f>
        <v/>
      </c>
      <c r="P1026" s="115">
        <f>COUNTA(Modificaciones!J1026,Modificaciones!L1026,Modificaciones!N1026,Modificaciones!P1026)</f>
        <v>0</v>
      </c>
      <c r="Q1026" s="116">
        <f>VLOOKUP(E1026,Modificaciones!$B$7:$R$2300,17,0)</f>
        <v>0</v>
      </c>
      <c r="R1026" s="117">
        <f>COUNTA(Modificaciones!T1026,Modificaciones!V1026,Modificaciones!X1026,Modificaciones!Z1026)</f>
        <v>0</v>
      </c>
      <c r="S1026" s="118" t="str">
        <f>IF(Modificaciones!AA1026=0,"",VLOOKUP(E1026,Modificaciones!$B$7:$AA$2400,26,0))</f>
        <v/>
      </c>
      <c r="T1026" s="119" t="str">
        <f>IF(Modificaciones!AB1026=0,"",VLOOKUP(E1026,Modificaciones!$B$7:$AB$2400,27,0))</f>
        <v/>
      </c>
      <c r="U1026" s="1080" t="str">
        <f>+Modificaciones!AC1026</f>
        <v/>
      </c>
      <c r="V1026" s="825" t="str">
        <f>+Modificaciones!AK1026</f>
        <v/>
      </c>
      <c r="W1026" s="825">
        <f t="shared" si="195"/>
        <v>0</v>
      </c>
      <c r="X1026" s="59">
        <f t="shared" si="196"/>
        <v>0</v>
      </c>
      <c r="Y1026" s="151">
        <f>VLOOKUP(E1026,Modificaciones!$B$7:$BE$2300,56,0)</f>
        <v>0</v>
      </c>
      <c r="Z1026" s="84">
        <f t="shared" si="197"/>
        <v>0</v>
      </c>
      <c r="AA1026" s="1000"/>
      <c r="AB1026" s="823" t="e">
        <f t="shared" si="198"/>
        <v>#DIV/0!</v>
      </c>
      <c r="AC1026" s="40" t="e">
        <f t="shared" ca="1" si="199"/>
        <v>#DIV/0!</v>
      </c>
      <c r="AD1026" s="41" t="e">
        <f t="shared" ca="1" si="200"/>
        <v>#DIV/0!</v>
      </c>
      <c r="AE1026" s="181" t="e">
        <f t="shared" ca="1" si="201"/>
        <v>#DIV/0!</v>
      </c>
      <c r="AF1026" s="42" t="e">
        <f t="shared" si="202"/>
        <v>#DIV/0!</v>
      </c>
      <c r="AG1026" s="838"/>
      <c r="AH1026" s="841"/>
      <c r="AI1026" s="841"/>
      <c r="AJ1026" s="838"/>
      <c r="AL1026" s="838"/>
      <c r="AM1026" s="838"/>
      <c r="AN1026" s="161" t="str">
        <f t="shared" ca="1" si="203"/>
        <v>TERMINO</v>
      </c>
      <c r="AO1026" s="414"/>
      <c r="AP1026" s="406"/>
      <c r="AQ1026" s="819" t="str">
        <f>IFERROR(VLOOKUP(E1026,'liquidaciones '!$B$2:$C$1048576,2,0),"NO")</f>
        <v>NO</v>
      </c>
      <c r="AR1026" s="909" t="str">
        <f>IFERROR(VLOOKUP(E1026,'liquidaciones '!$B$2:$I$1048576,8,0),"")</f>
        <v/>
      </c>
      <c r="AS1026" s="406"/>
      <c r="AT1026" s="156" t="str">
        <f t="shared" ca="1" si="204"/>
        <v>NO</v>
      </c>
      <c r="AU1026" s="1140"/>
      <c r="AV1026" s="1001"/>
      <c r="AX1026" s="928"/>
      <c r="AY1026" s="928"/>
    </row>
    <row r="1027" spans="3:51" x14ac:dyDescent="0.3">
      <c r="C1027" s="837"/>
      <c r="E1027" s="120"/>
      <c r="F1027" s="414"/>
      <c r="G1027" s="863"/>
      <c r="H1027" s="969"/>
      <c r="I1027" s="84"/>
      <c r="J1027" s="839"/>
      <c r="K1027" s="269"/>
      <c r="L1027" s="519"/>
      <c r="M1027" s="840"/>
      <c r="N1027" s="840"/>
      <c r="O1027" s="1099" t="str">
        <f>IF(+Modificaciones!I1027=0,"",VLOOKUP(E1027,Modificaciones!$B$7:$I$2400,8,0))</f>
        <v/>
      </c>
      <c r="P1027" s="115">
        <f>COUNTA(Modificaciones!J1027,Modificaciones!L1027,Modificaciones!N1027,Modificaciones!P1027)</f>
        <v>0</v>
      </c>
      <c r="Q1027" s="116">
        <f>VLOOKUP(E1027,Modificaciones!$B$7:$R$2300,17,0)</f>
        <v>0</v>
      </c>
      <c r="R1027" s="117">
        <f>COUNTA(Modificaciones!T1027,Modificaciones!V1027,Modificaciones!X1027,Modificaciones!Z1027)</f>
        <v>0</v>
      </c>
      <c r="S1027" s="118" t="str">
        <f>IF(Modificaciones!AA1027=0,"",VLOOKUP(E1027,Modificaciones!$B$7:$AA$2400,26,0))</f>
        <v/>
      </c>
      <c r="T1027" s="119" t="str">
        <f>IF(Modificaciones!AB1027=0,"",VLOOKUP(E1027,Modificaciones!$B$7:$AB$2400,27,0))</f>
        <v/>
      </c>
      <c r="U1027" s="1080" t="str">
        <f>+Modificaciones!AC1027</f>
        <v/>
      </c>
      <c r="V1027" s="825" t="str">
        <f>+Modificaciones!AK1027</f>
        <v/>
      </c>
      <c r="W1027" s="825">
        <f t="shared" si="195"/>
        <v>0</v>
      </c>
      <c r="X1027" s="59">
        <f t="shared" si="196"/>
        <v>0</v>
      </c>
      <c r="Y1027" s="151">
        <f>VLOOKUP(E1027,Modificaciones!$B$7:$BE$2300,56,0)</f>
        <v>0</v>
      </c>
      <c r="Z1027" s="84">
        <f t="shared" si="197"/>
        <v>0</v>
      </c>
      <c r="AA1027" s="1000"/>
      <c r="AB1027" s="823" t="e">
        <f t="shared" si="198"/>
        <v>#DIV/0!</v>
      </c>
      <c r="AC1027" s="40" t="e">
        <f t="shared" ca="1" si="199"/>
        <v>#DIV/0!</v>
      </c>
      <c r="AD1027" s="41" t="e">
        <f t="shared" ca="1" si="200"/>
        <v>#DIV/0!</v>
      </c>
      <c r="AE1027" s="181" t="e">
        <f t="shared" ca="1" si="201"/>
        <v>#DIV/0!</v>
      </c>
      <c r="AF1027" s="42" t="e">
        <f t="shared" si="202"/>
        <v>#DIV/0!</v>
      </c>
      <c r="AG1027" s="838"/>
      <c r="AH1027" s="841"/>
      <c r="AI1027" s="841"/>
      <c r="AJ1027" s="838"/>
      <c r="AL1027" s="838"/>
      <c r="AM1027" s="838"/>
      <c r="AN1027" s="161" t="str">
        <f t="shared" ca="1" si="203"/>
        <v>TERMINO</v>
      </c>
      <c r="AO1027" s="414"/>
      <c r="AP1027" s="406"/>
      <c r="AQ1027" s="819" t="str">
        <f>IFERROR(VLOOKUP(E1027,'liquidaciones '!$B$2:$C$1048576,2,0),"NO")</f>
        <v>NO</v>
      </c>
      <c r="AR1027" s="909" t="str">
        <f>IFERROR(VLOOKUP(E1027,'liquidaciones '!$B$2:$I$1048576,8,0),"")</f>
        <v/>
      </c>
      <c r="AS1027" s="406"/>
      <c r="AT1027" s="156" t="str">
        <f t="shared" ca="1" si="204"/>
        <v>NO</v>
      </c>
      <c r="AU1027" s="1140"/>
      <c r="AV1027" s="1001"/>
      <c r="AX1027" s="928"/>
      <c r="AY1027" s="928"/>
    </row>
    <row r="1028" spans="3:51" x14ac:dyDescent="0.3">
      <c r="C1028" s="837"/>
      <c r="E1028" s="120"/>
      <c r="F1028" s="414"/>
      <c r="G1028" s="863"/>
      <c r="H1028" s="969"/>
      <c r="I1028" s="84"/>
      <c r="J1028" s="839"/>
      <c r="K1028" s="269"/>
      <c r="L1028" s="519"/>
      <c r="M1028" s="840"/>
      <c r="N1028" s="840"/>
      <c r="O1028" s="1099" t="str">
        <f>IF(+Modificaciones!I1028=0,"",VLOOKUP(E1028,Modificaciones!$B$7:$I$2400,8,0))</f>
        <v/>
      </c>
      <c r="P1028" s="115">
        <f>COUNTA(Modificaciones!J1028,Modificaciones!L1028,Modificaciones!N1028,Modificaciones!P1028)</f>
        <v>0</v>
      </c>
      <c r="Q1028" s="116">
        <f>VLOOKUP(E1028,Modificaciones!$B$7:$R$2300,17,0)</f>
        <v>0</v>
      </c>
      <c r="R1028" s="117">
        <f>COUNTA(Modificaciones!T1028,Modificaciones!V1028,Modificaciones!X1028,Modificaciones!Z1028)</f>
        <v>0</v>
      </c>
      <c r="S1028" s="118" t="str">
        <f>IF(Modificaciones!AA1028=0,"",VLOOKUP(E1028,Modificaciones!$B$7:$AA$2400,26,0))</f>
        <v/>
      </c>
      <c r="T1028" s="119" t="str">
        <f>IF(Modificaciones!AB1028=0,"",VLOOKUP(E1028,Modificaciones!$B$7:$AB$2400,27,0))</f>
        <v/>
      </c>
      <c r="U1028" s="1080" t="str">
        <f>+Modificaciones!AC1028</f>
        <v/>
      </c>
      <c r="V1028" s="825" t="str">
        <f>+Modificaciones!AK1028</f>
        <v/>
      </c>
      <c r="W1028" s="825">
        <f t="shared" si="195"/>
        <v>0</v>
      </c>
      <c r="X1028" s="59">
        <f t="shared" si="196"/>
        <v>0</v>
      </c>
      <c r="Y1028" s="151">
        <f>VLOOKUP(E1028,Modificaciones!$B$7:$BE$2300,56,0)</f>
        <v>0</v>
      </c>
      <c r="Z1028" s="84">
        <f t="shared" si="197"/>
        <v>0</v>
      </c>
      <c r="AA1028" s="1000"/>
      <c r="AB1028" s="823" t="e">
        <f t="shared" si="198"/>
        <v>#DIV/0!</v>
      </c>
      <c r="AC1028" s="40" t="e">
        <f t="shared" ca="1" si="199"/>
        <v>#DIV/0!</v>
      </c>
      <c r="AD1028" s="41" t="e">
        <f t="shared" ca="1" si="200"/>
        <v>#DIV/0!</v>
      </c>
      <c r="AE1028" s="181" t="e">
        <f t="shared" ca="1" si="201"/>
        <v>#DIV/0!</v>
      </c>
      <c r="AF1028" s="42" t="e">
        <f t="shared" si="202"/>
        <v>#DIV/0!</v>
      </c>
      <c r="AG1028" s="838"/>
      <c r="AH1028" s="841"/>
      <c r="AI1028" s="841"/>
      <c r="AJ1028" s="838"/>
      <c r="AL1028" s="838"/>
      <c r="AM1028" s="838"/>
      <c r="AN1028" s="161" t="str">
        <f t="shared" ca="1" si="203"/>
        <v>TERMINO</v>
      </c>
      <c r="AO1028" s="414"/>
      <c r="AP1028" s="406"/>
      <c r="AQ1028" s="819" t="str">
        <f>IFERROR(VLOOKUP(E1028,'liquidaciones '!$B$2:$C$1048576,2,0),"NO")</f>
        <v>NO</v>
      </c>
      <c r="AR1028" s="909" t="str">
        <f>IFERROR(VLOOKUP(E1028,'liquidaciones '!$B$2:$I$1048576,8,0),"")</f>
        <v/>
      </c>
      <c r="AS1028" s="406"/>
      <c r="AT1028" s="156" t="str">
        <f t="shared" ca="1" si="204"/>
        <v>NO</v>
      </c>
      <c r="AU1028" s="1140"/>
      <c r="AV1028" s="1001"/>
      <c r="AX1028" s="928"/>
      <c r="AY1028" s="928"/>
    </row>
    <row r="1029" spans="3:51" x14ac:dyDescent="0.3">
      <c r="C1029" s="837"/>
      <c r="E1029" s="120"/>
      <c r="F1029" s="414"/>
      <c r="G1029" s="863"/>
      <c r="H1029" s="969"/>
      <c r="I1029" s="84"/>
      <c r="J1029" s="839"/>
      <c r="K1029" s="269"/>
      <c r="L1029" s="519"/>
      <c r="M1029" s="840"/>
      <c r="N1029" s="840"/>
      <c r="O1029" s="1099" t="str">
        <f>IF(+Modificaciones!I1029=0,"",VLOOKUP(E1029,Modificaciones!$B$7:$I$2400,8,0))</f>
        <v/>
      </c>
      <c r="P1029" s="115">
        <f>COUNTA(Modificaciones!J1029,Modificaciones!L1029,Modificaciones!N1029,Modificaciones!P1029)</f>
        <v>0</v>
      </c>
      <c r="Q1029" s="116">
        <f>VLOOKUP(E1029,Modificaciones!$B$7:$R$2300,17,0)</f>
        <v>0</v>
      </c>
      <c r="R1029" s="117">
        <f>COUNTA(Modificaciones!T1029,Modificaciones!V1029,Modificaciones!X1029,Modificaciones!Z1029)</f>
        <v>0</v>
      </c>
      <c r="S1029" s="118" t="str">
        <f>IF(Modificaciones!AA1029=0,"",VLOOKUP(E1029,Modificaciones!$B$7:$AA$2400,26,0))</f>
        <v/>
      </c>
      <c r="T1029" s="119" t="str">
        <f>IF(Modificaciones!AB1029=0,"",VLOOKUP(E1029,Modificaciones!$B$7:$AB$2400,27,0))</f>
        <v/>
      </c>
      <c r="U1029" s="1080" t="str">
        <f>+Modificaciones!AC1029</f>
        <v/>
      </c>
      <c r="V1029" s="825" t="str">
        <f>+Modificaciones!AK1029</f>
        <v/>
      </c>
      <c r="W1029" s="825">
        <f t="shared" si="195"/>
        <v>0</v>
      </c>
      <c r="X1029" s="59">
        <f t="shared" si="196"/>
        <v>0</v>
      </c>
      <c r="Y1029" s="151">
        <f>VLOOKUP(E1029,Modificaciones!$B$7:$BE$2300,56,0)</f>
        <v>0</v>
      </c>
      <c r="Z1029" s="84">
        <f t="shared" si="197"/>
        <v>0</v>
      </c>
      <c r="AA1029" s="1000"/>
      <c r="AB1029" s="823" t="e">
        <f t="shared" si="198"/>
        <v>#DIV/0!</v>
      </c>
      <c r="AC1029" s="40" t="e">
        <f t="shared" ca="1" si="199"/>
        <v>#DIV/0!</v>
      </c>
      <c r="AD1029" s="41" t="e">
        <f t="shared" ca="1" si="200"/>
        <v>#DIV/0!</v>
      </c>
      <c r="AE1029" s="181" t="e">
        <f t="shared" ca="1" si="201"/>
        <v>#DIV/0!</v>
      </c>
      <c r="AF1029" s="42" t="e">
        <f t="shared" si="202"/>
        <v>#DIV/0!</v>
      </c>
      <c r="AG1029" s="838"/>
      <c r="AH1029" s="841"/>
      <c r="AI1029" s="841"/>
      <c r="AJ1029" s="838"/>
      <c r="AL1029" s="838"/>
      <c r="AM1029" s="838"/>
      <c r="AN1029" s="161" t="str">
        <f t="shared" ca="1" si="203"/>
        <v>TERMINO</v>
      </c>
      <c r="AO1029" s="414"/>
      <c r="AP1029" s="406"/>
      <c r="AQ1029" s="819" t="str">
        <f>IFERROR(VLOOKUP(E1029,'liquidaciones '!$B$2:$C$1048576,2,0),"NO")</f>
        <v>NO</v>
      </c>
      <c r="AR1029" s="909" t="str">
        <f>IFERROR(VLOOKUP(E1029,'liquidaciones '!$B$2:$I$1048576,8,0),"")</f>
        <v/>
      </c>
      <c r="AS1029" s="406"/>
      <c r="AT1029" s="156" t="str">
        <f t="shared" ca="1" si="204"/>
        <v>NO</v>
      </c>
      <c r="AU1029" s="1140"/>
      <c r="AV1029" s="1001"/>
      <c r="AX1029" s="928"/>
      <c r="AY1029" s="928"/>
    </row>
    <row r="1030" spans="3:51" x14ac:dyDescent="0.3">
      <c r="C1030" s="837"/>
      <c r="E1030" s="120"/>
      <c r="F1030" s="414"/>
      <c r="G1030" s="863"/>
      <c r="H1030" s="969"/>
      <c r="I1030" s="84"/>
      <c r="J1030" s="839"/>
      <c r="K1030" s="269"/>
      <c r="L1030" s="519"/>
      <c r="M1030" s="840"/>
      <c r="N1030" s="840"/>
      <c r="O1030" s="1099" t="str">
        <f>IF(+Modificaciones!I1030=0,"",VLOOKUP(E1030,Modificaciones!$B$7:$I$2400,8,0))</f>
        <v/>
      </c>
      <c r="P1030" s="115">
        <f>COUNTA(Modificaciones!J1030,Modificaciones!L1030,Modificaciones!N1030,Modificaciones!P1030)</f>
        <v>0</v>
      </c>
      <c r="Q1030" s="116">
        <f>VLOOKUP(E1030,Modificaciones!$B$7:$R$2300,17,0)</f>
        <v>0</v>
      </c>
      <c r="R1030" s="117">
        <f>COUNTA(Modificaciones!T1030,Modificaciones!V1030,Modificaciones!X1030,Modificaciones!Z1030)</f>
        <v>0</v>
      </c>
      <c r="S1030" s="118" t="str">
        <f>IF(Modificaciones!AA1030=0,"",VLOOKUP(E1030,Modificaciones!$B$7:$AA$2400,26,0))</f>
        <v/>
      </c>
      <c r="T1030" s="119" t="str">
        <f>IF(Modificaciones!AB1030=0,"",VLOOKUP(E1030,Modificaciones!$B$7:$AB$2400,27,0))</f>
        <v/>
      </c>
      <c r="U1030" s="1080" t="str">
        <f>+Modificaciones!AC1030</f>
        <v/>
      </c>
      <c r="V1030" s="825" t="str">
        <f>+Modificaciones!AK1030</f>
        <v/>
      </c>
      <c r="W1030" s="825">
        <f t="shared" si="195"/>
        <v>0</v>
      </c>
      <c r="X1030" s="59">
        <f t="shared" si="196"/>
        <v>0</v>
      </c>
      <c r="Y1030" s="151">
        <f>VLOOKUP(E1030,Modificaciones!$B$7:$BE$2300,56,0)</f>
        <v>0</v>
      </c>
      <c r="Z1030" s="84">
        <f t="shared" si="197"/>
        <v>0</v>
      </c>
      <c r="AA1030" s="1000"/>
      <c r="AB1030" s="823" t="e">
        <f t="shared" si="198"/>
        <v>#DIV/0!</v>
      </c>
      <c r="AC1030" s="40" t="e">
        <f t="shared" ca="1" si="199"/>
        <v>#DIV/0!</v>
      </c>
      <c r="AD1030" s="41" t="e">
        <f t="shared" ca="1" si="200"/>
        <v>#DIV/0!</v>
      </c>
      <c r="AE1030" s="181" t="e">
        <f t="shared" ca="1" si="201"/>
        <v>#DIV/0!</v>
      </c>
      <c r="AF1030" s="42" t="e">
        <f t="shared" si="202"/>
        <v>#DIV/0!</v>
      </c>
      <c r="AG1030" s="838"/>
      <c r="AH1030" s="841"/>
      <c r="AI1030" s="841"/>
      <c r="AJ1030" s="838"/>
      <c r="AL1030" s="838"/>
      <c r="AM1030" s="838"/>
      <c r="AN1030" s="161" t="str">
        <f t="shared" ca="1" si="203"/>
        <v>TERMINO</v>
      </c>
      <c r="AO1030" s="414"/>
      <c r="AP1030" s="406"/>
      <c r="AQ1030" s="819" t="str">
        <f>IFERROR(VLOOKUP(E1030,'liquidaciones '!$B$2:$C$1048576,2,0),"NO")</f>
        <v>NO</v>
      </c>
      <c r="AR1030" s="909" t="str">
        <f>IFERROR(VLOOKUP(E1030,'liquidaciones '!$B$2:$I$1048576,8,0),"")</f>
        <v/>
      </c>
      <c r="AS1030" s="406"/>
      <c r="AT1030" s="156" t="str">
        <f t="shared" ca="1" si="204"/>
        <v>NO</v>
      </c>
      <c r="AU1030" s="1140"/>
      <c r="AV1030" s="1001"/>
      <c r="AX1030" s="928"/>
      <c r="AY1030" s="928"/>
    </row>
    <row r="1031" spans="3:51" x14ac:dyDescent="0.3">
      <c r="C1031" s="837"/>
      <c r="E1031" s="120"/>
      <c r="F1031" s="414"/>
      <c r="G1031" s="863"/>
      <c r="H1031" s="969"/>
      <c r="I1031" s="84"/>
      <c r="J1031" s="839"/>
      <c r="K1031" s="269"/>
      <c r="L1031" s="519"/>
      <c r="M1031" s="840"/>
      <c r="N1031" s="840"/>
      <c r="O1031" s="1099" t="str">
        <f>IF(+Modificaciones!I1031=0,"",VLOOKUP(E1031,Modificaciones!$B$7:$I$2400,8,0))</f>
        <v/>
      </c>
      <c r="P1031" s="115">
        <f>COUNTA(Modificaciones!J1031,Modificaciones!L1031,Modificaciones!N1031,Modificaciones!P1031)</f>
        <v>0</v>
      </c>
      <c r="Q1031" s="116">
        <f>VLOOKUP(E1031,Modificaciones!$B$7:$R$2300,17,0)</f>
        <v>0</v>
      </c>
      <c r="R1031" s="117">
        <f>COUNTA(Modificaciones!T1031,Modificaciones!V1031,Modificaciones!X1031,Modificaciones!Z1031)</f>
        <v>0</v>
      </c>
      <c r="S1031" s="118" t="str">
        <f>IF(Modificaciones!AA1031=0,"",VLOOKUP(E1031,Modificaciones!$B$7:$AA$2400,26,0))</f>
        <v/>
      </c>
      <c r="T1031" s="119" t="str">
        <f>IF(Modificaciones!AB1031=0,"",VLOOKUP(E1031,Modificaciones!$B$7:$AB$2400,27,0))</f>
        <v/>
      </c>
      <c r="U1031" s="1080" t="str">
        <f>+Modificaciones!AC1031</f>
        <v/>
      </c>
      <c r="V1031" s="825" t="str">
        <f>+Modificaciones!AK1031</f>
        <v/>
      </c>
      <c r="W1031" s="825">
        <f t="shared" si="195"/>
        <v>0</v>
      </c>
      <c r="X1031" s="59">
        <f t="shared" si="196"/>
        <v>0</v>
      </c>
      <c r="Y1031" s="151">
        <f>VLOOKUP(E1031,Modificaciones!$B$7:$BE$2300,56,0)</f>
        <v>0</v>
      </c>
      <c r="Z1031" s="84">
        <f t="shared" si="197"/>
        <v>0</v>
      </c>
      <c r="AA1031" s="1000"/>
      <c r="AB1031" s="823" t="e">
        <f t="shared" si="198"/>
        <v>#DIV/0!</v>
      </c>
      <c r="AC1031" s="40" t="e">
        <f t="shared" ca="1" si="199"/>
        <v>#DIV/0!</v>
      </c>
      <c r="AD1031" s="41" t="e">
        <f t="shared" ca="1" si="200"/>
        <v>#DIV/0!</v>
      </c>
      <c r="AE1031" s="181" t="e">
        <f t="shared" ca="1" si="201"/>
        <v>#DIV/0!</v>
      </c>
      <c r="AF1031" s="42" t="e">
        <f t="shared" si="202"/>
        <v>#DIV/0!</v>
      </c>
      <c r="AG1031" s="838"/>
      <c r="AH1031" s="841"/>
      <c r="AI1031" s="841"/>
      <c r="AJ1031" s="838"/>
      <c r="AL1031" s="838"/>
      <c r="AM1031" s="838"/>
      <c r="AN1031" s="161" t="str">
        <f t="shared" ca="1" si="203"/>
        <v>TERMINO</v>
      </c>
      <c r="AO1031" s="414"/>
      <c r="AP1031" s="406"/>
      <c r="AQ1031" s="819" t="str">
        <f>IFERROR(VLOOKUP(E1031,'liquidaciones '!$B$2:$C$1048576,2,0),"NO")</f>
        <v>NO</v>
      </c>
      <c r="AR1031" s="909" t="str">
        <f>IFERROR(VLOOKUP(E1031,'liquidaciones '!$B$2:$I$1048576,8,0),"")</f>
        <v/>
      </c>
      <c r="AS1031" s="406"/>
      <c r="AT1031" s="156" t="str">
        <f t="shared" ca="1" si="204"/>
        <v>NO</v>
      </c>
      <c r="AU1031" s="1140"/>
      <c r="AV1031" s="1001"/>
      <c r="AX1031" s="928"/>
      <c r="AY1031" s="928"/>
    </row>
    <row r="1032" spans="3:51" x14ac:dyDescent="0.3">
      <c r="C1032" s="837"/>
      <c r="E1032" s="120"/>
      <c r="F1032" s="414"/>
      <c r="G1032" s="863"/>
      <c r="H1032" s="969"/>
      <c r="I1032" s="84"/>
      <c r="J1032" s="839"/>
      <c r="K1032" s="269"/>
      <c r="L1032" s="519"/>
      <c r="M1032" s="840"/>
      <c r="N1032" s="840"/>
      <c r="O1032" s="1099" t="str">
        <f>IF(+Modificaciones!I1032=0,"",VLOOKUP(E1032,Modificaciones!$B$7:$I$2400,8,0))</f>
        <v/>
      </c>
      <c r="P1032" s="115">
        <f>COUNTA(Modificaciones!J1032,Modificaciones!L1032,Modificaciones!N1032,Modificaciones!P1032)</f>
        <v>0</v>
      </c>
      <c r="Q1032" s="116">
        <f>VLOOKUP(E1032,Modificaciones!$B$7:$R$2300,17,0)</f>
        <v>0</v>
      </c>
      <c r="R1032" s="117">
        <f>COUNTA(Modificaciones!T1032,Modificaciones!V1032,Modificaciones!X1032,Modificaciones!Z1032)</f>
        <v>0</v>
      </c>
      <c r="S1032" s="118" t="str">
        <f>IF(Modificaciones!AA1032=0,"",VLOOKUP(E1032,Modificaciones!$B$7:$AA$2400,26,0))</f>
        <v/>
      </c>
      <c r="T1032" s="119" t="str">
        <f>IF(Modificaciones!AB1032=0,"",VLOOKUP(E1032,Modificaciones!$B$7:$AB$2400,27,0))</f>
        <v/>
      </c>
      <c r="U1032" s="1080" t="str">
        <f>+Modificaciones!AC1032</f>
        <v/>
      </c>
      <c r="V1032" s="825" t="str">
        <f>+Modificaciones!AK1032</f>
        <v/>
      </c>
      <c r="W1032" s="825">
        <f t="shared" si="195"/>
        <v>0</v>
      </c>
      <c r="X1032" s="59">
        <f t="shared" si="196"/>
        <v>0</v>
      </c>
      <c r="Y1032" s="151">
        <f>VLOOKUP(E1032,Modificaciones!$B$7:$BE$2300,56,0)</f>
        <v>0</v>
      </c>
      <c r="Z1032" s="84">
        <f t="shared" si="197"/>
        <v>0</v>
      </c>
      <c r="AA1032" s="1000"/>
      <c r="AB1032" s="823" t="e">
        <f t="shared" si="198"/>
        <v>#DIV/0!</v>
      </c>
      <c r="AC1032" s="40" t="e">
        <f t="shared" ca="1" si="199"/>
        <v>#DIV/0!</v>
      </c>
      <c r="AD1032" s="41" t="e">
        <f t="shared" ca="1" si="200"/>
        <v>#DIV/0!</v>
      </c>
      <c r="AE1032" s="181" t="e">
        <f t="shared" ca="1" si="201"/>
        <v>#DIV/0!</v>
      </c>
      <c r="AF1032" s="42" t="e">
        <f t="shared" si="202"/>
        <v>#DIV/0!</v>
      </c>
      <c r="AG1032" s="838"/>
      <c r="AH1032" s="841"/>
      <c r="AI1032" s="841"/>
      <c r="AJ1032" s="838"/>
      <c r="AL1032" s="838"/>
      <c r="AM1032" s="838"/>
      <c r="AN1032" s="161" t="str">
        <f t="shared" ca="1" si="203"/>
        <v>TERMINO</v>
      </c>
      <c r="AO1032" s="414"/>
      <c r="AP1032" s="406"/>
      <c r="AQ1032" s="819" t="str">
        <f>IFERROR(VLOOKUP(E1032,'liquidaciones '!$B$2:$C$1048576,2,0),"NO")</f>
        <v>NO</v>
      </c>
      <c r="AR1032" s="909" t="str">
        <f>IFERROR(VLOOKUP(E1032,'liquidaciones '!$B$2:$I$1048576,8,0),"")</f>
        <v/>
      </c>
      <c r="AS1032" s="406"/>
      <c r="AT1032" s="156" t="str">
        <f t="shared" ca="1" si="204"/>
        <v>NO</v>
      </c>
      <c r="AU1032" s="1140"/>
      <c r="AV1032" s="1001"/>
      <c r="AX1032" s="928"/>
      <c r="AY1032" s="928"/>
    </row>
    <row r="1033" spans="3:51" x14ac:dyDescent="0.3">
      <c r="C1033" s="837"/>
      <c r="E1033" s="120"/>
      <c r="F1033" s="414"/>
      <c r="G1033" s="863"/>
      <c r="H1033" s="969"/>
      <c r="I1033" s="84"/>
      <c r="J1033" s="839"/>
      <c r="K1033" s="269"/>
      <c r="L1033" s="519"/>
      <c r="M1033" s="840"/>
      <c r="N1033" s="840"/>
      <c r="O1033" s="1099" t="str">
        <f>IF(+Modificaciones!I1033=0,"",VLOOKUP(E1033,Modificaciones!$B$7:$I$2400,8,0))</f>
        <v/>
      </c>
      <c r="P1033" s="115">
        <f>COUNTA(Modificaciones!J1033,Modificaciones!L1033,Modificaciones!N1033,Modificaciones!P1033)</f>
        <v>0</v>
      </c>
      <c r="Q1033" s="116">
        <f>VLOOKUP(E1033,Modificaciones!$B$7:$R$2300,17,0)</f>
        <v>0</v>
      </c>
      <c r="R1033" s="117">
        <f>COUNTA(Modificaciones!T1033,Modificaciones!V1033,Modificaciones!X1033,Modificaciones!Z1033)</f>
        <v>0</v>
      </c>
      <c r="S1033" s="118" t="str">
        <f>IF(Modificaciones!AA1033=0,"",VLOOKUP(E1033,Modificaciones!$B$7:$AA$2400,26,0))</f>
        <v/>
      </c>
      <c r="T1033" s="119" t="str">
        <f>IF(Modificaciones!AB1033=0,"",VLOOKUP(E1033,Modificaciones!$B$7:$AB$2400,27,0))</f>
        <v/>
      </c>
      <c r="U1033" s="1080" t="str">
        <f>+Modificaciones!AC1033</f>
        <v/>
      </c>
      <c r="V1033" s="825" t="str">
        <f>+Modificaciones!AK1033</f>
        <v/>
      </c>
      <c r="W1033" s="825">
        <f t="shared" si="195"/>
        <v>0</v>
      </c>
      <c r="X1033" s="59">
        <f t="shared" si="196"/>
        <v>0</v>
      </c>
      <c r="Y1033" s="151">
        <f>VLOOKUP(E1033,Modificaciones!$B$7:$BE$2300,56,0)</f>
        <v>0</v>
      </c>
      <c r="Z1033" s="84">
        <f t="shared" si="197"/>
        <v>0</v>
      </c>
      <c r="AA1033" s="1000"/>
      <c r="AB1033" s="823" t="e">
        <f t="shared" si="198"/>
        <v>#DIV/0!</v>
      </c>
      <c r="AC1033" s="40" t="e">
        <f t="shared" ca="1" si="199"/>
        <v>#DIV/0!</v>
      </c>
      <c r="AD1033" s="41" t="e">
        <f t="shared" ca="1" si="200"/>
        <v>#DIV/0!</v>
      </c>
      <c r="AE1033" s="181" t="e">
        <f t="shared" ca="1" si="201"/>
        <v>#DIV/0!</v>
      </c>
      <c r="AF1033" s="42" t="e">
        <f t="shared" si="202"/>
        <v>#DIV/0!</v>
      </c>
      <c r="AG1033" s="838"/>
      <c r="AH1033" s="841"/>
      <c r="AI1033" s="841"/>
      <c r="AJ1033" s="838"/>
      <c r="AL1033" s="838"/>
      <c r="AM1033" s="838"/>
      <c r="AN1033" s="161" t="str">
        <f t="shared" ca="1" si="203"/>
        <v>TERMINO</v>
      </c>
      <c r="AO1033" s="414"/>
      <c r="AP1033" s="406"/>
      <c r="AQ1033" s="819" t="str">
        <f>IFERROR(VLOOKUP(E1033,'liquidaciones '!$B$2:$C$1048576,2,0),"NO")</f>
        <v>NO</v>
      </c>
      <c r="AR1033" s="909" t="str">
        <f>IFERROR(VLOOKUP(E1033,'liquidaciones '!$B$2:$I$1048576,8,0),"")</f>
        <v/>
      </c>
      <c r="AS1033" s="406"/>
      <c r="AT1033" s="156" t="str">
        <f t="shared" ca="1" si="204"/>
        <v>NO</v>
      </c>
      <c r="AU1033" s="1140"/>
      <c r="AV1033" s="1001"/>
      <c r="AX1033" s="928"/>
      <c r="AY1033" s="928"/>
    </row>
    <row r="1034" spans="3:51" x14ac:dyDescent="0.3">
      <c r="C1034" s="837"/>
      <c r="E1034" s="120"/>
      <c r="F1034" s="414"/>
      <c r="G1034" s="863"/>
      <c r="H1034" s="969"/>
      <c r="I1034" s="84"/>
      <c r="J1034" s="839"/>
      <c r="K1034" s="269"/>
      <c r="L1034" s="519"/>
      <c r="M1034" s="840"/>
      <c r="N1034" s="840"/>
      <c r="O1034" s="1099" t="str">
        <f>IF(+Modificaciones!I1034=0,"",VLOOKUP(E1034,Modificaciones!$B$7:$I$2400,8,0))</f>
        <v/>
      </c>
      <c r="P1034" s="115">
        <f>COUNTA(Modificaciones!J1034,Modificaciones!L1034,Modificaciones!N1034,Modificaciones!P1034)</f>
        <v>0</v>
      </c>
      <c r="Q1034" s="116">
        <f>VLOOKUP(E1034,Modificaciones!$B$7:$R$2300,17,0)</f>
        <v>0</v>
      </c>
      <c r="R1034" s="117">
        <f>COUNTA(Modificaciones!T1034,Modificaciones!V1034,Modificaciones!X1034,Modificaciones!Z1034)</f>
        <v>0</v>
      </c>
      <c r="S1034" s="118" t="str">
        <f>IF(Modificaciones!AA1034=0,"",VLOOKUP(E1034,Modificaciones!$B$7:$AA$2400,26,0))</f>
        <v/>
      </c>
      <c r="T1034" s="119" t="str">
        <f>IF(Modificaciones!AB1034=0,"",VLOOKUP(E1034,Modificaciones!$B$7:$AB$2400,27,0))</f>
        <v/>
      </c>
      <c r="U1034" s="1080" t="str">
        <f>+Modificaciones!AC1034</f>
        <v/>
      </c>
      <c r="V1034" s="825" t="str">
        <f>+Modificaciones!AK1034</f>
        <v/>
      </c>
      <c r="W1034" s="825">
        <f t="shared" si="195"/>
        <v>0</v>
      </c>
      <c r="X1034" s="59">
        <f t="shared" si="196"/>
        <v>0</v>
      </c>
      <c r="Y1034" s="151">
        <f>VLOOKUP(E1034,Modificaciones!$B$7:$BE$2300,56,0)</f>
        <v>0</v>
      </c>
      <c r="Z1034" s="84">
        <f t="shared" si="197"/>
        <v>0</v>
      </c>
      <c r="AA1034" s="1000"/>
      <c r="AB1034" s="823" t="e">
        <f t="shared" si="198"/>
        <v>#DIV/0!</v>
      </c>
      <c r="AC1034" s="40" t="e">
        <f t="shared" ca="1" si="199"/>
        <v>#DIV/0!</v>
      </c>
      <c r="AD1034" s="41" t="e">
        <f t="shared" ca="1" si="200"/>
        <v>#DIV/0!</v>
      </c>
      <c r="AE1034" s="181" t="e">
        <f t="shared" ca="1" si="201"/>
        <v>#DIV/0!</v>
      </c>
      <c r="AF1034" s="42" t="e">
        <f t="shared" si="202"/>
        <v>#DIV/0!</v>
      </c>
      <c r="AG1034" s="838"/>
      <c r="AH1034" s="841"/>
      <c r="AI1034" s="841"/>
      <c r="AJ1034" s="838"/>
      <c r="AL1034" s="838"/>
      <c r="AM1034" s="838"/>
      <c r="AN1034" s="161" t="str">
        <f t="shared" ca="1" si="203"/>
        <v>TERMINO</v>
      </c>
      <c r="AO1034" s="414"/>
      <c r="AP1034" s="406"/>
      <c r="AQ1034" s="819" t="str">
        <f>IFERROR(VLOOKUP(E1034,'liquidaciones '!$B$2:$C$1048576,2,0),"NO")</f>
        <v>NO</v>
      </c>
      <c r="AR1034" s="909" t="str">
        <f>IFERROR(VLOOKUP(E1034,'liquidaciones '!$B$2:$I$1048576,8,0),"")</f>
        <v/>
      </c>
      <c r="AS1034" s="406"/>
      <c r="AT1034" s="156" t="str">
        <f t="shared" ca="1" si="204"/>
        <v>NO</v>
      </c>
      <c r="AU1034" s="1140"/>
      <c r="AV1034" s="1001"/>
      <c r="AX1034" s="928"/>
      <c r="AY1034" s="928"/>
    </row>
    <row r="1035" spans="3:51" x14ac:dyDescent="0.3">
      <c r="C1035" s="837"/>
      <c r="E1035" s="120"/>
      <c r="F1035" s="414"/>
      <c r="G1035" s="863"/>
      <c r="H1035" s="969"/>
      <c r="I1035" s="84"/>
      <c r="J1035" s="839"/>
      <c r="K1035" s="269"/>
      <c r="L1035" s="519"/>
      <c r="M1035" s="840"/>
      <c r="N1035" s="840"/>
      <c r="O1035" s="1099" t="str">
        <f>IF(+Modificaciones!I1035=0,"",VLOOKUP(E1035,Modificaciones!$B$7:$I$2400,8,0))</f>
        <v/>
      </c>
      <c r="P1035" s="115">
        <f>COUNTA(Modificaciones!J1035,Modificaciones!L1035,Modificaciones!N1035,Modificaciones!P1035)</f>
        <v>0</v>
      </c>
      <c r="Q1035" s="116">
        <f>VLOOKUP(E1035,Modificaciones!$B$7:$R$2300,17,0)</f>
        <v>0</v>
      </c>
      <c r="R1035" s="117">
        <f>COUNTA(Modificaciones!T1035,Modificaciones!V1035,Modificaciones!X1035,Modificaciones!Z1035)</f>
        <v>0</v>
      </c>
      <c r="S1035" s="118" t="str">
        <f>IF(Modificaciones!AA1035=0,"",VLOOKUP(E1035,Modificaciones!$B$7:$AA$2400,26,0))</f>
        <v/>
      </c>
      <c r="T1035" s="119" t="str">
        <f>IF(Modificaciones!AB1035=0,"",VLOOKUP(E1035,Modificaciones!$B$7:$AB$2400,27,0))</f>
        <v/>
      </c>
      <c r="U1035" s="1080" t="str">
        <f>+Modificaciones!AC1035</f>
        <v/>
      </c>
      <c r="V1035" s="825" t="str">
        <f>+Modificaciones!AK1035</f>
        <v/>
      </c>
      <c r="W1035" s="825">
        <f t="shared" si="195"/>
        <v>0</v>
      </c>
      <c r="X1035" s="59">
        <f t="shared" si="196"/>
        <v>0</v>
      </c>
      <c r="Y1035" s="151">
        <f>VLOOKUP(E1035,Modificaciones!$B$7:$BE$2300,56,0)</f>
        <v>0</v>
      </c>
      <c r="Z1035" s="84">
        <f t="shared" si="197"/>
        <v>0</v>
      </c>
      <c r="AA1035" s="1000"/>
      <c r="AB1035" s="823" t="e">
        <f t="shared" si="198"/>
        <v>#DIV/0!</v>
      </c>
      <c r="AC1035" s="40" t="e">
        <f t="shared" ca="1" si="199"/>
        <v>#DIV/0!</v>
      </c>
      <c r="AD1035" s="41" t="e">
        <f t="shared" ca="1" si="200"/>
        <v>#DIV/0!</v>
      </c>
      <c r="AE1035" s="181" t="e">
        <f t="shared" ca="1" si="201"/>
        <v>#DIV/0!</v>
      </c>
      <c r="AF1035" s="42" t="e">
        <f t="shared" si="202"/>
        <v>#DIV/0!</v>
      </c>
      <c r="AG1035" s="838"/>
      <c r="AH1035" s="841"/>
      <c r="AI1035" s="841"/>
      <c r="AJ1035" s="838"/>
      <c r="AL1035" s="838"/>
      <c r="AM1035" s="838"/>
      <c r="AN1035" s="161" t="str">
        <f t="shared" ca="1" si="203"/>
        <v>TERMINO</v>
      </c>
      <c r="AO1035" s="414"/>
      <c r="AP1035" s="406"/>
      <c r="AQ1035" s="819" t="str">
        <f>IFERROR(VLOOKUP(E1035,'liquidaciones '!$B$2:$C$1048576,2,0),"NO")</f>
        <v>NO</v>
      </c>
      <c r="AR1035" s="909" t="str">
        <f>IFERROR(VLOOKUP(E1035,'liquidaciones '!$B$2:$I$1048576,8,0),"")</f>
        <v/>
      </c>
      <c r="AS1035" s="406"/>
      <c r="AT1035" s="156" t="str">
        <f t="shared" ca="1" si="204"/>
        <v>NO</v>
      </c>
      <c r="AU1035" s="1140"/>
      <c r="AV1035" s="1001"/>
      <c r="AX1035" s="928"/>
      <c r="AY1035" s="928"/>
    </row>
    <row r="1036" spans="3:51" x14ac:dyDescent="0.3">
      <c r="C1036" s="837"/>
      <c r="E1036" s="120"/>
      <c r="F1036" s="414"/>
      <c r="G1036" s="863"/>
      <c r="H1036" s="969"/>
      <c r="I1036" s="84"/>
      <c r="J1036" s="839"/>
      <c r="K1036" s="269"/>
      <c r="L1036" s="519"/>
      <c r="M1036" s="840"/>
      <c r="N1036" s="840"/>
      <c r="O1036" s="1099" t="str">
        <f>IF(+Modificaciones!I1036=0,"",VLOOKUP(E1036,Modificaciones!$B$7:$I$2400,8,0))</f>
        <v/>
      </c>
      <c r="P1036" s="115">
        <f>COUNTA(Modificaciones!J1036,Modificaciones!L1036,Modificaciones!N1036,Modificaciones!P1036)</f>
        <v>0</v>
      </c>
      <c r="Q1036" s="116">
        <f>VLOOKUP(E1036,Modificaciones!$B$7:$R$2300,17,0)</f>
        <v>0</v>
      </c>
      <c r="R1036" s="117">
        <f>COUNTA(Modificaciones!T1036,Modificaciones!V1036,Modificaciones!X1036,Modificaciones!Z1036)</f>
        <v>0</v>
      </c>
      <c r="S1036" s="118" t="str">
        <f>IF(Modificaciones!AA1036=0,"",VLOOKUP(E1036,Modificaciones!$B$7:$AA$2400,26,0))</f>
        <v/>
      </c>
      <c r="T1036" s="119" t="str">
        <f>IF(Modificaciones!AB1036=0,"",VLOOKUP(E1036,Modificaciones!$B$7:$AB$2400,27,0))</f>
        <v/>
      </c>
      <c r="U1036" s="1080" t="str">
        <f>+Modificaciones!AC1036</f>
        <v/>
      </c>
      <c r="V1036" s="825" t="str">
        <f>+Modificaciones!AK1036</f>
        <v/>
      </c>
      <c r="W1036" s="825">
        <f t="shared" si="195"/>
        <v>0</v>
      </c>
      <c r="X1036" s="59">
        <f t="shared" si="196"/>
        <v>0</v>
      </c>
      <c r="Y1036" s="151">
        <f>VLOOKUP(E1036,Modificaciones!$B$7:$BE$2300,56,0)</f>
        <v>0</v>
      </c>
      <c r="Z1036" s="84">
        <f t="shared" si="197"/>
        <v>0</v>
      </c>
      <c r="AA1036" s="1000"/>
      <c r="AB1036" s="823" t="e">
        <f t="shared" si="198"/>
        <v>#DIV/0!</v>
      </c>
      <c r="AC1036" s="40" t="e">
        <f t="shared" ca="1" si="199"/>
        <v>#DIV/0!</v>
      </c>
      <c r="AD1036" s="41" t="e">
        <f t="shared" ca="1" si="200"/>
        <v>#DIV/0!</v>
      </c>
      <c r="AE1036" s="181" t="e">
        <f t="shared" ca="1" si="201"/>
        <v>#DIV/0!</v>
      </c>
      <c r="AF1036" s="42" t="e">
        <f t="shared" si="202"/>
        <v>#DIV/0!</v>
      </c>
      <c r="AG1036" s="838"/>
      <c r="AH1036" s="841"/>
      <c r="AI1036" s="841"/>
      <c r="AJ1036" s="838"/>
      <c r="AL1036" s="838"/>
      <c r="AM1036" s="838"/>
      <c r="AN1036" s="161" t="str">
        <f t="shared" ca="1" si="203"/>
        <v>TERMINO</v>
      </c>
      <c r="AO1036" s="414"/>
      <c r="AP1036" s="406"/>
      <c r="AQ1036" s="819" t="str">
        <f>IFERROR(VLOOKUP(E1036,'liquidaciones '!$B$2:$C$1048576,2,0),"NO")</f>
        <v>NO</v>
      </c>
      <c r="AR1036" s="909" t="str">
        <f>IFERROR(VLOOKUP(E1036,'liquidaciones '!$B$2:$I$1048576,8,0),"")</f>
        <v/>
      </c>
      <c r="AS1036" s="406"/>
      <c r="AT1036" s="156" t="str">
        <f t="shared" ca="1" si="204"/>
        <v>NO</v>
      </c>
      <c r="AU1036" s="1140"/>
      <c r="AV1036" s="1001"/>
      <c r="AX1036" s="928"/>
      <c r="AY1036" s="928"/>
    </row>
    <row r="1037" spans="3:51" x14ac:dyDescent="0.3">
      <c r="C1037" s="837"/>
      <c r="E1037" s="120"/>
      <c r="F1037" s="414"/>
      <c r="G1037" s="863"/>
      <c r="H1037" s="969"/>
      <c r="I1037" s="84"/>
      <c r="J1037" s="839"/>
      <c r="K1037" s="269"/>
      <c r="L1037" s="519"/>
      <c r="M1037" s="840"/>
      <c r="N1037" s="840"/>
      <c r="O1037" s="1099" t="str">
        <f>IF(+Modificaciones!I1037=0,"",VLOOKUP(E1037,Modificaciones!$B$7:$I$2400,8,0))</f>
        <v/>
      </c>
      <c r="P1037" s="115">
        <f>COUNTA(Modificaciones!J1037,Modificaciones!L1037,Modificaciones!N1037,Modificaciones!P1037)</f>
        <v>0</v>
      </c>
      <c r="Q1037" s="116">
        <f>VLOOKUP(E1037,Modificaciones!$B$7:$R$2300,17,0)</f>
        <v>0</v>
      </c>
      <c r="R1037" s="117">
        <f>COUNTA(Modificaciones!T1037,Modificaciones!V1037,Modificaciones!X1037,Modificaciones!Z1037)</f>
        <v>0</v>
      </c>
      <c r="S1037" s="118" t="str">
        <f>IF(Modificaciones!AA1037=0,"",VLOOKUP(E1037,Modificaciones!$B$7:$AA$2400,26,0))</f>
        <v/>
      </c>
      <c r="T1037" s="119" t="str">
        <f>IF(Modificaciones!AB1037=0,"",VLOOKUP(E1037,Modificaciones!$B$7:$AB$2400,27,0))</f>
        <v/>
      </c>
      <c r="U1037" s="1080" t="str">
        <f>+Modificaciones!AC1037</f>
        <v/>
      </c>
      <c r="V1037" s="825" t="str">
        <f>+Modificaciones!AK1037</f>
        <v/>
      </c>
      <c r="W1037" s="825">
        <f t="shared" si="195"/>
        <v>0</v>
      </c>
      <c r="X1037" s="59">
        <f t="shared" si="196"/>
        <v>0</v>
      </c>
      <c r="Y1037" s="151">
        <f>VLOOKUP(E1037,Modificaciones!$B$7:$BE$2300,56,0)</f>
        <v>0</v>
      </c>
      <c r="Z1037" s="84">
        <f t="shared" si="197"/>
        <v>0</v>
      </c>
      <c r="AA1037" s="1000"/>
      <c r="AB1037" s="823" t="e">
        <f t="shared" si="198"/>
        <v>#DIV/0!</v>
      </c>
      <c r="AC1037" s="40" t="e">
        <f t="shared" ca="1" si="199"/>
        <v>#DIV/0!</v>
      </c>
      <c r="AD1037" s="41" t="e">
        <f t="shared" ca="1" si="200"/>
        <v>#DIV/0!</v>
      </c>
      <c r="AE1037" s="181" t="e">
        <f t="shared" ca="1" si="201"/>
        <v>#DIV/0!</v>
      </c>
      <c r="AF1037" s="42" t="e">
        <f t="shared" si="202"/>
        <v>#DIV/0!</v>
      </c>
      <c r="AG1037" s="838"/>
      <c r="AH1037" s="841"/>
      <c r="AI1037" s="841"/>
      <c r="AJ1037" s="838"/>
      <c r="AL1037" s="838"/>
      <c r="AM1037" s="838"/>
      <c r="AN1037" s="161" t="str">
        <f t="shared" ca="1" si="203"/>
        <v>TERMINO</v>
      </c>
      <c r="AO1037" s="414"/>
      <c r="AP1037" s="406"/>
      <c r="AQ1037" s="819" t="str">
        <f>IFERROR(VLOOKUP(E1037,'liquidaciones '!$B$2:$C$1048576,2,0),"NO")</f>
        <v>NO</v>
      </c>
      <c r="AR1037" s="909" t="str">
        <f>IFERROR(VLOOKUP(E1037,'liquidaciones '!$B$2:$I$1048576,8,0),"")</f>
        <v/>
      </c>
      <c r="AS1037" s="406"/>
      <c r="AT1037" s="156" t="str">
        <f t="shared" ca="1" si="204"/>
        <v>NO</v>
      </c>
      <c r="AU1037" s="1140"/>
      <c r="AV1037" s="1001"/>
      <c r="AX1037" s="928"/>
      <c r="AY1037" s="928"/>
    </row>
    <row r="1038" spans="3:51" x14ac:dyDescent="0.3">
      <c r="C1038" s="837"/>
      <c r="E1038" s="120"/>
      <c r="F1038" s="414"/>
      <c r="G1038" s="863"/>
      <c r="H1038" s="969"/>
      <c r="I1038" s="84"/>
      <c r="J1038" s="839"/>
      <c r="K1038" s="269"/>
      <c r="L1038" s="519"/>
      <c r="M1038" s="840"/>
      <c r="N1038" s="840"/>
      <c r="O1038" s="1099" t="str">
        <f>IF(+Modificaciones!I1038=0,"",VLOOKUP(E1038,Modificaciones!$B$7:$I$2400,8,0))</f>
        <v/>
      </c>
      <c r="P1038" s="115">
        <f>COUNTA(Modificaciones!J1038,Modificaciones!L1038,Modificaciones!N1038,Modificaciones!P1038)</f>
        <v>0</v>
      </c>
      <c r="Q1038" s="116">
        <f>VLOOKUP(E1038,Modificaciones!$B$7:$R$2300,17,0)</f>
        <v>0</v>
      </c>
      <c r="R1038" s="117">
        <f>COUNTA(Modificaciones!T1038,Modificaciones!V1038,Modificaciones!X1038,Modificaciones!Z1038)</f>
        <v>0</v>
      </c>
      <c r="S1038" s="118" t="str">
        <f>IF(Modificaciones!AA1038=0,"",VLOOKUP(E1038,Modificaciones!$B$7:$AA$2400,26,0))</f>
        <v/>
      </c>
      <c r="T1038" s="119" t="str">
        <f>IF(Modificaciones!AB1038=0,"",VLOOKUP(E1038,Modificaciones!$B$7:$AB$2400,27,0))</f>
        <v/>
      </c>
      <c r="U1038" s="1080" t="str">
        <f>+Modificaciones!AC1038</f>
        <v/>
      </c>
      <c r="V1038" s="825" t="str">
        <f>+Modificaciones!AK1038</f>
        <v/>
      </c>
      <c r="W1038" s="825">
        <f t="shared" si="195"/>
        <v>0</v>
      </c>
      <c r="X1038" s="59">
        <f t="shared" si="196"/>
        <v>0</v>
      </c>
      <c r="Y1038" s="151">
        <f>VLOOKUP(E1038,Modificaciones!$B$7:$BE$2300,56,0)</f>
        <v>0</v>
      </c>
      <c r="Z1038" s="84">
        <f t="shared" si="197"/>
        <v>0</v>
      </c>
      <c r="AA1038" s="1000"/>
      <c r="AB1038" s="823" t="e">
        <f t="shared" si="198"/>
        <v>#DIV/0!</v>
      </c>
      <c r="AC1038" s="40" t="e">
        <f t="shared" ca="1" si="199"/>
        <v>#DIV/0!</v>
      </c>
      <c r="AD1038" s="41" t="e">
        <f t="shared" ca="1" si="200"/>
        <v>#DIV/0!</v>
      </c>
      <c r="AE1038" s="181" t="e">
        <f t="shared" ca="1" si="201"/>
        <v>#DIV/0!</v>
      </c>
      <c r="AF1038" s="42" t="e">
        <f t="shared" si="202"/>
        <v>#DIV/0!</v>
      </c>
      <c r="AG1038" s="838"/>
      <c r="AH1038" s="841"/>
      <c r="AI1038" s="841"/>
      <c r="AJ1038" s="838"/>
      <c r="AL1038" s="838"/>
      <c r="AM1038" s="838"/>
      <c r="AN1038" s="161" t="str">
        <f t="shared" ca="1" si="203"/>
        <v>TERMINO</v>
      </c>
      <c r="AO1038" s="414"/>
      <c r="AP1038" s="406"/>
      <c r="AQ1038" s="819" t="str">
        <f>IFERROR(VLOOKUP(E1038,'liquidaciones '!$B$2:$C$1048576,2,0),"NO")</f>
        <v>NO</v>
      </c>
      <c r="AR1038" s="909" t="str">
        <f>IFERROR(VLOOKUP(E1038,'liquidaciones '!$B$2:$I$1048576,8,0),"")</f>
        <v/>
      </c>
      <c r="AS1038" s="406"/>
      <c r="AT1038" s="156" t="str">
        <f t="shared" ca="1" si="204"/>
        <v>NO</v>
      </c>
      <c r="AU1038" s="1140"/>
      <c r="AV1038" s="1001"/>
      <c r="AX1038" s="928"/>
      <c r="AY1038" s="928"/>
    </row>
    <row r="1039" spans="3:51" x14ac:dyDescent="0.3">
      <c r="C1039" s="837"/>
      <c r="E1039" s="120"/>
      <c r="F1039" s="414"/>
      <c r="G1039" s="863"/>
      <c r="H1039" s="969"/>
      <c r="I1039" s="84"/>
      <c r="J1039" s="839"/>
      <c r="K1039" s="269"/>
      <c r="L1039" s="519"/>
      <c r="M1039" s="840"/>
      <c r="N1039" s="840"/>
      <c r="O1039" s="1099" t="str">
        <f>IF(+Modificaciones!I1039=0,"",VLOOKUP(E1039,Modificaciones!$B$7:$I$2400,8,0))</f>
        <v/>
      </c>
      <c r="P1039" s="115">
        <f>COUNTA(Modificaciones!J1039,Modificaciones!L1039,Modificaciones!N1039,Modificaciones!P1039)</f>
        <v>0</v>
      </c>
      <c r="Q1039" s="116">
        <f>VLOOKUP(E1039,Modificaciones!$B$7:$R$2300,17,0)</f>
        <v>0</v>
      </c>
      <c r="R1039" s="117">
        <f>COUNTA(Modificaciones!T1039,Modificaciones!V1039,Modificaciones!X1039,Modificaciones!Z1039)</f>
        <v>0</v>
      </c>
      <c r="S1039" s="118" t="str">
        <f>IF(Modificaciones!AA1039=0,"",VLOOKUP(E1039,Modificaciones!$B$7:$AA$2400,26,0))</f>
        <v/>
      </c>
      <c r="T1039" s="119" t="str">
        <f>IF(Modificaciones!AB1039=0,"",VLOOKUP(E1039,Modificaciones!$B$7:$AB$2400,27,0))</f>
        <v/>
      </c>
      <c r="U1039" s="1080" t="str">
        <f>+Modificaciones!AC1039</f>
        <v/>
      </c>
      <c r="V1039" s="825" t="str">
        <f>+Modificaciones!AK1039</f>
        <v/>
      </c>
      <c r="W1039" s="825">
        <f t="shared" si="195"/>
        <v>0</v>
      </c>
      <c r="X1039" s="59">
        <f t="shared" si="196"/>
        <v>0</v>
      </c>
      <c r="Y1039" s="151">
        <f>VLOOKUP(E1039,Modificaciones!$B$7:$BE$2300,56,0)</f>
        <v>0</v>
      </c>
      <c r="Z1039" s="84">
        <f t="shared" si="197"/>
        <v>0</v>
      </c>
      <c r="AA1039" s="1000"/>
      <c r="AB1039" s="823" t="e">
        <f t="shared" si="198"/>
        <v>#DIV/0!</v>
      </c>
      <c r="AC1039" s="40" t="e">
        <f t="shared" ca="1" si="199"/>
        <v>#DIV/0!</v>
      </c>
      <c r="AD1039" s="41" t="e">
        <f t="shared" ca="1" si="200"/>
        <v>#DIV/0!</v>
      </c>
      <c r="AE1039" s="181" t="e">
        <f t="shared" ca="1" si="201"/>
        <v>#DIV/0!</v>
      </c>
      <c r="AF1039" s="42" t="e">
        <f t="shared" si="202"/>
        <v>#DIV/0!</v>
      </c>
      <c r="AG1039" s="838"/>
      <c r="AH1039" s="841"/>
      <c r="AI1039" s="841"/>
      <c r="AJ1039" s="838"/>
      <c r="AL1039" s="838"/>
      <c r="AM1039" s="838"/>
      <c r="AN1039" s="161" t="str">
        <f t="shared" ca="1" si="203"/>
        <v>TERMINO</v>
      </c>
      <c r="AO1039" s="414"/>
      <c r="AP1039" s="406"/>
      <c r="AQ1039" s="819" t="str">
        <f>IFERROR(VLOOKUP(E1039,'liquidaciones '!$B$2:$C$1048576,2,0),"NO")</f>
        <v>NO</v>
      </c>
      <c r="AR1039" s="909" t="str">
        <f>IFERROR(VLOOKUP(E1039,'liquidaciones '!$B$2:$I$1048576,8,0),"")</f>
        <v/>
      </c>
      <c r="AS1039" s="406"/>
      <c r="AT1039" s="156" t="str">
        <f t="shared" ca="1" si="204"/>
        <v>NO</v>
      </c>
      <c r="AU1039" s="1140"/>
      <c r="AV1039" s="1001"/>
      <c r="AX1039" s="928"/>
      <c r="AY1039" s="928"/>
    </row>
    <row r="1040" spans="3:51" x14ac:dyDescent="0.3">
      <c r="C1040" s="837"/>
      <c r="E1040" s="120"/>
      <c r="F1040" s="414"/>
      <c r="G1040" s="863"/>
      <c r="H1040" s="969"/>
      <c r="I1040" s="84"/>
      <c r="J1040" s="839"/>
      <c r="K1040" s="269"/>
      <c r="L1040" s="519"/>
      <c r="M1040" s="840"/>
      <c r="N1040" s="840"/>
      <c r="O1040" s="1099" t="str">
        <f>IF(+Modificaciones!I1040=0,"",VLOOKUP(E1040,Modificaciones!$B$7:$I$2400,8,0))</f>
        <v/>
      </c>
      <c r="P1040" s="115">
        <f>COUNTA(Modificaciones!J1040,Modificaciones!L1040,Modificaciones!N1040,Modificaciones!P1040)</f>
        <v>0</v>
      </c>
      <c r="Q1040" s="116">
        <f>VLOOKUP(E1040,Modificaciones!$B$7:$R$2300,17,0)</f>
        <v>0</v>
      </c>
      <c r="R1040" s="117">
        <f>COUNTA(Modificaciones!T1040,Modificaciones!V1040,Modificaciones!X1040,Modificaciones!Z1040)</f>
        <v>0</v>
      </c>
      <c r="S1040" s="118" t="str">
        <f>IF(Modificaciones!AA1040=0,"",VLOOKUP(E1040,Modificaciones!$B$7:$AA$2400,26,0))</f>
        <v/>
      </c>
      <c r="T1040" s="119" t="str">
        <f>IF(Modificaciones!AB1040=0,"",VLOOKUP(E1040,Modificaciones!$B$7:$AB$2400,27,0))</f>
        <v/>
      </c>
      <c r="U1040" s="1080" t="str">
        <f>+Modificaciones!AC1040</f>
        <v/>
      </c>
      <c r="V1040" s="825" t="str">
        <f>+Modificaciones!AK1040</f>
        <v/>
      </c>
      <c r="W1040" s="825">
        <f t="shared" si="195"/>
        <v>0</v>
      </c>
      <c r="X1040" s="59">
        <f t="shared" si="196"/>
        <v>0</v>
      </c>
      <c r="Y1040" s="151">
        <f>VLOOKUP(E1040,Modificaciones!$B$7:$BE$2300,56,0)</f>
        <v>0</v>
      </c>
      <c r="Z1040" s="84">
        <f t="shared" si="197"/>
        <v>0</v>
      </c>
      <c r="AA1040" s="1000"/>
      <c r="AB1040" s="823" t="e">
        <f t="shared" si="198"/>
        <v>#DIV/0!</v>
      </c>
      <c r="AC1040" s="40" t="e">
        <f t="shared" ca="1" si="199"/>
        <v>#DIV/0!</v>
      </c>
      <c r="AD1040" s="41" t="e">
        <f t="shared" ca="1" si="200"/>
        <v>#DIV/0!</v>
      </c>
      <c r="AE1040" s="181" t="e">
        <f t="shared" ca="1" si="201"/>
        <v>#DIV/0!</v>
      </c>
      <c r="AF1040" s="42" t="e">
        <f t="shared" si="202"/>
        <v>#DIV/0!</v>
      </c>
      <c r="AG1040" s="838"/>
      <c r="AH1040" s="841"/>
      <c r="AI1040" s="841"/>
      <c r="AJ1040" s="838"/>
      <c r="AL1040" s="838"/>
      <c r="AM1040" s="838"/>
      <c r="AN1040" s="161" t="str">
        <f t="shared" ca="1" si="203"/>
        <v>TERMINO</v>
      </c>
      <c r="AO1040" s="414"/>
      <c r="AP1040" s="406"/>
      <c r="AQ1040" s="819" t="str">
        <f>IFERROR(VLOOKUP(E1040,'liquidaciones '!$B$2:$C$1048576,2,0),"NO")</f>
        <v>NO</v>
      </c>
      <c r="AR1040" s="909" t="str">
        <f>IFERROR(VLOOKUP(E1040,'liquidaciones '!$B$2:$I$1048576,8,0),"")</f>
        <v/>
      </c>
      <c r="AS1040" s="406"/>
      <c r="AT1040" s="156" t="str">
        <f t="shared" ca="1" si="204"/>
        <v>NO</v>
      </c>
      <c r="AU1040" s="1140"/>
      <c r="AV1040" s="1001"/>
      <c r="AX1040" s="928"/>
      <c r="AY1040" s="928"/>
    </row>
    <row r="1041" spans="3:51" x14ac:dyDescent="0.3">
      <c r="C1041" s="837"/>
      <c r="E1041" s="120"/>
      <c r="F1041" s="414"/>
      <c r="G1041" s="863"/>
      <c r="H1041" s="969"/>
      <c r="I1041" s="84"/>
      <c r="J1041" s="839"/>
      <c r="K1041" s="269"/>
      <c r="L1041" s="519"/>
      <c r="M1041" s="840"/>
      <c r="N1041" s="840"/>
      <c r="O1041" s="1099" t="str">
        <f>IF(+Modificaciones!I1041=0,"",VLOOKUP(E1041,Modificaciones!$B$7:$I$2400,8,0))</f>
        <v/>
      </c>
      <c r="P1041" s="115">
        <f>COUNTA(Modificaciones!J1041,Modificaciones!L1041,Modificaciones!N1041,Modificaciones!P1041)</f>
        <v>0</v>
      </c>
      <c r="Q1041" s="116">
        <f>VLOOKUP(E1041,Modificaciones!$B$7:$R$2300,17,0)</f>
        <v>0</v>
      </c>
      <c r="R1041" s="117">
        <f>COUNTA(Modificaciones!T1041,Modificaciones!V1041,Modificaciones!X1041,Modificaciones!Z1041)</f>
        <v>0</v>
      </c>
      <c r="S1041" s="118" t="str">
        <f>IF(Modificaciones!AA1041=0,"",VLOOKUP(E1041,Modificaciones!$B$7:$AA$2400,26,0))</f>
        <v/>
      </c>
      <c r="T1041" s="119" t="str">
        <f>IF(Modificaciones!AB1041=0,"",VLOOKUP(E1041,Modificaciones!$B$7:$AB$2400,27,0))</f>
        <v/>
      </c>
      <c r="U1041" s="1080" t="str">
        <f>+Modificaciones!AC1041</f>
        <v/>
      </c>
      <c r="V1041" s="825" t="str">
        <f>+Modificaciones!AK1041</f>
        <v/>
      </c>
      <c r="W1041" s="825">
        <f t="shared" si="195"/>
        <v>0</v>
      </c>
      <c r="X1041" s="59">
        <f t="shared" si="196"/>
        <v>0</v>
      </c>
      <c r="Y1041" s="151">
        <f>VLOOKUP(E1041,Modificaciones!$B$7:$BE$2300,56,0)</f>
        <v>0</v>
      </c>
      <c r="Z1041" s="84">
        <f t="shared" si="197"/>
        <v>0</v>
      </c>
      <c r="AA1041" s="1000"/>
      <c r="AB1041" s="823" t="e">
        <f t="shared" si="198"/>
        <v>#DIV/0!</v>
      </c>
      <c r="AC1041" s="40" t="e">
        <f t="shared" ca="1" si="199"/>
        <v>#DIV/0!</v>
      </c>
      <c r="AD1041" s="41" t="e">
        <f t="shared" ca="1" si="200"/>
        <v>#DIV/0!</v>
      </c>
      <c r="AE1041" s="181" t="e">
        <f t="shared" ca="1" si="201"/>
        <v>#DIV/0!</v>
      </c>
      <c r="AF1041" s="42" t="e">
        <f t="shared" si="202"/>
        <v>#DIV/0!</v>
      </c>
      <c r="AG1041" s="838"/>
      <c r="AH1041" s="841"/>
      <c r="AI1041" s="841"/>
      <c r="AJ1041" s="838"/>
      <c r="AL1041" s="838"/>
      <c r="AM1041" s="838"/>
      <c r="AN1041" s="161" t="str">
        <f t="shared" ca="1" si="203"/>
        <v>TERMINO</v>
      </c>
      <c r="AO1041" s="414"/>
      <c r="AP1041" s="406"/>
      <c r="AQ1041" s="819" t="str">
        <f>IFERROR(VLOOKUP(E1041,'liquidaciones '!$B$2:$C$1048576,2,0),"NO")</f>
        <v>NO</v>
      </c>
      <c r="AR1041" s="909" t="str">
        <f>IFERROR(VLOOKUP(E1041,'liquidaciones '!$B$2:$I$1048576,8,0),"")</f>
        <v/>
      </c>
      <c r="AS1041" s="406"/>
      <c r="AT1041" s="156" t="str">
        <f t="shared" ca="1" si="204"/>
        <v>NO</v>
      </c>
      <c r="AU1041" s="1140"/>
      <c r="AV1041" s="1001"/>
      <c r="AX1041" s="928"/>
      <c r="AY1041" s="928"/>
    </row>
    <row r="1042" spans="3:51" x14ac:dyDescent="0.3">
      <c r="C1042" s="837"/>
      <c r="E1042" s="120"/>
      <c r="F1042" s="414"/>
      <c r="G1042" s="863"/>
      <c r="H1042" s="969"/>
      <c r="I1042" s="84"/>
      <c r="J1042" s="839"/>
      <c r="K1042" s="269"/>
      <c r="L1042" s="519"/>
      <c r="M1042" s="840"/>
      <c r="N1042" s="840"/>
      <c r="O1042" s="1099" t="str">
        <f>IF(+Modificaciones!I1042=0,"",VLOOKUP(E1042,Modificaciones!$B$7:$I$2400,8,0))</f>
        <v/>
      </c>
      <c r="P1042" s="115">
        <f>COUNTA(Modificaciones!J1042,Modificaciones!L1042,Modificaciones!N1042,Modificaciones!P1042)</f>
        <v>0</v>
      </c>
      <c r="Q1042" s="116">
        <f>VLOOKUP(E1042,Modificaciones!$B$7:$R$2300,17,0)</f>
        <v>0</v>
      </c>
      <c r="R1042" s="117">
        <f>COUNTA(Modificaciones!T1042,Modificaciones!V1042,Modificaciones!X1042,Modificaciones!Z1042)</f>
        <v>0</v>
      </c>
      <c r="S1042" s="118" t="str">
        <f>IF(Modificaciones!AA1042=0,"",VLOOKUP(E1042,Modificaciones!$B$7:$AA$2400,26,0))</f>
        <v/>
      </c>
      <c r="T1042" s="119" t="str">
        <f>IF(Modificaciones!AB1042=0,"",VLOOKUP(E1042,Modificaciones!$B$7:$AB$2400,27,0))</f>
        <v/>
      </c>
      <c r="U1042" s="1080" t="str">
        <f>+Modificaciones!AC1042</f>
        <v/>
      </c>
      <c r="V1042" s="825" t="str">
        <f>+Modificaciones!AK1042</f>
        <v/>
      </c>
      <c r="W1042" s="825">
        <f t="shared" si="195"/>
        <v>0</v>
      </c>
      <c r="X1042" s="59">
        <f t="shared" si="196"/>
        <v>0</v>
      </c>
      <c r="Y1042" s="151">
        <f>VLOOKUP(E1042,Modificaciones!$B$7:$BE$2300,56,0)</f>
        <v>0</v>
      </c>
      <c r="Z1042" s="84">
        <f t="shared" si="197"/>
        <v>0</v>
      </c>
      <c r="AA1042" s="1000"/>
      <c r="AB1042" s="823" t="e">
        <f t="shared" si="198"/>
        <v>#DIV/0!</v>
      </c>
      <c r="AC1042" s="40" t="e">
        <f t="shared" ca="1" si="199"/>
        <v>#DIV/0!</v>
      </c>
      <c r="AD1042" s="41" t="e">
        <f t="shared" ca="1" si="200"/>
        <v>#DIV/0!</v>
      </c>
      <c r="AE1042" s="181" t="e">
        <f t="shared" ca="1" si="201"/>
        <v>#DIV/0!</v>
      </c>
      <c r="AF1042" s="42" t="e">
        <f t="shared" si="202"/>
        <v>#DIV/0!</v>
      </c>
      <c r="AG1042" s="838"/>
      <c r="AH1042" s="841"/>
      <c r="AI1042" s="841"/>
      <c r="AJ1042" s="838"/>
      <c r="AL1042" s="838"/>
      <c r="AM1042" s="838"/>
      <c r="AN1042" s="161" t="str">
        <f t="shared" ca="1" si="203"/>
        <v>TERMINO</v>
      </c>
      <c r="AO1042" s="414"/>
      <c r="AP1042" s="406"/>
      <c r="AQ1042" s="819" t="str">
        <f>IFERROR(VLOOKUP(E1042,'liquidaciones '!$B$2:$C$1048576,2,0),"NO")</f>
        <v>NO</v>
      </c>
      <c r="AR1042" s="909" t="str">
        <f>IFERROR(VLOOKUP(E1042,'liquidaciones '!$B$2:$I$1048576,8,0),"")</f>
        <v/>
      </c>
      <c r="AS1042" s="406"/>
      <c r="AT1042" s="156" t="str">
        <f t="shared" ca="1" si="204"/>
        <v>NO</v>
      </c>
      <c r="AU1042" s="1140"/>
      <c r="AV1042" s="1001"/>
      <c r="AX1042" s="928"/>
      <c r="AY1042" s="928"/>
    </row>
    <row r="1043" spans="3:51" x14ac:dyDescent="0.3">
      <c r="C1043" s="837"/>
      <c r="E1043" s="120"/>
      <c r="F1043" s="414"/>
      <c r="G1043" s="863"/>
      <c r="H1043" s="969"/>
      <c r="I1043" s="84"/>
      <c r="J1043" s="839"/>
      <c r="K1043" s="269"/>
      <c r="L1043" s="519"/>
      <c r="M1043" s="840"/>
      <c r="N1043" s="840"/>
      <c r="O1043" s="1099" t="str">
        <f>IF(+Modificaciones!I1043=0,"",VLOOKUP(E1043,Modificaciones!$B$7:$I$2400,8,0))</f>
        <v/>
      </c>
      <c r="P1043" s="115">
        <f>COUNTA(Modificaciones!J1043,Modificaciones!L1043,Modificaciones!N1043,Modificaciones!P1043)</f>
        <v>0</v>
      </c>
      <c r="Q1043" s="116">
        <f>VLOOKUP(E1043,Modificaciones!$B$7:$R$2300,17,0)</f>
        <v>0</v>
      </c>
      <c r="R1043" s="117">
        <f>COUNTA(Modificaciones!T1043,Modificaciones!V1043,Modificaciones!X1043,Modificaciones!Z1043)</f>
        <v>0</v>
      </c>
      <c r="S1043" s="118" t="str">
        <f>IF(Modificaciones!AA1043=0,"",VLOOKUP(E1043,Modificaciones!$B$7:$AA$2400,26,0))</f>
        <v/>
      </c>
      <c r="T1043" s="119" t="str">
        <f>IF(Modificaciones!AB1043=0,"",VLOOKUP(E1043,Modificaciones!$B$7:$AB$2400,27,0))</f>
        <v/>
      </c>
      <c r="U1043" s="1080" t="str">
        <f>+Modificaciones!AC1043</f>
        <v/>
      </c>
      <c r="V1043" s="825" t="str">
        <f>+Modificaciones!AK1043</f>
        <v/>
      </c>
      <c r="W1043" s="825">
        <f t="shared" si="195"/>
        <v>0</v>
      </c>
      <c r="X1043" s="59">
        <f t="shared" si="196"/>
        <v>0</v>
      </c>
      <c r="Y1043" s="151">
        <f>VLOOKUP(E1043,Modificaciones!$B$7:$BE$2300,56,0)</f>
        <v>0</v>
      </c>
      <c r="Z1043" s="84">
        <f t="shared" si="197"/>
        <v>0</v>
      </c>
      <c r="AA1043" s="1000"/>
      <c r="AB1043" s="823" t="e">
        <f t="shared" si="198"/>
        <v>#DIV/0!</v>
      </c>
      <c r="AC1043" s="40" t="e">
        <f t="shared" ca="1" si="199"/>
        <v>#DIV/0!</v>
      </c>
      <c r="AD1043" s="41" t="e">
        <f t="shared" ca="1" si="200"/>
        <v>#DIV/0!</v>
      </c>
      <c r="AE1043" s="181" t="e">
        <f t="shared" ca="1" si="201"/>
        <v>#DIV/0!</v>
      </c>
      <c r="AF1043" s="42" t="e">
        <f t="shared" si="202"/>
        <v>#DIV/0!</v>
      </c>
      <c r="AG1043" s="838"/>
      <c r="AH1043" s="841"/>
      <c r="AI1043" s="841"/>
      <c r="AJ1043" s="838"/>
      <c r="AL1043" s="838"/>
      <c r="AM1043" s="838"/>
      <c r="AN1043" s="161" t="str">
        <f t="shared" ca="1" si="203"/>
        <v>TERMINO</v>
      </c>
      <c r="AO1043" s="414"/>
      <c r="AP1043" s="406"/>
      <c r="AQ1043" s="819" t="str">
        <f>IFERROR(VLOOKUP(E1043,'liquidaciones '!$B$2:$C$1048576,2,0),"NO")</f>
        <v>NO</v>
      </c>
      <c r="AR1043" s="909" t="str">
        <f>IFERROR(VLOOKUP(E1043,'liquidaciones '!$B$2:$I$1048576,8,0),"")</f>
        <v/>
      </c>
      <c r="AS1043" s="406"/>
      <c r="AT1043" s="156" t="str">
        <f t="shared" ca="1" si="204"/>
        <v>NO</v>
      </c>
      <c r="AU1043" s="1140"/>
      <c r="AV1043" s="1001"/>
      <c r="AX1043" s="928"/>
      <c r="AY1043" s="928"/>
    </row>
    <row r="1044" spans="3:51" x14ac:dyDescent="0.3">
      <c r="C1044" s="837"/>
      <c r="E1044" s="120"/>
      <c r="F1044" s="414"/>
      <c r="G1044" s="863"/>
      <c r="H1044" s="969"/>
      <c r="I1044" s="84"/>
      <c r="J1044" s="839"/>
      <c r="K1044" s="269"/>
      <c r="L1044" s="519"/>
      <c r="M1044" s="840"/>
      <c r="N1044" s="840"/>
      <c r="O1044" s="1099" t="str">
        <f>IF(+Modificaciones!I1044=0,"",VLOOKUP(E1044,Modificaciones!$B$7:$I$2400,8,0))</f>
        <v/>
      </c>
      <c r="P1044" s="115">
        <f>COUNTA(Modificaciones!J1044,Modificaciones!L1044,Modificaciones!N1044,Modificaciones!P1044)</f>
        <v>0</v>
      </c>
      <c r="Q1044" s="116">
        <f>VLOOKUP(E1044,Modificaciones!$B$7:$R$2300,17,0)</f>
        <v>0</v>
      </c>
      <c r="R1044" s="117">
        <f>COUNTA(Modificaciones!T1044,Modificaciones!V1044,Modificaciones!X1044,Modificaciones!Z1044)</f>
        <v>0</v>
      </c>
      <c r="S1044" s="118" t="str">
        <f>IF(Modificaciones!AA1044=0,"",VLOOKUP(E1044,Modificaciones!$B$7:$AA$2400,26,0))</f>
        <v/>
      </c>
      <c r="T1044" s="119" t="str">
        <f>IF(Modificaciones!AB1044=0,"",VLOOKUP(E1044,Modificaciones!$B$7:$AB$2400,27,0))</f>
        <v/>
      </c>
      <c r="U1044" s="1080" t="str">
        <f>+Modificaciones!AC1044</f>
        <v/>
      </c>
      <c r="V1044" s="825" t="str">
        <f>+Modificaciones!AK1044</f>
        <v/>
      </c>
      <c r="W1044" s="825">
        <f t="shared" si="195"/>
        <v>0</v>
      </c>
      <c r="X1044" s="59">
        <f t="shared" si="196"/>
        <v>0</v>
      </c>
      <c r="Y1044" s="151">
        <f>VLOOKUP(E1044,Modificaciones!$B$7:$BE$2300,56,0)</f>
        <v>0</v>
      </c>
      <c r="Z1044" s="84">
        <f t="shared" si="197"/>
        <v>0</v>
      </c>
      <c r="AA1044" s="1000"/>
      <c r="AB1044" s="823" t="e">
        <f t="shared" si="198"/>
        <v>#DIV/0!</v>
      </c>
      <c r="AC1044" s="40" t="e">
        <f t="shared" ca="1" si="199"/>
        <v>#DIV/0!</v>
      </c>
      <c r="AD1044" s="41" t="e">
        <f t="shared" ca="1" si="200"/>
        <v>#DIV/0!</v>
      </c>
      <c r="AE1044" s="181" t="e">
        <f t="shared" ca="1" si="201"/>
        <v>#DIV/0!</v>
      </c>
      <c r="AF1044" s="42" t="e">
        <f t="shared" si="202"/>
        <v>#DIV/0!</v>
      </c>
      <c r="AG1044" s="838"/>
      <c r="AH1044" s="841"/>
      <c r="AI1044" s="841"/>
      <c r="AJ1044" s="838"/>
      <c r="AL1044" s="838"/>
      <c r="AM1044" s="838"/>
      <c r="AN1044" s="161" t="str">
        <f t="shared" ca="1" si="203"/>
        <v>TERMINO</v>
      </c>
      <c r="AO1044" s="414"/>
      <c r="AP1044" s="406"/>
      <c r="AQ1044" s="819" t="str">
        <f>IFERROR(VLOOKUP(E1044,'liquidaciones '!$B$2:$C$1048576,2,0),"NO")</f>
        <v>NO</v>
      </c>
      <c r="AR1044" s="909" t="str">
        <f>IFERROR(VLOOKUP(E1044,'liquidaciones '!$B$2:$I$1048576,8,0),"")</f>
        <v/>
      </c>
      <c r="AS1044" s="406"/>
      <c r="AT1044" s="156" t="str">
        <f t="shared" ca="1" si="204"/>
        <v>NO</v>
      </c>
      <c r="AU1044" s="1140"/>
      <c r="AV1044" s="1001"/>
      <c r="AX1044" s="928"/>
      <c r="AY1044" s="928"/>
    </row>
    <row r="1045" spans="3:51" x14ac:dyDescent="0.3">
      <c r="C1045" s="837"/>
      <c r="E1045" s="120"/>
      <c r="F1045" s="414"/>
      <c r="G1045" s="863"/>
      <c r="H1045" s="969"/>
      <c r="I1045" s="84"/>
      <c r="J1045" s="839"/>
      <c r="K1045" s="269"/>
      <c r="L1045" s="519"/>
      <c r="M1045" s="840"/>
      <c r="N1045" s="840"/>
      <c r="O1045" s="1099" t="str">
        <f>IF(+Modificaciones!I1045=0,"",VLOOKUP(E1045,Modificaciones!$B$7:$I$2400,8,0))</f>
        <v/>
      </c>
      <c r="P1045" s="115">
        <f>COUNTA(Modificaciones!J1045,Modificaciones!L1045,Modificaciones!N1045,Modificaciones!P1045)</f>
        <v>0</v>
      </c>
      <c r="Q1045" s="116">
        <f>VLOOKUP(E1045,Modificaciones!$B$7:$R$2300,17,0)</f>
        <v>0</v>
      </c>
      <c r="R1045" s="117">
        <f>COUNTA(Modificaciones!T1045,Modificaciones!V1045,Modificaciones!X1045,Modificaciones!Z1045)</f>
        <v>0</v>
      </c>
      <c r="S1045" s="118" t="str">
        <f>IF(Modificaciones!AA1045=0,"",VLOOKUP(E1045,Modificaciones!$B$7:$AA$2400,26,0))</f>
        <v/>
      </c>
      <c r="T1045" s="119" t="str">
        <f>IF(Modificaciones!AB1045=0,"",VLOOKUP(E1045,Modificaciones!$B$7:$AB$2400,27,0))</f>
        <v/>
      </c>
      <c r="U1045" s="1080" t="str">
        <f>+Modificaciones!AC1045</f>
        <v/>
      </c>
      <c r="V1045" s="825" t="str">
        <f>+Modificaciones!AK1045</f>
        <v/>
      </c>
      <c r="W1045" s="825">
        <f t="shared" si="195"/>
        <v>0</v>
      </c>
      <c r="X1045" s="59">
        <f t="shared" si="196"/>
        <v>0</v>
      </c>
      <c r="Y1045" s="151">
        <f>VLOOKUP(E1045,Modificaciones!$B$7:$BE$2300,56,0)</f>
        <v>0</v>
      </c>
      <c r="Z1045" s="84">
        <f t="shared" si="197"/>
        <v>0</v>
      </c>
      <c r="AA1045" s="1000"/>
      <c r="AB1045" s="823" t="e">
        <f t="shared" si="198"/>
        <v>#DIV/0!</v>
      </c>
      <c r="AC1045" s="40" t="e">
        <f t="shared" ca="1" si="199"/>
        <v>#DIV/0!</v>
      </c>
      <c r="AD1045" s="41" t="e">
        <f t="shared" ca="1" si="200"/>
        <v>#DIV/0!</v>
      </c>
      <c r="AE1045" s="181" t="e">
        <f t="shared" ca="1" si="201"/>
        <v>#DIV/0!</v>
      </c>
      <c r="AF1045" s="42" t="e">
        <f t="shared" si="202"/>
        <v>#DIV/0!</v>
      </c>
      <c r="AG1045" s="838"/>
      <c r="AH1045" s="841"/>
      <c r="AI1045" s="841"/>
      <c r="AJ1045" s="838"/>
      <c r="AL1045" s="838"/>
      <c r="AM1045" s="838"/>
      <c r="AN1045" s="161" t="str">
        <f t="shared" ca="1" si="203"/>
        <v>TERMINO</v>
      </c>
      <c r="AO1045" s="414"/>
      <c r="AP1045" s="406"/>
      <c r="AQ1045" s="819" t="str">
        <f>IFERROR(VLOOKUP(E1045,'liquidaciones '!$B$2:$C$1048576,2,0),"NO")</f>
        <v>NO</v>
      </c>
      <c r="AR1045" s="909" t="str">
        <f>IFERROR(VLOOKUP(E1045,'liquidaciones '!$B$2:$I$1048576,8,0),"")</f>
        <v/>
      </c>
      <c r="AS1045" s="406"/>
      <c r="AT1045" s="156" t="str">
        <f t="shared" ca="1" si="204"/>
        <v>NO</v>
      </c>
      <c r="AU1045" s="1140"/>
      <c r="AV1045" s="1001"/>
      <c r="AX1045" s="928"/>
      <c r="AY1045" s="928"/>
    </row>
    <row r="1046" spans="3:51" x14ac:dyDescent="0.3">
      <c r="C1046" s="837"/>
      <c r="E1046" s="120"/>
      <c r="F1046" s="414"/>
      <c r="G1046" s="863"/>
      <c r="H1046" s="969"/>
      <c r="I1046" s="84"/>
      <c r="J1046" s="839"/>
      <c r="K1046" s="269"/>
      <c r="L1046" s="519"/>
      <c r="M1046" s="840"/>
      <c r="N1046" s="840"/>
      <c r="O1046" s="1099" t="str">
        <f>IF(+Modificaciones!I1046=0,"",VLOOKUP(E1046,Modificaciones!$B$7:$I$2400,8,0))</f>
        <v/>
      </c>
      <c r="P1046" s="115">
        <f>COUNTA(Modificaciones!J1046,Modificaciones!L1046,Modificaciones!N1046,Modificaciones!P1046)</f>
        <v>0</v>
      </c>
      <c r="Q1046" s="116">
        <f>VLOOKUP(E1046,Modificaciones!$B$7:$R$2300,17,0)</f>
        <v>0</v>
      </c>
      <c r="R1046" s="117">
        <f>COUNTA(Modificaciones!T1046,Modificaciones!V1046,Modificaciones!X1046,Modificaciones!Z1046)</f>
        <v>0</v>
      </c>
      <c r="S1046" s="118" t="str">
        <f>IF(Modificaciones!AA1046=0,"",VLOOKUP(E1046,Modificaciones!$B$7:$AA$2400,26,0))</f>
        <v/>
      </c>
      <c r="T1046" s="119" t="str">
        <f>IF(Modificaciones!AB1046=0,"",VLOOKUP(E1046,Modificaciones!$B$7:$AB$2400,27,0))</f>
        <v/>
      </c>
      <c r="U1046" s="1080" t="str">
        <f>+Modificaciones!AC1046</f>
        <v/>
      </c>
      <c r="V1046" s="825" t="str">
        <f>+Modificaciones!AK1046</f>
        <v/>
      </c>
      <c r="W1046" s="825">
        <f t="shared" si="195"/>
        <v>0</v>
      </c>
      <c r="X1046" s="59">
        <f t="shared" si="196"/>
        <v>0</v>
      </c>
      <c r="Y1046" s="151">
        <f>VLOOKUP(E1046,Modificaciones!$B$7:$BE$2300,56,0)</f>
        <v>0</v>
      </c>
      <c r="Z1046" s="84">
        <f t="shared" si="197"/>
        <v>0</v>
      </c>
      <c r="AA1046" s="1000"/>
      <c r="AB1046" s="823" t="e">
        <f t="shared" si="198"/>
        <v>#DIV/0!</v>
      </c>
      <c r="AC1046" s="40" t="e">
        <f t="shared" ca="1" si="199"/>
        <v>#DIV/0!</v>
      </c>
      <c r="AD1046" s="41" t="e">
        <f t="shared" ca="1" si="200"/>
        <v>#DIV/0!</v>
      </c>
      <c r="AE1046" s="181" t="e">
        <f t="shared" ca="1" si="201"/>
        <v>#DIV/0!</v>
      </c>
      <c r="AF1046" s="42" t="e">
        <f t="shared" si="202"/>
        <v>#DIV/0!</v>
      </c>
      <c r="AG1046" s="838"/>
      <c r="AH1046" s="841"/>
      <c r="AI1046" s="841"/>
      <c r="AJ1046" s="838"/>
      <c r="AL1046" s="838"/>
      <c r="AM1046" s="838"/>
      <c r="AN1046" s="161" t="str">
        <f t="shared" ca="1" si="203"/>
        <v>TERMINO</v>
      </c>
      <c r="AO1046" s="414"/>
      <c r="AP1046" s="406"/>
      <c r="AQ1046" s="819" t="str">
        <f>IFERROR(VLOOKUP(E1046,'liquidaciones '!$B$2:$C$1048576,2,0),"NO")</f>
        <v>NO</v>
      </c>
      <c r="AR1046" s="909" t="str">
        <f>IFERROR(VLOOKUP(E1046,'liquidaciones '!$B$2:$I$1048576,8,0),"")</f>
        <v/>
      </c>
      <c r="AS1046" s="406"/>
      <c r="AT1046" s="156" t="str">
        <f t="shared" ca="1" si="204"/>
        <v>NO</v>
      </c>
      <c r="AU1046" s="1140"/>
      <c r="AV1046" s="1001"/>
      <c r="AX1046" s="928"/>
      <c r="AY1046" s="928"/>
    </row>
    <row r="1047" spans="3:51" x14ac:dyDescent="0.3">
      <c r="C1047" s="837"/>
      <c r="E1047" s="120"/>
      <c r="F1047" s="414"/>
      <c r="G1047" s="863"/>
      <c r="H1047" s="969"/>
      <c r="I1047" s="84"/>
      <c r="J1047" s="839"/>
      <c r="K1047" s="269"/>
      <c r="L1047" s="519"/>
      <c r="M1047" s="840"/>
      <c r="N1047" s="840"/>
      <c r="O1047" s="1099" t="str">
        <f>IF(+Modificaciones!I1047=0,"",VLOOKUP(E1047,Modificaciones!$B$7:$I$2400,8,0))</f>
        <v/>
      </c>
      <c r="P1047" s="115">
        <f>COUNTA(Modificaciones!J1047,Modificaciones!L1047,Modificaciones!N1047,Modificaciones!P1047)</f>
        <v>0</v>
      </c>
      <c r="Q1047" s="116">
        <f>VLOOKUP(E1047,Modificaciones!$B$7:$R$2300,17,0)</f>
        <v>0</v>
      </c>
      <c r="R1047" s="117">
        <f>COUNTA(Modificaciones!T1047,Modificaciones!V1047,Modificaciones!X1047,Modificaciones!Z1047)</f>
        <v>0</v>
      </c>
      <c r="S1047" s="118" t="str">
        <f>IF(Modificaciones!AA1047=0,"",VLOOKUP(E1047,Modificaciones!$B$7:$AA$2400,26,0))</f>
        <v/>
      </c>
      <c r="T1047" s="119" t="str">
        <f>IF(Modificaciones!AB1047=0,"",VLOOKUP(E1047,Modificaciones!$B$7:$AB$2400,27,0))</f>
        <v/>
      </c>
      <c r="U1047" s="1080" t="str">
        <f>+Modificaciones!AC1047</f>
        <v/>
      </c>
      <c r="V1047" s="825" t="str">
        <f>+Modificaciones!AK1047</f>
        <v/>
      </c>
      <c r="W1047" s="825">
        <f t="shared" si="195"/>
        <v>0</v>
      </c>
      <c r="X1047" s="59">
        <f t="shared" si="196"/>
        <v>0</v>
      </c>
      <c r="Y1047" s="151">
        <f>VLOOKUP(E1047,Modificaciones!$B$7:$BE$2300,56,0)</f>
        <v>0</v>
      </c>
      <c r="Z1047" s="84">
        <f t="shared" si="197"/>
        <v>0</v>
      </c>
      <c r="AA1047" s="1000"/>
      <c r="AB1047" s="823" t="e">
        <f t="shared" si="198"/>
        <v>#DIV/0!</v>
      </c>
      <c r="AC1047" s="40" t="e">
        <f t="shared" ca="1" si="199"/>
        <v>#DIV/0!</v>
      </c>
      <c r="AD1047" s="41" t="e">
        <f t="shared" ca="1" si="200"/>
        <v>#DIV/0!</v>
      </c>
      <c r="AE1047" s="181" t="e">
        <f t="shared" ca="1" si="201"/>
        <v>#DIV/0!</v>
      </c>
      <c r="AF1047" s="42" t="e">
        <f t="shared" si="202"/>
        <v>#DIV/0!</v>
      </c>
      <c r="AG1047" s="838"/>
      <c r="AH1047" s="841"/>
      <c r="AI1047" s="841"/>
      <c r="AJ1047" s="838"/>
      <c r="AL1047" s="838"/>
      <c r="AM1047" s="838"/>
      <c r="AN1047" s="161" t="str">
        <f t="shared" ca="1" si="203"/>
        <v>TERMINO</v>
      </c>
      <c r="AO1047" s="414"/>
      <c r="AP1047" s="406"/>
      <c r="AQ1047" s="819" t="str">
        <f>IFERROR(VLOOKUP(E1047,'liquidaciones '!$B$2:$C$1048576,2,0),"NO")</f>
        <v>NO</v>
      </c>
      <c r="AR1047" s="909" t="str">
        <f>IFERROR(VLOOKUP(E1047,'liquidaciones '!$B$2:$I$1048576,8,0),"")</f>
        <v/>
      </c>
      <c r="AS1047" s="406"/>
      <c r="AT1047" s="156" t="str">
        <f t="shared" ca="1" si="204"/>
        <v>NO</v>
      </c>
      <c r="AU1047" s="1140"/>
      <c r="AV1047" s="1001"/>
      <c r="AX1047" s="928"/>
      <c r="AY1047" s="928"/>
    </row>
    <row r="1048" spans="3:51" x14ac:dyDescent="0.3">
      <c r="C1048" s="837"/>
      <c r="E1048" s="120"/>
      <c r="F1048" s="414"/>
      <c r="G1048" s="863"/>
      <c r="H1048" s="969"/>
      <c r="I1048" s="84"/>
      <c r="J1048" s="839"/>
      <c r="K1048" s="269"/>
      <c r="L1048" s="519"/>
      <c r="M1048" s="840"/>
      <c r="N1048" s="840"/>
      <c r="O1048" s="1099" t="str">
        <f>IF(+Modificaciones!I1048=0,"",VLOOKUP(E1048,Modificaciones!$B$7:$I$2400,8,0))</f>
        <v/>
      </c>
      <c r="P1048" s="115">
        <f>COUNTA(Modificaciones!J1048,Modificaciones!L1048,Modificaciones!N1048,Modificaciones!P1048)</f>
        <v>0</v>
      </c>
      <c r="Q1048" s="116">
        <f>VLOOKUP(E1048,Modificaciones!$B$7:$R$2300,17,0)</f>
        <v>0</v>
      </c>
      <c r="R1048" s="117">
        <f>COUNTA(Modificaciones!T1048,Modificaciones!V1048,Modificaciones!X1048,Modificaciones!Z1048)</f>
        <v>0</v>
      </c>
      <c r="S1048" s="118" t="str">
        <f>IF(Modificaciones!AA1048=0,"",VLOOKUP(E1048,Modificaciones!$B$7:$AA$2400,26,0))</f>
        <v/>
      </c>
      <c r="T1048" s="119" t="str">
        <f>IF(Modificaciones!AB1048=0,"",VLOOKUP(E1048,Modificaciones!$B$7:$AB$2400,27,0))</f>
        <v/>
      </c>
      <c r="U1048" s="1080" t="str">
        <f>+Modificaciones!AC1048</f>
        <v/>
      </c>
      <c r="V1048" s="825" t="str">
        <f>+Modificaciones!AK1048</f>
        <v/>
      </c>
      <c r="W1048" s="825">
        <f t="shared" si="195"/>
        <v>0</v>
      </c>
      <c r="X1048" s="59">
        <f t="shared" si="196"/>
        <v>0</v>
      </c>
      <c r="Y1048" s="151">
        <f>VLOOKUP(E1048,Modificaciones!$B$7:$BE$2300,56,0)</f>
        <v>0</v>
      </c>
      <c r="Z1048" s="84">
        <f t="shared" si="197"/>
        <v>0</v>
      </c>
      <c r="AA1048" s="1000"/>
      <c r="AB1048" s="823" t="e">
        <f t="shared" si="198"/>
        <v>#DIV/0!</v>
      </c>
      <c r="AC1048" s="40" t="e">
        <f t="shared" ca="1" si="199"/>
        <v>#DIV/0!</v>
      </c>
      <c r="AD1048" s="41" t="e">
        <f t="shared" ca="1" si="200"/>
        <v>#DIV/0!</v>
      </c>
      <c r="AE1048" s="181" t="e">
        <f t="shared" ca="1" si="201"/>
        <v>#DIV/0!</v>
      </c>
      <c r="AF1048" s="42" t="e">
        <f t="shared" si="202"/>
        <v>#DIV/0!</v>
      </c>
      <c r="AG1048" s="838"/>
      <c r="AH1048" s="841"/>
      <c r="AI1048" s="841"/>
      <c r="AJ1048" s="838"/>
      <c r="AL1048" s="838"/>
      <c r="AM1048" s="838"/>
      <c r="AN1048" s="161" t="str">
        <f t="shared" ca="1" si="203"/>
        <v>TERMINO</v>
      </c>
      <c r="AO1048" s="414"/>
      <c r="AP1048" s="406"/>
      <c r="AQ1048" s="819" t="str">
        <f>IFERROR(VLOOKUP(E1048,'liquidaciones '!$B$2:$C$1048576,2,0),"NO")</f>
        <v>NO</v>
      </c>
      <c r="AR1048" s="909" t="str">
        <f>IFERROR(VLOOKUP(E1048,'liquidaciones '!$B$2:$I$1048576,8,0),"")</f>
        <v/>
      </c>
      <c r="AS1048" s="406"/>
      <c r="AT1048" s="156" t="str">
        <f t="shared" ca="1" si="204"/>
        <v>NO</v>
      </c>
      <c r="AU1048" s="1140"/>
      <c r="AV1048" s="1001"/>
      <c r="AX1048" s="928"/>
      <c r="AY1048" s="928"/>
    </row>
    <row r="1049" spans="3:51" x14ac:dyDescent="0.3">
      <c r="C1049" s="837"/>
      <c r="E1049" s="120"/>
      <c r="F1049" s="414"/>
      <c r="G1049" s="863"/>
      <c r="H1049" s="969"/>
      <c r="I1049" s="84"/>
      <c r="J1049" s="839"/>
      <c r="K1049" s="269"/>
      <c r="L1049" s="519"/>
      <c r="M1049" s="840"/>
      <c r="N1049" s="840"/>
      <c r="O1049" s="1099" t="str">
        <f>IF(+Modificaciones!I1049=0,"",VLOOKUP(E1049,Modificaciones!$B$7:$I$2400,8,0))</f>
        <v/>
      </c>
      <c r="P1049" s="115">
        <f>COUNTA(Modificaciones!J1049,Modificaciones!L1049,Modificaciones!N1049,Modificaciones!P1049)</f>
        <v>0</v>
      </c>
      <c r="Q1049" s="116">
        <f>VLOOKUP(E1049,Modificaciones!$B$7:$R$2300,17,0)</f>
        <v>0</v>
      </c>
      <c r="R1049" s="117">
        <f>COUNTA(Modificaciones!T1049,Modificaciones!V1049,Modificaciones!X1049,Modificaciones!Z1049)</f>
        <v>0</v>
      </c>
      <c r="S1049" s="118" t="str">
        <f>IF(Modificaciones!AA1049=0,"",VLOOKUP(E1049,Modificaciones!$B$7:$AA$2400,26,0))</f>
        <v/>
      </c>
      <c r="T1049" s="119" t="str">
        <f>IF(Modificaciones!AB1049=0,"",VLOOKUP(E1049,Modificaciones!$B$7:$AB$2400,27,0))</f>
        <v/>
      </c>
      <c r="U1049" s="1080" t="str">
        <f>+Modificaciones!AC1049</f>
        <v/>
      </c>
      <c r="V1049" s="825" t="str">
        <f>+Modificaciones!AK1049</f>
        <v/>
      </c>
      <c r="W1049" s="825">
        <f t="shared" si="195"/>
        <v>0</v>
      </c>
      <c r="X1049" s="59">
        <f t="shared" si="196"/>
        <v>0</v>
      </c>
      <c r="Y1049" s="151">
        <f>VLOOKUP(E1049,Modificaciones!$B$7:$BE$2300,56,0)</f>
        <v>0</v>
      </c>
      <c r="Z1049" s="84">
        <f t="shared" si="197"/>
        <v>0</v>
      </c>
      <c r="AA1049" s="1000"/>
      <c r="AB1049" s="823" t="e">
        <f t="shared" si="198"/>
        <v>#DIV/0!</v>
      </c>
      <c r="AC1049" s="40" t="e">
        <f t="shared" ca="1" si="199"/>
        <v>#DIV/0!</v>
      </c>
      <c r="AD1049" s="41" t="e">
        <f t="shared" ca="1" si="200"/>
        <v>#DIV/0!</v>
      </c>
      <c r="AE1049" s="181" t="e">
        <f t="shared" ca="1" si="201"/>
        <v>#DIV/0!</v>
      </c>
      <c r="AF1049" s="42" t="e">
        <f t="shared" si="202"/>
        <v>#DIV/0!</v>
      </c>
      <c r="AG1049" s="838"/>
      <c r="AH1049" s="841"/>
      <c r="AI1049" s="841"/>
      <c r="AJ1049" s="838"/>
      <c r="AL1049" s="838"/>
      <c r="AM1049" s="838"/>
      <c r="AN1049" s="161" t="str">
        <f t="shared" ca="1" si="203"/>
        <v>TERMINO</v>
      </c>
      <c r="AO1049" s="414"/>
      <c r="AP1049" s="406"/>
      <c r="AQ1049" s="819" t="str">
        <f>IFERROR(VLOOKUP(E1049,'liquidaciones '!$B$2:$C$1048576,2,0),"NO")</f>
        <v>NO</v>
      </c>
      <c r="AR1049" s="909" t="str">
        <f>IFERROR(VLOOKUP(E1049,'liquidaciones '!$B$2:$I$1048576,8,0),"")</f>
        <v/>
      </c>
      <c r="AS1049" s="406"/>
      <c r="AT1049" s="156" t="str">
        <f t="shared" ca="1" si="204"/>
        <v>NO</v>
      </c>
      <c r="AU1049" s="1140"/>
      <c r="AV1049" s="1001"/>
      <c r="AX1049" s="928"/>
      <c r="AY1049" s="928"/>
    </row>
    <row r="1050" spans="3:51" x14ac:dyDescent="0.3">
      <c r="C1050" s="837"/>
      <c r="E1050" s="120"/>
      <c r="F1050" s="414"/>
      <c r="G1050" s="863"/>
      <c r="H1050" s="969"/>
      <c r="I1050" s="84"/>
      <c r="J1050" s="839"/>
      <c r="K1050" s="269"/>
      <c r="L1050" s="519"/>
      <c r="M1050" s="840"/>
      <c r="N1050" s="840"/>
      <c r="O1050" s="1099" t="str">
        <f>IF(+Modificaciones!I1050=0,"",VLOOKUP(E1050,Modificaciones!$B$7:$I$2400,8,0))</f>
        <v/>
      </c>
      <c r="P1050" s="115">
        <f>COUNTA(Modificaciones!J1050,Modificaciones!L1050,Modificaciones!N1050,Modificaciones!P1050)</f>
        <v>0</v>
      </c>
      <c r="Q1050" s="116">
        <f>VLOOKUP(E1050,Modificaciones!$B$7:$R$2300,17,0)</f>
        <v>0</v>
      </c>
      <c r="R1050" s="117">
        <f>COUNTA(Modificaciones!T1050,Modificaciones!V1050,Modificaciones!X1050,Modificaciones!Z1050)</f>
        <v>0</v>
      </c>
      <c r="S1050" s="118" t="str">
        <f>IF(Modificaciones!AA1050=0,"",VLOOKUP(E1050,Modificaciones!$B$7:$AA$2400,26,0))</f>
        <v/>
      </c>
      <c r="T1050" s="119" t="str">
        <f>IF(Modificaciones!AB1050=0,"",VLOOKUP(E1050,Modificaciones!$B$7:$AB$2400,27,0))</f>
        <v/>
      </c>
      <c r="U1050" s="1080" t="str">
        <f>+Modificaciones!AC1050</f>
        <v/>
      </c>
      <c r="V1050" s="825" t="str">
        <f>+Modificaciones!AK1050</f>
        <v/>
      </c>
      <c r="W1050" s="825">
        <f t="shared" si="195"/>
        <v>0</v>
      </c>
      <c r="X1050" s="59">
        <f t="shared" si="196"/>
        <v>0</v>
      </c>
      <c r="Y1050" s="151">
        <f>VLOOKUP(E1050,Modificaciones!$B$7:$BE$2300,56,0)</f>
        <v>0</v>
      </c>
      <c r="Z1050" s="84">
        <f t="shared" si="197"/>
        <v>0</v>
      </c>
      <c r="AA1050" s="1000"/>
      <c r="AB1050" s="823" t="e">
        <f t="shared" si="198"/>
        <v>#DIV/0!</v>
      </c>
      <c r="AC1050" s="40" t="e">
        <f t="shared" ca="1" si="199"/>
        <v>#DIV/0!</v>
      </c>
      <c r="AD1050" s="41" t="e">
        <f t="shared" ca="1" si="200"/>
        <v>#DIV/0!</v>
      </c>
      <c r="AE1050" s="181" t="e">
        <f t="shared" ca="1" si="201"/>
        <v>#DIV/0!</v>
      </c>
      <c r="AF1050" s="42" t="e">
        <f t="shared" si="202"/>
        <v>#DIV/0!</v>
      </c>
      <c r="AG1050" s="838"/>
      <c r="AH1050" s="841"/>
      <c r="AI1050" s="841"/>
      <c r="AJ1050" s="838"/>
      <c r="AL1050" s="838"/>
      <c r="AM1050" s="838"/>
      <c r="AN1050" s="161" t="str">
        <f t="shared" ca="1" si="203"/>
        <v>TERMINO</v>
      </c>
      <c r="AO1050" s="414"/>
      <c r="AP1050" s="406"/>
      <c r="AQ1050" s="819" t="str">
        <f>IFERROR(VLOOKUP(E1050,'liquidaciones '!$B$2:$C$1048576,2,0),"NO")</f>
        <v>NO</v>
      </c>
      <c r="AR1050" s="909" t="str">
        <f>IFERROR(VLOOKUP(E1050,'liquidaciones '!$B$2:$I$1048576,8,0),"")</f>
        <v/>
      </c>
      <c r="AS1050" s="406"/>
      <c r="AT1050" s="156" t="str">
        <f t="shared" ca="1" si="204"/>
        <v>NO</v>
      </c>
      <c r="AU1050" s="1140"/>
      <c r="AV1050" s="1001"/>
      <c r="AX1050" s="928"/>
      <c r="AY1050" s="928"/>
    </row>
    <row r="1051" spans="3:51" x14ac:dyDescent="0.3">
      <c r="C1051" s="837"/>
      <c r="E1051" s="120"/>
      <c r="F1051" s="414"/>
      <c r="G1051" s="863"/>
      <c r="H1051" s="969"/>
      <c r="I1051" s="84"/>
      <c r="J1051" s="839"/>
      <c r="K1051" s="269"/>
      <c r="L1051" s="519"/>
      <c r="M1051" s="840"/>
      <c r="N1051" s="840"/>
      <c r="O1051" s="1099" t="str">
        <f>IF(+Modificaciones!I1051=0,"",VLOOKUP(E1051,Modificaciones!$B$7:$I$2400,8,0))</f>
        <v/>
      </c>
      <c r="P1051" s="115">
        <f>COUNTA(Modificaciones!J1051,Modificaciones!L1051,Modificaciones!N1051,Modificaciones!P1051)</f>
        <v>0</v>
      </c>
      <c r="Q1051" s="116">
        <f>VLOOKUP(E1051,Modificaciones!$B$7:$R$2300,17,0)</f>
        <v>0</v>
      </c>
      <c r="R1051" s="117">
        <f>COUNTA(Modificaciones!T1051,Modificaciones!V1051,Modificaciones!X1051,Modificaciones!Z1051)</f>
        <v>0</v>
      </c>
      <c r="S1051" s="118" t="str">
        <f>IF(Modificaciones!AA1051=0,"",VLOOKUP(E1051,Modificaciones!$B$7:$AA$2400,26,0))</f>
        <v/>
      </c>
      <c r="T1051" s="119" t="str">
        <f>IF(Modificaciones!AB1051=0,"",VLOOKUP(E1051,Modificaciones!$B$7:$AB$2400,27,0))</f>
        <v/>
      </c>
      <c r="U1051" s="1080" t="str">
        <f>+Modificaciones!AC1051</f>
        <v/>
      </c>
      <c r="V1051" s="825" t="str">
        <f>+Modificaciones!AK1051</f>
        <v/>
      </c>
      <c r="W1051" s="825">
        <f t="shared" si="195"/>
        <v>0</v>
      </c>
      <c r="X1051" s="59">
        <f t="shared" si="196"/>
        <v>0</v>
      </c>
      <c r="Y1051" s="151">
        <f>VLOOKUP(E1051,Modificaciones!$B$7:$BE$2300,56,0)</f>
        <v>0</v>
      </c>
      <c r="Z1051" s="84">
        <f t="shared" si="197"/>
        <v>0</v>
      </c>
      <c r="AA1051" s="1000"/>
      <c r="AB1051" s="823" t="e">
        <f t="shared" si="198"/>
        <v>#DIV/0!</v>
      </c>
      <c r="AC1051" s="40" t="e">
        <f t="shared" ca="1" si="199"/>
        <v>#DIV/0!</v>
      </c>
      <c r="AD1051" s="41" t="e">
        <f t="shared" ca="1" si="200"/>
        <v>#DIV/0!</v>
      </c>
      <c r="AE1051" s="181" t="e">
        <f t="shared" ca="1" si="201"/>
        <v>#DIV/0!</v>
      </c>
      <c r="AF1051" s="42" t="e">
        <f t="shared" si="202"/>
        <v>#DIV/0!</v>
      </c>
      <c r="AG1051" s="838"/>
      <c r="AH1051" s="841"/>
      <c r="AI1051" s="841"/>
      <c r="AJ1051" s="838"/>
      <c r="AL1051" s="838"/>
      <c r="AM1051" s="838"/>
      <c r="AN1051" s="161" t="str">
        <f t="shared" ca="1" si="203"/>
        <v>TERMINO</v>
      </c>
      <c r="AO1051" s="414"/>
      <c r="AP1051" s="406"/>
      <c r="AQ1051" s="819" t="str">
        <f>IFERROR(VLOOKUP(E1051,'liquidaciones '!$B$2:$C$1048576,2,0),"NO")</f>
        <v>NO</v>
      </c>
      <c r="AR1051" s="909" t="str">
        <f>IFERROR(VLOOKUP(E1051,'liquidaciones '!$B$2:$I$1048576,8,0),"")</f>
        <v/>
      </c>
      <c r="AS1051" s="406"/>
      <c r="AT1051" s="156" t="str">
        <f t="shared" ca="1" si="204"/>
        <v>NO</v>
      </c>
      <c r="AU1051" s="1140"/>
      <c r="AV1051" s="1001"/>
      <c r="AX1051" s="928"/>
      <c r="AY1051" s="928"/>
    </row>
    <row r="1052" spans="3:51" x14ac:dyDescent="0.3">
      <c r="C1052" s="837"/>
      <c r="E1052" s="120"/>
      <c r="F1052" s="414"/>
      <c r="G1052" s="863"/>
      <c r="H1052" s="969"/>
      <c r="I1052" s="84"/>
      <c r="J1052" s="839"/>
      <c r="K1052" s="269"/>
      <c r="L1052" s="519"/>
      <c r="M1052" s="840"/>
      <c r="N1052" s="840"/>
      <c r="O1052" s="1099" t="str">
        <f>IF(+Modificaciones!I1052=0,"",VLOOKUP(E1052,Modificaciones!$B$7:$I$2400,8,0))</f>
        <v/>
      </c>
      <c r="P1052" s="115">
        <f>COUNTA(Modificaciones!J1052,Modificaciones!L1052,Modificaciones!N1052,Modificaciones!P1052)</f>
        <v>0</v>
      </c>
      <c r="Q1052" s="116">
        <f>VLOOKUP(E1052,Modificaciones!$B$7:$R$2300,17,0)</f>
        <v>0</v>
      </c>
      <c r="R1052" s="117">
        <f>COUNTA(Modificaciones!T1052,Modificaciones!V1052,Modificaciones!X1052,Modificaciones!Z1052)</f>
        <v>0</v>
      </c>
      <c r="S1052" s="118" t="str">
        <f>IF(Modificaciones!AA1052=0,"",VLOOKUP(E1052,Modificaciones!$B$7:$AA$2400,26,0))</f>
        <v/>
      </c>
      <c r="T1052" s="119" t="str">
        <f>IF(Modificaciones!AB1052=0,"",VLOOKUP(E1052,Modificaciones!$B$7:$AB$2400,27,0))</f>
        <v/>
      </c>
      <c r="U1052" s="1080" t="str">
        <f>+Modificaciones!AC1052</f>
        <v/>
      </c>
      <c r="V1052" s="825" t="str">
        <f>+Modificaciones!AK1052</f>
        <v/>
      </c>
      <c r="W1052" s="825">
        <f t="shared" si="195"/>
        <v>0</v>
      </c>
      <c r="X1052" s="59">
        <f t="shared" si="196"/>
        <v>0</v>
      </c>
      <c r="Y1052" s="151">
        <f>VLOOKUP(E1052,Modificaciones!$B$7:$BE$2300,56,0)</f>
        <v>0</v>
      </c>
      <c r="Z1052" s="84">
        <f t="shared" si="197"/>
        <v>0</v>
      </c>
      <c r="AA1052" s="1000"/>
      <c r="AB1052" s="823" t="e">
        <f t="shared" si="198"/>
        <v>#DIV/0!</v>
      </c>
      <c r="AC1052" s="40" t="e">
        <f t="shared" ca="1" si="199"/>
        <v>#DIV/0!</v>
      </c>
      <c r="AD1052" s="41" t="e">
        <f t="shared" ca="1" si="200"/>
        <v>#DIV/0!</v>
      </c>
      <c r="AE1052" s="181" t="e">
        <f t="shared" ca="1" si="201"/>
        <v>#DIV/0!</v>
      </c>
      <c r="AF1052" s="42" t="e">
        <f t="shared" si="202"/>
        <v>#DIV/0!</v>
      </c>
      <c r="AG1052" s="838"/>
      <c r="AH1052" s="841"/>
      <c r="AI1052" s="841"/>
      <c r="AJ1052" s="838"/>
      <c r="AL1052" s="838"/>
      <c r="AM1052" s="838"/>
      <c r="AN1052" s="161" t="str">
        <f t="shared" ca="1" si="203"/>
        <v>TERMINO</v>
      </c>
      <c r="AO1052" s="414"/>
      <c r="AP1052" s="406"/>
      <c r="AQ1052" s="819" t="str">
        <f>IFERROR(VLOOKUP(E1052,'liquidaciones '!$B$2:$C$1048576,2,0),"NO")</f>
        <v>NO</v>
      </c>
      <c r="AR1052" s="909" t="str">
        <f>IFERROR(VLOOKUP(E1052,'liquidaciones '!$B$2:$I$1048576,8,0),"")</f>
        <v/>
      </c>
      <c r="AS1052" s="406"/>
      <c r="AT1052" s="156" t="str">
        <f t="shared" ca="1" si="204"/>
        <v>NO</v>
      </c>
      <c r="AU1052" s="1140"/>
      <c r="AV1052" s="1001"/>
      <c r="AX1052" s="928"/>
      <c r="AY1052" s="928"/>
    </row>
    <row r="1053" spans="3:51" x14ac:dyDescent="0.3">
      <c r="C1053" s="837"/>
      <c r="E1053" s="120"/>
      <c r="F1053" s="414"/>
      <c r="G1053" s="863"/>
      <c r="H1053" s="969"/>
      <c r="I1053" s="84"/>
      <c r="J1053" s="839"/>
      <c r="K1053" s="269"/>
      <c r="L1053" s="519"/>
      <c r="M1053" s="840"/>
      <c r="N1053" s="840"/>
      <c r="O1053" s="1099" t="str">
        <f>IF(+Modificaciones!I1053=0,"",VLOOKUP(E1053,Modificaciones!$B$7:$I$2400,8,0))</f>
        <v/>
      </c>
      <c r="P1053" s="115">
        <f>COUNTA(Modificaciones!J1053,Modificaciones!L1053,Modificaciones!N1053,Modificaciones!P1053)</f>
        <v>0</v>
      </c>
      <c r="Q1053" s="116">
        <f>VLOOKUP(E1053,Modificaciones!$B$7:$R$2300,17,0)</f>
        <v>0</v>
      </c>
      <c r="R1053" s="117">
        <f>COUNTA(Modificaciones!T1053,Modificaciones!V1053,Modificaciones!X1053,Modificaciones!Z1053)</f>
        <v>0</v>
      </c>
      <c r="S1053" s="118" t="str">
        <f>IF(Modificaciones!AA1053=0,"",VLOOKUP(E1053,Modificaciones!$B$7:$AA$2400,26,0))</f>
        <v/>
      </c>
      <c r="T1053" s="119" t="str">
        <f>IF(Modificaciones!AB1053=0,"",VLOOKUP(E1053,Modificaciones!$B$7:$AB$2400,27,0))</f>
        <v/>
      </c>
      <c r="U1053" s="1080" t="str">
        <f>+Modificaciones!AC1053</f>
        <v/>
      </c>
      <c r="V1053" s="825" t="str">
        <f>+Modificaciones!AK1053</f>
        <v/>
      </c>
      <c r="W1053" s="825">
        <f t="shared" si="195"/>
        <v>0</v>
      </c>
      <c r="X1053" s="59">
        <f t="shared" si="196"/>
        <v>0</v>
      </c>
      <c r="Y1053" s="151">
        <f>VLOOKUP(E1053,Modificaciones!$B$7:$BE$2300,56,0)</f>
        <v>0</v>
      </c>
      <c r="Z1053" s="84">
        <f t="shared" si="197"/>
        <v>0</v>
      </c>
      <c r="AA1053" s="1000"/>
      <c r="AB1053" s="823" t="e">
        <f t="shared" si="198"/>
        <v>#DIV/0!</v>
      </c>
      <c r="AC1053" s="40" t="e">
        <f t="shared" ca="1" si="199"/>
        <v>#DIV/0!</v>
      </c>
      <c r="AD1053" s="41" t="e">
        <f t="shared" ca="1" si="200"/>
        <v>#DIV/0!</v>
      </c>
      <c r="AE1053" s="181" t="e">
        <f t="shared" ca="1" si="201"/>
        <v>#DIV/0!</v>
      </c>
      <c r="AF1053" s="42" t="e">
        <f t="shared" si="202"/>
        <v>#DIV/0!</v>
      </c>
      <c r="AG1053" s="838"/>
      <c r="AH1053" s="841"/>
      <c r="AI1053" s="841"/>
      <c r="AJ1053" s="838"/>
      <c r="AL1053" s="838"/>
      <c r="AM1053" s="838"/>
      <c r="AN1053" s="161" t="str">
        <f t="shared" ca="1" si="203"/>
        <v>TERMINO</v>
      </c>
      <c r="AO1053" s="414"/>
      <c r="AP1053" s="406"/>
      <c r="AQ1053" s="819" t="str">
        <f>IFERROR(VLOOKUP(E1053,'liquidaciones '!$B$2:$C$1048576,2,0),"NO")</f>
        <v>NO</v>
      </c>
      <c r="AR1053" s="909" t="str">
        <f>IFERROR(VLOOKUP(E1053,'liquidaciones '!$B$2:$I$1048576,8,0),"")</f>
        <v/>
      </c>
      <c r="AS1053" s="406"/>
      <c r="AT1053" s="156" t="str">
        <f t="shared" ca="1" si="204"/>
        <v>NO</v>
      </c>
      <c r="AU1053" s="1140"/>
      <c r="AV1053" s="1001"/>
      <c r="AX1053" s="928"/>
      <c r="AY1053" s="928"/>
    </row>
    <row r="1054" spans="3:51" x14ac:dyDescent="0.3">
      <c r="C1054" s="837"/>
      <c r="E1054" s="120"/>
      <c r="F1054" s="414"/>
      <c r="G1054" s="863"/>
      <c r="H1054" s="969"/>
      <c r="I1054" s="84"/>
      <c r="J1054" s="839"/>
      <c r="K1054" s="269"/>
      <c r="L1054" s="519"/>
      <c r="M1054" s="840"/>
      <c r="N1054" s="840"/>
      <c r="O1054" s="1099" t="str">
        <f>IF(+Modificaciones!I1054=0,"",VLOOKUP(E1054,Modificaciones!$B$7:$I$2400,8,0))</f>
        <v/>
      </c>
      <c r="P1054" s="115">
        <f>COUNTA(Modificaciones!J1054,Modificaciones!L1054,Modificaciones!N1054,Modificaciones!P1054)</f>
        <v>0</v>
      </c>
      <c r="Q1054" s="116">
        <f>VLOOKUP(E1054,Modificaciones!$B$7:$R$2300,17,0)</f>
        <v>0</v>
      </c>
      <c r="R1054" s="117">
        <f>COUNTA(Modificaciones!T1054,Modificaciones!V1054,Modificaciones!X1054,Modificaciones!Z1054)</f>
        <v>0</v>
      </c>
      <c r="S1054" s="118" t="str">
        <f>IF(Modificaciones!AA1054=0,"",VLOOKUP(E1054,Modificaciones!$B$7:$AA$2400,26,0))</f>
        <v/>
      </c>
      <c r="T1054" s="119" t="str">
        <f>IF(Modificaciones!AB1054=0,"",VLOOKUP(E1054,Modificaciones!$B$7:$AB$2400,27,0))</f>
        <v/>
      </c>
      <c r="U1054" s="1080" t="str">
        <f>+Modificaciones!AC1054</f>
        <v/>
      </c>
      <c r="V1054" s="825" t="str">
        <f>+Modificaciones!AK1054</f>
        <v/>
      </c>
      <c r="W1054" s="825">
        <f t="shared" si="195"/>
        <v>0</v>
      </c>
      <c r="X1054" s="59">
        <f t="shared" si="196"/>
        <v>0</v>
      </c>
      <c r="Y1054" s="151">
        <f>VLOOKUP(E1054,Modificaciones!$B$7:$BE$2300,56,0)</f>
        <v>0</v>
      </c>
      <c r="Z1054" s="84">
        <f t="shared" si="197"/>
        <v>0</v>
      </c>
      <c r="AA1054" s="1000"/>
      <c r="AB1054" s="823" t="e">
        <f t="shared" si="198"/>
        <v>#DIV/0!</v>
      </c>
      <c r="AC1054" s="40" t="e">
        <f t="shared" ca="1" si="199"/>
        <v>#DIV/0!</v>
      </c>
      <c r="AD1054" s="41" t="e">
        <f t="shared" ca="1" si="200"/>
        <v>#DIV/0!</v>
      </c>
      <c r="AE1054" s="181" t="e">
        <f t="shared" ca="1" si="201"/>
        <v>#DIV/0!</v>
      </c>
      <c r="AF1054" s="42" t="e">
        <f t="shared" si="202"/>
        <v>#DIV/0!</v>
      </c>
      <c r="AG1054" s="838"/>
      <c r="AH1054" s="841"/>
      <c r="AI1054" s="841"/>
      <c r="AJ1054" s="838"/>
      <c r="AL1054" s="838"/>
      <c r="AM1054" s="838"/>
      <c r="AN1054" s="161" t="str">
        <f t="shared" ca="1" si="203"/>
        <v>TERMINO</v>
      </c>
      <c r="AO1054" s="414"/>
      <c r="AP1054" s="406"/>
      <c r="AQ1054" s="819" t="str">
        <f>IFERROR(VLOOKUP(E1054,'liquidaciones '!$B$2:$C$1048576,2,0),"NO")</f>
        <v>NO</v>
      </c>
      <c r="AR1054" s="909" t="str">
        <f>IFERROR(VLOOKUP(E1054,'liquidaciones '!$B$2:$I$1048576,8,0),"")</f>
        <v/>
      </c>
      <c r="AS1054" s="406"/>
      <c r="AT1054" s="156" t="str">
        <f t="shared" ca="1" si="204"/>
        <v>NO</v>
      </c>
      <c r="AU1054" s="1140"/>
      <c r="AV1054" s="1001"/>
      <c r="AX1054" s="928"/>
      <c r="AY1054" s="928"/>
    </row>
    <row r="1055" spans="3:51" x14ac:dyDescent="0.3">
      <c r="C1055" s="837"/>
      <c r="E1055" s="120"/>
      <c r="F1055" s="414"/>
      <c r="G1055" s="863"/>
      <c r="H1055" s="969"/>
      <c r="I1055" s="84"/>
      <c r="J1055" s="839"/>
      <c r="K1055" s="269"/>
      <c r="L1055" s="519"/>
      <c r="M1055" s="840"/>
      <c r="N1055" s="840"/>
      <c r="O1055" s="1099" t="str">
        <f>IF(+Modificaciones!I1055=0,"",VLOOKUP(E1055,Modificaciones!$B$7:$I$2400,8,0))</f>
        <v/>
      </c>
      <c r="P1055" s="115">
        <f>COUNTA(Modificaciones!J1055,Modificaciones!L1055,Modificaciones!N1055,Modificaciones!P1055)</f>
        <v>0</v>
      </c>
      <c r="Q1055" s="116">
        <f>VLOOKUP(E1055,Modificaciones!$B$7:$R$2300,17,0)</f>
        <v>0</v>
      </c>
      <c r="R1055" s="117">
        <f>COUNTA(Modificaciones!T1055,Modificaciones!V1055,Modificaciones!X1055,Modificaciones!Z1055)</f>
        <v>0</v>
      </c>
      <c r="S1055" s="118" t="str">
        <f>IF(Modificaciones!AA1055=0,"",VLOOKUP(E1055,Modificaciones!$B$7:$AA$2400,26,0))</f>
        <v/>
      </c>
      <c r="T1055" s="119" t="str">
        <f>IF(Modificaciones!AB1055=0,"",VLOOKUP(E1055,Modificaciones!$B$7:$AB$2400,27,0))</f>
        <v/>
      </c>
      <c r="U1055" s="1080" t="str">
        <f>+Modificaciones!AC1055</f>
        <v/>
      </c>
      <c r="V1055" s="825" t="str">
        <f>+Modificaciones!AK1055</f>
        <v/>
      </c>
      <c r="W1055" s="825">
        <f t="shared" si="195"/>
        <v>0</v>
      </c>
      <c r="X1055" s="59">
        <f t="shared" si="196"/>
        <v>0</v>
      </c>
      <c r="Y1055" s="151">
        <f>VLOOKUP(E1055,Modificaciones!$B$7:$BE$2300,56,0)</f>
        <v>0</v>
      </c>
      <c r="Z1055" s="84">
        <f t="shared" si="197"/>
        <v>0</v>
      </c>
      <c r="AA1055" s="1000"/>
      <c r="AB1055" s="823" t="e">
        <f t="shared" si="198"/>
        <v>#DIV/0!</v>
      </c>
      <c r="AC1055" s="40" t="e">
        <f t="shared" ca="1" si="199"/>
        <v>#DIV/0!</v>
      </c>
      <c r="AD1055" s="41" t="e">
        <f t="shared" ca="1" si="200"/>
        <v>#DIV/0!</v>
      </c>
      <c r="AE1055" s="181" t="e">
        <f t="shared" ca="1" si="201"/>
        <v>#DIV/0!</v>
      </c>
      <c r="AF1055" s="42" t="e">
        <f t="shared" si="202"/>
        <v>#DIV/0!</v>
      </c>
      <c r="AG1055" s="838"/>
      <c r="AH1055" s="841"/>
      <c r="AI1055" s="841"/>
      <c r="AJ1055" s="838"/>
      <c r="AL1055" s="838"/>
      <c r="AM1055" s="838"/>
      <c r="AN1055" s="161" t="str">
        <f t="shared" ca="1" si="203"/>
        <v>TERMINO</v>
      </c>
      <c r="AO1055" s="414"/>
      <c r="AP1055" s="406"/>
      <c r="AQ1055" s="819" t="str">
        <f>IFERROR(VLOOKUP(E1055,'liquidaciones '!$B$2:$C$1048576,2,0),"NO")</f>
        <v>NO</v>
      </c>
      <c r="AR1055" s="909" t="str">
        <f>IFERROR(VLOOKUP(E1055,'liquidaciones '!$B$2:$I$1048576,8,0),"")</f>
        <v/>
      </c>
      <c r="AS1055" s="406"/>
      <c r="AT1055" s="156" t="str">
        <f t="shared" ca="1" si="204"/>
        <v>NO</v>
      </c>
      <c r="AU1055" s="1140"/>
      <c r="AV1055" s="1001"/>
      <c r="AX1055" s="928"/>
      <c r="AY1055" s="928"/>
    </row>
    <row r="1056" spans="3:51" x14ac:dyDescent="0.3">
      <c r="C1056" s="837"/>
      <c r="E1056" s="120"/>
      <c r="F1056" s="414"/>
      <c r="G1056" s="863"/>
      <c r="H1056" s="969"/>
      <c r="I1056" s="84"/>
      <c r="J1056" s="839"/>
      <c r="K1056" s="269"/>
      <c r="L1056" s="519"/>
      <c r="M1056" s="840"/>
      <c r="N1056" s="840"/>
      <c r="O1056" s="1099" t="str">
        <f>IF(+Modificaciones!I1056=0,"",VLOOKUP(E1056,Modificaciones!$B$7:$I$2400,8,0))</f>
        <v/>
      </c>
      <c r="P1056" s="115">
        <f>COUNTA(Modificaciones!J1056,Modificaciones!L1056,Modificaciones!N1056,Modificaciones!P1056)</f>
        <v>0</v>
      </c>
      <c r="Q1056" s="116">
        <f>VLOOKUP(E1056,Modificaciones!$B$7:$R$2300,17,0)</f>
        <v>0</v>
      </c>
      <c r="R1056" s="117">
        <f>COUNTA(Modificaciones!T1056,Modificaciones!V1056,Modificaciones!X1056,Modificaciones!Z1056)</f>
        <v>0</v>
      </c>
      <c r="S1056" s="118" t="str">
        <f>IF(Modificaciones!AA1056=0,"",VLOOKUP(E1056,Modificaciones!$B$7:$AA$2400,26,0))</f>
        <v/>
      </c>
      <c r="T1056" s="119" t="str">
        <f>IF(Modificaciones!AB1056=0,"",VLOOKUP(E1056,Modificaciones!$B$7:$AB$2400,27,0))</f>
        <v/>
      </c>
      <c r="U1056" s="1080" t="str">
        <f>+Modificaciones!AC1056</f>
        <v/>
      </c>
      <c r="V1056" s="825" t="str">
        <f>+Modificaciones!AK1056</f>
        <v/>
      </c>
      <c r="W1056" s="825">
        <f t="shared" si="195"/>
        <v>0</v>
      </c>
      <c r="X1056" s="59">
        <f t="shared" si="196"/>
        <v>0</v>
      </c>
      <c r="Y1056" s="151">
        <f>VLOOKUP(E1056,Modificaciones!$B$7:$BE$2300,56,0)</f>
        <v>0</v>
      </c>
      <c r="Z1056" s="84">
        <f t="shared" si="197"/>
        <v>0</v>
      </c>
      <c r="AA1056" s="1000"/>
      <c r="AB1056" s="823" t="e">
        <f t="shared" si="198"/>
        <v>#DIV/0!</v>
      </c>
      <c r="AC1056" s="40" t="e">
        <f t="shared" ca="1" si="199"/>
        <v>#DIV/0!</v>
      </c>
      <c r="AD1056" s="41" t="e">
        <f t="shared" ca="1" si="200"/>
        <v>#DIV/0!</v>
      </c>
      <c r="AE1056" s="181" t="e">
        <f t="shared" ca="1" si="201"/>
        <v>#DIV/0!</v>
      </c>
      <c r="AF1056" s="42" t="e">
        <f t="shared" si="202"/>
        <v>#DIV/0!</v>
      </c>
      <c r="AG1056" s="838"/>
      <c r="AH1056" s="841"/>
      <c r="AI1056" s="841"/>
      <c r="AJ1056" s="838"/>
      <c r="AL1056" s="838"/>
      <c r="AM1056" s="838"/>
      <c r="AN1056" s="161" t="str">
        <f t="shared" ca="1" si="203"/>
        <v>TERMINO</v>
      </c>
      <c r="AO1056" s="414"/>
      <c r="AP1056" s="406"/>
      <c r="AQ1056" s="819" t="str">
        <f>IFERROR(VLOOKUP(E1056,'liquidaciones '!$B$2:$C$1048576,2,0),"NO")</f>
        <v>NO</v>
      </c>
      <c r="AR1056" s="909" t="str">
        <f>IFERROR(VLOOKUP(E1056,'liquidaciones '!$B$2:$I$1048576,8,0),"")</f>
        <v/>
      </c>
      <c r="AS1056" s="406"/>
      <c r="AT1056" s="156" t="str">
        <f t="shared" ca="1" si="204"/>
        <v>NO</v>
      </c>
      <c r="AU1056" s="1140"/>
      <c r="AV1056" s="1001"/>
      <c r="AX1056" s="928"/>
      <c r="AY1056" s="928"/>
    </row>
    <row r="1057" spans="3:51" x14ac:dyDescent="0.3">
      <c r="C1057" s="837"/>
      <c r="E1057" s="120"/>
      <c r="F1057" s="414"/>
      <c r="G1057" s="863"/>
      <c r="H1057" s="969"/>
      <c r="I1057" s="84"/>
      <c r="J1057" s="839"/>
      <c r="K1057" s="269"/>
      <c r="L1057" s="519"/>
      <c r="M1057" s="840"/>
      <c r="N1057" s="840"/>
      <c r="O1057" s="1099" t="str">
        <f>IF(+Modificaciones!I1057=0,"",VLOOKUP(E1057,Modificaciones!$B$7:$I$2400,8,0))</f>
        <v/>
      </c>
      <c r="P1057" s="115">
        <f>COUNTA(Modificaciones!J1057,Modificaciones!L1057,Modificaciones!N1057,Modificaciones!P1057)</f>
        <v>0</v>
      </c>
      <c r="Q1057" s="116">
        <f>VLOOKUP(E1057,Modificaciones!$B$7:$R$2300,17,0)</f>
        <v>0</v>
      </c>
      <c r="R1057" s="117">
        <f>COUNTA(Modificaciones!T1057,Modificaciones!V1057,Modificaciones!X1057,Modificaciones!Z1057)</f>
        <v>0</v>
      </c>
      <c r="S1057" s="118" t="str">
        <f>IF(Modificaciones!AA1057=0,"",VLOOKUP(E1057,Modificaciones!$B$7:$AA$2400,26,0))</f>
        <v/>
      </c>
      <c r="T1057" s="119" t="str">
        <f>IF(Modificaciones!AB1057=0,"",VLOOKUP(E1057,Modificaciones!$B$7:$AB$2400,27,0))</f>
        <v/>
      </c>
      <c r="U1057" s="1080" t="str">
        <f>+Modificaciones!AC1057</f>
        <v/>
      </c>
      <c r="V1057" s="825" t="str">
        <f>+Modificaciones!AK1057</f>
        <v/>
      </c>
      <c r="W1057" s="825">
        <f t="shared" si="195"/>
        <v>0</v>
      </c>
      <c r="X1057" s="59">
        <f t="shared" si="196"/>
        <v>0</v>
      </c>
      <c r="Y1057" s="151">
        <f>VLOOKUP(E1057,Modificaciones!$B$7:$BE$2300,56,0)</f>
        <v>0</v>
      </c>
      <c r="Z1057" s="84">
        <f t="shared" si="197"/>
        <v>0</v>
      </c>
      <c r="AA1057" s="1000"/>
      <c r="AB1057" s="823" t="e">
        <f t="shared" si="198"/>
        <v>#DIV/0!</v>
      </c>
      <c r="AC1057" s="40" t="e">
        <f t="shared" ca="1" si="199"/>
        <v>#DIV/0!</v>
      </c>
      <c r="AD1057" s="41" t="e">
        <f t="shared" ca="1" si="200"/>
        <v>#DIV/0!</v>
      </c>
      <c r="AE1057" s="181" t="e">
        <f t="shared" ca="1" si="201"/>
        <v>#DIV/0!</v>
      </c>
      <c r="AF1057" s="42" t="e">
        <f t="shared" si="202"/>
        <v>#DIV/0!</v>
      </c>
      <c r="AG1057" s="838"/>
      <c r="AH1057" s="841"/>
      <c r="AI1057" s="841"/>
      <c r="AJ1057" s="838"/>
      <c r="AL1057" s="838"/>
      <c r="AM1057" s="838"/>
      <c r="AN1057" s="161" t="str">
        <f t="shared" ca="1" si="203"/>
        <v>TERMINO</v>
      </c>
      <c r="AO1057" s="414"/>
      <c r="AP1057" s="406"/>
      <c r="AQ1057" s="819" t="str">
        <f>IFERROR(VLOOKUP(E1057,'liquidaciones '!$B$2:$C$1048576,2,0),"NO")</f>
        <v>NO</v>
      </c>
      <c r="AR1057" s="909" t="str">
        <f>IFERROR(VLOOKUP(E1057,'liquidaciones '!$B$2:$I$1048576,8,0),"")</f>
        <v/>
      </c>
      <c r="AS1057" s="406"/>
      <c r="AT1057" s="156" t="str">
        <f t="shared" ca="1" si="204"/>
        <v>NO</v>
      </c>
      <c r="AU1057" s="1140"/>
      <c r="AV1057" s="1001"/>
      <c r="AX1057" s="928"/>
      <c r="AY1057" s="928"/>
    </row>
    <row r="1058" spans="3:51" x14ac:dyDescent="0.3">
      <c r="C1058" s="837"/>
      <c r="E1058" s="120"/>
      <c r="F1058" s="414"/>
      <c r="G1058" s="863"/>
      <c r="H1058" s="969"/>
      <c r="I1058" s="84"/>
      <c r="J1058" s="839"/>
      <c r="K1058" s="269"/>
      <c r="L1058" s="519"/>
      <c r="M1058" s="840"/>
      <c r="N1058" s="840"/>
      <c r="O1058" s="1099" t="str">
        <f>IF(+Modificaciones!I1058=0,"",VLOOKUP(E1058,Modificaciones!$B$7:$I$2400,8,0))</f>
        <v/>
      </c>
      <c r="P1058" s="115">
        <f>COUNTA(Modificaciones!J1058,Modificaciones!L1058,Modificaciones!N1058,Modificaciones!P1058)</f>
        <v>0</v>
      </c>
      <c r="Q1058" s="116">
        <f>VLOOKUP(E1058,Modificaciones!$B$7:$R$2300,17,0)</f>
        <v>0</v>
      </c>
      <c r="R1058" s="117">
        <f>COUNTA(Modificaciones!T1058,Modificaciones!V1058,Modificaciones!X1058,Modificaciones!Z1058)</f>
        <v>0</v>
      </c>
      <c r="S1058" s="118" t="str">
        <f>IF(Modificaciones!AA1058=0,"",VLOOKUP(E1058,Modificaciones!$B$7:$AA$2400,26,0))</f>
        <v/>
      </c>
      <c r="T1058" s="119" t="str">
        <f>IF(Modificaciones!AB1058=0,"",VLOOKUP(E1058,Modificaciones!$B$7:$AB$2400,27,0))</f>
        <v/>
      </c>
      <c r="U1058" s="1080" t="str">
        <f>+Modificaciones!AC1058</f>
        <v/>
      </c>
      <c r="V1058" s="825" t="str">
        <f>+Modificaciones!AK1058</f>
        <v/>
      </c>
      <c r="W1058" s="825">
        <f t="shared" si="195"/>
        <v>0</v>
      </c>
      <c r="X1058" s="59">
        <f t="shared" si="196"/>
        <v>0</v>
      </c>
      <c r="Y1058" s="151">
        <f>VLOOKUP(E1058,Modificaciones!$B$7:$BE$2300,56,0)</f>
        <v>0</v>
      </c>
      <c r="Z1058" s="84">
        <f t="shared" si="197"/>
        <v>0</v>
      </c>
      <c r="AA1058" s="1000"/>
      <c r="AB1058" s="823" t="e">
        <f t="shared" si="198"/>
        <v>#DIV/0!</v>
      </c>
      <c r="AC1058" s="40" t="e">
        <f t="shared" ca="1" si="199"/>
        <v>#DIV/0!</v>
      </c>
      <c r="AD1058" s="41" t="e">
        <f t="shared" ca="1" si="200"/>
        <v>#DIV/0!</v>
      </c>
      <c r="AE1058" s="181" t="e">
        <f t="shared" ca="1" si="201"/>
        <v>#DIV/0!</v>
      </c>
      <c r="AF1058" s="42" t="e">
        <f t="shared" si="202"/>
        <v>#DIV/0!</v>
      </c>
      <c r="AG1058" s="838"/>
      <c r="AH1058" s="841"/>
      <c r="AI1058" s="841"/>
      <c r="AJ1058" s="838"/>
      <c r="AL1058" s="838"/>
      <c r="AM1058" s="838"/>
      <c r="AN1058" s="161" t="str">
        <f t="shared" ca="1" si="203"/>
        <v>TERMINO</v>
      </c>
      <c r="AO1058" s="414"/>
      <c r="AP1058" s="406"/>
      <c r="AQ1058" s="819" t="str">
        <f>IFERROR(VLOOKUP(E1058,'liquidaciones '!$B$2:$C$1048576,2,0),"NO")</f>
        <v>NO</v>
      </c>
      <c r="AR1058" s="909" t="str">
        <f>IFERROR(VLOOKUP(E1058,'liquidaciones '!$B$2:$I$1048576,8,0),"")</f>
        <v/>
      </c>
      <c r="AS1058" s="406"/>
      <c r="AT1058" s="156" t="str">
        <f t="shared" ca="1" si="204"/>
        <v>NO</v>
      </c>
      <c r="AU1058" s="1140"/>
      <c r="AV1058" s="1001"/>
      <c r="AX1058" s="928"/>
      <c r="AY1058" s="928"/>
    </row>
    <row r="1059" spans="3:51" x14ac:dyDescent="0.3">
      <c r="C1059" s="837"/>
      <c r="E1059" s="120"/>
      <c r="F1059" s="414"/>
      <c r="G1059" s="863"/>
      <c r="H1059" s="969"/>
      <c r="I1059" s="84"/>
      <c r="J1059" s="839"/>
      <c r="K1059" s="269"/>
      <c r="L1059" s="519"/>
      <c r="M1059" s="840"/>
      <c r="N1059" s="840"/>
      <c r="O1059" s="1099" t="str">
        <f>IF(+Modificaciones!I1059=0,"",VLOOKUP(E1059,Modificaciones!$B$7:$I$2400,8,0))</f>
        <v/>
      </c>
      <c r="P1059" s="115">
        <f>COUNTA(Modificaciones!J1059,Modificaciones!L1059,Modificaciones!N1059,Modificaciones!P1059)</f>
        <v>0</v>
      </c>
      <c r="Q1059" s="116">
        <f>VLOOKUP(E1059,Modificaciones!$B$7:$R$2300,17,0)</f>
        <v>0</v>
      </c>
      <c r="R1059" s="117">
        <f>COUNTA(Modificaciones!T1059,Modificaciones!V1059,Modificaciones!X1059,Modificaciones!Z1059)</f>
        <v>0</v>
      </c>
      <c r="S1059" s="118" t="str">
        <f>IF(Modificaciones!AA1059=0,"",VLOOKUP(E1059,Modificaciones!$B$7:$AA$2400,26,0))</f>
        <v/>
      </c>
      <c r="T1059" s="119" t="str">
        <f>IF(Modificaciones!AB1059=0,"",VLOOKUP(E1059,Modificaciones!$B$7:$AB$2400,27,0))</f>
        <v/>
      </c>
      <c r="U1059" s="1080" t="str">
        <f>+Modificaciones!AC1059</f>
        <v/>
      </c>
      <c r="V1059" s="825" t="str">
        <f>+Modificaciones!AK1059</f>
        <v/>
      </c>
      <c r="W1059" s="825">
        <f t="shared" si="195"/>
        <v>0</v>
      </c>
      <c r="X1059" s="59">
        <f t="shared" si="196"/>
        <v>0</v>
      </c>
      <c r="Y1059" s="151">
        <f>VLOOKUP(E1059,Modificaciones!$B$7:$BE$2300,56,0)</f>
        <v>0</v>
      </c>
      <c r="Z1059" s="84">
        <f t="shared" si="197"/>
        <v>0</v>
      </c>
      <c r="AA1059" s="1000"/>
      <c r="AB1059" s="823" t="e">
        <f t="shared" si="198"/>
        <v>#DIV/0!</v>
      </c>
      <c r="AC1059" s="40" t="e">
        <f t="shared" ca="1" si="199"/>
        <v>#DIV/0!</v>
      </c>
      <c r="AD1059" s="41" t="e">
        <f t="shared" ca="1" si="200"/>
        <v>#DIV/0!</v>
      </c>
      <c r="AE1059" s="181" t="e">
        <f t="shared" ca="1" si="201"/>
        <v>#DIV/0!</v>
      </c>
      <c r="AF1059" s="42" t="e">
        <f t="shared" si="202"/>
        <v>#DIV/0!</v>
      </c>
      <c r="AG1059" s="838"/>
      <c r="AH1059" s="841"/>
      <c r="AI1059" s="841"/>
      <c r="AJ1059" s="838"/>
      <c r="AL1059" s="838"/>
      <c r="AM1059" s="838"/>
      <c r="AN1059" s="161" t="str">
        <f t="shared" ca="1" si="203"/>
        <v>TERMINO</v>
      </c>
      <c r="AO1059" s="414"/>
      <c r="AP1059" s="406"/>
      <c r="AQ1059" s="819" t="str">
        <f>IFERROR(VLOOKUP(E1059,'liquidaciones '!$B$2:$C$1048576,2,0),"NO")</f>
        <v>NO</v>
      </c>
      <c r="AR1059" s="909" t="str">
        <f>IFERROR(VLOOKUP(E1059,'liquidaciones '!$B$2:$I$1048576,8,0),"")</f>
        <v/>
      </c>
      <c r="AS1059" s="406"/>
      <c r="AT1059" s="156" t="str">
        <f t="shared" ca="1" si="204"/>
        <v>NO</v>
      </c>
      <c r="AU1059" s="1140"/>
      <c r="AV1059" s="1001"/>
      <c r="AX1059" s="928"/>
      <c r="AY1059" s="928"/>
    </row>
    <row r="1060" spans="3:51" x14ac:dyDescent="0.3">
      <c r="C1060" s="837"/>
      <c r="E1060" s="120"/>
      <c r="F1060" s="414"/>
      <c r="G1060" s="863"/>
      <c r="H1060" s="969"/>
      <c r="I1060" s="84"/>
      <c r="J1060" s="839"/>
      <c r="K1060" s="269"/>
      <c r="L1060" s="519"/>
      <c r="M1060" s="840"/>
      <c r="N1060" s="840"/>
      <c r="O1060" s="1099" t="str">
        <f>IF(+Modificaciones!I1060=0,"",VLOOKUP(E1060,Modificaciones!$B$7:$I$2400,8,0))</f>
        <v/>
      </c>
      <c r="P1060" s="115">
        <f>COUNTA(Modificaciones!J1060,Modificaciones!L1060,Modificaciones!N1060,Modificaciones!P1060)</f>
        <v>0</v>
      </c>
      <c r="Q1060" s="116">
        <f>VLOOKUP(E1060,Modificaciones!$B$7:$R$2300,17,0)</f>
        <v>0</v>
      </c>
      <c r="R1060" s="117">
        <f>COUNTA(Modificaciones!T1060,Modificaciones!V1060,Modificaciones!X1060,Modificaciones!Z1060)</f>
        <v>0</v>
      </c>
      <c r="S1060" s="118" t="str">
        <f>IF(Modificaciones!AA1060=0,"",VLOOKUP(E1060,Modificaciones!$B$7:$AA$2400,26,0))</f>
        <v/>
      </c>
      <c r="T1060" s="119" t="str">
        <f>IF(Modificaciones!AB1060=0,"",VLOOKUP(E1060,Modificaciones!$B$7:$AB$2400,27,0))</f>
        <v/>
      </c>
      <c r="U1060" s="1080" t="str">
        <f>+Modificaciones!AC1060</f>
        <v/>
      </c>
      <c r="V1060" s="825" t="str">
        <f>+Modificaciones!AK1060</f>
        <v/>
      </c>
      <c r="W1060" s="825">
        <f t="shared" si="195"/>
        <v>0</v>
      </c>
      <c r="X1060" s="59">
        <f t="shared" si="196"/>
        <v>0</v>
      </c>
      <c r="Y1060" s="151">
        <f>VLOOKUP(E1060,Modificaciones!$B$7:$BE$2300,56,0)</f>
        <v>0</v>
      </c>
      <c r="Z1060" s="84">
        <f t="shared" si="197"/>
        <v>0</v>
      </c>
      <c r="AA1060" s="1000"/>
      <c r="AB1060" s="823" t="e">
        <f t="shared" si="198"/>
        <v>#DIV/0!</v>
      </c>
      <c r="AC1060" s="40" t="e">
        <f t="shared" ca="1" si="199"/>
        <v>#DIV/0!</v>
      </c>
      <c r="AD1060" s="41" t="e">
        <f t="shared" ca="1" si="200"/>
        <v>#DIV/0!</v>
      </c>
      <c r="AE1060" s="181" t="e">
        <f t="shared" ca="1" si="201"/>
        <v>#DIV/0!</v>
      </c>
      <c r="AF1060" s="42" t="e">
        <f t="shared" si="202"/>
        <v>#DIV/0!</v>
      </c>
      <c r="AG1060" s="838"/>
      <c r="AH1060" s="841"/>
      <c r="AI1060" s="841"/>
      <c r="AJ1060" s="838"/>
      <c r="AL1060" s="838"/>
      <c r="AM1060" s="838"/>
      <c r="AN1060" s="161" t="str">
        <f t="shared" ca="1" si="203"/>
        <v>TERMINO</v>
      </c>
      <c r="AO1060" s="414"/>
      <c r="AP1060" s="406"/>
      <c r="AQ1060" s="819" t="str">
        <f>IFERROR(VLOOKUP(E1060,'liquidaciones '!$B$2:$C$1048576,2,0),"NO")</f>
        <v>NO</v>
      </c>
      <c r="AR1060" s="909" t="str">
        <f>IFERROR(VLOOKUP(E1060,'liquidaciones '!$B$2:$I$1048576,8,0),"")</f>
        <v/>
      </c>
      <c r="AS1060" s="406"/>
      <c r="AT1060" s="156" t="str">
        <f t="shared" ca="1" si="204"/>
        <v>NO</v>
      </c>
      <c r="AU1060" s="1140"/>
      <c r="AV1060" s="1001"/>
      <c r="AX1060" s="928"/>
      <c r="AY1060" s="928"/>
    </row>
    <row r="1061" spans="3:51" x14ac:dyDescent="0.3">
      <c r="C1061" s="837"/>
      <c r="E1061" s="120"/>
      <c r="F1061" s="414"/>
      <c r="G1061" s="863"/>
      <c r="H1061" s="969"/>
      <c r="I1061" s="84"/>
      <c r="J1061" s="839"/>
      <c r="K1061" s="269"/>
      <c r="L1061" s="519"/>
      <c r="M1061" s="840"/>
      <c r="N1061" s="840"/>
      <c r="O1061" s="1099" t="str">
        <f>IF(+Modificaciones!I1061=0,"",VLOOKUP(E1061,Modificaciones!$B$7:$I$2400,8,0))</f>
        <v/>
      </c>
      <c r="P1061" s="115">
        <f>COUNTA(Modificaciones!J1061,Modificaciones!L1061,Modificaciones!N1061,Modificaciones!P1061)</f>
        <v>0</v>
      </c>
      <c r="Q1061" s="116">
        <f>VLOOKUP(E1061,Modificaciones!$B$7:$R$2300,17,0)</f>
        <v>0</v>
      </c>
      <c r="R1061" s="117">
        <f>COUNTA(Modificaciones!T1061,Modificaciones!V1061,Modificaciones!X1061,Modificaciones!Z1061)</f>
        <v>0</v>
      </c>
      <c r="S1061" s="118" t="str">
        <f>IF(Modificaciones!AA1061=0,"",VLOOKUP(E1061,Modificaciones!$B$7:$AA$2400,26,0))</f>
        <v/>
      </c>
      <c r="T1061" s="119" t="str">
        <f>IF(Modificaciones!AB1061=0,"",VLOOKUP(E1061,Modificaciones!$B$7:$AB$2400,27,0))</f>
        <v/>
      </c>
      <c r="U1061" s="1080" t="str">
        <f>+Modificaciones!AC1061</f>
        <v/>
      </c>
      <c r="V1061" s="825" t="str">
        <f>+Modificaciones!AK1061</f>
        <v/>
      </c>
      <c r="W1061" s="825">
        <f t="shared" si="195"/>
        <v>0</v>
      </c>
      <c r="X1061" s="59">
        <f t="shared" si="196"/>
        <v>0</v>
      </c>
      <c r="Y1061" s="151">
        <f>VLOOKUP(E1061,Modificaciones!$B$7:$BE$2300,56,0)</f>
        <v>0</v>
      </c>
      <c r="Z1061" s="84">
        <f t="shared" si="197"/>
        <v>0</v>
      </c>
      <c r="AA1061" s="1000"/>
      <c r="AB1061" s="823" t="e">
        <f t="shared" si="198"/>
        <v>#DIV/0!</v>
      </c>
      <c r="AC1061" s="40" t="e">
        <f t="shared" ca="1" si="199"/>
        <v>#DIV/0!</v>
      </c>
      <c r="AD1061" s="41" t="e">
        <f t="shared" ca="1" si="200"/>
        <v>#DIV/0!</v>
      </c>
      <c r="AE1061" s="181" t="e">
        <f t="shared" ca="1" si="201"/>
        <v>#DIV/0!</v>
      </c>
      <c r="AF1061" s="42" t="e">
        <f t="shared" si="202"/>
        <v>#DIV/0!</v>
      </c>
      <c r="AG1061" s="838"/>
      <c r="AH1061" s="841"/>
      <c r="AI1061" s="841"/>
      <c r="AJ1061" s="838"/>
      <c r="AL1061" s="838"/>
      <c r="AM1061" s="838"/>
      <c r="AN1061" s="161" t="str">
        <f t="shared" ca="1" si="203"/>
        <v>TERMINO</v>
      </c>
      <c r="AO1061" s="414"/>
      <c r="AP1061" s="406"/>
      <c r="AQ1061" s="819" t="str">
        <f>IFERROR(VLOOKUP(E1061,'liquidaciones '!$B$2:$C$1048576,2,0),"NO")</f>
        <v>NO</v>
      </c>
      <c r="AR1061" s="909" t="str">
        <f>IFERROR(VLOOKUP(E1061,'liquidaciones '!$B$2:$I$1048576,8,0),"")</f>
        <v/>
      </c>
      <c r="AS1061" s="406"/>
      <c r="AT1061" s="156" t="str">
        <f t="shared" ca="1" si="204"/>
        <v>NO</v>
      </c>
      <c r="AU1061" s="1140"/>
      <c r="AV1061" s="1001"/>
      <c r="AX1061" s="928"/>
      <c r="AY1061" s="928"/>
    </row>
    <row r="1062" spans="3:51" x14ac:dyDescent="0.3">
      <c r="C1062" s="837"/>
      <c r="E1062" s="120"/>
      <c r="F1062" s="414"/>
      <c r="G1062" s="863"/>
      <c r="H1062" s="969"/>
      <c r="I1062" s="84"/>
      <c r="J1062" s="839"/>
      <c r="K1062" s="269"/>
      <c r="L1062" s="519"/>
      <c r="M1062" s="840"/>
      <c r="N1062" s="840"/>
      <c r="O1062" s="1099" t="str">
        <f>IF(+Modificaciones!I1062=0,"",VLOOKUP(E1062,Modificaciones!$B$7:$I$2400,8,0))</f>
        <v/>
      </c>
      <c r="P1062" s="115">
        <f>COUNTA(Modificaciones!J1062,Modificaciones!L1062,Modificaciones!N1062,Modificaciones!P1062)</f>
        <v>0</v>
      </c>
      <c r="Q1062" s="116">
        <f>VLOOKUP(E1062,Modificaciones!$B$7:$R$2300,17,0)</f>
        <v>0</v>
      </c>
      <c r="R1062" s="117">
        <f>COUNTA(Modificaciones!T1062,Modificaciones!V1062,Modificaciones!X1062,Modificaciones!Z1062)</f>
        <v>0</v>
      </c>
      <c r="S1062" s="118" t="str">
        <f>IF(Modificaciones!AA1062=0,"",VLOOKUP(E1062,Modificaciones!$B$7:$AA$2400,26,0))</f>
        <v/>
      </c>
      <c r="T1062" s="119" t="str">
        <f>IF(Modificaciones!AB1062=0,"",VLOOKUP(E1062,Modificaciones!$B$7:$AB$2400,27,0))</f>
        <v/>
      </c>
      <c r="U1062" s="1080" t="str">
        <f>+Modificaciones!AC1062</f>
        <v/>
      </c>
      <c r="V1062" s="825" t="str">
        <f>+Modificaciones!AK1062</f>
        <v/>
      </c>
      <c r="W1062" s="825">
        <f t="shared" si="195"/>
        <v>0</v>
      </c>
      <c r="X1062" s="59">
        <f t="shared" si="196"/>
        <v>0</v>
      </c>
      <c r="Y1062" s="151">
        <f>VLOOKUP(E1062,Modificaciones!$B$7:$BE$2300,56,0)</f>
        <v>0</v>
      </c>
      <c r="Z1062" s="84">
        <f t="shared" si="197"/>
        <v>0</v>
      </c>
      <c r="AA1062" s="1000"/>
      <c r="AB1062" s="823" t="e">
        <f t="shared" si="198"/>
        <v>#DIV/0!</v>
      </c>
      <c r="AC1062" s="40" t="e">
        <f t="shared" ca="1" si="199"/>
        <v>#DIV/0!</v>
      </c>
      <c r="AD1062" s="41" t="e">
        <f t="shared" ca="1" si="200"/>
        <v>#DIV/0!</v>
      </c>
      <c r="AE1062" s="181" t="e">
        <f t="shared" ca="1" si="201"/>
        <v>#DIV/0!</v>
      </c>
      <c r="AF1062" s="42" t="e">
        <f t="shared" si="202"/>
        <v>#DIV/0!</v>
      </c>
      <c r="AG1062" s="838"/>
      <c r="AH1062" s="841"/>
      <c r="AI1062" s="841"/>
      <c r="AJ1062" s="838"/>
      <c r="AL1062" s="838"/>
      <c r="AM1062" s="838"/>
      <c r="AN1062" s="161" t="str">
        <f t="shared" ca="1" si="203"/>
        <v>TERMINO</v>
      </c>
      <c r="AO1062" s="414"/>
      <c r="AP1062" s="406"/>
      <c r="AQ1062" s="819" t="str">
        <f>IFERROR(VLOOKUP(E1062,'liquidaciones '!$B$2:$C$1048576,2,0),"NO")</f>
        <v>NO</v>
      </c>
      <c r="AR1062" s="909" t="str">
        <f>IFERROR(VLOOKUP(E1062,'liquidaciones '!$B$2:$I$1048576,8,0),"")</f>
        <v/>
      </c>
      <c r="AS1062" s="406"/>
      <c r="AT1062" s="156" t="str">
        <f t="shared" ca="1" si="204"/>
        <v>NO</v>
      </c>
      <c r="AU1062" s="1140"/>
      <c r="AV1062" s="1001"/>
      <c r="AX1062" s="928"/>
      <c r="AY1062" s="928"/>
    </row>
    <row r="1063" spans="3:51" x14ac:dyDescent="0.3">
      <c r="C1063" s="837"/>
      <c r="E1063" s="120"/>
      <c r="F1063" s="414"/>
      <c r="G1063" s="863"/>
      <c r="H1063" s="969"/>
      <c r="I1063" s="84"/>
      <c r="J1063" s="839"/>
      <c r="K1063" s="269"/>
      <c r="L1063" s="519"/>
      <c r="M1063" s="840"/>
      <c r="N1063" s="840"/>
      <c r="O1063" s="1099" t="str">
        <f>IF(+Modificaciones!I1063=0,"",VLOOKUP(E1063,Modificaciones!$B$7:$I$2400,8,0))</f>
        <v/>
      </c>
      <c r="P1063" s="115">
        <f>COUNTA(Modificaciones!J1063,Modificaciones!L1063,Modificaciones!N1063,Modificaciones!P1063)</f>
        <v>0</v>
      </c>
      <c r="Q1063" s="116">
        <f>VLOOKUP(E1063,Modificaciones!$B$7:$R$2300,17,0)</f>
        <v>0</v>
      </c>
      <c r="R1063" s="117">
        <f>COUNTA(Modificaciones!T1063,Modificaciones!V1063,Modificaciones!X1063,Modificaciones!Z1063)</f>
        <v>0</v>
      </c>
      <c r="S1063" s="118" t="str">
        <f>IF(Modificaciones!AA1063=0,"",VLOOKUP(E1063,Modificaciones!$B$7:$AA$2400,26,0))</f>
        <v/>
      </c>
      <c r="T1063" s="119" t="str">
        <f>IF(Modificaciones!AB1063=0,"",VLOOKUP(E1063,Modificaciones!$B$7:$AB$2400,27,0))</f>
        <v/>
      </c>
      <c r="U1063" s="1080" t="str">
        <f>+Modificaciones!AC1063</f>
        <v/>
      </c>
      <c r="V1063" s="825" t="str">
        <f>+Modificaciones!AK1063</f>
        <v/>
      </c>
      <c r="W1063" s="825">
        <f t="shared" si="195"/>
        <v>0</v>
      </c>
      <c r="X1063" s="59">
        <f t="shared" si="196"/>
        <v>0</v>
      </c>
      <c r="Y1063" s="151">
        <f>VLOOKUP(E1063,Modificaciones!$B$7:$BE$2300,56,0)</f>
        <v>0</v>
      </c>
      <c r="Z1063" s="84">
        <f t="shared" si="197"/>
        <v>0</v>
      </c>
      <c r="AA1063" s="1000"/>
      <c r="AB1063" s="823" t="e">
        <f t="shared" si="198"/>
        <v>#DIV/0!</v>
      </c>
      <c r="AC1063" s="40" t="e">
        <f t="shared" ca="1" si="199"/>
        <v>#DIV/0!</v>
      </c>
      <c r="AD1063" s="41" t="e">
        <f t="shared" ca="1" si="200"/>
        <v>#DIV/0!</v>
      </c>
      <c r="AE1063" s="181" t="e">
        <f t="shared" ca="1" si="201"/>
        <v>#DIV/0!</v>
      </c>
      <c r="AF1063" s="42" t="e">
        <f t="shared" si="202"/>
        <v>#DIV/0!</v>
      </c>
      <c r="AG1063" s="838"/>
      <c r="AH1063" s="841"/>
      <c r="AI1063" s="841"/>
      <c r="AJ1063" s="838"/>
      <c r="AL1063" s="838"/>
      <c r="AM1063" s="838"/>
      <c r="AN1063" s="161" t="str">
        <f t="shared" ca="1" si="203"/>
        <v>TERMINO</v>
      </c>
      <c r="AO1063" s="414"/>
      <c r="AP1063" s="406"/>
      <c r="AQ1063" s="819" t="str">
        <f>IFERROR(VLOOKUP(E1063,'liquidaciones '!$B$2:$C$1048576,2,0),"NO")</f>
        <v>NO</v>
      </c>
      <c r="AR1063" s="909" t="str">
        <f>IFERROR(VLOOKUP(E1063,'liquidaciones '!$B$2:$I$1048576,8,0),"")</f>
        <v/>
      </c>
      <c r="AS1063" s="406"/>
      <c r="AT1063" s="156" t="str">
        <f t="shared" ca="1" si="204"/>
        <v>NO</v>
      </c>
      <c r="AU1063" s="1140"/>
      <c r="AV1063" s="1001"/>
      <c r="AX1063" s="928"/>
      <c r="AY1063" s="928"/>
    </row>
    <row r="1064" spans="3:51" x14ac:dyDescent="0.3">
      <c r="C1064" s="837"/>
      <c r="E1064" s="120"/>
      <c r="F1064" s="414"/>
      <c r="G1064" s="863"/>
      <c r="H1064" s="969"/>
      <c r="I1064" s="84"/>
      <c r="J1064" s="839"/>
      <c r="K1064" s="269"/>
      <c r="L1064" s="519"/>
      <c r="M1064" s="840"/>
      <c r="N1064" s="840"/>
      <c r="O1064" s="1099" t="str">
        <f>IF(+Modificaciones!I1064=0,"",VLOOKUP(E1064,Modificaciones!$B$7:$I$2400,8,0))</f>
        <v/>
      </c>
      <c r="P1064" s="115">
        <f>COUNTA(Modificaciones!J1064,Modificaciones!L1064,Modificaciones!N1064,Modificaciones!P1064)</f>
        <v>0</v>
      </c>
      <c r="Q1064" s="116">
        <f>VLOOKUP(E1064,Modificaciones!$B$7:$R$2300,17,0)</f>
        <v>0</v>
      </c>
      <c r="R1064" s="117">
        <f>COUNTA(Modificaciones!T1064,Modificaciones!V1064,Modificaciones!X1064,Modificaciones!Z1064)</f>
        <v>0</v>
      </c>
      <c r="S1064" s="118" t="str">
        <f>IF(Modificaciones!AA1064=0,"",VLOOKUP(E1064,Modificaciones!$B$7:$AA$2400,26,0))</f>
        <v/>
      </c>
      <c r="T1064" s="119" t="str">
        <f>IF(Modificaciones!AB1064=0,"",VLOOKUP(E1064,Modificaciones!$B$7:$AB$2400,27,0))</f>
        <v/>
      </c>
      <c r="U1064" s="1080" t="str">
        <f>+Modificaciones!AC1064</f>
        <v/>
      </c>
      <c r="V1064" s="825" t="str">
        <f>+Modificaciones!AK1064</f>
        <v/>
      </c>
      <c r="W1064" s="825">
        <f t="shared" si="195"/>
        <v>0</v>
      </c>
      <c r="X1064" s="59">
        <f t="shared" si="196"/>
        <v>0</v>
      </c>
      <c r="Y1064" s="151">
        <f>VLOOKUP(E1064,Modificaciones!$B$7:$BE$2300,56,0)</f>
        <v>0</v>
      </c>
      <c r="Z1064" s="84">
        <f t="shared" si="197"/>
        <v>0</v>
      </c>
      <c r="AA1064" s="1000"/>
      <c r="AB1064" s="823" t="e">
        <f t="shared" si="198"/>
        <v>#DIV/0!</v>
      </c>
      <c r="AC1064" s="40" t="e">
        <f t="shared" ca="1" si="199"/>
        <v>#DIV/0!</v>
      </c>
      <c r="AD1064" s="41" t="e">
        <f t="shared" ca="1" si="200"/>
        <v>#DIV/0!</v>
      </c>
      <c r="AE1064" s="181" t="e">
        <f t="shared" ca="1" si="201"/>
        <v>#DIV/0!</v>
      </c>
      <c r="AF1064" s="42" t="e">
        <f t="shared" si="202"/>
        <v>#DIV/0!</v>
      </c>
      <c r="AG1064" s="838"/>
      <c r="AH1064" s="841"/>
      <c r="AI1064" s="841"/>
      <c r="AJ1064" s="838"/>
      <c r="AL1064" s="838"/>
      <c r="AM1064" s="838"/>
      <c r="AN1064" s="161" t="str">
        <f t="shared" ca="1" si="203"/>
        <v>TERMINO</v>
      </c>
      <c r="AO1064" s="414"/>
      <c r="AP1064" s="406"/>
      <c r="AQ1064" s="819" t="str">
        <f>IFERROR(VLOOKUP(E1064,'liquidaciones '!$B$2:$C$1048576,2,0),"NO")</f>
        <v>NO</v>
      </c>
      <c r="AR1064" s="909" t="str">
        <f>IFERROR(VLOOKUP(E1064,'liquidaciones '!$B$2:$I$1048576,8,0),"")</f>
        <v/>
      </c>
      <c r="AS1064" s="406"/>
      <c r="AT1064" s="156" t="str">
        <f t="shared" ca="1" si="204"/>
        <v>NO</v>
      </c>
      <c r="AU1064" s="1140"/>
      <c r="AV1064" s="1001"/>
      <c r="AX1064" s="928"/>
      <c r="AY1064" s="928"/>
    </row>
    <row r="1065" spans="3:51" x14ac:dyDescent="0.3">
      <c r="C1065" s="837"/>
      <c r="E1065" s="120"/>
      <c r="F1065" s="414"/>
      <c r="G1065" s="863"/>
      <c r="H1065" s="969"/>
      <c r="I1065" s="84"/>
      <c r="J1065" s="839"/>
      <c r="K1065" s="269"/>
      <c r="L1065" s="519"/>
      <c r="M1065" s="840"/>
      <c r="N1065" s="840"/>
      <c r="O1065" s="1099" t="str">
        <f>IF(+Modificaciones!I1065=0,"",VLOOKUP(E1065,Modificaciones!$B$7:$I$2400,8,0))</f>
        <v/>
      </c>
      <c r="P1065" s="115">
        <f>COUNTA(Modificaciones!J1065,Modificaciones!L1065,Modificaciones!N1065,Modificaciones!P1065)</f>
        <v>0</v>
      </c>
      <c r="Q1065" s="116">
        <f>VLOOKUP(E1065,Modificaciones!$B$7:$R$2300,17,0)</f>
        <v>0</v>
      </c>
      <c r="R1065" s="117">
        <f>COUNTA(Modificaciones!T1065,Modificaciones!V1065,Modificaciones!X1065,Modificaciones!Z1065)</f>
        <v>0</v>
      </c>
      <c r="S1065" s="118" t="str">
        <f>IF(Modificaciones!AA1065=0,"",VLOOKUP(E1065,Modificaciones!$B$7:$AA$2400,26,0))</f>
        <v/>
      </c>
      <c r="T1065" s="119" t="str">
        <f>IF(Modificaciones!AB1065=0,"",VLOOKUP(E1065,Modificaciones!$B$7:$AB$2400,27,0))</f>
        <v/>
      </c>
      <c r="U1065" s="1080" t="str">
        <f>+Modificaciones!AC1065</f>
        <v/>
      </c>
      <c r="V1065" s="825" t="str">
        <f>+Modificaciones!AK1065</f>
        <v/>
      </c>
      <c r="W1065" s="825">
        <f t="shared" ref="W1065:W1128" si="205">MAX(N1065,O1065,T1065,V1065)</f>
        <v>0</v>
      </c>
      <c r="X1065" s="59">
        <f t="shared" ref="X1065:X1128" si="206">I1065+Q1065</f>
        <v>0</v>
      </c>
      <c r="Y1065" s="151">
        <f>VLOOKUP(E1065,Modificaciones!$B$7:$BE$2300,56,0)</f>
        <v>0</v>
      </c>
      <c r="Z1065" s="84">
        <f t="shared" ref="Z1065:Z1128" si="207">X1065-Y1065</f>
        <v>0</v>
      </c>
      <c r="AA1065" s="1000"/>
      <c r="AB1065" s="823" t="e">
        <f t="shared" ref="AB1065:AB1128" si="208">(Y1065*100%)/X1065</f>
        <v>#DIV/0!</v>
      </c>
      <c r="AC1065" s="40" t="e">
        <f t="shared" ref="AC1065:AC1128" ca="1" si="209">IF((($F$3-M1065)*100%/(W1065-M1065))&gt;100%,100%,(($F$3-M1065)*100%/(W1065-M1065)))</f>
        <v>#DIV/0!</v>
      </c>
      <c r="AD1065" s="41" t="e">
        <f t="shared" ref="AD1065:AD1128" ca="1" si="210">AC1065-AB1065</f>
        <v>#DIV/0!</v>
      </c>
      <c r="AE1065" s="181" t="e">
        <f t="shared" ref="AE1065:AE1128" ca="1" si="211">IF(AC1065&lt;100%,W1065-$F$3,"")</f>
        <v>#DIV/0!</v>
      </c>
      <c r="AF1065" s="42" t="e">
        <f t="shared" ref="AF1065:AF1128" si="212">IF(AB1065&lt;=99.9%,"NO","SI")</f>
        <v>#DIV/0!</v>
      </c>
      <c r="AG1065" s="838"/>
      <c r="AH1065" s="841"/>
      <c r="AI1065" s="841"/>
      <c r="AJ1065" s="838"/>
      <c r="AL1065" s="838"/>
      <c r="AM1065" s="838"/>
      <c r="AN1065" s="161" t="str">
        <f t="shared" ref="AN1065:AN1128" ca="1" si="213">IF(W1065&gt;=$F$3,"EN EJECUCIÓN","TERMINO")</f>
        <v>TERMINO</v>
      </c>
      <c r="AO1065" s="414"/>
      <c r="AP1065" s="406"/>
      <c r="AQ1065" s="819" t="str">
        <f>IFERROR(VLOOKUP(E1065,'liquidaciones '!$B$2:$C$1048576,2,0),"NO")</f>
        <v>NO</v>
      </c>
      <c r="AR1065" s="909" t="str">
        <f>IFERROR(VLOOKUP(E1065,'liquidaciones '!$B$2:$I$1048576,8,0),"")</f>
        <v/>
      </c>
      <c r="AS1065" s="406"/>
      <c r="AT1065" s="156" t="str">
        <f t="shared" ref="AT1065:AT1128" ca="1" si="214">IF((TODAY()-W1065&lt;900),"SI","NO")</f>
        <v>NO</v>
      </c>
      <c r="AU1065" s="1140"/>
      <c r="AV1065" s="1001"/>
      <c r="AX1065" s="928"/>
      <c r="AY1065" s="928"/>
    </row>
    <row r="1066" spans="3:51" x14ac:dyDescent="0.3">
      <c r="C1066" s="837"/>
      <c r="E1066" s="120"/>
      <c r="F1066" s="414"/>
      <c r="G1066" s="863"/>
      <c r="H1066" s="969"/>
      <c r="I1066" s="84"/>
      <c r="J1066" s="839"/>
      <c r="K1066" s="269"/>
      <c r="L1066" s="519"/>
      <c r="M1066" s="840"/>
      <c r="N1066" s="840"/>
      <c r="O1066" s="1099" t="str">
        <f>IF(+Modificaciones!I1066=0,"",VLOOKUP(E1066,Modificaciones!$B$7:$I$2400,8,0))</f>
        <v/>
      </c>
      <c r="P1066" s="115">
        <f>COUNTA(Modificaciones!J1066,Modificaciones!L1066,Modificaciones!N1066,Modificaciones!P1066)</f>
        <v>0</v>
      </c>
      <c r="Q1066" s="116">
        <f>VLOOKUP(E1066,Modificaciones!$B$7:$R$2300,17,0)</f>
        <v>0</v>
      </c>
      <c r="R1066" s="117">
        <f>COUNTA(Modificaciones!T1066,Modificaciones!V1066,Modificaciones!X1066,Modificaciones!Z1066)</f>
        <v>0</v>
      </c>
      <c r="S1066" s="118" t="str">
        <f>IF(Modificaciones!AA1066=0,"",VLOOKUP(E1066,Modificaciones!$B$7:$AA$2400,26,0))</f>
        <v/>
      </c>
      <c r="T1066" s="119" t="str">
        <f>IF(Modificaciones!AB1066=0,"",VLOOKUP(E1066,Modificaciones!$B$7:$AB$2400,27,0))</f>
        <v/>
      </c>
      <c r="U1066" s="1080" t="str">
        <f>+Modificaciones!AC1066</f>
        <v/>
      </c>
      <c r="V1066" s="825" t="str">
        <f>+Modificaciones!AK1066</f>
        <v/>
      </c>
      <c r="W1066" s="825">
        <f t="shared" si="205"/>
        <v>0</v>
      </c>
      <c r="X1066" s="59">
        <f t="shared" si="206"/>
        <v>0</v>
      </c>
      <c r="Y1066" s="151">
        <f>VLOOKUP(E1066,Modificaciones!$B$7:$BE$2300,56,0)</f>
        <v>0</v>
      </c>
      <c r="Z1066" s="84">
        <f t="shared" si="207"/>
        <v>0</v>
      </c>
      <c r="AA1066" s="1000"/>
      <c r="AB1066" s="823" t="e">
        <f t="shared" si="208"/>
        <v>#DIV/0!</v>
      </c>
      <c r="AC1066" s="40" t="e">
        <f t="shared" ca="1" si="209"/>
        <v>#DIV/0!</v>
      </c>
      <c r="AD1066" s="41" t="e">
        <f t="shared" ca="1" si="210"/>
        <v>#DIV/0!</v>
      </c>
      <c r="AE1066" s="181" t="e">
        <f t="shared" ca="1" si="211"/>
        <v>#DIV/0!</v>
      </c>
      <c r="AF1066" s="42" t="e">
        <f t="shared" si="212"/>
        <v>#DIV/0!</v>
      </c>
      <c r="AG1066" s="838"/>
      <c r="AH1066" s="841"/>
      <c r="AI1066" s="841"/>
      <c r="AJ1066" s="838"/>
      <c r="AL1066" s="838"/>
      <c r="AM1066" s="838"/>
      <c r="AN1066" s="161" t="str">
        <f t="shared" ca="1" si="213"/>
        <v>TERMINO</v>
      </c>
      <c r="AO1066" s="414"/>
      <c r="AP1066" s="406"/>
      <c r="AQ1066" s="819" t="str">
        <f>IFERROR(VLOOKUP(E1066,'liquidaciones '!$B$2:$C$1048576,2,0),"NO")</f>
        <v>NO</v>
      </c>
      <c r="AR1066" s="909" t="str">
        <f>IFERROR(VLOOKUP(E1066,'liquidaciones '!$B$2:$I$1048576,8,0),"")</f>
        <v/>
      </c>
      <c r="AS1066" s="406"/>
      <c r="AT1066" s="156" t="str">
        <f t="shared" ca="1" si="214"/>
        <v>NO</v>
      </c>
      <c r="AU1066" s="1140"/>
      <c r="AV1066" s="1001"/>
      <c r="AX1066" s="928"/>
      <c r="AY1066" s="928"/>
    </row>
    <row r="1067" spans="3:51" x14ac:dyDescent="0.3">
      <c r="C1067" s="837"/>
      <c r="E1067" s="120"/>
      <c r="F1067" s="414"/>
      <c r="G1067" s="863"/>
      <c r="H1067" s="969"/>
      <c r="I1067" s="84"/>
      <c r="J1067" s="839"/>
      <c r="K1067" s="269"/>
      <c r="L1067" s="519"/>
      <c r="M1067" s="840"/>
      <c r="N1067" s="840"/>
      <c r="O1067" s="1099" t="str">
        <f>IF(+Modificaciones!I1067=0,"",VLOOKUP(E1067,Modificaciones!$B$7:$I$2400,8,0))</f>
        <v/>
      </c>
      <c r="P1067" s="115">
        <f>COUNTA(Modificaciones!J1067,Modificaciones!L1067,Modificaciones!N1067,Modificaciones!P1067)</f>
        <v>0</v>
      </c>
      <c r="Q1067" s="116">
        <f>VLOOKUP(E1067,Modificaciones!$B$7:$R$2300,17,0)</f>
        <v>0</v>
      </c>
      <c r="R1067" s="117">
        <f>COUNTA(Modificaciones!T1067,Modificaciones!V1067,Modificaciones!X1067,Modificaciones!Z1067)</f>
        <v>0</v>
      </c>
      <c r="S1067" s="118" t="str">
        <f>IF(Modificaciones!AA1067=0,"",VLOOKUP(E1067,Modificaciones!$B$7:$AA$2400,26,0))</f>
        <v/>
      </c>
      <c r="T1067" s="119" t="str">
        <f>IF(Modificaciones!AB1067=0,"",VLOOKUP(E1067,Modificaciones!$B$7:$AB$2400,27,0))</f>
        <v/>
      </c>
      <c r="U1067" s="1080" t="str">
        <f>+Modificaciones!AC1067</f>
        <v/>
      </c>
      <c r="V1067" s="825" t="str">
        <f>+Modificaciones!AK1067</f>
        <v/>
      </c>
      <c r="W1067" s="825">
        <f t="shared" si="205"/>
        <v>0</v>
      </c>
      <c r="X1067" s="59">
        <f t="shared" si="206"/>
        <v>0</v>
      </c>
      <c r="Y1067" s="151">
        <f>VLOOKUP(E1067,Modificaciones!$B$7:$BE$2300,56,0)</f>
        <v>0</v>
      </c>
      <c r="Z1067" s="84">
        <f t="shared" si="207"/>
        <v>0</v>
      </c>
      <c r="AA1067" s="1000"/>
      <c r="AB1067" s="823" t="e">
        <f t="shared" si="208"/>
        <v>#DIV/0!</v>
      </c>
      <c r="AC1067" s="40" t="e">
        <f t="shared" ca="1" si="209"/>
        <v>#DIV/0!</v>
      </c>
      <c r="AD1067" s="41" t="e">
        <f t="shared" ca="1" si="210"/>
        <v>#DIV/0!</v>
      </c>
      <c r="AE1067" s="181" t="e">
        <f t="shared" ca="1" si="211"/>
        <v>#DIV/0!</v>
      </c>
      <c r="AF1067" s="42" t="e">
        <f t="shared" si="212"/>
        <v>#DIV/0!</v>
      </c>
      <c r="AG1067" s="838"/>
      <c r="AH1067" s="841"/>
      <c r="AI1067" s="841"/>
      <c r="AJ1067" s="838"/>
      <c r="AL1067" s="838"/>
      <c r="AM1067" s="838"/>
      <c r="AN1067" s="161" t="str">
        <f t="shared" ca="1" si="213"/>
        <v>TERMINO</v>
      </c>
      <c r="AO1067" s="414"/>
      <c r="AP1067" s="406"/>
      <c r="AQ1067" s="819" t="str">
        <f>IFERROR(VLOOKUP(E1067,'liquidaciones '!$B$2:$C$1048576,2,0),"NO")</f>
        <v>NO</v>
      </c>
      <c r="AR1067" s="909" t="str">
        <f>IFERROR(VLOOKUP(E1067,'liquidaciones '!$B$2:$I$1048576,8,0),"")</f>
        <v/>
      </c>
      <c r="AS1067" s="406"/>
      <c r="AT1067" s="156" t="str">
        <f t="shared" ca="1" si="214"/>
        <v>NO</v>
      </c>
      <c r="AU1067" s="1140"/>
      <c r="AV1067" s="1001"/>
      <c r="AX1067" s="928"/>
      <c r="AY1067" s="928"/>
    </row>
    <row r="1068" spans="3:51" x14ac:dyDescent="0.3">
      <c r="C1068" s="837"/>
      <c r="E1068" s="120"/>
      <c r="F1068" s="414"/>
      <c r="G1068" s="863"/>
      <c r="H1068" s="969"/>
      <c r="I1068" s="84"/>
      <c r="J1068" s="839"/>
      <c r="K1068" s="269"/>
      <c r="L1068" s="519"/>
      <c r="M1068" s="840"/>
      <c r="N1068" s="840"/>
      <c r="O1068" s="1099" t="str">
        <f>IF(+Modificaciones!I1068=0,"",VLOOKUP(E1068,Modificaciones!$B$7:$I$2400,8,0))</f>
        <v/>
      </c>
      <c r="P1068" s="115">
        <f>COUNTA(Modificaciones!J1068,Modificaciones!L1068,Modificaciones!N1068,Modificaciones!P1068)</f>
        <v>0</v>
      </c>
      <c r="Q1068" s="116">
        <f>VLOOKUP(E1068,Modificaciones!$B$7:$R$2300,17,0)</f>
        <v>0</v>
      </c>
      <c r="R1068" s="117">
        <f>COUNTA(Modificaciones!T1068,Modificaciones!V1068,Modificaciones!X1068,Modificaciones!Z1068)</f>
        <v>0</v>
      </c>
      <c r="S1068" s="118" t="str">
        <f>IF(Modificaciones!AA1068=0,"",VLOOKUP(E1068,Modificaciones!$B$7:$AA$2400,26,0))</f>
        <v/>
      </c>
      <c r="T1068" s="119" t="str">
        <f>IF(Modificaciones!AB1068=0,"",VLOOKUP(E1068,Modificaciones!$B$7:$AB$2400,27,0))</f>
        <v/>
      </c>
      <c r="U1068" s="1080" t="str">
        <f>+Modificaciones!AC1068</f>
        <v/>
      </c>
      <c r="V1068" s="825" t="str">
        <f>+Modificaciones!AK1068</f>
        <v/>
      </c>
      <c r="W1068" s="825">
        <f t="shared" si="205"/>
        <v>0</v>
      </c>
      <c r="X1068" s="59">
        <f t="shared" si="206"/>
        <v>0</v>
      </c>
      <c r="Y1068" s="151">
        <f>VLOOKUP(E1068,Modificaciones!$B$7:$BE$2300,56,0)</f>
        <v>0</v>
      </c>
      <c r="Z1068" s="84">
        <f t="shared" si="207"/>
        <v>0</v>
      </c>
      <c r="AA1068" s="1000"/>
      <c r="AB1068" s="823" t="e">
        <f t="shared" si="208"/>
        <v>#DIV/0!</v>
      </c>
      <c r="AC1068" s="40" t="e">
        <f t="shared" ca="1" si="209"/>
        <v>#DIV/0!</v>
      </c>
      <c r="AD1068" s="41" t="e">
        <f t="shared" ca="1" si="210"/>
        <v>#DIV/0!</v>
      </c>
      <c r="AE1068" s="181" t="e">
        <f t="shared" ca="1" si="211"/>
        <v>#DIV/0!</v>
      </c>
      <c r="AF1068" s="42" t="e">
        <f t="shared" si="212"/>
        <v>#DIV/0!</v>
      </c>
      <c r="AG1068" s="838"/>
      <c r="AH1068" s="841"/>
      <c r="AI1068" s="841"/>
      <c r="AJ1068" s="838"/>
      <c r="AL1068" s="838"/>
      <c r="AM1068" s="838"/>
      <c r="AN1068" s="161" t="str">
        <f t="shared" ca="1" si="213"/>
        <v>TERMINO</v>
      </c>
      <c r="AO1068" s="414"/>
      <c r="AP1068" s="406"/>
      <c r="AQ1068" s="819" t="str">
        <f>IFERROR(VLOOKUP(E1068,'liquidaciones '!$B$2:$C$1048576,2,0),"NO")</f>
        <v>NO</v>
      </c>
      <c r="AR1068" s="909" t="str">
        <f>IFERROR(VLOOKUP(E1068,'liquidaciones '!$B$2:$I$1048576,8,0),"")</f>
        <v/>
      </c>
      <c r="AS1068" s="406"/>
      <c r="AT1068" s="156" t="str">
        <f t="shared" ca="1" si="214"/>
        <v>NO</v>
      </c>
      <c r="AU1068" s="1140"/>
      <c r="AV1068" s="1001"/>
      <c r="AX1068" s="928"/>
      <c r="AY1068" s="928"/>
    </row>
    <row r="1069" spans="3:51" x14ac:dyDescent="0.3">
      <c r="C1069" s="837"/>
      <c r="E1069" s="120"/>
      <c r="F1069" s="414"/>
      <c r="G1069" s="863"/>
      <c r="H1069" s="969"/>
      <c r="I1069" s="84"/>
      <c r="J1069" s="839"/>
      <c r="K1069" s="269"/>
      <c r="L1069" s="519"/>
      <c r="M1069" s="840"/>
      <c r="N1069" s="840"/>
      <c r="O1069" s="1099" t="str">
        <f>IF(+Modificaciones!I1069=0,"",VLOOKUP(E1069,Modificaciones!$B$7:$I$2400,8,0))</f>
        <v/>
      </c>
      <c r="P1069" s="115">
        <f>COUNTA(Modificaciones!J1069,Modificaciones!L1069,Modificaciones!N1069,Modificaciones!P1069)</f>
        <v>0</v>
      </c>
      <c r="Q1069" s="116">
        <f>VLOOKUP(E1069,Modificaciones!$B$7:$R$2300,17,0)</f>
        <v>0</v>
      </c>
      <c r="R1069" s="117">
        <f>COUNTA(Modificaciones!T1069,Modificaciones!V1069,Modificaciones!X1069,Modificaciones!Z1069)</f>
        <v>0</v>
      </c>
      <c r="S1069" s="118" t="str">
        <f>IF(Modificaciones!AA1069=0,"",VLOOKUP(E1069,Modificaciones!$B$7:$AA$2400,26,0))</f>
        <v/>
      </c>
      <c r="T1069" s="119" t="str">
        <f>IF(Modificaciones!AB1069=0,"",VLOOKUP(E1069,Modificaciones!$B$7:$AB$2400,27,0))</f>
        <v/>
      </c>
      <c r="U1069" s="1080" t="str">
        <f>+Modificaciones!AC1069</f>
        <v/>
      </c>
      <c r="V1069" s="825" t="str">
        <f>+Modificaciones!AK1069</f>
        <v/>
      </c>
      <c r="W1069" s="825">
        <f t="shared" si="205"/>
        <v>0</v>
      </c>
      <c r="X1069" s="59">
        <f t="shared" si="206"/>
        <v>0</v>
      </c>
      <c r="Y1069" s="151">
        <f>VLOOKUP(E1069,Modificaciones!$B$7:$BE$2300,56,0)</f>
        <v>0</v>
      </c>
      <c r="Z1069" s="84">
        <f t="shared" si="207"/>
        <v>0</v>
      </c>
      <c r="AA1069" s="1000"/>
      <c r="AB1069" s="823" t="e">
        <f t="shared" si="208"/>
        <v>#DIV/0!</v>
      </c>
      <c r="AC1069" s="40" t="e">
        <f t="shared" ca="1" si="209"/>
        <v>#DIV/0!</v>
      </c>
      <c r="AD1069" s="41" t="e">
        <f t="shared" ca="1" si="210"/>
        <v>#DIV/0!</v>
      </c>
      <c r="AE1069" s="181" t="e">
        <f t="shared" ca="1" si="211"/>
        <v>#DIV/0!</v>
      </c>
      <c r="AF1069" s="42" t="e">
        <f t="shared" si="212"/>
        <v>#DIV/0!</v>
      </c>
      <c r="AG1069" s="838"/>
      <c r="AH1069" s="841"/>
      <c r="AI1069" s="841"/>
      <c r="AJ1069" s="838"/>
      <c r="AL1069" s="838"/>
      <c r="AM1069" s="838"/>
      <c r="AN1069" s="161" t="str">
        <f t="shared" ca="1" si="213"/>
        <v>TERMINO</v>
      </c>
      <c r="AO1069" s="414"/>
      <c r="AP1069" s="406"/>
      <c r="AQ1069" s="819" t="str">
        <f>IFERROR(VLOOKUP(E1069,'liquidaciones '!$B$2:$C$1048576,2,0),"NO")</f>
        <v>NO</v>
      </c>
      <c r="AR1069" s="909" t="str">
        <f>IFERROR(VLOOKUP(E1069,'liquidaciones '!$B$2:$I$1048576,8,0),"")</f>
        <v/>
      </c>
      <c r="AS1069" s="406"/>
      <c r="AT1069" s="156" t="str">
        <f t="shared" ca="1" si="214"/>
        <v>NO</v>
      </c>
      <c r="AU1069" s="1140"/>
      <c r="AV1069" s="1001"/>
      <c r="AX1069" s="928"/>
      <c r="AY1069" s="928"/>
    </row>
    <row r="1070" spans="3:51" x14ac:dyDescent="0.3">
      <c r="C1070" s="837"/>
      <c r="E1070" s="120"/>
      <c r="F1070" s="414"/>
      <c r="G1070" s="863"/>
      <c r="H1070" s="969"/>
      <c r="I1070" s="84"/>
      <c r="J1070" s="839"/>
      <c r="K1070" s="269"/>
      <c r="L1070" s="519"/>
      <c r="M1070" s="840"/>
      <c r="N1070" s="840"/>
      <c r="O1070" s="1099" t="str">
        <f>IF(+Modificaciones!I1070=0,"",VLOOKUP(E1070,Modificaciones!$B$7:$I$2400,8,0))</f>
        <v/>
      </c>
      <c r="P1070" s="115">
        <f>COUNTA(Modificaciones!J1070,Modificaciones!L1070,Modificaciones!N1070,Modificaciones!P1070)</f>
        <v>0</v>
      </c>
      <c r="Q1070" s="116">
        <f>VLOOKUP(E1070,Modificaciones!$B$7:$R$2300,17,0)</f>
        <v>0</v>
      </c>
      <c r="R1070" s="117">
        <f>COUNTA(Modificaciones!T1070,Modificaciones!V1070,Modificaciones!X1070,Modificaciones!Z1070)</f>
        <v>0</v>
      </c>
      <c r="S1070" s="118" t="str">
        <f>IF(Modificaciones!AA1070=0,"",VLOOKUP(E1070,Modificaciones!$B$7:$AA$2400,26,0))</f>
        <v/>
      </c>
      <c r="T1070" s="119" t="str">
        <f>IF(Modificaciones!AB1070=0,"",VLOOKUP(E1070,Modificaciones!$B$7:$AB$2400,27,0))</f>
        <v/>
      </c>
      <c r="U1070" s="1080" t="str">
        <f>+Modificaciones!AC1070</f>
        <v/>
      </c>
      <c r="V1070" s="825" t="str">
        <f>+Modificaciones!AK1070</f>
        <v/>
      </c>
      <c r="W1070" s="825">
        <f t="shared" si="205"/>
        <v>0</v>
      </c>
      <c r="X1070" s="59">
        <f t="shared" si="206"/>
        <v>0</v>
      </c>
      <c r="Y1070" s="151">
        <f>VLOOKUP(E1070,Modificaciones!$B$7:$BE$2300,56,0)</f>
        <v>0</v>
      </c>
      <c r="Z1070" s="84">
        <f t="shared" si="207"/>
        <v>0</v>
      </c>
      <c r="AA1070" s="1000"/>
      <c r="AB1070" s="823" t="e">
        <f t="shared" si="208"/>
        <v>#DIV/0!</v>
      </c>
      <c r="AC1070" s="40" t="e">
        <f t="shared" ca="1" si="209"/>
        <v>#DIV/0!</v>
      </c>
      <c r="AD1070" s="41" t="e">
        <f t="shared" ca="1" si="210"/>
        <v>#DIV/0!</v>
      </c>
      <c r="AE1070" s="181" t="e">
        <f t="shared" ca="1" si="211"/>
        <v>#DIV/0!</v>
      </c>
      <c r="AF1070" s="42" t="e">
        <f t="shared" si="212"/>
        <v>#DIV/0!</v>
      </c>
      <c r="AG1070" s="838"/>
      <c r="AH1070" s="841"/>
      <c r="AI1070" s="841"/>
      <c r="AJ1070" s="838"/>
      <c r="AL1070" s="838"/>
      <c r="AM1070" s="838"/>
      <c r="AN1070" s="161" t="str">
        <f t="shared" ca="1" si="213"/>
        <v>TERMINO</v>
      </c>
      <c r="AO1070" s="414"/>
      <c r="AP1070" s="406"/>
      <c r="AQ1070" s="819" t="str">
        <f>IFERROR(VLOOKUP(E1070,'liquidaciones '!$B$2:$C$1048576,2,0),"NO")</f>
        <v>NO</v>
      </c>
      <c r="AR1070" s="909" t="str">
        <f>IFERROR(VLOOKUP(E1070,'liquidaciones '!$B$2:$I$1048576,8,0),"")</f>
        <v/>
      </c>
      <c r="AS1070" s="406"/>
      <c r="AT1070" s="156" t="str">
        <f t="shared" ca="1" si="214"/>
        <v>NO</v>
      </c>
      <c r="AU1070" s="1140"/>
      <c r="AV1070" s="1001"/>
      <c r="AX1070" s="928"/>
      <c r="AY1070" s="928"/>
    </row>
    <row r="1071" spans="3:51" x14ac:dyDescent="0.3">
      <c r="C1071" s="837"/>
      <c r="E1071" s="120"/>
      <c r="F1071" s="414"/>
      <c r="G1071" s="863"/>
      <c r="H1071" s="969"/>
      <c r="I1071" s="84"/>
      <c r="J1071" s="839"/>
      <c r="K1071" s="269"/>
      <c r="L1071" s="519"/>
      <c r="M1071" s="840"/>
      <c r="N1071" s="840"/>
      <c r="O1071" s="1099" t="str">
        <f>IF(+Modificaciones!I1071=0,"",VLOOKUP(E1071,Modificaciones!$B$7:$I$2400,8,0))</f>
        <v/>
      </c>
      <c r="P1071" s="115">
        <f>COUNTA(Modificaciones!J1071,Modificaciones!L1071,Modificaciones!N1071,Modificaciones!P1071)</f>
        <v>0</v>
      </c>
      <c r="Q1071" s="116">
        <f>VLOOKUP(E1071,Modificaciones!$B$7:$R$2300,17,0)</f>
        <v>0</v>
      </c>
      <c r="R1071" s="117">
        <f>COUNTA(Modificaciones!T1071,Modificaciones!V1071,Modificaciones!X1071,Modificaciones!Z1071)</f>
        <v>0</v>
      </c>
      <c r="S1071" s="118" t="str">
        <f>IF(Modificaciones!AA1071=0,"",VLOOKUP(E1071,Modificaciones!$B$7:$AA$2400,26,0))</f>
        <v/>
      </c>
      <c r="T1071" s="119" t="str">
        <f>IF(Modificaciones!AB1071=0,"",VLOOKUP(E1071,Modificaciones!$B$7:$AB$2400,27,0))</f>
        <v/>
      </c>
      <c r="U1071" s="1080" t="str">
        <f>+Modificaciones!AC1071</f>
        <v/>
      </c>
      <c r="V1071" s="825" t="str">
        <f>+Modificaciones!AK1071</f>
        <v/>
      </c>
      <c r="W1071" s="825">
        <f t="shared" si="205"/>
        <v>0</v>
      </c>
      <c r="X1071" s="59">
        <f t="shared" si="206"/>
        <v>0</v>
      </c>
      <c r="Y1071" s="151">
        <f>VLOOKUP(E1071,Modificaciones!$B$7:$BE$2300,56,0)</f>
        <v>0</v>
      </c>
      <c r="Z1071" s="84">
        <f t="shared" si="207"/>
        <v>0</v>
      </c>
      <c r="AA1071" s="1000"/>
      <c r="AB1071" s="823" t="e">
        <f t="shared" si="208"/>
        <v>#DIV/0!</v>
      </c>
      <c r="AC1071" s="40" t="e">
        <f t="shared" ca="1" si="209"/>
        <v>#DIV/0!</v>
      </c>
      <c r="AD1071" s="41" t="e">
        <f t="shared" ca="1" si="210"/>
        <v>#DIV/0!</v>
      </c>
      <c r="AE1071" s="181" t="e">
        <f t="shared" ca="1" si="211"/>
        <v>#DIV/0!</v>
      </c>
      <c r="AF1071" s="42" t="e">
        <f t="shared" si="212"/>
        <v>#DIV/0!</v>
      </c>
      <c r="AG1071" s="838"/>
      <c r="AH1071" s="841"/>
      <c r="AI1071" s="841"/>
      <c r="AJ1071" s="838"/>
      <c r="AL1071" s="838"/>
      <c r="AM1071" s="838"/>
      <c r="AN1071" s="161" t="str">
        <f t="shared" ca="1" si="213"/>
        <v>TERMINO</v>
      </c>
      <c r="AO1071" s="414"/>
      <c r="AP1071" s="406"/>
      <c r="AQ1071" s="819" t="str">
        <f>IFERROR(VLOOKUP(E1071,'liquidaciones '!$B$2:$C$1048576,2,0),"NO")</f>
        <v>NO</v>
      </c>
      <c r="AR1071" s="909" t="str">
        <f>IFERROR(VLOOKUP(E1071,'liquidaciones '!$B$2:$I$1048576,8,0),"")</f>
        <v/>
      </c>
      <c r="AS1071" s="406"/>
      <c r="AT1071" s="156" t="str">
        <f t="shared" ca="1" si="214"/>
        <v>NO</v>
      </c>
      <c r="AU1071" s="1140"/>
      <c r="AV1071" s="1001"/>
      <c r="AX1071" s="928"/>
      <c r="AY1071" s="928"/>
    </row>
    <row r="1072" spans="3:51" x14ac:dyDescent="0.3">
      <c r="C1072" s="837"/>
      <c r="E1072" s="120"/>
      <c r="F1072" s="414"/>
      <c r="G1072" s="863"/>
      <c r="H1072" s="969"/>
      <c r="I1072" s="84"/>
      <c r="J1072" s="839"/>
      <c r="K1072" s="269"/>
      <c r="L1072" s="519"/>
      <c r="M1072" s="840"/>
      <c r="N1072" s="840"/>
      <c r="O1072" s="1099" t="str">
        <f>IF(+Modificaciones!I1072=0,"",VLOOKUP(E1072,Modificaciones!$B$7:$I$2400,8,0))</f>
        <v/>
      </c>
      <c r="P1072" s="115">
        <f>COUNTA(Modificaciones!J1072,Modificaciones!L1072,Modificaciones!N1072,Modificaciones!P1072)</f>
        <v>0</v>
      </c>
      <c r="Q1072" s="116">
        <f>VLOOKUP(E1072,Modificaciones!$B$7:$R$2300,17,0)</f>
        <v>0</v>
      </c>
      <c r="R1072" s="117">
        <f>COUNTA(Modificaciones!T1072,Modificaciones!V1072,Modificaciones!X1072,Modificaciones!Z1072)</f>
        <v>0</v>
      </c>
      <c r="S1072" s="118" t="str">
        <f>IF(Modificaciones!AA1072=0,"",VLOOKUP(E1072,Modificaciones!$B$7:$AA$2400,26,0))</f>
        <v/>
      </c>
      <c r="T1072" s="119" t="str">
        <f>IF(Modificaciones!AB1072=0,"",VLOOKUP(E1072,Modificaciones!$B$7:$AB$2400,27,0))</f>
        <v/>
      </c>
      <c r="U1072" s="1080">
        <f>+Modificaciones!AC1072</f>
        <v>0</v>
      </c>
      <c r="V1072" s="825">
        <f>+Modificaciones!AK1072</f>
        <v>0</v>
      </c>
      <c r="W1072" s="825">
        <f t="shared" si="205"/>
        <v>0</v>
      </c>
      <c r="X1072" s="59">
        <f t="shared" si="206"/>
        <v>0</v>
      </c>
      <c r="Y1072" s="151">
        <f>VLOOKUP(E1072,Modificaciones!$B$7:$BE$2300,56,0)</f>
        <v>0</v>
      </c>
      <c r="Z1072" s="84">
        <f t="shared" si="207"/>
        <v>0</v>
      </c>
      <c r="AA1072" s="1000"/>
      <c r="AB1072" s="823" t="e">
        <f t="shared" si="208"/>
        <v>#DIV/0!</v>
      </c>
      <c r="AC1072" s="40" t="e">
        <f t="shared" ca="1" si="209"/>
        <v>#DIV/0!</v>
      </c>
      <c r="AD1072" s="41" t="e">
        <f t="shared" ca="1" si="210"/>
        <v>#DIV/0!</v>
      </c>
      <c r="AE1072" s="181" t="e">
        <f t="shared" ca="1" si="211"/>
        <v>#DIV/0!</v>
      </c>
      <c r="AF1072" s="42" t="e">
        <f t="shared" si="212"/>
        <v>#DIV/0!</v>
      </c>
      <c r="AG1072" s="838"/>
      <c r="AH1072" s="841"/>
      <c r="AI1072" s="841"/>
      <c r="AJ1072" s="838"/>
      <c r="AL1072" s="838"/>
      <c r="AM1072" s="838"/>
      <c r="AN1072" s="161" t="str">
        <f t="shared" ca="1" si="213"/>
        <v>TERMINO</v>
      </c>
      <c r="AO1072" s="414"/>
      <c r="AP1072" s="406"/>
      <c r="AQ1072" s="819" t="str">
        <f>IFERROR(VLOOKUP(E1072,'liquidaciones '!$B$2:$C$1048576,2,0),"NO")</f>
        <v>NO</v>
      </c>
      <c r="AR1072" s="909" t="str">
        <f>IFERROR(VLOOKUP(E1072,'liquidaciones '!$B$2:$I$1048576,8,0),"")</f>
        <v/>
      </c>
      <c r="AS1072" s="406"/>
      <c r="AT1072" s="156" t="str">
        <f t="shared" ca="1" si="214"/>
        <v>NO</v>
      </c>
      <c r="AU1072" s="1140"/>
      <c r="AV1072" s="1001"/>
      <c r="AX1072" s="928"/>
      <c r="AY1072" s="928"/>
    </row>
    <row r="1073" spans="3:51" x14ac:dyDescent="0.3">
      <c r="C1073" s="837"/>
      <c r="E1073" s="120"/>
      <c r="F1073" s="414"/>
      <c r="G1073" s="863"/>
      <c r="H1073" s="969"/>
      <c r="I1073" s="84"/>
      <c r="J1073" s="839"/>
      <c r="K1073" s="269"/>
      <c r="L1073" s="519"/>
      <c r="M1073" s="840"/>
      <c r="N1073" s="840"/>
      <c r="O1073" s="1099" t="str">
        <f>IF(+Modificaciones!I1073=0,"",VLOOKUP(E1073,Modificaciones!$B$7:$I$2400,8,0))</f>
        <v/>
      </c>
      <c r="P1073" s="115">
        <f>COUNTA(Modificaciones!J1073,Modificaciones!L1073,Modificaciones!N1073,Modificaciones!P1073)</f>
        <v>0</v>
      </c>
      <c r="Q1073" s="116">
        <f>VLOOKUP(E1073,Modificaciones!$B$7:$R$2300,17,0)</f>
        <v>0</v>
      </c>
      <c r="R1073" s="117">
        <f>COUNTA(Modificaciones!T1073,Modificaciones!V1073,Modificaciones!X1073,Modificaciones!Z1073)</f>
        <v>0</v>
      </c>
      <c r="S1073" s="118" t="str">
        <f>IF(Modificaciones!AA1073=0,"",VLOOKUP(E1073,Modificaciones!$B$7:$AA$2400,26,0))</f>
        <v/>
      </c>
      <c r="T1073" s="119" t="str">
        <f>IF(Modificaciones!AB1073=0,"",VLOOKUP(E1073,Modificaciones!$B$7:$AB$2400,27,0))</f>
        <v/>
      </c>
      <c r="U1073" s="1080">
        <f>+Modificaciones!AC1073</f>
        <v>0</v>
      </c>
      <c r="V1073" s="825">
        <f>+Modificaciones!AK1073</f>
        <v>0</v>
      </c>
      <c r="W1073" s="825">
        <f t="shared" si="205"/>
        <v>0</v>
      </c>
      <c r="X1073" s="59">
        <f t="shared" si="206"/>
        <v>0</v>
      </c>
      <c r="Y1073" s="151">
        <f>VLOOKUP(E1073,Modificaciones!$B$7:$BE$2300,56,0)</f>
        <v>0</v>
      </c>
      <c r="Z1073" s="84">
        <f t="shared" si="207"/>
        <v>0</v>
      </c>
      <c r="AA1073" s="1000"/>
      <c r="AB1073" s="823" t="e">
        <f t="shared" si="208"/>
        <v>#DIV/0!</v>
      </c>
      <c r="AC1073" s="40" t="e">
        <f t="shared" ca="1" si="209"/>
        <v>#DIV/0!</v>
      </c>
      <c r="AD1073" s="41" t="e">
        <f t="shared" ca="1" si="210"/>
        <v>#DIV/0!</v>
      </c>
      <c r="AE1073" s="181" t="e">
        <f t="shared" ca="1" si="211"/>
        <v>#DIV/0!</v>
      </c>
      <c r="AF1073" s="42" t="e">
        <f t="shared" si="212"/>
        <v>#DIV/0!</v>
      </c>
      <c r="AG1073" s="838"/>
      <c r="AH1073" s="841"/>
      <c r="AI1073" s="841"/>
      <c r="AJ1073" s="838"/>
      <c r="AL1073" s="838"/>
      <c r="AM1073" s="838"/>
      <c r="AN1073" s="161" t="str">
        <f t="shared" ca="1" si="213"/>
        <v>TERMINO</v>
      </c>
      <c r="AO1073" s="414"/>
      <c r="AP1073" s="406"/>
      <c r="AQ1073" s="819" t="str">
        <f>IFERROR(VLOOKUP(E1073,'liquidaciones '!$B$2:$C$1048576,2,0),"NO")</f>
        <v>NO</v>
      </c>
      <c r="AR1073" s="909" t="str">
        <f>IFERROR(VLOOKUP(E1073,'liquidaciones '!$B$2:$I$1048576,8,0),"")</f>
        <v/>
      </c>
      <c r="AS1073" s="406"/>
      <c r="AT1073" s="156" t="str">
        <f t="shared" ca="1" si="214"/>
        <v>NO</v>
      </c>
      <c r="AU1073" s="1140"/>
      <c r="AV1073" s="1001"/>
      <c r="AX1073" s="928"/>
      <c r="AY1073" s="928"/>
    </row>
    <row r="1074" spans="3:51" x14ac:dyDescent="0.3">
      <c r="C1074" s="837"/>
      <c r="E1074" s="120"/>
      <c r="F1074" s="414"/>
      <c r="G1074" s="863"/>
      <c r="H1074" s="969"/>
      <c r="I1074" s="84"/>
      <c r="J1074" s="839"/>
      <c r="K1074" s="269"/>
      <c r="L1074" s="519"/>
      <c r="M1074" s="840"/>
      <c r="N1074" s="840"/>
      <c r="O1074" s="1099" t="str">
        <f>IF(+Modificaciones!I1074=0,"",VLOOKUP(E1074,Modificaciones!$B$7:$I$2400,8,0))</f>
        <v/>
      </c>
      <c r="P1074" s="115">
        <f>COUNTA(Modificaciones!J1074,Modificaciones!L1074,Modificaciones!N1074,Modificaciones!P1074)</f>
        <v>0</v>
      </c>
      <c r="Q1074" s="116">
        <f>VLOOKUP(E1074,Modificaciones!$B$7:$R$2300,17,0)</f>
        <v>0</v>
      </c>
      <c r="R1074" s="117">
        <f>COUNTA(Modificaciones!T1074,Modificaciones!V1074,Modificaciones!X1074,Modificaciones!Z1074)</f>
        <v>0</v>
      </c>
      <c r="S1074" s="118" t="str">
        <f>IF(Modificaciones!AA1074=0,"",VLOOKUP(E1074,Modificaciones!$B$7:$AA$2400,26,0))</f>
        <v/>
      </c>
      <c r="T1074" s="119" t="str">
        <f>IF(Modificaciones!AB1074=0,"",VLOOKUP(E1074,Modificaciones!$B$7:$AB$2400,27,0))</f>
        <v/>
      </c>
      <c r="U1074" s="1080">
        <f>+Modificaciones!AC1074</f>
        <v>0</v>
      </c>
      <c r="V1074" s="825">
        <f>+Modificaciones!AK1074</f>
        <v>0</v>
      </c>
      <c r="W1074" s="825">
        <f t="shared" si="205"/>
        <v>0</v>
      </c>
      <c r="X1074" s="59">
        <f t="shared" si="206"/>
        <v>0</v>
      </c>
      <c r="Y1074" s="151">
        <f>VLOOKUP(E1074,Modificaciones!$B$7:$BE$2300,56,0)</f>
        <v>0</v>
      </c>
      <c r="Z1074" s="84">
        <f t="shared" si="207"/>
        <v>0</v>
      </c>
      <c r="AA1074" s="1000"/>
      <c r="AB1074" s="823" t="e">
        <f t="shared" si="208"/>
        <v>#DIV/0!</v>
      </c>
      <c r="AC1074" s="40" t="e">
        <f t="shared" ca="1" si="209"/>
        <v>#DIV/0!</v>
      </c>
      <c r="AD1074" s="41" t="e">
        <f t="shared" ca="1" si="210"/>
        <v>#DIV/0!</v>
      </c>
      <c r="AE1074" s="181" t="e">
        <f t="shared" ca="1" si="211"/>
        <v>#DIV/0!</v>
      </c>
      <c r="AF1074" s="42" t="e">
        <f t="shared" si="212"/>
        <v>#DIV/0!</v>
      </c>
      <c r="AG1074" s="838"/>
      <c r="AH1074" s="841"/>
      <c r="AI1074" s="841"/>
      <c r="AJ1074" s="838"/>
      <c r="AL1074" s="838"/>
      <c r="AM1074" s="838"/>
      <c r="AN1074" s="161" t="str">
        <f t="shared" ca="1" si="213"/>
        <v>TERMINO</v>
      </c>
      <c r="AO1074" s="414"/>
      <c r="AP1074" s="406"/>
      <c r="AQ1074" s="819" t="str">
        <f>IFERROR(VLOOKUP(E1074,'liquidaciones '!$B$2:$C$1048576,2,0),"NO")</f>
        <v>NO</v>
      </c>
      <c r="AR1074" s="909" t="str">
        <f>IFERROR(VLOOKUP(E1074,'liquidaciones '!$B$2:$I$1048576,8,0),"")</f>
        <v/>
      </c>
      <c r="AS1074" s="406"/>
      <c r="AT1074" s="156" t="str">
        <f t="shared" ca="1" si="214"/>
        <v>NO</v>
      </c>
      <c r="AU1074" s="1140"/>
      <c r="AV1074" s="1001"/>
      <c r="AX1074" s="928"/>
      <c r="AY1074" s="928"/>
    </row>
    <row r="1075" spans="3:51" x14ac:dyDescent="0.3">
      <c r="C1075" s="837"/>
      <c r="E1075" s="120"/>
      <c r="F1075" s="414"/>
      <c r="G1075" s="863"/>
      <c r="H1075" s="969"/>
      <c r="I1075" s="84"/>
      <c r="J1075" s="839"/>
      <c r="K1075" s="269"/>
      <c r="L1075" s="519"/>
      <c r="M1075" s="840"/>
      <c r="N1075" s="840"/>
      <c r="O1075" s="1099" t="str">
        <f>IF(+Modificaciones!I1075=0,"",VLOOKUP(E1075,Modificaciones!$B$7:$I$2400,8,0))</f>
        <v/>
      </c>
      <c r="P1075" s="115">
        <f>COUNTA(Modificaciones!J1075,Modificaciones!L1075,Modificaciones!N1075,Modificaciones!P1075)</f>
        <v>0</v>
      </c>
      <c r="Q1075" s="116">
        <f>VLOOKUP(E1075,Modificaciones!$B$7:$R$2300,17,0)</f>
        <v>0</v>
      </c>
      <c r="R1075" s="117">
        <f>COUNTA(Modificaciones!T1075,Modificaciones!V1075,Modificaciones!X1075,Modificaciones!Z1075)</f>
        <v>0</v>
      </c>
      <c r="S1075" s="118" t="str">
        <f>IF(Modificaciones!AA1075=0,"",VLOOKUP(E1075,Modificaciones!$B$7:$AA$2400,26,0))</f>
        <v/>
      </c>
      <c r="T1075" s="119" t="str">
        <f>IF(Modificaciones!AB1075=0,"",VLOOKUP(E1075,Modificaciones!$B$7:$AB$2400,27,0))</f>
        <v/>
      </c>
      <c r="U1075" s="1080">
        <f>+Modificaciones!AC1075</f>
        <v>0</v>
      </c>
      <c r="V1075" s="825">
        <f>+Modificaciones!AK1075</f>
        <v>0</v>
      </c>
      <c r="W1075" s="825">
        <f t="shared" si="205"/>
        <v>0</v>
      </c>
      <c r="X1075" s="59">
        <f t="shared" si="206"/>
        <v>0</v>
      </c>
      <c r="Y1075" s="151">
        <f>VLOOKUP(E1075,Modificaciones!$B$7:$BE$2300,56,0)</f>
        <v>0</v>
      </c>
      <c r="Z1075" s="84">
        <f t="shared" si="207"/>
        <v>0</v>
      </c>
      <c r="AA1075" s="1000"/>
      <c r="AB1075" s="823" t="e">
        <f t="shared" si="208"/>
        <v>#DIV/0!</v>
      </c>
      <c r="AC1075" s="40" t="e">
        <f t="shared" ca="1" si="209"/>
        <v>#DIV/0!</v>
      </c>
      <c r="AD1075" s="41" t="e">
        <f t="shared" ca="1" si="210"/>
        <v>#DIV/0!</v>
      </c>
      <c r="AE1075" s="181" t="e">
        <f t="shared" ca="1" si="211"/>
        <v>#DIV/0!</v>
      </c>
      <c r="AF1075" s="42" t="e">
        <f t="shared" si="212"/>
        <v>#DIV/0!</v>
      </c>
      <c r="AG1075" s="838"/>
      <c r="AH1075" s="841"/>
      <c r="AI1075" s="841"/>
      <c r="AJ1075" s="838"/>
      <c r="AL1075" s="838"/>
      <c r="AM1075" s="838"/>
      <c r="AN1075" s="161" t="str">
        <f t="shared" ca="1" si="213"/>
        <v>TERMINO</v>
      </c>
      <c r="AO1075" s="414"/>
      <c r="AP1075" s="406"/>
      <c r="AQ1075" s="819" t="str">
        <f>IFERROR(VLOOKUP(E1075,'liquidaciones '!$B$2:$C$1048576,2,0),"NO")</f>
        <v>NO</v>
      </c>
      <c r="AR1075" s="909" t="str">
        <f>IFERROR(VLOOKUP(E1075,'liquidaciones '!$B$2:$I$1048576,8,0),"")</f>
        <v/>
      </c>
      <c r="AS1075" s="406"/>
      <c r="AT1075" s="156" t="str">
        <f t="shared" ca="1" si="214"/>
        <v>NO</v>
      </c>
      <c r="AU1075" s="1140"/>
      <c r="AV1075" s="1001"/>
      <c r="AX1075" s="928"/>
      <c r="AY1075" s="928"/>
    </row>
    <row r="1076" spans="3:51" x14ac:dyDescent="0.3">
      <c r="C1076" s="837"/>
      <c r="E1076" s="120"/>
      <c r="F1076" s="414"/>
      <c r="G1076" s="863"/>
      <c r="H1076" s="969"/>
      <c r="I1076" s="84"/>
      <c r="J1076" s="839"/>
      <c r="K1076" s="269"/>
      <c r="L1076" s="519"/>
      <c r="M1076" s="840"/>
      <c r="N1076" s="840"/>
      <c r="O1076" s="1099" t="str">
        <f>IF(+Modificaciones!I1076=0,"",VLOOKUP(E1076,Modificaciones!$B$7:$I$2400,8,0))</f>
        <v/>
      </c>
      <c r="P1076" s="115">
        <f>COUNTA(Modificaciones!J1076,Modificaciones!L1076,Modificaciones!N1076,Modificaciones!P1076)</f>
        <v>0</v>
      </c>
      <c r="Q1076" s="116">
        <f>VLOOKUP(E1076,Modificaciones!$B$7:$R$2300,17,0)</f>
        <v>0</v>
      </c>
      <c r="R1076" s="117">
        <f>COUNTA(Modificaciones!T1076,Modificaciones!V1076,Modificaciones!X1076,Modificaciones!Z1076)</f>
        <v>0</v>
      </c>
      <c r="S1076" s="118" t="str">
        <f>IF(Modificaciones!AA1076=0,"",VLOOKUP(E1076,Modificaciones!$B$7:$AA$2400,26,0))</f>
        <v/>
      </c>
      <c r="T1076" s="119" t="str">
        <f>IF(Modificaciones!AB1076=0,"",VLOOKUP(E1076,Modificaciones!$B$7:$AB$2400,27,0))</f>
        <v/>
      </c>
      <c r="U1076" s="1080">
        <f>+Modificaciones!AC1076</f>
        <v>0</v>
      </c>
      <c r="V1076" s="825">
        <f>+Modificaciones!AK1076</f>
        <v>0</v>
      </c>
      <c r="W1076" s="825">
        <f t="shared" si="205"/>
        <v>0</v>
      </c>
      <c r="X1076" s="59">
        <f t="shared" si="206"/>
        <v>0</v>
      </c>
      <c r="Y1076" s="151">
        <f>VLOOKUP(E1076,Modificaciones!$B$7:$BE$2300,56,0)</f>
        <v>0</v>
      </c>
      <c r="Z1076" s="84">
        <f t="shared" si="207"/>
        <v>0</v>
      </c>
      <c r="AA1076" s="1000"/>
      <c r="AB1076" s="823" t="e">
        <f t="shared" si="208"/>
        <v>#DIV/0!</v>
      </c>
      <c r="AC1076" s="40" t="e">
        <f t="shared" ca="1" si="209"/>
        <v>#DIV/0!</v>
      </c>
      <c r="AD1076" s="41" t="e">
        <f t="shared" ca="1" si="210"/>
        <v>#DIV/0!</v>
      </c>
      <c r="AE1076" s="181" t="e">
        <f t="shared" ca="1" si="211"/>
        <v>#DIV/0!</v>
      </c>
      <c r="AF1076" s="42" t="e">
        <f t="shared" si="212"/>
        <v>#DIV/0!</v>
      </c>
      <c r="AG1076" s="838"/>
      <c r="AH1076" s="841"/>
      <c r="AI1076" s="841"/>
      <c r="AJ1076" s="838"/>
      <c r="AL1076" s="838"/>
      <c r="AM1076" s="838"/>
      <c r="AN1076" s="161" t="str">
        <f t="shared" ca="1" si="213"/>
        <v>TERMINO</v>
      </c>
      <c r="AO1076" s="414"/>
      <c r="AP1076" s="406"/>
      <c r="AQ1076" s="819" t="str">
        <f>IFERROR(VLOOKUP(E1076,'liquidaciones '!$B$2:$C$1048576,2,0),"NO")</f>
        <v>NO</v>
      </c>
      <c r="AR1076" s="909" t="str">
        <f>IFERROR(VLOOKUP(E1076,'liquidaciones '!$B$2:$I$1048576,8,0),"")</f>
        <v/>
      </c>
      <c r="AS1076" s="406"/>
      <c r="AT1076" s="156" t="str">
        <f t="shared" ca="1" si="214"/>
        <v>NO</v>
      </c>
      <c r="AU1076" s="1140"/>
      <c r="AV1076" s="1001"/>
      <c r="AX1076" s="928"/>
      <c r="AY1076" s="928"/>
    </row>
    <row r="1077" spans="3:51" x14ac:dyDescent="0.3">
      <c r="C1077" s="837"/>
      <c r="E1077" s="120"/>
      <c r="F1077" s="414"/>
      <c r="G1077" s="863"/>
      <c r="H1077" s="969"/>
      <c r="I1077" s="84"/>
      <c r="J1077" s="839"/>
      <c r="K1077" s="269"/>
      <c r="L1077" s="519"/>
      <c r="M1077" s="840"/>
      <c r="N1077" s="840"/>
      <c r="O1077" s="1099" t="str">
        <f>IF(+Modificaciones!I1077=0,"",VLOOKUP(E1077,Modificaciones!$B$7:$I$2400,8,0))</f>
        <v/>
      </c>
      <c r="P1077" s="115">
        <f>COUNTA(Modificaciones!J1077,Modificaciones!L1077,Modificaciones!N1077,Modificaciones!P1077)</f>
        <v>0</v>
      </c>
      <c r="Q1077" s="116">
        <f>VLOOKUP(E1077,Modificaciones!$B$7:$R$2300,17,0)</f>
        <v>0</v>
      </c>
      <c r="R1077" s="117">
        <f>COUNTA(Modificaciones!T1077,Modificaciones!V1077,Modificaciones!X1077,Modificaciones!Z1077)</f>
        <v>0</v>
      </c>
      <c r="S1077" s="118" t="str">
        <f>IF(Modificaciones!AA1077=0,"",VLOOKUP(E1077,Modificaciones!$B$7:$AA$2400,26,0))</f>
        <v/>
      </c>
      <c r="T1077" s="119" t="str">
        <f>IF(Modificaciones!AB1077=0,"",VLOOKUP(E1077,Modificaciones!$B$7:$AB$2400,27,0))</f>
        <v/>
      </c>
      <c r="U1077" s="1080">
        <f>+Modificaciones!AC1077</f>
        <v>0</v>
      </c>
      <c r="V1077" s="825">
        <f>+Modificaciones!AK1077</f>
        <v>0</v>
      </c>
      <c r="W1077" s="825">
        <f t="shared" si="205"/>
        <v>0</v>
      </c>
      <c r="X1077" s="59">
        <f t="shared" si="206"/>
        <v>0</v>
      </c>
      <c r="Y1077" s="151">
        <f>VLOOKUP(E1077,Modificaciones!$B$7:$BE$2300,56,0)</f>
        <v>0</v>
      </c>
      <c r="Z1077" s="84">
        <f t="shared" si="207"/>
        <v>0</v>
      </c>
      <c r="AA1077" s="1000"/>
      <c r="AB1077" s="823" t="e">
        <f t="shared" si="208"/>
        <v>#DIV/0!</v>
      </c>
      <c r="AC1077" s="40" t="e">
        <f t="shared" ca="1" si="209"/>
        <v>#DIV/0!</v>
      </c>
      <c r="AD1077" s="41" t="e">
        <f t="shared" ca="1" si="210"/>
        <v>#DIV/0!</v>
      </c>
      <c r="AE1077" s="181" t="e">
        <f t="shared" ca="1" si="211"/>
        <v>#DIV/0!</v>
      </c>
      <c r="AF1077" s="42" t="e">
        <f t="shared" si="212"/>
        <v>#DIV/0!</v>
      </c>
      <c r="AG1077" s="838"/>
      <c r="AH1077" s="841"/>
      <c r="AI1077" s="841"/>
      <c r="AJ1077" s="838"/>
      <c r="AL1077" s="838"/>
      <c r="AM1077" s="838"/>
      <c r="AN1077" s="161" t="str">
        <f t="shared" ca="1" si="213"/>
        <v>TERMINO</v>
      </c>
      <c r="AO1077" s="414"/>
      <c r="AP1077" s="406"/>
      <c r="AQ1077" s="819" t="str">
        <f>IFERROR(VLOOKUP(E1077,'liquidaciones '!$B$2:$C$1048576,2,0),"NO")</f>
        <v>NO</v>
      </c>
      <c r="AR1077" s="909" t="str">
        <f>IFERROR(VLOOKUP(E1077,'liquidaciones '!$B$2:$I$1048576,8,0),"")</f>
        <v/>
      </c>
      <c r="AS1077" s="406"/>
      <c r="AT1077" s="156" t="str">
        <f t="shared" ca="1" si="214"/>
        <v>NO</v>
      </c>
      <c r="AU1077" s="1140"/>
      <c r="AV1077" s="1001"/>
      <c r="AX1077" s="928"/>
      <c r="AY1077" s="928"/>
    </row>
    <row r="1078" spans="3:51" x14ac:dyDescent="0.3">
      <c r="C1078" s="837"/>
      <c r="E1078" s="120"/>
      <c r="F1078" s="414"/>
      <c r="G1078" s="863"/>
      <c r="H1078" s="969"/>
      <c r="I1078" s="84"/>
      <c r="J1078" s="839"/>
      <c r="K1078" s="269"/>
      <c r="L1078" s="519"/>
      <c r="M1078" s="840"/>
      <c r="N1078" s="840"/>
      <c r="O1078" s="1099" t="str">
        <f>IF(+Modificaciones!I1078=0,"",VLOOKUP(E1078,Modificaciones!$B$7:$I$2400,8,0))</f>
        <v/>
      </c>
      <c r="P1078" s="115">
        <f>COUNTA(Modificaciones!J1078,Modificaciones!L1078,Modificaciones!N1078,Modificaciones!P1078)</f>
        <v>0</v>
      </c>
      <c r="Q1078" s="116">
        <f>VLOOKUP(E1078,Modificaciones!$B$7:$R$2300,17,0)</f>
        <v>0</v>
      </c>
      <c r="R1078" s="117">
        <f>COUNTA(Modificaciones!T1078,Modificaciones!V1078,Modificaciones!X1078,Modificaciones!Z1078)</f>
        <v>0</v>
      </c>
      <c r="S1078" s="118" t="str">
        <f>IF(Modificaciones!AA1078=0,"",VLOOKUP(E1078,Modificaciones!$B$7:$AA$2400,26,0))</f>
        <v/>
      </c>
      <c r="T1078" s="119" t="str">
        <f>IF(Modificaciones!AB1078=0,"",VLOOKUP(E1078,Modificaciones!$B$7:$AB$2400,27,0))</f>
        <v/>
      </c>
      <c r="U1078" s="1080">
        <f>+Modificaciones!AC1078</f>
        <v>0</v>
      </c>
      <c r="V1078" s="825">
        <f>+Modificaciones!AK1078</f>
        <v>0</v>
      </c>
      <c r="W1078" s="825">
        <f t="shared" si="205"/>
        <v>0</v>
      </c>
      <c r="X1078" s="59">
        <f t="shared" si="206"/>
        <v>0</v>
      </c>
      <c r="Y1078" s="151">
        <f>VLOOKUP(E1078,Modificaciones!$B$7:$BE$2300,56,0)</f>
        <v>0</v>
      </c>
      <c r="Z1078" s="84">
        <f t="shared" si="207"/>
        <v>0</v>
      </c>
      <c r="AA1078" s="1000"/>
      <c r="AB1078" s="823" t="e">
        <f t="shared" si="208"/>
        <v>#DIV/0!</v>
      </c>
      <c r="AC1078" s="40" t="e">
        <f t="shared" ca="1" si="209"/>
        <v>#DIV/0!</v>
      </c>
      <c r="AD1078" s="41" t="e">
        <f t="shared" ca="1" si="210"/>
        <v>#DIV/0!</v>
      </c>
      <c r="AE1078" s="181" t="e">
        <f t="shared" ca="1" si="211"/>
        <v>#DIV/0!</v>
      </c>
      <c r="AF1078" s="42" t="e">
        <f t="shared" si="212"/>
        <v>#DIV/0!</v>
      </c>
      <c r="AG1078" s="838"/>
      <c r="AH1078" s="841"/>
      <c r="AI1078" s="841"/>
      <c r="AJ1078" s="838"/>
      <c r="AL1078" s="838"/>
      <c r="AM1078" s="838"/>
      <c r="AN1078" s="161" t="str">
        <f t="shared" ca="1" si="213"/>
        <v>TERMINO</v>
      </c>
      <c r="AO1078" s="414"/>
      <c r="AP1078" s="406"/>
      <c r="AQ1078" s="819" t="str">
        <f>IFERROR(VLOOKUP(E1078,'liquidaciones '!$B$2:$C$1048576,2,0),"NO")</f>
        <v>NO</v>
      </c>
      <c r="AR1078" s="909" t="str">
        <f>IFERROR(VLOOKUP(E1078,'liquidaciones '!$B$2:$I$1048576,8,0),"")</f>
        <v/>
      </c>
      <c r="AS1078" s="406"/>
      <c r="AT1078" s="156" t="str">
        <f t="shared" ca="1" si="214"/>
        <v>NO</v>
      </c>
      <c r="AU1078" s="1140"/>
      <c r="AV1078" s="1001"/>
      <c r="AX1078" s="928"/>
      <c r="AY1078" s="928"/>
    </row>
    <row r="1079" spans="3:51" x14ac:dyDescent="0.3">
      <c r="C1079" s="837"/>
      <c r="E1079" s="120"/>
      <c r="F1079" s="414"/>
      <c r="G1079" s="863"/>
      <c r="H1079" s="969"/>
      <c r="I1079" s="84"/>
      <c r="J1079" s="839"/>
      <c r="K1079" s="269"/>
      <c r="L1079" s="519"/>
      <c r="M1079" s="840"/>
      <c r="N1079" s="840"/>
      <c r="O1079" s="1099" t="str">
        <f>IF(+Modificaciones!I1079=0,"",VLOOKUP(E1079,Modificaciones!$B$7:$I$2400,8,0))</f>
        <v/>
      </c>
      <c r="P1079" s="115">
        <f>COUNTA(Modificaciones!J1079,Modificaciones!L1079,Modificaciones!N1079,Modificaciones!P1079)</f>
        <v>0</v>
      </c>
      <c r="Q1079" s="116">
        <f>VLOOKUP(E1079,Modificaciones!$B$7:$R$2300,17,0)</f>
        <v>0</v>
      </c>
      <c r="R1079" s="117">
        <f>COUNTA(Modificaciones!T1079,Modificaciones!V1079,Modificaciones!X1079,Modificaciones!Z1079)</f>
        <v>0</v>
      </c>
      <c r="S1079" s="118" t="str">
        <f>IF(Modificaciones!AA1079=0,"",VLOOKUP(E1079,Modificaciones!$B$7:$AA$2400,26,0))</f>
        <v/>
      </c>
      <c r="T1079" s="119" t="str">
        <f>IF(Modificaciones!AB1079=0,"",VLOOKUP(E1079,Modificaciones!$B$7:$AB$2400,27,0))</f>
        <v/>
      </c>
      <c r="U1079" s="1080">
        <f>+Modificaciones!AC1079</f>
        <v>0</v>
      </c>
      <c r="V1079" s="825">
        <f>+Modificaciones!AK1079</f>
        <v>0</v>
      </c>
      <c r="W1079" s="825">
        <f t="shared" si="205"/>
        <v>0</v>
      </c>
      <c r="X1079" s="59">
        <f t="shared" si="206"/>
        <v>0</v>
      </c>
      <c r="Y1079" s="151">
        <f>VLOOKUP(E1079,Modificaciones!$B$7:$BE$2300,56,0)</f>
        <v>0</v>
      </c>
      <c r="Z1079" s="84">
        <f t="shared" si="207"/>
        <v>0</v>
      </c>
      <c r="AA1079" s="1000"/>
      <c r="AB1079" s="823" t="e">
        <f t="shared" si="208"/>
        <v>#DIV/0!</v>
      </c>
      <c r="AC1079" s="40" t="e">
        <f t="shared" ca="1" si="209"/>
        <v>#DIV/0!</v>
      </c>
      <c r="AD1079" s="41" t="e">
        <f t="shared" ca="1" si="210"/>
        <v>#DIV/0!</v>
      </c>
      <c r="AE1079" s="181" t="e">
        <f t="shared" ca="1" si="211"/>
        <v>#DIV/0!</v>
      </c>
      <c r="AF1079" s="42" t="e">
        <f t="shared" si="212"/>
        <v>#DIV/0!</v>
      </c>
      <c r="AG1079" s="838"/>
      <c r="AH1079" s="841"/>
      <c r="AI1079" s="841"/>
      <c r="AJ1079" s="838"/>
      <c r="AL1079" s="838"/>
      <c r="AM1079" s="838"/>
      <c r="AN1079" s="161" t="str">
        <f t="shared" ca="1" si="213"/>
        <v>TERMINO</v>
      </c>
      <c r="AO1079" s="414"/>
      <c r="AP1079" s="406"/>
      <c r="AQ1079" s="819" t="str">
        <f>IFERROR(VLOOKUP(E1079,'liquidaciones '!$B$2:$C$1048576,2,0),"NO")</f>
        <v>NO</v>
      </c>
      <c r="AR1079" s="909" t="str">
        <f>IFERROR(VLOOKUP(E1079,'liquidaciones '!$B$2:$I$1048576,8,0),"")</f>
        <v/>
      </c>
      <c r="AS1079" s="406"/>
      <c r="AT1079" s="156" t="str">
        <f t="shared" ca="1" si="214"/>
        <v>NO</v>
      </c>
      <c r="AU1079" s="1140"/>
      <c r="AV1079" s="1001"/>
      <c r="AX1079" s="928"/>
      <c r="AY1079" s="928"/>
    </row>
    <row r="1080" spans="3:51" x14ac:dyDescent="0.3">
      <c r="C1080" s="837"/>
      <c r="E1080" s="120"/>
      <c r="F1080" s="414"/>
      <c r="G1080" s="863"/>
      <c r="H1080" s="969"/>
      <c r="I1080" s="84"/>
      <c r="J1080" s="839"/>
      <c r="K1080" s="269"/>
      <c r="L1080" s="519"/>
      <c r="M1080" s="840"/>
      <c r="N1080" s="840"/>
      <c r="O1080" s="1099" t="str">
        <f>IF(+Modificaciones!I1080=0,"",VLOOKUP(E1080,Modificaciones!$B$7:$I$2400,8,0))</f>
        <v/>
      </c>
      <c r="P1080" s="115">
        <f>COUNTA(Modificaciones!J1080,Modificaciones!L1080,Modificaciones!N1080,Modificaciones!P1080)</f>
        <v>0</v>
      </c>
      <c r="Q1080" s="116">
        <f>VLOOKUP(E1080,Modificaciones!$B$7:$R$2300,17,0)</f>
        <v>0</v>
      </c>
      <c r="R1080" s="117">
        <f>COUNTA(Modificaciones!T1080,Modificaciones!V1080,Modificaciones!X1080,Modificaciones!Z1080)</f>
        <v>0</v>
      </c>
      <c r="S1080" s="118" t="str">
        <f>IF(Modificaciones!AA1080=0,"",VLOOKUP(E1080,Modificaciones!$B$7:$AA$2400,26,0))</f>
        <v/>
      </c>
      <c r="T1080" s="119" t="str">
        <f>IF(Modificaciones!AB1080=0,"",VLOOKUP(E1080,Modificaciones!$B$7:$AB$2400,27,0))</f>
        <v/>
      </c>
      <c r="U1080" s="1080">
        <f>+Modificaciones!AC1080</f>
        <v>0</v>
      </c>
      <c r="V1080" s="825">
        <f>+Modificaciones!AK1080</f>
        <v>0</v>
      </c>
      <c r="W1080" s="825">
        <f t="shared" si="205"/>
        <v>0</v>
      </c>
      <c r="X1080" s="59">
        <f t="shared" si="206"/>
        <v>0</v>
      </c>
      <c r="Y1080" s="151">
        <f>VLOOKUP(E1080,Modificaciones!$B$7:$BE$2300,56,0)</f>
        <v>0</v>
      </c>
      <c r="Z1080" s="84">
        <f t="shared" si="207"/>
        <v>0</v>
      </c>
      <c r="AA1080" s="1000"/>
      <c r="AB1080" s="823" t="e">
        <f t="shared" si="208"/>
        <v>#DIV/0!</v>
      </c>
      <c r="AC1080" s="40" t="e">
        <f t="shared" ca="1" si="209"/>
        <v>#DIV/0!</v>
      </c>
      <c r="AD1080" s="41" t="e">
        <f t="shared" ca="1" si="210"/>
        <v>#DIV/0!</v>
      </c>
      <c r="AE1080" s="181" t="e">
        <f t="shared" ca="1" si="211"/>
        <v>#DIV/0!</v>
      </c>
      <c r="AF1080" s="42" t="e">
        <f t="shared" si="212"/>
        <v>#DIV/0!</v>
      </c>
      <c r="AG1080" s="838"/>
      <c r="AH1080" s="841"/>
      <c r="AI1080" s="841"/>
      <c r="AJ1080" s="838"/>
      <c r="AL1080" s="838"/>
      <c r="AM1080" s="838"/>
      <c r="AN1080" s="161" t="str">
        <f t="shared" ca="1" si="213"/>
        <v>TERMINO</v>
      </c>
      <c r="AO1080" s="414"/>
      <c r="AP1080" s="406"/>
      <c r="AQ1080" s="819" t="str">
        <f>IFERROR(VLOOKUP(E1080,'liquidaciones '!$B$2:$C$1048576,2,0),"NO")</f>
        <v>NO</v>
      </c>
      <c r="AR1080" s="909" t="str">
        <f>IFERROR(VLOOKUP(E1080,'liquidaciones '!$B$2:$I$1048576,8,0),"")</f>
        <v/>
      </c>
      <c r="AS1080" s="406"/>
      <c r="AT1080" s="156" t="str">
        <f t="shared" ca="1" si="214"/>
        <v>NO</v>
      </c>
      <c r="AU1080" s="1140"/>
      <c r="AV1080" s="1001"/>
      <c r="AX1080" s="928"/>
      <c r="AY1080" s="928"/>
    </row>
    <row r="1081" spans="3:51" x14ac:dyDescent="0.3">
      <c r="C1081" s="837"/>
      <c r="E1081" s="120"/>
      <c r="F1081" s="414"/>
      <c r="G1081" s="863"/>
      <c r="H1081" s="969"/>
      <c r="I1081" s="84"/>
      <c r="J1081" s="839"/>
      <c r="K1081" s="269"/>
      <c r="L1081" s="519"/>
      <c r="M1081" s="840"/>
      <c r="N1081" s="840"/>
      <c r="O1081" s="1099" t="str">
        <f>IF(+Modificaciones!I1081=0,"",VLOOKUP(E1081,Modificaciones!$B$7:$I$2400,8,0))</f>
        <v/>
      </c>
      <c r="P1081" s="115">
        <f>COUNTA(Modificaciones!J1081,Modificaciones!L1081,Modificaciones!N1081,Modificaciones!P1081)</f>
        <v>0</v>
      </c>
      <c r="Q1081" s="116">
        <f>VLOOKUP(E1081,Modificaciones!$B$7:$R$2300,17,0)</f>
        <v>0</v>
      </c>
      <c r="R1081" s="117">
        <f>COUNTA(Modificaciones!T1081,Modificaciones!V1081,Modificaciones!X1081,Modificaciones!Z1081)</f>
        <v>0</v>
      </c>
      <c r="S1081" s="118" t="str">
        <f>IF(Modificaciones!AA1081=0,"",VLOOKUP(E1081,Modificaciones!$B$7:$AA$2400,26,0))</f>
        <v/>
      </c>
      <c r="T1081" s="119" t="str">
        <f>IF(Modificaciones!AB1081=0,"",VLOOKUP(E1081,Modificaciones!$B$7:$AB$2400,27,0))</f>
        <v/>
      </c>
      <c r="U1081" s="1080">
        <f>+Modificaciones!AC1081</f>
        <v>0</v>
      </c>
      <c r="V1081" s="825">
        <f>+Modificaciones!AK1081</f>
        <v>0</v>
      </c>
      <c r="W1081" s="825">
        <f t="shared" si="205"/>
        <v>0</v>
      </c>
      <c r="X1081" s="59">
        <f t="shared" si="206"/>
        <v>0</v>
      </c>
      <c r="Y1081" s="151">
        <f>VLOOKUP(E1081,Modificaciones!$B$7:$BE$2300,56,0)</f>
        <v>0</v>
      </c>
      <c r="Z1081" s="84">
        <f t="shared" si="207"/>
        <v>0</v>
      </c>
      <c r="AA1081" s="1000"/>
      <c r="AB1081" s="823" t="e">
        <f t="shared" si="208"/>
        <v>#DIV/0!</v>
      </c>
      <c r="AC1081" s="40" t="e">
        <f t="shared" ca="1" si="209"/>
        <v>#DIV/0!</v>
      </c>
      <c r="AD1081" s="41" t="e">
        <f t="shared" ca="1" si="210"/>
        <v>#DIV/0!</v>
      </c>
      <c r="AE1081" s="181" t="e">
        <f t="shared" ca="1" si="211"/>
        <v>#DIV/0!</v>
      </c>
      <c r="AF1081" s="42" t="e">
        <f t="shared" si="212"/>
        <v>#DIV/0!</v>
      </c>
      <c r="AG1081" s="838"/>
      <c r="AH1081" s="841"/>
      <c r="AI1081" s="841"/>
      <c r="AJ1081" s="838"/>
      <c r="AL1081" s="838"/>
      <c r="AM1081" s="838"/>
      <c r="AN1081" s="161" t="str">
        <f t="shared" ca="1" si="213"/>
        <v>TERMINO</v>
      </c>
      <c r="AO1081" s="414"/>
      <c r="AP1081" s="406"/>
      <c r="AQ1081" s="819" t="str">
        <f>IFERROR(VLOOKUP(E1081,'liquidaciones '!$B$2:$C$1048576,2,0),"NO")</f>
        <v>NO</v>
      </c>
      <c r="AR1081" s="909" t="str">
        <f>IFERROR(VLOOKUP(E1081,'liquidaciones '!$B$2:$I$1048576,8,0),"")</f>
        <v/>
      </c>
      <c r="AS1081" s="406"/>
      <c r="AT1081" s="156" t="str">
        <f t="shared" ca="1" si="214"/>
        <v>NO</v>
      </c>
      <c r="AU1081" s="1140"/>
      <c r="AV1081" s="1001"/>
      <c r="AX1081" s="928"/>
      <c r="AY1081" s="928"/>
    </row>
    <row r="1082" spans="3:51" x14ac:dyDescent="0.3">
      <c r="C1082" s="837"/>
      <c r="E1082" s="120"/>
      <c r="F1082" s="414"/>
      <c r="G1082" s="863"/>
      <c r="H1082" s="969"/>
      <c r="I1082" s="84"/>
      <c r="J1082" s="839"/>
      <c r="K1082" s="269"/>
      <c r="L1082" s="519"/>
      <c r="M1082" s="840"/>
      <c r="N1082" s="840"/>
      <c r="O1082" s="1099" t="str">
        <f>IF(+Modificaciones!I1082=0,"",VLOOKUP(E1082,Modificaciones!$B$7:$I$2400,8,0))</f>
        <v/>
      </c>
      <c r="P1082" s="115">
        <f>COUNTA(Modificaciones!J1082,Modificaciones!L1082,Modificaciones!N1082,Modificaciones!P1082)</f>
        <v>0</v>
      </c>
      <c r="Q1082" s="116">
        <f>VLOOKUP(E1082,Modificaciones!$B$7:$R$2300,17,0)</f>
        <v>0</v>
      </c>
      <c r="R1082" s="117">
        <f>COUNTA(Modificaciones!T1082,Modificaciones!V1082,Modificaciones!X1082,Modificaciones!Z1082)</f>
        <v>0</v>
      </c>
      <c r="S1082" s="118" t="str">
        <f>IF(Modificaciones!AA1082=0,"",VLOOKUP(E1082,Modificaciones!$B$7:$AA$2400,26,0))</f>
        <v/>
      </c>
      <c r="T1082" s="119" t="str">
        <f>IF(Modificaciones!AB1082=0,"",VLOOKUP(E1082,Modificaciones!$B$7:$AB$2400,27,0))</f>
        <v/>
      </c>
      <c r="U1082" s="1080">
        <f>+Modificaciones!AC1082</f>
        <v>0</v>
      </c>
      <c r="V1082" s="825">
        <f>+Modificaciones!AK1082</f>
        <v>0</v>
      </c>
      <c r="W1082" s="825">
        <f t="shared" si="205"/>
        <v>0</v>
      </c>
      <c r="X1082" s="59">
        <f t="shared" si="206"/>
        <v>0</v>
      </c>
      <c r="Y1082" s="151">
        <f>VLOOKUP(E1082,Modificaciones!$B$7:$BE$2300,56,0)</f>
        <v>0</v>
      </c>
      <c r="Z1082" s="84">
        <f t="shared" si="207"/>
        <v>0</v>
      </c>
      <c r="AA1082" s="1000"/>
      <c r="AB1082" s="823" t="e">
        <f t="shared" si="208"/>
        <v>#DIV/0!</v>
      </c>
      <c r="AC1082" s="40" t="e">
        <f t="shared" ca="1" si="209"/>
        <v>#DIV/0!</v>
      </c>
      <c r="AD1082" s="41" t="e">
        <f t="shared" ca="1" si="210"/>
        <v>#DIV/0!</v>
      </c>
      <c r="AE1082" s="181" t="e">
        <f t="shared" ca="1" si="211"/>
        <v>#DIV/0!</v>
      </c>
      <c r="AF1082" s="42" t="e">
        <f t="shared" si="212"/>
        <v>#DIV/0!</v>
      </c>
      <c r="AG1082" s="838"/>
      <c r="AH1082" s="841"/>
      <c r="AI1082" s="841"/>
      <c r="AJ1082" s="838"/>
      <c r="AL1082" s="838"/>
      <c r="AM1082" s="838"/>
      <c r="AN1082" s="161" t="str">
        <f t="shared" ca="1" si="213"/>
        <v>TERMINO</v>
      </c>
      <c r="AO1082" s="414"/>
      <c r="AP1082" s="406"/>
      <c r="AQ1082" s="819" t="str">
        <f>IFERROR(VLOOKUP(E1082,'liquidaciones '!$B$2:$C$1048576,2,0),"NO")</f>
        <v>NO</v>
      </c>
      <c r="AR1082" s="909" t="str">
        <f>IFERROR(VLOOKUP(E1082,'liquidaciones '!$B$2:$I$1048576,8,0),"")</f>
        <v/>
      </c>
      <c r="AS1082" s="406"/>
      <c r="AT1082" s="156" t="str">
        <f t="shared" ca="1" si="214"/>
        <v>NO</v>
      </c>
      <c r="AU1082" s="1140"/>
      <c r="AV1082" s="1001"/>
      <c r="AX1082" s="928"/>
      <c r="AY1082" s="928"/>
    </row>
    <row r="1083" spans="3:51" x14ac:dyDescent="0.3">
      <c r="C1083" s="837"/>
      <c r="E1083" s="120"/>
      <c r="F1083" s="414"/>
      <c r="G1083" s="863"/>
      <c r="H1083" s="969"/>
      <c r="I1083" s="84"/>
      <c r="J1083" s="839"/>
      <c r="K1083" s="269"/>
      <c r="L1083" s="519"/>
      <c r="M1083" s="840"/>
      <c r="N1083" s="840"/>
      <c r="O1083" s="1099" t="str">
        <f>IF(+Modificaciones!I1083=0,"",VLOOKUP(E1083,Modificaciones!$B$7:$I$2400,8,0))</f>
        <v/>
      </c>
      <c r="P1083" s="115">
        <f>COUNTA(Modificaciones!J1083,Modificaciones!L1083,Modificaciones!N1083,Modificaciones!P1083)</f>
        <v>0</v>
      </c>
      <c r="Q1083" s="116">
        <f>VLOOKUP(E1083,Modificaciones!$B$7:$R$2300,17,0)</f>
        <v>0</v>
      </c>
      <c r="R1083" s="117">
        <f>COUNTA(Modificaciones!T1083,Modificaciones!V1083,Modificaciones!X1083,Modificaciones!Z1083)</f>
        <v>0</v>
      </c>
      <c r="S1083" s="118" t="str">
        <f>IF(Modificaciones!AA1083=0,"",VLOOKUP(E1083,Modificaciones!$B$7:$AA$2400,26,0))</f>
        <v/>
      </c>
      <c r="T1083" s="119" t="str">
        <f>IF(Modificaciones!AB1083=0,"",VLOOKUP(E1083,Modificaciones!$B$7:$AB$2400,27,0))</f>
        <v/>
      </c>
      <c r="U1083" s="1080">
        <f>+Modificaciones!AC1083</f>
        <v>0</v>
      </c>
      <c r="V1083" s="825">
        <f>+Modificaciones!AK1083</f>
        <v>0</v>
      </c>
      <c r="W1083" s="825">
        <f t="shared" si="205"/>
        <v>0</v>
      </c>
      <c r="X1083" s="59">
        <f t="shared" si="206"/>
        <v>0</v>
      </c>
      <c r="Y1083" s="151">
        <f>VLOOKUP(E1083,Modificaciones!$B$7:$BE$2300,56,0)</f>
        <v>0</v>
      </c>
      <c r="Z1083" s="84">
        <f t="shared" si="207"/>
        <v>0</v>
      </c>
      <c r="AA1083" s="1000"/>
      <c r="AB1083" s="823" t="e">
        <f t="shared" si="208"/>
        <v>#DIV/0!</v>
      </c>
      <c r="AC1083" s="40" t="e">
        <f t="shared" ca="1" si="209"/>
        <v>#DIV/0!</v>
      </c>
      <c r="AD1083" s="41" t="e">
        <f t="shared" ca="1" si="210"/>
        <v>#DIV/0!</v>
      </c>
      <c r="AE1083" s="181" t="e">
        <f t="shared" ca="1" si="211"/>
        <v>#DIV/0!</v>
      </c>
      <c r="AF1083" s="42" t="e">
        <f t="shared" si="212"/>
        <v>#DIV/0!</v>
      </c>
      <c r="AG1083" s="838"/>
      <c r="AH1083" s="841"/>
      <c r="AI1083" s="841"/>
      <c r="AJ1083" s="838"/>
      <c r="AL1083" s="838"/>
      <c r="AM1083" s="838"/>
      <c r="AN1083" s="161" t="str">
        <f t="shared" ca="1" si="213"/>
        <v>TERMINO</v>
      </c>
      <c r="AO1083" s="414"/>
      <c r="AP1083" s="406"/>
      <c r="AQ1083" s="819" t="str">
        <f>IFERROR(VLOOKUP(E1083,'liquidaciones '!$B$2:$C$1048576,2,0),"NO")</f>
        <v>NO</v>
      </c>
      <c r="AR1083" s="909" t="str">
        <f>IFERROR(VLOOKUP(E1083,'liquidaciones '!$B$2:$I$1048576,8,0),"")</f>
        <v/>
      </c>
      <c r="AS1083" s="406"/>
      <c r="AT1083" s="156" t="str">
        <f t="shared" ca="1" si="214"/>
        <v>NO</v>
      </c>
      <c r="AU1083" s="1140"/>
      <c r="AV1083" s="1001"/>
      <c r="AX1083" s="928"/>
      <c r="AY1083" s="928"/>
    </row>
    <row r="1084" spans="3:51" x14ac:dyDescent="0.3">
      <c r="C1084" s="837"/>
      <c r="E1084" s="120"/>
      <c r="F1084" s="414"/>
      <c r="G1084" s="863"/>
      <c r="H1084" s="969"/>
      <c r="I1084" s="84"/>
      <c r="J1084" s="839"/>
      <c r="K1084" s="269"/>
      <c r="L1084" s="519"/>
      <c r="M1084" s="840"/>
      <c r="N1084" s="840"/>
      <c r="O1084" s="1099" t="str">
        <f>IF(+Modificaciones!I1084=0,"",VLOOKUP(E1084,Modificaciones!$B$7:$I$2400,8,0))</f>
        <v/>
      </c>
      <c r="P1084" s="115">
        <f>COUNTA(Modificaciones!J1084,Modificaciones!L1084,Modificaciones!N1084,Modificaciones!P1084)</f>
        <v>0</v>
      </c>
      <c r="Q1084" s="116">
        <f>VLOOKUP(E1084,Modificaciones!$B$7:$R$2300,17,0)</f>
        <v>0</v>
      </c>
      <c r="R1084" s="117">
        <f>COUNTA(Modificaciones!T1084,Modificaciones!V1084,Modificaciones!X1084,Modificaciones!Z1084)</f>
        <v>0</v>
      </c>
      <c r="S1084" s="118" t="str">
        <f>IF(Modificaciones!AA1084=0,"",VLOOKUP(E1084,Modificaciones!$B$7:$AA$2400,26,0))</f>
        <v/>
      </c>
      <c r="T1084" s="119" t="str">
        <f>IF(Modificaciones!AB1084=0,"",VLOOKUP(E1084,Modificaciones!$B$7:$AB$2400,27,0))</f>
        <v/>
      </c>
      <c r="U1084" s="1080">
        <f>+Modificaciones!AC1084</f>
        <v>0</v>
      </c>
      <c r="V1084" s="825">
        <f>+Modificaciones!AK1084</f>
        <v>0</v>
      </c>
      <c r="W1084" s="825">
        <f t="shared" si="205"/>
        <v>0</v>
      </c>
      <c r="X1084" s="59">
        <f t="shared" si="206"/>
        <v>0</v>
      </c>
      <c r="Y1084" s="151">
        <f>VLOOKUP(E1084,Modificaciones!$B$7:$BE$2300,56,0)</f>
        <v>0</v>
      </c>
      <c r="Z1084" s="84">
        <f t="shared" si="207"/>
        <v>0</v>
      </c>
      <c r="AA1084" s="1000"/>
      <c r="AB1084" s="823" t="e">
        <f t="shared" si="208"/>
        <v>#DIV/0!</v>
      </c>
      <c r="AC1084" s="40" t="e">
        <f t="shared" ca="1" si="209"/>
        <v>#DIV/0!</v>
      </c>
      <c r="AD1084" s="41" t="e">
        <f t="shared" ca="1" si="210"/>
        <v>#DIV/0!</v>
      </c>
      <c r="AE1084" s="181" t="e">
        <f t="shared" ca="1" si="211"/>
        <v>#DIV/0!</v>
      </c>
      <c r="AF1084" s="42" t="e">
        <f t="shared" si="212"/>
        <v>#DIV/0!</v>
      </c>
      <c r="AG1084" s="838"/>
      <c r="AH1084" s="841"/>
      <c r="AI1084" s="841"/>
      <c r="AJ1084" s="838"/>
      <c r="AL1084" s="838"/>
      <c r="AM1084" s="838"/>
      <c r="AN1084" s="161" t="str">
        <f t="shared" ca="1" si="213"/>
        <v>TERMINO</v>
      </c>
      <c r="AO1084" s="414"/>
      <c r="AP1084" s="406"/>
      <c r="AQ1084" s="819" t="str">
        <f>IFERROR(VLOOKUP(E1084,'liquidaciones '!$B$2:$C$1048576,2,0),"NO")</f>
        <v>NO</v>
      </c>
      <c r="AR1084" s="909" t="str">
        <f>IFERROR(VLOOKUP(E1084,'liquidaciones '!$B$2:$I$1048576,8,0),"")</f>
        <v/>
      </c>
      <c r="AS1084" s="406"/>
      <c r="AT1084" s="156" t="str">
        <f t="shared" ca="1" si="214"/>
        <v>NO</v>
      </c>
      <c r="AU1084" s="1140"/>
      <c r="AV1084" s="1001"/>
      <c r="AX1084" s="928"/>
      <c r="AY1084" s="928"/>
    </row>
    <row r="1085" spans="3:51" x14ac:dyDescent="0.3">
      <c r="C1085" s="837"/>
      <c r="E1085" s="120"/>
      <c r="F1085" s="414"/>
      <c r="G1085" s="863"/>
      <c r="H1085" s="969"/>
      <c r="I1085" s="84"/>
      <c r="J1085" s="839"/>
      <c r="K1085" s="269"/>
      <c r="L1085" s="519"/>
      <c r="M1085" s="840"/>
      <c r="N1085" s="840"/>
      <c r="O1085" s="1099" t="str">
        <f>IF(+Modificaciones!I1085=0,"",VLOOKUP(E1085,Modificaciones!$B$7:$I$2400,8,0))</f>
        <v/>
      </c>
      <c r="P1085" s="115">
        <f>COUNTA(Modificaciones!J1085,Modificaciones!L1085,Modificaciones!N1085,Modificaciones!P1085)</f>
        <v>0</v>
      </c>
      <c r="Q1085" s="116">
        <f>VLOOKUP(E1085,Modificaciones!$B$7:$R$2300,17,0)</f>
        <v>0</v>
      </c>
      <c r="R1085" s="117">
        <f>COUNTA(Modificaciones!T1085,Modificaciones!V1085,Modificaciones!X1085,Modificaciones!Z1085)</f>
        <v>0</v>
      </c>
      <c r="S1085" s="118" t="str">
        <f>IF(Modificaciones!AA1085=0,"",VLOOKUP(E1085,Modificaciones!$B$7:$AA$2400,26,0))</f>
        <v/>
      </c>
      <c r="T1085" s="119" t="str">
        <f>IF(Modificaciones!AB1085=0,"",VLOOKUP(E1085,Modificaciones!$B$7:$AB$2400,27,0))</f>
        <v/>
      </c>
      <c r="U1085" s="1080">
        <f>+Modificaciones!AC1085</f>
        <v>0</v>
      </c>
      <c r="V1085" s="825">
        <f>+Modificaciones!AK1085</f>
        <v>0</v>
      </c>
      <c r="W1085" s="825">
        <f t="shared" si="205"/>
        <v>0</v>
      </c>
      <c r="X1085" s="59">
        <f t="shared" si="206"/>
        <v>0</v>
      </c>
      <c r="Y1085" s="151">
        <f>VLOOKUP(E1085,Modificaciones!$B$7:$BE$2300,56,0)</f>
        <v>0</v>
      </c>
      <c r="Z1085" s="84">
        <f t="shared" si="207"/>
        <v>0</v>
      </c>
      <c r="AA1085" s="1000"/>
      <c r="AB1085" s="823" t="e">
        <f t="shared" si="208"/>
        <v>#DIV/0!</v>
      </c>
      <c r="AC1085" s="40" t="e">
        <f t="shared" ca="1" si="209"/>
        <v>#DIV/0!</v>
      </c>
      <c r="AD1085" s="41" t="e">
        <f t="shared" ca="1" si="210"/>
        <v>#DIV/0!</v>
      </c>
      <c r="AE1085" s="181" t="e">
        <f t="shared" ca="1" si="211"/>
        <v>#DIV/0!</v>
      </c>
      <c r="AF1085" s="42" t="e">
        <f t="shared" si="212"/>
        <v>#DIV/0!</v>
      </c>
      <c r="AG1085" s="838"/>
      <c r="AH1085" s="841"/>
      <c r="AI1085" s="841"/>
      <c r="AJ1085" s="838"/>
      <c r="AL1085" s="838"/>
      <c r="AM1085" s="838"/>
      <c r="AN1085" s="161" t="str">
        <f t="shared" ca="1" si="213"/>
        <v>TERMINO</v>
      </c>
      <c r="AO1085" s="414"/>
      <c r="AP1085" s="406"/>
      <c r="AQ1085" s="819" t="str">
        <f>IFERROR(VLOOKUP(E1085,'liquidaciones '!$B$2:$C$1048576,2,0),"NO")</f>
        <v>NO</v>
      </c>
      <c r="AR1085" s="909" t="str">
        <f>IFERROR(VLOOKUP(E1085,'liquidaciones '!$B$2:$I$1048576,8,0),"")</f>
        <v/>
      </c>
      <c r="AS1085" s="406"/>
      <c r="AT1085" s="156" t="str">
        <f t="shared" ca="1" si="214"/>
        <v>NO</v>
      </c>
      <c r="AU1085" s="1140"/>
      <c r="AV1085" s="1001"/>
      <c r="AX1085" s="928"/>
      <c r="AY1085" s="928"/>
    </row>
    <row r="1086" spans="3:51" x14ac:dyDescent="0.3">
      <c r="C1086" s="837"/>
      <c r="E1086" s="120"/>
      <c r="F1086" s="414"/>
      <c r="G1086" s="863"/>
      <c r="H1086" s="969"/>
      <c r="I1086" s="84"/>
      <c r="J1086" s="839"/>
      <c r="K1086" s="269"/>
      <c r="L1086" s="519"/>
      <c r="M1086" s="840"/>
      <c r="N1086" s="840"/>
      <c r="O1086" s="1099" t="str">
        <f>IF(+Modificaciones!I1086=0,"",VLOOKUP(E1086,Modificaciones!$B$7:$I$2400,8,0))</f>
        <v/>
      </c>
      <c r="P1086" s="115">
        <f>COUNTA(Modificaciones!J1086,Modificaciones!L1086,Modificaciones!N1086,Modificaciones!P1086)</f>
        <v>0</v>
      </c>
      <c r="Q1086" s="116">
        <f>VLOOKUP(E1086,Modificaciones!$B$7:$R$2300,17,0)</f>
        <v>0</v>
      </c>
      <c r="R1086" s="117">
        <f>COUNTA(Modificaciones!T1086,Modificaciones!V1086,Modificaciones!X1086,Modificaciones!Z1086)</f>
        <v>0</v>
      </c>
      <c r="S1086" s="118" t="str">
        <f>IF(Modificaciones!AA1086=0,"",VLOOKUP(E1086,Modificaciones!$B$7:$AA$2400,26,0))</f>
        <v/>
      </c>
      <c r="T1086" s="119" t="str">
        <f>IF(Modificaciones!AB1086=0,"",VLOOKUP(E1086,Modificaciones!$B$7:$AB$2400,27,0))</f>
        <v/>
      </c>
      <c r="U1086" s="1080">
        <f>+Modificaciones!AC1086</f>
        <v>0</v>
      </c>
      <c r="V1086" s="825">
        <f>+Modificaciones!AK1086</f>
        <v>0</v>
      </c>
      <c r="W1086" s="825">
        <f t="shared" si="205"/>
        <v>0</v>
      </c>
      <c r="X1086" s="59">
        <f t="shared" si="206"/>
        <v>0</v>
      </c>
      <c r="Y1086" s="151">
        <f>VLOOKUP(E1086,Modificaciones!$B$7:$BE$2300,56,0)</f>
        <v>0</v>
      </c>
      <c r="Z1086" s="84">
        <f t="shared" si="207"/>
        <v>0</v>
      </c>
      <c r="AA1086" s="1000"/>
      <c r="AB1086" s="823" t="e">
        <f t="shared" si="208"/>
        <v>#DIV/0!</v>
      </c>
      <c r="AC1086" s="40" t="e">
        <f t="shared" ca="1" si="209"/>
        <v>#DIV/0!</v>
      </c>
      <c r="AD1086" s="41" t="e">
        <f t="shared" ca="1" si="210"/>
        <v>#DIV/0!</v>
      </c>
      <c r="AE1086" s="181" t="e">
        <f t="shared" ca="1" si="211"/>
        <v>#DIV/0!</v>
      </c>
      <c r="AF1086" s="42" t="e">
        <f t="shared" si="212"/>
        <v>#DIV/0!</v>
      </c>
      <c r="AG1086" s="838"/>
      <c r="AH1086" s="841"/>
      <c r="AI1086" s="841"/>
      <c r="AJ1086" s="838"/>
      <c r="AL1086" s="838"/>
      <c r="AM1086" s="838"/>
      <c r="AN1086" s="161" t="str">
        <f t="shared" ca="1" si="213"/>
        <v>TERMINO</v>
      </c>
      <c r="AO1086" s="414"/>
      <c r="AP1086" s="406"/>
      <c r="AQ1086" s="819" t="str">
        <f>IFERROR(VLOOKUP(E1086,'liquidaciones '!$B$2:$C$1048576,2,0),"NO")</f>
        <v>NO</v>
      </c>
      <c r="AR1086" s="909" t="str">
        <f>IFERROR(VLOOKUP(E1086,'liquidaciones '!$B$2:$I$1048576,8,0),"")</f>
        <v/>
      </c>
      <c r="AS1086" s="406"/>
      <c r="AT1086" s="156" t="str">
        <f t="shared" ca="1" si="214"/>
        <v>NO</v>
      </c>
      <c r="AU1086" s="1140"/>
      <c r="AV1086" s="1001"/>
      <c r="AX1086" s="928"/>
      <c r="AY1086" s="928"/>
    </row>
    <row r="1087" spans="3:51" x14ac:dyDescent="0.3">
      <c r="C1087" s="837"/>
      <c r="E1087" s="120"/>
      <c r="F1087" s="414"/>
      <c r="G1087" s="863"/>
      <c r="H1087" s="969"/>
      <c r="I1087" s="84"/>
      <c r="J1087" s="839"/>
      <c r="K1087" s="269"/>
      <c r="L1087" s="519"/>
      <c r="M1087" s="840"/>
      <c r="N1087" s="840"/>
      <c r="O1087" s="1099" t="str">
        <f>IF(+Modificaciones!I1087=0,"",VLOOKUP(E1087,Modificaciones!$B$7:$I$2400,8,0))</f>
        <v/>
      </c>
      <c r="P1087" s="115">
        <f>COUNTA(Modificaciones!J1087,Modificaciones!L1087,Modificaciones!N1087,Modificaciones!P1087)</f>
        <v>0</v>
      </c>
      <c r="Q1087" s="116">
        <f>VLOOKUP(E1087,Modificaciones!$B$7:$R$2300,17,0)</f>
        <v>0</v>
      </c>
      <c r="R1087" s="117">
        <f>COUNTA(Modificaciones!T1087,Modificaciones!V1087,Modificaciones!X1087,Modificaciones!Z1087)</f>
        <v>0</v>
      </c>
      <c r="S1087" s="118" t="str">
        <f>IF(Modificaciones!AA1087=0,"",VLOOKUP(E1087,Modificaciones!$B$7:$AA$2400,26,0))</f>
        <v/>
      </c>
      <c r="T1087" s="119" t="str">
        <f>IF(Modificaciones!AB1087=0,"",VLOOKUP(E1087,Modificaciones!$B$7:$AB$2400,27,0))</f>
        <v/>
      </c>
      <c r="U1087" s="1080">
        <f>+Modificaciones!AC1087</f>
        <v>0</v>
      </c>
      <c r="V1087" s="825">
        <f>+Modificaciones!AK1087</f>
        <v>0</v>
      </c>
      <c r="W1087" s="825">
        <f t="shared" si="205"/>
        <v>0</v>
      </c>
      <c r="X1087" s="59">
        <f t="shared" si="206"/>
        <v>0</v>
      </c>
      <c r="Y1087" s="151">
        <f>VLOOKUP(E1087,Modificaciones!$B$7:$BE$2300,56,0)</f>
        <v>0</v>
      </c>
      <c r="Z1087" s="84">
        <f t="shared" si="207"/>
        <v>0</v>
      </c>
      <c r="AA1087" s="1000"/>
      <c r="AB1087" s="823" t="e">
        <f t="shared" si="208"/>
        <v>#DIV/0!</v>
      </c>
      <c r="AC1087" s="40" t="e">
        <f t="shared" ca="1" si="209"/>
        <v>#DIV/0!</v>
      </c>
      <c r="AD1087" s="41" t="e">
        <f t="shared" ca="1" si="210"/>
        <v>#DIV/0!</v>
      </c>
      <c r="AE1087" s="181" t="e">
        <f t="shared" ca="1" si="211"/>
        <v>#DIV/0!</v>
      </c>
      <c r="AF1087" s="42" t="e">
        <f t="shared" si="212"/>
        <v>#DIV/0!</v>
      </c>
      <c r="AG1087" s="838"/>
      <c r="AH1087" s="841"/>
      <c r="AI1087" s="841"/>
      <c r="AJ1087" s="838"/>
      <c r="AL1087" s="838"/>
      <c r="AM1087" s="838"/>
      <c r="AN1087" s="161" t="str">
        <f t="shared" ca="1" si="213"/>
        <v>TERMINO</v>
      </c>
      <c r="AO1087" s="414"/>
      <c r="AP1087" s="406"/>
      <c r="AQ1087" s="819" t="str">
        <f>IFERROR(VLOOKUP(E1087,'liquidaciones '!$B$2:$C$1048576,2,0),"NO")</f>
        <v>NO</v>
      </c>
      <c r="AR1087" s="909" t="str">
        <f>IFERROR(VLOOKUP(E1087,'liquidaciones '!$B$2:$I$1048576,8,0),"")</f>
        <v/>
      </c>
      <c r="AS1087" s="406"/>
      <c r="AT1087" s="156" t="str">
        <f t="shared" ca="1" si="214"/>
        <v>NO</v>
      </c>
      <c r="AU1087" s="1140"/>
      <c r="AV1087" s="1001"/>
      <c r="AX1087" s="928"/>
      <c r="AY1087" s="928"/>
    </row>
    <row r="1088" spans="3:51" x14ac:dyDescent="0.3">
      <c r="C1088" s="837"/>
      <c r="E1088" s="120"/>
      <c r="F1088" s="414"/>
      <c r="G1088" s="863"/>
      <c r="H1088" s="969"/>
      <c r="I1088" s="84"/>
      <c r="J1088" s="839"/>
      <c r="K1088" s="269"/>
      <c r="L1088" s="519"/>
      <c r="M1088" s="840"/>
      <c r="N1088" s="840"/>
      <c r="O1088" s="1099" t="str">
        <f>IF(+Modificaciones!I1088=0,"",VLOOKUP(E1088,Modificaciones!$B$7:$I$2400,8,0))</f>
        <v/>
      </c>
      <c r="P1088" s="115">
        <f>COUNTA(Modificaciones!J1088,Modificaciones!L1088,Modificaciones!N1088,Modificaciones!P1088)</f>
        <v>0</v>
      </c>
      <c r="Q1088" s="116">
        <f>VLOOKUP(E1088,Modificaciones!$B$7:$R$2300,17,0)</f>
        <v>0</v>
      </c>
      <c r="R1088" s="117">
        <f>COUNTA(Modificaciones!T1088,Modificaciones!V1088,Modificaciones!X1088,Modificaciones!Z1088)</f>
        <v>0</v>
      </c>
      <c r="S1088" s="118" t="str">
        <f>IF(Modificaciones!AA1088=0,"",VLOOKUP(E1088,Modificaciones!$B$7:$AA$2400,26,0))</f>
        <v/>
      </c>
      <c r="T1088" s="119" t="str">
        <f>IF(Modificaciones!AB1088=0,"",VLOOKUP(E1088,Modificaciones!$B$7:$AB$2400,27,0))</f>
        <v/>
      </c>
      <c r="U1088" s="1080">
        <f>+Modificaciones!AC1088</f>
        <v>0</v>
      </c>
      <c r="V1088" s="825">
        <f>+Modificaciones!AK1088</f>
        <v>0</v>
      </c>
      <c r="W1088" s="825">
        <f t="shared" si="205"/>
        <v>0</v>
      </c>
      <c r="X1088" s="59">
        <f t="shared" si="206"/>
        <v>0</v>
      </c>
      <c r="Y1088" s="151">
        <f>VLOOKUP(E1088,Modificaciones!$B$7:$BE$2300,56,0)</f>
        <v>0</v>
      </c>
      <c r="Z1088" s="84">
        <f t="shared" si="207"/>
        <v>0</v>
      </c>
      <c r="AA1088" s="1000"/>
      <c r="AB1088" s="823" t="e">
        <f t="shared" si="208"/>
        <v>#DIV/0!</v>
      </c>
      <c r="AC1088" s="40" t="e">
        <f t="shared" ca="1" si="209"/>
        <v>#DIV/0!</v>
      </c>
      <c r="AD1088" s="41" t="e">
        <f t="shared" ca="1" si="210"/>
        <v>#DIV/0!</v>
      </c>
      <c r="AE1088" s="181" t="e">
        <f t="shared" ca="1" si="211"/>
        <v>#DIV/0!</v>
      </c>
      <c r="AF1088" s="42" t="e">
        <f t="shared" si="212"/>
        <v>#DIV/0!</v>
      </c>
      <c r="AG1088" s="838"/>
      <c r="AH1088" s="841"/>
      <c r="AI1088" s="841"/>
      <c r="AJ1088" s="838"/>
      <c r="AL1088" s="838"/>
      <c r="AM1088" s="838"/>
      <c r="AN1088" s="161" t="str">
        <f t="shared" ca="1" si="213"/>
        <v>TERMINO</v>
      </c>
      <c r="AO1088" s="414"/>
      <c r="AP1088" s="406"/>
      <c r="AQ1088" s="819" t="str">
        <f>IFERROR(VLOOKUP(E1088,'liquidaciones '!$B$2:$C$1048576,2,0),"NO")</f>
        <v>NO</v>
      </c>
      <c r="AR1088" s="909" t="str">
        <f>IFERROR(VLOOKUP(E1088,'liquidaciones '!$B$2:$I$1048576,8,0),"")</f>
        <v/>
      </c>
      <c r="AS1088" s="406"/>
      <c r="AT1088" s="156" t="str">
        <f t="shared" ca="1" si="214"/>
        <v>NO</v>
      </c>
      <c r="AU1088" s="1140"/>
      <c r="AV1088" s="1001"/>
      <c r="AX1088" s="928"/>
      <c r="AY1088" s="928"/>
    </row>
    <row r="1089" spans="3:51" x14ac:dyDescent="0.3">
      <c r="C1089" s="837"/>
      <c r="E1089" s="120"/>
      <c r="F1089" s="414"/>
      <c r="G1089" s="863"/>
      <c r="H1089" s="969"/>
      <c r="I1089" s="84"/>
      <c r="J1089" s="839"/>
      <c r="K1089" s="269"/>
      <c r="L1089" s="519"/>
      <c r="M1089" s="840"/>
      <c r="N1089" s="840"/>
      <c r="O1089" s="1099" t="str">
        <f>IF(+Modificaciones!I1089=0,"",VLOOKUP(E1089,Modificaciones!$B$7:$I$2400,8,0))</f>
        <v/>
      </c>
      <c r="P1089" s="115">
        <f>COUNTA(Modificaciones!J1089,Modificaciones!L1089,Modificaciones!N1089,Modificaciones!P1089)</f>
        <v>0</v>
      </c>
      <c r="Q1089" s="116">
        <f>VLOOKUP(E1089,Modificaciones!$B$7:$R$2300,17,0)</f>
        <v>0</v>
      </c>
      <c r="R1089" s="117">
        <f>COUNTA(Modificaciones!T1089,Modificaciones!V1089,Modificaciones!X1089,Modificaciones!Z1089)</f>
        <v>0</v>
      </c>
      <c r="S1089" s="118" t="str">
        <f>IF(Modificaciones!AA1089=0,"",VLOOKUP(E1089,Modificaciones!$B$7:$AA$2400,26,0))</f>
        <v/>
      </c>
      <c r="T1089" s="119" t="str">
        <f>IF(Modificaciones!AB1089=0,"",VLOOKUP(E1089,Modificaciones!$B$7:$AB$2400,27,0))</f>
        <v/>
      </c>
      <c r="U1089" s="1080">
        <f>+Modificaciones!AC1089</f>
        <v>0</v>
      </c>
      <c r="V1089" s="825">
        <f>+Modificaciones!AK1089</f>
        <v>0</v>
      </c>
      <c r="W1089" s="825">
        <f t="shared" si="205"/>
        <v>0</v>
      </c>
      <c r="X1089" s="59">
        <f t="shared" si="206"/>
        <v>0</v>
      </c>
      <c r="Y1089" s="151">
        <f>VLOOKUP(E1089,Modificaciones!$B$7:$BE$2300,56,0)</f>
        <v>0</v>
      </c>
      <c r="Z1089" s="84">
        <f t="shared" si="207"/>
        <v>0</v>
      </c>
      <c r="AA1089" s="1000"/>
      <c r="AB1089" s="823" t="e">
        <f t="shared" si="208"/>
        <v>#DIV/0!</v>
      </c>
      <c r="AC1089" s="40" t="e">
        <f t="shared" ca="1" si="209"/>
        <v>#DIV/0!</v>
      </c>
      <c r="AD1089" s="41" t="e">
        <f t="shared" ca="1" si="210"/>
        <v>#DIV/0!</v>
      </c>
      <c r="AE1089" s="181" t="e">
        <f t="shared" ca="1" si="211"/>
        <v>#DIV/0!</v>
      </c>
      <c r="AF1089" s="42" t="e">
        <f t="shared" si="212"/>
        <v>#DIV/0!</v>
      </c>
      <c r="AG1089" s="838"/>
      <c r="AH1089" s="841"/>
      <c r="AI1089" s="841"/>
      <c r="AJ1089" s="838"/>
      <c r="AL1089" s="838"/>
      <c r="AM1089" s="838"/>
      <c r="AN1089" s="161" t="str">
        <f t="shared" ca="1" si="213"/>
        <v>TERMINO</v>
      </c>
      <c r="AO1089" s="414"/>
      <c r="AP1089" s="406"/>
      <c r="AQ1089" s="819" t="str">
        <f>IFERROR(VLOOKUP(E1089,'liquidaciones '!$B$2:$C$1048576,2,0),"NO")</f>
        <v>NO</v>
      </c>
      <c r="AR1089" s="909" t="str">
        <f>IFERROR(VLOOKUP(E1089,'liquidaciones '!$B$2:$I$1048576,8,0),"")</f>
        <v/>
      </c>
      <c r="AS1089" s="406"/>
      <c r="AT1089" s="156" t="str">
        <f t="shared" ca="1" si="214"/>
        <v>NO</v>
      </c>
      <c r="AU1089" s="1140"/>
      <c r="AV1089" s="1001"/>
      <c r="AX1089" s="928"/>
      <c r="AY1089" s="928"/>
    </row>
    <row r="1090" spans="3:51" x14ac:dyDescent="0.3">
      <c r="C1090" s="837"/>
      <c r="E1090" s="120"/>
      <c r="F1090" s="414"/>
      <c r="G1090" s="863"/>
      <c r="H1090" s="969"/>
      <c r="I1090" s="84"/>
      <c r="J1090" s="839"/>
      <c r="K1090" s="269"/>
      <c r="L1090" s="519"/>
      <c r="M1090" s="840"/>
      <c r="N1090" s="840"/>
      <c r="O1090" s="1099" t="str">
        <f>IF(+Modificaciones!I1090=0,"",VLOOKUP(E1090,Modificaciones!$B$7:$I$2400,8,0))</f>
        <v/>
      </c>
      <c r="P1090" s="115">
        <f>COUNTA(Modificaciones!J1090,Modificaciones!L1090,Modificaciones!N1090,Modificaciones!P1090)</f>
        <v>0</v>
      </c>
      <c r="Q1090" s="116">
        <f>VLOOKUP(E1090,Modificaciones!$B$7:$R$2300,17,0)</f>
        <v>0</v>
      </c>
      <c r="R1090" s="117">
        <f>COUNTA(Modificaciones!T1090,Modificaciones!V1090,Modificaciones!X1090,Modificaciones!Z1090)</f>
        <v>0</v>
      </c>
      <c r="S1090" s="118" t="str">
        <f>IF(Modificaciones!AA1090=0,"",VLOOKUP(E1090,Modificaciones!$B$7:$AA$2400,26,0))</f>
        <v/>
      </c>
      <c r="T1090" s="119" t="str">
        <f>IF(Modificaciones!AB1090=0,"",VLOOKUP(E1090,Modificaciones!$B$7:$AB$2400,27,0))</f>
        <v/>
      </c>
      <c r="U1090" s="1080">
        <f>+Modificaciones!AC1090</f>
        <v>0</v>
      </c>
      <c r="V1090" s="825">
        <f>+Modificaciones!AK1090</f>
        <v>0</v>
      </c>
      <c r="W1090" s="825">
        <f t="shared" si="205"/>
        <v>0</v>
      </c>
      <c r="X1090" s="59">
        <f t="shared" si="206"/>
        <v>0</v>
      </c>
      <c r="Y1090" s="151">
        <f>VLOOKUP(E1090,Modificaciones!$B$7:$BE$2300,56,0)</f>
        <v>0</v>
      </c>
      <c r="Z1090" s="84">
        <f t="shared" si="207"/>
        <v>0</v>
      </c>
      <c r="AA1090" s="1000"/>
      <c r="AB1090" s="823" t="e">
        <f t="shared" si="208"/>
        <v>#DIV/0!</v>
      </c>
      <c r="AC1090" s="40" t="e">
        <f t="shared" ca="1" si="209"/>
        <v>#DIV/0!</v>
      </c>
      <c r="AD1090" s="41" t="e">
        <f t="shared" ca="1" si="210"/>
        <v>#DIV/0!</v>
      </c>
      <c r="AE1090" s="181" t="e">
        <f t="shared" ca="1" si="211"/>
        <v>#DIV/0!</v>
      </c>
      <c r="AF1090" s="42" t="e">
        <f t="shared" si="212"/>
        <v>#DIV/0!</v>
      </c>
      <c r="AG1090" s="838"/>
      <c r="AH1090" s="841"/>
      <c r="AI1090" s="841"/>
      <c r="AJ1090" s="838"/>
      <c r="AL1090" s="838"/>
      <c r="AM1090" s="838"/>
      <c r="AN1090" s="161" t="str">
        <f t="shared" ca="1" si="213"/>
        <v>TERMINO</v>
      </c>
      <c r="AO1090" s="414"/>
      <c r="AP1090" s="406"/>
      <c r="AQ1090" s="819" t="str">
        <f>IFERROR(VLOOKUP(E1090,'liquidaciones '!$B$2:$C$1048576,2,0),"NO")</f>
        <v>NO</v>
      </c>
      <c r="AR1090" s="909" t="str">
        <f>IFERROR(VLOOKUP(E1090,'liquidaciones '!$B$2:$I$1048576,8,0),"")</f>
        <v/>
      </c>
      <c r="AS1090" s="406"/>
      <c r="AT1090" s="156" t="str">
        <f t="shared" ca="1" si="214"/>
        <v>NO</v>
      </c>
      <c r="AU1090" s="1140"/>
      <c r="AV1090" s="1001"/>
      <c r="AX1090" s="928"/>
      <c r="AY1090" s="928"/>
    </row>
    <row r="1091" spans="3:51" x14ac:dyDescent="0.3">
      <c r="C1091" s="837"/>
      <c r="E1091" s="120"/>
      <c r="F1091" s="414"/>
      <c r="G1091" s="863"/>
      <c r="H1091" s="969"/>
      <c r="I1091" s="84"/>
      <c r="J1091" s="839"/>
      <c r="K1091" s="269"/>
      <c r="L1091" s="519"/>
      <c r="M1091" s="840"/>
      <c r="N1091" s="840"/>
      <c r="O1091" s="1099" t="str">
        <f>IF(+Modificaciones!I1091=0,"",VLOOKUP(E1091,Modificaciones!$B$7:$I$2400,8,0))</f>
        <v/>
      </c>
      <c r="P1091" s="115">
        <f>COUNTA(Modificaciones!J1091,Modificaciones!L1091,Modificaciones!N1091,Modificaciones!P1091)</f>
        <v>0</v>
      </c>
      <c r="Q1091" s="116">
        <f>VLOOKUP(E1091,Modificaciones!$B$7:$R$2300,17,0)</f>
        <v>0</v>
      </c>
      <c r="R1091" s="117">
        <f>COUNTA(Modificaciones!T1091,Modificaciones!V1091,Modificaciones!X1091,Modificaciones!Z1091)</f>
        <v>0</v>
      </c>
      <c r="S1091" s="118" t="str">
        <f>IF(Modificaciones!AA1091=0,"",VLOOKUP(E1091,Modificaciones!$B$7:$AA$2400,26,0))</f>
        <v/>
      </c>
      <c r="T1091" s="119" t="str">
        <f>IF(Modificaciones!AB1091=0,"",VLOOKUP(E1091,Modificaciones!$B$7:$AB$2400,27,0))</f>
        <v/>
      </c>
      <c r="U1091" s="1080">
        <f>+Modificaciones!AC1091</f>
        <v>0</v>
      </c>
      <c r="V1091" s="825">
        <f>+Modificaciones!AK1091</f>
        <v>0</v>
      </c>
      <c r="W1091" s="825">
        <f t="shared" si="205"/>
        <v>0</v>
      </c>
      <c r="X1091" s="59">
        <f t="shared" si="206"/>
        <v>0</v>
      </c>
      <c r="Y1091" s="151">
        <f>VLOOKUP(E1091,Modificaciones!$B$7:$BE$2300,56,0)</f>
        <v>0</v>
      </c>
      <c r="Z1091" s="84">
        <f t="shared" si="207"/>
        <v>0</v>
      </c>
      <c r="AA1091" s="1000"/>
      <c r="AB1091" s="823" t="e">
        <f t="shared" si="208"/>
        <v>#DIV/0!</v>
      </c>
      <c r="AC1091" s="40" t="e">
        <f t="shared" ca="1" si="209"/>
        <v>#DIV/0!</v>
      </c>
      <c r="AD1091" s="41" t="e">
        <f t="shared" ca="1" si="210"/>
        <v>#DIV/0!</v>
      </c>
      <c r="AE1091" s="181" t="e">
        <f t="shared" ca="1" si="211"/>
        <v>#DIV/0!</v>
      </c>
      <c r="AF1091" s="42" t="e">
        <f t="shared" si="212"/>
        <v>#DIV/0!</v>
      </c>
      <c r="AG1091" s="838"/>
      <c r="AH1091" s="841"/>
      <c r="AI1091" s="841"/>
      <c r="AJ1091" s="838"/>
      <c r="AL1091" s="838"/>
      <c r="AM1091" s="838"/>
      <c r="AN1091" s="161" t="str">
        <f t="shared" ca="1" si="213"/>
        <v>TERMINO</v>
      </c>
      <c r="AO1091" s="414"/>
      <c r="AP1091" s="406"/>
      <c r="AQ1091" s="819" t="str">
        <f>IFERROR(VLOOKUP(E1091,'liquidaciones '!$B$2:$C$1048576,2,0),"NO")</f>
        <v>NO</v>
      </c>
      <c r="AR1091" s="909" t="str">
        <f>IFERROR(VLOOKUP(E1091,'liquidaciones '!$B$2:$I$1048576,8,0),"")</f>
        <v/>
      </c>
      <c r="AS1091" s="406"/>
      <c r="AT1091" s="156" t="str">
        <f t="shared" ca="1" si="214"/>
        <v>NO</v>
      </c>
      <c r="AU1091" s="1140"/>
      <c r="AV1091" s="1001"/>
      <c r="AX1091" s="928"/>
      <c r="AY1091" s="928"/>
    </row>
    <row r="1092" spans="3:51" x14ac:dyDescent="0.3">
      <c r="C1092" s="837"/>
      <c r="E1092" s="120"/>
      <c r="F1092" s="414"/>
      <c r="G1092" s="863"/>
      <c r="H1092" s="969"/>
      <c r="I1092" s="84"/>
      <c r="J1092" s="839"/>
      <c r="K1092" s="269"/>
      <c r="L1092" s="519"/>
      <c r="M1092" s="840"/>
      <c r="N1092" s="840"/>
      <c r="O1092" s="1099" t="str">
        <f>IF(+Modificaciones!I1092=0,"",VLOOKUP(E1092,Modificaciones!$B$7:$I$2400,8,0))</f>
        <v/>
      </c>
      <c r="P1092" s="115">
        <f>COUNTA(Modificaciones!J1092,Modificaciones!L1092,Modificaciones!N1092,Modificaciones!P1092)</f>
        <v>0</v>
      </c>
      <c r="Q1092" s="116">
        <f>VLOOKUP(E1092,Modificaciones!$B$7:$R$2300,17,0)</f>
        <v>0</v>
      </c>
      <c r="R1092" s="117">
        <f>COUNTA(Modificaciones!T1092,Modificaciones!V1092,Modificaciones!X1092,Modificaciones!Z1092)</f>
        <v>0</v>
      </c>
      <c r="S1092" s="118" t="str">
        <f>IF(Modificaciones!AA1092=0,"",VLOOKUP(E1092,Modificaciones!$B$7:$AA$2400,26,0))</f>
        <v/>
      </c>
      <c r="T1092" s="119" t="str">
        <f>IF(Modificaciones!AB1092=0,"",VLOOKUP(E1092,Modificaciones!$B$7:$AB$2400,27,0))</f>
        <v/>
      </c>
      <c r="U1092" s="1080">
        <f>+Modificaciones!AC1092</f>
        <v>0</v>
      </c>
      <c r="V1092" s="825">
        <f>+Modificaciones!AK1092</f>
        <v>0</v>
      </c>
      <c r="W1092" s="825">
        <f t="shared" si="205"/>
        <v>0</v>
      </c>
      <c r="X1092" s="59">
        <f t="shared" si="206"/>
        <v>0</v>
      </c>
      <c r="Y1092" s="151">
        <f>VLOOKUP(E1092,Modificaciones!$B$7:$BE$2300,56,0)</f>
        <v>0</v>
      </c>
      <c r="Z1092" s="84">
        <f t="shared" si="207"/>
        <v>0</v>
      </c>
      <c r="AA1092" s="1000"/>
      <c r="AB1092" s="823" t="e">
        <f t="shared" si="208"/>
        <v>#DIV/0!</v>
      </c>
      <c r="AC1092" s="40" t="e">
        <f t="shared" ca="1" si="209"/>
        <v>#DIV/0!</v>
      </c>
      <c r="AD1092" s="41" t="e">
        <f t="shared" ca="1" si="210"/>
        <v>#DIV/0!</v>
      </c>
      <c r="AE1092" s="181" t="e">
        <f t="shared" ca="1" si="211"/>
        <v>#DIV/0!</v>
      </c>
      <c r="AF1092" s="42" t="e">
        <f t="shared" si="212"/>
        <v>#DIV/0!</v>
      </c>
      <c r="AG1092" s="838"/>
      <c r="AH1092" s="841"/>
      <c r="AI1092" s="841"/>
      <c r="AJ1092" s="838"/>
      <c r="AL1092" s="838"/>
      <c r="AM1092" s="838"/>
      <c r="AN1092" s="161" t="str">
        <f t="shared" ca="1" si="213"/>
        <v>TERMINO</v>
      </c>
      <c r="AO1092" s="414"/>
      <c r="AP1092" s="406"/>
      <c r="AQ1092" s="819" t="str">
        <f>IFERROR(VLOOKUP(E1092,'liquidaciones '!$B$2:$C$1048576,2,0),"NO")</f>
        <v>NO</v>
      </c>
      <c r="AR1092" s="909" t="str">
        <f>IFERROR(VLOOKUP(E1092,'liquidaciones '!$B$2:$I$1048576,8,0),"")</f>
        <v/>
      </c>
      <c r="AS1092" s="406"/>
      <c r="AT1092" s="156" t="str">
        <f t="shared" ca="1" si="214"/>
        <v>NO</v>
      </c>
      <c r="AU1092" s="1140"/>
      <c r="AV1092" s="1001"/>
      <c r="AX1092" s="928"/>
      <c r="AY1092" s="928"/>
    </row>
    <row r="1093" spans="3:51" x14ac:dyDescent="0.3">
      <c r="C1093" s="837"/>
      <c r="E1093" s="120"/>
      <c r="F1093" s="414"/>
      <c r="G1093" s="863"/>
      <c r="H1093" s="969"/>
      <c r="I1093" s="84"/>
      <c r="J1093" s="839"/>
      <c r="K1093" s="269"/>
      <c r="L1093" s="519"/>
      <c r="M1093" s="840"/>
      <c r="N1093" s="840"/>
      <c r="O1093" s="1099" t="str">
        <f>IF(+Modificaciones!I1093=0,"",VLOOKUP(E1093,Modificaciones!$B$7:$I$2400,8,0))</f>
        <v/>
      </c>
      <c r="P1093" s="115">
        <f>COUNTA(Modificaciones!J1093,Modificaciones!L1093,Modificaciones!N1093,Modificaciones!P1093)</f>
        <v>0</v>
      </c>
      <c r="Q1093" s="116">
        <f>VLOOKUP(E1093,Modificaciones!$B$7:$R$2300,17,0)</f>
        <v>0</v>
      </c>
      <c r="R1093" s="117">
        <f>COUNTA(Modificaciones!T1093,Modificaciones!V1093,Modificaciones!X1093,Modificaciones!Z1093)</f>
        <v>0</v>
      </c>
      <c r="S1093" s="118" t="str">
        <f>IF(Modificaciones!AA1093=0,"",VLOOKUP(E1093,Modificaciones!$B$7:$AA$2400,26,0))</f>
        <v/>
      </c>
      <c r="T1093" s="119" t="str">
        <f>IF(Modificaciones!AB1093=0,"",VLOOKUP(E1093,Modificaciones!$B$7:$AB$2400,27,0))</f>
        <v/>
      </c>
      <c r="U1093" s="1080">
        <f>+Modificaciones!AC1093</f>
        <v>0</v>
      </c>
      <c r="V1093" s="825">
        <f>+Modificaciones!AK1093</f>
        <v>0</v>
      </c>
      <c r="W1093" s="825">
        <f t="shared" si="205"/>
        <v>0</v>
      </c>
      <c r="X1093" s="59">
        <f t="shared" si="206"/>
        <v>0</v>
      </c>
      <c r="Y1093" s="151">
        <f>VLOOKUP(E1093,Modificaciones!$B$7:$BE$2300,56,0)</f>
        <v>0</v>
      </c>
      <c r="Z1093" s="84">
        <f t="shared" si="207"/>
        <v>0</v>
      </c>
      <c r="AA1093" s="1000"/>
      <c r="AB1093" s="823" t="e">
        <f t="shared" si="208"/>
        <v>#DIV/0!</v>
      </c>
      <c r="AC1093" s="40" t="e">
        <f t="shared" ca="1" si="209"/>
        <v>#DIV/0!</v>
      </c>
      <c r="AD1093" s="41" t="e">
        <f t="shared" ca="1" si="210"/>
        <v>#DIV/0!</v>
      </c>
      <c r="AE1093" s="181" t="e">
        <f t="shared" ca="1" si="211"/>
        <v>#DIV/0!</v>
      </c>
      <c r="AF1093" s="42" t="e">
        <f t="shared" si="212"/>
        <v>#DIV/0!</v>
      </c>
      <c r="AG1093" s="838"/>
      <c r="AH1093" s="841"/>
      <c r="AI1093" s="841"/>
      <c r="AJ1093" s="838"/>
      <c r="AL1093" s="838"/>
      <c r="AM1093" s="838"/>
      <c r="AN1093" s="161" t="str">
        <f t="shared" ca="1" si="213"/>
        <v>TERMINO</v>
      </c>
      <c r="AO1093" s="414"/>
      <c r="AP1093" s="406"/>
      <c r="AQ1093" s="819" t="str">
        <f>IFERROR(VLOOKUP(E1093,'liquidaciones '!$B$2:$C$1048576,2,0),"NO")</f>
        <v>NO</v>
      </c>
      <c r="AR1093" s="909" t="str">
        <f>IFERROR(VLOOKUP(E1093,'liquidaciones '!$B$2:$I$1048576,8,0),"")</f>
        <v/>
      </c>
      <c r="AS1093" s="406"/>
      <c r="AT1093" s="156" t="str">
        <f t="shared" ca="1" si="214"/>
        <v>NO</v>
      </c>
      <c r="AU1093" s="1140"/>
      <c r="AV1093" s="1001"/>
      <c r="AX1093" s="928"/>
      <c r="AY1093" s="928"/>
    </row>
    <row r="1094" spans="3:51" x14ac:dyDescent="0.3">
      <c r="C1094" s="837"/>
      <c r="E1094" s="120"/>
      <c r="F1094" s="414"/>
      <c r="G1094" s="863"/>
      <c r="H1094" s="969"/>
      <c r="I1094" s="84"/>
      <c r="J1094" s="839"/>
      <c r="K1094" s="269"/>
      <c r="L1094" s="519"/>
      <c r="M1094" s="840"/>
      <c r="N1094" s="840"/>
      <c r="O1094" s="1099" t="str">
        <f>IF(+Modificaciones!I1094=0,"",VLOOKUP(E1094,Modificaciones!$B$7:$I$2400,8,0))</f>
        <v/>
      </c>
      <c r="P1094" s="115">
        <f>COUNTA(Modificaciones!J1094,Modificaciones!L1094,Modificaciones!N1094,Modificaciones!P1094)</f>
        <v>0</v>
      </c>
      <c r="Q1094" s="116">
        <f>VLOOKUP(E1094,Modificaciones!$B$7:$R$2300,17,0)</f>
        <v>0</v>
      </c>
      <c r="R1094" s="117">
        <f>COUNTA(Modificaciones!T1094,Modificaciones!V1094,Modificaciones!X1094,Modificaciones!Z1094)</f>
        <v>0</v>
      </c>
      <c r="S1094" s="118" t="str">
        <f>IF(Modificaciones!AA1094=0,"",VLOOKUP(E1094,Modificaciones!$B$7:$AA$2400,26,0))</f>
        <v/>
      </c>
      <c r="T1094" s="119" t="str">
        <f>IF(Modificaciones!AB1094=0,"",VLOOKUP(E1094,Modificaciones!$B$7:$AB$2400,27,0))</f>
        <v/>
      </c>
      <c r="U1094" s="1080">
        <f>+Modificaciones!AC1094</f>
        <v>0</v>
      </c>
      <c r="V1094" s="825">
        <f>+Modificaciones!AK1094</f>
        <v>0</v>
      </c>
      <c r="W1094" s="825">
        <f t="shared" si="205"/>
        <v>0</v>
      </c>
      <c r="X1094" s="59">
        <f t="shared" si="206"/>
        <v>0</v>
      </c>
      <c r="Y1094" s="151">
        <f>VLOOKUP(E1094,Modificaciones!$B$7:$BE$2300,56,0)</f>
        <v>0</v>
      </c>
      <c r="Z1094" s="84">
        <f t="shared" si="207"/>
        <v>0</v>
      </c>
      <c r="AA1094" s="1000"/>
      <c r="AB1094" s="823" t="e">
        <f t="shared" si="208"/>
        <v>#DIV/0!</v>
      </c>
      <c r="AC1094" s="40" t="e">
        <f t="shared" ca="1" si="209"/>
        <v>#DIV/0!</v>
      </c>
      <c r="AD1094" s="41" t="e">
        <f t="shared" ca="1" si="210"/>
        <v>#DIV/0!</v>
      </c>
      <c r="AE1094" s="181" t="e">
        <f t="shared" ca="1" si="211"/>
        <v>#DIV/0!</v>
      </c>
      <c r="AF1094" s="42" t="e">
        <f t="shared" si="212"/>
        <v>#DIV/0!</v>
      </c>
      <c r="AG1094" s="838"/>
      <c r="AH1094" s="841"/>
      <c r="AI1094" s="841"/>
      <c r="AJ1094" s="838"/>
      <c r="AL1094" s="838"/>
      <c r="AM1094" s="838"/>
      <c r="AN1094" s="161" t="str">
        <f t="shared" ca="1" si="213"/>
        <v>TERMINO</v>
      </c>
      <c r="AO1094" s="414"/>
      <c r="AP1094" s="406"/>
      <c r="AQ1094" s="819" t="str">
        <f>IFERROR(VLOOKUP(E1094,'liquidaciones '!$B$2:$C$1048576,2,0),"NO")</f>
        <v>NO</v>
      </c>
      <c r="AR1094" s="909" t="str">
        <f>IFERROR(VLOOKUP(E1094,'liquidaciones '!$B$2:$I$1048576,8,0),"")</f>
        <v/>
      </c>
      <c r="AS1094" s="406"/>
      <c r="AT1094" s="156" t="str">
        <f t="shared" ca="1" si="214"/>
        <v>NO</v>
      </c>
      <c r="AU1094" s="1140"/>
      <c r="AV1094" s="1001"/>
      <c r="AX1094" s="928"/>
      <c r="AY1094" s="928"/>
    </row>
    <row r="1095" spans="3:51" x14ac:dyDescent="0.3">
      <c r="C1095" s="837"/>
      <c r="E1095" s="120"/>
      <c r="F1095" s="414"/>
      <c r="G1095" s="863"/>
      <c r="H1095" s="969"/>
      <c r="I1095" s="84"/>
      <c r="J1095" s="839"/>
      <c r="K1095" s="269"/>
      <c r="L1095" s="519"/>
      <c r="M1095" s="840"/>
      <c r="N1095" s="840"/>
      <c r="O1095" s="1099" t="str">
        <f>IF(+Modificaciones!I1095=0,"",VLOOKUP(E1095,Modificaciones!$B$7:$I$2400,8,0))</f>
        <v/>
      </c>
      <c r="P1095" s="115">
        <f>COUNTA(Modificaciones!J1095,Modificaciones!L1095,Modificaciones!N1095,Modificaciones!P1095)</f>
        <v>0</v>
      </c>
      <c r="Q1095" s="116">
        <f>VLOOKUP(E1095,Modificaciones!$B$7:$R$2300,17,0)</f>
        <v>0</v>
      </c>
      <c r="R1095" s="117">
        <f>COUNTA(Modificaciones!T1095,Modificaciones!V1095,Modificaciones!X1095,Modificaciones!Z1095)</f>
        <v>0</v>
      </c>
      <c r="S1095" s="118" t="str">
        <f>IF(Modificaciones!AA1095=0,"",VLOOKUP(E1095,Modificaciones!$B$7:$AA$2400,26,0))</f>
        <v/>
      </c>
      <c r="T1095" s="119" t="str">
        <f>IF(Modificaciones!AB1095=0,"",VLOOKUP(E1095,Modificaciones!$B$7:$AB$2400,27,0))</f>
        <v/>
      </c>
      <c r="U1095" s="1080">
        <f>+Modificaciones!AC1095</f>
        <v>0</v>
      </c>
      <c r="V1095" s="825">
        <f>+Modificaciones!AK1095</f>
        <v>0</v>
      </c>
      <c r="W1095" s="825">
        <f t="shared" si="205"/>
        <v>0</v>
      </c>
      <c r="X1095" s="59">
        <f t="shared" si="206"/>
        <v>0</v>
      </c>
      <c r="Y1095" s="151">
        <f>VLOOKUP(E1095,Modificaciones!$B$7:$BE$2300,56,0)</f>
        <v>0</v>
      </c>
      <c r="Z1095" s="84">
        <f t="shared" si="207"/>
        <v>0</v>
      </c>
      <c r="AA1095" s="1000"/>
      <c r="AB1095" s="823" t="e">
        <f t="shared" si="208"/>
        <v>#DIV/0!</v>
      </c>
      <c r="AC1095" s="40" t="e">
        <f t="shared" ca="1" si="209"/>
        <v>#DIV/0!</v>
      </c>
      <c r="AD1095" s="41" t="e">
        <f t="shared" ca="1" si="210"/>
        <v>#DIV/0!</v>
      </c>
      <c r="AE1095" s="181" t="e">
        <f t="shared" ca="1" si="211"/>
        <v>#DIV/0!</v>
      </c>
      <c r="AF1095" s="42" t="e">
        <f t="shared" si="212"/>
        <v>#DIV/0!</v>
      </c>
      <c r="AG1095" s="838"/>
      <c r="AH1095" s="841"/>
      <c r="AI1095" s="841"/>
      <c r="AJ1095" s="838"/>
      <c r="AL1095" s="838"/>
      <c r="AM1095" s="838"/>
      <c r="AN1095" s="161" t="str">
        <f t="shared" ca="1" si="213"/>
        <v>TERMINO</v>
      </c>
      <c r="AO1095" s="414"/>
      <c r="AP1095" s="406"/>
      <c r="AQ1095" s="819" t="str">
        <f>IFERROR(VLOOKUP(E1095,'liquidaciones '!$B$2:$C$1048576,2,0),"NO")</f>
        <v>NO</v>
      </c>
      <c r="AR1095" s="909" t="str">
        <f>IFERROR(VLOOKUP(E1095,'liquidaciones '!$B$2:$I$1048576,8,0),"")</f>
        <v/>
      </c>
      <c r="AS1095" s="406"/>
      <c r="AT1095" s="156" t="str">
        <f t="shared" ca="1" si="214"/>
        <v>NO</v>
      </c>
      <c r="AU1095" s="1140"/>
      <c r="AV1095" s="1001"/>
      <c r="AX1095" s="928"/>
      <c r="AY1095" s="928"/>
    </row>
    <row r="1096" spans="3:51" x14ac:dyDescent="0.3">
      <c r="C1096" s="837"/>
      <c r="E1096" s="120"/>
      <c r="F1096" s="414"/>
      <c r="G1096" s="863"/>
      <c r="H1096" s="969"/>
      <c r="I1096" s="84"/>
      <c r="J1096" s="839"/>
      <c r="K1096" s="269"/>
      <c r="L1096" s="519"/>
      <c r="M1096" s="840"/>
      <c r="N1096" s="840"/>
      <c r="O1096" s="1099" t="str">
        <f>IF(+Modificaciones!I1096=0,"",VLOOKUP(E1096,Modificaciones!$B$7:$I$2400,8,0))</f>
        <v/>
      </c>
      <c r="P1096" s="115">
        <f>COUNTA(Modificaciones!J1096,Modificaciones!L1096,Modificaciones!N1096,Modificaciones!P1096)</f>
        <v>0</v>
      </c>
      <c r="Q1096" s="116">
        <f>VLOOKUP(E1096,Modificaciones!$B$7:$R$2300,17,0)</f>
        <v>0</v>
      </c>
      <c r="R1096" s="117">
        <f>COUNTA(Modificaciones!T1096,Modificaciones!V1096,Modificaciones!X1096,Modificaciones!Z1096)</f>
        <v>0</v>
      </c>
      <c r="S1096" s="118" t="str">
        <f>IF(Modificaciones!AA1096=0,"",VLOOKUP(E1096,Modificaciones!$B$7:$AA$2400,26,0))</f>
        <v/>
      </c>
      <c r="T1096" s="119" t="str">
        <f>IF(Modificaciones!AB1096=0,"",VLOOKUP(E1096,Modificaciones!$B$7:$AB$2400,27,0))</f>
        <v/>
      </c>
      <c r="U1096" s="1080">
        <f>+Modificaciones!AC1096</f>
        <v>0</v>
      </c>
      <c r="V1096" s="825">
        <f>+Modificaciones!AK1096</f>
        <v>0</v>
      </c>
      <c r="W1096" s="825">
        <f t="shared" si="205"/>
        <v>0</v>
      </c>
      <c r="X1096" s="59">
        <f t="shared" si="206"/>
        <v>0</v>
      </c>
      <c r="Y1096" s="151">
        <f>VLOOKUP(E1096,Modificaciones!$B$7:$BE$2300,56,0)</f>
        <v>0</v>
      </c>
      <c r="Z1096" s="84">
        <f t="shared" si="207"/>
        <v>0</v>
      </c>
      <c r="AA1096" s="1000"/>
      <c r="AB1096" s="823" t="e">
        <f t="shared" si="208"/>
        <v>#DIV/0!</v>
      </c>
      <c r="AC1096" s="40" t="e">
        <f t="shared" ca="1" si="209"/>
        <v>#DIV/0!</v>
      </c>
      <c r="AD1096" s="41" t="e">
        <f t="shared" ca="1" si="210"/>
        <v>#DIV/0!</v>
      </c>
      <c r="AE1096" s="181" t="e">
        <f t="shared" ca="1" si="211"/>
        <v>#DIV/0!</v>
      </c>
      <c r="AF1096" s="42" t="e">
        <f t="shared" si="212"/>
        <v>#DIV/0!</v>
      </c>
      <c r="AG1096" s="838"/>
      <c r="AH1096" s="841"/>
      <c r="AI1096" s="841"/>
      <c r="AJ1096" s="838"/>
      <c r="AL1096" s="838"/>
      <c r="AM1096" s="838"/>
      <c r="AN1096" s="161" t="str">
        <f t="shared" ca="1" si="213"/>
        <v>TERMINO</v>
      </c>
      <c r="AO1096" s="414"/>
      <c r="AP1096" s="406"/>
      <c r="AQ1096" s="819" t="str">
        <f>IFERROR(VLOOKUP(E1096,'liquidaciones '!$B$2:$C$1048576,2,0),"NO")</f>
        <v>NO</v>
      </c>
      <c r="AR1096" s="909" t="str">
        <f>IFERROR(VLOOKUP(E1096,'liquidaciones '!$B$2:$I$1048576,8,0),"")</f>
        <v/>
      </c>
      <c r="AS1096" s="406"/>
      <c r="AT1096" s="156" t="str">
        <f t="shared" ca="1" si="214"/>
        <v>NO</v>
      </c>
      <c r="AU1096" s="1140"/>
      <c r="AV1096" s="1001"/>
      <c r="AX1096" s="928"/>
      <c r="AY1096" s="928"/>
    </row>
    <row r="1097" spans="3:51" x14ac:dyDescent="0.3">
      <c r="C1097" s="837"/>
      <c r="E1097" s="120"/>
      <c r="F1097" s="414"/>
      <c r="G1097" s="863"/>
      <c r="H1097" s="969"/>
      <c r="I1097" s="84"/>
      <c r="J1097" s="839"/>
      <c r="K1097" s="269"/>
      <c r="L1097" s="519"/>
      <c r="M1097" s="840"/>
      <c r="N1097" s="840"/>
      <c r="O1097" s="1099" t="str">
        <f>IF(+Modificaciones!I1097=0,"",VLOOKUP(E1097,Modificaciones!$B$7:$I$2400,8,0))</f>
        <v/>
      </c>
      <c r="P1097" s="115">
        <f>COUNTA(Modificaciones!J1097,Modificaciones!L1097,Modificaciones!N1097,Modificaciones!P1097)</f>
        <v>0</v>
      </c>
      <c r="Q1097" s="116">
        <f>VLOOKUP(E1097,Modificaciones!$B$7:$R$2300,17,0)</f>
        <v>0</v>
      </c>
      <c r="R1097" s="117">
        <f>COUNTA(Modificaciones!T1097,Modificaciones!V1097,Modificaciones!X1097,Modificaciones!Z1097)</f>
        <v>0</v>
      </c>
      <c r="S1097" s="118" t="str">
        <f>IF(Modificaciones!AA1097=0,"",VLOOKUP(E1097,Modificaciones!$B$7:$AA$2400,26,0))</f>
        <v/>
      </c>
      <c r="T1097" s="119" t="str">
        <f>IF(Modificaciones!AB1097=0,"",VLOOKUP(E1097,Modificaciones!$B$7:$AB$2400,27,0))</f>
        <v/>
      </c>
      <c r="U1097" s="1080">
        <f>+Modificaciones!AC1097</f>
        <v>0</v>
      </c>
      <c r="V1097" s="825">
        <f>+Modificaciones!AK1097</f>
        <v>0</v>
      </c>
      <c r="W1097" s="825">
        <f t="shared" si="205"/>
        <v>0</v>
      </c>
      <c r="X1097" s="59">
        <f t="shared" si="206"/>
        <v>0</v>
      </c>
      <c r="Y1097" s="151">
        <f>VLOOKUP(E1097,Modificaciones!$B$7:$BE$2300,56,0)</f>
        <v>0</v>
      </c>
      <c r="Z1097" s="84">
        <f t="shared" si="207"/>
        <v>0</v>
      </c>
      <c r="AA1097" s="1000"/>
      <c r="AB1097" s="823" t="e">
        <f t="shared" si="208"/>
        <v>#DIV/0!</v>
      </c>
      <c r="AC1097" s="40" t="e">
        <f t="shared" ca="1" si="209"/>
        <v>#DIV/0!</v>
      </c>
      <c r="AD1097" s="41" t="e">
        <f t="shared" ca="1" si="210"/>
        <v>#DIV/0!</v>
      </c>
      <c r="AE1097" s="181" t="e">
        <f t="shared" ca="1" si="211"/>
        <v>#DIV/0!</v>
      </c>
      <c r="AF1097" s="42" t="e">
        <f t="shared" si="212"/>
        <v>#DIV/0!</v>
      </c>
      <c r="AG1097" s="838"/>
      <c r="AH1097" s="841"/>
      <c r="AI1097" s="841"/>
      <c r="AJ1097" s="838"/>
      <c r="AL1097" s="838"/>
      <c r="AM1097" s="838"/>
      <c r="AN1097" s="161" t="str">
        <f t="shared" ca="1" si="213"/>
        <v>TERMINO</v>
      </c>
      <c r="AO1097" s="414"/>
      <c r="AP1097" s="406"/>
      <c r="AQ1097" s="819" t="str">
        <f>IFERROR(VLOOKUP(E1097,'liquidaciones '!$B$2:$C$1048576,2,0),"NO")</f>
        <v>NO</v>
      </c>
      <c r="AR1097" s="909" t="str">
        <f>IFERROR(VLOOKUP(E1097,'liquidaciones '!$B$2:$I$1048576,8,0),"")</f>
        <v/>
      </c>
      <c r="AS1097" s="406"/>
      <c r="AT1097" s="156" t="str">
        <f t="shared" ca="1" si="214"/>
        <v>NO</v>
      </c>
      <c r="AU1097" s="1140"/>
      <c r="AV1097" s="1001"/>
      <c r="AX1097" s="928"/>
      <c r="AY1097" s="928"/>
    </row>
    <row r="1098" spans="3:51" x14ac:dyDescent="0.3">
      <c r="C1098" s="837"/>
      <c r="E1098" s="120"/>
      <c r="F1098" s="414"/>
      <c r="G1098" s="863"/>
      <c r="H1098" s="969"/>
      <c r="I1098" s="84"/>
      <c r="J1098" s="839"/>
      <c r="K1098" s="269"/>
      <c r="L1098" s="519"/>
      <c r="M1098" s="840"/>
      <c r="N1098" s="840"/>
      <c r="O1098" s="1099" t="str">
        <f>IF(+Modificaciones!I1098=0,"",VLOOKUP(E1098,Modificaciones!$B$7:$I$2400,8,0))</f>
        <v/>
      </c>
      <c r="P1098" s="115">
        <f>COUNTA(Modificaciones!J1098,Modificaciones!L1098,Modificaciones!N1098,Modificaciones!P1098)</f>
        <v>0</v>
      </c>
      <c r="Q1098" s="116">
        <f>VLOOKUP(E1098,Modificaciones!$B$7:$R$2300,17,0)</f>
        <v>0</v>
      </c>
      <c r="R1098" s="117">
        <f>COUNTA(Modificaciones!T1098,Modificaciones!V1098,Modificaciones!X1098,Modificaciones!Z1098)</f>
        <v>0</v>
      </c>
      <c r="S1098" s="118" t="str">
        <f>IF(Modificaciones!AA1098=0,"",VLOOKUP(E1098,Modificaciones!$B$7:$AA$2400,26,0))</f>
        <v/>
      </c>
      <c r="T1098" s="119" t="str">
        <f>IF(Modificaciones!AB1098=0,"",VLOOKUP(E1098,Modificaciones!$B$7:$AB$2400,27,0))</f>
        <v/>
      </c>
      <c r="U1098" s="1080">
        <f>+Modificaciones!AC1098</f>
        <v>0</v>
      </c>
      <c r="V1098" s="825">
        <f>+Modificaciones!AK1098</f>
        <v>0</v>
      </c>
      <c r="W1098" s="825">
        <f t="shared" si="205"/>
        <v>0</v>
      </c>
      <c r="X1098" s="59">
        <f t="shared" si="206"/>
        <v>0</v>
      </c>
      <c r="Y1098" s="151">
        <f>VLOOKUP(E1098,Modificaciones!$B$7:$BE$2300,56,0)</f>
        <v>0</v>
      </c>
      <c r="Z1098" s="84">
        <f t="shared" si="207"/>
        <v>0</v>
      </c>
      <c r="AA1098" s="1000"/>
      <c r="AB1098" s="823" t="e">
        <f t="shared" si="208"/>
        <v>#DIV/0!</v>
      </c>
      <c r="AC1098" s="40" t="e">
        <f t="shared" ca="1" si="209"/>
        <v>#DIV/0!</v>
      </c>
      <c r="AD1098" s="41" t="e">
        <f t="shared" ca="1" si="210"/>
        <v>#DIV/0!</v>
      </c>
      <c r="AE1098" s="181" t="e">
        <f t="shared" ca="1" si="211"/>
        <v>#DIV/0!</v>
      </c>
      <c r="AF1098" s="42" t="e">
        <f t="shared" si="212"/>
        <v>#DIV/0!</v>
      </c>
      <c r="AG1098" s="838"/>
      <c r="AH1098" s="841"/>
      <c r="AI1098" s="841"/>
      <c r="AJ1098" s="838"/>
      <c r="AL1098" s="838"/>
      <c r="AM1098" s="838"/>
      <c r="AN1098" s="161" t="str">
        <f t="shared" ca="1" si="213"/>
        <v>TERMINO</v>
      </c>
      <c r="AO1098" s="414"/>
      <c r="AP1098" s="406"/>
      <c r="AQ1098" s="819" t="str">
        <f>IFERROR(VLOOKUP(E1098,'liquidaciones '!$B$2:$C$1048576,2,0),"NO")</f>
        <v>NO</v>
      </c>
      <c r="AR1098" s="909" t="str">
        <f>IFERROR(VLOOKUP(E1098,'liquidaciones '!$B$2:$I$1048576,8,0),"")</f>
        <v/>
      </c>
      <c r="AS1098" s="406"/>
      <c r="AT1098" s="156" t="str">
        <f t="shared" ca="1" si="214"/>
        <v>NO</v>
      </c>
      <c r="AU1098" s="1140"/>
      <c r="AV1098" s="1001"/>
      <c r="AX1098" s="928"/>
      <c r="AY1098" s="928"/>
    </row>
    <row r="1099" spans="3:51" x14ac:dyDescent="0.3">
      <c r="C1099" s="837"/>
      <c r="E1099" s="120"/>
      <c r="F1099" s="414"/>
      <c r="G1099" s="863"/>
      <c r="H1099" s="969"/>
      <c r="I1099" s="84"/>
      <c r="J1099" s="839"/>
      <c r="K1099" s="269"/>
      <c r="L1099" s="519"/>
      <c r="M1099" s="840"/>
      <c r="N1099" s="840"/>
      <c r="O1099" s="1099" t="str">
        <f>IF(+Modificaciones!I1099=0,"",VLOOKUP(E1099,Modificaciones!$B$7:$I$2400,8,0))</f>
        <v/>
      </c>
      <c r="P1099" s="115">
        <f>COUNTA(Modificaciones!J1099,Modificaciones!L1099,Modificaciones!N1099,Modificaciones!P1099)</f>
        <v>0</v>
      </c>
      <c r="Q1099" s="116">
        <f>VLOOKUP(E1099,Modificaciones!$B$7:$R$2300,17,0)</f>
        <v>0</v>
      </c>
      <c r="R1099" s="117">
        <f>COUNTA(Modificaciones!T1099,Modificaciones!V1099,Modificaciones!X1099,Modificaciones!Z1099)</f>
        <v>0</v>
      </c>
      <c r="S1099" s="118" t="str">
        <f>IF(Modificaciones!AA1099=0,"",VLOOKUP(E1099,Modificaciones!$B$7:$AA$2400,26,0))</f>
        <v/>
      </c>
      <c r="T1099" s="119" t="str">
        <f>IF(Modificaciones!AB1099=0,"",VLOOKUP(E1099,Modificaciones!$B$7:$AB$2400,27,0))</f>
        <v/>
      </c>
      <c r="U1099" s="1080">
        <f>+Modificaciones!AC1099</f>
        <v>0</v>
      </c>
      <c r="V1099" s="825">
        <f>+Modificaciones!AK1099</f>
        <v>0</v>
      </c>
      <c r="W1099" s="825">
        <f t="shared" si="205"/>
        <v>0</v>
      </c>
      <c r="X1099" s="59">
        <f t="shared" si="206"/>
        <v>0</v>
      </c>
      <c r="Y1099" s="151">
        <f>VLOOKUP(E1099,Modificaciones!$B$7:$BE$2300,56,0)</f>
        <v>0</v>
      </c>
      <c r="Z1099" s="84">
        <f t="shared" si="207"/>
        <v>0</v>
      </c>
      <c r="AA1099" s="1000"/>
      <c r="AB1099" s="823" t="e">
        <f t="shared" si="208"/>
        <v>#DIV/0!</v>
      </c>
      <c r="AC1099" s="40" t="e">
        <f t="shared" ca="1" si="209"/>
        <v>#DIV/0!</v>
      </c>
      <c r="AD1099" s="41" t="e">
        <f t="shared" ca="1" si="210"/>
        <v>#DIV/0!</v>
      </c>
      <c r="AE1099" s="181" t="e">
        <f t="shared" ca="1" si="211"/>
        <v>#DIV/0!</v>
      </c>
      <c r="AF1099" s="42" t="e">
        <f t="shared" si="212"/>
        <v>#DIV/0!</v>
      </c>
      <c r="AG1099" s="838"/>
      <c r="AH1099" s="841"/>
      <c r="AI1099" s="841"/>
      <c r="AJ1099" s="838"/>
      <c r="AL1099" s="838"/>
      <c r="AM1099" s="838"/>
      <c r="AN1099" s="161" t="str">
        <f t="shared" ca="1" si="213"/>
        <v>TERMINO</v>
      </c>
      <c r="AO1099" s="414"/>
      <c r="AP1099" s="406"/>
      <c r="AQ1099" s="819" t="str">
        <f>IFERROR(VLOOKUP(E1099,'liquidaciones '!$B$2:$C$1048576,2,0),"NO")</f>
        <v>NO</v>
      </c>
      <c r="AR1099" s="909" t="str">
        <f>IFERROR(VLOOKUP(E1099,'liquidaciones '!$B$2:$I$1048576,8,0),"")</f>
        <v/>
      </c>
      <c r="AS1099" s="406"/>
      <c r="AT1099" s="156" t="str">
        <f t="shared" ca="1" si="214"/>
        <v>NO</v>
      </c>
      <c r="AU1099" s="1140"/>
      <c r="AV1099" s="1001"/>
      <c r="AX1099" s="928"/>
      <c r="AY1099" s="928"/>
    </row>
    <row r="1100" spans="3:51" x14ac:dyDescent="0.3">
      <c r="C1100" s="837"/>
      <c r="E1100" s="120"/>
      <c r="F1100" s="414"/>
      <c r="G1100" s="863"/>
      <c r="H1100" s="969"/>
      <c r="I1100" s="84"/>
      <c r="J1100" s="839"/>
      <c r="K1100" s="269"/>
      <c r="L1100" s="519"/>
      <c r="M1100" s="840"/>
      <c r="N1100" s="840"/>
      <c r="O1100" s="1099" t="str">
        <f>IF(+Modificaciones!I1100=0,"",VLOOKUP(E1100,Modificaciones!$B$7:$I$2400,8,0))</f>
        <v/>
      </c>
      <c r="P1100" s="115">
        <f>COUNTA(Modificaciones!J1100,Modificaciones!L1100,Modificaciones!N1100,Modificaciones!P1100)</f>
        <v>0</v>
      </c>
      <c r="Q1100" s="116">
        <f>VLOOKUP(E1100,Modificaciones!$B$7:$R$2300,17,0)</f>
        <v>0</v>
      </c>
      <c r="R1100" s="117">
        <f>COUNTA(Modificaciones!T1100,Modificaciones!V1100,Modificaciones!X1100,Modificaciones!Z1100)</f>
        <v>0</v>
      </c>
      <c r="S1100" s="118" t="str">
        <f>IF(Modificaciones!AA1100=0,"",VLOOKUP(E1100,Modificaciones!$B$7:$AA$2400,26,0))</f>
        <v/>
      </c>
      <c r="T1100" s="119" t="str">
        <f>IF(Modificaciones!AB1100=0,"",VLOOKUP(E1100,Modificaciones!$B$7:$AB$2400,27,0))</f>
        <v/>
      </c>
      <c r="U1100" s="1080">
        <f>+Modificaciones!AC1100</f>
        <v>0</v>
      </c>
      <c r="V1100" s="825">
        <f>+Modificaciones!AK1100</f>
        <v>0</v>
      </c>
      <c r="W1100" s="825">
        <f t="shared" si="205"/>
        <v>0</v>
      </c>
      <c r="X1100" s="59">
        <f t="shared" si="206"/>
        <v>0</v>
      </c>
      <c r="Y1100" s="151">
        <f>VLOOKUP(E1100,Modificaciones!$B$7:$BE$2300,56,0)</f>
        <v>0</v>
      </c>
      <c r="Z1100" s="84">
        <f t="shared" si="207"/>
        <v>0</v>
      </c>
      <c r="AA1100" s="1000"/>
      <c r="AB1100" s="823" t="e">
        <f t="shared" si="208"/>
        <v>#DIV/0!</v>
      </c>
      <c r="AC1100" s="40" t="e">
        <f t="shared" ca="1" si="209"/>
        <v>#DIV/0!</v>
      </c>
      <c r="AD1100" s="41" t="e">
        <f t="shared" ca="1" si="210"/>
        <v>#DIV/0!</v>
      </c>
      <c r="AE1100" s="181" t="e">
        <f t="shared" ca="1" si="211"/>
        <v>#DIV/0!</v>
      </c>
      <c r="AF1100" s="42" t="e">
        <f t="shared" si="212"/>
        <v>#DIV/0!</v>
      </c>
      <c r="AG1100" s="838"/>
      <c r="AH1100" s="841"/>
      <c r="AI1100" s="841"/>
      <c r="AJ1100" s="838"/>
      <c r="AL1100" s="838"/>
      <c r="AM1100" s="838"/>
      <c r="AN1100" s="161" t="str">
        <f t="shared" ca="1" si="213"/>
        <v>TERMINO</v>
      </c>
      <c r="AO1100" s="414"/>
      <c r="AP1100" s="406"/>
      <c r="AQ1100" s="819" t="str">
        <f>IFERROR(VLOOKUP(E1100,'liquidaciones '!$B$2:$C$1048576,2,0),"NO")</f>
        <v>NO</v>
      </c>
      <c r="AR1100" s="909" t="str">
        <f>IFERROR(VLOOKUP(E1100,'liquidaciones '!$B$2:$I$1048576,8,0),"")</f>
        <v/>
      </c>
      <c r="AS1100" s="406"/>
      <c r="AT1100" s="156" t="str">
        <f t="shared" ca="1" si="214"/>
        <v>NO</v>
      </c>
      <c r="AU1100" s="1140"/>
      <c r="AV1100" s="1001"/>
      <c r="AX1100" s="928"/>
      <c r="AY1100" s="928"/>
    </row>
    <row r="1101" spans="3:51" x14ac:dyDescent="0.3">
      <c r="C1101" s="837"/>
      <c r="E1101" s="120"/>
      <c r="F1101" s="414"/>
      <c r="G1101" s="863"/>
      <c r="H1101" s="969"/>
      <c r="I1101" s="84"/>
      <c r="J1101" s="839"/>
      <c r="K1101" s="269"/>
      <c r="L1101" s="519"/>
      <c r="M1101" s="840"/>
      <c r="N1101" s="840"/>
      <c r="O1101" s="1099" t="str">
        <f>IF(+Modificaciones!I1101=0,"",VLOOKUP(E1101,Modificaciones!$B$7:$I$2400,8,0))</f>
        <v/>
      </c>
      <c r="P1101" s="115">
        <f>COUNTA(Modificaciones!J1101,Modificaciones!L1101,Modificaciones!N1101,Modificaciones!P1101)</f>
        <v>0</v>
      </c>
      <c r="Q1101" s="116">
        <f>VLOOKUP(E1101,Modificaciones!$B$7:$R$2300,17,0)</f>
        <v>0</v>
      </c>
      <c r="R1101" s="117">
        <f>COUNTA(Modificaciones!T1101,Modificaciones!V1101,Modificaciones!X1101,Modificaciones!Z1101)</f>
        <v>0</v>
      </c>
      <c r="S1101" s="118" t="str">
        <f>IF(Modificaciones!AA1101=0,"",VLOOKUP(E1101,Modificaciones!$B$7:$AA$2400,26,0))</f>
        <v/>
      </c>
      <c r="T1101" s="119" t="str">
        <f>IF(Modificaciones!AB1101=0,"",VLOOKUP(E1101,Modificaciones!$B$7:$AB$2400,27,0))</f>
        <v/>
      </c>
      <c r="U1101" s="1080">
        <f>+Modificaciones!AC1101</f>
        <v>0</v>
      </c>
      <c r="V1101" s="825">
        <f>+Modificaciones!AK1101</f>
        <v>0</v>
      </c>
      <c r="W1101" s="825">
        <f t="shared" si="205"/>
        <v>0</v>
      </c>
      <c r="X1101" s="59">
        <f t="shared" si="206"/>
        <v>0</v>
      </c>
      <c r="Y1101" s="151">
        <f>VLOOKUP(E1101,Modificaciones!$B$7:$BE$2300,56,0)</f>
        <v>0</v>
      </c>
      <c r="Z1101" s="84">
        <f t="shared" si="207"/>
        <v>0</v>
      </c>
      <c r="AA1101" s="1000"/>
      <c r="AB1101" s="823" t="e">
        <f t="shared" si="208"/>
        <v>#DIV/0!</v>
      </c>
      <c r="AC1101" s="40" t="e">
        <f t="shared" ca="1" si="209"/>
        <v>#DIV/0!</v>
      </c>
      <c r="AD1101" s="41" t="e">
        <f t="shared" ca="1" si="210"/>
        <v>#DIV/0!</v>
      </c>
      <c r="AE1101" s="181" t="e">
        <f t="shared" ca="1" si="211"/>
        <v>#DIV/0!</v>
      </c>
      <c r="AF1101" s="42" t="e">
        <f t="shared" si="212"/>
        <v>#DIV/0!</v>
      </c>
      <c r="AG1101" s="838"/>
      <c r="AH1101" s="841"/>
      <c r="AI1101" s="841"/>
      <c r="AJ1101" s="838"/>
      <c r="AL1101" s="838"/>
      <c r="AM1101" s="838"/>
      <c r="AN1101" s="161" t="str">
        <f t="shared" ca="1" si="213"/>
        <v>TERMINO</v>
      </c>
      <c r="AO1101" s="414"/>
      <c r="AP1101" s="406"/>
      <c r="AQ1101" s="819" t="str">
        <f>IFERROR(VLOOKUP(E1101,'liquidaciones '!$B$2:$C$1048576,2,0),"NO")</f>
        <v>NO</v>
      </c>
      <c r="AR1101" s="909" t="str">
        <f>IFERROR(VLOOKUP(E1101,'liquidaciones '!$B$2:$I$1048576,8,0),"")</f>
        <v/>
      </c>
      <c r="AS1101" s="406"/>
      <c r="AT1101" s="156" t="str">
        <f t="shared" ca="1" si="214"/>
        <v>NO</v>
      </c>
      <c r="AU1101" s="1140"/>
      <c r="AV1101" s="1001"/>
      <c r="AX1101" s="928"/>
      <c r="AY1101" s="928"/>
    </row>
    <row r="1102" spans="3:51" x14ac:dyDescent="0.3">
      <c r="C1102" s="837"/>
      <c r="E1102" s="120"/>
      <c r="F1102" s="414"/>
      <c r="G1102" s="863"/>
      <c r="H1102" s="969"/>
      <c r="I1102" s="84"/>
      <c r="J1102" s="839"/>
      <c r="K1102" s="269"/>
      <c r="L1102" s="519"/>
      <c r="M1102" s="840"/>
      <c r="N1102" s="840"/>
      <c r="O1102" s="1099" t="str">
        <f>IF(+Modificaciones!I1102=0,"",VLOOKUP(E1102,Modificaciones!$B$7:$I$2400,8,0))</f>
        <v/>
      </c>
      <c r="P1102" s="115">
        <f>COUNTA(Modificaciones!J1102,Modificaciones!L1102,Modificaciones!N1102,Modificaciones!P1102)</f>
        <v>0</v>
      </c>
      <c r="Q1102" s="116">
        <f>VLOOKUP(E1102,Modificaciones!$B$7:$R$2300,17,0)</f>
        <v>0</v>
      </c>
      <c r="R1102" s="117">
        <f>COUNTA(Modificaciones!T1102,Modificaciones!V1102,Modificaciones!X1102,Modificaciones!Z1102)</f>
        <v>0</v>
      </c>
      <c r="S1102" s="118" t="str">
        <f>IF(Modificaciones!AA1102=0,"",VLOOKUP(E1102,Modificaciones!$B$7:$AA$2400,26,0))</f>
        <v/>
      </c>
      <c r="T1102" s="119" t="str">
        <f>IF(Modificaciones!AB1102=0,"",VLOOKUP(E1102,Modificaciones!$B$7:$AB$2400,27,0))</f>
        <v/>
      </c>
      <c r="U1102" s="1080">
        <f>+Modificaciones!AC1102</f>
        <v>0</v>
      </c>
      <c r="V1102" s="825">
        <f>+Modificaciones!AK1102</f>
        <v>0</v>
      </c>
      <c r="W1102" s="825">
        <f t="shared" si="205"/>
        <v>0</v>
      </c>
      <c r="X1102" s="59">
        <f t="shared" si="206"/>
        <v>0</v>
      </c>
      <c r="Y1102" s="151">
        <f>VLOOKUP(E1102,Modificaciones!$B$7:$BE$2300,56,0)</f>
        <v>0</v>
      </c>
      <c r="Z1102" s="84">
        <f t="shared" si="207"/>
        <v>0</v>
      </c>
      <c r="AA1102" s="1000"/>
      <c r="AB1102" s="823" t="e">
        <f t="shared" si="208"/>
        <v>#DIV/0!</v>
      </c>
      <c r="AC1102" s="40" t="e">
        <f t="shared" ca="1" si="209"/>
        <v>#DIV/0!</v>
      </c>
      <c r="AD1102" s="41" t="e">
        <f t="shared" ca="1" si="210"/>
        <v>#DIV/0!</v>
      </c>
      <c r="AE1102" s="181" t="e">
        <f t="shared" ca="1" si="211"/>
        <v>#DIV/0!</v>
      </c>
      <c r="AF1102" s="42" t="e">
        <f t="shared" si="212"/>
        <v>#DIV/0!</v>
      </c>
      <c r="AG1102" s="838"/>
      <c r="AH1102" s="841"/>
      <c r="AI1102" s="841"/>
      <c r="AJ1102" s="838"/>
      <c r="AL1102" s="838"/>
      <c r="AM1102" s="838"/>
      <c r="AN1102" s="161" t="str">
        <f t="shared" ca="1" si="213"/>
        <v>TERMINO</v>
      </c>
      <c r="AO1102" s="414"/>
      <c r="AP1102" s="406"/>
      <c r="AQ1102" s="819" t="str">
        <f>IFERROR(VLOOKUP(E1102,'liquidaciones '!$B$2:$C$1048576,2,0),"NO")</f>
        <v>NO</v>
      </c>
      <c r="AR1102" s="909" t="str">
        <f>IFERROR(VLOOKUP(E1102,'liquidaciones '!$B$2:$I$1048576,8,0),"")</f>
        <v/>
      </c>
      <c r="AS1102" s="406"/>
      <c r="AT1102" s="156" t="str">
        <f t="shared" ca="1" si="214"/>
        <v>NO</v>
      </c>
      <c r="AU1102" s="1140"/>
      <c r="AV1102" s="1001"/>
      <c r="AX1102" s="928"/>
      <c r="AY1102" s="928"/>
    </row>
    <row r="1103" spans="3:51" x14ac:dyDescent="0.3">
      <c r="C1103" s="837"/>
      <c r="E1103" s="120"/>
      <c r="F1103" s="414"/>
      <c r="G1103" s="863"/>
      <c r="H1103" s="969"/>
      <c r="I1103" s="84"/>
      <c r="J1103" s="839"/>
      <c r="K1103" s="269"/>
      <c r="L1103" s="519"/>
      <c r="M1103" s="840"/>
      <c r="N1103" s="840"/>
      <c r="O1103" s="1099" t="str">
        <f>IF(+Modificaciones!I1103=0,"",VLOOKUP(E1103,Modificaciones!$B$7:$I$2400,8,0))</f>
        <v/>
      </c>
      <c r="P1103" s="115">
        <f>COUNTA(Modificaciones!J1103,Modificaciones!L1103,Modificaciones!N1103,Modificaciones!P1103)</f>
        <v>0</v>
      </c>
      <c r="Q1103" s="116">
        <f>VLOOKUP(E1103,Modificaciones!$B$7:$R$2300,17,0)</f>
        <v>0</v>
      </c>
      <c r="R1103" s="117">
        <f>COUNTA(Modificaciones!T1103,Modificaciones!V1103,Modificaciones!X1103,Modificaciones!Z1103)</f>
        <v>0</v>
      </c>
      <c r="S1103" s="118" t="str">
        <f>IF(Modificaciones!AA1103=0,"",VLOOKUP(E1103,Modificaciones!$B$7:$AA$2400,26,0))</f>
        <v/>
      </c>
      <c r="T1103" s="119" t="str">
        <f>IF(Modificaciones!AB1103=0,"",VLOOKUP(E1103,Modificaciones!$B$7:$AB$2400,27,0))</f>
        <v/>
      </c>
      <c r="U1103" s="1080">
        <f>+Modificaciones!AC1103</f>
        <v>0</v>
      </c>
      <c r="V1103" s="825">
        <f>+Modificaciones!AK1103</f>
        <v>0</v>
      </c>
      <c r="W1103" s="825">
        <f t="shared" si="205"/>
        <v>0</v>
      </c>
      <c r="X1103" s="59">
        <f t="shared" si="206"/>
        <v>0</v>
      </c>
      <c r="Y1103" s="151">
        <f>VLOOKUP(E1103,Modificaciones!$B$7:$BE$2300,56,0)</f>
        <v>0</v>
      </c>
      <c r="Z1103" s="84">
        <f t="shared" si="207"/>
        <v>0</v>
      </c>
      <c r="AA1103" s="1000"/>
      <c r="AB1103" s="823" t="e">
        <f t="shared" si="208"/>
        <v>#DIV/0!</v>
      </c>
      <c r="AC1103" s="40" t="e">
        <f t="shared" ca="1" si="209"/>
        <v>#DIV/0!</v>
      </c>
      <c r="AD1103" s="41" t="e">
        <f t="shared" ca="1" si="210"/>
        <v>#DIV/0!</v>
      </c>
      <c r="AE1103" s="181" t="e">
        <f t="shared" ca="1" si="211"/>
        <v>#DIV/0!</v>
      </c>
      <c r="AF1103" s="42" t="e">
        <f t="shared" si="212"/>
        <v>#DIV/0!</v>
      </c>
      <c r="AG1103" s="838"/>
      <c r="AH1103" s="841"/>
      <c r="AI1103" s="841"/>
      <c r="AJ1103" s="838"/>
      <c r="AL1103" s="838"/>
      <c r="AM1103" s="838"/>
      <c r="AN1103" s="161" t="str">
        <f t="shared" ca="1" si="213"/>
        <v>TERMINO</v>
      </c>
      <c r="AO1103" s="414"/>
      <c r="AP1103" s="406"/>
      <c r="AQ1103" s="819" t="str">
        <f>IFERROR(VLOOKUP(E1103,'liquidaciones '!$B$2:$C$1048576,2,0),"NO")</f>
        <v>NO</v>
      </c>
      <c r="AR1103" s="909" t="str">
        <f>IFERROR(VLOOKUP(E1103,'liquidaciones '!$B$2:$I$1048576,8,0),"")</f>
        <v/>
      </c>
      <c r="AS1103" s="406"/>
      <c r="AT1103" s="156" t="str">
        <f t="shared" ca="1" si="214"/>
        <v>NO</v>
      </c>
      <c r="AU1103" s="1140"/>
      <c r="AV1103" s="1001"/>
      <c r="AX1103" s="928"/>
      <c r="AY1103" s="928"/>
    </row>
    <row r="1104" spans="3:51" x14ac:dyDescent="0.3">
      <c r="C1104" s="837"/>
      <c r="E1104" s="120"/>
      <c r="F1104" s="414"/>
      <c r="G1104" s="863"/>
      <c r="H1104" s="969"/>
      <c r="I1104" s="84"/>
      <c r="J1104" s="839"/>
      <c r="K1104" s="269"/>
      <c r="L1104" s="519"/>
      <c r="M1104" s="840"/>
      <c r="N1104" s="840"/>
      <c r="O1104" s="1099" t="str">
        <f>IF(+Modificaciones!I1104=0,"",VLOOKUP(E1104,Modificaciones!$B$7:$I$2400,8,0))</f>
        <v/>
      </c>
      <c r="P1104" s="115">
        <f>COUNTA(Modificaciones!J1104,Modificaciones!L1104,Modificaciones!N1104,Modificaciones!P1104)</f>
        <v>0</v>
      </c>
      <c r="Q1104" s="116">
        <f>VLOOKUP(E1104,Modificaciones!$B$7:$R$2300,17,0)</f>
        <v>0</v>
      </c>
      <c r="R1104" s="117">
        <f>COUNTA(Modificaciones!T1104,Modificaciones!V1104,Modificaciones!X1104,Modificaciones!Z1104)</f>
        <v>0</v>
      </c>
      <c r="S1104" s="118" t="str">
        <f>IF(Modificaciones!AA1104=0,"",VLOOKUP(E1104,Modificaciones!$B$7:$AA$2400,26,0))</f>
        <v/>
      </c>
      <c r="T1104" s="119" t="str">
        <f>IF(Modificaciones!AB1104=0,"",VLOOKUP(E1104,Modificaciones!$B$7:$AB$2400,27,0))</f>
        <v/>
      </c>
      <c r="U1104" s="1080">
        <f>+Modificaciones!AC1104</f>
        <v>0</v>
      </c>
      <c r="V1104" s="825">
        <f>+Modificaciones!AK1104</f>
        <v>0</v>
      </c>
      <c r="W1104" s="825">
        <f t="shared" si="205"/>
        <v>0</v>
      </c>
      <c r="X1104" s="59">
        <f t="shared" si="206"/>
        <v>0</v>
      </c>
      <c r="Y1104" s="151">
        <f>VLOOKUP(E1104,Modificaciones!$B$7:$BE$2300,56,0)</f>
        <v>0</v>
      </c>
      <c r="Z1104" s="84">
        <f t="shared" si="207"/>
        <v>0</v>
      </c>
      <c r="AA1104" s="1000"/>
      <c r="AB1104" s="823" t="e">
        <f t="shared" si="208"/>
        <v>#DIV/0!</v>
      </c>
      <c r="AC1104" s="40" t="e">
        <f t="shared" ca="1" si="209"/>
        <v>#DIV/0!</v>
      </c>
      <c r="AD1104" s="41" t="e">
        <f t="shared" ca="1" si="210"/>
        <v>#DIV/0!</v>
      </c>
      <c r="AE1104" s="181" t="e">
        <f t="shared" ca="1" si="211"/>
        <v>#DIV/0!</v>
      </c>
      <c r="AF1104" s="42" t="e">
        <f t="shared" si="212"/>
        <v>#DIV/0!</v>
      </c>
      <c r="AG1104" s="838"/>
      <c r="AH1104" s="841"/>
      <c r="AI1104" s="841"/>
      <c r="AJ1104" s="838"/>
      <c r="AL1104" s="838"/>
      <c r="AM1104" s="838"/>
      <c r="AN1104" s="161" t="str">
        <f t="shared" ca="1" si="213"/>
        <v>TERMINO</v>
      </c>
      <c r="AO1104" s="414"/>
      <c r="AP1104" s="406"/>
      <c r="AQ1104" s="819" t="str">
        <f>IFERROR(VLOOKUP(E1104,'liquidaciones '!$B$2:$C$1048576,2,0),"NO")</f>
        <v>NO</v>
      </c>
      <c r="AR1104" s="909" t="str">
        <f>IFERROR(VLOOKUP(E1104,'liquidaciones '!$B$2:$I$1048576,8,0),"")</f>
        <v/>
      </c>
      <c r="AS1104" s="406"/>
      <c r="AT1104" s="156" t="str">
        <f t="shared" ca="1" si="214"/>
        <v>NO</v>
      </c>
      <c r="AU1104" s="1140"/>
      <c r="AV1104" s="1001"/>
      <c r="AX1104" s="928"/>
      <c r="AY1104" s="928"/>
    </row>
    <row r="1105" spans="3:51" x14ac:dyDescent="0.3">
      <c r="C1105" s="837"/>
      <c r="E1105" s="120"/>
      <c r="F1105" s="414"/>
      <c r="G1105" s="863"/>
      <c r="H1105" s="969"/>
      <c r="I1105" s="84"/>
      <c r="J1105" s="839"/>
      <c r="K1105" s="269"/>
      <c r="L1105" s="519"/>
      <c r="M1105" s="840"/>
      <c r="N1105" s="840"/>
      <c r="O1105" s="1099" t="str">
        <f>IF(+Modificaciones!I1105=0,"",VLOOKUP(E1105,Modificaciones!$B$7:$I$2400,8,0))</f>
        <v/>
      </c>
      <c r="P1105" s="115">
        <f>COUNTA(Modificaciones!J1105,Modificaciones!L1105,Modificaciones!N1105,Modificaciones!P1105)</f>
        <v>0</v>
      </c>
      <c r="Q1105" s="116">
        <f>VLOOKUP(E1105,Modificaciones!$B$7:$R$2300,17,0)</f>
        <v>0</v>
      </c>
      <c r="R1105" s="117">
        <f>COUNTA(Modificaciones!T1105,Modificaciones!V1105,Modificaciones!X1105,Modificaciones!Z1105)</f>
        <v>0</v>
      </c>
      <c r="S1105" s="118" t="str">
        <f>IF(Modificaciones!AA1105=0,"",VLOOKUP(E1105,Modificaciones!$B$7:$AA$2400,26,0))</f>
        <v/>
      </c>
      <c r="T1105" s="119" t="str">
        <f>IF(Modificaciones!AB1105=0,"",VLOOKUP(E1105,Modificaciones!$B$7:$AB$2400,27,0))</f>
        <v/>
      </c>
      <c r="U1105" s="1080">
        <f>+Modificaciones!AC1105</f>
        <v>0</v>
      </c>
      <c r="V1105" s="825">
        <f>+Modificaciones!AK1105</f>
        <v>0</v>
      </c>
      <c r="W1105" s="825">
        <f t="shared" si="205"/>
        <v>0</v>
      </c>
      <c r="X1105" s="59">
        <f t="shared" si="206"/>
        <v>0</v>
      </c>
      <c r="Y1105" s="151">
        <f>VLOOKUP(E1105,Modificaciones!$B$7:$BE$2300,56,0)</f>
        <v>0</v>
      </c>
      <c r="Z1105" s="84">
        <f t="shared" si="207"/>
        <v>0</v>
      </c>
      <c r="AA1105" s="1000"/>
      <c r="AB1105" s="823" t="e">
        <f t="shared" si="208"/>
        <v>#DIV/0!</v>
      </c>
      <c r="AC1105" s="40" t="e">
        <f t="shared" ca="1" si="209"/>
        <v>#DIV/0!</v>
      </c>
      <c r="AD1105" s="41" t="e">
        <f t="shared" ca="1" si="210"/>
        <v>#DIV/0!</v>
      </c>
      <c r="AE1105" s="181" t="e">
        <f t="shared" ca="1" si="211"/>
        <v>#DIV/0!</v>
      </c>
      <c r="AF1105" s="42" t="e">
        <f t="shared" si="212"/>
        <v>#DIV/0!</v>
      </c>
      <c r="AG1105" s="838"/>
      <c r="AH1105" s="841"/>
      <c r="AI1105" s="841"/>
      <c r="AJ1105" s="838"/>
      <c r="AL1105" s="838"/>
      <c r="AM1105" s="838"/>
      <c r="AN1105" s="161" t="str">
        <f t="shared" ca="1" si="213"/>
        <v>TERMINO</v>
      </c>
      <c r="AO1105" s="414"/>
      <c r="AP1105" s="406"/>
      <c r="AQ1105" s="819" t="str">
        <f>IFERROR(VLOOKUP(E1105,'liquidaciones '!$B$2:$C$1048576,2,0),"NO")</f>
        <v>NO</v>
      </c>
      <c r="AR1105" s="909" t="str">
        <f>IFERROR(VLOOKUP(E1105,'liquidaciones '!$B$2:$I$1048576,8,0),"")</f>
        <v/>
      </c>
      <c r="AS1105" s="406"/>
      <c r="AT1105" s="156" t="str">
        <f t="shared" ca="1" si="214"/>
        <v>NO</v>
      </c>
      <c r="AU1105" s="1140"/>
      <c r="AV1105" s="1001"/>
      <c r="AX1105" s="928"/>
      <c r="AY1105" s="928"/>
    </row>
    <row r="1106" spans="3:51" x14ac:dyDescent="0.3">
      <c r="C1106" s="837"/>
      <c r="E1106" s="120"/>
      <c r="F1106" s="414"/>
      <c r="G1106" s="863"/>
      <c r="H1106" s="969"/>
      <c r="I1106" s="84"/>
      <c r="J1106" s="839"/>
      <c r="K1106" s="269"/>
      <c r="L1106" s="519"/>
      <c r="M1106" s="840"/>
      <c r="N1106" s="840"/>
      <c r="O1106" s="1099" t="str">
        <f>IF(+Modificaciones!I1106=0,"",VLOOKUP(E1106,Modificaciones!$B$7:$I$2400,8,0))</f>
        <v/>
      </c>
      <c r="P1106" s="115">
        <f>COUNTA(Modificaciones!J1106,Modificaciones!L1106,Modificaciones!N1106,Modificaciones!P1106)</f>
        <v>0</v>
      </c>
      <c r="Q1106" s="116">
        <f>VLOOKUP(E1106,Modificaciones!$B$7:$R$2300,17,0)</f>
        <v>0</v>
      </c>
      <c r="R1106" s="117">
        <f>COUNTA(Modificaciones!T1106,Modificaciones!V1106,Modificaciones!X1106,Modificaciones!Z1106)</f>
        <v>0</v>
      </c>
      <c r="S1106" s="118" t="str">
        <f>IF(Modificaciones!AA1106=0,"",VLOOKUP(E1106,Modificaciones!$B$7:$AA$2400,26,0))</f>
        <v/>
      </c>
      <c r="T1106" s="119" t="str">
        <f>IF(Modificaciones!AB1106=0,"",VLOOKUP(E1106,Modificaciones!$B$7:$AB$2400,27,0))</f>
        <v/>
      </c>
      <c r="U1106" s="1080">
        <f>+Modificaciones!AC1106</f>
        <v>0</v>
      </c>
      <c r="V1106" s="825">
        <f>+Modificaciones!AK1106</f>
        <v>0</v>
      </c>
      <c r="W1106" s="825">
        <f t="shared" si="205"/>
        <v>0</v>
      </c>
      <c r="X1106" s="59">
        <f t="shared" si="206"/>
        <v>0</v>
      </c>
      <c r="Y1106" s="151">
        <f>VLOOKUP(E1106,Modificaciones!$B$7:$BE$2300,56,0)</f>
        <v>0</v>
      </c>
      <c r="Z1106" s="84">
        <f t="shared" si="207"/>
        <v>0</v>
      </c>
      <c r="AA1106" s="1000"/>
      <c r="AB1106" s="823" t="e">
        <f t="shared" si="208"/>
        <v>#DIV/0!</v>
      </c>
      <c r="AC1106" s="40" t="e">
        <f t="shared" ca="1" si="209"/>
        <v>#DIV/0!</v>
      </c>
      <c r="AD1106" s="41" t="e">
        <f t="shared" ca="1" si="210"/>
        <v>#DIV/0!</v>
      </c>
      <c r="AE1106" s="181" t="e">
        <f t="shared" ca="1" si="211"/>
        <v>#DIV/0!</v>
      </c>
      <c r="AF1106" s="42" t="e">
        <f t="shared" si="212"/>
        <v>#DIV/0!</v>
      </c>
      <c r="AG1106" s="838"/>
      <c r="AH1106" s="841"/>
      <c r="AI1106" s="841"/>
      <c r="AJ1106" s="838"/>
      <c r="AL1106" s="838"/>
      <c r="AM1106" s="838"/>
      <c r="AN1106" s="161" t="str">
        <f t="shared" ca="1" si="213"/>
        <v>TERMINO</v>
      </c>
      <c r="AO1106" s="414"/>
      <c r="AP1106" s="406"/>
      <c r="AQ1106" s="819" t="str">
        <f>IFERROR(VLOOKUP(E1106,'liquidaciones '!$B$2:$C$1048576,2,0),"NO")</f>
        <v>NO</v>
      </c>
      <c r="AR1106" s="909" t="str">
        <f>IFERROR(VLOOKUP(E1106,'liquidaciones '!$B$2:$I$1048576,8,0),"")</f>
        <v/>
      </c>
      <c r="AS1106" s="406"/>
      <c r="AT1106" s="156" t="str">
        <f t="shared" ca="1" si="214"/>
        <v>NO</v>
      </c>
      <c r="AU1106" s="1140"/>
      <c r="AV1106" s="1001"/>
      <c r="AX1106" s="928"/>
      <c r="AY1106" s="928"/>
    </row>
    <row r="1107" spans="3:51" x14ac:dyDescent="0.3">
      <c r="C1107" s="837"/>
      <c r="E1107" s="120"/>
      <c r="F1107" s="414"/>
      <c r="G1107" s="863"/>
      <c r="H1107" s="969"/>
      <c r="I1107" s="84"/>
      <c r="J1107" s="839"/>
      <c r="K1107" s="269"/>
      <c r="L1107" s="519"/>
      <c r="M1107" s="840"/>
      <c r="N1107" s="840"/>
      <c r="O1107" s="1099" t="str">
        <f>IF(+Modificaciones!I1107=0,"",VLOOKUP(E1107,Modificaciones!$B$7:$I$2400,8,0))</f>
        <v/>
      </c>
      <c r="P1107" s="115">
        <f>COUNTA(Modificaciones!J1107,Modificaciones!L1107,Modificaciones!N1107,Modificaciones!P1107)</f>
        <v>0</v>
      </c>
      <c r="Q1107" s="116">
        <f>VLOOKUP(E1107,Modificaciones!$B$7:$R$2300,17,0)</f>
        <v>0</v>
      </c>
      <c r="R1107" s="117">
        <f>COUNTA(Modificaciones!T1107,Modificaciones!V1107,Modificaciones!X1107,Modificaciones!Z1107)</f>
        <v>0</v>
      </c>
      <c r="S1107" s="118" t="str">
        <f>IF(Modificaciones!AA1107=0,"",VLOOKUP(E1107,Modificaciones!$B$7:$AA$2400,26,0))</f>
        <v/>
      </c>
      <c r="T1107" s="119" t="str">
        <f>IF(Modificaciones!AB1107=0,"",VLOOKUP(E1107,Modificaciones!$B$7:$AB$2400,27,0))</f>
        <v/>
      </c>
      <c r="U1107" s="1080">
        <f>+Modificaciones!AC1107</f>
        <v>0</v>
      </c>
      <c r="V1107" s="825">
        <f>+Modificaciones!AK1107</f>
        <v>0</v>
      </c>
      <c r="W1107" s="825">
        <f t="shared" si="205"/>
        <v>0</v>
      </c>
      <c r="X1107" s="59">
        <f t="shared" si="206"/>
        <v>0</v>
      </c>
      <c r="Y1107" s="151">
        <f>VLOOKUP(E1107,Modificaciones!$B$7:$BE$2300,56,0)</f>
        <v>0</v>
      </c>
      <c r="Z1107" s="84">
        <f t="shared" si="207"/>
        <v>0</v>
      </c>
      <c r="AA1107" s="1000"/>
      <c r="AB1107" s="823" t="e">
        <f t="shared" si="208"/>
        <v>#DIV/0!</v>
      </c>
      <c r="AC1107" s="40" t="e">
        <f t="shared" ca="1" si="209"/>
        <v>#DIV/0!</v>
      </c>
      <c r="AD1107" s="41" t="e">
        <f t="shared" ca="1" si="210"/>
        <v>#DIV/0!</v>
      </c>
      <c r="AE1107" s="181" t="e">
        <f t="shared" ca="1" si="211"/>
        <v>#DIV/0!</v>
      </c>
      <c r="AF1107" s="42" t="e">
        <f t="shared" si="212"/>
        <v>#DIV/0!</v>
      </c>
      <c r="AG1107" s="838"/>
      <c r="AH1107" s="841"/>
      <c r="AI1107" s="841"/>
      <c r="AJ1107" s="838"/>
      <c r="AL1107" s="838"/>
      <c r="AM1107" s="838"/>
      <c r="AN1107" s="161" t="str">
        <f t="shared" ca="1" si="213"/>
        <v>TERMINO</v>
      </c>
      <c r="AO1107" s="414"/>
      <c r="AP1107" s="406"/>
      <c r="AQ1107" s="819" t="str">
        <f>IFERROR(VLOOKUP(E1107,'liquidaciones '!$B$2:$C$1048576,2,0),"NO")</f>
        <v>NO</v>
      </c>
      <c r="AR1107" s="909" t="str">
        <f>IFERROR(VLOOKUP(E1107,'liquidaciones '!$B$2:$I$1048576,8,0),"")</f>
        <v/>
      </c>
      <c r="AS1107" s="406"/>
      <c r="AT1107" s="156" t="str">
        <f t="shared" ca="1" si="214"/>
        <v>NO</v>
      </c>
      <c r="AU1107" s="1140"/>
      <c r="AV1107" s="1001"/>
      <c r="AX1107" s="928"/>
      <c r="AY1107" s="928"/>
    </row>
    <row r="1108" spans="3:51" x14ac:dyDescent="0.3">
      <c r="C1108" s="837"/>
      <c r="E1108" s="120"/>
      <c r="F1108" s="414"/>
      <c r="G1108" s="863"/>
      <c r="H1108" s="969"/>
      <c r="I1108" s="84"/>
      <c r="J1108" s="839"/>
      <c r="K1108" s="269"/>
      <c r="L1108" s="519"/>
      <c r="M1108" s="840"/>
      <c r="N1108" s="840"/>
      <c r="O1108" s="1099" t="str">
        <f>IF(+Modificaciones!I1108=0,"",VLOOKUP(E1108,Modificaciones!$B$7:$I$2400,8,0))</f>
        <v/>
      </c>
      <c r="P1108" s="115">
        <f>COUNTA(Modificaciones!J1108,Modificaciones!L1108,Modificaciones!N1108,Modificaciones!P1108)</f>
        <v>0</v>
      </c>
      <c r="Q1108" s="116">
        <f>VLOOKUP(E1108,Modificaciones!$B$7:$R$2300,17,0)</f>
        <v>0</v>
      </c>
      <c r="R1108" s="117">
        <f>COUNTA(Modificaciones!T1108,Modificaciones!V1108,Modificaciones!X1108,Modificaciones!Z1108)</f>
        <v>0</v>
      </c>
      <c r="S1108" s="118" t="str">
        <f>IF(Modificaciones!AA1108=0,"",VLOOKUP(E1108,Modificaciones!$B$7:$AA$2400,26,0))</f>
        <v/>
      </c>
      <c r="T1108" s="119" t="str">
        <f>IF(Modificaciones!AB1108=0,"",VLOOKUP(E1108,Modificaciones!$B$7:$AB$2400,27,0))</f>
        <v/>
      </c>
      <c r="U1108" s="1080">
        <f>+Modificaciones!AC1108</f>
        <v>0</v>
      </c>
      <c r="V1108" s="825">
        <f>+Modificaciones!AK1108</f>
        <v>0</v>
      </c>
      <c r="W1108" s="825">
        <f t="shared" si="205"/>
        <v>0</v>
      </c>
      <c r="X1108" s="59">
        <f t="shared" si="206"/>
        <v>0</v>
      </c>
      <c r="Y1108" s="151">
        <f>VLOOKUP(E1108,Modificaciones!$B$7:$BE$2300,56,0)</f>
        <v>0</v>
      </c>
      <c r="Z1108" s="84">
        <f t="shared" si="207"/>
        <v>0</v>
      </c>
      <c r="AA1108" s="1000"/>
      <c r="AB1108" s="823" t="e">
        <f t="shared" si="208"/>
        <v>#DIV/0!</v>
      </c>
      <c r="AC1108" s="40" t="e">
        <f t="shared" ca="1" si="209"/>
        <v>#DIV/0!</v>
      </c>
      <c r="AD1108" s="41" t="e">
        <f t="shared" ca="1" si="210"/>
        <v>#DIV/0!</v>
      </c>
      <c r="AE1108" s="181" t="e">
        <f t="shared" ca="1" si="211"/>
        <v>#DIV/0!</v>
      </c>
      <c r="AF1108" s="42" t="e">
        <f t="shared" si="212"/>
        <v>#DIV/0!</v>
      </c>
      <c r="AG1108" s="838"/>
      <c r="AH1108" s="841"/>
      <c r="AI1108" s="841"/>
      <c r="AJ1108" s="838"/>
      <c r="AL1108" s="838"/>
      <c r="AM1108" s="838"/>
      <c r="AN1108" s="161" t="str">
        <f t="shared" ca="1" si="213"/>
        <v>TERMINO</v>
      </c>
      <c r="AO1108" s="414"/>
      <c r="AP1108" s="406"/>
      <c r="AQ1108" s="819" t="str">
        <f>IFERROR(VLOOKUP(E1108,'liquidaciones '!$B$2:$C$1048576,2,0),"NO")</f>
        <v>NO</v>
      </c>
      <c r="AR1108" s="909" t="str">
        <f>IFERROR(VLOOKUP(E1108,'liquidaciones '!$B$2:$I$1048576,8,0),"")</f>
        <v/>
      </c>
      <c r="AS1108" s="406"/>
      <c r="AT1108" s="156" t="str">
        <f t="shared" ca="1" si="214"/>
        <v>NO</v>
      </c>
      <c r="AU1108" s="1140"/>
      <c r="AV1108" s="1001"/>
      <c r="AX1108" s="928"/>
      <c r="AY1108" s="928"/>
    </row>
    <row r="1109" spans="3:51" x14ac:dyDescent="0.3">
      <c r="C1109" s="837"/>
      <c r="E1109" s="120"/>
      <c r="F1109" s="414"/>
      <c r="G1109" s="863"/>
      <c r="H1109" s="969"/>
      <c r="I1109" s="84"/>
      <c r="J1109" s="839"/>
      <c r="K1109" s="269"/>
      <c r="L1109" s="519"/>
      <c r="M1109" s="840"/>
      <c r="N1109" s="840"/>
      <c r="O1109" s="1099" t="str">
        <f>IF(+Modificaciones!I1109=0,"",VLOOKUP(E1109,Modificaciones!$B$7:$I$2400,8,0))</f>
        <v/>
      </c>
      <c r="P1109" s="115">
        <f>COUNTA(Modificaciones!J1109,Modificaciones!L1109,Modificaciones!N1109,Modificaciones!P1109)</f>
        <v>0</v>
      </c>
      <c r="Q1109" s="116">
        <f>VLOOKUP(E1109,Modificaciones!$B$7:$R$2300,17,0)</f>
        <v>0</v>
      </c>
      <c r="R1109" s="117">
        <f>COUNTA(Modificaciones!T1109,Modificaciones!V1109,Modificaciones!X1109,Modificaciones!Z1109)</f>
        <v>0</v>
      </c>
      <c r="S1109" s="118" t="str">
        <f>IF(Modificaciones!AA1109=0,"",VLOOKUP(E1109,Modificaciones!$B$7:$AA$2400,26,0))</f>
        <v/>
      </c>
      <c r="T1109" s="119" t="str">
        <f>IF(Modificaciones!AB1109=0,"",VLOOKUP(E1109,Modificaciones!$B$7:$AB$2400,27,0))</f>
        <v/>
      </c>
      <c r="U1109" s="1080">
        <f>+Modificaciones!AC1109</f>
        <v>0</v>
      </c>
      <c r="V1109" s="825">
        <f>+Modificaciones!AK1109</f>
        <v>0</v>
      </c>
      <c r="W1109" s="825">
        <f t="shared" si="205"/>
        <v>0</v>
      </c>
      <c r="X1109" s="59">
        <f t="shared" si="206"/>
        <v>0</v>
      </c>
      <c r="Y1109" s="151">
        <f>VLOOKUP(E1109,Modificaciones!$B$7:$BE$2300,56,0)</f>
        <v>0</v>
      </c>
      <c r="Z1109" s="84">
        <f t="shared" si="207"/>
        <v>0</v>
      </c>
      <c r="AA1109" s="1000"/>
      <c r="AB1109" s="823" t="e">
        <f t="shared" si="208"/>
        <v>#DIV/0!</v>
      </c>
      <c r="AC1109" s="40" t="e">
        <f t="shared" ca="1" si="209"/>
        <v>#DIV/0!</v>
      </c>
      <c r="AD1109" s="41" t="e">
        <f t="shared" ca="1" si="210"/>
        <v>#DIV/0!</v>
      </c>
      <c r="AE1109" s="181" t="e">
        <f t="shared" ca="1" si="211"/>
        <v>#DIV/0!</v>
      </c>
      <c r="AF1109" s="42" t="e">
        <f t="shared" si="212"/>
        <v>#DIV/0!</v>
      </c>
      <c r="AG1109" s="838"/>
      <c r="AH1109" s="841"/>
      <c r="AI1109" s="841"/>
      <c r="AJ1109" s="838"/>
      <c r="AL1109" s="838"/>
      <c r="AM1109" s="838"/>
      <c r="AN1109" s="161" t="str">
        <f t="shared" ca="1" si="213"/>
        <v>TERMINO</v>
      </c>
      <c r="AO1109" s="414"/>
      <c r="AP1109" s="406"/>
      <c r="AQ1109" s="819" t="str">
        <f>IFERROR(VLOOKUP(E1109,'liquidaciones '!$B$2:$C$1048576,2,0),"NO")</f>
        <v>NO</v>
      </c>
      <c r="AR1109" s="909" t="str">
        <f>IFERROR(VLOOKUP(E1109,'liquidaciones '!$B$2:$I$1048576,8,0),"")</f>
        <v/>
      </c>
      <c r="AS1109" s="406"/>
      <c r="AT1109" s="156" t="str">
        <f t="shared" ca="1" si="214"/>
        <v>NO</v>
      </c>
      <c r="AU1109" s="1140"/>
      <c r="AV1109" s="1001"/>
      <c r="AX1109" s="928"/>
      <c r="AY1109" s="928"/>
    </row>
    <row r="1110" spans="3:51" x14ac:dyDescent="0.3">
      <c r="C1110" s="837"/>
      <c r="E1110" s="120"/>
      <c r="F1110" s="414"/>
      <c r="G1110" s="863"/>
      <c r="H1110" s="969"/>
      <c r="I1110" s="84"/>
      <c r="J1110" s="839"/>
      <c r="K1110" s="269"/>
      <c r="L1110" s="519"/>
      <c r="M1110" s="840"/>
      <c r="N1110" s="840"/>
      <c r="O1110" s="1099" t="str">
        <f>IF(+Modificaciones!I1110=0,"",VLOOKUP(E1110,Modificaciones!$B$7:$I$2400,8,0))</f>
        <v/>
      </c>
      <c r="P1110" s="115">
        <f>COUNTA(Modificaciones!J1110,Modificaciones!L1110,Modificaciones!N1110,Modificaciones!P1110)</f>
        <v>0</v>
      </c>
      <c r="Q1110" s="116">
        <f>VLOOKUP(E1110,Modificaciones!$B$7:$R$2300,17,0)</f>
        <v>0</v>
      </c>
      <c r="R1110" s="117">
        <f>COUNTA(Modificaciones!T1110,Modificaciones!V1110,Modificaciones!X1110,Modificaciones!Z1110)</f>
        <v>0</v>
      </c>
      <c r="S1110" s="118" t="str">
        <f>IF(Modificaciones!AA1110=0,"",VLOOKUP(E1110,Modificaciones!$B$7:$AA$2400,26,0))</f>
        <v/>
      </c>
      <c r="T1110" s="119" t="str">
        <f>IF(Modificaciones!AB1110=0,"",VLOOKUP(E1110,Modificaciones!$B$7:$AB$2400,27,0))</f>
        <v/>
      </c>
      <c r="U1110" s="1080">
        <f>+Modificaciones!AC1110</f>
        <v>0</v>
      </c>
      <c r="V1110" s="825">
        <f>+Modificaciones!AK1110</f>
        <v>0</v>
      </c>
      <c r="W1110" s="825">
        <f t="shared" si="205"/>
        <v>0</v>
      </c>
      <c r="X1110" s="59">
        <f t="shared" si="206"/>
        <v>0</v>
      </c>
      <c r="Y1110" s="151">
        <f>VLOOKUP(E1110,Modificaciones!$B$7:$BE$2300,56,0)</f>
        <v>0</v>
      </c>
      <c r="Z1110" s="84">
        <f t="shared" si="207"/>
        <v>0</v>
      </c>
      <c r="AA1110" s="1000"/>
      <c r="AB1110" s="823" t="e">
        <f t="shared" si="208"/>
        <v>#DIV/0!</v>
      </c>
      <c r="AC1110" s="40" t="e">
        <f t="shared" ca="1" si="209"/>
        <v>#DIV/0!</v>
      </c>
      <c r="AD1110" s="41" t="e">
        <f t="shared" ca="1" si="210"/>
        <v>#DIV/0!</v>
      </c>
      <c r="AE1110" s="181" t="e">
        <f t="shared" ca="1" si="211"/>
        <v>#DIV/0!</v>
      </c>
      <c r="AF1110" s="42" t="e">
        <f t="shared" si="212"/>
        <v>#DIV/0!</v>
      </c>
      <c r="AG1110" s="838"/>
      <c r="AH1110" s="841"/>
      <c r="AI1110" s="841"/>
      <c r="AJ1110" s="838"/>
      <c r="AL1110" s="838"/>
      <c r="AM1110" s="838"/>
      <c r="AN1110" s="161" t="str">
        <f t="shared" ca="1" si="213"/>
        <v>TERMINO</v>
      </c>
      <c r="AO1110" s="414"/>
      <c r="AP1110" s="406"/>
      <c r="AQ1110" s="819" t="str">
        <f>IFERROR(VLOOKUP(E1110,'liquidaciones '!$B$2:$C$1048576,2,0),"NO")</f>
        <v>NO</v>
      </c>
      <c r="AR1110" s="909" t="str">
        <f>IFERROR(VLOOKUP(E1110,'liquidaciones '!$B$2:$I$1048576,8,0),"")</f>
        <v/>
      </c>
      <c r="AS1110" s="406"/>
      <c r="AT1110" s="156" t="str">
        <f t="shared" ca="1" si="214"/>
        <v>NO</v>
      </c>
      <c r="AU1110" s="1140"/>
      <c r="AV1110" s="1001"/>
      <c r="AX1110" s="928"/>
      <c r="AY1110" s="928"/>
    </row>
    <row r="1111" spans="3:51" x14ac:dyDescent="0.3">
      <c r="C1111" s="837"/>
      <c r="E1111" s="120"/>
      <c r="F1111" s="414"/>
      <c r="G1111" s="863"/>
      <c r="H1111" s="969"/>
      <c r="I1111" s="84"/>
      <c r="J1111" s="839"/>
      <c r="K1111" s="269"/>
      <c r="L1111" s="519"/>
      <c r="M1111" s="840"/>
      <c r="N1111" s="840"/>
      <c r="O1111" s="1099" t="str">
        <f>IF(+Modificaciones!I1111=0,"",VLOOKUP(E1111,Modificaciones!$B$7:$I$2400,8,0))</f>
        <v/>
      </c>
      <c r="P1111" s="115">
        <f>COUNTA(Modificaciones!J1111,Modificaciones!L1111,Modificaciones!N1111,Modificaciones!P1111)</f>
        <v>0</v>
      </c>
      <c r="Q1111" s="116">
        <f>VLOOKUP(E1111,Modificaciones!$B$7:$R$2300,17,0)</f>
        <v>0</v>
      </c>
      <c r="R1111" s="117">
        <f>COUNTA(Modificaciones!T1111,Modificaciones!V1111,Modificaciones!X1111,Modificaciones!Z1111)</f>
        <v>0</v>
      </c>
      <c r="S1111" s="118" t="str">
        <f>IF(Modificaciones!AA1111=0,"",VLOOKUP(E1111,Modificaciones!$B$7:$AA$2400,26,0))</f>
        <v/>
      </c>
      <c r="T1111" s="119" t="str">
        <f>IF(Modificaciones!AB1111=0,"",VLOOKUP(E1111,Modificaciones!$B$7:$AB$2400,27,0))</f>
        <v/>
      </c>
      <c r="U1111" s="1080">
        <f>+Modificaciones!AC1111</f>
        <v>0</v>
      </c>
      <c r="V1111" s="825">
        <f>+Modificaciones!AK1111</f>
        <v>0</v>
      </c>
      <c r="W1111" s="825">
        <f t="shared" si="205"/>
        <v>0</v>
      </c>
      <c r="X1111" s="59">
        <f t="shared" si="206"/>
        <v>0</v>
      </c>
      <c r="Y1111" s="151">
        <f>VLOOKUP(E1111,Modificaciones!$B$7:$BE$2300,56,0)</f>
        <v>0</v>
      </c>
      <c r="Z1111" s="84">
        <f t="shared" si="207"/>
        <v>0</v>
      </c>
      <c r="AA1111" s="1000"/>
      <c r="AB1111" s="823" t="e">
        <f t="shared" si="208"/>
        <v>#DIV/0!</v>
      </c>
      <c r="AC1111" s="40" t="e">
        <f t="shared" ca="1" si="209"/>
        <v>#DIV/0!</v>
      </c>
      <c r="AD1111" s="41" t="e">
        <f t="shared" ca="1" si="210"/>
        <v>#DIV/0!</v>
      </c>
      <c r="AE1111" s="181" t="e">
        <f t="shared" ca="1" si="211"/>
        <v>#DIV/0!</v>
      </c>
      <c r="AF1111" s="42" t="e">
        <f t="shared" si="212"/>
        <v>#DIV/0!</v>
      </c>
      <c r="AG1111" s="838"/>
      <c r="AH1111" s="841"/>
      <c r="AI1111" s="841"/>
      <c r="AJ1111" s="838"/>
      <c r="AL1111" s="838"/>
      <c r="AM1111" s="838"/>
      <c r="AN1111" s="161" t="str">
        <f t="shared" ca="1" si="213"/>
        <v>TERMINO</v>
      </c>
      <c r="AO1111" s="414"/>
      <c r="AP1111" s="406"/>
      <c r="AQ1111" s="819" t="str">
        <f>IFERROR(VLOOKUP(E1111,'liquidaciones '!$B$2:$C$1048576,2,0),"NO")</f>
        <v>NO</v>
      </c>
      <c r="AR1111" s="909" t="str">
        <f>IFERROR(VLOOKUP(E1111,'liquidaciones '!$B$2:$I$1048576,8,0),"")</f>
        <v/>
      </c>
      <c r="AS1111" s="406"/>
      <c r="AT1111" s="156" t="str">
        <f t="shared" ca="1" si="214"/>
        <v>NO</v>
      </c>
      <c r="AU1111" s="1140"/>
      <c r="AV1111" s="1001"/>
      <c r="AX1111" s="928"/>
      <c r="AY1111" s="928"/>
    </row>
    <row r="1112" spans="3:51" x14ac:dyDescent="0.3">
      <c r="C1112" s="837"/>
      <c r="E1112" s="120"/>
      <c r="F1112" s="414"/>
      <c r="G1112" s="863"/>
      <c r="H1112" s="969"/>
      <c r="I1112" s="84"/>
      <c r="J1112" s="839"/>
      <c r="K1112" s="269"/>
      <c r="L1112" s="519"/>
      <c r="M1112" s="840"/>
      <c r="N1112" s="840"/>
      <c r="O1112" s="1099" t="str">
        <f>IF(+Modificaciones!I1112=0,"",VLOOKUP(E1112,Modificaciones!$B$7:$I$2400,8,0))</f>
        <v/>
      </c>
      <c r="P1112" s="115">
        <f>COUNTA(Modificaciones!J1112,Modificaciones!L1112,Modificaciones!N1112,Modificaciones!P1112)</f>
        <v>0</v>
      </c>
      <c r="Q1112" s="116">
        <f>VLOOKUP(E1112,Modificaciones!$B$7:$R$2300,17,0)</f>
        <v>0</v>
      </c>
      <c r="R1112" s="117">
        <f>COUNTA(Modificaciones!T1112,Modificaciones!V1112,Modificaciones!X1112,Modificaciones!Z1112)</f>
        <v>0</v>
      </c>
      <c r="S1112" s="118" t="str">
        <f>IF(Modificaciones!AA1112=0,"",VLOOKUP(E1112,Modificaciones!$B$7:$AA$2400,26,0))</f>
        <v/>
      </c>
      <c r="T1112" s="119" t="str">
        <f>IF(Modificaciones!AB1112=0,"",VLOOKUP(E1112,Modificaciones!$B$7:$AB$2400,27,0))</f>
        <v/>
      </c>
      <c r="U1112" s="1080">
        <f>+Modificaciones!AC1112</f>
        <v>0</v>
      </c>
      <c r="V1112" s="825">
        <f>+Modificaciones!AK1112</f>
        <v>0</v>
      </c>
      <c r="W1112" s="825">
        <f t="shared" si="205"/>
        <v>0</v>
      </c>
      <c r="X1112" s="59">
        <f t="shared" si="206"/>
        <v>0</v>
      </c>
      <c r="Y1112" s="151">
        <f>VLOOKUP(E1112,Modificaciones!$B$7:$BE$2300,56,0)</f>
        <v>0</v>
      </c>
      <c r="Z1112" s="84">
        <f t="shared" si="207"/>
        <v>0</v>
      </c>
      <c r="AA1112" s="1000"/>
      <c r="AB1112" s="823" t="e">
        <f t="shared" si="208"/>
        <v>#DIV/0!</v>
      </c>
      <c r="AC1112" s="40" t="e">
        <f t="shared" ca="1" si="209"/>
        <v>#DIV/0!</v>
      </c>
      <c r="AD1112" s="41" t="e">
        <f t="shared" ca="1" si="210"/>
        <v>#DIV/0!</v>
      </c>
      <c r="AE1112" s="181" t="e">
        <f t="shared" ca="1" si="211"/>
        <v>#DIV/0!</v>
      </c>
      <c r="AF1112" s="42" t="e">
        <f t="shared" si="212"/>
        <v>#DIV/0!</v>
      </c>
      <c r="AG1112" s="838"/>
      <c r="AH1112" s="841"/>
      <c r="AI1112" s="841"/>
      <c r="AJ1112" s="838"/>
      <c r="AL1112" s="838"/>
      <c r="AM1112" s="838"/>
      <c r="AN1112" s="161" t="str">
        <f t="shared" ca="1" si="213"/>
        <v>TERMINO</v>
      </c>
      <c r="AO1112" s="414"/>
      <c r="AP1112" s="406"/>
      <c r="AQ1112" s="819" t="str">
        <f>IFERROR(VLOOKUP(E1112,'liquidaciones '!$B$2:$C$1048576,2,0),"NO")</f>
        <v>NO</v>
      </c>
      <c r="AR1112" s="909" t="str">
        <f>IFERROR(VLOOKUP(E1112,'liquidaciones '!$B$2:$I$1048576,8,0),"")</f>
        <v/>
      </c>
      <c r="AS1112" s="406"/>
      <c r="AT1112" s="156" t="str">
        <f t="shared" ca="1" si="214"/>
        <v>NO</v>
      </c>
      <c r="AU1112" s="1140"/>
      <c r="AV1112" s="1001"/>
      <c r="AX1112" s="928"/>
      <c r="AY1112" s="928"/>
    </row>
    <row r="1113" spans="3:51" x14ac:dyDescent="0.3">
      <c r="C1113" s="837"/>
      <c r="E1113" s="120"/>
      <c r="F1113" s="414"/>
      <c r="G1113" s="863"/>
      <c r="H1113" s="969"/>
      <c r="I1113" s="84"/>
      <c r="J1113" s="839"/>
      <c r="K1113" s="269"/>
      <c r="L1113" s="519"/>
      <c r="M1113" s="840"/>
      <c r="N1113" s="840"/>
      <c r="O1113" s="1099" t="str">
        <f>IF(+Modificaciones!I1113=0,"",VLOOKUP(E1113,Modificaciones!$B$7:$I$2400,8,0))</f>
        <v/>
      </c>
      <c r="P1113" s="115">
        <f>COUNTA(Modificaciones!J1113,Modificaciones!L1113,Modificaciones!N1113,Modificaciones!P1113)</f>
        <v>0</v>
      </c>
      <c r="Q1113" s="116">
        <f>VLOOKUP(E1113,Modificaciones!$B$7:$R$2300,17,0)</f>
        <v>0</v>
      </c>
      <c r="R1113" s="117">
        <f>COUNTA(Modificaciones!T1113,Modificaciones!V1113,Modificaciones!X1113,Modificaciones!Z1113)</f>
        <v>0</v>
      </c>
      <c r="S1113" s="118" t="str">
        <f>IF(Modificaciones!AA1113=0,"",VLOOKUP(E1113,Modificaciones!$B$7:$AA$2400,26,0))</f>
        <v/>
      </c>
      <c r="T1113" s="119" t="str">
        <f>IF(Modificaciones!AB1113=0,"",VLOOKUP(E1113,Modificaciones!$B$7:$AB$2400,27,0))</f>
        <v/>
      </c>
      <c r="U1113" s="1080">
        <f>+Modificaciones!AC1113</f>
        <v>0</v>
      </c>
      <c r="V1113" s="825">
        <f>+Modificaciones!AK1113</f>
        <v>0</v>
      </c>
      <c r="W1113" s="825">
        <f t="shared" si="205"/>
        <v>0</v>
      </c>
      <c r="X1113" s="59">
        <f t="shared" si="206"/>
        <v>0</v>
      </c>
      <c r="Y1113" s="151">
        <f>VLOOKUP(E1113,Modificaciones!$B$7:$BE$2300,56,0)</f>
        <v>0</v>
      </c>
      <c r="Z1113" s="84">
        <f t="shared" si="207"/>
        <v>0</v>
      </c>
      <c r="AA1113" s="1000"/>
      <c r="AB1113" s="823" t="e">
        <f t="shared" si="208"/>
        <v>#DIV/0!</v>
      </c>
      <c r="AC1113" s="40" t="e">
        <f t="shared" ca="1" si="209"/>
        <v>#DIV/0!</v>
      </c>
      <c r="AD1113" s="41" t="e">
        <f t="shared" ca="1" si="210"/>
        <v>#DIV/0!</v>
      </c>
      <c r="AE1113" s="181" t="e">
        <f t="shared" ca="1" si="211"/>
        <v>#DIV/0!</v>
      </c>
      <c r="AF1113" s="42" t="e">
        <f t="shared" si="212"/>
        <v>#DIV/0!</v>
      </c>
      <c r="AG1113" s="838"/>
      <c r="AH1113" s="841"/>
      <c r="AI1113" s="841"/>
      <c r="AJ1113" s="838"/>
      <c r="AL1113" s="838"/>
      <c r="AM1113" s="838"/>
      <c r="AN1113" s="161" t="str">
        <f t="shared" ca="1" si="213"/>
        <v>TERMINO</v>
      </c>
      <c r="AO1113" s="414"/>
      <c r="AP1113" s="406"/>
      <c r="AQ1113" s="819" t="str">
        <f>IFERROR(VLOOKUP(E1113,'liquidaciones '!$B$2:$C$1048576,2,0),"NO")</f>
        <v>NO</v>
      </c>
      <c r="AR1113" s="909" t="str">
        <f>IFERROR(VLOOKUP(E1113,'liquidaciones '!$B$2:$I$1048576,8,0),"")</f>
        <v/>
      </c>
      <c r="AS1113" s="406"/>
      <c r="AT1113" s="156" t="str">
        <f t="shared" ca="1" si="214"/>
        <v>NO</v>
      </c>
      <c r="AU1113" s="1140"/>
      <c r="AV1113" s="1001"/>
      <c r="AX1113" s="928"/>
      <c r="AY1113" s="928"/>
    </row>
    <row r="1114" spans="3:51" x14ac:dyDescent="0.3">
      <c r="C1114" s="837"/>
      <c r="E1114" s="120"/>
      <c r="F1114" s="414"/>
      <c r="G1114" s="863"/>
      <c r="H1114" s="969"/>
      <c r="I1114" s="84"/>
      <c r="J1114" s="839"/>
      <c r="K1114" s="269"/>
      <c r="L1114" s="519"/>
      <c r="M1114" s="840"/>
      <c r="N1114" s="840"/>
      <c r="O1114" s="1099" t="str">
        <f>IF(+Modificaciones!I1114=0,"",VLOOKUP(E1114,Modificaciones!$B$7:$I$2400,8,0))</f>
        <v/>
      </c>
      <c r="P1114" s="115">
        <f>COUNTA(Modificaciones!J1114,Modificaciones!L1114,Modificaciones!N1114,Modificaciones!P1114)</f>
        <v>0</v>
      </c>
      <c r="Q1114" s="116">
        <f>VLOOKUP(E1114,Modificaciones!$B$7:$R$2300,17,0)</f>
        <v>0</v>
      </c>
      <c r="R1114" s="117">
        <f>COUNTA(Modificaciones!T1114,Modificaciones!V1114,Modificaciones!X1114,Modificaciones!Z1114)</f>
        <v>0</v>
      </c>
      <c r="S1114" s="118" t="str">
        <f>IF(Modificaciones!AA1114=0,"",VLOOKUP(E1114,Modificaciones!$B$7:$AA$2400,26,0))</f>
        <v/>
      </c>
      <c r="T1114" s="119" t="str">
        <f>IF(Modificaciones!AB1114=0,"",VLOOKUP(E1114,Modificaciones!$B$7:$AB$2400,27,0))</f>
        <v/>
      </c>
      <c r="U1114" s="1080">
        <f>+Modificaciones!AC1114</f>
        <v>0</v>
      </c>
      <c r="V1114" s="825">
        <f>+Modificaciones!AK1114</f>
        <v>0</v>
      </c>
      <c r="W1114" s="825">
        <f t="shared" si="205"/>
        <v>0</v>
      </c>
      <c r="X1114" s="59">
        <f t="shared" si="206"/>
        <v>0</v>
      </c>
      <c r="Y1114" s="151">
        <f>VLOOKUP(E1114,Modificaciones!$B$7:$BE$2300,56,0)</f>
        <v>0</v>
      </c>
      <c r="Z1114" s="84">
        <f t="shared" si="207"/>
        <v>0</v>
      </c>
      <c r="AA1114" s="1000"/>
      <c r="AB1114" s="823" t="e">
        <f t="shared" si="208"/>
        <v>#DIV/0!</v>
      </c>
      <c r="AC1114" s="40" t="e">
        <f t="shared" ca="1" si="209"/>
        <v>#DIV/0!</v>
      </c>
      <c r="AD1114" s="41" t="e">
        <f t="shared" ca="1" si="210"/>
        <v>#DIV/0!</v>
      </c>
      <c r="AE1114" s="181" t="e">
        <f t="shared" ca="1" si="211"/>
        <v>#DIV/0!</v>
      </c>
      <c r="AF1114" s="42" t="e">
        <f t="shared" si="212"/>
        <v>#DIV/0!</v>
      </c>
      <c r="AG1114" s="838"/>
      <c r="AH1114" s="841"/>
      <c r="AI1114" s="841"/>
      <c r="AJ1114" s="838"/>
      <c r="AL1114" s="838"/>
      <c r="AM1114" s="838"/>
      <c r="AN1114" s="161" t="str">
        <f t="shared" ca="1" si="213"/>
        <v>TERMINO</v>
      </c>
      <c r="AO1114" s="414"/>
      <c r="AP1114" s="406"/>
      <c r="AQ1114" s="819" t="str">
        <f>IFERROR(VLOOKUP(E1114,'liquidaciones '!$B$2:$C$1048576,2,0),"NO")</f>
        <v>NO</v>
      </c>
      <c r="AR1114" s="909" t="str">
        <f>IFERROR(VLOOKUP(E1114,'liquidaciones '!$B$2:$I$1048576,8,0),"")</f>
        <v/>
      </c>
      <c r="AS1114" s="406"/>
      <c r="AT1114" s="156" t="str">
        <f t="shared" ca="1" si="214"/>
        <v>NO</v>
      </c>
      <c r="AU1114" s="1140"/>
      <c r="AV1114" s="1001"/>
      <c r="AX1114" s="928"/>
      <c r="AY1114" s="928"/>
    </row>
    <row r="1115" spans="3:51" x14ac:dyDescent="0.3">
      <c r="C1115" s="837"/>
      <c r="E1115" s="120"/>
      <c r="F1115" s="414"/>
      <c r="G1115" s="863"/>
      <c r="H1115" s="969"/>
      <c r="I1115" s="84"/>
      <c r="J1115" s="839"/>
      <c r="K1115" s="269"/>
      <c r="L1115" s="519"/>
      <c r="M1115" s="840"/>
      <c r="N1115" s="840"/>
      <c r="O1115" s="1099" t="str">
        <f>IF(+Modificaciones!I1115=0,"",VLOOKUP(E1115,Modificaciones!$B$7:$I$2400,8,0))</f>
        <v/>
      </c>
      <c r="P1115" s="115">
        <f>COUNTA(Modificaciones!J1115,Modificaciones!L1115,Modificaciones!N1115,Modificaciones!P1115)</f>
        <v>0</v>
      </c>
      <c r="Q1115" s="116">
        <f>VLOOKUP(E1115,Modificaciones!$B$7:$R$2300,17,0)</f>
        <v>0</v>
      </c>
      <c r="R1115" s="117">
        <f>COUNTA(Modificaciones!T1115,Modificaciones!V1115,Modificaciones!X1115,Modificaciones!Z1115)</f>
        <v>0</v>
      </c>
      <c r="S1115" s="118" t="str">
        <f>IF(Modificaciones!AA1115=0,"",VLOOKUP(E1115,Modificaciones!$B$7:$AA$2400,26,0))</f>
        <v/>
      </c>
      <c r="T1115" s="119" t="str">
        <f>IF(Modificaciones!AB1115=0,"",VLOOKUP(E1115,Modificaciones!$B$7:$AB$2400,27,0))</f>
        <v/>
      </c>
      <c r="U1115" s="1080">
        <f>+Modificaciones!AC1115</f>
        <v>0</v>
      </c>
      <c r="V1115" s="825">
        <f>+Modificaciones!AK1115</f>
        <v>0</v>
      </c>
      <c r="W1115" s="825">
        <f t="shared" si="205"/>
        <v>0</v>
      </c>
      <c r="X1115" s="59">
        <f t="shared" si="206"/>
        <v>0</v>
      </c>
      <c r="Y1115" s="151">
        <f>VLOOKUP(E1115,Modificaciones!$B$7:$BE$2300,56,0)</f>
        <v>0</v>
      </c>
      <c r="Z1115" s="84">
        <f t="shared" si="207"/>
        <v>0</v>
      </c>
      <c r="AA1115" s="1000"/>
      <c r="AB1115" s="823" t="e">
        <f t="shared" si="208"/>
        <v>#DIV/0!</v>
      </c>
      <c r="AC1115" s="40" t="e">
        <f t="shared" ca="1" si="209"/>
        <v>#DIV/0!</v>
      </c>
      <c r="AD1115" s="41" t="e">
        <f t="shared" ca="1" si="210"/>
        <v>#DIV/0!</v>
      </c>
      <c r="AE1115" s="181" t="e">
        <f t="shared" ca="1" si="211"/>
        <v>#DIV/0!</v>
      </c>
      <c r="AF1115" s="42" t="e">
        <f t="shared" si="212"/>
        <v>#DIV/0!</v>
      </c>
      <c r="AG1115" s="838"/>
      <c r="AH1115" s="841"/>
      <c r="AI1115" s="841"/>
      <c r="AJ1115" s="838"/>
      <c r="AL1115" s="838"/>
      <c r="AM1115" s="838"/>
      <c r="AN1115" s="161" t="str">
        <f t="shared" ca="1" si="213"/>
        <v>TERMINO</v>
      </c>
      <c r="AO1115" s="414"/>
      <c r="AP1115" s="406"/>
      <c r="AQ1115" s="819" t="str">
        <f>IFERROR(VLOOKUP(E1115,'liquidaciones '!$B$2:$C$1048576,2,0),"NO")</f>
        <v>NO</v>
      </c>
      <c r="AR1115" s="909" t="str">
        <f>IFERROR(VLOOKUP(E1115,'liquidaciones '!$B$2:$I$1048576,8,0),"")</f>
        <v/>
      </c>
      <c r="AS1115" s="406"/>
      <c r="AT1115" s="156" t="str">
        <f t="shared" ca="1" si="214"/>
        <v>NO</v>
      </c>
      <c r="AU1115" s="1140"/>
      <c r="AV1115" s="1001"/>
      <c r="AX1115" s="928"/>
      <c r="AY1115" s="928"/>
    </row>
    <row r="1116" spans="3:51" x14ac:dyDescent="0.3">
      <c r="C1116" s="837"/>
      <c r="E1116" s="120"/>
      <c r="F1116" s="414"/>
      <c r="G1116" s="863"/>
      <c r="H1116" s="969"/>
      <c r="I1116" s="84"/>
      <c r="J1116" s="839"/>
      <c r="K1116" s="269"/>
      <c r="L1116" s="519"/>
      <c r="M1116" s="840"/>
      <c r="N1116" s="840"/>
      <c r="O1116" s="1099" t="str">
        <f>IF(+Modificaciones!I1116=0,"",VLOOKUP(E1116,Modificaciones!$B$7:$I$2400,8,0))</f>
        <v/>
      </c>
      <c r="P1116" s="115">
        <f>COUNTA(Modificaciones!J1116,Modificaciones!L1116,Modificaciones!N1116,Modificaciones!P1116)</f>
        <v>0</v>
      </c>
      <c r="Q1116" s="116">
        <f>VLOOKUP(E1116,Modificaciones!$B$7:$R$2300,17,0)</f>
        <v>0</v>
      </c>
      <c r="R1116" s="117">
        <f>COUNTA(Modificaciones!T1116,Modificaciones!V1116,Modificaciones!X1116,Modificaciones!Z1116)</f>
        <v>0</v>
      </c>
      <c r="S1116" s="118" t="str">
        <f>IF(Modificaciones!AA1116=0,"",VLOOKUP(E1116,Modificaciones!$B$7:$AA$2400,26,0))</f>
        <v/>
      </c>
      <c r="T1116" s="119" t="str">
        <f>IF(Modificaciones!AB1116=0,"",VLOOKUP(E1116,Modificaciones!$B$7:$AB$2400,27,0))</f>
        <v/>
      </c>
      <c r="U1116" s="1080">
        <f>+Modificaciones!AC1116</f>
        <v>0</v>
      </c>
      <c r="V1116" s="825">
        <f>+Modificaciones!AK1116</f>
        <v>0</v>
      </c>
      <c r="W1116" s="825">
        <f t="shared" si="205"/>
        <v>0</v>
      </c>
      <c r="X1116" s="59">
        <f t="shared" si="206"/>
        <v>0</v>
      </c>
      <c r="Y1116" s="151">
        <f>VLOOKUP(E1116,Modificaciones!$B$7:$BE$2300,56,0)</f>
        <v>0</v>
      </c>
      <c r="Z1116" s="84">
        <f t="shared" si="207"/>
        <v>0</v>
      </c>
      <c r="AA1116" s="1000"/>
      <c r="AB1116" s="823" t="e">
        <f t="shared" si="208"/>
        <v>#DIV/0!</v>
      </c>
      <c r="AC1116" s="40" t="e">
        <f t="shared" ca="1" si="209"/>
        <v>#DIV/0!</v>
      </c>
      <c r="AD1116" s="41" t="e">
        <f t="shared" ca="1" si="210"/>
        <v>#DIV/0!</v>
      </c>
      <c r="AE1116" s="181" t="e">
        <f t="shared" ca="1" si="211"/>
        <v>#DIV/0!</v>
      </c>
      <c r="AF1116" s="42" t="e">
        <f t="shared" si="212"/>
        <v>#DIV/0!</v>
      </c>
      <c r="AG1116" s="838"/>
      <c r="AH1116" s="841"/>
      <c r="AI1116" s="841"/>
      <c r="AJ1116" s="838"/>
      <c r="AL1116" s="838"/>
      <c r="AM1116" s="838"/>
      <c r="AN1116" s="161" t="str">
        <f t="shared" ca="1" si="213"/>
        <v>TERMINO</v>
      </c>
      <c r="AO1116" s="414"/>
      <c r="AP1116" s="406"/>
      <c r="AQ1116" s="819" t="str">
        <f>IFERROR(VLOOKUP(E1116,'liquidaciones '!$B$2:$C$1048576,2,0),"NO")</f>
        <v>NO</v>
      </c>
      <c r="AR1116" s="909" t="str">
        <f>IFERROR(VLOOKUP(E1116,'liquidaciones '!$B$2:$I$1048576,8,0),"")</f>
        <v/>
      </c>
      <c r="AS1116" s="406"/>
      <c r="AT1116" s="156" t="str">
        <f t="shared" ca="1" si="214"/>
        <v>NO</v>
      </c>
      <c r="AU1116" s="1140"/>
      <c r="AV1116" s="1001"/>
      <c r="AX1116" s="928"/>
      <c r="AY1116" s="928"/>
    </row>
    <row r="1117" spans="3:51" x14ac:dyDescent="0.3">
      <c r="C1117" s="837"/>
      <c r="E1117" s="120"/>
      <c r="F1117" s="414"/>
      <c r="G1117" s="863"/>
      <c r="H1117" s="969"/>
      <c r="I1117" s="84"/>
      <c r="J1117" s="839"/>
      <c r="K1117" s="269"/>
      <c r="L1117" s="519"/>
      <c r="M1117" s="840"/>
      <c r="N1117" s="840"/>
      <c r="O1117" s="1099" t="str">
        <f>IF(+Modificaciones!I1117=0,"",VLOOKUP(E1117,Modificaciones!$B$7:$I$2400,8,0))</f>
        <v/>
      </c>
      <c r="P1117" s="115">
        <f>COUNTA(Modificaciones!J1117,Modificaciones!L1117,Modificaciones!N1117,Modificaciones!P1117)</f>
        <v>0</v>
      </c>
      <c r="Q1117" s="116">
        <f>VLOOKUP(E1117,Modificaciones!$B$7:$R$2300,17,0)</f>
        <v>0</v>
      </c>
      <c r="R1117" s="117">
        <f>COUNTA(Modificaciones!T1117,Modificaciones!V1117,Modificaciones!X1117,Modificaciones!Z1117)</f>
        <v>0</v>
      </c>
      <c r="S1117" s="118" t="str">
        <f>IF(Modificaciones!AA1117=0,"",VLOOKUP(E1117,Modificaciones!$B$7:$AA$2400,26,0))</f>
        <v/>
      </c>
      <c r="T1117" s="119" t="str">
        <f>IF(Modificaciones!AB1117=0,"",VLOOKUP(E1117,Modificaciones!$B$7:$AB$2400,27,0))</f>
        <v/>
      </c>
      <c r="U1117" s="1080">
        <f>+Modificaciones!AC1117</f>
        <v>0</v>
      </c>
      <c r="V1117" s="825">
        <f>+Modificaciones!AK1117</f>
        <v>0</v>
      </c>
      <c r="W1117" s="825">
        <f t="shared" si="205"/>
        <v>0</v>
      </c>
      <c r="X1117" s="59">
        <f t="shared" si="206"/>
        <v>0</v>
      </c>
      <c r="Y1117" s="151">
        <f>VLOOKUP(E1117,Modificaciones!$B$7:$BE$2300,56,0)</f>
        <v>0</v>
      </c>
      <c r="Z1117" s="84">
        <f t="shared" si="207"/>
        <v>0</v>
      </c>
      <c r="AA1117" s="1000"/>
      <c r="AB1117" s="823" t="e">
        <f t="shared" si="208"/>
        <v>#DIV/0!</v>
      </c>
      <c r="AC1117" s="40" t="e">
        <f t="shared" ca="1" si="209"/>
        <v>#DIV/0!</v>
      </c>
      <c r="AD1117" s="41" t="e">
        <f t="shared" ca="1" si="210"/>
        <v>#DIV/0!</v>
      </c>
      <c r="AE1117" s="181" t="e">
        <f t="shared" ca="1" si="211"/>
        <v>#DIV/0!</v>
      </c>
      <c r="AF1117" s="42" t="e">
        <f t="shared" si="212"/>
        <v>#DIV/0!</v>
      </c>
      <c r="AG1117" s="838"/>
      <c r="AH1117" s="841"/>
      <c r="AI1117" s="841"/>
      <c r="AJ1117" s="838"/>
      <c r="AL1117" s="838"/>
      <c r="AM1117" s="838"/>
      <c r="AN1117" s="161" t="str">
        <f t="shared" ca="1" si="213"/>
        <v>TERMINO</v>
      </c>
      <c r="AO1117" s="414"/>
      <c r="AP1117" s="406"/>
      <c r="AQ1117" s="819" t="str">
        <f>IFERROR(VLOOKUP(E1117,'liquidaciones '!$B$2:$C$1048576,2,0),"NO")</f>
        <v>NO</v>
      </c>
      <c r="AR1117" s="909" t="str">
        <f>IFERROR(VLOOKUP(E1117,'liquidaciones '!$B$2:$I$1048576,8,0),"")</f>
        <v/>
      </c>
      <c r="AS1117" s="406"/>
      <c r="AT1117" s="156" t="str">
        <f t="shared" ca="1" si="214"/>
        <v>NO</v>
      </c>
      <c r="AU1117" s="1140"/>
      <c r="AV1117" s="1001"/>
      <c r="AX1117" s="928"/>
      <c r="AY1117" s="928"/>
    </row>
    <row r="1118" spans="3:51" x14ac:dyDescent="0.3">
      <c r="C1118" s="837"/>
      <c r="E1118" s="120"/>
      <c r="F1118" s="414"/>
      <c r="G1118" s="863"/>
      <c r="H1118" s="969"/>
      <c r="I1118" s="84"/>
      <c r="J1118" s="839"/>
      <c r="K1118" s="269"/>
      <c r="L1118" s="519"/>
      <c r="M1118" s="840"/>
      <c r="N1118" s="840"/>
      <c r="O1118" s="1099" t="str">
        <f>IF(+Modificaciones!I1118=0,"",VLOOKUP(E1118,Modificaciones!$B$7:$I$2400,8,0))</f>
        <v/>
      </c>
      <c r="P1118" s="115">
        <f>COUNTA(Modificaciones!J1118,Modificaciones!L1118,Modificaciones!N1118,Modificaciones!P1118)</f>
        <v>0</v>
      </c>
      <c r="Q1118" s="116">
        <f>VLOOKUP(E1118,Modificaciones!$B$7:$R$2300,17,0)</f>
        <v>0</v>
      </c>
      <c r="R1118" s="117">
        <f>COUNTA(Modificaciones!T1118,Modificaciones!V1118,Modificaciones!X1118,Modificaciones!Z1118)</f>
        <v>0</v>
      </c>
      <c r="S1118" s="118" t="str">
        <f>IF(Modificaciones!AA1118=0,"",VLOOKUP(E1118,Modificaciones!$B$7:$AA$2400,26,0))</f>
        <v/>
      </c>
      <c r="T1118" s="119" t="str">
        <f>IF(Modificaciones!AB1118=0,"",VLOOKUP(E1118,Modificaciones!$B$7:$AB$2400,27,0))</f>
        <v/>
      </c>
      <c r="U1118" s="1080">
        <f>+Modificaciones!AC1118</f>
        <v>0</v>
      </c>
      <c r="V1118" s="825">
        <f>+Modificaciones!AK1118</f>
        <v>0</v>
      </c>
      <c r="W1118" s="825">
        <f t="shared" si="205"/>
        <v>0</v>
      </c>
      <c r="X1118" s="59">
        <f t="shared" si="206"/>
        <v>0</v>
      </c>
      <c r="Y1118" s="151">
        <f>VLOOKUP(E1118,Modificaciones!$B$7:$BE$2300,56,0)</f>
        <v>0</v>
      </c>
      <c r="Z1118" s="84">
        <f t="shared" si="207"/>
        <v>0</v>
      </c>
      <c r="AA1118" s="1000"/>
      <c r="AB1118" s="823" t="e">
        <f t="shared" si="208"/>
        <v>#DIV/0!</v>
      </c>
      <c r="AC1118" s="40" t="e">
        <f t="shared" ca="1" si="209"/>
        <v>#DIV/0!</v>
      </c>
      <c r="AD1118" s="41" t="e">
        <f t="shared" ca="1" si="210"/>
        <v>#DIV/0!</v>
      </c>
      <c r="AE1118" s="181" t="e">
        <f t="shared" ca="1" si="211"/>
        <v>#DIV/0!</v>
      </c>
      <c r="AF1118" s="42" t="e">
        <f t="shared" si="212"/>
        <v>#DIV/0!</v>
      </c>
      <c r="AG1118" s="838"/>
      <c r="AH1118" s="841"/>
      <c r="AI1118" s="841"/>
      <c r="AJ1118" s="838"/>
      <c r="AL1118" s="838"/>
      <c r="AM1118" s="838"/>
      <c r="AN1118" s="161" t="str">
        <f t="shared" ca="1" si="213"/>
        <v>TERMINO</v>
      </c>
      <c r="AO1118" s="414"/>
      <c r="AP1118" s="406"/>
      <c r="AQ1118" s="819" t="str">
        <f>IFERROR(VLOOKUP(E1118,'liquidaciones '!$B$2:$C$1048576,2,0),"NO")</f>
        <v>NO</v>
      </c>
      <c r="AR1118" s="909" t="str">
        <f>IFERROR(VLOOKUP(E1118,'liquidaciones '!$B$2:$I$1048576,8,0),"")</f>
        <v/>
      </c>
      <c r="AS1118" s="406"/>
      <c r="AT1118" s="156" t="str">
        <f t="shared" ca="1" si="214"/>
        <v>NO</v>
      </c>
      <c r="AU1118" s="1140"/>
      <c r="AV1118" s="1001"/>
      <c r="AX1118" s="928"/>
      <c r="AY1118" s="928"/>
    </row>
    <row r="1119" spans="3:51" x14ac:dyDescent="0.3">
      <c r="C1119" s="837"/>
      <c r="E1119" s="120"/>
      <c r="F1119" s="414"/>
      <c r="G1119" s="863"/>
      <c r="H1119" s="969"/>
      <c r="I1119" s="84"/>
      <c r="J1119" s="839"/>
      <c r="K1119" s="269"/>
      <c r="L1119" s="519"/>
      <c r="M1119" s="840"/>
      <c r="N1119" s="840"/>
      <c r="O1119" s="1099" t="str">
        <f>IF(+Modificaciones!I1119=0,"",VLOOKUP(E1119,Modificaciones!$B$7:$I$2400,8,0))</f>
        <v/>
      </c>
      <c r="P1119" s="115">
        <f>COUNTA(Modificaciones!J1119,Modificaciones!L1119,Modificaciones!N1119,Modificaciones!P1119)</f>
        <v>0</v>
      </c>
      <c r="Q1119" s="116">
        <f>VLOOKUP(E1119,Modificaciones!$B$7:$R$2300,17,0)</f>
        <v>0</v>
      </c>
      <c r="R1119" s="117">
        <f>COUNTA(Modificaciones!T1119,Modificaciones!V1119,Modificaciones!X1119,Modificaciones!Z1119)</f>
        <v>0</v>
      </c>
      <c r="S1119" s="118" t="str">
        <f>IF(Modificaciones!AA1119=0,"",VLOOKUP(E1119,Modificaciones!$B$7:$AA$2400,26,0))</f>
        <v/>
      </c>
      <c r="T1119" s="119" t="str">
        <f>IF(Modificaciones!AB1119=0,"",VLOOKUP(E1119,Modificaciones!$B$7:$AB$2400,27,0))</f>
        <v/>
      </c>
      <c r="U1119" s="1080">
        <f>+Modificaciones!AC1119</f>
        <v>0</v>
      </c>
      <c r="V1119" s="825">
        <f>+Modificaciones!AK1119</f>
        <v>0</v>
      </c>
      <c r="W1119" s="825">
        <f t="shared" si="205"/>
        <v>0</v>
      </c>
      <c r="X1119" s="59">
        <f t="shared" si="206"/>
        <v>0</v>
      </c>
      <c r="Y1119" s="151">
        <f>VLOOKUP(E1119,Modificaciones!$B$7:$BE$2300,56,0)</f>
        <v>0</v>
      </c>
      <c r="Z1119" s="84">
        <f t="shared" si="207"/>
        <v>0</v>
      </c>
      <c r="AA1119" s="1000"/>
      <c r="AB1119" s="823" t="e">
        <f t="shared" si="208"/>
        <v>#DIV/0!</v>
      </c>
      <c r="AC1119" s="40" t="e">
        <f t="shared" ca="1" si="209"/>
        <v>#DIV/0!</v>
      </c>
      <c r="AD1119" s="41" t="e">
        <f t="shared" ca="1" si="210"/>
        <v>#DIV/0!</v>
      </c>
      <c r="AE1119" s="181" t="e">
        <f t="shared" ca="1" si="211"/>
        <v>#DIV/0!</v>
      </c>
      <c r="AF1119" s="42" t="e">
        <f t="shared" si="212"/>
        <v>#DIV/0!</v>
      </c>
      <c r="AG1119" s="838"/>
      <c r="AH1119" s="841"/>
      <c r="AI1119" s="841"/>
      <c r="AJ1119" s="838"/>
      <c r="AL1119" s="838"/>
      <c r="AM1119" s="838"/>
      <c r="AN1119" s="161" t="str">
        <f t="shared" ca="1" si="213"/>
        <v>TERMINO</v>
      </c>
      <c r="AO1119" s="414"/>
      <c r="AP1119" s="406"/>
      <c r="AQ1119" s="819" t="str">
        <f>IFERROR(VLOOKUP(E1119,'liquidaciones '!$B$2:$C$1048576,2,0),"NO")</f>
        <v>NO</v>
      </c>
      <c r="AR1119" s="909" t="str">
        <f>IFERROR(VLOOKUP(E1119,'liquidaciones '!$B$2:$I$1048576,8,0),"")</f>
        <v/>
      </c>
      <c r="AS1119" s="406"/>
      <c r="AT1119" s="156" t="str">
        <f t="shared" ca="1" si="214"/>
        <v>NO</v>
      </c>
      <c r="AU1119" s="1140"/>
      <c r="AV1119" s="1001"/>
      <c r="AX1119" s="928"/>
      <c r="AY1119" s="928"/>
    </row>
    <row r="1120" spans="3:51" x14ac:dyDescent="0.3">
      <c r="C1120" s="837"/>
      <c r="E1120" s="120"/>
      <c r="F1120" s="414"/>
      <c r="G1120" s="863"/>
      <c r="H1120" s="969"/>
      <c r="I1120" s="84"/>
      <c r="J1120" s="839"/>
      <c r="K1120" s="269"/>
      <c r="L1120" s="519"/>
      <c r="M1120" s="840"/>
      <c r="N1120" s="840"/>
      <c r="O1120" s="1099" t="str">
        <f>IF(+Modificaciones!I1120=0,"",VLOOKUP(E1120,Modificaciones!$B$7:$I$2400,8,0))</f>
        <v/>
      </c>
      <c r="P1120" s="115">
        <f>COUNTA(Modificaciones!J1120,Modificaciones!L1120,Modificaciones!N1120,Modificaciones!P1120)</f>
        <v>0</v>
      </c>
      <c r="Q1120" s="116">
        <f>VLOOKUP(E1120,Modificaciones!$B$7:$R$2300,17,0)</f>
        <v>0</v>
      </c>
      <c r="R1120" s="117">
        <f>COUNTA(Modificaciones!T1120,Modificaciones!V1120,Modificaciones!X1120,Modificaciones!Z1120)</f>
        <v>0</v>
      </c>
      <c r="S1120" s="118" t="str">
        <f>IF(Modificaciones!AA1120=0,"",VLOOKUP(E1120,Modificaciones!$B$7:$AA$2400,26,0))</f>
        <v/>
      </c>
      <c r="T1120" s="119" t="str">
        <f>IF(Modificaciones!AB1120=0,"",VLOOKUP(E1120,Modificaciones!$B$7:$AB$2400,27,0))</f>
        <v/>
      </c>
      <c r="U1120" s="1080">
        <f>+Modificaciones!AC1120</f>
        <v>0</v>
      </c>
      <c r="V1120" s="825">
        <f>+Modificaciones!AK1120</f>
        <v>0</v>
      </c>
      <c r="W1120" s="825">
        <f t="shared" si="205"/>
        <v>0</v>
      </c>
      <c r="X1120" s="59">
        <f t="shared" si="206"/>
        <v>0</v>
      </c>
      <c r="Y1120" s="151">
        <f>VLOOKUP(E1120,Modificaciones!$B$7:$BE$2300,56,0)</f>
        <v>0</v>
      </c>
      <c r="Z1120" s="84">
        <f t="shared" si="207"/>
        <v>0</v>
      </c>
      <c r="AA1120" s="1000"/>
      <c r="AB1120" s="823" t="e">
        <f t="shared" si="208"/>
        <v>#DIV/0!</v>
      </c>
      <c r="AC1120" s="40" t="e">
        <f t="shared" ca="1" si="209"/>
        <v>#DIV/0!</v>
      </c>
      <c r="AD1120" s="41" t="e">
        <f t="shared" ca="1" si="210"/>
        <v>#DIV/0!</v>
      </c>
      <c r="AE1120" s="181" t="e">
        <f t="shared" ca="1" si="211"/>
        <v>#DIV/0!</v>
      </c>
      <c r="AF1120" s="42" t="e">
        <f t="shared" si="212"/>
        <v>#DIV/0!</v>
      </c>
      <c r="AG1120" s="838"/>
      <c r="AH1120" s="841"/>
      <c r="AI1120" s="841"/>
      <c r="AJ1120" s="838"/>
      <c r="AL1120" s="838"/>
      <c r="AM1120" s="838"/>
      <c r="AN1120" s="161" t="str">
        <f t="shared" ca="1" si="213"/>
        <v>TERMINO</v>
      </c>
      <c r="AO1120" s="414"/>
      <c r="AP1120" s="406"/>
      <c r="AQ1120" s="819" t="str">
        <f>IFERROR(VLOOKUP(E1120,'liquidaciones '!$B$2:$C$1048576,2,0),"NO")</f>
        <v>NO</v>
      </c>
      <c r="AR1120" s="909" t="str">
        <f>IFERROR(VLOOKUP(E1120,'liquidaciones '!$B$2:$I$1048576,8,0),"")</f>
        <v/>
      </c>
      <c r="AS1120" s="406"/>
      <c r="AT1120" s="156" t="str">
        <f t="shared" ca="1" si="214"/>
        <v>NO</v>
      </c>
      <c r="AU1120" s="1140"/>
      <c r="AV1120" s="1001"/>
      <c r="AX1120" s="928"/>
      <c r="AY1120" s="928"/>
    </row>
    <row r="1121" spans="3:51" x14ac:dyDescent="0.3">
      <c r="C1121" s="837"/>
      <c r="E1121" s="120"/>
      <c r="F1121" s="414"/>
      <c r="G1121" s="863"/>
      <c r="H1121" s="969"/>
      <c r="I1121" s="84"/>
      <c r="J1121" s="839"/>
      <c r="K1121" s="269"/>
      <c r="L1121" s="519"/>
      <c r="M1121" s="840"/>
      <c r="N1121" s="840"/>
      <c r="O1121" s="1099" t="str">
        <f>IF(+Modificaciones!I1121=0,"",VLOOKUP(E1121,Modificaciones!$B$7:$I$2400,8,0))</f>
        <v/>
      </c>
      <c r="P1121" s="115">
        <f>COUNTA(Modificaciones!J1121,Modificaciones!L1121,Modificaciones!N1121,Modificaciones!P1121)</f>
        <v>0</v>
      </c>
      <c r="Q1121" s="116">
        <f>VLOOKUP(E1121,Modificaciones!$B$7:$R$2300,17,0)</f>
        <v>0</v>
      </c>
      <c r="R1121" s="117">
        <f>COUNTA(Modificaciones!T1121,Modificaciones!V1121,Modificaciones!X1121,Modificaciones!Z1121)</f>
        <v>0</v>
      </c>
      <c r="S1121" s="118" t="str">
        <f>IF(Modificaciones!AA1121=0,"",VLOOKUP(E1121,Modificaciones!$B$7:$AA$2400,26,0))</f>
        <v/>
      </c>
      <c r="T1121" s="119" t="str">
        <f>IF(Modificaciones!AB1121=0,"",VLOOKUP(E1121,Modificaciones!$B$7:$AB$2400,27,0))</f>
        <v/>
      </c>
      <c r="U1121" s="1080">
        <f>+Modificaciones!AC1121</f>
        <v>0</v>
      </c>
      <c r="V1121" s="825">
        <f>+Modificaciones!AK1121</f>
        <v>0</v>
      </c>
      <c r="W1121" s="825">
        <f t="shared" si="205"/>
        <v>0</v>
      </c>
      <c r="X1121" s="59">
        <f t="shared" si="206"/>
        <v>0</v>
      </c>
      <c r="Y1121" s="151">
        <f>VLOOKUP(E1121,Modificaciones!$B$7:$BE$2300,56,0)</f>
        <v>0</v>
      </c>
      <c r="Z1121" s="84">
        <f t="shared" si="207"/>
        <v>0</v>
      </c>
      <c r="AA1121" s="1000"/>
      <c r="AB1121" s="823" t="e">
        <f t="shared" si="208"/>
        <v>#DIV/0!</v>
      </c>
      <c r="AC1121" s="40" t="e">
        <f t="shared" ca="1" si="209"/>
        <v>#DIV/0!</v>
      </c>
      <c r="AD1121" s="41" t="e">
        <f t="shared" ca="1" si="210"/>
        <v>#DIV/0!</v>
      </c>
      <c r="AE1121" s="181" t="e">
        <f t="shared" ca="1" si="211"/>
        <v>#DIV/0!</v>
      </c>
      <c r="AF1121" s="42" t="e">
        <f t="shared" si="212"/>
        <v>#DIV/0!</v>
      </c>
      <c r="AG1121" s="838"/>
      <c r="AH1121" s="841"/>
      <c r="AI1121" s="841"/>
      <c r="AJ1121" s="838"/>
      <c r="AL1121" s="838"/>
      <c r="AM1121" s="838"/>
      <c r="AN1121" s="161" t="str">
        <f t="shared" ca="1" si="213"/>
        <v>TERMINO</v>
      </c>
      <c r="AO1121" s="414"/>
      <c r="AP1121" s="406"/>
      <c r="AQ1121" s="819" t="str">
        <f>IFERROR(VLOOKUP(E1121,'liquidaciones '!$B$2:$C$1048576,2,0),"NO")</f>
        <v>NO</v>
      </c>
      <c r="AR1121" s="909" t="str">
        <f>IFERROR(VLOOKUP(E1121,'liquidaciones '!$B$2:$I$1048576,8,0),"")</f>
        <v/>
      </c>
      <c r="AS1121" s="406"/>
      <c r="AT1121" s="156" t="str">
        <f t="shared" ca="1" si="214"/>
        <v>NO</v>
      </c>
      <c r="AU1121" s="1140"/>
      <c r="AV1121" s="1001"/>
      <c r="AX1121" s="928"/>
      <c r="AY1121" s="928"/>
    </row>
    <row r="1122" spans="3:51" x14ac:dyDescent="0.3">
      <c r="C1122" s="837"/>
      <c r="E1122" s="120"/>
      <c r="F1122" s="414"/>
      <c r="G1122" s="863"/>
      <c r="H1122" s="969"/>
      <c r="I1122" s="84"/>
      <c r="J1122" s="839"/>
      <c r="K1122" s="269"/>
      <c r="L1122" s="519"/>
      <c r="M1122" s="840"/>
      <c r="N1122" s="840"/>
      <c r="O1122" s="1099" t="str">
        <f>IF(+Modificaciones!I1122=0,"",VLOOKUP(E1122,Modificaciones!$B$7:$I$2400,8,0))</f>
        <v/>
      </c>
      <c r="P1122" s="115">
        <f>COUNTA(Modificaciones!J1122,Modificaciones!L1122,Modificaciones!N1122,Modificaciones!P1122)</f>
        <v>0</v>
      </c>
      <c r="Q1122" s="116">
        <f>VLOOKUP(E1122,Modificaciones!$B$7:$R$2300,17,0)</f>
        <v>0</v>
      </c>
      <c r="R1122" s="117">
        <f>COUNTA(Modificaciones!T1122,Modificaciones!V1122,Modificaciones!X1122,Modificaciones!Z1122)</f>
        <v>0</v>
      </c>
      <c r="S1122" s="118" t="str">
        <f>IF(Modificaciones!AA1122=0,"",VLOOKUP(E1122,Modificaciones!$B$7:$AA$2400,26,0))</f>
        <v/>
      </c>
      <c r="T1122" s="119" t="str">
        <f>IF(Modificaciones!AB1122=0,"",VLOOKUP(E1122,Modificaciones!$B$7:$AB$2400,27,0))</f>
        <v/>
      </c>
      <c r="U1122" s="1080">
        <f>+Modificaciones!AC1122</f>
        <v>0</v>
      </c>
      <c r="V1122" s="825">
        <f>+Modificaciones!AK1122</f>
        <v>0</v>
      </c>
      <c r="W1122" s="825">
        <f t="shared" si="205"/>
        <v>0</v>
      </c>
      <c r="X1122" s="59">
        <f t="shared" si="206"/>
        <v>0</v>
      </c>
      <c r="Y1122" s="151">
        <f>VLOOKUP(E1122,Modificaciones!$B$7:$BE$2300,56,0)</f>
        <v>0</v>
      </c>
      <c r="Z1122" s="84">
        <f t="shared" si="207"/>
        <v>0</v>
      </c>
      <c r="AA1122" s="1000"/>
      <c r="AB1122" s="823" t="e">
        <f t="shared" si="208"/>
        <v>#DIV/0!</v>
      </c>
      <c r="AC1122" s="40" t="e">
        <f t="shared" ca="1" si="209"/>
        <v>#DIV/0!</v>
      </c>
      <c r="AD1122" s="41" t="e">
        <f t="shared" ca="1" si="210"/>
        <v>#DIV/0!</v>
      </c>
      <c r="AE1122" s="181" t="e">
        <f t="shared" ca="1" si="211"/>
        <v>#DIV/0!</v>
      </c>
      <c r="AF1122" s="42" t="e">
        <f t="shared" si="212"/>
        <v>#DIV/0!</v>
      </c>
      <c r="AG1122" s="838"/>
      <c r="AH1122" s="841"/>
      <c r="AI1122" s="841"/>
      <c r="AJ1122" s="838"/>
      <c r="AL1122" s="838"/>
      <c r="AM1122" s="838"/>
      <c r="AN1122" s="161" t="str">
        <f t="shared" ca="1" si="213"/>
        <v>TERMINO</v>
      </c>
      <c r="AO1122" s="414"/>
      <c r="AP1122" s="406"/>
      <c r="AQ1122" s="819" t="str">
        <f>IFERROR(VLOOKUP(E1122,'liquidaciones '!$B$2:$C$1048576,2,0),"NO")</f>
        <v>NO</v>
      </c>
      <c r="AR1122" s="909" t="str">
        <f>IFERROR(VLOOKUP(E1122,'liquidaciones '!$B$2:$I$1048576,8,0),"")</f>
        <v/>
      </c>
      <c r="AS1122" s="406"/>
      <c r="AT1122" s="156" t="str">
        <f t="shared" ca="1" si="214"/>
        <v>NO</v>
      </c>
      <c r="AU1122" s="1140"/>
      <c r="AV1122" s="1001"/>
      <c r="AX1122" s="928"/>
      <c r="AY1122" s="928"/>
    </row>
    <row r="1123" spans="3:51" x14ac:dyDescent="0.3">
      <c r="C1123" s="837"/>
      <c r="E1123" s="120"/>
      <c r="F1123" s="414"/>
      <c r="G1123" s="863"/>
      <c r="H1123" s="969"/>
      <c r="I1123" s="84"/>
      <c r="J1123" s="839"/>
      <c r="K1123" s="269"/>
      <c r="L1123" s="519"/>
      <c r="M1123" s="840"/>
      <c r="N1123" s="840"/>
      <c r="O1123" s="1099" t="str">
        <f>IF(+Modificaciones!I1123=0,"",VLOOKUP(E1123,Modificaciones!$B$7:$I$2400,8,0))</f>
        <v/>
      </c>
      <c r="P1123" s="115">
        <f>COUNTA(Modificaciones!J1123,Modificaciones!L1123,Modificaciones!N1123,Modificaciones!P1123)</f>
        <v>0</v>
      </c>
      <c r="Q1123" s="116">
        <f>VLOOKUP(E1123,Modificaciones!$B$7:$R$2300,17,0)</f>
        <v>0</v>
      </c>
      <c r="R1123" s="117">
        <f>COUNTA(Modificaciones!T1123,Modificaciones!V1123,Modificaciones!X1123,Modificaciones!Z1123)</f>
        <v>0</v>
      </c>
      <c r="S1123" s="118" t="str">
        <f>IF(Modificaciones!AA1123=0,"",VLOOKUP(E1123,Modificaciones!$B$7:$AA$2400,26,0))</f>
        <v/>
      </c>
      <c r="T1123" s="119" t="str">
        <f>IF(Modificaciones!AB1123=0,"",VLOOKUP(E1123,Modificaciones!$B$7:$AB$2400,27,0))</f>
        <v/>
      </c>
      <c r="U1123" s="1080">
        <f>+Modificaciones!AC1123</f>
        <v>0</v>
      </c>
      <c r="V1123" s="825">
        <f>+Modificaciones!AK1123</f>
        <v>0</v>
      </c>
      <c r="W1123" s="825">
        <f t="shared" si="205"/>
        <v>0</v>
      </c>
      <c r="X1123" s="59">
        <f t="shared" si="206"/>
        <v>0</v>
      </c>
      <c r="Y1123" s="151">
        <f>VLOOKUP(E1123,Modificaciones!$B$7:$BE$2300,56,0)</f>
        <v>0</v>
      </c>
      <c r="Z1123" s="84">
        <f t="shared" si="207"/>
        <v>0</v>
      </c>
      <c r="AA1123" s="1000"/>
      <c r="AB1123" s="823" t="e">
        <f t="shared" si="208"/>
        <v>#DIV/0!</v>
      </c>
      <c r="AC1123" s="40" t="e">
        <f t="shared" ca="1" si="209"/>
        <v>#DIV/0!</v>
      </c>
      <c r="AD1123" s="41" t="e">
        <f t="shared" ca="1" si="210"/>
        <v>#DIV/0!</v>
      </c>
      <c r="AE1123" s="181" t="e">
        <f t="shared" ca="1" si="211"/>
        <v>#DIV/0!</v>
      </c>
      <c r="AF1123" s="42" t="e">
        <f t="shared" si="212"/>
        <v>#DIV/0!</v>
      </c>
      <c r="AG1123" s="838"/>
      <c r="AH1123" s="841"/>
      <c r="AI1123" s="841"/>
      <c r="AJ1123" s="838"/>
      <c r="AL1123" s="838"/>
      <c r="AM1123" s="838"/>
      <c r="AN1123" s="161" t="str">
        <f t="shared" ca="1" si="213"/>
        <v>TERMINO</v>
      </c>
      <c r="AO1123" s="414"/>
      <c r="AP1123" s="406"/>
      <c r="AQ1123" s="819" t="str">
        <f>IFERROR(VLOOKUP(E1123,'liquidaciones '!$B$2:$C$1048576,2,0),"NO")</f>
        <v>NO</v>
      </c>
      <c r="AR1123" s="909" t="str">
        <f>IFERROR(VLOOKUP(E1123,'liquidaciones '!$B$2:$I$1048576,8,0),"")</f>
        <v/>
      </c>
      <c r="AS1123" s="406"/>
      <c r="AT1123" s="156" t="str">
        <f t="shared" ca="1" si="214"/>
        <v>NO</v>
      </c>
      <c r="AU1123" s="1140"/>
      <c r="AV1123" s="1001"/>
      <c r="AX1123" s="928"/>
      <c r="AY1123" s="928"/>
    </row>
    <row r="1124" spans="3:51" x14ac:dyDescent="0.3">
      <c r="C1124" s="837"/>
      <c r="E1124" s="120"/>
      <c r="F1124" s="414"/>
      <c r="G1124" s="863"/>
      <c r="H1124" s="969"/>
      <c r="I1124" s="84"/>
      <c r="J1124" s="839"/>
      <c r="K1124" s="269"/>
      <c r="L1124" s="519"/>
      <c r="M1124" s="840"/>
      <c r="N1124" s="840"/>
      <c r="O1124" s="1099" t="str">
        <f>IF(+Modificaciones!I1124=0,"",VLOOKUP(E1124,Modificaciones!$B$7:$I$2400,8,0))</f>
        <v/>
      </c>
      <c r="P1124" s="115">
        <f>COUNTA(Modificaciones!J1124,Modificaciones!L1124,Modificaciones!N1124,Modificaciones!P1124)</f>
        <v>0</v>
      </c>
      <c r="Q1124" s="116">
        <f>VLOOKUP(E1124,Modificaciones!$B$7:$R$2300,17,0)</f>
        <v>0</v>
      </c>
      <c r="R1124" s="117">
        <f>COUNTA(Modificaciones!T1124,Modificaciones!V1124,Modificaciones!X1124,Modificaciones!Z1124)</f>
        <v>0</v>
      </c>
      <c r="S1124" s="118" t="str">
        <f>IF(Modificaciones!AA1124=0,"",VLOOKUP(E1124,Modificaciones!$B$7:$AA$2400,26,0))</f>
        <v/>
      </c>
      <c r="T1124" s="119" t="str">
        <f>IF(Modificaciones!AB1124=0,"",VLOOKUP(E1124,Modificaciones!$B$7:$AB$2400,27,0))</f>
        <v/>
      </c>
      <c r="U1124" s="1080">
        <f>+Modificaciones!AC1124</f>
        <v>0</v>
      </c>
      <c r="V1124" s="825">
        <f>+Modificaciones!AK1124</f>
        <v>0</v>
      </c>
      <c r="W1124" s="825">
        <f t="shared" si="205"/>
        <v>0</v>
      </c>
      <c r="X1124" s="59">
        <f t="shared" si="206"/>
        <v>0</v>
      </c>
      <c r="Y1124" s="151">
        <f>VLOOKUP(E1124,Modificaciones!$B$7:$BE$2300,56,0)</f>
        <v>0</v>
      </c>
      <c r="Z1124" s="84">
        <f t="shared" si="207"/>
        <v>0</v>
      </c>
      <c r="AA1124" s="1000"/>
      <c r="AB1124" s="823" t="e">
        <f t="shared" si="208"/>
        <v>#DIV/0!</v>
      </c>
      <c r="AC1124" s="40" t="e">
        <f t="shared" ca="1" si="209"/>
        <v>#DIV/0!</v>
      </c>
      <c r="AD1124" s="41" t="e">
        <f t="shared" ca="1" si="210"/>
        <v>#DIV/0!</v>
      </c>
      <c r="AE1124" s="181" t="e">
        <f t="shared" ca="1" si="211"/>
        <v>#DIV/0!</v>
      </c>
      <c r="AF1124" s="42" t="e">
        <f t="shared" si="212"/>
        <v>#DIV/0!</v>
      </c>
      <c r="AG1124" s="838"/>
      <c r="AH1124" s="841"/>
      <c r="AI1124" s="841"/>
      <c r="AJ1124" s="838"/>
      <c r="AL1124" s="838"/>
      <c r="AM1124" s="838"/>
      <c r="AN1124" s="161" t="str">
        <f t="shared" ca="1" si="213"/>
        <v>TERMINO</v>
      </c>
      <c r="AO1124" s="414"/>
      <c r="AP1124" s="406"/>
      <c r="AQ1124" s="819" t="str">
        <f>IFERROR(VLOOKUP(E1124,'liquidaciones '!$B$2:$C$1048576,2,0),"NO")</f>
        <v>NO</v>
      </c>
      <c r="AR1124" s="909" t="str">
        <f>IFERROR(VLOOKUP(E1124,'liquidaciones '!$B$2:$I$1048576,8,0),"")</f>
        <v/>
      </c>
      <c r="AS1124" s="406"/>
      <c r="AT1124" s="156" t="str">
        <f t="shared" ca="1" si="214"/>
        <v>NO</v>
      </c>
      <c r="AU1124" s="1140"/>
      <c r="AV1124" s="1001"/>
      <c r="AX1124" s="928"/>
      <c r="AY1124" s="928"/>
    </row>
    <row r="1125" spans="3:51" x14ac:dyDescent="0.3">
      <c r="C1125" s="837"/>
      <c r="E1125" s="120"/>
      <c r="F1125" s="414"/>
      <c r="G1125" s="863"/>
      <c r="H1125" s="969"/>
      <c r="I1125" s="84"/>
      <c r="J1125" s="839"/>
      <c r="K1125" s="269"/>
      <c r="L1125" s="519"/>
      <c r="M1125" s="840"/>
      <c r="N1125" s="840"/>
      <c r="O1125" s="1099" t="str">
        <f>IF(+Modificaciones!I1125=0,"",VLOOKUP(E1125,Modificaciones!$B$7:$I$2400,8,0))</f>
        <v/>
      </c>
      <c r="P1125" s="115">
        <f>COUNTA(Modificaciones!J1125,Modificaciones!L1125,Modificaciones!N1125,Modificaciones!P1125)</f>
        <v>0</v>
      </c>
      <c r="Q1125" s="116">
        <f>VLOOKUP(E1125,Modificaciones!$B$7:$R$2300,17,0)</f>
        <v>0</v>
      </c>
      <c r="R1125" s="117">
        <f>COUNTA(Modificaciones!T1125,Modificaciones!V1125,Modificaciones!X1125,Modificaciones!Z1125)</f>
        <v>0</v>
      </c>
      <c r="S1125" s="118" t="str">
        <f>IF(Modificaciones!AA1125=0,"",VLOOKUP(E1125,Modificaciones!$B$7:$AA$2400,26,0))</f>
        <v/>
      </c>
      <c r="T1125" s="119" t="str">
        <f>IF(Modificaciones!AB1125=0,"",VLOOKUP(E1125,Modificaciones!$B$7:$AB$2400,27,0))</f>
        <v/>
      </c>
      <c r="U1125" s="1080">
        <f>+Modificaciones!AC1125</f>
        <v>0</v>
      </c>
      <c r="V1125" s="825">
        <f>+Modificaciones!AK1125</f>
        <v>0</v>
      </c>
      <c r="W1125" s="825">
        <f t="shared" si="205"/>
        <v>0</v>
      </c>
      <c r="X1125" s="59">
        <f t="shared" si="206"/>
        <v>0</v>
      </c>
      <c r="Y1125" s="151">
        <f>VLOOKUP(E1125,Modificaciones!$B$7:$BE$2300,56,0)</f>
        <v>0</v>
      </c>
      <c r="Z1125" s="84">
        <f t="shared" si="207"/>
        <v>0</v>
      </c>
      <c r="AA1125" s="1000"/>
      <c r="AB1125" s="823" t="e">
        <f t="shared" si="208"/>
        <v>#DIV/0!</v>
      </c>
      <c r="AC1125" s="40" t="e">
        <f t="shared" ca="1" si="209"/>
        <v>#DIV/0!</v>
      </c>
      <c r="AD1125" s="41" t="e">
        <f t="shared" ca="1" si="210"/>
        <v>#DIV/0!</v>
      </c>
      <c r="AE1125" s="181" t="e">
        <f t="shared" ca="1" si="211"/>
        <v>#DIV/0!</v>
      </c>
      <c r="AF1125" s="42" t="e">
        <f t="shared" si="212"/>
        <v>#DIV/0!</v>
      </c>
      <c r="AG1125" s="838"/>
      <c r="AH1125" s="841"/>
      <c r="AI1125" s="841"/>
      <c r="AJ1125" s="838"/>
      <c r="AL1125" s="838"/>
      <c r="AM1125" s="838"/>
      <c r="AN1125" s="161" t="str">
        <f t="shared" ca="1" si="213"/>
        <v>TERMINO</v>
      </c>
      <c r="AO1125" s="414"/>
      <c r="AP1125" s="406"/>
      <c r="AQ1125" s="819" t="str">
        <f>IFERROR(VLOOKUP(E1125,'liquidaciones '!$B$2:$C$1048576,2,0),"NO")</f>
        <v>NO</v>
      </c>
      <c r="AR1125" s="909" t="str">
        <f>IFERROR(VLOOKUP(E1125,'liquidaciones '!$B$2:$I$1048576,8,0),"")</f>
        <v/>
      </c>
      <c r="AS1125" s="406"/>
      <c r="AT1125" s="156" t="str">
        <f t="shared" ca="1" si="214"/>
        <v>NO</v>
      </c>
      <c r="AU1125" s="1140"/>
      <c r="AV1125" s="1001"/>
      <c r="AX1125" s="928"/>
      <c r="AY1125" s="928"/>
    </row>
    <row r="1126" spans="3:51" x14ac:dyDescent="0.3">
      <c r="C1126" s="837"/>
      <c r="E1126" s="120"/>
      <c r="F1126" s="414"/>
      <c r="G1126" s="863"/>
      <c r="H1126" s="969"/>
      <c r="I1126" s="84"/>
      <c r="J1126" s="839"/>
      <c r="K1126" s="269"/>
      <c r="L1126" s="519"/>
      <c r="M1126" s="840"/>
      <c r="N1126" s="840"/>
      <c r="O1126" s="1099" t="str">
        <f>IF(+Modificaciones!I1126=0,"",VLOOKUP(E1126,Modificaciones!$B$7:$I$2400,8,0))</f>
        <v/>
      </c>
      <c r="P1126" s="115">
        <f>COUNTA(Modificaciones!J1126,Modificaciones!L1126,Modificaciones!N1126,Modificaciones!P1126)</f>
        <v>0</v>
      </c>
      <c r="Q1126" s="116">
        <f>VLOOKUP(E1126,Modificaciones!$B$7:$R$2300,17,0)</f>
        <v>0</v>
      </c>
      <c r="R1126" s="117">
        <f>COUNTA(Modificaciones!T1126,Modificaciones!V1126,Modificaciones!X1126,Modificaciones!Z1126)</f>
        <v>0</v>
      </c>
      <c r="S1126" s="118" t="str">
        <f>IF(Modificaciones!AA1126=0,"",VLOOKUP(E1126,Modificaciones!$B$7:$AA$2400,26,0))</f>
        <v/>
      </c>
      <c r="T1126" s="119" t="str">
        <f>IF(Modificaciones!AB1126=0,"",VLOOKUP(E1126,Modificaciones!$B$7:$AB$2400,27,0))</f>
        <v/>
      </c>
      <c r="U1126" s="1080">
        <f>+Modificaciones!AC1126</f>
        <v>0</v>
      </c>
      <c r="V1126" s="825">
        <f>+Modificaciones!AK1126</f>
        <v>0</v>
      </c>
      <c r="W1126" s="825">
        <f t="shared" si="205"/>
        <v>0</v>
      </c>
      <c r="X1126" s="59">
        <f t="shared" si="206"/>
        <v>0</v>
      </c>
      <c r="Y1126" s="151">
        <f>VLOOKUP(E1126,Modificaciones!$B$7:$BE$2300,56,0)</f>
        <v>0</v>
      </c>
      <c r="Z1126" s="84">
        <f t="shared" si="207"/>
        <v>0</v>
      </c>
      <c r="AA1126" s="1000"/>
      <c r="AB1126" s="823" t="e">
        <f t="shared" si="208"/>
        <v>#DIV/0!</v>
      </c>
      <c r="AC1126" s="40" t="e">
        <f t="shared" ca="1" si="209"/>
        <v>#DIV/0!</v>
      </c>
      <c r="AD1126" s="41" t="e">
        <f t="shared" ca="1" si="210"/>
        <v>#DIV/0!</v>
      </c>
      <c r="AE1126" s="181" t="e">
        <f t="shared" ca="1" si="211"/>
        <v>#DIV/0!</v>
      </c>
      <c r="AF1126" s="42" t="e">
        <f t="shared" si="212"/>
        <v>#DIV/0!</v>
      </c>
      <c r="AG1126" s="838"/>
      <c r="AH1126" s="841"/>
      <c r="AI1126" s="841"/>
      <c r="AJ1126" s="838"/>
      <c r="AL1126" s="838"/>
      <c r="AM1126" s="838"/>
      <c r="AN1126" s="161" t="str">
        <f t="shared" ca="1" si="213"/>
        <v>TERMINO</v>
      </c>
      <c r="AO1126" s="414"/>
      <c r="AP1126" s="406"/>
      <c r="AQ1126" s="819" t="str">
        <f>IFERROR(VLOOKUP(E1126,'liquidaciones '!$B$2:$C$1048576,2,0),"NO")</f>
        <v>NO</v>
      </c>
      <c r="AR1126" s="909" t="str">
        <f>IFERROR(VLOOKUP(E1126,'liquidaciones '!$B$2:$I$1048576,8,0),"")</f>
        <v/>
      </c>
      <c r="AS1126" s="406"/>
      <c r="AT1126" s="156" t="str">
        <f t="shared" ca="1" si="214"/>
        <v>NO</v>
      </c>
      <c r="AU1126" s="1140"/>
      <c r="AV1126" s="1001"/>
      <c r="AX1126" s="928"/>
      <c r="AY1126" s="928"/>
    </row>
    <row r="1127" spans="3:51" x14ac:dyDescent="0.3">
      <c r="C1127" s="837"/>
      <c r="E1127" s="120"/>
      <c r="F1127" s="414"/>
      <c r="G1127" s="863"/>
      <c r="H1127" s="969"/>
      <c r="I1127" s="84"/>
      <c r="J1127" s="839"/>
      <c r="K1127" s="269"/>
      <c r="L1127" s="519"/>
      <c r="M1127" s="840"/>
      <c r="N1127" s="840"/>
      <c r="O1127" s="1099" t="str">
        <f>IF(+Modificaciones!I1127=0,"",VLOOKUP(E1127,Modificaciones!$B$7:$I$2400,8,0))</f>
        <v/>
      </c>
      <c r="P1127" s="115">
        <f>COUNTA(Modificaciones!J1127,Modificaciones!L1127,Modificaciones!N1127,Modificaciones!P1127)</f>
        <v>0</v>
      </c>
      <c r="Q1127" s="116">
        <f>VLOOKUP(E1127,Modificaciones!$B$7:$R$2300,17,0)</f>
        <v>0</v>
      </c>
      <c r="R1127" s="117">
        <f>COUNTA(Modificaciones!T1127,Modificaciones!V1127,Modificaciones!X1127,Modificaciones!Z1127)</f>
        <v>0</v>
      </c>
      <c r="S1127" s="118" t="str">
        <f>IF(Modificaciones!AA1127=0,"",VLOOKUP(E1127,Modificaciones!$B$7:$AA$2400,26,0))</f>
        <v/>
      </c>
      <c r="T1127" s="119" t="str">
        <f>IF(Modificaciones!AB1127=0,"",VLOOKUP(E1127,Modificaciones!$B$7:$AB$2400,27,0))</f>
        <v/>
      </c>
      <c r="U1127" s="1080">
        <f>+Modificaciones!AC1127</f>
        <v>0</v>
      </c>
      <c r="V1127" s="825">
        <f>+Modificaciones!AK1127</f>
        <v>0</v>
      </c>
      <c r="W1127" s="825">
        <f t="shared" si="205"/>
        <v>0</v>
      </c>
      <c r="X1127" s="59">
        <f t="shared" si="206"/>
        <v>0</v>
      </c>
      <c r="Y1127" s="151">
        <f>VLOOKUP(E1127,Modificaciones!$B$7:$BE$2300,56,0)</f>
        <v>0</v>
      </c>
      <c r="Z1127" s="84">
        <f t="shared" si="207"/>
        <v>0</v>
      </c>
      <c r="AA1127" s="1000"/>
      <c r="AB1127" s="823" t="e">
        <f t="shared" si="208"/>
        <v>#DIV/0!</v>
      </c>
      <c r="AC1127" s="40" t="e">
        <f t="shared" ca="1" si="209"/>
        <v>#DIV/0!</v>
      </c>
      <c r="AD1127" s="41" t="e">
        <f t="shared" ca="1" si="210"/>
        <v>#DIV/0!</v>
      </c>
      <c r="AE1127" s="181" t="e">
        <f t="shared" ca="1" si="211"/>
        <v>#DIV/0!</v>
      </c>
      <c r="AF1127" s="42" t="e">
        <f t="shared" si="212"/>
        <v>#DIV/0!</v>
      </c>
      <c r="AG1127" s="838"/>
      <c r="AH1127" s="841"/>
      <c r="AI1127" s="841"/>
      <c r="AJ1127" s="838"/>
      <c r="AL1127" s="838"/>
      <c r="AM1127" s="838"/>
      <c r="AN1127" s="161" t="str">
        <f t="shared" ca="1" si="213"/>
        <v>TERMINO</v>
      </c>
      <c r="AO1127" s="414"/>
      <c r="AP1127" s="406"/>
      <c r="AQ1127" s="819" t="str">
        <f>IFERROR(VLOOKUP(E1127,'liquidaciones '!$B$2:$C$1048576,2,0),"NO")</f>
        <v>NO</v>
      </c>
      <c r="AR1127" s="909" t="str">
        <f>IFERROR(VLOOKUP(E1127,'liquidaciones '!$B$2:$I$1048576,8,0),"")</f>
        <v/>
      </c>
      <c r="AS1127" s="406"/>
      <c r="AT1127" s="156" t="str">
        <f t="shared" ca="1" si="214"/>
        <v>NO</v>
      </c>
      <c r="AU1127" s="1140"/>
      <c r="AV1127" s="1001"/>
      <c r="AX1127" s="928"/>
      <c r="AY1127" s="928"/>
    </row>
    <row r="1128" spans="3:51" x14ac:dyDescent="0.3">
      <c r="C1128" s="837"/>
      <c r="E1128" s="120"/>
      <c r="F1128" s="414"/>
      <c r="G1128" s="863"/>
      <c r="H1128" s="969"/>
      <c r="I1128" s="84"/>
      <c r="J1128" s="839"/>
      <c r="K1128" s="269"/>
      <c r="L1128" s="519"/>
      <c r="M1128" s="840"/>
      <c r="N1128" s="840"/>
      <c r="O1128" s="1099" t="str">
        <f>IF(+Modificaciones!I1128=0,"",VLOOKUP(E1128,Modificaciones!$B$7:$I$2400,8,0))</f>
        <v/>
      </c>
      <c r="P1128" s="115">
        <f>COUNTA(Modificaciones!J1128,Modificaciones!L1128,Modificaciones!N1128,Modificaciones!P1128)</f>
        <v>0</v>
      </c>
      <c r="Q1128" s="116">
        <f>VLOOKUP(E1128,Modificaciones!$B$7:$R$2300,17,0)</f>
        <v>0</v>
      </c>
      <c r="R1128" s="117">
        <f>COUNTA(Modificaciones!T1128,Modificaciones!V1128,Modificaciones!X1128,Modificaciones!Z1128)</f>
        <v>0</v>
      </c>
      <c r="S1128" s="118" t="str">
        <f>IF(Modificaciones!AA1128=0,"",VLOOKUP(E1128,Modificaciones!$B$7:$AA$2400,26,0))</f>
        <v/>
      </c>
      <c r="T1128" s="119" t="str">
        <f>IF(Modificaciones!AB1128=0,"",VLOOKUP(E1128,Modificaciones!$B$7:$AB$2400,27,0))</f>
        <v/>
      </c>
      <c r="U1128" s="1080">
        <f>+Modificaciones!AC1128</f>
        <v>0</v>
      </c>
      <c r="V1128" s="825">
        <f>+Modificaciones!AK1128</f>
        <v>0</v>
      </c>
      <c r="W1128" s="825">
        <f t="shared" si="205"/>
        <v>0</v>
      </c>
      <c r="X1128" s="59">
        <f t="shared" si="206"/>
        <v>0</v>
      </c>
      <c r="Y1128" s="151">
        <f>VLOOKUP(E1128,Modificaciones!$B$7:$BE$2300,56,0)</f>
        <v>0</v>
      </c>
      <c r="Z1128" s="84">
        <f t="shared" si="207"/>
        <v>0</v>
      </c>
      <c r="AA1128" s="1000"/>
      <c r="AB1128" s="823" t="e">
        <f t="shared" si="208"/>
        <v>#DIV/0!</v>
      </c>
      <c r="AC1128" s="40" t="e">
        <f t="shared" ca="1" si="209"/>
        <v>#DIV/0!</v>
      </c>
      <c r="AD1128" s="41" t="e">
        <f t="shared" ca="1" si="210"/>
        <v>#DIV/0!</v>
      </c>
      <c r="AE1128" s="181" t="e">
        <f t="shared" ca="1" si="211"/>
        <v>#DIV/0!</v>
      </c>
      <c r="AF1128" s="42" t="e">
        <f t="shared" si="212"/>
        <v>#DIV/0!</v>
      </c>
      <c r="AG1128" s="838"/>
      <c r="AH1128" s="841"/>
      <c r="AI1128" s="841"/>
      <c r="AJ1128" s="838"/>
      <c r="AL1128" s="838"/>
      <c r="AM1128" s="838"/>
      <c r="AN1128" s="161" t="str">
        <f t="shared" ca="1" si="213"/>
        <v>TERMINO</v>
      </c>
      <c r="AO1128" s="414"/>
      <c r="AP1128" s="406"/>
      <c r="AQ1128" s="819" t="str">
        <f>IFERROR(VLOOKUP(E1128,'liquidaciones '!$B$2:$C$1048576,2,0),"NO")</f>
        <v>NO</v>
      </c>
      <c r="AR1128" s="909" t="str">
        <f>IFERROR(VLOOKUP(E1128,'liquidaciones '!$B$2:$I$1048576,8,0),"")</f>
        <v/>
      </c>
      <c r="AS1128" s="406"/>
      <c r="AT1128" s="156" t="str">
        <f t="shared" ca="1" si="214"/>
        <v>NO</v>
      </c>
      <c r="AU1128" s="1140"/>
      <c r="AV1128" s="1001"/>
      <c r="AX1128" s="928"/>
      <c r="AY1128" s="928"/>
    </row>
    <row r="1129" spans="3:51" x14ac:dyDescent="0.3">
      <c r="C1129" s="837"/>
      <c r="E1129" s="120"/>
      <c r="F1129" s="414"/>
      <c r="G1129" s="863"/>
      <c r="H1129" s="969"/>
      <c r="I1129" s="84"/>
      <c r="J1129" s="839"/>
      <c r="K1129" s="269"/>
      <c r="L1129" s="519"/>
      <c r="M1129" s="840"/>
      <c r="N1129" s="840"/>
      <c r="O1129" s="1099" t="str">
        <f>IF(+Modificaciones!I1129=0,"",VLOOKUP(E1129,Modificaciones!$B$7:$I$2400,8,0))</f>
        <v/>
      </c>
      <c r="P1129" s="115">
        <f>COUNTA(Modificaciones!J1129,Modificaciones!L1129,Modificaciones!N1129,Modificaciones!P1129)</f>
        <v>0</v>
      </c>
      <c r="Q1129" s="116">
        <f>VLOOKUP(E1129,Modificaciones!$B$7:$R$2300,17,0)</f>
        <v>0</v>
      </c>
      <c r="R1129" s="117">
        <f>COUNTA(Modificaciones!T1129,Modificaciones!V1129,Modificaciones!X1129,Modificaciones!Z1129)</f>
        <v>0</v>
      </c>
      <c r="S1129" s="118" t="str">
        <f>IF(Modificaciones!AA1129=0,"",VLOOKUP(E1129,Modificaciones!$B$7:$AA$2400,26,0))</f>
        <v/>
      </c>
      <c r="T1129" s="119" t="str">
        <f>IF(Modificaciones!AB1129=0,"",VLOOKUP(E1129,Modificaciones!$B$7:$AB$2400,27,0))</f>
        <v/>
      </c>
      <c r="U1129" s="1080">
        <f>+Modificaciones!AC1129</f>
        <v>0</v>
      </c>
      <c r="V1129" s="825">
        <f>+Modificaciones!AK1129</f>
        <v>0</v>
      </c>
      <c r="W1129" s="825">
        <f t="shared" ref="W1129:W1178" si="215">MAX(N1129,O1129,T1129,V1129)</f>
        <v>0</v>
      </c>
      <c r="X1129" s="59">
        <f t="shared" ref="X1129:X1178" si="216">I1129+Q1129</f>
        <v>0</v>
      </c>
      <c r="Y1129" s="151">
        <f>VLOOKUP(E1129,Modificaciones!$B$7:$BE$2300,56,0)</f>
        <v>0</v>
      </c>
      <c r="Z1129" s="84">
        <f t="shared" ref="Z1129:Z1178" si="217">X1129-Y1129</f>
        <v>0</v>
      </c>
      <c r="AA1129" s="1000"/>
      <c r="AB1129" s="823" t="e">
        <f t="shared" ref="AB1129:AB1178" si="218">(Y1129*100%)/X1129</f>
        <v>#DIV/0!</v>
      </c>
      <c r="AC1129" s="40" t="e">
        <f t="shared" ref="AC1129:AC1178" ca="1" si="219">IF((($F$3-M1129)*100%/(W1129-M1129))&gt;100%,100%,(($F$3-M1129)*100%/(W1129-M1129)))</f>
        <v>#DIV/0!</v>
      </c>
      <c r="AD1129" s="41" t="e">
        <f t="shared" ref="AD1129:AD1178" ca="1" si="220">AC1129-AB1129</f>
        <v>#DIV/0!</v>
      </c>
      <c r="AE1129" s="181" t="e">
        <f t="shared" ref="AE1129:AE1178" ca="1" si="221">IF(AC1129&lt;100%,W1129-$F$3,"")</f>
        <v>#DIV/0!</v>
      </c>
      <c r="AF1129" s="42" t="e">
        <f t="shared" ref="AF1129:AF1178" si="222">IF(AB1129&lt;=99.9%,"NO","SI")</f>
        <v>#DIV/0!</v>
      </c>
      <c r="AG1129" s="838"/>
      <c r="AH1129" s="841"/>
      <c r="AI1129" s="841"/>
      <c r="AJ1129" s="838"/>
      <c r="AL1129" s="838"/>
      <c r="AM1129" s="838"/>
      <c r="AN1129" s="161" t="str">
        <f t="shared" ref="AN1129:AN1178" ca="1" si="223">IF(W1129&gt;=$F$3,"EN EJECUCIÓN","TERMINO")</f>
        <v>TERMINO</v>
      </c>
      <c r="AO1129" s="414"/>
      <c r="AP1129" s="406"/>
      <c r="AQ1129" s="819" t="str">
        <f>IFERROR(VLOOKUP(E1129,'liquidaciones '!$B$2:$C$1048576,2,0),"NO")</f>
        <v>NO</v>
      </c>
      <c r="AR1129" s="909" t="str">
        <f>IFERROR(VLOOKUP(E1129,'liquidaciones '!$B$2:$I$1048576,8,0),"")</f>
        <v/>
      </c>
      <c r="AS1129" s="406"/>
      <c r="AT1129" s="156" t="str">
        <f t="shared" ref="AT1129:AT1178" ca="1" si="224">IF((TODAY()-W1129&lt;900),"SI","NO")</f>
        <v>NO</v>
      </c>
      <c r="AU1129" s="1140"/>
      <c r="AV1129" s="1001"/>
      <c r="AX1129" s="928"/>
      <c r="AY1129" s="928"/>
    </row>
    <row r="1130" spans="3:51" x14ac:dyDescent="0.3">
      <c r="C1130" s="837"/>
      <c r="E1130" s="120"/>
      <c r="F1130" s="414"/>
      <c r="G1130" s="863"/>
      <c r="H1130" s="969"/>
      <c r="I1130" s="84"/>
      <c r="J1130" s="839"/>
      <c r="K1130" s="269"/>
      <c r="L1130" s="519"/>
      <c r="M1130" s="840"/>
      <c r="N1130" s="840"/>
      <c r="O1130" s="1099" t="str">
        <f>IF(+Modificaciones!I1130=0,"",VLOOKUP(E1130,Modificaciones!$B$7:$I$2400,8,0))</f>
        <v/>
      </c>
      <c r="P1130" s="115">
        <f>COUNTA(Modificaciones!J1130,Modificaciones!L1130,Modificaciones!N1130,Modificaciones!P1130)</f>
        <v>0</v>
      </c>
      <c r="Q1130" s="116">
        <f>VLOOKUP(E1130,Modificaciones!$B$7:$R$2300,17,0)</f>
        <v>0</v>
      </c>
      <c r="R1130" s="117">
        <f>COUNTA(Modificaciones!T1130,Modificaciones!V1130,Modificaciones!X1130,Modificaciones!Z1130)</f>
        <v>0</v>
      </c>
      <c r="S1130" s="118" t="str">
        <f>IF(Modificaciones!AA1130=0,"",VLOOKUP(E1130,Modificaciones!$B$7:$AA$2400,26,0))</f>
        <v/>
      </c>
      <c r="T1130" s="119" t="str">
        <f>IF(Modificaciones!AB1130=0,"",VLOOKUP(E1130,Modificaciones!$B$7:$AB$2400,27,0))</f>
        <v/>
      </c>
      <c r="U1130" s="1080">
        <f>+Modificaciones!AC1130</f>
        <v>0</v>
      </c>
      <c r="V1130" s="825">
        <f>+Modificaciones!AK1130</f>
        <v>0</v>
      </c>
      <c r="W1130" s="825">
        <f t="shared" si="215"/>
        <v>0</v>
      </c>
      <c r="X1130" s="59">
        <f t="shared" si="216"/>
        <v>0</v>
      </c>
      <c r="Y1130" s="151">
        <f>VLOOKUP(E1130,Modificaciones!$B$7:$BE$2300,56,0)</f>
        <v>0</v>
      </c>
      <c r="Z1130" s="84">
        <f t="shared" si="217"/>
        <v>0</v>
      </c>
      <c r="AA1130" s="1000"/>
      <c r="AB1130" s="823" t="e">
        <f t="shared" si="218"/>
        <v>#DIV/0!</v>
      </c>
      <c r="AC1130" s="40" t="e">
        <f t="shared" ca="1" si="219"/>
        <v>#DIV/0!</v>
      </c>
      <c r="AD1130" s="41" t="e">
        <f t="shared" ca="1" si="220"/>
        <v>#DIV/0!</v>
      </c>
      <c r="AE1130" s="181" t="e">
        <f t="shared" ca="1" si="221"/>
        <v>#DIV/0!</v>
      </c>
      <c r="AF1130" s="42" t="e">
        <f t="shared" si="222"/>
        <v>#DIV/0!</v>
      </c>
      <c r="AG1130" s="838"/>
      <c r="AH1130" s="841"/>
      <c r="AI1130" s="841"/>
      <c r="AJ1130" s="838"/>
      <c r="AL1130" s="838"/>
      <c r="AM1130" s="838"/>
      <c r="AN1130" s="161" t="str">
        <f t="shared" ca="1" si="223"/>
        <v>TERMINO</v>
      </c>
      <c r="AO1130" s="414"/>
      <c r="AP1130" s="406"/>
      <c r="AQ1130" s="819" t="str">
        <f>IFERROR(VLOOKUP(E1130,'liquidaciones '!$B$2:$C$1048576,2,0),"NO")</f>
        <v>NO</v>
      </c>
      <c r="AR1130" s="909" t="str">
        <f>IFERROR(VLOOKUP(E1130,'liquidaciones '!$B$2:$I$1048576,8,0),"")</f>
        <v/>
      </c>
      <c r="AS1130" s="406"/>
      <c r="AT1130" s="156" t="str">
        <f t="shared" ca="1" si="224"/>
        <v>NO</v>
      </c>
      <c r="AU1130" s="1140"/>
      <c r="AV1130" s="1001"/>
      <c r="AX1130" s="928"/>
      <c r="AY1130" s="928"/>
    </row>
    <row r="1131" spans="3:51" x14ac:dyDescent="0.3">
      <c r="C1131" s="837"/>
      <c r="E1131" s="120"/>
      <c r="F1131" s="414"/>
      <c r="G1131" s="863"/>
      <c r="H1131" s="969"/>
      <c r="I1131" s="84"/>
      <c r="J1131" s="839"/>
      <c r="K1131" s="269"/>
      <c r="L1131" s="519"/>
      <c r="M1131" s="840"/>
      <c r="N1131" s="840"/>
      <c r="O1131" s="1099" t="str">
        <f>IF(+Modificaciones!I1131=0,"",VLOOKUP(E1131,Modificaciones!$B$7:$I$2400,8,0))</f>
        <v/>
      </c>
      <c r="P1131" s="115">
        <f>COUNTA(Modificaciones!J1131,Modificaciones!L1131,Modificaciones!N1131,Modificaciones!P1131)</f>
        <v>0</v>
      </c>
      <c r="Q1131" s="116">
        <f>VLOOKUP(E1131,Modificaciones!$B$7:$R$2300,17,0)</f>
        <v>0</v>
      </c>
      <c r="R1131" s="117">
        <f>COUNTA(Modificaciones!T1131,Modificaciones!V1131,Modificaciones!X1131,Modificaciones!Z1131)</f>
        <v>0</v>
      </c>
      <c r="S1131" s="118" t="str">
        <f>IF(Modificaciones!AA1131=0,"",VLOOKUP(E1131,Modificaciones!$B$7:$AA$2400,26,0))</f>
        <v/>
      </c>
      <c r="T1131" s="119" t="str">
        <f>IF(Modificaciones!AB1131=0,"",VLOOKUP(E1131,Modificaciones!$B$7:$AB$2400,27,0))</f>
        <v/>
      </c>
      <c r="U1131" s="1080">
        <f>+Modificaciones!AC1131</f>
        <v>0</v>
      </c>
      <c r="V1131" s="825">
        <f>+Modificaciones!AK1131</f>
        <v>0</v>
      </c>
      <c r="W1131" s="825">
        <f t="shared" si="215"/>
        <v>0</v>
      </c>
      <c r="X1131" s="59">
        <f t="shared" si="216"/>
        <v>0</v>
      </c>
      <c r="Y1131" s="151">
        <f>VLOOKUP(E1131,Modificaciones!$B$7:$BE$2300,56,0)</f>
        <v>0</v>
      </c>
      <c r="Z1131" s="84">
        <f t="shared" si="217"/>
        <v>0</v>
      </c>
      <c r="AA1131" s="1000"/>
      <c r="AB1131" s="823" t="e">
        <f t="shared" si="218"/>
        <v>#DIV/0!</v>
      </c>
      <c r="AC1131" s="40" t="e">
        <f t="shared" ca="1" si="219"/>
        <v>#DIV/0!</v>
      </c>
      <c r="AD1131" s="41" t="e">
        <f t="shared" ca="1" si="220"/>
        <v>#DIV/0!</v>
      </c>
      <c r="AE1131" s="181" t="e">
        <f t="shared" ca="1" si="221"/>
        <v>#DIV/0!</v>
      </c>
      <c r="AF1131" s="42" t="e">
        <f t="shared" si="222"/>
        <v>#DIV/0!</v>
      </c>
      <c r="AG1131" s="838"/>
      <c r="AH1131" s="841"/>
      <c r="AI1131" s="841"/>
      <c r="AJ1131" s="838"/>
      <c r="AL1131" s="838"/>
      <c r="AM1131" s="838"/>
      <c r="AN1131" s="161" t="str">
        <f t="shared" ca="1" si="223"/>
        <v>TERMINO</v>
      </c>
      <c r="AO1131" s="414"/>
      <c r="AP1131" s="406"/>
      <c r="AQ1131" s="819" t="str">
        <f>IFERROR(VLOOKUP(E1131,'liquidaciones '!$B$2:$C$1048576,2,0),"NO")</f>
        <v>NO</v>
      </c>
      <c r="AR1131" s="909" t="str">
        <f>IFERROR(VLOOKUP(E1131,'liquidaciones '!$B$2:$I$1048576,8,0),"")</f>
        <v/>
      </c>
      <c r="AS1131" s="406"/>
      <c r="AT1131" s="156" t="str">
        <f t="shared" ca="1" si="224"/>
        <v>NO</v>
      </c>
      <c r="AU1131" s="1140"/>
      <c r="AV1131" s="1001"/>
      <c r="AX1131" s="928"/>
      <c r="AY1131" s="928"/>
    </row>
    <row r="1132" spans="3:51" x14ac:dyDescent="0.3">
      <c r="C1132" s="837"/>
      <c r="E1132" s="120"/>
      <c r="F1132" s="414"/>
      <c r="G1132" s="863"/>
      <c r="H1132" s="969"/>
      <c r="I1132" s="84"/>
      <c r="J1132" s="839"/>
      <c r="K1132" s="269"/>
      <c r="L1132" s="519"/>
      <c r="M1132" s="840"/>
      <c r="N1132" s="840"/>
      <c r="O1132" s="1099" t="str">
        <f>IF(+Modificaciones!I1132=0,"",VLOOKUP(E1132,Modificaciones!$B$7:$I$2400,8,0))</f>
        <v/>
      </c>
      <c r="P1132" s="115">
        <f>COUNTA(Modificaciones!J1132,Modificaciones!L1132,Modificaciones!N1132,Modificaciones!P1132)</f>
        <v>0</v>
      </c>
      <c r="Q1132" s="116">
        <f>VLOOKUP(E1132,Modificaciones!$B$7:$R$2300,17,0)</f>
        <v>0</v>
      </c>
      <c r="R1132" s="117">
        <f>COUNTA(Modificaciones!T1132,Modificaciones!V1132,Modificaciones!X1132,Modificaciones!Z1132)</f>
        <v>0</v>
      </c>
      <c r="S1132" s="118" t="str">
        <f>IF(Modificaciones!AA1132=0,"",VLOOKUP(E1132,Modificaciones!$B$7:$AA$2400,26,0))</f>
        <v/>
      </c>
      <c r="T1132" s="119" t="str">
        <f>IF(Modificaciones!AB1132=0,"",VLOOKUP(E1132,Modificaciones!$B$7:$AB$2400,27,0))</f>
        <v/>
      </c>
      <c r="U1132" s="1080">
        <f>+Modificaciones!AC1132</f>
        <v>0</v>
      </c>
      <c r="V1132" s="825">
        <f>+Modificaciones!AK1132</f>
        <v>0</v>
      </c>
      <c r="W1132" s="825">
        <f t="shared" si="215"/>
        <v>0</v>
      </c>
      <c r="X1132" s="59">
        <f t="shared" si="216"/>
        <v>0</v>
      </c>
      <c r="Y1132" s="151">
        <f>VLOOKUP(E1132,Modificaciones!$B$7:$BE$2300,56,0)</f>
        <v>0</v>
      </c>
      <c r="Z1132" s="84">
        <f t="shared" si="217"/>
        <v>0</v>
      </c>
      <c r="AA1132" s="1000"/>
      <c r="AB1132" s="823" t="e">
        <f t="shared" si="218"/>
        <v>#DIV/0!</v>
      </c>
      <c r="AC1132" s="40" t="e">
        <f t="shared" ca="1" si="219"/>
        <v>#DIV/0!</v>
      </c>
      <c r="AD1132" s="41" t="e">
        <f t="shared" ca="1" si="220"/>
        <v>#DIV/0!</v>
      </c>
      <c r="AE1132" s="181" t="e">
        <f t="shared" ca="1" si="221"/>
        <v>#DIV/0!</v>
      </c>
      <c r="AF1132" s="42" t="e">
        <f t="shared" si="222"/>
        <v>#DIV/0!</v>
      </c>
      <c r="AG1132" s="838"/>
      <c r="AH1132" s="841"/>
      <c r="AI1132" s="841"/>
      <c r="AJ1132" s="838"/>
      <c r="AL1132" s="838"/>
      <c r="AM1132" s="838"/>
      <c r="AN1132" s="161" t="str">
        <f t="shared" ca="1" si="223"/>
        <v>TERMINO</v>
      </c>
      <c r="AO1132" s="414"/>
      <c r="AP1132" s="406"/>
      <c r="AQ1132" s="819" t="str">
        <f>IFERROR(VLOOKUP(E1132,'liquidaciones '!$B$2:$C$1048576,2,0),"NO")</f>
        <v>NO</v>
      </c>
      <c r="AR1132" s="909" t="str">
        <f>IFERROR(VLOOKUP(E1132,'liquidaciones '!$B$2:$I$1048576,8,0),"")</f>
        <v/>
      </c>
      <c r="AS1132" s="406"/>
      <c r="AT1132" s="156" t="str">
        <f t="shared" ca="1" si="224"/>
        <v>NO</v>
      </c>
      <c r="AU1132" s="1140"/>
      <c r="AV1132" s="1001"/>
      <c r="AX1132" s="928"/>
      <c r="AY1132" s="928"/>
    </row>
    <row r="1133" spans="3:51" x14ac:dyDescent="0.3">
      <c r="C1133" s="837"/>
      <c r="E1133" s="120"/>
      <c r="F1133" s="414"/>
      <c r="G1133" s="863"/>
      <c r="H1133" s="969"/>
      <c r="I1133" s="84"/>
      <c r="J1133" s="839"/>
      <c r="K1133" s="269"/>
      <c r="L1133" s="519"/>
      <c r="M1133" s="840"/>
      <c r="N1133" s="840"/>
      <c r="O1133" s="1099" t="str">
        <f>IF(+Modificaciones!I1133=0,"",VLOOKUP(E1133,Modificaciones!$B$7:$I$2400,8,0))</f>
        <v/>
      </c>
      <c r="P1133" s="115">
        <f>COUNTA(Modificaciones!J1133,Modificaciones!L1133,Modificaciones!N1133,Modificaciones!P1133)</f>
        <v>0</v>
      </c>
      <c r="Q1133" s="116">
        <f>VLOOKUP(E1133,Modificaciones!$B$7:$R$2300,17,0)</f>
        <v>0</v>
      </c>
      <c r="R1133" s="117">
        <f>COUNTA(Modificaciones!T1133,Modificaciones!V1133,Modificaciones!X1133,Modificaciones!Z1133)</f>
        <v>0</v>
      </c>
      <c r="S1133" s="118" t="str">
        <f>IF(Modificaciones!AA1133=0,"",VLOOKUP(E1133,Modificaciones!$B$7:$AA$2400,26,0))</f>
        <v/>
      </c>
      <c r="T1133" s="119" t="str">
        <f>IF(Modificaciones!AB1133=0,"",VLOOKUP(E1133,Modificaciones!$B$7:$AB$2400,27,0))</f>
        <v/>
      </c>
      <c r="U1133" s="1080">
        <f>+Modificaciones!AC1133</f>
        <v>0</v>
      </c>
      <c r="V1133" s="825">
        <f>+Modificaciones!AK1133</f>
        <v>0</v>
      </c>
      <c r="W1133" s="825">
        <f t="shared" si="215"/>
        <v>0</v>
      </c>
      <c r="X1133" s="59">
        <f t="shared" si="216"/>
        <v>0</v>
      </c>
      <c r="Y1133" s="151">
        <f>VLOOKUP(E1133,Modificaciones!$B$7:$BE$2300,56,0)</f>
        <v>0</v>
      </c>
      <c r="Z1133" s="84">
        <f t="shared" si="217"/>
        <v>0</v>
      </c>
      <c r="AA1133" s="1000"/>
      <c r="AB1133" s="823" t="e">
        <f t="shared" si="218"/>
        <v>#DIV/0!</v>
      </c>
      <c r="AC1133" s="40" t="e">
        <f t="shared" ca="1" si="219"/>
        <v>#DIV/0!</v>
      </c>
      <c r="AD1133" s="41" t="e">
        <f t="shared" ca="1" si="220"/>
        <v>#DIV/0!</v>
      </c>
      <c r="AE1133" s="181" t="e">
        <f t="shared" ca="1" si="221"/>
        <v>#DIV/0!</v>
      </c>
      <c r="AF1133" s="42" t="e">
        <f t="shared" si="222"/>
        <v>#DIV/0!</v>
      </c>
      <c r="AG1133" s="838"/>
      <c r="AH1133" s="841"/>
      <c r="AI1133" s="841"/>
      <c r="AJ1133" s="838"/>
      <c r="AL1133" s="838"/>
      <c r="AM1133" s="838"/>
      <c r="AN1133" s="161" t="str">
        <f t="shared" ca="1" si="223"/>
        <v>TERMINO</v>
      </c>
      <c r="AO1133" s="414"/>
      <c r="AP1133" s="406"/>
      <c r="AQ1133" s="819" t="str">
        <f>IFERROR(VLOOKUP(E1133,'liquidaciones '!$B$2:$C$1048576,2,0),"NO")</f>
        <v>NO</v>
      </c>
      <c r="AR1133" s="909" t="str">
        <f>IFERROR(VLOOKUP(E1133,'liquidaciones '!$B$2:$I$1048576,8,0),"")</f>
        <v/>
      </c>
      <c r="AS1133" s="406"/>
      <c r="AT1133" s="156" t="str">
        <f t="shared" ca="1" si="224"/>
        <v>NO</v>
      </c>
      <c r="AU1133" s="1140"/>
      <c r="AV1133" s="1001"/>
      <c r="AX1133" s="928"/>
      <c r="AY1133" s="928"/>
    </row>
    <row r="1134" spans="3:51" x14ac:dyDescent="0.3">
      <c r="C1134" s="837"/>
      <c r="E1134" s="120"/>
      <c r="F1134" s="414"/>
      <c r="G1134" s="863"/>
      <c r="H1134" s="969"/>
      <c r="I1134" s="84"/>
      <c r="J1134" s="839"/>
      <c r="K1134" s="269"/>
      <c r="L1134" s="519"/>
      <c r="M1134" s="840"/>
      <c r="N1134" s="840"/>
      <c r="O1134" s="1099" t="str">
        <f>IF(+Modificaciones!I1134=0,"",VLOOKUP(E1134,Modificaciones!$B$7:$I$2400,8,0))</f>
        <v/>
      </c>
      <c r="P1134" s="115">
        <f>COUNTA(Modificaciones!J1134,Modificaciones!L1134,Modificaciones!N1134,Modificaciones!P1134)</f>
        <v>0</v>
      </c>
      <c r="Q1134" s="116">
        <f>VLOOKUP(E1134,Modificaciones!$B$7:$R$2300,17,0)</f>
        <v>0</v>
      </c>
      <c r="R1134" s="117">
        <f>COUNTA(Modificaciones!T1134,Modificaciones!V1134,Modificaciones!X1134,Modificaciones!Z1134)</f>
        <v>0</v>
      </c>
      <c r="S1134" s="118" t="str">
        <f>IF(Modificaciones!AA1134=0,"",VLOOKUP(E1134,Modificaciones!$B$7:$AA$2400,26,0))</f>
        <v/>
      </c>
      <c r="T1134" s="119" t="str">
        <f>IF(Modificaciones!AB1134=0,"",VLOOKUP(E1134,Modificaciones!$B$7:$AB$2400,27,0))</f>
        <v/>
      </c>
      <c r="U1134" s="1080">
        <f>+Modificaciones!AC1134</f>
        <v>0</v>
      </c>
      <c r="V1134" s="825">
        <f>+Modificaciones!AK1134</f>
        <v>0</v>
      </c>
      <c r="W1134" s="825">
        <f t="shared" si="215"/>
        <v>0</v>
      </c>
      <c r="X1134" s="59">
        <f t="shared" si="216"/>
        <v>0</v>
      </c>
      <c r="Y1134" s="151">
        <f>VLOOKUP(E1134,Modificaciones!$B$7:$BE$2300,56,0)</f>
        <v>0</v>
      </c>
      <c r="Z1134" s="84">
        <f t="shared" si="217"/>
        <v>0</v>
      </c>
      <c r="AA1134" s="1000"/>
      <c r="AB1134" s="823" t="e">
        <f t="shared" si="218"/>
        <v>#DIV/0!</v>
      </c>
      <c r="AC1134" s="40" t="e">
        <f t="shared" ca="1" si="219"/>
        <v>#DIV/0!</v>
      </c>
      <c r="AD1134" s="41" t="e">
        <f t="shared" ca="1" si="220"/>
        <v>#DIV/0!</v>
      </c>
      <c r="AE1134" s="181" t="e">
        <f t="shared" ca="1" si="221"/>
        <v>#DIV/0!</v>
      </c>
      <c r="AF1134" s="42" t="e">
        <f t="shared" si="222"/>
        <v>#DIV/0!</v>
      </c>
      <c r="AG1134" s="838"/>
      <c r="AH1134" s="841"/>
      <c r="AI1134" s="841"/>
      <c r="AJ1134" s="838"/>
      <c r="AL1134" s="838"/>
      <c r="AM1134" s="838"/>
      <c r="AN1134" s="161" t="str">
        <f t="shared" ca="1" si="223"/>
        <v>TERMINO</v>
      </c>
      <c r="AO1134" s="414"/>
      <c r="AP1134" s="406"/>
      <c r="AQ1134" s="819" t="str">
        <f>IFERROR(VLOOKUP(E1134,'liquidaciones '!$B$2:$C$1048576,2,0),"NO")</f>
        <v>NO</v>
      </c>
      <c r="AR1134" s="909" t="str">
        <f>IFERROR(VLOOKUP(E1134,'liquidaciones '!$B$2:$I$1048576,8,0),"")</f>
        <v/>
      </c>
      <c r="AS1134" s="406"/>
      <c r="AT1134" s="156" t="str">
        <f t="shared" ca="1" si="224"/>
        <v>NO</v>
      </c>
      <c r="AU1134" s="1140"/>
      <c r="AV1134" s="1001"/>
      <c r="AX1134" s="928"/>
      <c r="AY1134" s="928"/>
    </row>
    <row r="1135" spans="3:51" x14ac:dyDescent="0.3">
      <c r="C1135" s="837"/>
      <c r="E1135" s="120"/>
      <c r="F1135" s="414"/>
      <c r="G1135" s="863"/>
      <c r="H1135" s="969"/>
      <c r="I1135" s="84"/>
      <c r="J1135" s="839"/>
      <c r="K1135" s="269"/>
      <c r="L1135" s="519"/>
      <c r="M1135" s="840"/>
      <c r="N1135" s="840"/>
      <c r="O1135" s="1099" t="str">
        <f>IF(+Modificaciones!I1135=0,"",VLOOKUP(E1135,Modificaciones!$B$7:$I$2400,8,0))</f>
        <v/>
      </c>
      <c r="P1135" s="115">
        <f>COUNTA(Modificaciones!J1135,Modificaciones!L1135,Modificaciones!N1135,Modificaciones!P1135)</f>
        <v>0</v>
      </c>
      <c r="Q1135" s="116">
        <f>VLOOKUP(E1135,Modificaciones!$B$7:$R$2300,17,0)</f>
        <v>0</v>
      </c>
      <c r="R1135" s="117">
        <f>COUNTA(Modificaciones!T1135,Modificaciones!V1135,Modificaciones!X1135,Modificaciones!Z1135)</f>
        <v>0</v>
      </c>
      <c r="S1135" s="118" t="str">
        <f>IF(Modificaciones!AA1135=0,"",VLOOKUP(E1135,Modificaciones!$B$7:$AA$2400,26,0))</f>
        <v/>
      </c>
      <c r="T1135" s="119" t="str">
        <f>IF(Modificaciones!AB1135=0,"",VLOOKUP(E1135,Modificaciones!$B$7:$AB$2400,27,0))</f>
        <v/>
      </c>
      <c r="U1135" s="1080">
        <f>+Modificaciones!AC1135</f>
        <v>0</v>
      </c>
      <c r="V1135" s="825">
        <f>+Modificaciones!AK1135</f>
        <v>0</v>
      </c>
      <c r="W1135" s="825">
        <f t="shared" si="215"/>
        <v>0</v>
      </c>
      <c r="X1135" s="59">
        <f t="shared" si="216"/>
        <v>0</v>
      </c>
      <c r="Y1135" s="151">
        <f>VLOOKUP(E1135,Modificaciones!$B$7:$BE$2300,56,0)</f>
        <v>0</v>
      </c>
      <c r="Z1135" s="84">
        <f t="shared" si="217"/>
        <v>0</v>
      </c>
      <c r="AA1135" s="1000"/>
      <c r="AB1135" s="823" t="e">
        <f t="shared" si="218"/>
        <v>#DIV/0!</v>
      </c>
      <c r="AC1135" s="40" t="e">
        <f t="shared" ca="1" si="219"/>
        <v>#DIV/0!</v>
      </c>
      <c r="AD1135" s="41" t="e">
        <f t="shared" ca="1" si="220"/>
        <v>#DIV/0!</v>
      </c>
      <c r="AE1135" s="181" t="e">
        <f t="shared" ca="1" si="221"/>
        <v>#DIV/0!</v>
      </c>
      <c r="AF1135" s="42" t="e">
        <f t="shared" si="222"/>
        <v>#DIV/0!</v>
      </c>
      <c r="AG1135" s="838"/>
      <c r="AH1135" s="841"/>
      <c r="AI1135" s="841"/>
      <c r="AJ1135" s="838"/>
      <c r="AL1135" s="838"/>
      <c r="AM1135" s="838"/>
      <c r="AN1135" s="161" t="str">
        <f t="shared" ca="1" si="223"/>
        <v>TERMINO</v>
      </c>
      <c r="AO1135" s="414"/>
      <c r="AP1135" s="406"/>
      <c r="AQ1135" s="819" t="str">
        <f>IFERROR(VLOOKUP(E1135,'liquidaciones '!$B$2:$C$1048576,2,0),"NO")</f>
        <v>NO</v>
      </c>
      <c r="AR1135" s="909" t="str">
        <f>IFERROR(VLOOKUP(E1135,'liquidaciones '!$B$2:$I$1048576,8,0),"")</f>
        <v/>
      </c>
      <c r="AS1135" s="406"/>
      <c r="AT1135" s="156" t="str">
        <f t="shared" ca="1" si="224"/>
        <v>NO</v>
      </c>
      <c r="AU1135" s="1140"/>
      <c r="AV1135" s="1001"/>
      <c r="AX1135" s="928"/>
      <c r="AY1135" s="928"/>
    </row>
    <row r="1136" spans="3:51" x14ac:dyDescent="0.3">
      <c r="C1136" s="837"/>
      <c r="E1136" s="120"/>
      <c r="F1136" s="414"/>
      <c r="G1136" s="863"/>
      <c r="H1136" s="969"/>
      <c r="I1136" s="84"/>
      <c r="J1136" s="839"/>
      <c r="K1136" s="269"/>
      <c r="L1136" s="519"/>
      <c r="M1136" s="840"/>
      <c r="N1136" s="840"/>
      <c r="O1136" s="1099" t="str">
        <f>IF(+Modificaciones!I1136=0,"",VLOOKUP(E1136,Modificaciones!$B$7:$I$2400,8,0))</f>
        <v/>
      </c>
      <c r="P1136" s="115">
        <f>COUNTA(Modificaciones!J1136,Modificaciones!L1136,Modificaciones!N1136,Modificaciones!P1136)</f>
        <v>0</v>
      </c>
      <c r="Q1136" s="116">
        <f>VLOOKUP(E1136,Modificaciones!$B$7:$R$2300,17,0)</f>
        <v>0</v>
      </c>
      <c r="R1136" s="117">
        <f>COUNTA(Modificaciones!T1136,Modificaciones!V1136,Modificaciones!X1136,Modificaciones!Z1136)</f>
        <v>0</v>
      </c>
      <c r="S1136" s="118" t="str">
        <f>IF(Modificaciones!AA1136=0,"",VLOOKUP(E1136,Modificaciones!$B$7:$AA$2400,26,0))</f>
        <v/>
      </c>
      <c r="T1136" s="119" t="str">
        <f>IF(Modificaciones!AB1136=0,"",VLOOKUP(E1136,Modificaciones!$B$7:$AB$2400,27,0))</f>
        <v/>
      </c>
      <c r="U1136" s="1080">
        <f>+Modificaciones!AC1136</f>
        <v>0</v>
      </c>
      <c r="V1136" s="825">
        <f>+Modificaciones!AK1136</f>
        <v>0</v>
      </c>
      <c r="W1136" s="825">
        <f t="shared" si="215"/>
        <v>0</v>
      </c>
      <c r="X1136" s="59">
        <f t="shared" si="216"/>
        <v>0</v>
      </c>
      <c r="Y1136" s="151">
        <f>VLOOKUP(E1136,Modificaciones!$B$7:$BE$2300,56,0)</f>
        <v>0</v>
      </c>
      <c r="Z1136" s="84">
        <f t="shared" si="217"/>
        <v>0</v>
      </c>
      <c r="AA1136" s="1000"/>
      <c r="AB1136" s="823" t="e">
        <f t="shared" si="218"/>
        <v>#DIV/0!</v>
      </c>
      <c r="AC1136" s="40" t="e">
        <f t="shared" ca="1" si="219"/>
        <v>#DIV/0!</v>
      </c>
      <c r="AD1136" s="41" t="e">
        <f t="shared" ca="1" si="220"/>
        <v>#DIV/0!</v>
      </c>
      <c r="AE1136" s="181" t="e">
        <f t="shared" ca="1" si="221"/>
        <v>#DIV/0!</v>
      </c>
      <c r="AF1136" s="42" t="e">
        <f t="shared" si="222"/>
        <v>#DIV/0!</v>
      </c>
      <c r="AG1136" s="838"/>
      <c r="AH1136" s="841"/>
      <c r="AI1136" s="841"/>
      <c r="AJ1136" s="838"/>
      <c r="AL1136" s="838"/>
      <c r="AM1136" s="838"/>
      <c r="AN1136" s="161" t="str">
        <f t="shared" ca="1" si="223"/>
        <v>TERMINO</v>
      </c>
      <c r="AO1136" s="414"/>
      <c r="AP1136" s="406"/>
      <c r="AQ1136" s="819" t="str">
        <f>IFERROR(VLOOKUP(E1136,'liquidaciones '!$B$2:$C$1048576,2,0),"NO")</f>
        <v>NO</v>
      </c>
      <c r="AR1136" s="909" t="str">
        <f>IFERROR(VLOOKUP(E1136,'liquidaciones '!$B$2:$I$1048576,8,0),"")</f>
        <v/>
      </c>
      <c r="AS1136" s="406"/>
      <c r="AT1136" s="156" t="str">
        <f t="shared" ca="1" si="224"/>
        <v>NO</v>
      </c>
      <c r="AU1136" s="1140"/>
      <c r="AV1136" s="1001"/>
      <c r="AX1136" s="928"/>
      <c r="AY1136" s="928"/>
    </row>
    <row r="1137" spans="3:51" x14ac:dyDescent="0.3">
      <c r="C1137" s="837"/>
      <c r="E1137" s="120"/>
      <c r="F1137" s="414"/>
      <c r="G1137" s="863"/>
      <c r="H1137" s="969"/>
      <c r="I1137" s="84"/>
      <c r="J1137" s="839"/>
      <c r="K1137" s="269"/>
      <c r="L1137" s="519"/>
      <c r="M1137" s="840"/>
      <c r="N1137" s="840"/>
      <c r="O1137" s="1099" t="str">
        <f>IF(+Modificaciones!I1137=0,"",VLOOKUP(E1137,Modificaciones!$B$7:$I$2400,8,0))</f>
        <v/>
      </c>
      <c r="P1137" s="115">
        <f>COUNTA(Modificaciones!J1137,Modificaciones!L1137,Modificaciones!N1137,Modificaciones!P1137)</f>
        <v>0</v>
      </c>
      <c r="Q1137" s="116">
        <f>VLOOKUP(E1137,Modificaciones!$B$7:$R$2300,17,0)</f>
        <v>0</v>
      </c>
      <c r="R1137" s="117">
        <f>COUNTA(Modificaciones!T1137,Modificaciones!V1137,Modificaciones!X1137,Modificaciones!Z1137)</f>
        <v>0</v>
      </c>
      <c r="S1137" s="118" t="str">
        <f>IF(Modificaciones!AA1137=0,"",VLOOKUP(E1137,Modificaciones!$B$7:$AA$2400,26,0))</f>
        <v/>
      </c>
      <c r="T1137" s="119" t="str">
        <f>IF(Modificaciones!AB1137=0,"",VLOOKUP(E1137,Modificaciones!$B$7:$AB$2400,27,0))</f>
        <v/>
      </c>
      <c r="U1137" s="1080">
        <f>+Modificaciones!AC1137</f>
        <v>0</v>
      </c>
      <c r="V1137" s="825">
        <f>+Modificaciones!AK1137</f>
        <v>0</v>
      </c>
      <c r="W1137" s="825">
        <f t="shared" si="215"/>
        <v>0</v>
      </c>
      <c r="X1137" s="59">
        <f t="shared" si="216"/>
        <v>0</v>
      </c>
      <c r="Y1137" s="151">
        <f>VLOOKUP(E1137,Modificaciones!$B$7:$BE$2300,56,0)</f>
        <v>0</v>
      </c>
      <c r="Z1137" s="84">
        <f t="shared" si="217"/>
        <v>0</v>
      </c>
      <c r="AA1137" s="1000"/>
      <c r="AB1137" s="823" t="e">
        <f t="shared" si="218"/>
        <v>#DIV/0!</v>
      </c>
      <c r="AC1137" s="40" t="e">
        <f t="shared" ca="1" si="219"/>
        <v>#DIV/0!</v>
      </c>
      <c r="AD1137" s="41" t="e">
        <f t="shared" ca="1" si="220"/>
        <v>#DIV/0!</v>
      </c>
      <c r="AE1137" s="181" t="e">
        <f t="shared" ca="1" si="221"/>
        <v>#DIV/0!</v>
      </c>
      <c r="AF1137" s="42" t="e">
        <f t="shared" si="222"/>
        <v>#DIV/0!</v>
      </c>
      <c r="AG1137" s="838"/>
      <c r="AH1137" s="841"/>
      <c r="AI1137" s="841"/>
      <c r="AJ1137" s="838"/>
      <c r="AL1137" s="838"/>
      <c r="AM1137" s="838"/>
      <c r="AN1137" s="161" t="str">
        <f t="shared" ca="1" si="223"/>
        <v>TERMINO</v>
      </c>
      <c r="AO1137" s="414"/>
      <c r="AP1137" s="406"/>
      <c r="AQ1137" s="819" t="str">
        <f>IFERROR(VLOOKUP(E1137,'liquidaciones '!$B$2:$C$1048576,2,0),"NO")</f>
        <v>NO</v>
      </c>
      <c r="AR1137" s="909" t="str">
        <f>IFERROR(VLOOKUP(E1137,'liquidaciones '!$B$2:$I$1048576,8,0),"")</f>
        <v/>
      </c>
      <c r="AS1137" s="406"/>
      <c r="AT1137" s="156" t="str">
        <f t="shared" ca="1" si="224"/>
        <v>NO</v>
      </c>
      <c r="AU1137" s="1140"/>
      <c r="AV1137" s="1001"/>
      <c r="AX1137" s="928"/>
      <c r="AY1137" s="928"/>
    </row>
    <row r="1138" spans="3:51" x14ac:dyDescent="0.3">
      <c r="C1138" s="837"/>
      <c r="E1138" s="120"/>
      <c r="F1138" s="414"/>
      <c r="G1138" s="863"/>
      <c r="H1138" s="969"/>
      <c r="I1138" s="84"/>
      <c r="J1138" s="839"/>
      <c r="K1138" s="269"/>
      <c r="L1138" s="519"/>
      <c r="M1138" s="840"/>
      <c r="N1138" s="840"/>
      <c r="O1138" s="1099" t="str">
        <f>IF(+Modificaciones!I1138=0,"",VLOOKUP(E1138,Modificaciones!$B$7:$I$2400,8,0))</f>
        <v/>
      </c>
      <c r="P1138" s="115">
        <f>COUNTA(Modificaciones!J1138,Modificaciones!L1138,Modificaciones!N1138,Modificaciones!P1138)</f>
        <v>0</v>
      </c>
      <c r="Q1138" s="116">
        <f>VLOOKUP(E1138,Modificaciones!$B$7:$R$2300,17,0)</f>
        <v>0</v>
      </c>
      <c r="R1138" s="117">
        <f>COUNTA(Modificaciones!T1138,Modificaciones!V1138,Modificaciones!X1138,Modificaciones!Z1138)</f>
        <v>0</v>
      </c>
      <c r="S1138" s="118" t="str">
        <f>IF(Modificaciones!AA1138=0,"",VLOOKUP(E1138,Modificaciones!$B$7:$AA$2400,26,0))</f>
        <v/>
      </c>
      <c r="T1138" s="119" t="str">
        <f>IF(Modificaciones!AB1138=0,"",VLOOKUP(E1138,Modificaciones!$B$7:$AB$2400,27,0))</f>
        <v/>
      </c>
      <c r="U1138" s="1080">
        <f>+Modificaciones!AC1138</f>
        <v>0</v>
      </c>
      <c r="V1138" s="825">
        <f>+Modificaciones!AK1138</f>
        <v>0</v>
      </c>
      <c r="W1138" s="825">
        <f t="shared" si="215"/>
        <v>0</v>
      </c>
      <c r="X1138" s="59">
        <f t="shared" si="216"/>
        <v>0</v>
      </c>
      <c r="Y1138" s="151">
        <f>VLOOKUP(E1138,Modificaciones!$B$7:$BE$2300,56,0)</f>
        <v>0</v>
      </c>
      <c r="Z1138" s="84">
        <f t="shared" si="217"/>
        <v>0</v>
      </c>
      <c r="AA1138" s="1000"/>
      <c r="AB1138" s="823" t="e">
        <f t="shared" si="218"/>
        <v>#DIV/0!</v>
      </c>
      <c r="AC1138" s="40" t="e">
        <f t="shared" ca="1" si="219"/>
        <v>#DIV/0!</v>
      </c>
      <c r="AD1138" s="41" t="e">
        <f t="shared" ca="1" si="220"/>
        <v>#DIV/0!</v>
      </c>
      <c r="AE1138" s="181" t="e">
        <f t="shared" ca="1" si="221"/>
        <v>#DIV/0!</v>
      </c>
      <c r="AF1138" s="42" t="e">
        <f t="shared" si="222"/>
        <v>#DIV/0!</v>
      </c>
      <c r="AG1138" s="838"/>
      <c r="AH1138" s="841"/>
      <c r="AI1138" s="841"/>
      <c r="AJ1138" s="838"/>
      <c r="AL1138" s="838"/>
      <c r="AM1138" s="838"/>
      <c r="AN1138" s="161" t="str">
        <f t="shared" ca="1" si="223"/>
        <v>TERMINO</v>
      </c>
      <c r="AO1138" s="414"/>
      <c r="AP1138" s="406"/>
      <c r="AQ1138" s="819" t="str">
        <f>IFERROR(VLOOKUP(E1138,'liquidaciones '!$B$2:$C$1048576,2,0),"NO")</f>
        <v>NO</v>
      </c>
      <c r="AR1138" s="909" t="str">
        <f>IFERROR(VLOOKUP(E1138,'liquidaciones '!$B$2:$I$1048576,8,0),"")</f>
        <v/>
      </c>
      <c r="AS1138" s="406"/>
      <c r="AT1138" s="156" t="str">
        <f t="shared" ca="1" si="224"/>
        <v>NO</v>
      </c>
      <c r="AU1138" s="1140"/>
      <c r="AV1138" s="1001"/>
      <c r="AX1138" s="928"/>
      <c r="AY1138" s="928"/>
    </row>
    <row r="1139" spans="3:51" x14ac:dyDescent="0.3">
      <c r="C1139" s="837"/>
      <c r="E1139" s="120"/>
      <c r="F1139" s="414"/>
      <c r="G1139" s="863"/>
      <c r="H1139" s="969"/>
      <c r="I1139" s="84"/>
      <c r="J1139" s="839"/>
      <c r="K1139" s="269"/>
      <c r="L1139" s="519"/>
      <c r="M1139" s="840"/>
      <c r="N1139" s="840"/>
      <c r="O1139" s="1099" t="str">
        <f>IF(+Modificaciones!I1139=0,"",VLOOKUP(E1139,Modificaciones!$B$7:$I$2400,8,0))</f>
        <v/>
      </c>
      <c r="P1139" s="115">
        <f>COUNTA(Modificaciones!J1139,Modificaciones!L1139,Modificaciones!N1139,Modificaciones!P1139)</f>
        <v>0</v>
      </c>
      <c r="Q1139" s="116">
        <f>VLOOKUP(E1139,Modificaciones!$B$7:$R$2300,17,0)</f>
        <v>0</v>
      </c>
      <c r="R1139" s="117">
        <f>COUNTA(Modificaciones!T1139,Modificaciones!V1139,Modificaciones!X1139,Modificaciones!Z1139)</f>
        <v>0</v>
      </c>
      <c r="S1139" s="118" t="str">
        <f>IF(Modificaciones!AA1139=0,"",VLOOKUP(E1139,Modificaciones!$B$7:$AA$2400,26,0))</f>
        <v/>
      </c>
      <c r="T1139" s="119" t="str">
        <f>IF(Modificaciones!AB1139=0,"",VLOOKUP(E1139,Modificaciones!$B$7:$AB$2400,27,0))</f>
        <v/>
      </c>
      <c r="U1139" s="1080">
        <f>+Modificaciones!AC1139</f>
        <v>0</v>
      </c>
      <c r="V1139" s="825">
        <f>+Modificaciones!AK1139</f>
        <v>0</v>
      </c>
      <c r="W1139" s="825">
        <f t="shared" si="215"/>
        <v>0</v>
      </c>
      <c r="X1139" s="59">
        <f t="shared" si="216"/>
        <v>0</v>
      </c>
      <c r="Y1139" s="151">
        <f>VLOOKUP(E1139,Modificaciones!$B$7:$BE$2300,56,0)</f>
        <v>0</v>
      </c>
      <c r="Z1139" s="84">
        <f t="shared" si="217"/>
        <v>0</v>
      </c>
      <c r="AA1139" s="1000"/>
      <c r="AB1139" s="823" t="e">
        <f t="shared" si="218"/>
        <v>#DIV/0!</v>
      </c>
      <c r="AC1139" s="40" t="e">
        <f t="shared" ca="1" si="219"/>
        <v>#DIV/0!</v>
      </c>
      <c r="AD1139" s="41" t="e">
        <f t="shared" ca="1" si="220"/>
        <v>#DIV/0!</v>
      </c>
      <c r="AE1139" s="181" t="e">
        <f t="shared" ca="1" si="221"/>
        <v>#DIV/0!</v>
      </c>
      <c r="AF1139" s="42" t="e">
        <f t="shared" si="222"/>
        <v>#DIV/0!</v>
      </c>
      <c r="AG1139" s="838"/>
      <c r="AH1139" s="841"/>
      <c r="AI1139" s="841"/>
      <c r="AJ1139" s="838"/>
      <c r="AL1139" s="838"/>
      <c r="AM1139" s="838"/>
      <c r="AN1139" s="161" t="str">
        <f t="shared" ca="1" si="223"/>
        <v>TERMINO</v>
      </c>
      <c r="AO1139" s="414"/>
      <c r="AP1139" s="406"/>
      <c r="AQ1139" s="819" t="str">
        <f>IFERROR(VLOOKUP(E1139,'liquidaciones '!$B$2:$C$1048576,2,0),"NO")</f>
        <v>NO</v>
      </c>
      <c r="AR1139" s="909" t="str">
        <f>IFERROR(VLOOKUP(E1139,'liquidaciones '!$B$2:$I$1048576,8,0),"")</f>
        <v/>
      </c>
      <c r="AS1139" s="406"/>
      <c r="AT1139" s="156" t="str">
        <f t="shared" ca="1" si="224"/>
        <v>NO</v>
      </c>
      <c r="AU1139" s="1140"/>
      <c r="AV1139" s="1001"/>
      <c r="AX1139" s="928"/>
      <c r="AY1139" s="928"/>
    </row>
    <row r="1140" spans="3:51" x14ac:dyDescent="0.3">
      <c r="C1140" s="837"/>
      <c r="E1140" s="120"/>
      <c r="F1140" s="414"/>
      <c r="G1140" s="863"/>
      <c r="H1140" s="969"/>
      <c r="I1140" s="84"/>
      <c r="J1140" s="839"/>
      <c r="K1140" s="269"/>
      <c r="L1140" s="519"/>
      <c r="M1140" s="840"/>
      <c r="N1140" s="840"/>
      <c r="O1140" s="1099" t="str">
        <f>IF(+Modificaciones!I1140=0,"",VLOOKUP(E1140,Modificaciones!$B$7:$I$2400,8,0))</f>
        <v/>
      </c>
      <c r="P1140" s="115">
        <f>COUNTA(Modificaciones!J1140,Modificaciones!L1140,Modificaciones!N1140,Modificaciones!P1140)</f>
        <v>0</v>
      </c>
      <c r="Q1140" s="116">
        <f>VLOOKUP(E1140,Modificaciones!$B$7:$R$2300,17,0)</f>
        <v>0</v>
      </c>
      <c r="R1140" s="117">
        <f>COUNTA(Modificaciones!T1140,Modificaciones!V1140,Modificaciones!X1140,Modificaciones!Z1140)</f>
        <v>0</v>
      </c>
      <c r="S1140" s="118" t="str">
        <f>IF(Modificaciones!AA1140=0,"",VLOOKUP(E1140,Modificaciones!$B$7:$AA$2400,26,0))</f>
        <v/>
      </c>
      <c r="T1140" s="119" t="str">
        <f>IF(Modificaciones!AB1140=0,"",VLOOKUP(E1140,Modificaciones!$B$7:$AB$2400,27,0))</f>
        <v/>
      </c>
      <c r="U1140" s="1080">
        <f>+Modificaciones!AC1140</f>
        <v>0</v>
      </c>
      <c r="V1140" s="825">
        <f>+Modificaciones!AK1140</f>
        <v>0</v>
      </c>
      <c r="W1140" s="825">
        <f t="shared" si="215"/>
        <v>0</v>
      </c>
      <c r="X1140" s="59">
        <f t="shared" si="216"/>
        <v>0</v>
      </c>
      <c r="Y1140" s="151">
        <f>VLOOKUP(E1140,Modificaciones!$B$7:$BE$2300,56,0)</f>
        <v>0</v>
      </c>
      <c r="Z1140" s="84">
        <f t="shared" si="217"/>
        <v>0</v>
      </c>
      <c r="AA1140" s="1000"/>
      <c r="AB1140" s="823" t="e">
        <f t="shared" si="218"/>
        <v>#DIV/0!</v>
      </c>
      <c r="AC1140" s="40" t="e">
        <f t="shared" ca="1" si="219"/>
        <v>#DIV/0!</v>
      </c>
      <c r="AD1140" s="41" t="e">
        <f t="shared" ca="1" si="220"/>
        <v>#DIV/0!</v>
      </c>
      <c r="AE1140" s="181" t="e">
        <f t="shared" ca="1" si="221"/>
        <v>#DIV/0!</v>
      </c>
      <c r="AF1140" s="42" t="e">
        <f t="shared" si="222"/>
        <v>#DIV/0!</v>
      </c>
      <c r="AG1140" s="838"/>
      <c r="AH1140" s="841"/>
      <c r="AI1140" s="841"/>
      <c r="AJ1140" s="838"/>
      <c r="AL1140" s="838"/>
      <c r="AM1140" s="838"/>
      <c r="AN1140" s="161" t="str">
        <f t="shared" ca="1" si="223"/>
        <v>TERMINO</v>
      </c>
      <c r="AO1140" s="414"/>
      <c r="AP1140" s="406"/>
      <c r="AQ1140" s="819" t="str">
        <f>IFERROR(VLOOKUP(E1140,'liquidaciones '!$B$2:$C$1048576,2,0),"NO")</f>
        <v>NO</v>
      </c>
      <c r="AR1140" s="909" t="str">
        <f>IFERROR(VLOOKUP(E1140,'liquidaciones '!$B$2:$I$1048576,8,0),"")</f>
        <v/>
      </c>
      <c r="AS1140" s="406"/>
      <c r="AT1140" s="156" t="str">
        <f t="shared" ca="1" si="224"/>
        <v>NO</v>
      </c>
      <c r="AU1140" s="1140"/>
      <c r="AV1140" s="1001"/>
      <c r="AX1140" s="928"/>
      <c r="AY1140" s="928"/>
    </row>
    <row r="1141" spans="3:51" x14ac:dyDescent="0.3">
      <c r="C1141" s="837"/>
      <c r="E1141" s="120"/>
      <c r="F1141" s="414"/>
      <c r="G1141" s="863"/>
      <c r="H1141" s="969"/>
      <c r="I1141" s="84"/>
      <c r="J1141" s="839"/>
      <c r="K1141" s="269"/>
      <c r="L1141" s="519"/>
      <c r="M1141" s="840"/>
      <c r="N1141" s="840"/>
      <c r="O1141" s="1099" t="str">
        <f>IF(+Modificaciones!I1141=0,"",VLOOKUP(E1141,Modificaciones!$B$7:$I$2400,8,0))</f>
        <v/>
      </c>
      <c r="P1141" s="115">
        <f>COUNTA(Modificaciones!J1141,Modificaciones!L1141,Modificaciones!N1141,Modificaciones!P1141)</f>
        <v>0</v>
      </c>
      <c r="Q1141" s="116">
        <f>VLOOKUP(E1141,Modificaciones!$B$7:$R$2300,17,0)</f>
        <v>0</v>
      </c>
      <c r="R1141" s="117">
        <f>COUNTA(Modificaciones!T1141,Modificaciones!V1141,Modificaciones!X1141,Modificaciones!Z1141)</f>
        <v>0</v>
      </c>
      <c r="S1141" s="118" t="str">
        <f>IF(Modificaciones!AA1141=0,"",VLOOKUP(E1141,Modificaciones!$B$7:$AA$2400,26,0))</f>
        <v/>
      </c>
      <c r="T1141" s="119" t="str">
        <f>IF(Modificaciones!AB1141=0,"",VLOOKUP(E1141,Modificaciones!$B$7:$AB$2400,27,0))</f>
        <v/>
      </c>
      <c r="U1141" s="1080">
        <f>+Modificaciones!AC1141</f>
        <v>0</v>
      </c>
      <c r="V1141" s="825">
        <f>+Modificaciones!AK1141</f>
        <v>0</v>
      </c>
      <c r="W1141" s="825">
        <f t="shared" si="215"/>
        <v>0</v>
      </c>
      <c r="X1141" s="59">
        <f t="shared" si="216"/>
        <v>0</v>
      </c>
      <c r="Y1141" s="151">
        <f>VLOOKUP(E1141,Modificaciones!$B$7:$BE$2300,56,0)</f>
        <v>0</v>
      </c>
      <c r="Z1141" s="84">
        <f t="shared" si="217"/>
        <v>0</v>
      </c>
      <c r="AA1141" s="1000"/>
      <c r="AB1141" s="823" t="e">
        <f t="shared" si="218"/>
        <v>#DIV/0!</v>
      </c>
      <c r="AC1141" s="40" t="e">
        <f t="shared" ca="1" si="219"/>
        <v>#DIV/0!</v>
      </c>
      <c r="AD1141" s="41" t="e">
        <f t="shared" ca="1" si="220"/>
        <v>#DIV/0!</v>
      </c>
      <c r="AE1141" s="181" t="e">
        <f t="shared" ca="1" si="221"/>
        <v>#DIV/0!</v>
      </c>
      <c r="AF1141" s="42" t="e">
        <f t="shared" si="222"/>
        <v>#DIV/0!</v>
      </c>
      <c r="AG1141" s="838"/>
      <c r="AH1141" s="841"/>
      <c r="AI1141" s="841"/>
      <c r="AJ1141" s="838"/>
      <c r="AL1141" s="838"/>
      <c r="AM1141" s="838"/>
      <c r="AN1141" s="161" t="str">
        <f t="shared" ca="1" si="223"/>
        <v>TERMINO</v>
      </c>
      <c r="AO1141" s="414"/>
      <c r="AP1141" s="406"/>
      <c r="AQ1141" s="819" t="str">
        <f>IFERROR(VLOOKUP(E1141,'liquidaciones '!$B$2:$C$1048576,2,0),"NO")</f>
        <v>NO</v>
      </c>
      <c r="AR1141" s="909" t="str">
        <f>IFERROR(VLOOKUP(E1141,'liquidaciones '!$B$2:$I$1048576,8,0),"")</f>
        <v/>
      </c>
      <c r="AS1141" s="406"/>
      <c r="AT1141" s="156" t="str">
        <f t="shared" ca="1" si="224"/>
        <v>NO</v>
      </c>
      <c r="AU1141" s="1140"/>
      <c r="AV1141" s="1001"/>
      <c r="AX1141" s="928"/>
      <c r="AY1141" s="928"/>
    </row>
    <row r="1142" spans="3:51" x14ac:dyDescent="0.3">
      <c r="C1142" s="837"/>
      <c r="E1142" s="120"/>
      <c r="F1142" s="414"/>
      <c r="G1142" s="863"/>
      <c r="H1142" s="969"/>
      <c r="I1142" s="84"/>
      <c r="J1142" s="839"/>
      <c r="K1142" s="269"/>
      <c r="L1142" s="519"/>
      <c r="M1142" s="840"/>
      <c r="N1142" s="840"/>
      <c r="O1142" s="1099" t="str">
        <f>IF(+Modificaciones!I1142=0,"",VLOOKUP(E1142,Modificaciones!$B$7:$I$2400,8,0))</f>
        <v/>
      </c>
      <c r="P1142" s="115">
        <f>COUNTA(Modificaciones!J1142,Modificaciones!L1142,Modificaciones!N1142,Modificaciones!P1142)</f>
        <v>0</v>
      </c>
      <c r="Q1142" s="116">
        <f>VLOOKUP(E1142,Modificaciones!$B$7:$R$2300,17,0)</f>
        <v>0</v>
      </c>
      <c r="R1142" s="117">
        <f>COUNTA(Modificaciones!T1142,Modificaciones!V1142,Modificaciones!X1142,Modificaciones!Z1142)</f>
        <v>0</v>
      </c>
      <c r="S1142" s="118" t="str">
        <f>IF(Modificaciones!AA1142=0,"",VLOOKUP(E1142,Modificaciones!$B$7:$AA$2400,26,0))</f>
        <v/>
      </c>
      <c r="T1142" s="119" t="str">
        <f>IF(Modificaciones!AB1142=0,"",VLOOKUP(E1142,Modificaciones!$B$7:$AB$2400,27,0))</f>
        <v/>
      </c>
      <c r="U1142" s="1080">
        <f>+Modificaciones!AC1142</f>
        <v>0</v>
      </c>
      <c r="V1142" s="825">
        <f>+Modificaciones!AK1142</f>
        <v>0</v>
      </c>
      <c r="W1142" s="825">
        <f t="shared" si="215"/>
        <v>0</v>
      </c>
      <c r="X1142" s="59">
        <f t="shared" si="216"/>
        <v>0</v>
      </c>
      <c r="Y1142" s="151">
        <f>VLOOKUP(E1142,Modificaciones!$B$7:$BE$2300,56,0)</f>
        <v>0</v>
      </c>
      <c r="Z1142" s="84">
        <f t="shared" si="217"/>
        <v>0</v>
      </c>
      <c r="AA1142" s="1000"/>
      <c r="AB1142" s="823" t="e">
        <f t="shared" si="218"/>
        <v>#DIV/0!</v>
      </c>
      <c r="AC1142" s="40" t="e">
        <f t="shared" ca="1" si="219"/>
        <v>#DIV/0!</v>
      </c>
      <c r="AD1142" s="41" t="e">
        <f t="shared" ca="1" si="220"/>
        <v>#DIV/0!</v>
      </c>
      <c r="AE1142" s="181" t="e">
        <f t="shared" ca="1" si="221"/>
        <v>#DIV/0!</v>
      </c>
      <c r="AF1142" s="42" t="e">
        <f t="shared" si="222"/>
        <v>#DIV/0!</v>
      </c>
      <c r="AG1142" s="838"/>
      <c r="AH1142" s="841"/>
      <c r="AI1142" s="841"/>
      <c r="AJ1142" s="838"/>
      <c r="AL1142" s="838"/>
      <c r="AM1142" s="838"/>
      <c r="AN1142" s="161" t="str">
        <f t="shared" ca="1" si="223"/>
        <v>TERMINO</v>
      </c>
      <c r="AO1142" s="414"/>
      <c r="AP1142" s="406"/>
      <c r="AQ1142" s="819" t="str">
        <f>IFERROR(VLOOKUP(E1142,'liquidaciones '!$B$2:$C$1048576,2,0),"NO")</f>
        <v>NO</v>
      </c>
      <c r="AR1142" s="909" t="str">
        <f>IFERROR(VLOOKUP(E1142,'liquidaciones '!$B$2:$I$1048576,8,0),"")</f>
        <v/>
      </c>
      <c r="AS1142" s="406"/>
      <c r="AT1142" s="156" t="str">
        <f t="shared" ca="1" si="224"/>
        <v>NO</v>
      </c>
      <c r="AU1142" s="1140"/>
      <c r="AV1142" s="1001"/>
      <c r="AX1142" s="928"/>
      <c r="AY1142" s="928"/>
    </row>
    <row r="1143" spans="3:51" x14ac:dyDescent="0.3">
      <c r="C1143" s="837"/>
      <c r="E1143" s="120"/>
      <c r="F1143" s="414"/>
      <c r="G1143" s="863"/>
      <c r="H1143" s="969"/>
      <c r="I1143" s="84"/>
      <c r="J1143" s="839"/>
      <c r="K1143" s="269"/>
      <c r="L1143" s="519"/>
      <c r="M1143" s="840"/>
      <c r="N1143" s="840"/>
      <c r="O1143" s="1099" t="str">
        <f>IF(+Modificaciones!I1143=0,"",VLOOKUP(E1143,Modificaciones!$B$7:$I$2400,8,0))</f>
        <v/>
      </c>
      <c r="P1143" s="115">
        <f>COUNTA(Modificaciones!J1143,Modificaciones!L1143,Modificaciones!N1143,Modificaciones!P1143)</f>
        <v>0</v>
      </c>
      <c r="Q1143" s="116">
        <f>VLOOKUP(E1143,Modificaciones!$B$7:$R$2300,17,0)</f>
        <v>0</v>
      </c>
      <c r="R1143" s="117">
        <f>COUNTA(Modificaciones!T1143,Modificaciones!V1143,Modificaciones!X1143,Modificaciones!Z1143)</f>
        <v>0</v>
      </c>
      <c r="S1143" s="118" t="str">
        <f>IF(Modificaciones!AA1143=0,"",VLOOKUP(E1143,Modificaciones!$B$7:$AA$2400,26,0))</f>
        <v/>
      </c>
      <c r="T1143" s="119" t="str">
        <f>IF(Modificaciones!AB1143=0,"",VLOOKUP(E1143,Modificaciones!$B$7:$AB$2400,27,0))</f>
        <v/>
      </c>
      <c r="U1143" s="1080">
        <f>+Modificaciones!AC1143</f>
        <v>0</v>
      </c>
      <c r="V1143" s="825">
        <f>+Modificaciones!AK1143</f>
        <v>0</v>
      </c>
      <c r="W1143" s="825">
        <f t="shared" si="215"/>
        <v>0</v>
      </c>
      <c r="X1143" s="59">
        <f t="shared" si="216"/>
        <v>0</v>
      </c>
      <c r="Y1143" s="151">
        <f>VLOOKUP(E1143,Modificaciones!$B$7:$BE$2300,56,0)</f>
        <v>0</v>
      </c>
      <c r="Z1143" s="84">
        <f t="shared" si="217"/>
        <v>0</v>
      </c>
      <c r="AA1143" s="1000"/>
      <c r="AB1143" s="823" t="e">
        <f t="shared" si="218"/>
        <v>#DIV/0!</v>
      </c>
      <c r="AC1143" s="40" t="e">
        <f t="shared" ca="1" si="219"/>
        <v>#DIV/0!</v>
      </c>
      <c r="AD1143" s="41" t="e">
        <f t="shared" ca="1" si="220"/>
        <v>#DIV/0!</v>
      </c>
      <c r="AE1143" s="181" t="e">
        <f t="shared" ca="1" si="221"/>
        <v>#DIV/0!</v>
      </c>
      <c r="AF1143" s="42" t="e">
        <f t="shared" si="222"/>
        <v>#DIV/0!</v>
      </c>
      <c r="AG1143" s="838"/>
      <c r="AH1143" s="841"/>
      <c r="AI1143" s="841"/>
      <c r="AJ1143" s="838"/>
      <c r="AL1143" s="838"/>
      <c r="AM1143" s="838"/>
      <c r="AN1143" s="161" t="str">
        <f t="shared" ca="1" si="223"/>
        <v>TERMINO</v>
      </c>
      <c r="AO1143" s="414"/>
      <c r="AP1143" s="406"/>
      <c r="AQ1143" s="819" t="str">
        <f>IFERROR(VLOOKUP(E1143,'liquidaciones '!$B$2:$C$1048576,2,0),"NO")</f>
        <v>NO</v>
      </c>
      <c r="AR1143" s="909" t="str">
        <f>IFERROR(VLOOKUP(E1143,'liquidaciones '!$B$2:$I$1048576,8,0),"")</f>
        <v/>
      </c>
      <c r="AS1143" s="406"/>
      <c r="AT1143" s="156" t="str">
        <f t="shared" ca="1" si="224"/>
        <v>NO</v>
      </c>
      <c r="AU1143" s="1140"/>
      <c r="AV1143" s="1001"/>
      <c r="AX1143" s="928"/>
      <c r="AY1143" s="928"/>
    </row>
    <row r="1144" spans="3:51" x14ac:dyDescent="0.3">
      <c r="C1144" s="837"/>
      <c r="E1144" s="120"/>
      <c r="F1144" s="414"/>
      <c r="G1144" s="863"/>
      <c r="H1144" s="969"/>
      <c r="I1144" s="84"/>
      <c r="J1144" s="839"/>
      <c r="K1144" s="269"/>
      <c r="L1144" s="519"/>
      <c r="M1144" s="840"/>
      <c r="N1144" s="840"/>
      <c r="O1144" s="1099" t="str">
        <f>IF(+Modificaciones!I1144=0,"",VLOOKUP(E1144,Modificaciones!$B$7:$I$2400,8,0))</f>
        <v/>
      </c>
      <c r="P1144" s="115">
        <f>COUNTA(Modificaciones!J1144,Modificaciones!L1144,Modificaciones!N1144,Modificaciones!P1144)</f>
        <v>0</v>
      </c>
      <c r="Q1144" s="116">
        <f>VLOOKUP(E1144,Modificaciones!$B$7:$R$2300,17,0)</f>
        <v>0</v>
      </c>
      <c r="R1144" s="117">
        <f>COUNTA(Modificaciones!T1144,Modificaciones!V1144,Modificaciones!X1144,Modificaciones!Z1144)</f>
        <v>0</v>
      </c>
      <c r="S1144" s="118" t="str">
        <f>IF(Modificaciones!AA1144=0,"",VLOOKUP(E1144,Modificaciones!$B$7:$AA$2400,26,0))</f>
        <v/>
      </c>
      <c r="T1144" s="119" t="str">
        <f>IF(Modificaciones!AB1144=0,"",VLOOKUP(E1144,Modificaciones!$B$7:$AB$2400,27,0))</f>
        <v/>
      </c>
      <c r="U1144" s="1080">
        <f>+Modificaciones!AC1144</f>
        <v>0</v>
      </c>
      <c r="V1144" s="825">
        <f>+Modificaciones!AK1144</f>
        <v>0</v>
      </c>
      <c r="W1144" s="825">
        <f t="shared" si="215"/>
        <v>0</v>
      </c>
      <c r="X1144" s="59">
        <f t="shared" si="216"/>
        <v>0</v>
      </c>
      <c r="Y1144" s="151">
        <f>VLOOKUP(E1144,Modificaciones!$B$7:$BE$2300,56,0)</f>
        <v>0</v>
      </c>
      <c r="Z1144" s="84">
        <f t="shared" si="217"/>
        <v>0</v>
      </c>
      <c r="AA1144" s="1000"/>
      <c r="AB1144" s="823" t="e">
        <f t="shared" si="218"/>
        <v>#DIV/0!</v>
      </c>
      <c r="AC1144" s="40" t="e">
        <f t="shared" ca="1" si="219"/>
        <v>#DIV/0!</v>
      </c>
      <c r="AD1144" s="41" t="e">
        <f t="shared" ca="1" si="220"/>
        <v>#DIV/0!</v>
      </c>
      <c r="AE1144" s="181" t="e">
        <f t="shared" ca="1" si="221"/>
        <v>#DIV/0!</v>
      </c>
      <c r="AF1144" s="42" t="e">
        <f t="shared" si="222"/>
        <v>#DIV/0!</v>
      </c>
      <c r="AG1144" s="838"/>
      <c r="AH1144" s="841"/>
      <c r="AI1144" s="841"/>
      <c r="AJ1144" s="838"/>
      <c r="AL1144" s="838"/>
      <c r="AM1144" s="838"/>
      <c r="AN1144" s="161" t="str">
        <f t="shared" ca="1" si="223"/>
        <v>TERMINO</v>
      </c>
      <c r="AO1144" s="414"/>
      <c r="AP1144" s="406"/>
      <c r="AQ1144" s="819" t="str">
        <f>IFERROR(VLOOKUP(E1144,'liquidaciones '!$B$2:$C$1048576,2,0),"NO")</f>
        <v>NO</v>
      </c>
      <c r="AR1144" s="909" t="str">
        <f>IFERROR(VLOOKUP(E1144,'liquidaciones '!$B$2:$I$1048576,8,0),"")</f>
        <v/>
      </c>
      <c r="AS1144" s="406"/>
      <c r="AT1144" s="156" t="str">
        <f t="shared" ca="1" si="224"/>
        <v>NO</v>
      </c>
      <c r="AU1144" s="1140"/>
      <c r="AV1144" s="1001"/>
      <c r="AX1144" s="928"/>
      <c r="AY1144" s="928"/>
    </row>
    <row r="1145" spans="3:51" x14ac:dyDescent="0.3">
      <c r="C1145" s="837"/>
      <c r="E1145" s="120"/>
      <c r="F1145" s="414"/>
      <c r="G1145" s="863"/>
      <c r="H1145" s="969"/>
      <c r="I1145" s="84"/>
      <c r="J1145" s="839"/>
      <c r="K1145" s="269"/>
      <c r="L1145" s="519"/>
      <c r="M1145" s="840"/>
      <c r="N1145" s="840"/>
      <c r="O1145" s="1099" t="str">
        <f>IF(+Modificaciones!I1145=0,"",VLOOKUP(E1145,Modificaciones!$B$7:$I$2400,8,0))</f>
        <v/>
      </c>
      <c r="P1145" s="115">
        <f>COUNTA(Modificaciones!J1145,Modificaciones!L1145,Modificaciones!N1145,Modificaciones!P1145)</f>
        <v>0</v>
      </c>
      <c r="Q1145" s="116">
        <f>VLOOKUP(E1145,Modificaciones!$B$7:$R$2300,17,0)</f>
        <v>0</v>
      </c>
      <c r="R1145" s="117">
        <f>COUNTA(Modificaciones!T1145,Modificaciones!V1145,Modificaciones!X1145,Modificaciones!Z1145)</f>
        <v>0</v>
      </c>
      <c r="S1145" s="118" t="str">
        <f>IF(Modificaciones!AA1145=0,"",VLOOKUP(E1145,Modificaciones!$B$7:$AA$2400,26,0))</f>
        <v/>
      </c>
      <c r="T1145" s="119" t="str">
        <f>IF(Modificaciones!AB1145=0,"",VLOOKUP(E1145,Modificaciones!$B$7:$AB$2400,27,0))</f>
        <v/>
      </c>
      <c r="U1145" s="1080">
        <f>+Modificaciones!AC1145</f>
        <v>0</v>
      </c>
      <c r="V1145" s="825">
        <f>+Modificaciones!AK1145</f>
        <v>0</v>
      </c>
      <c r="W1145" s="825">
        <f t="shared" si="215"/>
        <v>0</v>
      </c>
      <c r="X1145" s="59">
        <f t="shared" si="216"/>
        <v>0</v>
      </c>
      <c r="Y1145" s="151">
        <f>VLOOKUP(E1145,Modificaciones!$B$7:$BE$2300,56,0)</f>
        <v>0</v>
      </c>
      <c r="Z1145" s="84">
        <f t="shared" si="217"/>
        <v>0</v>
      </c>
      <c r="AA1145" s="1000"/>
      <c r="AB1145" s="823" t="e">
        <f t="shared" si="218"/>
        <v>#DIV/0!</v>
      </c>
      <c r="AC1145" s="40" t="e">
        <f t="shared" ca="1" si="219"/>
        <v>#DIV/0!</v>
      </c>
      <c r="AD1145" s="41" t="e">
        <f t="shared" ca="1" si="220"/>
        <v>#DIV/0!</v>
      </c>
      <c r="AE1145" s="181" t="e">
        <f t="shared" ca="1" si="221"/>
        <v>#DIV/0!</v>
      </c>
      <c r="AF1145" s="42" t="e">
        <f t="shared" si="222"/>
        <v>#DIV/0!</v>
      </c>
      <c r="AG1145" s="838"/>
      <c r="AH1145" s="841"/>
      <c r="AI1145" s="841"/>
      <c r="AJ1145" s="838"/>
      <c r="AL1145" s="838"/>
      <c r="AM1145" s="838"/>
      <c r="AN1145" s="161" t="str">
        <f t="shared" ca="1" si="223"/>
        <v>TERMINO</v>
      </c>
      <c r="AO1145" s="414"/>
      <c r="AP1145" s="406"/>
      <c r="AQ1145" s="819" t="str">
        <f>IFERROR(VLOOKUP(E1145,'liquidaciones '!$B$2:$C$1048576,2,0),"NO")</f>
        <v>NO</v>
      </c>
      <c r="AR1145" s="909" t="str">
        <f>IFERROR(VLOOKUP(E1145,'liquidaciones '!$B$2:$I$1048576,8,0),"")</f>
        <v/>
      </c>
      <c r="AS1145" s="406"/>
      <c r="AT1145" s="156" t="str">
        <f t="shared" ca="1" si="224"/>
        <v>NO</v>
      </c>
      <c r="AU1145" s="1140"/>
      <c r="AV1145" s="1001"/>
      <c r="AX1145" s="928"/>
      <c r="AY1145" s="928"/>
    </row>
    <row r="1146" spans="3:51" x14ac:dyDescent="0.3">
      <c r="C1146" s="837"/>
      <c r="E1146" s="120"/>
      <c r="F1146" s="414"/>
      <c r="G1146" s="863"/>
      <c r="H1146" s="969"/>
      <c r="I1146" s="84"/>
      <c r="J1146" s="839"/>
      <c r="K1146" s="269"/>
      <c r="L1146" s="519"/>
      <c r="M1146" s="840"/>
      <c r="N1146" s="840"/>
      <c r="O1146" s="1099" t="str">
        <f>IF(+Modificaciones!I1146=0,"",VLOOKUP(E1146,Modificaciones!$B$7:$I$2400,8,0))</f>
        <v/>
      </c>
      <c r="P1146" s="115">
        <f>COUNTA(Modificaciones!J1146,Modificaciones!L1146,Modificaciones!N1146,Modificaciones!P1146)</f>
        <v>0</v>
      </c>
      <c r="Q1146" s="116">
        <f>VLOOKUP(E1146,Modificaciones!$B$7:$R$2300,17,0)</f>
        <v>0</v>
      </c>
      <c r="R1146" s="117">
        <f>COUNTA(Modificaciones!T1146,Modificaciones!V1146,Modificaciones!X1146,Modificaciones!Z1146)</f>
        <v>0</v>
      </c>
      <c r="S1146" s="118" t="str">
        <f>IF(Modificaciones!AA1146=0,"",VLOOKUP(E1146,Modificaciones!$B$7:$AA$2400,26,0))</f>
        <v/>
      </c>
      <c r="T1146" s="119" t="str">
        <f>IF(Modificaciones!AB1146=0,"",VLOOKUP(E1146,Modificaciones!$B$7:$AB$2400,27,0))</f>
        <v/>
      </c>
      <c r="U1146" s="1080">
        <f>+Modificaciones!AC1146</f>
        <v>0</v>
      </c>
      <c r="V1146" s="825">
        <f>+Modificaciones!AK1146</f>
        <v>0</v>
      </c>
      <c r="W1146" s="825">
        <f t="shared" si="215"/>
        <v>0</v>
      </c>
      <c r="X1146" s="59">
        <f t="shared" si="216"/>
        <v>0</v>
      </c>
      <c r="Y1146" s="151">
        <f>VLOOKUP(E1146,Modificaciones!$B$7:$BE$2300,56,0)</f>
        <v>0</v>
      </c>
      <c r="Z1146" s="84">
        <f t="shared" si="217"/>
        <v>0</v>
      </c>
      <c r="AA1146" s="1000"/>
      <c r="AB1146" s="823" t="e">
        <f t="shared" si="218"/>
        <v>#DIV/0!</v>
      </c>
      <c r="AC1146" s="40" t="e">
        <f t="shared" ca="1" si="219"/>
        <v>#DIV/0!</v>
      </c>
      <c r="AD1146" s="41" t="e">
        <f t="shared" ca="1" si="220"/>
        <v>#DIV/0!</v>
      </c>
      <c r="AE1146" s="181" t="e">
        <f t="shared" ca="1" si="221"/>
        <v>#DIV/0!</v>
      </c>
      <c r="AF1146" s="42" t="e">
        <f t="shared" si="222"/>
        <v>#DIV/0!</v>
      </c>
      <c r="AG1146" s="838"/>
      <c r="AH1146" s="841"/>
      <c r="AI1146" s="841"/>
      <c r="AJ1146" s="838"/>
      <c r="AL1146" s="838"/>
      <c r="AM1146" s="838"/>
      <c r="AN1146" s="161" t="str">
        <f t="shared" ca="1" si="223"/>
        <v>TERMINO</v>
      </c>
      <c r="AO1146" s="414"/>
      <c r="AP1146" s="406"/>
      <c r="AQ1146" s="819" t="str">
        <f>IFERROR(VLOOKUP(E1146,'liquidaciones '!$B$2:$C$1048576,2,0),"NO")</f>
        <v>NO</v>
      </c>
      <c r="AR1146" s="909" t="str">
        <f>IFERROR(VLOOKUP(E1146,'liquidaciones '!$B$2:$I$1048576,8,0),"")</f>
        <v/>
      </c>
      <c r="AS1146" s="406"/>
      <c r="AT1146" s="156" t="str">
        <f t="shared" ca="1" si="224"/>
        <v>NO</v>
      </c>
      <c r="AU1146" s="1140"/>
      <c r="AV1146" s="1001"/>
      <c r="AX1146" s="928"/>
      <c r="AY1146" s="928"/>
    </row>
    <row r="1147" spans="3:51" x14ac:dyDescent="0.3">
      <c r="C1147" s="837"/>
      <c r="E1147" s="120"/>
      <c r="F1147" s="414"/>
      <c r="G1147" s="863"/>
      <c r="H1147" s="969"/>
      <c r="I1147" s="84"/>
      <c r="J1147" s="839"/>
      <c r="K1147" s="269"/>
      <c r="L1147" s="519"/>
      <c r="M1147" s="840"/>
      <c r="N1147" s="840"/>
      <c r="O1147" s="1099" t="str">
        <f>IF(+Modificaciones!I1147=0,"",VLOOKUP(E1147,Modificaciones!$B$7:$I$2400,8,0))</f>
        <v/>
      </c>
      <c r="P1147" s="115">
        <f>COUNTA(Modificaciones!J1147,Modificaciones!L1147,Modificaciones!N1147,Modificaciones!P1147)</f>
        <v>0</v>
      </c>
      <c r="Q1147" s="116">
        <f>VLOOKUP(E1147,Modificaciones!$B$7:$R$2300,17,0)</f>
        <v>0</v>
      </c>
      <c r="R1147" s="117">
        <f>COUNTA(Modificaciones!T1147,Modificaciones!V1147,Modificaciones!X1147,Modificaciones!Z1147)</f>
        <v>0</v>
      </c>
      <c r="S1147" s="118" t="str">
        <f>IF(Modificaciones!AA1147=0,"",VLOOKUP(E1147,Modificaciones!$B$7:$AA$2400,26,0))</f>
        <v/>
      </c>
      <c r="T1147" s="119" t="str">
        <f>IF(Modificaciones!AB1147=0,"",VLOOKUP(E1147,Modificaciones!$B$7:$AB$2400,27,0))</f>
        <v/>
      </c>
      <c r="U1147" s="1080">
        <f>+Modificaciones!AC1147</f>
        <v>0</v>
      </c>
      <c r="V1147" s="825">
        <f>+Modificaciones!AK1147</f>
        <v>0</v>
      </c>
      <c r="W1147" s="825">
        <f t="shared" si="215"/>
        <v>0</v>
      </c>
      <c r="X1147" s="59">
        <f t="shared" si="216"/>
        <v>0</v>
      </c>
      <c r="Y1147" s="151">
        <f>VLOOKUP(E1147,Modificaciones!$B$7:$BE$2300,56,0)</f>
        <v>0</v>
      </c>
      <c r="Z1147" s="84">
        <f t="shared" si="217"/>
        <v>0</v>
      </c>
      <c r="AA1147" s="1000"/>
      <c r="AB1147" s="823" t="e">
        <f t="shared" si="218"/>
        <v>#DIV/0!</v>
      </c>
      <c r="AC1147" s="40" t="e">
        <f t="shared" ca="1" si="219"/>
        <v>#DIV/0!</v>
      </c>
      <c r="AD1147" s="41" t="e">
        <f t="shared" ca="1" si="220"/>
        <v>#DIV/0!</v>
      </c>
      <c r="AE1147" s="181" t="e">
        <f t="shared" ca="1" si="221"/>
        <v>#DIV/0!</v>
      </c>
      <c r="AF1147" s="42" t="e">
        <f t="shared" si="222"/>
        <v>#DIV/0!</v>
      </c>
      <c r="AG1147" s="838"/>
      <c r="AH1147" s="841"/>
      <c r="AI1147" s="841"/>
      <c r="AJ1147" s="838"/>
      <c r="AL1147" s="838"/>
      <c r="AM1147" s="838"/>
      <c r="AN1147" s="161" t="str">
        <f t="shared" ca="1" si="223"/>
        <v>TERMINO</v>
      </c>
      <c r="AO1147" s="414"/>
      <c r="AP1147" s="406"/>
      <c r="AQ1147" s="819" t="str">
        <f>IFERROR(VLOOKUP(E1147,'liquidaciones '!$B$2:$C$1048576,2,0),"NO")</f>
        <v>NO</v>
      </c>
      <c r="AR1147" s="909" t="str">
        <f>IFERROR(VLOOKUP(E1147,'liquidaciones '!$B$2:$I$1048576,8,0),"")</f>
        <v/>
      </c>
      <c r="AS1147" s="406"/>
      <c r="AT1147" s="156" t="str">
        <f t="shared" ca="1" si="224"/>
        <v>NO</v>
      </c>
      <c r="AU1147" s="1140"/>
      <c r="AV1147" s="1001"/>
      <c r="AX1147" s="928"/>
      <c r="AY1147" s="928"/>
    </row>
    <row r="1148" spans="3:51" x14ac:dyDescent="0.3">
      <c r="C1148" s="837"/>
      <c r="E1148" s="120"/>
      <c r="F1148" s="414"/>
      <c r="G1148" s="863"/>
      <c r="H1148" s="969"/>
      <c r="I1148" s="84"/>
      <c r="J1148" s="839"/>
      <c r="K1148" s="269"/>
      <c r="L1148" s="519"/>
      <c r="M1148" s="840"/>
      <c r="N1148" s="840"/>
      <c r="O1148" s="1099" t="str">
        <f>IF(+Modificaciones!I1148=0,"",VLOOKUP(E1148,Modificaciones!$B$7:$I$2400,8,0))</f>
        <v/>
      </c>
      <c r="P1148" s="115">
        <f>COUNTA(Modificaciones!J1148,Modificaciones!L1148,Modificaciones!N1148,Modificaciones!P1148)</f>
        <v>0</v>
      </c>
      <c r="Q1148" s="116">
        <f>VLOOKUP(E1148,Modificaciones!$B$7:$R$2300,17,0)</f>
        <v>0</v>
      </c>
      <c r="R1148" s="117">
        <f>COUNTA(Modificaciones!T1148,Modificaciones!V1148,Modificaciones!X1148,Modificaciones!Z1148)</f>
        <v>0</v>
      </c>
      <c r="S1148" s="118" t="str">
        <f>IF(Modificaciones!AA1148=0,"",VLOOKUP(E1148,Modificaciones!$B$7:$AA$2400,26,0))</f>
        <v/>
      </c>
      <c r="T1148" s="119" t="str">
        <f>IF(Modificaciones!AB1148=0,"",VLOOKUP(E1148,Modificaciones!$B$7:$AB$2400,27,0))</f>
        <v/>
      </c>
      <c r="U1148" s="1080">
        <f>+Modificaciones!AC1148</f>
        <v>0</v>
      </c>
      <c r="V1148" s="825">
        <f>+Modificaciones!AK1148</f>
        <v>0</v>
      </c>
      <c r="W1148" s="825">
        <f t="shared" si="215"/>
        <v>0</v>
      </c>
      <c r="X1148" s="59">
        <f t="shared" si="216"/>
        <v>0</v>
      </c>
      <c r="Y1148" s="151">
        <f>VLOOKUP(E1148,Modificaciones!$B$7:$BE$2300,56,0)</f>
        <v>0</v>
      </c>
      <c r="Z1148" s="84">
        <f t="shared" si="217"/>
        <v>0</v>
      </c>
      <c r="AA1148" s="1000"/>
      <c r="AB1148" s="823" t="e">
        <f t="shared" si="218"/>
        <v>#DIV/0!</v>
      </c>
      <c r="AC1148" s="40" t="e">
        <f t="shared" ca="1" si="219"/>
        <v>#DIV/0!</v>
      </c>
      <c r="AD1148" s="41" t="e">
        <f t="shared" ca="1" si="220"/>
        <v>#DIV/0!</v>
      </c>
      <c r="AE1148" s="181" t="e">
        <f t="shared" ca="1" si="221"/>
        <v>#DIV/0!</v>
      </c>
      <c r="AF1148" s="42" t="e">
        <f t="shared" si="222"/>
        <v>#DIV/0!</v>
      </c>
      <c r="AG1148" s="838"/>
      <c r="AH1148" s="841"/>
      <c r="AI1148" s="841"/>
      <c r="AJ1148" s="838"/>
      <c r="AL1148" s="838"/>
      <c r="AM1148" s="838"/>
      <c r="AN1148" s="161" t="str">
        <f t="shared" ca="1" si="223"/>
        <v>TERMINO</v>
      </c>
      <c r="AO1148" s="414"/>
      <c r="AP1148" s="406"/>
      <c r="AQ1148" s="819" t="str">
        <f>IFERROR(VLOOKUP(E1148,'liquidaciones '!$B$2:$C$1048576,2,0),"NO")</f>
        <v>NO</v>
      </c>
      <c r="AR1148" s="909" t="str">
        <f>IFERROR(VLOOKUP(E1148,'liquidaciones '!$B$2:$I$1048576,8,0),"")</f>
        <v/>
      </c>
      <c r="AS1148" s="406"/>
      <c r="AT1148" s="156" t="str">
        <f t="shared" ca="1" si="224"/>
        <v>NO</v>
      </c>
      <c r="AU1148" s="1140"/>
      <c r="AV1148" s="1001"/>
      <c r="AX1148" s="928"/>
      <c r="AY1148" s="928"/>
    </row>
    <row r="1149" spans="3:51" x14ac:dyDescent="0.3">
      <c r="C1149" s="837"/>
      <c r="E1149" s="120"/>
      <c r="F1149" s="414"/>
      <c r="G1149" s="863"/>
      <c r="H1149" s="969"/>
      <c r="I1149" s="84"/>
      <c r="J1149" s="839"/>
      <c r="K1149" s="269"/>
      <c r="L1149" s="519"/>
      <c r="M1149" s="840"/>
      <c r="N1149" s="840"/>
      <c r="O1149" s="1099" t="str">
        <f>IF(+Modificaciones!I1149=0,"",VLOOKUP(E1149,Modificaciones!$B$7:$I$2400,8,0))</f>
        <v/>
      </c>
      <c r="P1149" s="115">
        <f>COUNTA(Modificaciones!J1149,Modificaciones!L1149,Modificaciones!N1149,Modificaciones!P1149)</f>
        <v>0</v>
      </c>
      <c r="Q1149" s="116">
        <f>VLOOKUP(E1149,Modificaciones!$B$7:$R$2300,17,0)</f>
        <v>0</v>
      </c>
      <c r="R1149" s="117">
        <f>COUNTA(Modificaciones!T1149,Modificaciones!V1149,Modificaciones!X1149,Modificaciones!Z1149)</f>
        <v>0</v>
      </c>
      <c r="S1149" s="118" t="str">
        <f>IF(Modificaciones!AA1149=0,"",VLOOKUP(E1149,Modificaciones!$B$7:$AA$2400,26,0))</f>
        <v/>
      </c>
      <c r="T1149" s="119" t="str">
        <f>IF(Modificaciones!AB1149=0,"",VLOOKUP(E1149,Modificaciones!$B$7:$AB$2400,27,0))</f>
        <v/>
      </c>
      <c r="U1149" s="1080">
        <f>+Modificaciones!AC1149</f>
        <v>0</v>
      </c>
      <c r="V1149" s="825">
        <f>+Modificaciones!AK1149</f>
        <v>0</v>
      </c>
      <c r="W1149" s="825">
        <f t="shared" si="215"/>
        <v>0</v>
      </c>
      <c r="X1149" s="59">
        <f t="shared" si="216"/>
        <v>0</v>
      </c>
      <c r="Y1149" s="151">
        <f>VLOOKUP(E1149,Modificaciones!$B$7:$BE$2300,56,0)</f>
        <v>0</v>
      </c>
      <c r="Z1149" s="84">
        <f t="shared" si="217"/>
        <v>0</v>
      </c>
      <c r="AA1149" s="1000"/>
      <c r="AB1149" s="823" t="e">
        <f t="shared" si="218"/>
        <v>#DIV/0!</v>
      </c>
      <c r="AC1149" s="40" t="e">
        <f t="shared" ca="1" si="219"/>
        <v>#DIV/0!</v>
      </c>
      <c r="AD1149" s="41" t="e">
        <f t="shared" ca="1" si="220"/>
        <v>#DIV/0!</v>
      </c>
      <c r="AE1149" s="181" t="e">
        <f t="shared" ca="1" si="221"/>
        <v>#DIV/0!</v>
      </c>
      <c r="AF1149" s="42" t="e">
        <f t="shared" si="222"/>
        <v>#DIV/0!</v>
      </c>
      <c r="AG1149" s="838"/>
      <c r="AH1149" s="841"/>
      <c r="AI1149" s="841"/>
      <c r="AJ1149" s="838"/>
      <c r="AL1149" s="838"/>
      <c r="AM1149" s="838"/>
      <c r="AN1149" s="161" t="str">
        <f t="shared" ca="1" si="223"/>
        <v>TERMINO</v>
      </c>
      <c r="AO1149" s="414"/>
      <c r="AP1149" s="406"/>
      <c r="AQ1149" s="819" t="str">
        <f>IFERROR(VLOOKUP(E1149,'liquidaciones '!$B$2:$C$1048576,2,0),"NO")</f>
        <v>NO</v>
      </c>
      <c r="AR1149" s="909" t="str">
        <f>IFERROR(VLOOKUP(E1149,'liquidaciones '!$B$2:$I$1048576,8,0),"")</f>
        <v/>
      </c>
      <c r="AS1149" s="406"/>
      <c r="AT1149" s="156" t="str">
        <f t="shared" ca="1" si="224"/>
        <v>NO</v>
      </c>
      <c r="AU1149" s="1140"/>
      <c r="AV1149" s="1001"/>
      <c r="AX1149" s="928"/>
      <c r="AY1149" s="928"/>
    </row>
    <row r="1150" spans="3:51" x14ac:dyDescent="0.3">
      <c r="C1150" s="837"/>
      <c r="E1150" s="120"/>
      <c r="F1150" s="414"/>
      <c r="G1150" s="863"/>
      <c r="H1150" s="969"/>
      <c r="I1150" s="84"/>
      <c r="J1150" s="839"/>
      <c r="K1150" s="269"/>
      <c r="L1150" s="519"/>
      <c r="M1150" s="840"/>
      <c r="N1150" s="840"/>
      <c r="O1150" s="1099" t="str">
        <f>IF(+Modificaciones!I1150=0,"",VLOOKUP(E1150,Modificaciones!$B$7:$I$2400,8,0))</f>
        <v/>
      </c>
      <c r="P1150" s="115">
        <f>COUNTA(Modificaciones!J1150,Modificaciones!L1150,Modificaciones!N1150,Modificaciones!P1150)</f>
        <v>0</v>
      </c>
      <c r="Q1150" s="116">
        <f>VLOOKUP(E1150,Modificaciones!$B$7:$R$2300,17,0)</f>
        <v>0</v>
      </c>
      <c r="R1150" s="117">
        <f>COUNTA(Modificaciones!T1150,Modificaciones!V1150,Modificaciones!X1150,Modificaciones!Z1150)</f>
        <v>0</v>
      </c>
      <c r="S1150" s="118" t="str">
        <f>IF(Modificaciones!AA1150=0,"",VLOOKUP(E1150,Modificaciones!$B$7:$AA$2400,26,0))</f>
        <v/>
      </c>
      <c r="T1150" s="119" t="str">
        <f>IF(Modificaciones!AB1150=0,"",VLOOKUP(E1150,Modificaciones!$B$7:$AB$2400,27,0))</f>
        <v/>
      </c>
      <c r="U1150" s="1080">
        <f>+Modificaciones!AC1150</f>
        <v>0</v>
      </c>
      <c r="V1150" s="825">
        <f>+Modificaciones!AK1150</f>
        <v>0</v>
      </c>
      <c r="W1150" s="825">
        <f t="shared" si="215"/>
        <v>0</v>
      </c>
      <c r="X1150" s="59">
        <f t="shared" si="216"/>
        <v>0</v>
      </c>
      <c r="Y1150" s="151">
        <f>VLOOKUP(E1150,Modificaciones!$B$7:$BE$2300,56,0)</f>
        <v>0</v>
      </c>
      <c r="Z1150" s="84">
        <f t="shared" si="217"/>
        <v>0</v>
      </c>
      <c r="AA1150" s="1000"/>
      <c r="AB1150" s="823" t="e">
        <f t="shared" si="218"/>
        <v>#DIV/0!</v>
      </c>
      <c r="AC1150" s="40" t="e">
        <f t="shared" ca="1" si="219"/>
        <v>#DIV/0!</v>
      </c>
      <c r="AD1150" s="41" t="e">
        <f t="shared" ca="1" si="220"/>
        <v>#DIV/0!</v>
      </c>
      <c r="AE1150" s="181" t="e">
        <f t="shared" ca="1" si="221"/>
        <v>#DIV/0!</v>
      </c>
      <c r="AF1150" s="42" t="e">
        <f t="shared" si="222"/>
        <v>#DIV/0!</v>
      </c>
      <c r="AG1150" s="838"/>
      <c r="AH1150" s="841"/>
      <c r="AI1150" s="841"/>
      <c r="AJ1150" s="838"/>
      <c r="AL1150" s="838"/>
      <c r="AM1150" s="838"/>
      <c r="AN1150" s="161" t="str">
        <f t="shared" ca="1" si="223"/>
        <v>TERMINO</v>
      </c>
      <c r="AO1150" s="414"/>
      <c r="AP1150" s="406"/>
      <c r="AQ1150" s="819" t="str">
        <f>IFERROR(VLOOKUP(E1150,'liquidaciones '!$B$2:$C$1048576,2,0),"NO")</f>
        <v>NO</v>
      </c>
      <c r="AR1150" s="909" t="str">
        <f>IFERROR(VLOOKUP(E1150,'liquidaciones '!$B$2:$I$1048576,8,0),"")</f>
        <v/>
      </c>
      <c r="AS1150" s="406"/>
      <c r="AT1150" s="156" t="str">
        <f t="shared" ca="1" si="224"/>
        <v>NO</v>
      </c>
      <c r="AU1150" s="1140"/>
      <c r="AV1150" s="1001"/>
      <c r="AX1150" s="928"/>
      <c r="AY1150" s="928"/>
    </row>
    <row r="1151" spans="3:51" x14ac:dyDescent="0.3">
      <c r="C1151" s="837"/>
      <c r="E1151" s="120"/>
      <c r="F1151" s="414"/>
      <c r="G1151" s="863"/>
      <c r="H1151" s="969"/>
      <c r="I1151" s="84"/>
      <c r="J1151" s="839"/>
      <c r="K1151" s="269"/>
      <c r="L1151" s="519"/>
      <c r="M1151" s="840"/>
      <c r="N1151" s="840"/>
      <c r="O1151" s="1099" t="str">
        <f>IF(+Modificaciones!I1151=0,"",VLOOKUP(E1151,Modificaciones!$B$7:$I$2400,8,0))</f>
        <v/>
      </c>
      <c r="P1151" s="115">
        <f>COUNTA(Modificaciones!J1151,Modificaciones!L1151,Modificaciones!N1151,Modificaciones!P1151)</f>
        <v>0</v>
      </c>
      <c r="Q1151" s="116">
        <f>VLOOKUP(E1151,Modificaciones!$B$7:$R$2300,17,0)</f>
        <v>0</v>
      </c>
      <c r="R1151" s="117">
        <f>COUNTA(Modificaciones!T1151,Modificaciones!V1151,Modificaciones!X1151,Modificaciones!Z1151)</f>
        <v>0</v>
      </c>
      <c r="S1151" s="118" t="str">
        <f>IF(Modificaciones!AA1151=0,"",VLOOKUP(E1151,Modificaciones!$B$7:$AA$2400,26,0))</f>
        <v/>
      </c>
      <c r="T1151" s="119" t="str">
        <f>IF(Modificaciones!AB1151=0,"",VLOOKUP(E1151,Modificaciones!$B$7:$AB$2400,27,0))</f>
        <v/>
      </c>
      <c r="U1151" s="1080">
        <f>+Modificaciones!AC1151</f>
        <v>0</v>
      </c>
      <c r="V1151" s="825">
        <f>+Modificaciones!AK1151</f>
        <v>0</v>
      </c>
      <c r="W1151" s="825">
        <f t="shared" si="215"/>
        <v>0</v>
      </c>
      <c r="X1151" s="59">
        <f t="shared" si="216"/>
        <v>0</v>
      </c>
      <c r="Y1151" s="151">
        <f>VLOOKUP(E1151,Modificaciones!$B$7:$BE$2300,56,0)</f>
        <v>0</v>
      </c>
      <c r="Z1151" s="84">
        <f t="shared" si="217"/>
        <v>0</v>
      </c>
      <c r="AA1151" s="1000"/>
      <c r="AB1151" s="823" t="e">
        <f t="shared" si="218"/>
        <v>#DIV/0!</v>
      </c>
      <c r="AC1151" s="40" t="e">
        <f t="shared" ca="1" si="219"/>
        <v>#DIV/0!</v>
      </c>
      <c r="AD1151" s="41" t="e">
        <f t="shared" ca="1" si="220"/>
        <v>#DIV/0!</v>
      </c>
      <c r="AE1151" s="181" t="e">
        <f t="shared" ca="1" si="221"/>
        <v>#DIV/0!</v>
      </c>
      <c r="AF1151" s="42" t="e">
        <f t="shared" si="222"/>
        <v>#DIV/0!</v>
      </c>
      <c r="AG1151" s="838"/>
      <c r="AH1151" s="841"/>
      <c r="AI1151" s="841"/>
      <c r="AJ1151" s="838"/>
      <c r="AL1151" s="838"/>
      <c r="AM1151" s="838"/>
      <c r="AN1151" s="161" t="str">
        <f t="shared" ca="1" si="223"/>
        <v>TERMINO</v>
      </c>
      <c r="AO1151" s="414"/>
      <c r="AP1151" s="406"/>
      <c r="AQ1151" s="819" t="str">
        <f>IFERROR(VLOOKUP(E1151,'liquidaciones '!$B$2:$C$1048576,2,0),"NO")</f>
        <v>NO</v>
      </c>
      <c r="AR1151" s="909" t="str">
        <f>IFERROR(VLOOKUP(E1151,'liquidaciones '!$B$2:$I$1048576,8,0),"")</f>
        <v/>
      </c>
      <c r="AS1151" s="406"/>
      <c r="AT1151" s="156" t="str">
        <f t="shared" ca="1" si="224"/>
        <v>NO</v>
      </c>
      <c r="AU1151" s="1140"/>
      <c r="AV1151" s="1001"/>
      <c r="AX1151" s="928"/>
      <c r="AY1151" s="928"/>
    </row>
    <row r="1152" spans="3:51" x14ac:dyDescent="0.3">
      <c r="C1152" s="837"/>
      <c r="E1152" s="120"/>
      <c r="F1152" s="414"/>
      <c r="G1152" s="863"/>
      <c r="H1152" s="969"/>
      <c r="I1152" s="84"/>
      <c r="J1152" s="839"/>
      <c r="K1152" s="269"/>
      <c r="L1152" s="519"/>
      <c r="M1152" s="840"/>
      <c r="N1152" s="840"/>
      <c r="O1152" s="1099" t="str">
        <f>IF(+Modificaciones!I1152=0,"",VLOOKUP(E1152,Modificaciones!$B$7:$I$2400,8,0))</f>
        <v/>
      </c>
      <c r="P1152" s="115">
        <f>COUNTA(Modificaciones!J1152,Modificaciones!L1152,Modificaciones!N1152,Modificaciones!P1152)</f>
        <v>0</v>
      </c>
      <c r="Q1152" s="116">
        <f>VLOOKUP(E1152,Modificaciones!$B$7:$R$2300,17,0)</f>
        <v>0</v>
      </c>
      <c r="R1152" s="117">
        <f>COUNTA(Modificaciones!T1152,Modificaciones!V1152,Modificaciones!X1152,Modificaciones!Z1152)</f>
        <v>0</v>
      </c>
      <c r="S1152" s="118" t="str">
        <f>IF(Modificaciones!AA1152=0,"",VLOOKUP(E1152,Modificaciones!$B$7:$AA$2400,26,0))</f>
        <v/>
      </c>
      <c r="T1152" s="119" t="str">
        <f>IF(Modificaciones!AB1152=0,"",VLOOKUP(E1152,Modificaciones!$B$7:$AB$2400,27,0))</f>
        <v/>
      </c>
      <c r="U1152" s="1080">
        <f>+Modificaciones!AC1152</f>
        <v>0</v>
      </c>
      <c r="V1152" s="825">
        <f>+Modificaciones!AK1152</f>
        <v>0</v>
      </c>
      <c r="W1152" s="825">
        <f t="shared" si="215"/>
        <v>0</v>
      </c>
      <c r="X1152" s="59">
        <f t="shared" si="216"/>
        <v>0</v>
      </c>
      <c r="Y1152" s="151">
        <f>VLOOKUP(E1152,Modificaciones!$B$7:$BE$2300,56,0)</f>
        <v>0</v>
      </c>
      <c r="Z1152" s="84">
        <f t="shared" si="217"/>
        <v>0</v>
      </c>
      <c r="AA1152" s="1000"/>
      <c r="AB1152" s="823" t="e">
        <f t="shared" si="218"/>
        <v>#DIV/0!</v>
      </c>
      <c r="AC1152" s="40" t="e">
        <f t="shared" ca="1" si="219"/>
        <v>#DIV/0!</v>
      </c>
      <c r="AD1152" s="41" t="e">
        <f t="shared" ca="1" si="220"/>
        <v>#DIV/0!</v>
      </c>
      <c r="AE1152" s="181" t="e">
        <f t="shared" ca="1" si="221"/>
        <v>#DIV/0!</v>
      </c>
      <c r="AF1152" s="42" t="e">
        <f t="shared" si="222"/>
        <v>#DIV/0!</v>
      </c>
      <c r="AG1152" s="838"/>
      <c r="AH1152" s="841"/>
      <c r="AI1152" s="841"/>
      <c r="AJ1152" s="838"/>
      <c r="AL1152" s="838"/>
      <c r="AM1152" s="838"/>
      <c r="AN1152" s="161" t="str">
        <f t="shared" ca="1" si="223"/>
        <v>TERMINO</v>
      </c>
      <c r="AO1152" s="414"/>
      <c r="AP1152" s="406"/>
      <c r="AQ1152" s="819" t="str">
        <f>IFERROR(VLOOKUP(E1152,'liquidaciones '!$B$2:$C$1048576,2,0),"NO")</f>
        <v>NO</v>
      </c>
      <c r="AR1152" s="909" t="str">
        <f>IFERROR(VLOOKUP(E1152,'liquidaciones '!$B$2:$I$1048576,8,0),"")</f>
        <v/>
      </c>
      <c r="AS1152" s="406"/>
      <c r="AT1152" s="156" t="str">
        <f t="shared" ca="1" si="224"/>
        <v>NO</v>
      </c>
      <c r="AU1152" s="1140"/>
      <c r="AV1152" s="1001"/>
      <c r="AX1152" s="928"/>
      <c r="AY1152" s="928"/>
    </row>
    <row r="1153" spans="3:51" x14ac:dyDescent="0.3">
      <c r="C1153" s="837"/>
      <c r="E1153" s="120"/>
      <c r="F1153" s="414"/>
      <c r="G1153" s="863"/>
      <c r="H1153" s="969"/>
      <c r="I1153" s="84"/>
      <c r="J1153" s="839"/>
      <c r="K1153" s="269"/>
      <c r="L1153" s="519"/>
      <c r="M1153" s="840"/>
      <c r="N1153" s="840"/>
      <c r="O1153" s="1099" t="str">
        <f>IF(+Modificaciones!I1153=0,"",VLOOKUP(E1153,Modificaciones!$B$7:$I$2400,8,0))</f>
        <v/>
      </c>
      <c r="P1153" s="115">
        <f>COUNTA(Modificaciones!J1153,Modificaciones!L1153,Modificaciones!N1153,Modificaciones!P1153)</f>
        <v>0</v>
      </c>
      <c r="Q1153" s="116">
        <f>VLOOKUP(E1153,Modificaciones!$B$7:$R$2300,17,0)</f>
        <v>0</v>
      </c>
      <c r="R1153" s="117">
        <f>COUNTA(Modificaciones!T1153,Modificaciones!V1153,Modificaciones!X1153,Modificaciones!Z1153)</f>
        <v>0</v>
      </c>
      <c r="S1153" s="118" t="str">
        <f>IF(Modificaciones!AA1153=0,"",VLOOKUP(E1153,Modificaciones!$B$7:$AA$2400,26,0))</f>
        <v/>
      </c>
      <c r="T1153" s="119" t="str">
        <f>IF(Modificaciones!AB1153=0,"",VLOOKUP(E1153,Modificaciones!$B$7:$AB$2400,27,0))</f>
        <v/>
      </c>
      <c r="U1153" s="1080">
        <f>+Modificaciones!AC1153</f>
        <v>0</v>
      </c>
      <c r="V1153" s="825">
        <f>+Modificaciones!AK1153</f>
        <v>0</v>
      </c>
      <c r="W1153" s="825">
        <f t="shared" si="215"/>
        <v>0</v>
      </c>
      <c r="X1153" s="59">
        <f t="shared" si="216"/>
        <v>0</v>
      </c>
      <c r="Y1153" s="151">
        <f>VLOOKUP(E1153,Modificaciones!$B$7:$BE$2300,56,0)</f>
        <v>0</v>
      </c>
      <c r="Z1153" s="84">
        <f t="shared" si="217"/>
        <v>0</v>
      </c>
      <c r="AA1153" s="1000"/>
      <c r="AB1153" s="823" t="e">
        <f t="shared" si="218"/>
        <v>#DIV/0!</v>
      </c>
      <c r="AC1153" s="40" t="e">
        <f t="shared" ca="1" si="219"/>
        <v>#DIV/0!</v>
      </c>
      <c r="AD1153" s="41" t="e">
        <f t="shared" ca="1" si="220"/>
        <v>#DIV/0!</v>
      </c>
      <c r="AE1153" s="181" t="e">
        <f t="shared" ca="1" si="221"/>
        <v>#DIV/0!</v>
      </c>
      <c r="AF1153" s="42" t="e">
        <f t="shared" si="222"/>
        <v>#DIV/0!</v>
      </c>
      <c r="AG1153" s="838"/>
      <c r="AH1153" s="841"/>
      <c r="AI1153" s="841"/>
      <c r="AJ1153" s="838"/>
      <c r="AL1153" s="838"/>
      <c r="AM1153" s="838"/>
      <c r="AN1153" s="161" t="str">
        <f t="shared" ca="1" si="223"/>
        <v>TERMINO</v>
      </c>
      <c r="AO1153" s="414"/>
      <c r="AP1153" s="406"/>
      <c r="AQ1153" s="819" t="str">
        <f>IFERROR(VLOOKUP(E1153,'liquidaciones '!$B$2:$C$1048576,2,0),"NO")</f>
        <v>NO</v>
      </c>
      <c r="AR1153" s="909" t="str">
        <f>IFERROR(VLOOKUP(E1153,'liquidaciones '!$B$2:$I$1048576,8,0),"")</f>
        <v/>
      </c>
      <c r="AS1153" s="406"/>
      <c r="AT1153" s="156" t="str">
        <f t="shared" ca="1" si="224"/>
        <v>NO</v>
      </c>
      <c r="AU1153" s="1140"/>
      <c r="AV1153" s="1001"/>
      <c r="AX1153" s="928"/>
      <c r="AY1153" s="928"/>
    </row>
    <row r="1154" spans="3:51" x14ac:dyDescent="0.3">
      <c r="C1154" s="837"/>
      <c r="E1154" s="120"/>
      <c r="F1154" s="414"/>
      <c r="G1154" s="863"/>
      <c r="H1154" s="969"/>
      <c r="I1154" s="84"/>
      <c r="J1154" s="839"/>
      <c r="K1154" s="269"/>
      <c r="L1154" s="519"/>
      <c r="M1154" s="840"/>
      <c r="N1154" s="840"/>
      <c r="O1154" s="1099" t="str">
        <f>IF(+Modificaciones!I1154=0,"",VLOOKUP(E1154,Modificaciones!$B$7:$I$2400,8,0))</f>
        <v/>
      </c>
      <c r="P1154" s="115">
        <f>COUNTA(Modificaciones!J1154,Modificaciones!L1154,Modificaciones!N1154,Modificaciones!P1154)</f>
        <v>0</v>
      </c>
      <c r="Q1154" s="116">
        <f>VLOOKUP(E1154,Modificaciones!$B$7:$R$2300,17,0)</f>
        <v>0</v>
      </c>
      <c r="R1154" s="117">
        <f>COUNTA(Modificaciones!T1154,Modificaciones!V1154,Modificaciones!X1154,Modificaciones!Z1154)</f>
        <v>0</v>
      </c>
      <c r="S1154" s="118" t="str">
        <f>IF(Modificaciones!AA1154=0,"",VLOOKUP(E1154,Modificaciones!$B$7:$AA$2400,26,0))</f>
        <v/>
      </c>
      <c r="T1154" s="119" t="str">
        <f>IF(Modificaciones!AB1154=0,"",VLOOKUP(E1154,Modificaciones!$B$7:$AB$2400,27,0))</f>
        <v/>
      </c>
      <c r="U1154" s="1080">
        <f>+Modificaciones!AC1154</f>
        <v>0</v>
      </c>
      <c r="V1154" s="825">
        <f>+Modificaciones!AK1154</f>
        <v>0</v>
      </c>
      <c r="W1154" s="825">
        <f t="shared" si="215"/>
        <v>0</v>
      </c>
      <c r="X1154" s="59">
        <f t="shared" si="216"/>
        <v>0</v>
      </c>
      <c r="Y1154" s="151">
        <f>VLOOKUP(E1154,Modificaciones!$B$7:$BE$2300,56,0)</f>
        <v>0</v>
      </c>
      <c r="Z1154" s="84">
        <f t="shared" si="217"/>
        <v>0</v>
      </c>
      <c r="AA1154" s="1000"/>
      <c r="AB1154" s="823" t="e">
        <f t="shared" si="218"/>
        <v>#DIV/0!</v>
      </c>
      <c r="AC1154" s="40" t="e">
        <f t="shared" ca="1" si="219"/>
        <v>#DIV/0!</v>
      </c>
      <c r="AD1154" s="41" t="e">
        <f t="shared" ca="1" si="220"/>
        <v>#DIV/0!</v>
      </c>
      <c r="AE1154" s="181" t="e">
        <f t="shared" ca="1" si="221"/>
        <v>#DIV/0!</v>
      </c>
      <c r="AF1154" s="42" t="e">
        <f t="shared" si="222"/>
        <v>#DIV/0!</v>
      </c>
      <c r="AG1154" s="838"/>
      <c r="AH1154" s="841"/>
      <c r="AI1154" s="841"/>
      <c r="AJ1154" s="838"/>
      <c r="AL1154" s="838"/>
      <c r="AM1154" s="838"/>
      <c r="AN1154" s="161" t="str">
        <f t="shared" ca="1" si="223"/>
        <v>TERMINO</v>
      </c>
      <c r="AO1154" s="414"/>
      <c r="AP1154" s="406"/>
      <c r="AQ1154" s="819" t="str">
        <f>IFERROR(VLOOKUP(E1154,'liquidaciones '!$B$2:$C$1048576,2,0),"NO")</f>
        <v>NO</v>
      </c>
      <c r="AR1154" s="909" t="str">
        <f>IFERROR(VLOOKUP(E1154,'liquidaciones '!$B$2:$I$1048576,8,0),"")</f>
        <v/>
      </c>
      <c r="AS1154" s="406"/>
      <c r="AT1154" s="156" t="str">
        <f t="shared" ca="1" si="224"/>
        <v>NO</v>
      </c>
      <c r="AU1154" s="1140"/>
      <c r="AV1154" s="1001"/>
      <c r="AX1154" s="928"/>
      <c r="AY1154" s="928"/>
    </row>
    <row r="1155" spans="3:51" x14ac:dyDescent="0.3">
      <c r="C1155" s="837"/>
      <c r="E1155" s="120"/>
      <c r="F1155" s="414"/>
      <c r="G1155" s="863"/>
      <c r="H1155" s="969"/>
      <c r="I1155" s="84"/>
      <c r="J1155" s="839"/>
      <c r="K1155" s="269"/>
      <c r="L1155" s="519"/>
      <c r="M1155" s="840"/>
      <c r="N1155" s="840"/>
      <c r="O1155" s="1099" t="str">
        <f>IF(+Modificaciones!I1155=0,"",VLOOKUP(E1155,Modificaciones!$B$7:$I$2400,8,0))</f>
        <v/>
      </c>
      <c r="P1155" s="115">
        <f>COUNTA(Modificaciones!J1155,Modificaciones!L1155,Modificaciones!N1155,Modificaciones!P1155)</f>
        <v>0</v>
      </c>
      <c r="Q1155" s="116">
        <f>VLOOKUP(E1155,Modificaciones!$B$7:$R$2300,17,0)</f>
        <v>0</v>
      </c>
      <c r="R1155" s="117">
        <f>COUNTA(Modificaciones!T1155,Modificaciones!V1155,Modificaciones!X1155,Modificaciones!Z1155)</f>
        <v>0</v>
      </c>
      <c r="S1155" s="118" t="str">
        <f>IF(Modificaciones!AA1155=0,"",VLOOKUP(E1155,Modificaciones!$B$7:$AA$2400,26,0))</f>
        <v/>
      </c>
      <c r="T1155" s="119" t="str">
        <f>IF(Modificaciones!AB1155=0,"",VLOOKUP(E1155,Modificaciones!$B$7:$AB$2400,27,0))</f>
        <v/>
      </c>
      <c r="U1155" s="1080">
        <f>+Modificaciones!AC1155</f>
        <v>0</v>
      </c>
      <c r="V1155" s="825">
        <f>+Modificaciones!AK1155</f>
        <v>0</v>
      </c>
      <c r="W1155" s="825">
        <f t="shared" si="215"/>
        <v>0</v>
      </c>
      <c r="X1155" s="59">
        <f t="shared" si="216"/>
        <v>0</v>
      </c>
      <c r="Y1155" s="151">
        <f>VLOOKUP(E1155,Modificaciones!$B$7:$BE$2300,56,0)</f>
        <v>0</v>
      </c>
      <c r="Z1155" s="84">
        <f t="shared" si="217"/>
        <v>0</v>
      </c>
      <c r="AA1155" s="1000"/>
      <c r="AB1155" s="823" t="e">
        <f t="shared" si="218"/>
        <v>#DIV/0!</v>
      </c>
      <c r="AC1155" s="40" t="e">
        <f t="shared" ca="1" si="219"/>
        <v>#DIV/0!</v>
      </c>
      <c r="AD1155" s="41" t="e">
        <f t="shared" ca="1" si="220"/>
        <v>#DIV/0!</v>
      </c>
      <c r="AE1155" s="181" t="e">
        <f t="shared" ca="1" si="221"/>
        <v>#DIV/0!</v>
      </c>
      <c r="AF1155" s="42" t="e">
        <f t="shared" si="222"/>
        <v>#DIV/0!</v>
      </c>
      <c r="AG1155" s="838"/>
      <c r="AH1155" s="841"/>
      <c r="AI1155" s="841"/>
      <c r="AJ1155" s="838"/>
      <c r="AL1155" s="838"/>
      <c r="AM1155" s="838"/>
      <c r="AN1155" s="161" t="str">
        <f t="shared" ca="1" si="223"/>
        <v>TERMINO</v>
      </c>
      <c r="AO1155" s="414"/>
      <c r="AP1155" s="406"/>
      <c r="AQ1155" s="819" t="str">
        <f>IFERROR(VLOOKUP(E1155,'liquidaciones '!$B$2:$C$1048576,2,0),"NO")</f>
        <v>NO</v>
      </c>
      <c r="AR1155" s="909" t="str">
        <f>IFERROR(VLOOKUP(E1155,'liquidaciones '!$B$2:$I$1048576,8,0),"")</f>
        <v/>
      </c>
      <c r="AS1155" s="406"/>
      <c r="AT1155" s="156" t="str">
        <f t="shared" ca="1" si="224"/>
        <v>NO</v>
      </c>
      <c r="AU1155" s="1140"/>
      <c r="AV1155" s="1001"/>
      <c r="AX1155" s="928"/>
      <c r="AY1155" s="928"/>
    </row>
    <row r="1156" spans="3:51" x14ac:dyDescent="0.3">
      <c r="C1156" s="837"/>
      <c r="E1156" s="120"/>
      <c r="F1156" s="414"/>
      <c r="G1156" s="863"/>
      <c r="H1156" s="969"/>
      <c r="I1156" s="84"/>
      <c r="J1156" s="839"/>
      <c r="K1156" s="269"/>
      <c r="L1156" s="519"/>
      <c r="M1156" s="840"/>
      <c r="N1156" s="840"/>
      <c r="O1156" s="1099" t="str">
        <f>IF(+Modificaciones!I1156=0,"",VLOOKUP(E1156,Modificaciones!$B$7:$I$2400,8,0))</f>
        <v/>
      </c>
      <c r="P1156" s="115">
        <f>COUNTA(Modificaciones!J1156,Modificaciones!L1156,Modificaciones!N1156,Modificaciones!P1156)</f>
        <v>0</v>
      </c>
      <c r="Q1156" s="116">
        <f>VLOOKUP(E1156,Modificaciones!$B$7:$R$2300,17,0)</f>
        <v>0</v>
      </c>
      <c r="R1156" s="117">
        <f>COUNTA(Modificaciones!T1156,Modificaciones!V1156,Modificaciones!X1156,Modificaciones!Z1156)</f>
        <v>0</v>
      </c>
      <c r="S1156" s="118" t="str">
        <f>IF(Modificaciones!AA1156=0,"",VLOOKUP(E1156,Modificaciones!$B$7:$AA$2400,26,0))</f>
        <v/>
      </c>
      <c r="T1156" s="119" t="str">
        <f>IF(Modificaciones!AB1156=0,"",VLOOKUP(E1156,Modificaciones!$B$7:$AB$2400,27,0))</f>
        <v/>
      </c>
      <c r="U1156" s="1080">
        <f>+Modificaciones!AC1156</f>
        <v>0</v>
      </c>
      <c r="V1156" s="825">
        <f>+Modificaciones!AK1156</f>
        <v>0</v>
      </c>
      <c r="W1156" s="825">
        <f t="shared" si="215"/>
        <v>0</v>
      </c>
      <c r="X1156" s="59">
        <f t="shared" si="216"/>
        <v>0</v>
      </c>
      <c r="Y1156" s="151">
        <f>VLOOKUP(E1156,Modificaciones!$B$7:$BE$2300,56,0)</f>
        <v>0</v>
      </c>
      <c r="Z1156" s="84">
        <f t="shared" si="217"/>
        <v>0</v>
      </c>
      <c r="AA1156" s="1000"/>
      <c r="AB1156" s="823" t="e">
        <f t="shared" si="218"/>
        <v>#DIV/0!</v>
      </c>
      <c r="AC1156" s="40" t="e">
        <f t="shared" ca="1" si="219"/>
        <v>#DIV/0!</v>
      </c>
      <c r="AD1156" s="41" t="e">
        <f t="shared" ca="1" si="220"/>
        <v>#DIV/0!</v>
      </c>
      <c r="AE1156" s="181" t="e">
        <f t="shared" ca="1" si="221"/>
        <v>#DIV/0!</v>
      </c>
      <c r="AF1156" s="42" t="e">
        <f t="shared" si="222"/>
        <v>#DIV/0!</v>
      </c>
      <c r="AG1156" s="838"/>
      <c r="AH1156" s="841"/>
      <c r="AI1156" s="841"/>
      <c r="AJ1156" s="838"/>
      <c r="AL1156" s="838"/>
      <c r="AM1156" s="838"/>
      <c r="AN1156" s="161" t="str">
        <f t="shared" ca="1" si="223"/>
        <v>TERMINO</v>
      </c>
      <c r="AO1156" s="414"/>
      <c r="AP1156" s="406"/>
      <c r="AQ1156" s="819" t="str">
        <f>IFERROR(VLOOKUP(E1156,'liquidaciones '!$B$2:$C$1048576,2,0),"NO")</f>
        <v>NO</v>
      </c>
      <c r="AR1156" s="909" t="str">
        <f>IFERROR(VLOOKUP(E1156,'liquidaciones '!$B$2:$I$1048576,8,0),"")</f>
        <v/>
      </c>
      <c r="AS1156" s="406"/>
      <c r="AT1156" s="156" t="str">
        <f t="shared" ca="1" si="224"/>
        <v>NO</v>
      </c>
      <c r="AU1156" s="1140"/>
      <c r="AV1156" s="1001"/>
      <c r="AX1156" s="928"/>
      <c r="AY1156" s="928"/>
    </row>
    <row r="1157" spans="3:51" x14ac:dyDescent="0.3">
      <c r="C1157" s="837"/>
      <c r="E1157" s="120"/>
      <c r="F1157" s="414"/>
      <c r="G1157" s="863"/>
      <c r="H1157" s="969"/>
      <c r="I1157" s="84"/>
      <c r="J1157" s="839"/>
      <c r="K1157" s="269"/>
      <c r="L1157" s="519"/>
      <c r="M1157" s="840"/>
      <c r="N1157" s="840"/>
      <c r="O1157" s="1099" t="str">
        <f>IF(+Modificaciones!I1157=0,"",VLOOKUP(E1157,Modificaciones!$B$7:$I$2400,8,0))</f>
        <v/>
      </c>
      <c r="P1157" s="115">
        <f>COUNTA(Modificaciones!J1157,Modificaciones!L1157,Modificaciones!N1157,Modificaciones!P1157)</f>
        <v>0</v>
      </c>
      <c r="Q1157" s="116">
        <f>VLOOKUP(E1157,Modificaciones!$B$7:$R$2300,17,0)</f>
        <v>0</v>
      </c>
      <c r="R1157" s="117">
        <f>COUNTA(Modificaciones!T1157,Modificaciones!V1157,Modificaciones!X1157,Modificaciones!Z1157)</f>
        <v>0</v>
      </c>
      <c r="S1157" s="118" t="str">
        <f>IF(Modificaciones!AA1157=0,"",VLOOKUP(E1157,Modificaciones!$B$7:$AA$2400,26,0))</f>
        <v/>
      </c>
      <c r="T1157" s="119" t="str">
        <f>IF(Modificaciones!AB1157=0,"",VLOOKUP(E1157,Modificaciones!$B$7:$AB$2400,27,0))</f>
        <v/>
      </c>
      <c r="U1157" s="1080">
        <f>+Modificaciones!AC1157</f>
        <v>0</v>
      </c>
      <c r="V1157" s="825">
        <f>+Modificaciones!AK1157</f>
        <v>0</v>
      </c>
      <c r="W1157" s="825">
        <f t="shared" si="215"/>
        <v>0</v>
      </c>
      <c r="X1157" s="59">
        <f t="shared" si="216"/>
        <v>0</v>
      </c>
      <c r="Y1157" s="151">
        <f>VLOOKUP(E1157,Modificaciones!$B$7:$BE$2300,56,0)</f>
        <v>0</v>
      </c>
      <c r="Z1157" s="84">
        <f t="shared" si="217"/>
        <v>0</v>
      </c>
      <c r="AA1157" s="1000"/>
      <c r="AB1157" s="823" t="e">
        <f t="shared" si="218"/>
        <v>#DIV/0!</v>
      </c>
      <c r="AC1157" s="40" t="e">
        <f t="shared" ca="1" si="219"/>
        <v>#DIV/0!</v>
      </c>
      <c r="AD1157" s="41" t="e">
        <f t="shared" ca="1" si="220"/>
        <v>#DIV/0!</v>
      </c>
      <c r="AE1157" s="181" t="e">
        <f t="shared" ca="1" si="221"/>
        <v>#DIV/0!</v>
      </c>
      <c r="AF1157" s="42" t="e">
        <f t="shared" si="222"/>
        <v>#DIV/0!</v>
      </c>
      <c r="AG1157" s="838"/>
      <c r="AH1157" s="841"/>
      <c r="AI1157" s="841"/>
      <c r="AJ1157" s="838"/>
      <c r="AL1157" s="838"/>
      <c r="AM1157" s="838"/>
      <c r="AN1157" s="161" t="str">
        <f t="shared" ca="1" si="223"/>
        <v>TERMINO</v>
      </c>
      <c r="AO1157" s="414"/>
      <c r="AP1157" s="406"/>
      <c r="AQ1157" s="819" t="str">
        <f>IFERROR(VLOOKUP(E1157,'liquidaciones '!$B$2:$C$1048576,2,0),"NO")</f>
        <v>NO</v>
      </c>
      <c r="AR1157" s="909" t="str">
        <f>IFERROR(VLOOKUP(E1157,'liquidaciones '!$B$2:$I$1048576,8,0),"")</f>
        <v/>
      </c>
      <c r="AS1157" s="406"/>
      <c r="AT1157" s="156" t="str">
        <f t="shared" ca="1" si="224"/>
        <v>NO</v>
      </c>
      <c r="AU1157" s="1140"/>
      <c r="AV1157" s="1001"/>
      <c r="AX1157" s="928"/>
      <c r="AY1157" s="928"/>
    </row>
    <row r="1158" spans="3:51" x14ac:dyDescent="0.3">
      <c r="C1158" s="837"/>
      <c r="E1158" s="120"/>
      <c r="F1158" s="414"/>
      <c r="G1158" s="863"/>
      <c r="H1158" s="969"/>
      <c r="I1158" s="84"/>
      <c r="J1158" s="839"/>
      <c r="K1158" s="269"/>
      <c r="L1158" s="519"/>
      <c r="M1158" s="840"/>
      <c r="N1158" s="840"/>
      <c r="O1158" s="1099" t="str">
        <f>IF(+Modificaciones!I1158=0,"",VLOOKUP(E1158,Modificaciones!$B$7:$I$2400,8,0))</f>
        <v/>
      </c>
      <c r="P1158" s="115">
        <f>COUNTA(Modificaciones!J1158,Modificaciones!L1158,Modificaciones!N1158,Modificaciones!P1158)</f>
        <v>0</v>
      </c>
      <c r="Q1158" s="116">
        <f>VLOOKUP(E1158,Modificaciones!$B$7:$R$2300,17,0)</f>
        <v>0</v>
      </c>
      <c r="R1158" s="117">
        <f>COUNTA(Modificaciones!T1158,Modificaciones!V1158,Modificaciones!X1158,Modificaciones!Z1158)</f>
        <v>0</v>
      </c>
      <c r="S1158" s="118" t="str">
        <f>IF(Modificaciones!AA1158=0,"",VLOOKUP(E1158,Modificaciones!$B$7:$AA$2400,26,0))</f>
        <v/>
      </c>
      <c r="T1158" s="119" t="str">
        <f>IF(Modificaciones!AB1158=0,"",VLOOKUP(E1158,Modificaciones!$B$7:$AB$2400,27,0))</f>
        <v/>
      </c>
      <c r="U1158" s="1080">
        <f>+Modificaciones!AC1158</f>
        <v>0</v>
      </c>
      <c r="V1158" s="825">
        <f>+Modificaciones!AK1158</f>
        <v>0</v>
      </c>
      <c r="W1158" s="825">
        <f t="shared" si="215"/>
        <v>0</v>
      </c>
      <c r="X1158" s="59">
        <f t="shared" si="216"/>
        <v>0</v>
      </c>
      <c r="Y1158" s="151">
        <f>VLOOKUP(E1158,Modificaciones!$B$7:$BE$2300,56,0)</f>
        <v>0</v>
      </c>
      <c r="Z1158" s="84">
        <f t="shared" si="217"/>
        <v>0</v>
      </c>
      <c r="AA1158" s="1000"/>
      <c r="AB1158" s="823" t="e">
        <f t="shared" si="218"/>
        <v>#DIV/0!</v>
      </c>
      <c r="AC1158" s="40" t="e">
        <f t="shared" ca="1" si="219"/>
        <v>#DIV/0!</v>
      </c>
      <c r="AD1158" s="41" t="e">
        <f t="shared" ca="1" si="220"/>
        <v>#DIV/0!</v>
      </c>
      <c r="AE1158" s="181" t="e">
        <f t="shared" ca="1" si="221"/>
        <v>#DIV/0!</v>
      </c>
      <c r="AF1158" s="42" t="e">
        <f t="shared" si="222"/>
        <v>#DIV/0!</v>
      </c>
      <c r="AG1158" s="838"/>
      <c r="AH1158" s="841"/>
      <c r="AI1158" s="841"/>
      <c r="AJ1158" s="838"/>
      <c r="AL1158" s="838"/>
      <c r="AM1158" s="838"/>
      <c r="AN1158" s="161" t="str">
        <f t="shared" ca="1" si="223"/>
        <v>TERMINO</v>
      </c>
      <c r="AO1158" s="414"/>
      <c r="AP1158" s="406"/>
      <c r="AQ1158" s="819" t="str">
        <f>IFERROR(VLOOKUP(E1158,'liquidaciones '!$B$2:$C$1048576,2,0),"NO")</f>
        <v>NO</v>
      </c>
      <c r="AR1158" s="909" t="str">
        <f>IFERROR(VLOOKUP(E1158,'liquidaciones '!$B$2:$I$1048576,8,0),"")</f>
        <v/>
      </c>
      <c r="AS1158" s="406"/>
      <c r="AT1158" s="156" t="str">
        <f t="shared" ca="1" si="224"/>
        <v>NO</v>
      </c>
      <c r="AU1158" s="1140"/>
      <c r="AV1158" s="1001"/>
      <c r="AX1158" s="928"/>
      <c r="AY1158" s="928"/>
    </row>
    <row r="1159" spans="3:51" x14ac:dyDescent="0.3">
      <c r="C1159" s="837"/>
      <c r="E1159" s="120"/>
      <c r="F1159" s="414"/>
      <c r="G1159" s="863"/>
      <c r="H1159" s="969"/>
      <c r="I1159" s="84"/>
      <c r="J1159" s="839"/>
      <c r="K1159" s="269"/>
      <c r="L1159" s="519"/>
      <c r="M1159" s="840"/>
      <c r="N1159" s="840"/>
      <c r="O1159" s="1099" t="str">
        <f>IF(+Modificaciones!I1159=0,"",VLOOKUP(E1159,Modificaciones!$B$7:$I$2400,8,0))</f>
        <v/>
      </c>
      <c r="P1159" s="115">
        <f>COUNTA(Modificaciones!J1159,Modificaciones!L1159,Modificaciones!N1159,Modificaciones!P1159)</f>
        <v>0</v>
      </c>
      <c r="Q1159" s="116">
        <f>VLOOKUP(E1159,Modificaciones!$B$7:$R$2300,17,0)</f>
        <v>0</v>
      </c>
      <c r="R1159" s="117">
        <f>COUNTA(Modificaciones!T1159,Modificaciones!V1159,Modificaciones!X1159,Modificaciones!Z1159)</f>
        <v>0</v>
      </c>
      <c r="S1159" s="118" t="str">
        <f>IF(Modificaciones!AA1159=0,"",VLOOKUP(E1159,Modificaciones!$B$7:$AA$2400,26,0))</f>
        <v/>
      </c>
      <c r="T1159" s="119" t="str">
        <f>IF(Modificaciones!AB1159=0,"",VLOOKUP(E1159,Modificaciones!$B$7:$AB$2400,27,0))</f>
        <v/>
      </c>
      <c r="U1159" s="1080">
        <f>+Modificaciones!AC1159</f>
        <v>0</v>
      </c>
      <c r="V1159" s="825">
        <f>+Modificaciones!AK1159</f>
        <v>0</v>
      </c>
      <c r="W1159" s="825">
        <f t="shared" si="215"/>
        <v>0</v>
      </c>
      <c r="X1159" s="59">
        <f t="shared" si="216"/>
        <v>0</v>
      </c>
      <c r="Y1159" s="151">
        <f>VLOOKUP(E1159,Modificaciones!$B$7:$BE$2300,56,0)</f>
        <v>0</v>
      </c>
      <c r="Z1159" s="84">
        <f t="shared" si="217"/>
        <v>0</v>
      </c>
      <c r="AA1159" s="1000"/>
      <c r="AB1159" s="823" t="e">
        <f t="shared" si="218"/>
        <v>#DIV/0!</v>
      </c>
      <c r="AC1159" s="40" t="e">
        <f t="shared" ca="1" si="219"/>
        <v>#DIV/0!</v>
      </c>
      <c r="AD1159" s="41" t="e">
        <f t="shared" ca="1" si="220"/>
        <v>#DIV/0!</v>
      </c>
      <c r="AE1159" s="181" t="e">
        <f t="shared" ca="1" si="221"/>
        <v>#DIV/0!</v>
      </c>
      <c r="AF1159" s="42" t="e">
        <f t="shared" si="222"/>
        <v>#DIV/0!</v>
      </c>
      <c r="AG1159" s="838"/>
      <c r="AH1159" s="841"/>
      <c r="AI1159" s="841"/>
      <c r="AJ1159" s="838"/>
      <c r="AL1159" s="838"/>
      <c r="AM1159" s="838"/>
      <c r="AN1159" s="161" t="str">
        <f t="shared" ca="1" si="223"/>
        <v>TERMINO</v>
      </c>
      <c r="AO1159" s="414"/>
      <c r="AP1159" s="406"/>
      <c r="AQ1159" s="819" t="str">
        <f>IFERROR(VLOOKUP(E1159,'liquidaciones '!$B$2:$C$1048576,2,0),"NO")</f>
        <v>NO</v>
      </c>
      <c r="AR1159" s="909" t="str">
        <f>IFERROR(VLOOKUP(E1159,'liquidaciones '!$B$2:$I$1048576,8,0),"")</f>
        <v/>
      </c>
      <c r="AS1159" s="406"/>
      <c r="AT1159" s="156" t="str">
        <f t="shared" ca="1" si="224"/>
        <v>NO</v>
      </c>
      <c r="AU1159" s="1140"/>
      <c r="AV1159" s="1001"/>
      <c r="AX1159" s="928"/>
      <c r="AY1159" s="928"/>
    </row>
    <row r="1160" spans="3:51" x14ac:dyDescent="0.3">
      <c r="C1160" s="837"/>
      <c r="E1160" s="120"/>
      <c r="F1160" s="414"/>
      <c r="G1160" s="863"/>
      <c r="H1160" s="969"/>
      <c r="I1160" s="84"/>
      <c r="J1160" s="839"/>
      <c r="K1160" s="269"/>
      <c r="L1160" s="519"/>
      <c r="M1160" s="840"/>
      <c r="N1160" s="840"/>
      <c r="O1160" s="1099" t="str">
        <f>IF(+Modificaciones!I1160=0,"",VLOOKUP(E1160,Modificaciones!$B$7:$I$2400,8,0))</f>
        <v/>
      </c>
      <c r="P1160" s="115">
        <f>COUNTA(Modificaciones!J1160,Modificaciones!L1160,Modificaciones!N1160,Modificaciones!P1160)</f>
        <v>0</v>
      </c>
      <c r="Q1160" s="116">
        <f>VLOOKUP(E1160,Modificaciones!$B$7:$R$2300,17,0)</f>
        <v>0</v>
      </c>
      <c r="R1160" s="117">
        <f>COUNTA(Modificaciones!T1160,Modificaciones!V1160,Modificaciones!X1160,Modificaciones!Z1160)</f>
        <v>0</v>
      </c>
      <c r="S1160" s="118" t="str">
        <f>IF(Modificaciones!AA1160=0,"",VLOOKUP(E1160,Modificaciones!$B$7:$AA$2400,26,0))</f>
        <v/>
      </c>
      <c r="T1160" s="119" t="str">
        <f>IF(Modificaciones!AB1160=0,"",VLOOKUP(E1160,Modificaciones!$B$7:$AB$2400,27,0))</f>
        <v/>
      </c>
      <c r="U1160" s="1080">
        <f>+Modificaciones!AC1160</f>
        <v>0</v>
      </c>
      <c r="V1160" s="825">
        <f>+Modificaciones!AK1160</f>
        <v>0</v>
      </c>
      <c r="W1160" s="825">
        <f t="shared" si="215"/>
        <v>0</v>
      </c>
      <c r="X1160" s="59">
        <f t="shared" si="216"/>
        <v>0</v>
      </c>
      <c r="Y1160" s="151">
        <f>VLOOKUP(E1160,Modificaciones!$B$7:$BE$2300,56,0)</f>
        <v>0</v>
      </c>
      <c r="Z1160" s="84">
        <f t="shared" si="217"/>
        <v>0</v>
      </c>
      <c r="AA1160" s="1000"/>
      <c r="AB1160" s="823" t="e">
        <f t="shared" si="218"/>
        <v>#DIV/0!</v>
      </c>
      <c r="AC1160" s="40" t="e">
        <f t="shared" ca="1" si="219"/>
        <v>#DIV/0!</v>
      </c>
      <c r="AD1160" s="41" t="e">
        <f t="shared" ca="1" si="220"/>
        <v>#DIV/0!</v>
      </c>
      <c r="AE1160" s="181" t="e">
        <f t="shared" ca="1" si="221"/>
        <v>#DIV/0!</v>
      </c>
      <c r="AF1160" s="42" t="e">
        <f t="shared" si="222"/>
        <v>#DIV/0!</v>
      </c>
      <c r="AG1160" s="838"/>
      <c r="AH1160" s="841"/>
      <c r="AI1160" s="841"/>
      <c r="AJ1160" s="838"/>
      <c r="AL1160" s="838"/>
      <c r="AM1160" s="838"/>
      <c r="AN1160" s="161" t="str">
        <f t="shared" ca="1" si="223"/>
        <v>TERMINO</v>
      </c>
      <c r="AO1160" s="414"/>
      <c r="AP1160" s="406"/>
      <c r="AQ1160" s="819" t="str">
        <f>IFERROR(VLOOKUP(E1160,'liquidaciones '!$B$2:$C$1048576,2,0),"NO")</f>
        <v>NO</v>
      </c>
      <c r="AR1160" s="909" t="str">
        <f>IFERROR(VLOOKUP(E1160,'liquidaciones '!$B$2:$I$1048576,8,0),"")</f>
        <v/>
      </c>
      <c r="AS1160" s="406"/>
      <c r="AT1160" s="156" t="str">
        <f t="shared" ca="1" si="224"/>
        <v>NO</v>
      </c>
      <c r="AU1160" s="1140"/>
      <c r="AV1160" s="1001"/>
      <c r="AX1160" s="928"/>
      <c r="AY1160" s="928"/>
    </row>
    <row r="1161" spans="3:51" x14ac:dyDescent="0.3">
      <c r="C1161" s="837"/>
      <c r="E1161" s="120"/>
      <c r="F1161" s="414"/>
      <c r="G1161" s="863"/>
      <c r="H1161" s="969"/>
      <c r="I1161" s="84"/>
      <c r="J1161" s="839"/>
      <c r="K1161" s="269"/>
      <c r="L1161" s="519"/>
      <c r="M1161" s="840"/>
      <c r="N1161" s="840"/>
      <c r="O1161" s="1099" t="str">
        <f>IF(+Modificaciones!I1161=0,"",VLOOKUP(E1161,Modificaciones!$B$7:$I$2400,8,0))</f>
        <v/>
      </c>
      <c r="P1161" s="115">
        <f>COUNTA(Modificaciones!J1161,Modificaciones!L1161,Modificaciones!N1161,Modificaciones!P1161)</f>
        <v>0</v>
      </c>
      <c r="Q1161" s="116">
        <f>VLOOKUP(E1161,Modificaciones!$B$7:$R$2300,17,0)</f>
        <v>0</v>
      </c>
      <c r="R1161" s="117">
        <f>COUNTA(Modificaciones!T1161,Modificaciones!V1161,Modificaciones!X1161,Modificaciones!Z1161)</f>
        <v>0</v>
      </c>
      <c r="S1161" s="118" t="str">
        <f>IF(Modificaciones!AA1161=0,"",VLOOKUP(E1161,Modificaciones!$B$7:$AA$2400,26,0))</f>
        <v/>
      </c>
      <c r="T1161" s="119" t="str">
        <f>IF(Modificaciones!AB1161=0,"",VLOOKUP(E1161,Modificaciones!$B$7:$AB$2400,27,0))</f>
        <v/>
      </c>
      <c r="U1161" s="1080">
        <f>+Modificaciones!AC1161</f>
        <v>0</v>
      </c>
      <c r="V1161" s="825">
        <f>+Modificaciones!AK1161</f>
        <v>0</v>
      </c>
      <c r="W1161" s="825">
        <f t="shared" si="215"/>
        <v>0</v>
      </c>
      <c r="X1161" s="59">
        <f t="shared" si="216"/>
        <v>0</v>
      </c>
      <c r="Y1161" s="151">
        <f>VLOOKUP(E1161,Modificaciones!$B$7:$BE$2300,56,0)</f>
        <v>0</v>
      </c>
      <c r="Z1161" s="84">
        <f t="shared" si="217"/>
        <v>0</v>
      </c>
      <c r="AA1161" s="1000"/>
      <c r="AB1161" s="823" t="e">
        <f t="shared" si="218"/>
        <v>#DIV/0!</v>
      </c>
      <c r="AC1161" s="40" t="e">
        <f t="shared" ca="1" si="219"/>
        <v>#DIV/0!</v>
      </c>
      <c r="AD1161" s="41" t="e">
        <f t="shared" ca="1" si="220"/>
        <v>#DIV/0!</v>
      </c>
      <c r="AE1161" s="181" t="e">
        <f t="shared" ca="1" si="221"/>
        <v>#DIV/0!</v>
      </c>
      <c r="AF1161" s="42" t="e">
        <f t="shared" si="222"/>
        <v>#DIV/0!</v>
      </c>
      <c r="AG1161" s="838"/>
      <c r="AH1161" s="841"/>
      <c r="AI1161" s="841"/>
      <c r="AJ1161" s="838"/>
      <c r="AL1161" s="838"/>
      <c r="AM1161" s="838"/>
      <c r="AN1161" s="161" t="str">
        <f t="shared" ca="1" si="223"/>
        <v>TERMINO</v>
      </c>
      <c r="AO1161" s="414"/>
      <c r="AP1161" s="406"/>
      <c r="AQ1161" s="819" t="str">
        <f>IFERROR(VLOOKUP(E1161,'liquidaciones '!$B$2:$C$1048576,2,0),"NO")</f>
        <v>NO</v>
      </c>
      <c r="AR1161" s="909" t="str">
        <f>IFERROR(VLOOKUP(E1161,'liquidaciones '!$B$2:$I$1048576,8,0),"")</f>
        <v/>
      </c>
      <c r="AS1161" s="406"/>
      <c r="AT1161" s="156" t="str">
        <f t="shared" ca="1" si="224"/>
        <v>NO</v>
      </c>
      <c r="AU1161" s="1140"/>
      <c r="AV1161" s="1001"/>
      <c r="AX1161" s="928"/>
      <c r="AY1161" s="928"/>
    </row>
    <row r="1162" spans="3:51" x14ac:dyDescent="0.3">
      <c r="C1162" s="837"/>
      <c r="E1162" s="120"/>
      <c r="F1162" s="414"/>
      <c r="G1162" s="863"/>
      <c r="H1162" s="969"/>
      <c r="I1162" s="84"/>
      <c r="J1162" s="839"/>
      <c r="K1162" s="269"/>
      <c r="L1162" s="519"/>
      <c r="M1162" s="840"/>
      <c r="N1162" s="840"/>
      <c r="O1162" s="1099" t="str">
        <f>IF(+Modificaciones!I1162=0,"",VLOOKUP(E1162,Modificaciones!$B$7:$I$2400,8,0))</f>
        <v/>
      </c>
      <c r="P1162" s="115">
        <f>COUNTA(Modificaciones!J1162,Modificaciones!L1162,Modificaciones!N1162,Modificaciones!P1162)</f>
        <v>0</v>
      </c>
      <c r="Q1162" s="116">
        <f>VLOOKUP(E1162,Modificaciones!$B$7:$R$2300,17,0)</f>
        <v>0</v>
      </c>
      <c r="R1162" s="117">
        <f>COUNTA(Modificaciones!T1162,Modificaciones!V1162,Modificaciones!X1162,Modificaciones!Z1162)</f>
        <v>0</v>
      </c>
      <c r="S1162" s="118" t="str">
        <f>IF(Modificaciones!AA1162=0,"",VLOOKUP(E1162,Modificaciones!$B$7:$AA$2400,26,0))</f>
        <v/>
      </c>
      <c r="T1162" s="119" t="str">
        <f>IF(Modificaciones!AB1162=0,"",VLOOKUP(E1162,Modificaciones!$B$7:$AB$2400,27,0))</f>
        <v/>
      </c>
      <c r="U1162" s="1080">
        <f>+Modificaciones!AC1162</f>
        <v>0</v>
      </c>
      <c r="V1162" s="825">
        <f>+Modificaciones!AK1162</f>
        <v>0</v>
      </c>
      <c r="W1162" s="825">
        <f t="shared" si="215"/>
        <v>0</v>
      </c>
      <c r="X1162" s="59">
        <f t="shared" si="216"/>
        <v>0</v>
      </c>
      <c r="Y1162" s="151">
        <f>VLOOKUP(E1162,Modificaciones!$B$7:$BE$2300,56,0)</f>
        <v>0</v>
      </c>
      <c r="Z1162" s="84">
        <f t="shared" si="217"/>
        <v>0</v>
      </c>
      <c r="AA1162" s="1000"/>
      <c r="AB1162" s="823" t="e">
        <f t="shared" si="218"/>
        <v>#DIV/0!</v>
      </c>
      <c r="AC1162" s="40" t="e">
        <f t="shared" ca="1" si="219"/>
        <v>#DIV/0!</v>
      </c>
      <c r="AD1162" s="41" t="e">
        <f t="shared" ca="1" si="220"/>
        <v>#DIV/0!</v>
      </c>
      <c r="AE1162" s="181" t="e">
        <f t="shared" ca="1" si="221"/>
        <v>#DIV/0!</v>
      </c>
      <c r="AF1162" s="42" t="e">
        <f t="shared" si="222"/>
        <v>#DIV/0!</v>
      </c>
      <c r="AG1162" s="838"/>
      <c r="AH1162" s="841"/>
      <c r="AI1162" s="841"/>
      <c r="AJ1162" s="838"/>
      <c r="AL1162" s="838"/>
      <c r="AM1162" s="838"/>
      <c r="AN1162" s="161" t="str">
        <f t="shared" ca="1" si="223"/>
        <v>TERMINO</v>
      </c>
      <c r="AO1162" s="414"/>
      <c r="AP1162" s="406"/>
      <c r="AQ1162" s="819" t="str">
        <f>IFERROR(VLOOKUP(E1162,'liquidaciones '!$B$2:$C$1048576,2,0),"NO")</f>
        <v>NO</v>
      </c>
      <c r="AR1162" s="909" t="str">
        <f>IFERROR(VLOOKUP(E1162,'liquidaciones '!$B$2:$I$1048576,8,0),"")</f>
        <v/>
      </c>
      <c r="AS1162" s="406"/>
      <c r="AT1162" s="156" t="str">
        <f t="shared" ca="1" si="224"/>
        <v>NO</v>
      </c>
      <c r="AU1162" s="1140"/>
      <c r="AV1162" s="1001"/>
      <c r="AX1162" s="928"/>
      <c r="AY1162" s="928"/>
    </row>
    <row r="1163" spans="3:51" x14ac:dyDescent="0.3">
      <c r="C1163" s="837"/>
      <c r="E1163" s="120"/>
      <c r="F1163" s="414"/>
      <c r="G1163" s="863"/>
      <c r="H1163" s="969"/>
      <c r="I1163" s="84"/>
      <c r="J1163" s="839"/>
      <c r="K1163" s="269"/>
      <c r="L1163" s="519"/>
      <c r="M1163" s="840"/>
      <c r="N1163" s="840"/>
      <c r="O1163" s="1099" t="str">
        <f>IF(+Modificaciones!I1163=0,"",VLOOKUP(E1163,Modificaciones!$B$7:$I$2400,8,0))</f>
        <v/>
      </c>
      <c r="P1163" s="115">
        <f>COUNTA(Modificaciones!J1163,Modificaciones!L1163,Modificaciones!N1163,Modificaciones!P1163)</f>
        <v>0</v>
      </c>
      <c r="Q1163" s="116">
        <f>VLOOKUP(E1163,Modificaciones!$B$7:$R$2300,17,0)</f>
        <v>0</v>
      </c>
      <c r="R1163" s="117">
        <f>COUNTA(Modificaciones!T1163,Modificaciones!V1163,Modificaciones!X1163,Modificaciones!Z1163)</f>
        <v>0</v>
      </c>
      <c r="S1163" s="118" t="str">
        <f>IF(Modificaciones!AA1163=0,"",VLOOKUP(E1163,Modificaciones!$B$7:$AA$2400,26,0))</f>
        <v/>
      </c>
      <c r="T1163" s="119" t="str">
        <f>IF(Modificaciones!AB1163=0,"",VLOOKUP(E1163,Modificaciones!$B$7:$AB$2400,27,0))</f>
        <v/>
      </c>
      <c r="U1163" s="1080">
        <f>+Modificaciones!AC1163</f>
        <v>0</v>
      </c>
      <c r="V1163" s="825">
        <f>+Modificaciones!AK1163</f>
        <v>0</v>
      </c>
      <c r="W1163" s="825">
        <f t="shared" si="215"/>
        <v>0</v>
      </c>
      <c r="X1163" s="59">
        <f t="shared" si="216"/>
        <v>0</v>
      </c>
      <c r="Y1163" s="151">
        <f>VLOOKUP(E1163,Modificaciones!$B$7:$BE$2300,56,0)</f>
        <v>0</v>
      </c>
      <c r="Z1163" s="84">
        <f t="shared" si="217"/>
        <v>0</v>
      </c>
      <c r="AA1163" s="1000"/>
      <c r="AB1163" s="823" t="e">
        <f t="shared" si="218"/>
        <v>#DIV/0!</v>
      </c>
      <c r="AC1163" s="40" t="e">
        <f t="shared" ca="1" si="219"/>
        <v>#DIV/0!</v>
      </c>
      <c r="AD1163" s="41" t="e">
        <f t="shared" ca="1" si="220"/>
        <v>#DIV/0!</v>
      </c>
      <c r="AE1163" s="181" t="e">
        <f t="shared" ca="1" si="221"/>
        <v>#DIV/0!</v>
      </c>
      <c r="AF1163" s="42" t="e">
        <f t="shared" si="222"/>
        <v>#DIV/0!</v>
      </c>
      <c r="AG1163" s="838"/>
      <c r="AH1163" s="841"/>
      <c r="AI1163" s="841"/>
      <c r="AJ1163" s="838"/>
      <c r="AL1163" s="838"/>
      <c r="AM1163" s="838"/>
      <c r="AN1163" s="161" t="str">
        <f t="shared" ca="1" si="223"/>
        <v>TERMINO</v>
      </c>
      <c r="AO1163" s="414"/>
      <c r="AP1163" s="406"/>
      <c r="AQ1163" s="819" t="str">
        <f>IFERROR(VLOOKUP(E1163,'liquidaciones '!$B$2:$C$1048576,2,0),"NO")</f>
        <v>NO</v>
      </c>
      <c r="AR1163" s="909" t="str">
        <f>IFERROR(VLOOKUP(E1163,'liquidaciones '!$B$2:$I$1048576,8,0),"")</f>
        <v/>
      </c>
      <c r="AS1163" s="406"/>
      <c r="AT1163" s="156" t="str">
        <f t="shared" ca="1" si="224"/>
        <v>NO</v>
      </c>
      <c r="AU1163" s="1140"/>
      <c r="AV1163" s="1001"/>
      <c r="AX1163" s="928"/>
      <c r="AY1163" s="928"/>
    </row>
    <row r="1164" spans="3:51" x14ac:dyDescent="0.3">
      <c r="C1164" s="837"/>
      <c r="E1164" s="120"/>
      <c r="F1164" s="414"/>
      <c r="G1164" s="863"/>
      <c r="H1164" s="969"/>
      <c r="I1164" s="84"/>
      <c r="J1164" s="839"/>
      <c r="K1164" s="269"/>
      <c r="L1164" s="519"/>
      <c r="M1164" s="840"/>
      <c r="N1164" s="840"/>
      <c r="O1164" s="1099" t="str">
        <f>IF(+Modificaciones!I1164=0,"",VLOOKUP(E1164,Modificaciones!$B$7:$I$2400,8,0))</f>
        <v/>
      </c>
      <c r="P1164" s="115">
        <f>COUNTA(Modificaciones!J1164,Modificaciones!L1164,Modificaciones!N1164,Modificaciones!P1164)</f>
        <v>0</v>
      </c>
      <c r="Q1164" s="116">
        <f>VLOOKUP(E1164,Modificaciones!$B$7:$R$2300,17,0)</f>
        <v>0</v>
      </c>
      <c r="R1164" s="117">
        <f>COUNTA(Modificaciones!T1164,Modificaciones!V1164,Modificaciones!X1164,Modificaciones!Z1164)</f>
        <v>0</v>
      </c>
      <c r="S1164" s="118" t="str">
        <f>IF(Modificaciones!AA1164=0,"",VLOOKUP(E1164,Modificaciones!$B$7:$AA$2400,26,0))</f>
        <v/>
      </c>
      <c r="T1164" s="119" t="str">
        <f>IF(Modificaciones!AB1164=0,"",VLOOKUP(E1164,Modificaciones!$B$7:$AB$2400,27,0))</f>
        <v/>
      </c>
      <c r="U1164" s="1080">
        <f>+Modificaciones!AC1164</f>
        <v>0</v>
      </c>
      <c r="V1164" s="825">
        <f>+Modificaciones!AK1164</f>
        <v>0</v>
      </c>
      <c r="W1164" s="825">
        <f t="shared" si="215"/>
        <v>0</v>
      </c>
      <c r="X1164" s="59">
        <f t="shared" si="216"/>
        <v>0</v>
      </c>
      <c r="Y1164" s="151">
        <f>VLOOKUP(E1164,Modificaciones!$B$7:$BE$2300,56,0)</f>
        <v>0</v>
      </c>
      <c r="Z1164" s="84">
        <f t="shared" si="217"/>
        <v>0</v>
      </c>
      <c r="AA1164" s="1000"/>
      <c r="AB1164" s="823" t="e">
        <f t="shared" si="218"/>
        <v>#DIV/0!</v>
      </c>
      <c r="AC1164" s="40" t="e">
        <f t="shared" ca="1" si="219"/>
        <v>#DIV/0!</v>
      </c>
      <c r="AD1164" s="41" t="e">
        <f t="shared" ca="1" si="220"/>
        <v>#DIV/0!</v>
      </c>
      <c r="AE1164" s="181" t="e">
        <f t="shared" ca="1" si="221"/>
        <v>#DIV/0!</v>
      </c>
      <c r="AF1164" s="42" t="e">
        <f t="shared" si="222"/>
        <v>#DIV/0!</v>
      </c>
      <c r="AG1164" s="838"/>
      <c r="AH1164" s="841"/>
      <c r="AI1164" s="841"/>
      <c r="AJ1164" s="838"/>
      <c r="AL1164" s="838"/>
      <c r="AM1164" s="838"/>
      <c r="AN1164" s="161" t="str">
        <f t="shared" ca="1" si="223"/>
        <v>TERMINO</v>
      </c>
      <c r="AO1164" s="414"/>
      <c r="AP1164" s="406"/>
      <c r="AQ1164" s="819" t="str">
        <f>IFERROR(VLOOKUP(E1164,'liquidaciones '!$B$2:$C$1048576,2,0),"NO")</f>
        <v>NO</v>
      </c>
      <c r="AR1164" s="909" t="str">
        <f>IFERROR(VLOOKUP(E1164,'liquidaciones '!$B$2:$I$1048576,8,0),"")</f>
        <v/>
      </c>
      <c r="AS1164" s="406"/>
      <c r="AT1164" s="156" t="str">
        <f t="shared" ca="1" si="224"/>
        <v>NO</v>
      </c>
      <c r="AU1164" s="1140"/>
      <c r="AV1164" s="1001"/>
      <c r="AX1164" s="928"/>
      <c r="AY1164" s="928"/>
    </row>
    <row r="1165" spans="3:51" x14ac:dyDescent="0.3">
      <c r="C1165" s="837"/>
      <c r="E1165" s="120"/>
      <c r="F1165" s="414"/>
      <c r="G1165" s="863"/>
      <c r="H1165" s="969"/>
      <c r="I1165" s="84"/>
      <c r="J1165" s="839"/>
      <c r="K1165" s="269"/>
      <c r="L1165" s="519"/>
      <c r="M1165" s="840"/>
      <c r="N1165" s="840"/>
      <c r="O1165" s="1099" t="str">
        <f>IF(+Modificaciones!I1165=0,"",VLOOKUP(E1165,Modificaciones!$B$7:$I$2400,8,0))</f>
        <v/>
      </c>
      <c r="P1165" s="115">
        <f>COUNTA(Modificaciones!J1165,Modificaciones!L1165,Modificaciones!N1165,Modificaciones!P1165)</f>
        <v>0</v>
      </c>
      <c r="Q1165" s="116">
        <f>VLOOKUP(E1165,Modificaciones!$B$7:$R$2300,17,0)</f>
        <v>0</v>
      </c>
      <c r="R1165" s="117">
        <f>COUNTA(Modificaciones!T1165,Modificaciones!V1165,Modificaciones!X1165,Modificaciones!Z1165)</f>
        <v>0</v>
      </c>
      <c r="S1165" s="118" t="str">
        <f>IF(Modificaciones!AA1165=0,"",VLOOKUP(E1165,Modificaciones!$B$7:$AA$2400,26,0))</f>
        <v/>
      </c>
      <c r="T1165" s="119" t="str">
        <f>IF(Modificaciones!AB1165=0,"",VLOOKUP(E1165,Modificaciones!$B$7:$AB$2400,27,0))</f>
        <v/>
      </c>
      <c r="U1165" s="1080">
        <f>+Modificaciones!AC1165</f>
        <v>0</v>
      </c>
      <c r="V1165" s="825">
        <f>+Modificaciones!AK1165</f>
        <v>0</v>
      </c>
      <c r="W1165" s="825">
        <f t="shared" si="215"/>
        <v>0</v>
      </c>
      <c r="X1165" s="59">
        <f t="shared" si="216"/>
        <v>0</v>
      </c>
      <c r="Y1165" s="151">
        <f>VLOOKUP(E1165,Modificaciones!$B$7:$BE$2300,56,0)</f>
        <v>0</v>
      </c>
      <c r="Z1165" s="84">
        <f t="shared" si="217"/>
        <v>0</v>
      </c>
      <c r="AA1165" s="1000"/>
      <c r="AB1165" s="823" t="e">
        <f t="shared" si="218"/>
        <v>#DIV/0!</v>
      </c>
      <c r="AC1165" s="40" t="e">
        <f t="shared" ca="1" si="219"/>
        <v>#DIV/0!</v>
      </c>
      <c r="AD1165" s="41" t="e">
        <f t="shared" ca="1" si="220"/>
        <v>#DIV/0!</v>
      </c>
      <c r="AE1165" s="181" t="e">
        <f t="shared" ca="1" si="221"/>
        <v>#DIV/0!</v>
      </c>
      <c r="AF1165" s="42" t="e">
        <f t="shared" si="222"/>
        <v>#DIV/0!</v>
      </c>
      <c r="AG1165" s="838"/>
      <c r="AH1165" s="841"/>
      <c r="AI1165" s="841"/>
      <c r="AJ1165" s="838"/>
      <c r="AL1165" s="838"/>
      <c r="AM1165" s="838"/>
      <c r="AN1165" s="161" t="str">
        <f t="shared" ca="1" si="223"/>
        <v>TERMINO</v>
      </c>
      <c r="AO1165" s="414"/>
      <c r="AP1165" s="406"/>
      <c r="AQ1165" s="819" t="str">
        <f>IFERROR(VLOOKUP(E1165,'liquidaciones '!$B$2:$C$1048576,2,0),"NO")</f>
        <v>NO</v>
      </c>
      <c r="AR1165" s="909" t="str">
        <f>IFERROR(VLOOKUP(E1165,'liquidaciones '!$B$2:$I$1048576,8,0),"")</f>
        <v/>
      </c>
      <c r="AS1165" s="406"/>
      <c r="AT1165" s="156" t="str">
        <f t="shared" ca="1" si="224"/>
        <v>NO</v>
      </c>
      <c r="AU1165" s="1140"/>
      <c r="AV1165" s="1001"/>
      <c r="AX1165" s="928"/>
      <c r="AY1165" s="928"/>
    </row>
    <row r="1166" spans="3:51" x14ac:dyDescent="0.3">
      <c r="C1166" s="837"/>
      <c r="E1166" s="120"/>
      <c r="F1166" s="414"/>
      <c r="G1166" s="863"/>
      <c r="H1166" s="969"/>
      <c r="I1166" s="84"/>
      <c r="J1166" s="839"/>
      <c r="K1166" s="269"/>
      <c r="L1166" s="519"/>
      <c r="M1166" s="840"/>
      <c r="N1166" s="840"/>
      <c r="O1166" s="1099" t="str">
        <f>IF(+Modificaciones!I1166=0,"",VLOOKUP(E1166,Modificaciones!$B$7:$I$2400,8,0))</f>
        <v/>
      </c>
      <c r="P1166" s="115">
        <f>COUNTA(Modificaciones!J1166,Modificaciones!L1166,Modificaciones!N1166,Modificaciones!P1166)</f>
        <v>0</v>
      </c>
      <c r="Q1166" s="116">
        <f>VLOOKUP(E1166,Modificaciones!$B$7:$R$2300,17,0)</f>
        <v>0</v>
      </c>
      <c r="R1166" s="117">
        <f>COUNTA(Modificaciones!T1166,Modificaciones!V1166,Modificaciones!X1166,Modificaciones!Z1166)</f>
        <v>0</v>
      </c>
      <c r="S1166" s="118" t="str">
        <f>IF(Modificaciones!AA1166=0,"",VLOOKUP(E1166,Modificaciones!$B$7:$AA$2400,26,0))</f>
        <v/>
      </c>
      <c r="T1166" s="119" t="str">
        <f>IF(Modificaciones!AB1166=0,"",VLOOKUP(E1166,Modificaciones!$B$7:$AB$2400,27,0))</f>
        <v/>
      </c>
      <c r="U1166" s="1080">
        <f>+Modificaciones!AC1166</f>
        <v>0</v>
      </c>
      <c r="V1166" s="825">
        <f>+Modificaciones!AK1166</f>
        <v>0</v>
      </c>
      <c r="W1166" s="825">
        <f t="shared" si="215"/>
        <v>0</v>
      </c>
      <c r="X1166" s="59">
        <f t="shared" si="216"/>
        <v>0</v>
      </c>
      <c r="Y1166" s="151">
        <f>VLOOKUP(E1166,Modificaciones!$B$7:$BE$2300,56,0)</f>
        <v>0</v>
      </c>
      <c r="Z1166" s="84">
        <f t="shared" si="217"/>
        <v>0</v>
      </c>
      <c r="AA1166" s="1000"/>
      <c r="AB1166" s="823" t="e">
        <f t="shared" si="218"/>
        <v>#DIV/0!</v>
      </c>
      <c r="AC1166" s="40" t="e">
        <f t="shared" ca="1" si="219"/>
        <v>#DIV/0!</v>
      </c>
      <c r="AD1166" s="41" t="e">
        <f t="shared" ca="1" si="220"/>
        <v>#DIV/0!</v>
      </c>
      <c r="AE1166" s="181" t="e">
        <f t="shared" ca="1" si="221"/>
        <v>#DIV/0!</v>
      </c>
      <c r="AF1166" s="42" t="e">
        <f t="shared" si="222"/>
        <v>#DIV/0!</v>
      </c>
      <c r="AG1166" s="838"/>
      <c r="AH1166" s="841"/>
      <c r="AI1166" s="841"/>
      <c r="AJ1166" s="838"/>
      <c r="AL1166" s="838"/>
      <c r="AM1166" s="838"/>
      <c r="AN1166" s="161" t="str">
        <f t="shared" ca="1" si="223"/>
        <v>TERMINO</v>
      </c>
      <c r="AO1166" s="414"/>
      <c r="AP1166" s="406"/>
      <c r="AQ1166" s="819" t="str">
        <f>IFERROR(VLOOKUP(E1166,'liquidaciones '!$B$2:$C$1048576,2,0),"NO")</f>
        <v>NO</v>
      </c>
      <c r="AR1166" s="909" t="str">
        <f>IFERROR(VLOOKUP(E1166,'liquidaciones '!$B$2:$I$1048576,8,0),"")</f>
        <v/>
      </c>
      <c r="AS1166" s="406"/>
      <c r="AT1166" s="156" t="str">
        <f t="shared" ca="1" si="224"/>
        <v>NO</v>
      </c>
      <c r="AU1166" s="1140"/>
      <c r="AV1166" s="1001"/>
      <c r="AX1166" s="928"/>
      <c r="AY1166" s="928"/>
    </row>
    <row r="1167" spans="3:51" x14ac:dyDescent="0.3">
      <c r="C1167" s="837"/>
      <c r="E1167" s="120"/>
      <c r="F1167" s="414"/>
      <c r="G1167" s="863"/>
      <c r="H1167" s="969"/>
      <c r="I1167" s="84"/>
      <c r="J1167" s="839"/>
      <c r="K1167" s="269"/>
      <c r="L1167" s="519"/>
      <c r="M1167" s="840"/>
      <c r="N1167" s="840"/>
      <c r="O1167" s="1099" t="str">
        <f>IF(+Modificaciones!I1167=0,"",VLOOKUP(E1167,Modificaciones!$B$7:$I$2400,8,0))</f>
        <v/>
      </c>
      <c r="P1167" s="115">
        <f>COUNTA(Modificaciones!J1167,Modificaciones!L1167,Modificaciones!N1167,Modificaciones!P1167)</f>
        <v>0</v>
      </c>
      <c r="Q1167" s="116">
        <f>VLOOKUP(E1167,Modificaciones!$B$7:$R$2300,17,0)</f>
        <v>0</v>
      </c>
      <c r="R1167" s="117">
        <f>COUNTA(Modificaciones!T1167,Modificaciones!V1167,Modificaciones!X1167,Modificaciones!Z1167)</f>
        <v>0</v>
      </c>
      <c r="S1167" s="118" t="str">
        <f>IF(Modificaciones!AA1167=0,"",VLOOKUP(E1167,Modificaciones!$B$7:$AA$2400,26,0))</f>
        <v/>
      </c>
      <c r="T1167" s="119" t="str">
        <f>IF(Modificaciones!AB1167=0,"",VLOOKUP(E1167,Modificaciones!$B$7:$AB$2400,27,0))</f>
        <v/>
      </c>
      <c r="U1167" s="1080">
        <f>+Modificaciones!AC1167</f>
        <v>0</v>
      </c>
      <c r="V1167" s="825">
        <f>+Modificaciones!AK1167</f>
        <v>0</v>
      </c>
      <c r="W1167" s="825">
        <f t="shared" si="215"/>
        <v>0</v>
      </c>
      <c r="X1167" s="59">
        <f t="shared" si="216"/>
        <v>0</v>
      </c>
      <c r="Y1167" s="151">
        <f>VLOOKUP(E1167,Modificaciones!$B$7:$BE$2300,56,0)</f>
        <v>0</v>
      </c>
      <c r="Z1167" s="84">
        <f t="shared" si="217"/>
        <v>0</v>
      </c>
      <c r="AA1167" s="1000"/>
      <c r="AB1167" s="823" t="e">
        <f t="shared" si="218"/>
        <v>#DIV/0!</v>
      </c>
      <c r="AC1167" s="40" t="e">
        <f t="shared" ca="1" si="219"/>
        <v>#DIV/0!</v>
      </c>
      <c r="AD1167" s="41" t="e">
        <f t="shared" ca="1" si="220"/>
        <v>#DIV/0!</v>
      </c>
      <c r="AE1167" s="181" t="e">
        <f t="shared" ca="1" si="221"/>
        <v>#DIV/0!</v>
      </c>
      <c r="AF1167" s="42" t="e">
        <f t="shared" si="222"/>
        <v>#DIV/0!</v>
      </c>
      <c r="AG1167" s="838"/>
      <c r="AH1167" s="841"/>
      <c r="AI1167" s="841"/>
      <c r="AJ1167" s="838"/>
      <c r="AL1167" s="838"/>
      <c r="AM1167" s="838"/>
      <c r="AN1167" s="161" t="str">
        <f t="shared" ca="1" si="223"/>
        <v>TERMINO</v>
      </c>
      <c r="AO1167" s="414"/>
      <c r="AP1167" s="406"/>
      <c r="AQ1167" s="819" t="str">
        <f>IFERROR(VLOOKUP(E1167,'liquidaciones '!$B$2:$C$1048576,2,0),"NO")</f>
        <v>NO</v>
      </c>
      <c r="AR1167" s="909" t="str">
        <f>IFERROR(VLOOKUP(E1167,'liquidaciones '!$B$2:$I$1048576,8,0),"")</f>
        <v/>
      </c>
      <c r="AS1167" s="406"/>
      <c r="AT1167" s="156" t="str">
        <f t="shared" ca="1" si="224"/>
        <v>NO</v>
      </c>
      <c r="AU1167" s="1140"/>
      <c r="AV1167" s="1001"/>
      <c r="AX1167" s="928"/>
      <c r="AY1167" s="928"/>
    </row>
    <row r="1168" spans="3:51" x14ac:dyDescent="0.3">
      <c r="C1168" s="837"/>
      <c r="E1168" s="120"/>
      <c r="F1168" s="414"/>
      <c r="G1168" s="863"/>
      <c r="H1168" s="969"/>
      <c r="I1168" s="84"/>
      <c r="J1168" s="839"/>
      <c r="K1168" s="269"/>
      <c r="L1168" s="519"/>
      <c r="M1168" s="840"/>
      <c r="N1168" s="840"/>
      <c r="O1168" s="1099" t="str">
        <f>IF(+Modificaciones!I1168=0,"",VLOOKUP(E1168,Modificaciones!$B$7:$I$2400,8,0))</f>
        <v/>
      </c>
      <c r="P1168" s="115">
        <f>COUNTA(Modificaciones!J1168,Modificaciones!L1168,Modificaciones!N1168,Modificaciones!P1168)</f>
        <v>0</v>
      </c>
      <c r="Q1168" s="116">
        <f>VLOOKUP(E1168,Modificaciones!$B$7:$R$2300,17,0)</f>
        <v>0</v>
      </c>
      <c r="R1168" s="117">
        <f>COUNTA(Modificaciones!T1168,Modificaciones!V1168,Modificaciones!X1168,Modificaciones!Z1168)</f>
        <v>0</v>
      </c>
      <c r="S1168" s="118" t="str">
        <f>IF(Modificaciones!AA1168=0,"",VLOOKUP(E1168,Modificaciones!$B$7:$AA$2400,26,0))</f>
        <v/>
      </c>
      <c r="T1168" s="119" t="str">
        <f>IF(Modificaciones!AB1168=0,"",VLOOKUP(E1168,Modificaciones!$B$7:$AB$2400,27,0))</f>
        <v/>
      </c>
      <c r="U1168" s="1080">
        <f>+Modificaciones!AC1168</f>
        <v>0</v>
      </c>
      <c r="V1168" s="825">
        <f>+Modificaciones!AK1168</f>
        <v>0</v>
      </c>
      <c r="W1168" s="825">
        <f t="shared" si="215"/>
        <v>0</v>
      </c>
      <c r="X1168" s="59">
        <f t="shared" si="216"/>
        <v>0</v>
      </c>
      <c r="Y1168" s="151">
        <f>VLOOKUP(E1168,Modificaciones!$B$7:$BE$2300,56,0)</f>
        <v>0</v>
      </c>
      <c r="Z1168" s="84">
        <f t="shared" si="217"/>
        <v>0</v>
      </c>
      <c r="AA1168" s="1000"/>
      <c r="AB1168" s="823" t="e">
        <f t="shared" si="218"/>
        <v>#DIV/0!</v>
      </c>
      <c r="AC1168" s="40" t="e">
        <f t="shared" ca="1" si="219"/>
        <v>#DIV/0!</v>
      </c>
      <c r="AD1168" s="41" t="e">
        <f t="shared" ca="1" si="220"/>
        <v>#DIV/0!</v>
      </c>
      <c r="AE1168" s="181" t="e">
        <f t="shared" ca="1" si="221"/>
        <v>#DIV/0!</v>
      </c>
      <c r="AF1168" s="42" t="e">
        <f t="shared" si="222"/>
        <v>#DIV/0!</v>
      </c>
      <c r="AG1168" s="838"/>
      <c r="AH1168" s="841"/>
      <c r="AI1168" s="841"/>
      <c r="AJ1168" s="838"/>
      <c r="AL1168" s="838"/>
      <c r="AM1168" s="838"/>
      <c r="AN1168" s="161" t="str">
        <f t="shared" ca="1" si="223"/>
        <v>TERMINO</v>
      </c>
      <c r="AO1168" s="414"/>
      <c r="AP1168" s="406"/>
      <c r="AQ1168" s="819" t="str">
        <f>IFERROR(VLOOKUP(E1168,'liquidaciones '!$B$2:$C$1048576,2,0),"NO")</f>
        <v>NO</v>
      </c>
      <c r="AR1168" s="909" t="str">
        <f>IFERROR(VLOOKUP(E1168,'liquidaciones '!$B$2:$I$1048576,8,0),"")</f>
        <v/>
      </c>
      <c r="AS1168" s="406"/>
      <c r="AT1168" s="156" t="str">
        <f t="shared" ca="1" si="224"/>
        <v>NO</v>
      </c>
      <c r="AU1168" s="1140"/>
      <c r="AV1168" s="1001"/>
      <c r="AX1168" s="928"/>
      <c r="AY1168" s="928"/>
    </row>
    <row r="1169" spans="3:51" x14ac:dyDescent="0.3">
      <c r="C1169" s="837"/>
      <c r="E1169" s="120"/>
      <c r="F1169" s="414"/>
      <c r="G1169" s="863"/>
      <c r="H1169" s="969"/>
      <c r="I1169" s="84"/>
      <c r="J1169" s="839"/>
      <c r="K1169" s="269"/>
      <c r="L1169" s="519"/>
      <c r="M1169" s="840"/>
      <c r="N1169" s="840"/>
      <c r="O1169" s="1099" t="str">
        <f>IF(+Modificaciones!I1169=0,"",VLOOKUP(E1169,Modificaciones!$B$7:$I$2400,8,0))</f>
        <v/>
      </c>
      <c r="P1169" s="115">
        <f>COUNTA(Modificaciones!J1169,Modificaciones!L1169,Modificaciones!N1169,Modificaciones!P1169)</f>
        <v>0</v>
      </c>
      <c r="Q1169" s="116">
        <f>VLOOKUP(E1169,Modificaciones!$B$7:$R$2300,17,0)</f>
        <v>0</v>
      </c>
      <c r="R1169" s="117">
        <f>COUNTA(Modificaciones!T1169,Modificaciones!V1169,Modificaciones!X1169,Modificaciones!Z1169)</f>
        <v>0</v>
      </c>
      <c r="S1169" s="118" t="str">
        <f>IF(Modificaciones!AA1169=0,"",VLOOKUP(E1169,Modificaciones!$B$7:$AA$2400,26,0))</f>
        <v/>
      </c>
      <c r="T1169" s="119" t="str">
        <f>IF(Modificaciones!AB1169=0,"",VLOOKUP(E1169,Modificaciones!$B$7:$AB$2400,27,0))</f>
        <v/>
      </c>
      <c r="U1169" s="1080">
        <f>+Modificaciones!AC1169</f>
        <v>0</v>
      </c>
      <c r="V1169" s="825">
        <f>+Modificaciones!AK1169</f>
        <v>0</v>
      </c>
      <c r="W1169" s="825">
        <f t="shared" si="215"/>
        <v>0</v>
      </c>
      <c r="X1169" s="59">
        <f t="shared" si="216"/>
        <v>0</v>
      </c>
      <c r="Y1169" s="151">
        <f>VLOOKUP(E1169,Modificaciones!$B$7:$BE$2300,56,0)</f>
        <v>0</v>
      </c>
      <c r="Z1169" s="84">
        <f t="shared" si="217"/>
        <v>0</v>
      </c>
      <c r="AA1169" s="1000"/>
      <c r="AB1169" s="823" t="e">
        <f t="shared" si="218"/>
        <v>#DIV/0!</v>
      </c>
      <c r="AC1169" s="40" t="e">
        <f t="shared" ca="1" si="219"/>
        <v>#DIV/0!</v>
      </c>
      <c r="AD1169" s="41" t="e">
        <f t="shared" ca="1" si="220"/>
        <v>#DIV/0!</v>
      </c>
      <c r="AE1169" s="181" t="e">
        <f t="shared" ca="1" si="221"/>
        <v>#DIV/0!</v>
      </c>
      <c r="AF1169" s="42" t="e">
        <f t="shared" si="222"/>
        <v>#DIV/0!</v>
      </c>
      <c r="AG1169" s="838"/>
      <c r="AH1169" s="841"/>
      <c r="AI1169" s="841"/>
      <c r="AJ1169" s="838"/>
      <c r="AL1169" s="838"/>
      <c r="AM1169" s="838"/>
      <c r="AN1169" s="161" t="str">
        <f t="shared" ca="1" si="223"/>
        <v>TERMINO</v>
      </c>
      <c r="AO1169" s="414"/>
      <c r="AP1169" s="406"/>
      <c r="AQ1169" s="819" t="str">
        <f>IFERROR(VLOOKUP(E1169,'liquidaciones '!$B$2:$C$1048576,2,0),"NO")</f>
        <v>NO</v>
      </c>
      <c r="AR1169" s="909" t="str">
        <f>IFERROR(VLOOKUP(E1169,'liquidaciones '!$B$2:$I$1048576,8,0),"")</f>
        <v/>
      </c>
      <c r="AS1169" s="406"/>
      <c r="AT1169" s="156" t="str">
        <f t="shared" ca="1" si="224"/>
        <v>NO</v>
      </c>
      <c r="AU1169" s="1140"/>
      <c r="AV1169" s="1001"/>
      <c r="AX1169" s="928"/>
      <c r="AY1169" s="928"/>
    </row>
    <row r="1170" spans="3:51" x14ac:dyDescent="0.3">
      <c r="C1170" s="837"/>
      <c r="E1170" s="120"/>
      <c r="F1170" s="414"/>
      <c r="G1170" s="863"/>
      <c r="H1170" s="969"/>
      <c r="I1170" s="84"/>
      <c r="J1170" s="839"/>
      <c r="K1170" s="269"/>
      <c r="L1170" s="519"/>
      <c r="M1170" s="840"/>
      <c r="N1170" s="840"/>
      <c r="O1170" s="1099" t="str">
        <f>IF(+Modificaciones!I1170=0,"",VLOOKUP(E1170,Modificaciones!$B$7:$I$2400,8,0))</f>
        <v/>
      </c>
      <c r="P1170" s="115">
        <f>COUNTA(Modificaciones!J1170,Modificaciones!L1170,Modificaciones!N1170,Modificaciones!P1170)</f>
        <v>0</v>
      </c>
      <c r="Q1170" s="116">
        <f>VLOOKUP(E1170,Modificaciones!$B$7:$R$2300,17,0)</f>
        <v>0</v>
      </c>
      <c r="R1170" s="117">
        <f>COUNTA(Modificaciones!T1170,Modificaciones!V1170,Modificaciones!X1170,Modificaciones!Z1170)</f>
        <v>0</v>
      </c>
      <c r="S1170" s="118" t="str">
        <f>IF(Modificaciones!AA1170=0,"",VLOOKUP(E1170,Modificaciones!$B$7:$AA$2400,26,0))</f>
        <v/>
      </c>
      <c r="T1170" s="119" t="str">
        <f>IF(Modificaciones!AB1170=0,"",VLOOKUP(E1170,Modificaciones!$B$7:$AB$2400,27,0))</f>
        <v/>
      </c>
      <c r="U1170" s="1080">
        <f>+Modificaciones!AC1170</f>
        <v>0</v>
      </c>
      <c r="V1170" s="825">
        <f>+Modificaciones!AK1170</f>
        <v>0</v>
      </c>
      <c r="W1170" s="825">
        <f t="shared" si="215"/>
        <v>0</v>
      </c>
      <c r="X1170" s="59">
        <f t="shared" si="216"/>
        <v>0</v>
      </c>
      <c r="Y1170" s="151">
        <f>VLOOKUP(E1170,Modificaciones!$B$7:$BE$2300,56,0)</f>
        <v>0</v>
      </c>
      <c r="Z1170" s="84">
        <f t="shared" si="217"/>
        <v>0</v>
      </c>
      <c r="AA1170" s="1000"/>
      <c r="AB1170" s="823" t="e">
        <f t="shared" si="218"/>
        <v>#DIV/0!</v>
      </c>
      <c r="AC1170" s="40" t="e">
        <f t="shared" ca="1" si="219"/>
        <v>#DIV/0!</v>
      </c>
      <c r="AD1170" s="41" t="e">
        <f t="shared" ca="1" si="220"/>
        <v>#DIV/0!</v>
      </c>
      <c r="AE1170" s="181" t="e">
        <f t="shared" ca="1" si="221"/>
        <v>#DIV/0!</v>
      </c>
      <c r="AF1170" s="42" t="e">
        <f t="shared" si="222"/>
        <v>#DIV/0!</v>
      </c>
      <c r="AG1170" s="838"/>
      <c r="AH1170" s="841"/>
      <c r="AI1170" s="841"/>
      <c r="AJ1170" s="838"/>
      <c r="AL1170" s="838"/>
      <c r="AM1170" s="838"/>
      <c r="AN1170" s="161" t="str">
        <f t="shared" ca="1" si="223"/>
        <v>TERMINO</v>
      </c>
      <c r="AO1170" s="414"/>
      <c r="AP1170" s="406"/>
      <c r="AQ1170" s="819" t="str">
        <f>IFERROR(VLOOKUP(E1170,'liquidaciones '!$B$2:$C$1048576,2,0),"NO")</f>
        <v>NO</v>
      </c>
      <c r="AR1170" s="909" t="str">
        <f>IFERROR(VLOOKUP(E1170,'liquidaciones '!$B$2:$I$1048576,8,0),"")</f>
        <v/>
      </c>
      <c r="AS1170" s="406"/>
      <c r="AT1170" s="156" t="str">
        <f t="shared" ca="1" si="224"/>
        <v>NO</v>
      </c>
      <c r="AU1170" s="1140"/>
      <c r="AV1170" s="1001"/>
      <c r="AX1170" s="928"/>
      <c r="AY1170" s="928"/>
    </row>
    <row r="1171" spans="3:51" x14ac:dyDescent="0.3">
      <c r="C1171" s="837"/>
      <c r="E1171" s="120"/>
      <c r="F1171" s="414"/>
      <c r="G1171" s="863"/>
      <c r="H1171" s="969"/>
      <c r="I1171" s="84"/>
      <c r="J1171" s="839"/>
      <c r="K1171" s="269"/>
      <c r="L1171" s="519"/>
      <c r="M1171" s="840"/>
      <c r="N1171" s="840"/>
      <c r="O1171" s="1099" t="str">
        <f>IF(+Modificaciones!I1171=0,"",VLOOKUP(E1171,Modificaciones!$B$7:$I$2400,8,0))</f>
        <v/>
      </c>
      <c r="P1171" s="115">
        <f>COUNTA(Modificaciones!J1171,Modificaciones!L1171,Modificaciones!N1171,Modificaciones!P1171)</f>
        <v>0</v>
      </c>
      <c r="Q1171" s="116">
        <f>VLOOKUP(E1171,Modificaciones!$B$7:$R$2300,17,0)</f>
        <v>0</v>
      </c>
      <c r="R1171" s="117">
        <f>COUNTA(Modificaciones!T1171,Modificaciones!V1171,Modificaciones!X1171,Modificaciones!Z1171)</f>
        <v>0</v>
      </c>
      <c r="S1171" s="118" t="str">
        <f>IF(Modificaciones!AA1171=0,"",VLOOKUP(E1171,Modificaciones!$B$7:$AA$2400,26,0))</f>
        <v/>
      </c>
      <c r="T1171" s="119" t="str">
        <f>IF(Modificaciones!AB1171=0,"",VLOOKUP(E1171,Modificaciones!$B$7:$AB$2400,27,0))</f>
        <v/>
      </c>
      <c r="U1171" s="1080">
        <f>+Modificaciones!AC1171</f>
        <v>0</v>
      </c>
      <c r="V1171" s="825">
        <f>+Modificaciones!AK1171</f>
        <v>0</v>
      </c>
      <c r="W1171" s="825">
        <f t="shared" si="215"/>
        <v>0</v>
      </c>
      <c r="X1171" s="59">
        <f t="shared" si="216"/>
        <v>0</v>
      </c>
      <c r="Y1171" s="151">
        <f>VLOOKUP(E1171,Modificaciones!$B$7:$BE$2300,56,0)</f>
        <v>0</v>
      </c>
      <c r="Z1171" s="84">
        <f t="shared" si="217"/>
        <v>0</v>
      </c>
      <c r="AA1171" s="1000"/>
      <c r="AB1171" s="823" t="e">
        <f t="shared" si="218"/>
        <v>#DIV/0!</v>
      </c>
      <c r="AC1171" s="40" t="e">
        <f t="shared" ca="1" si="219"/>
        <v>#DIV/0!</v>
      </c>
      <c r="AD1171" s="41" t="e">
        <f t="shared" ca="1" si="220"/>
        <v>#DIV/0!</v>
      </c>
      <c r="AE1171" s="181" t="e">
        <f t="shared" ca="1" si="221"/>
        <v>#DIV/0!</v>
      </c>
      <c r="AF1171" s="42" t="e">
        <f t="shared" si="222"/>
        <v>#DIV/0!</v>
      </c>
      <c r="AG1171" s="838"/>
      <c r="AH1171" s="841"/>
      <c r="AI1171" s="841"/>
      <c r="AJ1171" s="838"/>
      <c r="AL1171" s="838"/>
      <c r="AM1171" s="838"/>
      <c r="AN1171" s="161" t="str">
        <f t="shared" ca="1" si="223"/>
        <v>TERMINO</v>
      </c>
      <c r="AO1171" s="414"/>
      <c r="AP1171" s="406"/>
      <c r="AQ1171" s="819" t="str">
        <f>IFERROR(VLOOKUP(E1171,'liquidaciones '!$B$2:$C$1048576,2,0),"NO")</f>
        <v>NO</v>
      </c>
      <c r="AR1171" s="909" t="str">
        <f>IFERROR(VLOOKUP(E1171,'liquidaciones '!$B$2:$I$1048576,8,0),"")</f>
        <v/>
      </c>
      <c r="AS1171" s="406"/>
      <c r="AT1171" s="156" t="str">
        <f t="shared" ca="1" si="224"/>
        <v>NO</v>
      </c>
      <c r="AU1171" s="1140"/>
      <c r="AV1171" s="1001"/>
      <c r="AX1171" s="928"/>
      <c r="AY1171" s="928"/>
    </row>
    <row r="1172" spans="3:51" x14ac:dyDescent="0.3">
      <c r="C1172" s="837"/>
      <c r="E1172" s="120"/>
      <c r="F1172" s="414"/>
      <c r="G1172" s="863"/>
      <c r="H1172" s="969"/>
      <c r="I1172" s="84"/>
      <c r="J1172" s="839"/>
      <c r="K1172" s="269"/>
      <c r="L1172" s="519"/>
      <c r="M1172" s="840"/>
      <c r="N1172" s="840"/>
      <c r="O1172" s="1099" t="str">
        <f>IF(+Modificaciones!I1172=0,"",VLOOKUP(E1172,Modificaciones!$B$7:$I$2400,8,0))</f>
        <v/>
      </c>
      <c r="P1172" s="115">
        <f>COUNTA(Modificaciones!J1172,Modificaciones!L1172,Modificaciones!N1172,Modificaciones!P1172)</f>
        <v>0</v>
      </c>
      <c r="Q1172" s="116">
        <f>VLOOKUP(E1172,Modificaciones!$B$7:$R$2300,17,0)</f>
        <v>0</v>
      </c>
      <c r="R1172" s="117">
        <f>COUNTA(Modificaciones!T1172,Modificaciones!V1172,Modificaciones!X1172,Modificaciones!Z1172)</f>
        <v>0</v>
      </c>
      <c r="S1172" s="118" t="str">
        <f>IF(Modificaciones!AA1172=0,"",VLOOKUP(E1172,Modificaciones!$B$7:$AA$2400,26,0))</f>
        <v/>
      </c>
      <c r="T1172" s="119" t="str">
        <f>IF(Modificaciones!AB1172=0,"",VLOOKUP(E1172,Modificaciones!$B$7:$AB$2400,27,0))</f>
        <v/>
      </c>
      <c r="U1172" s="1080">
        <f>+Modificaciones!AC1172</f>
        <v>0</v>
      </c>
      <c r="V1172" s="825">
        <f>+Modificaciones!AK1172</f>
        <v>0</v>
      </c>
      <c r="W1172" s="825">
        <f t="shared" si="215"/>
        <v>0</v>
      </c>
      <c r="X1172" s="59">
        <f t="shared" si="216"/>
        <v>0</v>
      </c>
      <c r="Y1172" s="151">
        <f>VLOOKUP(E1172,Modificaciones!$B$7:$BE$2300,56,0)</f>
        <v>0</v>
      </c>
      <c r="Z1172" s="84">
        <f t="shared" si="217"/>
        <v>0</v>
      </c>
      <c r="AA1172" s="1000"/>
      <c r="AB1172" s="823" t="e">
        <f t="shared" si="218"/>
        <v>#DIV/0!</v>
      </c>
      <c r="AC1172" s="40" t="e">
        <f t="shared" ca="1" si="219"/>
        <v>#DIV/0!</v>
      </c>
      <c r="AD1172" s="41" t="e">
        <f t="shared" ca="1" si="220"/>
        <v>#DIV/0!</v>
      </c>
      <c r="AE1172" s="181" t="e">
        <f t="shared" ca="1" si="221"/>
        <v>#DIV/0!</v>
      </c>
      <c r="AF1172" s="42" t="e">
        <f t="shared" si="222"/>
        <v>#DIV/0!</v>
      </c>
      <c r="AG1172" s="838"/>
      <c r="AH1172" s="841"/>
      <c r="AI1172" s="841"/>
      <c r="AJ1172" s="838"/>
      <c r="AL1172" s="838"/>
      <c r="AM1172" s="838"/>
      <c r="AN1172" s="161" t="str">
        <f t="shared" ca="1" si="223"/>
        <v>TERMINO</v>
      </c>
      <c r="AO1172" s="414"/>
      <c r="AP1172" s="406"/>
      <c r="AQ1172" s="819" t="str">
        <f>IFERROR(VLOOKUP(E1172,'liquidaciones '!$B$2:$C$1048576,2,0),"NO")</f>
        <v>NO</v>
      </c>
      <c r="AR1172" s="909" t="str">
        <f>IFERROR(VLOOKUP(E1172,'liquidaciones '!$B$2:$I$1048576,8,0),"")</f>
        <v/>
      </c>
      <c r="AS1172" s="406"/>
      <c r="AT1172" s="156" t="str">
        <f t="shared" ca="1" si="224"/>
        <v>NO</v>
      </c>
      <c r="AU1172" s="1140"/>
      <c r="AV1172" s="1001"/>
      <c r="AX1172" s="928"/>
      <c r="AY1172" s="928"/>
    </row>
    <row r="1173" spans="3:51" x14ac:dyDescent="0.3">
      <c r="C1173" s="837"/>
      <c r="E1173" s="120"/>
      <c r="F1173" s="414"/>
      <c r="G1173" s="863"/>
      <c r="H1173" s="969"/>
      <c r="I1173" s="84"/>
      <c r="J1173" s="839"/>
      <c r="K1173" s="269"/>
      <c r="L1173" s="519"/>
      <c r="M1173" s="840"/>
      <c r="N1173" s="840"/>
      <c r="O1173" s="1099" t="str">
        <f>IF(+Modificaciones!I1173=0,"",VLOOKUP(E1173,Modificaciones!$B$7:$I$2400,8,0))</f>
        <v/>
      </c>
      <c r="P1173" s="115">
        <f>COUNTA(Modificaciones!J1173,Modificaciones!L1173,Modificaciones!N1173,Modificaciones!P1173)</f>
        <v>0</v>
      </c>
      <c r="Q1173" s="116">
        <f>VLOOKUP(E1173,Modificaciones!$B$7:$R$2300,17,0)</f>
        <v>0</v>
      </c>
      <c r="R1173" s="117">
        <f>COUNTA(Modificaciones!T1173,Modificaciones!V1173,Modificaciones!X1173,Modificaciones!Z1173)</f>
        <v>0</v>
      </c>
      <c r="S1173" s="118" t="str">
        <f>IF(Modificaciones!AA1173=0,"",VLOOKUP(E1173,Modificaciones!$B$7:$AA$2400,26,0))</f>
        <v/>
      </c>
      <c r="T1173" s="119" t="str">
        <f>IF(Modificaciones!AB1173=0,"",VLOOKUP(E1173,Modificaciones!$B$7:$AB$2400,27,0))</f>
        <v/>
      </c>
      <c r="U1173" s="1080">
        <f>+Modificaciones!AC1173</f>
        <v>0</v>
      </c>
      <c r="V1173" s="825">
        <f>+Modificaciones!AK1173</f>
        <v>0</v>
      </c>
      <c r="W1173" s="825">
        <f t="shared" si="215"/>
        <v>0</v>
      </c>
      <c r="X1173" s="59">
        <f t="shared" si="216"/>
        <v>0</v>
      </c>
      <c r="Y1173" s="151">
        <f>VLOOKUP(E1173,Modificaciones!$B$7:$BE$2300,56,0)</f>
        <v>0</v>
      </c>
      <c r="Z1173" s="84">
        <f t="shared" si="217"/>
        <v>0</v>
      </c>
      <c r="AA1173" s="1000"/>
      <c r="AB1173" s="823" t="e">
        <f t="shared" si="218"/>
        <v>#DIV/0!</v>
      </c>
      <c r="AC1173" s="40" t="e">
        <f t="shared" ca="1" si="219"/>
        <v>#DIV/0!</v>
      </c>
      <c r="AD1173" s="41" t="e">
        <f t="shared" ca="1" si="220"/>
        <v>#DIV/0!</v>
      </c>
      <c r="AE1173" s="181" t="e">
        <f t="shared" ca="1" si="221"/>
        <v>#DIV/0!</v>
      </c>
      <c r="AF1173" s="42" t="e">
        <f t="shared" si="222"/>
        <v>#DIV/0!</v>
      </c>
      <c r="AG1173" s="838"/>
      <c r="AH1173" s="841"/>
      <c r="AI1173" s="841"/>
      <c r="AJ1173" s="838"/>
      <c r="AL1173" s="838"/>
      <c r="AM1173" s="838"/>
      <c r="AN1173" s="161" t="str">
        <f t="shared" ca="1" si="223"/>
        <v>TERMINO</v>
      </c>
      <c r="AO1173" s="414"/>
      <c r="AP1173" s="406"/>
      <c r="AQ1173" s="819" t="str">
        <f>IFERROR(VLOOKUP(E1173,'liquidaciones '!$B$2:$C$1048576,2,0),"NO")</f>
        <v>NO</v>
      </c>
      <c r="AR1173" s="909" t="str">
        <f>IFERROR(VLOOKUP(E1173,'liquidaciones '!$B$2:$I$1048576,8,0),"")</f>
        <v/>
      </c>
      <c r="AS1173" s="406"/>
      <c r="AT1173" s="156" t="str">
        <f t="shared" ca="1" si="224"/>
        <v>NO</v>
      </c>
      <c r="AU1173" s="1140"/>
      <c r="AV1173" s="1001"/>
      <c r="AX1173" s="928"/>
      <c r="AY1173" s="928"/>
    </row>
    <row r="1174" spans="3:51" x14ac:dyDescent="0.3">
      <c r="C1174" s="837"/>
      <c r="E1174" s="120"/>
      <c r="F1174" s="414"/>
      <c r="G1174" s="863"/>
      <c r="H1174" s="969"/>
      <c r="I1174" s="84"/>
      <c r="J1174" s="839"/>
      <c r="K1174" s="269"/>
      <c r="L1174" s="519"/>
      <c r="M1174" s="840"/>
      <c r="N1174" s="840"/>
      <c r="O1174" s="1099" t="str">
        <f>IF(+Modificaciones!I1174=0,"",VLOOKUP(E1174,Modificaciones!$B$7:$I$2400,8,0))</f>
        <v/>
      </c>
      <c r="P1174" s="115">
        <f>COUNTA(Modificaciones!J1174,Modificaciones!L1174,Modificaciones!N1174,Modificaciones!P1174)</f>
        <v>0</v>
      </c>
      <c r="Q1174" s="116">
        <f>VLOOKUP(E1174,Modificaciones!$B$7:$R$2300,17,0)</f>
        <v>0</v>
      </c>
      <c r="R1174" s="117">
        <f>COUNTA(Modificaciones!T1174,Modificaciones!V1174,Modificaciones!X1174,Modificaciones!Z1174)</f>
        <v>0</v>
      </c>
      <c r="S1174" s="118" t="str">
        <f>IF(Modificaciones!AA1174=0,"",VLOOKUP(E1174,Modificaciones!$B$7:$AA$2400,26,0))</f>
        <v/>
      </c>
      <c r="T1174" s="119" t="str">
        <f>IF(Modificaciones!AB1174=0,"",VLOOKUP(E1174,Modificaciones!$B$7:$AB$2400,27,0))</f>
        <v/>
      </c>
      <c r="U1174" s="1080">
        <f>+Modificaciones!AC1174</f>
        <v>0</v>
      </c>
      <c r="V1174" s="825">
        <f>+Modificaciones!AK1174</f>
        <v>0</v>
      </c>
      <c r="W1174" s="825">
        <f t="shared" si="215"/>
        <v>0</v>
      </c>
      <c r="X1174" s="59">
        <f t="shared" si="216"/>
        <v>0</v>
      </c>
      <c r="Y1174" s="151">
        <f>VLOOKUP(E1174,Modificaciones!$B$7:$BE$2300,56,0)</f>
        <v>0</v>
      </c>
      <c r="Z1174" s="84">
        <f t="shared" si="217"/>
        <v>0</v>
      </c>
      <c r="AA1174" s="1000"/>
      <c r="AB1174" s="823" t="e">
        <f t="shared" si="218"/>
        <v>#DIV/0!</v>
      </c>
      <c r="AC1174" s="40" t="e">
        <f t="shared" ca="1" si="219"/>
        <v>#DIV/0!</v>
      </c>
      <c r="AD1174" s="41" t="e">
        <f t="shared" ca="1" si="220"/>
        <v>#DIV/0!</v>
      </c>
      <c r="AE1174" s="181" t="e">
        <f t="shared" ca="1" si="221"/>
        <v>#DIV/0!</v>
      </c>
      <c r="AF1174" s="42" t="e">
        <f t="shared" si="222"/>
        <v>#DIV/0!</v>
      </c>
      <c r="AG1174" s="838"/>
      <c r="AH1174" s="841"/>
      <c r="AI1174" s="841"/>
      <c r="AJ1174" s="838"/>
      <c r="AL1174" s="838"/>
      <c r="AM1174" s="838"/>
      <c r="AN1174" s="161" t="str">
        <f t="shared" ca="1" si="223"/>
        <v>TERMINO</v>
      </c>
      <c r="AO1174" s="414"/>
      <c r="AP1174" s="406"/>
      <c r="AQ1174" s="819" t="str">
        <f>IFERROR(VLOOKUP(E1174,'liquidaciones '!$B$2:$C$1048576,2,0),"NO")</f>
        <v>NO</v>
      </c>
      <c r="AR1174" s="909" t="str">
        <f>IFERROR(VLOOKUP(E1174,'liquidaciones '!$B$2:$I$1048576,8,0),"")</f>
        <v/>
      </c>
      <c r="AS1174" s="406"/>
      <c r="AT1174" s="156" t="str">
        <f t="shared" ca="1" si="224"/>
        <v>NO</v>
      </c>
      <c r="AU1174" s="1140"/>
      <c r="AV1174" s="1001"/>
      <c r="AX1174" s="928"/>
      <c r="AY1174" s="928"/>
    </row>
    <row r="1175" spans="3:51" x14ac:dyDescent="0.3">
      <c r="C1175" s="837"/>
      <c r="E1175" s="120"/>
      <c r="F1175" s="414"/>
      <c r="G1175" s="863"/>
      <c r="H1175" s="969"/>
      <c r="I1175" s="84"/>
      <c r="J1175" s="839"/>
      <c r="K1175" s="269"/>
      <c r="L1175" s="519"/>
      <c r="M1175" s="840"/>
      <c r="N1175" s="840"/>
      <c r="O1175" s="1099" t="str">
        <f>IF(+Modificaciones!I1175=0,"",VLOOKUP(E1175,Modificaciones!$B$7:$I$2400,8,0))</f>
        <v/>
      </c>
      <c r="P1175" s="115">
        <f>COUNTA(Modificaciones!J1175,Modificaciones!L1175,Modificaciones!N1175,Modificaciones!P1175)</f>
        <v>0</v>
      </c>
      <c r="Q1175" s="116">
        <f>VLOOKUP(E1175,Modificaciones!$B$7:$R$2300,17,0)</f>
        <v>0</v>
      </c>
      <c r="R1175" s="117">
        <f>COUNTA(Modificaciones!T1175,Modificaciones!V1175,Modificaciones!X1175,Modificaciones!Z1175)</f>
        <v>0</v>
      </c>
      <c r="S1175" s="118" t="str">
        <f>IF(Modificaciones!AA1175=0,"",VLOOKUP(E1175,Modificaciones!$B$7:$AA$2400,26,0))</f>
        <v/>
      </c>
      <c r="T1175" s="119" t="str">
        <f>IF(Modificaciones!AB1175=0,"",VLOOKUP(E1175,Modificaciones!$B$7:$AB$2400,27,0))</f>
        <v/>
      </c>
      <c r="U1175" s="1080">
        <f>+Modificaciones!AC1175</f>
        <v>0</v>
      </c>
      <c r="V1175" s="825">
        <f>+Modificaciones!AK1175</f>
        <v>0</v>
      </c>
      <c r="W1175" s="825">
        <f t="shared" si="215"/>
        <v>0</v>
      </c>
      <c r="X1175" s="59">
        <f t="shared" si="216"/>
        <v>0</v>
      </c>
      <c r="Y1175" s="151">
        <f>VLOOKUP(E1175,Modificaciones!$B$7:$BE$2300,56,0)</f>
        <v>0</v>
      </c>
      <c r="Z1175" s="84">
        <f t="shared" si="217"/>
        <v>0</v>
      </c>
      <c r="AA1175" s="1000"/>
      <c r="AB1175" s="823" t="e">
        <f t="shared" si="218"/>
        <v>#DIV/0!</v>
      </c>
      <c r="AC1175" s="40" t="e">
        <f t="shared" ca="1" si="219"/>
        <v>#DIV/0!</v>
      </c>
      <c r="AD1175" s="41" t="e">
        <f t="shared" ca="1" si="220"/>
        <v>#DIV/0!</v>
      </c>
      <c r="AE1175" s="181" t="e">
        <f t="shared" ca="1" si="221"/>
        <v>#DIV/0!</v>
      </c>
      <c r="AF1175" s="42" t="e">
        <f t="shared" si="222"/>
        <v>#DIV/0!</v>
      </c>
      <c r="AG1175" s="838"/>
      <c r="AH1175" s="841"/>
      <c r="AI1175" s="841"/>
      <c r="AJ1175" s="838"/>
      <c r="AL1175" s="838"/>
      <c r="AM1175" s="838"/>
      <c r="AN1175" s="161" t="str">
        <f t="shared" ca="1" si="223"/>
        <v>TERMINO</v>
      </c>
      <c r="AO1175" s="414"/>
      <c r="AP1175" s="406"/>
      <c r="AQ1175" s="819" t="str">
        <f>IFERROR(VLOOKUP(E1175,'liquidaciones '!$B$2:$C$1048576,2,0),"NO")</f>
        <v>NO</v>
      </c>
      <c r="AR1175" s="909" t="str">
        <f>IFERROR(VLOOKUP(E1175,'liquidaciones '!$B$2:$I$1048576,8,0),"")</f>
        <v/>
      </c>
      <c r="AS1175" s="406"/>
      <c r="AT1175" s="156" t="str">
        <f t="shared" ca="1" si="224"/>
        <v>NO</v>
      </c>
      <c r="AU1175" s="1140"/>
      <c r="AV1175" s="1001"/>
      <c r="AX1175" s="928"/>
      <c r="AY1175" s="928"/>
    </row>
    <row r="1176" spans="3:51" x14ac:dyDescent="0.3">
      <c r="C1176" s="837"/>
      <c r="E1176" s="120"/>
      <c r="F1176" s="414"/>
      <c r="G1176" s="863"/>
      <c r="H1176" s="969"/>
      <c r="I1176" s="84"/>
      <c r="J1176" s="839"/>
      <c r="K1176" s="269"/>
      <c r="L1176" s="519"/>
      <c r="M1176" s="840"/>
      <c r="N1176" s="840"/>
      <c r="O1176" s="1099" t="str">
        <f>IF(+Modificaciones!I1176=0,"",VLOOKUP(E1176,Modificaciones!$B$7:$I$2400,8,0))</f>
        <v/>
      </c>
      <c r="P1176" s="115">
        <f>COUNTA(Modificaciones!J1176,Modificaciones!L1176,Modificaciones!N1176,Modificaciones!P1176)</f>
        <v>0</v>
      </c>
      <c r="Q1176" s="116">
        <f>VLOOKUP(E1176,Modificaciones!$B$7:$R$2300,17,0)</f>
        <v>0</v>
      </c>
      <c r="R1176" s="117">
        <f>COUNTA(Modificaciones!T1176,Modificaciones!V1176,Modificaciones!X1176,Modificaciones!Z1176)</f>
        <v>0</v>
      </c>
      <c r="S1176" s="118" t="str">
        <f>IF(Modificaciones!AA1176=0,"",VLOOKUP(E1176,Modificaciones!$B$7:$AA$2400,26,0))</f>
        <v/>
      </c>
      <c r="T1176" s="119" t="str">
        <f>IF(Modificaciones!AB1176=0,"",VLOOKUP(E1176,Modificaciones!$B$7:$AB$2400,27,0))</f>
        <v/>
      </c>
      <c r="U1176" s="1080">
        <f>+Modificaciones!AC1176</f>
        <v>0</v>
      </c>
      <c r="V1176" s="825">
        <f>+Modificaciones!AK1176</f>
        <v>0</v>
      </c>
      <c r="W1176" s="825">
        <f t="shared" si="215"/>
        <v>0</v>
      </c>
      <c r="X1176" s="59">
        <f t="shared" si="216"/>
        <v>0</v>
      </c>
      <c r="Y1176" s="151">
        <f>VLOOKUP(E1176,Modificaciones!$B$7:$BE$2300,56,0)</f>
        <v>0</v>
      </c>
      <c r="Z1176" s="84">
        <f t="shared" si="217"/>
        <v>0</v>
      </c>
      <c r="AA1176" s="1000"/>
      <c r="AB1176" s="823" t="e">
        <f t="shared" si="218"/>
        <v>#DIV/0!</v>
      </c>
      <c r="AC1176" s="40" t="e">
        <f t="shared" ca="1" si="219"/>
        <v>#DIV/0!</v>
      </c>
      <c r="AD1176" s="41" t="e">
        <f t="shared" ca="1" si="220"/>
        <v>#DIV/0!</v>
      </c>
      <c r="AE1176" s="181" t="e">
        <f t="shared" ca="1" si="221"/>
        <v>#DIV/0!</v>
      </c>
      <c r="AF1176" s="42" t="e">
        <f t="shared" si="222"/>
        <v>#DIV/0!</v>
      </c>
      <c r="AG1176" s="838"/>
      <c r="AH1176" s="841"/>
      <c r="AI1176" s="841"/>
      <c r="AJ1176" s="838"/>
      <c r="AL1176" s="838"/>
      <c r="AM1176" s="838"/>
      <c r="AN1176" s="161" t="str">
        <f t="shared" ca="1" si="223"/>
        <v>TERMINO</v>
      </c>
      <c r="AO1176" s="414"/>
      <c r="AP1176" s="406"/>
      <c r="AQ1176" s="819" t="str">
        <f>IFERROR(VLOOKUP(E1176,'liquidaciones '!$B$2:$C$1048576,2,0),"NO")</f>
        <v>NO</v>
      </c>
      <c r="AR1176" s="909" t="str">
        <f>IFERROR(VLOOKUP(E1176,'liquidaciones '!$B$2:$I$1048576,8,0),"")</f>
        <v/>
      </c>
      <c r="AS1176" s="406"/>
      <c r="AT1176" s="156" t="str">
        <f t="shared" ca="1" si="224"/>
        <v>NO</v>
      </c>
      <c r="AU1176" s="1140"/>
      <c r="AV1176" s="1001"/>
      <c r="AX1176" s="928"/>
      <c r="AY1176" s="928"/>
    </row>
    <row r="1177" spans="3:51" x14ac:dyDescent="0.3">
      <c r="C1177" s="837"/>
      <c r="E1177" s="120"/>
      <c r="F1177" s="414"/>
      <c r="G1177" s="863"/>
      <c r="H1177" s="969"/>
      <c r="I1177" s="84"/>
      <c r="J1177" s="839"/>
      <c r="K1177" s="269"/>
      <c r="L1177" s="519"/>
      <c r="M1177" s="840"/>
      <c r="N1177" s="840"/>
      <c r="O1177" s="1099" t="str">
        <f>IF(+Modificaciones!I1177=0,"",VLOOKUP(E1177,Modificaciones!$B$7:$I$2400,8,0))</f>
        <v/>
      </c>
      <c r="P1177" s="115">
        <f>COUNTA(Modificaciones!J1177,Modificaciones!L1177,Modificaciones!N1177,Modificaciones!P1177)</f>
        <v>0</v>
      </c>
      <c r="Q1177" s="116">
        <f>VLOOKUP(E1177,Modificaciones!$B$7:$R$2300,17,0)</f>
        <v>0</v>
      </c>
      <c r="R1177" s="117">
        <f>COUNTA(Modificaciones!T1177,Modificaciones!V1177,Modificaciones!X1177,Modificaciones!Z1177)</f>
        <v>0</v>
      </c>
      <c r="S1177" s="118" t="str">
        <f>IF(Modificaciones!AA1177=0,"",VLOOKUP(E1177,Modificaciones!$B$7:$AA$2400,26,0))</f>
        <v/>
      </c>
      <c r="T1177" s="119" t="str">
        <f>IF(Modificaciones!AB1177=0,"",VLOOKUP(E1177,Modificaciones!$B$7:$AB$2400,27,0))</f>
        <v/>
      </c>
      <c r="U1177" s="1080">
        <f>+Modificaciones!AC1177</f>
        <v>0</v>
      </c>
      <c r="V1177" s="825">
        <f>+Modificaciones!AK1177</f>
        <v>0</v>
      </c>
      <c r="W1177" s="825">
        <f t="shared" si="215"/>
        <v>0</v>
      </c>
      <c r="X1177" s="59">
        <f t="shared" si="216"/>
        <v>0</v>
      </c>
      <c r="Y1177" s="151">
        <f>VLOOKUP(E1177,Modificaciones!$B$7:$BE$2300,56,0)</f>
        <v>0</v>
      </c>
      <c r="Z1177" s="84">
        <f t="shared" si="217"/>
        <v>0</v>
      </c>
      <c r="AA1177" s="1000"/>
      <c r="AB1177" s="823" t="e">
        <f t="shared" si="218"/>
        <v>#DIV/0!</v>
      </c>
      <c r="AC1177" s="40" t="e">
        <f t="shared" ca="1" si="219"/>
        <v>#DIV/0!</v>
      </c>
      <c r="AD1177" s="41" t="e">
        <f t="shared" ca="1" si="220"/>
        <v>#DIV/0!</v>
      </c>
      <c r="AE1177" s="181" t="e">
        <f t="shared" ca="1" si="221"/>
        <v>#DIV/0!</v>
      </c>
      <c r="AF1177" s="42" t="e">
        <f t="shared" si="222"/>
        <v>#DIV/0!</v>
      </c>
      <c r="AG1177" s="838"/>
      <c r="AH1177" s="841"/>
      <c r="AI1177" s="841"/>
      <c r="AJ1177" s="838"/>
      <c r="AL1177" s="838"/>
      <c r="AM1177" s="838"/>
      <c r="AN1177" s="161" t="str">
        <f t="shared" ca="1" si="223"/>
        <v>TERMINO</v>
      </c>
      <c r="AO1177" s="414"/>
      <c r="AP1177" s="406"/>
      <c r="AQ1177" s="819" t="str">
        <f>IFERROR(VLOOKUP(E1177,'liquidaciones '!$B$2:$C$1048576,2,0),"NO")</f>
        <v>NO</v>
      </c>
      <c r="AR1177" s="909" t="str">
        <f>IFERROR(VLOOKUP(E1177,'liquidaciones '!$B$2:$I$1048576,8,0),"")</f>
        <v/>
      </c>
      <c r="AS1177" s="406"/>
      <c r="AT1177" s="156" t="str">
        <f t="shared" ca="1" si="224"/>
        <v>NO</v>
      </c>
      <c r="AU1177" s="1140"/>
      <c r="AV1177" s="1001"/>
      <c r="AX1177" s="928"/>
      <c r="AY1177" s="928"/>
    </row>
    <row r="1178" spans="3:51" x14ac:dyDescent="0.3">
      <c r="C1178" s="837"/>
      <c r="E1178" s="120"/>
      <c r="F1178" s="414"/>
      <c r="G1178" s="863"/>
      <c r="H1178" s="969"/>
      <c r="I1178" s="84"/>
      <c r="J1178" s="839"/>
      <c r="K1178" s="269"/>
      <c r="L1178" s="519"/>
      <c r="M1178" s="840"/>
      <c r="N1178" s="840"/>
      <c r="O1178" s="1099" t="str">
        <f>IF(+Modificaciones!I1178=0,"",VLOOKUP(E1178,Modificaciones!$B$7:$I$2400,8,0))</f>
        <v/>
      </c>
      <c r="P1178" s="115">
        <f>COUNTA(Modificaciones!J1178,Modificaciones!L1178,Modificaciones!N1178,Modificaciones!P1178)</f>
        <v>0</v>
      </c>
      <c r="Q1178" s="116">
        <f>VLOOKUP(E1178,Modificaciones!$B$7:$R$2300,17,0)</f>
        <v>0</v>
      </c>
      <c r="R1178" s="117">
        <f>COUNTA(Modificaciones!T1178,Modificaciones!V1178,Modificaciones!X1178,Modificaciones!Z1178)</f>
        <v>0</v>
      </c>
      <c r="S1178" s="118" t="str">
        <f>IF(Modificaciones!AA1178=0,"",VLOOKUP(E1178,Modificaciones!$B$7:$AA$2400,26,0))</f>
        <v/>
      </c>
      <c r="T1178" s="119" t="str">
        <f>IF(Modificaciones!AB1178=0,"",VLOOKUP(E1178,Modificaciones!$B$7:$AB$2400,27,0))</f>
        <v/>
      </c>
      <c r="U1178" s="1080">
        <f>+Modificaciones!AC1178</f>
        <v>0</v>
      </c>
      <c r="V1178" s="825">
        <f>+Modificaciones!AK1178</f>
        <v>0</v>
      </c>
      <c r="W1178" s="825">
        <f t="shared" si="215"/>
        <v>0</v>
      </c>
      <c r="X1178" s="59">
        <f t="shared" si="216"/>
        <v>0</v>
      </c>
      <c r="Y1178" s="151">
        <f>VLOOKUP(E1178,Modificaciones!$B$7:$BE$2300,56,0)</f>
        <v>0</v>
      </c>
      <c r="Z1178" s="84">
        <f t="shared" si="217"/>
        <v>0</v>
      </c>
      <c r="AA1178" s="1000"/>
      <c r="AB1178" s="823" t="e">
        <f t="shared" si="218"/>
        <v>#DIV/0!</v>
      </c>
      <c r="AC1178" s="40" t="e">
        <f t="shared" ca="1" si="219"/>
        <v>#DIV/0!</v>
      </c>
      <c r="AD1178" s="41" t="e">
        <f t="shared" ca="1" si="220"/>
        <v>#DIV/0!</v>
      </c>
      <c r="AE1178" s="181" t="e">
        <f t="shared" ca="1" si="221"/>
        <v>#DIV/0!</v>
      </c>
      <c r="AF1178" s="42" t="e">
        <f t="shared" si="222"/>
        <v>#DIV/0!</v>
      </c>
      <c r="AG1178" s="838"/>
      <c r="AH1178" s="841"/>
      <c r="AI1178" s="841"/>
      <c r="AJ1178" s="838"/>
      <c r="AL1178" s="838"/>
      <c r="AM1178" s="838"/>
      <c r="AN1178" s="161" t="str">
        <f t="shared" ca="1" si="223"/>
        <v>TERMINO</v>
      </c>
      <c r="AO1178" s="414"/>
      <c r="AP1178" s="406"/>
      <c r="AQ1178" s="819" t="str">
        <f>IFERROR(VLOOKUP(E1178,'liquidaciones '!$B$2:$C$1048576,2,0),"NO")</f>
        <v>NO</v>
      </c>
      <c r="AR1178" s="909" t="str">
        <f>IFERROR(VLOOKUP(E1178,'liquidaciones '!$B$2:$I$1048576,8,0),"")</f>
        <v/>
      </c>
      <c r="AS1178" s="406"/>
      <c r="AT1178" s="156" t="str">
        <f t="shared" ca="1" si="224"/>
        <v>NO</v>
      </c>
      <c r="AU1178" s="1140"/>
      <c r="AV1178" s="1001"/>
      <c r="AX1178" s="928"/>
      <c r="AY1178" s="928"/>
    </row>
    <row r="1048321" spans="27:42" x14ac:dyDescent="0.3">
      <c r="AN1048321" s="865"/>
    </row>
    <row r="1048323" spans="27:42" x14ac:dyDescent="0.3">
      <c r="AA1048323" s="283"/>
      <c r="AO1048323" s="284"/>
      <c r="AP1048323" s="155"/>
    </row>
  </sheetData>
  <sheetProtection autoFilter="0" pivotTables="0"/>
  <autoFilter ref="A6:BD1000" xr:uid="{00000000-0009-0000-0000-000004000000}"/>
  <sortState xmlns:xlrd2="http://schemas.microsoft.com/office/spreadsheetml/2017/richdata2" ref="E223:L230">
    <sortCondition ref="E223:E230"/>
  </sortState>
  <dataConsolidate/>
  <mergeCells count="6">
    <mergeCell ref="H2:AB2"/>
    <mergeCell ref="H3:AB3"/>
    <mergeCell ref="P5:T5"/>
    <mergeCell ref="AP2:AU4"/>
    <mergeCell ref="Y5:AF5"/>
    <mergeCell ref="U5:V5"/>
  </mergeCells>
  <conditionalFormatting sqref="AB7:AB410 AB421:AB422 AB437:AB456 AB458 AB461:AB600 AB757:AB794">
    <cfRule type="cellIs" dxfId="606" priority="924" operator="equal">
      <formula>$BA$7</formula>
    </cfRule>
    <cfRule type="cellIs" dxfId="605" priority="925" operator="equal">
      <formula>$BA$7</formula>
    </cfRule>
  </conditionalFormatting>
  <conditionalFormatting sqref="AF7:AG267 AF271:AF410 AF421:AF422 AF455:AF456 AF460:AF600 AF757:AF794 AF269:AG270 AF268">
    <cfRule type="cellIs" dxfId="604" priority="923" operator="equal">
      <formula>$BB$7</formula>
    </cfRule>
  </conditionalFormatting>
  <conditionalFormatting sqref="AE7:AE1178">
    <cfRule type="iconSet" priority="1058">
      <iconSet iconSet="3Symbols">
        <cfvo type="percent" val="0"/>
        <cfvo type="num" val="20"/>
        <cfvo type="num" val="60"/>
      </iconSet>
    </cfRule>
    <cfRule type="iconSet" priority="1059">
      <iconSet iconSet="3Symbols">
        <cfvo type="percent" val="0"/>
        <cfvo type="percent" val="33"/>
        <cfvo type="percent" val="67"/>
      </iconSet>
    </cfRule>
  </conditionalFormatting>
  <conditionalFormatting sqref="AB411:AB420">
    <cfRule type="cellIs" dxfId="603" priority="907" operator="equal">
      <formula>$BA$7</formula>
    </cfRule>
    <cfRule type="cellIs" dxfId="602" priority="908" operator="equal">
      <formula>$BA$7</formula>
    </cfRule>
  </conditionalFormatting>
  <conditionalFormatting sqref="AF411:AF420">
    <cfRule type="cellIs" dxfId="601" priority="906" operator="equal">
      <formula>$BB$7</formula>
    </cfRule>
  </conditionalFormatting>
  <conditionalFormatting sqref="AB425:AB426">
    <cfRule type="cellIs" dxfId="600" priority="898" operator="equal">
      <formula>$BA$7</formula>
    </cfRule>
    <cfRule type="cellIs" dxfId="599" priority="899" operator="equal">
      <formula>$BA$7</formula>
    </cfRule>
  </conditionalFormatting>
  <conditionalFormatting sqref="AF425:AF426">
    <cfRule type="cellIs" dxfId="598" priority="897" operator="equal">
      <formula>$BB$7</formula>
    </cfRule>
  </conditionalFormatting>
  <conditionalFormatting sqref="AB423:AB424">
    <cfRule type="cellIs" dxfId="597" priority="887" operator="equal">
      <formula>$BA$7</formula>
    </cfRule>
    <cfRule type="cellIs" dxfId="596" priority="888" operator="equal">
      <formula>$BA$7</formula>
    </cfRule>
  </conditionalFormatting>
  <conditionalFormatting sqref="AF423:AF424">
    <cfRule type="cellIs" dxfId="595" priority="886" operator="equal">
      <formula>$BB$7</formula>
    </cfRule>
  </conditionalFormatting>
  <conditionalFormatting sqref="AB429:AB430">
    <cfRule type="cellIs" dxfId="594" priority="878" operator="equal">
      <formula>$BA$7</formula>
    </cfRule>
    <cfRule type="cellIs" dxfId="593" priority="879" operator="equal">
      <formula>$BA$7</formula>
    </cfRule>
  </conditionalFormatting>
  <conditionalFormatting sqref="AF429:AF430">
    <cfRule type="cellIs" dxfId="592" priority="877" operator="equal">
      <formula>$BB$7</formula>
    </cfRule>
  </conditionalFormatting>
  <conditionalFormatting sqref="AB427:AB428">
    <cfRule type="cellIs" dxfId="591" priority="867" operator="equal">
      <formula>$BA$7</formula>
    </cfRule>
    <cfRule type="cellIs" dxfId="590" priority="868" operator="equal">
      <formula>$BA$7</formula>
    </cfRule>
  </conditionalFormatting>
  <conditionalFormatting sqref="AF427:AF428">
    <cfRule type="cellIs" dxfId="589" priority="866" operator="equal">
      <formula>$BB$7</formula>
    </cfRule>
  </conditionalFormatting>
  <conditionalFormatting sqref="AB433:AB434">
    <cfRule type="cellIs" dxfId="588" priority="858" operator="equal">
      <formula>$BA$7</formula>
    </cfRule>
    <cfRule type="cellIs" dxfId="587" priority="859" operator="equal">
      <formula>$BA$7</formula>
    </cfRule>
  </conditionalFormatting>
  <conditionalFormatting sqref="AF433:AF434">
    <cfRule type="cellIs" dxfId="586" priority="857" operator="equal">
      <formula>$BB$7</formula>
    </cfRule>
  </conditionalFormatting>
  <conditionalFormatting sqref="AB431:AB432">
    <cfRule type="cellIs" dxfId="585" priority="847" operator="equal">
      <formula>$BA$7</formula>
    </cfRule>
    <cfRule type="cellIs" dxfId="584" priority="848" operator="equal">
      <formula>$BA$7</formula>
    </cfRule>
  </conditionalFormatting>
  <conditionalFormatting sqref="AF431:AF432">
    <cfRule type="cellIs" dxfId="583" priority="846" operator="equal">
      <formula>$BB$7</formula>
    </cfRule>
  </conditionalFormatting>
  <conditionalFormatting sqref="AB435:AB436">
    <cfRule type="cellIs" dxfId="582" priority="838" operator="equal">
      <formula>$BA$7</formula>
    </cfRule>
    <cfRule type="cellIs" dxfId="581" priority="839" operator="equal">
      <formula>$BA$7</formula>
    </cfRule>
  </conditionalFormatting>
  <conditionalFormatting sqref="AF435:AF436">
    <cfRule type="cellIs" dxfId="580" priority="837" operator="equal">
      <formula>$BB$7</formula>
    </cfRule>
  </conditionalFormatting>
  <conditionalFormatting sqref="AF439:AF440">
    <cfRule type="cellIs" dxfId="579" priority="826" operator="equal">
      <formula>$BB$7</formula>
    </cfRule>
  </conditionalFormatting>
  <conditionalFormatting sqref="AF437:AF438">
    <cfRule type="cellIs" dxfId="578" priority="815" operator="equal">
      <formula>$BB$7</formula>
    </cfRule>
  </conditionalFormatting>
  <conditionalFormatting sqref="AF441:AF442">
    <cfRule type="cellIs" dxfId="577" priority="806" operator="equal">
      <formula>$BB$7</formula>
    </cfRule>
  </conditionalFormatting>
  <conditionalFormatting sqref="AF445:AF446">
    <cfRule type="cellIs" dxfId="576" priority="795" operator="equal">
      <formula>$BB$7</formula>
    </cfRule>
  </conditionalFormatting>
  <conditionalFormatting sqref="AF443:AF444">
    <cfRule type="cellIs" dxfId="575" priority="784" operator="equal">
      <formula>$BB$7</formula>
    </cfRule>
  </conditionalFormatting>
  <conditionalFormatting sqref="AF447:AF448">
    <cfRule type="cellIs" dxfId="574" priority="775" operator="equal">
      <formula>$BB$7</formula>
    </cfRule>
  </conditionalFormatting>
  <conditionalFormatting sqref="AF451:AF452">
    <cfRule type="cellIs" dxfId="573" priority="764" operator="equal">
      <formula>$BB$7</formula>
    </cfRule>
  </conditionalFormatting>
  <conditionalFormatting sqref="AF449:AF450">
    <cfRule type="cellIs" dxfId="572" priority="753" operator="equal">
      <formula>$BB$7</formula>
    </cfRule>
  </conditionalFormatting>
  <conditionalFormatting sqref="AF453:AF454">
    <cfRule type="cellIs" dxfId="571" priority="744" operator="equal">
      <formula>$BB$7</formula>
    </cfRule>
  </conditionalFormatting>
  <conditionalFormatting sqref="AF458">
    <cfRule type="cellIs" dxfId="570" priority="733" operator="equal">
      <formula>$BB$7</formula>
    </cfRule>
  </conditionalFormatting>
  <conditionalFormatting sqref="AB457">
    <cfRule type="cellIs" dxfId="569" priority="712" operator="equal">
      <formula>$BA$7</formula>
    </cfRule>
    <cfRule type="cellIs" dxfId="568" priority="713" operator="equal">
      <formula>$BA$7</formula>
    </cfRule>
  </conditionalFormatting>
  <conditionalFormatting sqref="AF457">
    <cfRule type="cellIs" dxfId="567" priority="705" operator="equal">
      <formula>$BB$7</formula>
    </cfRule>
  </conditionalFormatting>
  <conditionalFormatting sqref="AB459">
    <cfRule type="cellIs" dxfId="566" priority="701" operator="equal">
      <formula>$BA$7</formula>
    </cfRule>
    <cfRule type="cellIs" dxfId="565" priority="702" operator="equal">
      <formula>$BA$7</formula>
    </cfRule>
  </conditionalFormatting>
  <conditionalFormatting sqref="AF459">
    <cfRule type="cellIs" dxfId="564" priority="696" operator="equal">
      <formula>$BB$7</formula>
    </cfRule>
  </conditionalFormatting>
  <conditionalFormatting sqref="AB460">
    <cfRule type="cellIs" dxfId="563" priority="692" operator="equal">
      <formula>$BA$7</formula>
    </cfRule>
    <cfRule type="cellIs" dxfId="562" priority="693" operator="equal">
      <formula>$BA$7</formula>
    </cfRule>
  </conditionalFormatting>
  <conditionalFormatting sqref="AR757:AR794 AQ7:AR380 AR381:AR600 AQ381:AQ1178">
    <cfRule type="cellIs" dxfId="561" priority="646" operator="equal">
      <formula>"NO"</formula>
    </cfRule>
    <cfRule type="cellIs" dxfId="560" priority="647" operator="equal">
      <formula>"NO"</formula>
    </cfRule>
    <cfRule type="cellIs" dxfId="559" priority="648" operator="equal">
      <formula>"NO"</formula>
    </cfRule>
    <cfRule type="cellIs" dxfId="558" priority="649" operator="equal">
      <formula>"SI"</formula>
    </cfRule>
  </conditionalFormatting>
  <conditionalFormatting sqref="AR757:AR794 AQ7:AR380 AR381:AR600 AQ381:AQ1178">
    <cfRule type="cellIs" dxfId="557" priority="645" operator="equal">
      <formula>"NO"</formula>
    </cfRule>
  </conditionalFormatting>
  <conditionalFormatting sqref="AR757:AR794 AQ115:AR380 AR381:AR600 AQ381:AQ1178">
    <cfRule type="containsText" dxfId="556" priority="638" operator="containsText" text="SI">
      <formula>NOT(ISERROR(SEARCH("SI",AQ115)))</formula>
    </cfRule>
  </conditionalFormatting>
  <conditionalFormatting sqref="AR757:AR794 AQ7:AR380 AR381:AR600 AQ381:AQ1178">
    <cfRule type="cellIs" dxfId="555" priority="636" operator="equal">
      <formula>"SI"</formula>
    </cfRule>
  </conditionalFormatting>
  <conditionalFormatting sqref="AB601:AB645">
    <cfRule type="cellIs" dxfId="554" priority="613" operator="equal">
      <formula>$BA$7</formula>
    </cfRule>
    <cfRule type="cellIs" dxfId="553" priority="614" operator="equal">
      <formula>$BA$7</formula>
    </cfRule>
  </conditionalFormatting>
  <conditionalFormatting sqref="AF601:AF645">
    <cfRule type="cellIs" dxfId="552" priority="612" operator="equal">
      <formula>$BB$7</formula>
    </cfRule>
  </conditionalFormatting>
  <conditionalFormatting sqref="AR601:AR645">
    <cfRule type="cellIs" dxfId="551" priority="602" operator="equal">
      <formula>"NO"</formula>
    </cfRule>
    <cfRule type="cellIs" dxfId="550" priority="603" operator="equal">
      <formula>"NO"</formula>
    </cfRule>
    <cfRule type="cellIs" dxfId="549" priority="604" operator="equal">
      <formula>"NO"</formula>
    </cfRule>
    <cfRule type="cellIs" dxfId="548" priority="605" operator="equal">
      <formula>"SI"</formula>
    </cfRule>
  </conditionalFormatting>
  <conditionalFormatting sqref="AR601:AR645">
    <cfRule type="cellIs" dxfId="547" priority="601" operator="equal">
      <formula>"NO"</formula>
    </cfRule>
  </conditionalFormatting>
  <conditionalFormatting sqref="AR601:AR645">
    <cfRule type="containsText" dxfId="546" priority="600" operator="containsText" text="SI">
      <formula>NOT(ISERROR(SEARCH("SI",AR601)))</formula>
    </cfRule>
  </conditionalFormatting>
  <conditionalFormatting sqref="AR601:AR645">
    <cfRule type="cellIs" dxfId="545" priority="599" operator="equal">
      <formula>"SI"</formula>
    </cfRule>
  </conditionalFormatting>
  <conditionalFormatting sqref="AB646:AB675">
    <cfRule type="cellIs" dxfId="544" priority="567" operator="equal">
      <formula>$BA$7</formula>
    </cfRule>
    <cfRule type="cellIs" dxfId="543" priority="568" operator="equal">
      <formula>$BA$7</formula>
    </cfRule>
  </conditionalFormatting>
  <conditionalFormatting sqref="AF646:AF675">
    <cfRule type="cellIs" dxfId="542" priority="566" operator="equal">
      <formula>$BB$7</formula>
    </cfRule>
  </conditionalFormatting>
  <conditionalFormatting sqref="AR646:AR675">
    <cfRule type="cellIs" dxfId="541" priority="556" operator="equal">
      <formula>"NO"</formula>
    </cfRule>
    <cfRule type="cellIs" dxfId="540" priority="557" operator="equal">
      <formula>"NO"</formula>
    </cfRule>
    <cfRule type="cellIs" dxfId="539" priority="558" operator="equal">
      <formula>"NO"</formula>
    </cfRule>
    <cfRule type="cellIs" dxfId="538" priority="559" operator="equal">
      <formula>"SI"</formula>
    </cfRule>
  </conditionalFormatting>
  <conditionalFormatting sqref="AR646:AR675">
    <cfRule type="cellIs" dxfId="537" priority="555" operator="equal">
      <formula>"NO"</formula>
    </cfRule>
  </conditionalFormatting>
  <conditionalFormatting sqref="AR646:AR675">
    <cfRule type="containsText" dxfId="536" priority="554" operator="containsText" text="SI">
      <formula>NOT(ISERROR(SEARCH("SI",AR646)))</formula>
    </cfRule>
  </conditionalFormatting>
  <conditionalFormatting sqref="AR646:AR675">
    <cfRule type="cellIs" dxfId="535" priority="553" operator="equal">
      <formula>"SI"</formula>
    </cfRule>
  </conditionalFormatting>
  <conditionalFormatting sqref="AB676:AB683">
    <cfRule type="cellIs" dxfId="534" priority="520" operator="equal">
      <formula>$BA$7</formula>
    </cfRule>
    <cfRule type="cellIs" dxfId="533" priority="521" operator="equal">
      <formula>$BA$7</formula>
    </cfRule>
  </conditionalFormatting>
  <conditionalFormatting sqref="AF676:AF683">
    <cfRule type="cellIs" dxfId="532" priority="519" operator="equal">
      <formula>$BB$7</formula>
    </cfRule>
  </conditionalFormatting>
  <conditionalFormatting sqref="AR676:AR683">
    <cfRule type="cellIs" dxfId="531" priority="509" operator="equal">
      <formula>"NO"</formula>
    </cfRule>
    <cfRule type="cellIs" dxfId="530" priority="510" operator="equal">
      <formula>"NO"</formula>
    </cfRule>
    <cfRule type="cellIs" dxfId="529" priority="511" operator="equal">
      <formula>"NO"</formula>
    </cfRule>
    <cfRule type="cellIs" dxfId="528" priority="512" operator="equal">
      <formula>"SI"</formula>
    </cfRule>
  </conditionalFormatting>
  <conditionalFormatting sqref="AR676:AR683">
    <cfRule type="cellIs" dxfId="527" priority="508" operator="equal">
      <formula>"NO"</formula>
    </cfRule>
  </conditionalFormatting>
  <conditionalFormatting sqref="AR676:AR683">
    <cfRule type="containsText" dxfId="526" priority="507" operator="containsText" text="SI">
      <formula>NOT(ISERROR(SEARCH("SI",AR676)))</formula>
    </cfRule>
  </conditionalFormatting>
  <conditionalFormatting sqref="AR676:AR683">
    <cfRule type="cellIs" dxfId="525" priority="506" operator="equal">
      <formula>"SI"</formula>
    </cfRule>
  </conditionalFormatting>
  <conditionalFormatting sqref="AB684:AB691">
    <cfRule type="cellIs" dxfId="524" priority="499" operator="equal">
      <formula>$BA$7</formula>
    </cfRule>
    <cfRule type="cellIs" dxfId="523" priority="500" operator="equal">
      <formula>$BA$7</formula>
    </cfRule>
  </conditionalFormatting>
  <conditionalFormatting sqref="AF684:AF691">
    <cfRule type="cellIs" dxfId="522" priority="498" operator="equal">
      <formula>$BB$7</formula>
    </cfRule>
  </conditionalFormatting>
  <conditionalFormatting sqref="AR684:AR691">
    <cfRule type="cellIs" dxfId="521" priority="488" operator="equal">
      <formula>"NO"</formula>
    </cfRule>
    <cfRule type="cellIs" dxfId="520" priority="489" operator="equal">
      <formula>"NO"</formula>
    </cfRule>
    <cfRule type="cellIs" dxfId="519" priority="490" operator="equal">
      <formula>"NO"</formula>
    </cfRule>
    <cfRule type="cellIs" dxfId="518" priority="491" operator="equal">
      <formula>"SI"</formula>
    </cfRule>
  </conditionalFormatting>
  <conditionalFormatting sqref="AR684:AR691">
    <cfRule type="cellIs" dxfId="517" priority="487" operator="equal">
      <formula>"NO"</formula>
    </cfRule>
  </conditionalFormatting>
  <conditionalFormatting sqref="AR684:AR691">
    <cfRule type="containsText" dxfId="516" priority="486" operator="containsText" text="SI">
      <formula>NOT(ISERROR(SEARCH("SI",AR684)))</formula>
    </cfRule>
  </conditionalFormatting>
  <conditionalFormatting sqref="AR684:AR691">
    <cfRule type="cellIs" dxfId="515" priority="485" operator="equal">
      <formula>"SI"</formula>
    </cfRule>
  </conditionalFormatting>
  <conditionalFormatting sqref="AB692:AB699">
    <cfRule type="cellIs" dxfId="514" priority="466" operator="equal">
      <formula>$BA$7</formula>
    </cfRule>
    <cfRule type="cellIs" dxfId="513" priority="467" operator="equal">
      <formula>$BA$7</formula>
    </cfRule>
  </conditionalFormatting>
  <conditionalFormatting sqref="AF692:AF699">
    <cfRule type="cellIs" dxfId="512" priority="465" operator="equal">
      <formula>$BB$7</formula>
    </cfRule>
  </conditionalFormatting>
  <conditionalFormatting sqref="AR692:AR699">
    <cfRule type="cellIs" dxfId="511" priority="455" operator="equal">
      <formula>"NO"</formula>
    </cfRule>
    <cfRule type="cellIs" dxfId="510" priority="456" operator="equal">
      <formula>"NO"</formula>
    </cfRule>
    <cfRule type="cellIs" dxfId="509" priority="457" operator="equal">
      <formula>"NO"</formula>
    </cfRule>
    <cfRule type="cellIs" dxfId="508" priority="458" operator="equal">
      <formula>"SI"</formula>
    </cfRule>
  </conditionalFormatting>
  <conditionalFormatting sqref="AR692:AR699">
    <cfRule type="cellIs" dxfId="507" priority="454" operator="equal">
      <formula>"NO"</formula>
    </cfRule>
  </conditionalFormatting>
  <conditionalFormatting sqref="AR692:AR699">
    <cfRule type="containsText" dxfId="506" priority="453" operator="containsText" text="SI">
      <formula>NOT(ISERROR(SEARCH("SI",AR692)))</formula>
    </cfRule>
  </conditionalFormatting>
  <conditionalFormatting sqref="AR692:AR699">
    <cfRule type="cellIs" dxfId="505" priority="452" operator="equal">
      <formula>"SI"</formula>
    </cfRule>
  </conditionalFormatting>
  <conditionalFormatting sqref="AB700:AB707">
    <cfRule type="cellIs" dxfId="504" priority="445" operator="equal">
      <formula>$BA$7</formula>
    </cfRule>
    <cfRule type="cellIs" dxfId="503" priority="446" operator="equal">
      <formula>$BA$7</formula>
    </cfRule>
  </conditionalFormatting>
  <conditionalFormatting sqref="AF700:AF707">
    <cfRule type="cellIs" dxfId="502" priority="444" operator="equal">
      <formula>$BB$7</formula>
    </cfRule>
  </conditionalFormatting>
  <conditionalFormatting sqref="AR700:AR707">
    <cfRule type="cellIs" dxfId="501" priority="434" operator="equal">
      <formula>"NO"</formula>
    </cfRule>
    <cfRule type="cellIs" dxfId="500" priority="435" operator="equal">
      <formula>"NO"</formula>
    </cfRule>
    <cfRule type="cellIs" dxfId="499" priority="436" operator="equal">
      <formula>"NO"</formula>
    </cfRule>
    <cfRule type="cellIs" dxfId="498" priority="437" operator="equal">
      <formula>"SI"</formula>
    </cfRule>
  </conditionalFormatting>
  <conditionalFormatting sqref="AR700:AR707">
    <cfRule type="cellIs" dxfId="497" priority="433" operator="equal">
      <formula>"NO"</formula>
    </cfRule>
  </conditionalFormatting>
  <conditionalFormatting sqref="AR700:AR707">
    <cfRule type="containsText" dxfId="496" priority="432" operator="containsText" text="SI">
      <formula>NOT(ISERROR(SEARCH("SI",AR700)))</formula>
    </cfRule>
  </conditionalFormatting>
  <conditionalFormatting sqref="AR700:AR707">
    <cfRule type="cellIs" dxfId="495" priority="431" operator="equal">
      <formula>"SI"</formula>
    </cfRule>
  </conditionalFormatting>
  <conditionalFormatting sqref="AB708:AB715">
    <cfRule type="cellIs" dxfId="494" priority="424" operator="equal">
      <formula>$BA$7</formula>
    </cfRule>
    <cfRule type="cellIs" dxfId="493" priority="425" operator="equal">
      <formula>$BA$7</formula>
    </cfRule>
  </conditionalFormatting>
  <conditionalFormatting sqref="AF708:AF715">
    <cfRule type="cellIs" dxfId="492" priority="423" operator="equal">
      <formula>$BB$7</formula>
    </cfRule>
  </conditionalFormatting>
  <conditionalFormatting sqref="AR708:AR715">
    <cfRule type="cellIs" dxfId="491" priority="413" operator="equal">
      <formula>"NO"</formula>
    </cfRule>
    <cfRule type="cellIs" dxfId="490" priority="414" operator="equal">
      <formula>"NO"</formula>
    </cfRule>
    <cfRule type="cellIs" dxfId="489" priority="415" operator="equal">
      <formula>"NO"</formula>
    </cfRule>
    <cfRule type="cellIs" dxfId="488" priority="416" operator="equal">
      <formula>"SI"</formula>
    </cfRule>
  </conditionalFormatting>
  <conditionalFormatting sqref="AR708:AR715">
    <cfRule type="cellIs" dxfId="487" priority="412" operator="equal">
      <formula>"NO"</formula>
    </cfRule>
  </conditionalFormatting>
  <conditionalFormatting sqref="AR708:AR715">
    <cfRule type="containsText" dxfId="486" priority="411" operator="containsText" text="SI">
      <formula>NOT(ISERROR(SEARCH("SI",AR708)))</formula>
    </cfRule>
  </conditionalFormatting>
  <conditionalFormatting sqref="AR708:AR715">
    <cfRule type="cellIs" dxfId="485" priority="410" operator="equal">
      <formula>"SI"</formula>
    </cfRule>
  </conditionalFormatting>
  <conditionalFormatting sqref="AB716:AB756">
    <cfRule type="cellIs" dxfId="484" priority="388" operator="equal">
      <formula>$BA$7</formula>
    </cfRule>
    <cfRule type="cellIs" dxfId="483" priority="389" operator="equal">
      <formula>$BA$7</formula>
    </cfRule>
  </conditionalFormatting>
  <conditionalFormatting sqref="AF716:AF756">
    <cfRule type="cellIs" dxfId="482" priority="387" operator="equal">
      <formula>$BB$7</formula>
    </cfRule>
  </conditionalFormatting>
  <conditionalFormatting sqref="AR716:AR756">
    <cfRule type="cellIs" dxfId="481" priority="377" operator="equal">
      <formula>"NO"</formula>
    </cfRule>
    <cfRule type="cellIs" dxfId="480" priority="378" operator="equal">
      <formula>"NO"</formula>
    </cfRule>
    <cfRule type="cellIs" dxfId="479" priority="379" operator="equal">
      <formula>"NO"</formula>
    </cfRule>
    <cfRule type="cellIs" dxfId="478" priority="380" operator="equal">
      <formula>"SI"</formula>
    </cfRule>
  </conditionalFormatting>
  <conditionalFormatting sqref="AR716:AR756">
    <cfRule type="cellIs" dxfId="477" priority="376" operator="equal">
      <formula>"NO"</formula>
    </cfRule>
  </conditionalFormatting>
  <conditionalFormatting sqref="AR716:AR756">
    <cfRule type="containsText" dxfId="476" priority="375" operator="containsText" text="SI">
      <formula>NOT(ISERROR(SEARCH("SI",AR716)))</formula>
    </cfRule>
  </conditionalFormatting>
  <conditionalFormatting sqref="AR716:AR756">
    <cfRule type="cellIs" dxfId="475" priority="374" operator="equal">
      <formula>"SI"</formula>
    </cfRule>
  </conditionalFormatting>
  <conditionalFormatting sqref="AB795">
    <cfRule type="cellIs" dxfId="474" priority="289" operator="equal">
      <formula>$BA$7</formula>
    </cfRule>
    <cfRule type="cellIs" dxfId="473" priority="290" operator="equal">
      <formula>$BA$7</formula>
    </cfRule>
  </conditionalFormatting>
  <conditionalFormatting sqref="AF795">
    <cfRule type="cellIs" dxfId="472" priority="288" operator="equal">
      <formula>$BB$7</formula>
    </cfRule>
  </conditionalFormatting>
  <conditionalFormatting sqref="AR795">
    <cfRule type="cellIs" dxfId="471" priority="282" operator="equal">
      <formula>"NO"</formula>
    </cfRule>
    <cfRule type="cellIs" dxfId="470" priority="283" operator="equal">
      <formula>"NO"</formula>
    </cfRule>
    <cfRule type="cellIs" dxfId="469" priority="284" operator="equal">
      <formula>"NO"</formula>
    </cfRule>
    <cfRule type="cellIs" dxfId="468" priority="285" operator="equal">
      <formula>"SI"</formula>
    </cfRule>
  </conditionalFormatting>
  <conditionalFormatting sqref="AR795">
    <cfRule type="cellIs" dxfId="467" priority="281" operator="equal">
      <formula>"NO"</formula>
    </cfRule>
  </conditionalFormatting>
  <conditionalFormatting sqref="AR795">
    <cfRule type="containsText" dxfId="466" priority="280" operator="containsText" text="SI">
      <formula>NOT(ISERROR(SEARCH("SI",AR795)))</formula>
    </cfRule>
  </conditionalFormatting>
  <conditionalFormatting sqref="AR795">
    <cfRule type="cellIs" dxfId="465" priority="279" operator="equal">
      <formula>"SI"</formula>
    </cfRule>
  </conditionalFormatting>
  <conditionalFormatting sqref="AB796">
    <cfRule type="cellIs" dxfId="464" priority="268" operator="equal">
      <formula>$BA$7</formula>
    </cfRule>
    <cfRule type="cellIs" dxfId="463" priority="269" operator="equal">
      <formula>$BA$7</formula>
    </cfRule>
  </conditionalFormatting>
  <conditionalFormatting sqref="AF796">
    <cfRule type="cellIs" dxfId="462" priority="267" operator="equal">
      <formula>$BB$7</formula>
    </cfRule>
  </conditionalFormatting>
  <conditionalFormatting sqref="AR796">
    <cfRule type="cellIs" dxfId="461" priority="261" operator="equal">
      <formula>"NO"</formula>
    </cfRule>
    <cfRule type="cellIs" dxfId="460" priority="262" operator="equal">
      <formula>"NO"</formula>
    </cfRule>
    <cfRule type="cellIs" dxfId="459" priority="263" operator="equal">
      <formula>"NO"</formula>
    </cfRule>
    <cfRule type="cellIs" dxfId="458" priority="264" operator="equal">
      <formula>"SI"</formula>
    </cfRule>
  </conditionalFormatting>
  <conditionalFormatting sqref="AR796">
    <cfRule type="cellIs" dxfId="457" priority="260" operator="equal">
      <formula>"NO"</formula>
    </cfRule>
  </conditionalFormatting>
  <conditionalFormatting sqref="AR796">
    <cfRule type="containsText" dxfId="456" priority="259" operator="containsText" text="SI">
      <formula>NOT(ISERROR(SEARCH("SI",AR796)))</formula>
    </cfRule>
  </conditionalFormatting>
  <conditionalFormatting sqref="AR796">
    <cfRule type="cellIs" dxfId="455" priority="258" operator="equal">
      <formula>"SI"</formula>
    </cfRule>
  </conditionalFormatting>
  <conditionalFormatting sqref="AB797:AB799">
    <cfRule type="cellIs" dxfId="454" priority="247" operator="equal">
      <formula>$BA$7</formula>
    </cfRule>
    <cfRule type="cellIs" dxfId="453" priority="248" operator="equal">
      <formula>$BA$7</formula>
    </cfRule>
  </conditionalFormatting>
  <conditionalFormatting sqref="AF797:AF799">
    <cfRule type="cellIs" dxfId="452" priority="246" operator="equal">
      <formula>$BB$7</formula>
    </cfRule>
  </conditionalFormatting>
  <conditionalFormatting sqref="AR797:AR799">
    <cfRule type="cellIs" dxfId="451" priority="240" operator="equal">
      <formula>"NO"</formula>
    </cfRule>
    <cfRule type="cellIs" dxfId="450" priority="241" operator="equal">
      <formula>"NO"</formula>
    </cfRule>
    <cfRule type="cellIs" dxfId="449" priority="242" operator="equal">
      <formula>"NO"</formula>
    </cfRule>
    <cfRule type="cellIs" dxfId="448" priority="243" operator="equal">
      <formula>"SI"</formula>
    </cfRule>
  </conditionalFormatting>
  <conditionalFormatting sqref="AR797:AR799">
    <cfRule type="cellIs" dxfId="447" priority="239" operator="equal">
      <formula>"NO"</formula>
    </cfRule>
  </conditionalFormatting>
  <conditionalFormatting sqref="AR797:AR799">
    <cfRule type="containsText" dxfId="446" priority="238" operator="containsText" text="SI">
      <formula>NOT(ISERROR(SEARCH("SI",AR797)))</formula>
    </cfRule>
  </conditionalFormatting>
  <conditionalFormatting sqref="AR797:AR799">
    <cfRule type="cellIs" dxfId="445" priority="237" operator="equal">
      <formula>"SI"</formula>
    </cfRule>
  </conditionalFormatting>
  <conditionalFormatting sqref="AB800:AB807">
    <cfRule type="cellIs" dxfId="444" priority="226" operator="equal">
      <formula>$BA$7</formula>
    </cfRule>
    <cfRule type="cellIs" dxfId="443" priority="227" operator="equal">
      <formula>$BA$7</formula>
    </cfRule>
  </conditionalFormatting>
  <conditionalFormatting sqref="AF800:AF807">
    <cfRule type="cellIs" dxfId="442" priority="225" operator="equal">
      <formula>$BB$7</formula>
    </cfRule>
  </conditionalFormatting>
  <conditionalFormatting sqref="AR800:AR805 AR807">
    <cfRule type="cellIs" dxfId="441" priority="219" operator="equal">
      <formula>"NO"</formula>
    </cfRule>
    <cfRule type="cellIs" dxfId="440" priority="220" operator="equal">
      <formula>"NO"</formula>
    </cfRule>
    <cfRule type="cellIs" dxfId="439" priority="221" operator="equal">
      <formula>"NO"</formula>
    </cfRule>
    <cfRule type="cellIs" dxfId="438" priority="222" operator="equal">
      <formula>"SI"</formula>
    </cfRule>
  </conditionalFormatting>
  <conditionalFormatting sqref="AR800:AR805 AR807">
    <cfRule type="cellIs" dxfId="437" priority="218" operator="equal">
      <formula>"NO"</formula>
    </cfRule>
  </conditionalFormatting>
  <conditionalFormatting sqref="AR800:AR805 AR807">
    <cfRule type="containsText" dxfId="436" priority="217" operator="containsText" text="SI">
      <formula>NOT(ISERROR(SEARCH("SI",AR800)))</formula>
    </cfRule>
  </conditionalFormatting>
  <conditionalFormatting sqref="AR800:AR805 AR807">
    <cfRule type="cellIs" dxfId="435" priority="216" operator="equal">
      <formula>"SI"</formula>
    </cfRule>
  </conditionalFormatting>
  <conditionalFormatting sqref="AB808:AB822">
    <cfRule type="cellIs" dxfId="434" priority="205" operator="equal">
      <formula>$BA$7</formula>
    </cfRule>
    <cfRule type="cellIs" dxfId="433" priority="206" operator="equal">
      <formula>$BA$7</formula>
    </cfRule>
  </conditionalFormatting>
  <conditionalFormatting sqref="AF808:AF822">
    <cfRule type="cellIs" dxfId="432" priority="204" operator="equal">
      <formula>$BB$7</formula>
    </cfRule>
  </conditionalFormatting>
  <conditionalFormatting sqref="AR809 AR811:AR822">
    <cfRule type="cellIs" dxfId="431" priority="198" operator="equal">
      <formula>"NO"</formula>
    </cfRule>
    <cfRule type="cellIs" dxfId="430" priority="199" operator="equal">
      <formula>"NO"</formula>
    </cfRule>
    <cfRule type="cellIs" dxfId="429" priority="200" operator="equal">
      <formula>"NO"</formula>
    </cfRule>
    <cfRule type="cellIs" dxfId="428" priority="201" operator="equal">
      <formula>"SI"</formula>
    </cfRule>
  </conditionalFormatting>
  <conditionalFormatting sqref="AR809 AR811:AR822">
    <cfRule type="cellIs" dxfId="427" priority="197" operator="equal">
      <formula>"NO"</formula>
    </cfRule>
  </conditionalFormatting>
  <conditionalFormatting sqref="AR809 AR811:AR822">
    <cfRule type="containsText" dxfId="426" priority="196" operator="containsText" text="SI">
      <formula>NOT(ISERROR(SEARCH("SI",AR809)))</formula>
    </cfRule>
  </conditionalFormatting>
  <conditionalFormatting sqref="AR809 AR811:AR822">
    <cfRule type="cellIs" dxfId="425" priority="195" operator="equal">
      <formula>"SI"</formula>
    </cfRule>
  </conditionalFormatting>
  <conditionalFormatting sqref="AB823:AB898">
    <cfRule type="cellIs" dxfId="424" priority="184" operator="equal">
      <formula>$BA$7</formula>
    </cfRule>
    <cfRule type="cellIs" dxfId="423" priority="185" operator="equal">
      <formula>$BA$7</formula>
    </cfRule>
  </conditionalFormatting>
  <conditionalFormatting sqref="AF823:AF898">
    <cfRule type="cellIs" dxfId="422" priority="183" operator="equal">
      <formula>$BB$7</formula>
    </cfRule>
  </conditionalFormatting>
  <conditionalFormatting sqref="AR823:AR898">
    <cfRule type="cellIs" dxfId="421" priority="177" operator="equal">
      <formula>"NO"</formula>
    </cfRule>
    <cfRule type="cellIs" dxfId="420" priority="178" operator="equal">
      <formula>"NO"</formula>
    </cfRule>
    <cfRule type="cellIs" dxfId="419" priority="179" operator="equal">
      <formula>"NO"</formula>
    </cfRule>
    <cfRule type="cellIs" dxfId="418" priority="180" operator="equal">
      <formula>"SI"</formula>
    </cfRule>
  </conditionalFormatting>
  <conditionalFormatting sqref="AR823:AR898">
    <cfRule type="cellIs" dxfId="417" priority="176" operator="equal">
      <formula>"NO"</formula>
    </cfRule>
  </conditionalFormatting>
  <conditionalFormatting sqref="AR823:AR898">
    <cfRule type="containsText" dxfId="416" priority="175" operator="containsText" text="SI">
      <formula>NOT(ISERROR(SEARCH("SI",AR823)))</formula>
    </cfRule>
  </conditionalFormatting>
  <conditionalFormatting sqref="AR823:AR898">
    <cfRule type="cellIs" dxfId="415" priority="174" operator="equal">
      <formula>"SI"</formula>
    </cfRule>
  </conditionalFormatting>
  <conditionalFormatting sqref="AB899">
    <cfRule type="cellIs" dxfId="414" priority="163" operator="equal">
      <formula>$BA$7</formula>
    </cfRule>
    <cfRule type="cellIs" dxfId="413" priority="164" operator="equal">
      <formula>$BA$7</formula>
    </cfRule>
  </conditionalFormatting>
  <conditionalFormatting sqref="AF899">
    <cfRule type="cellIs" dxfId="412" priority="162" operator="equal">
      <formula>$BB$7</formula>
    </cfRule>
  </conditionalFormatting>
  <conditionalFormatting sqref="AR899">
    <cfRule type="cellIs" dxfId="411" priority="156" operator="equal">
      <formula>"NO"</formula>
    </cfRule>
    <cfRule type="cellIs" dxfId="410" priority="157" operator="equal">
      <formula>"NO"</formula>
    </cfRule>
    <cfRule type="cellIs" dxfId="409" priority="158" operator="equal">
      <formula>"NO"</formula>
    </cfRule>
    <cfRule type="cellIs" dxfId="408" priority="159" operator="equal">
      <formula>"SI"</formula>
    </cfRule>
  </conditionalFormatting>
  <conditionalFormatting sqref="AR899">
    <cfRule type="cellIs" dxfId="407" priority="155" operator="equal">
      <formula>"NO"</formula>
    </cfRule>
  </conditionalFormatting>
  <conditionalFormatting sqref="AR899">
    <cfRule type="containsText" dxfId="406" priority="154" operator="containsText" text="SI">
      <formula>NOT(ISERROR(SEARCH("SI",AR899)))</formula>
    </cfRule>
  </conditionalFormatting>
  <conditionalFormatting sqref="AR899">
    <cfRule type="cellIs" dxfId="405" priority="153" operator="equal">
      <formula>"SI"</formula>
    </cfRule>
  </conditionalFormatting>
  <conditionalFormatting sqref="AB900:AB918">
    <cfRule type="cellIs" dxfId="404" priority="142" operator="equal">
      <formula>$BA$7</formula>
    </cfRule>
    <cfRule type="cellIs" dxfId="403" priority="143" operator="equal">
      <formula>$BA$7</formula>
    </cfRule>
  </conditionalFormatting>
  <conditionalFormatting sqref="AF900:AF918">
    <cfRule type="cellIs" dxfId="402" priority="141" operator="equal">
      <formula>$BB$7</formula>
    </cfRule>
  </conditionalFormatting>
  <conditionalFormatting sqref="AR900:AR918">
    <cfRule type="cellIs" dxfId="401" priority="135" operator="equal">
      <formula>"NO"</formula>
    </cfRule>
    <cfRule type="cellIs" dxfId="400" priority="136" operator="equal">
      <formula>"NO"</formula>
    </cfRule>
    <cfRule type="cellIs" dxfId="399" priority="137" operator="equal">
      <formula>"NO"</formula>
    </cfRule>
    <cfRule type="cellIs" dxfId="398" priority="138" operator="equal">
      <formula>"SI"</formula>
    </cfRule>
  </conditionalFormatting>
  <conditionalFormatting sqref="AR900:AR918">
    <cfRule type="cellIs" dxfId="397" priority="134" operator="equal">
      <formula>"NO"</formula>
    </cfRule>
  </conditionalFormatting>
  <conditionalFormatting sqref="AR900:AR918">
    <cfRule type="containsText" dxfId="396" priority="133" operator="containsText" text="SI">
      <formula>NOT(ISERROR(SEARCH("SI",AR900)))</formula>
    </cfRule>
  </conditionalFormatting>
  <conditionalFormatting sqref="AR900:AR918">
    <cfRule type="cellIs" dxfId="395" priority="132" operator="equal">
      <formula>"SI"</formula>
    </cfRule>
  </conditionalFormatting>
  <conditionalFormatting sqref="AB919:AB938">
    <cfRule type="cellIs" dxfId="394" priority="121" operator="equal">
      <formula>$BA$7</formula>
    </cfRule>
    <cfRule type="cellIs" dxfId="393" priority="122" operator="equal">
      <formula>$BA$7</formula>
    </cfRule>
  </conditionalFormatting>
  <conditionalFormatting sqref="AF919:AF938">
    <cfRule type="cellIs" dxfId="392" priority="120" operator="equal">
      <formula>$BB$7</formula>
    </cfRule>
  </conditionalFormatting>
  <conditionalFormatting sqref="AR919:AR938">
    <cfRule type="cellIs" dxfId="391" priority="114" operator="equal">
      <formula>"NO"</formula>
    </cfRule>
    <cfRule type="cellIs" dxfId="390" priority="115" operator="equal">
      <formula>"NO"</formula>
    </cfRule>
    <cfRule type="cellIs" dxfId="389" priority="116" operator="equal">
      <formula>"NO"</formula>
    </cfRule>
    <cfRule type="cellIs" dxfId="388" priority="117" operator="equal">
      <formula>"SI"</formula>
    </cfRule>
  </conditionalFormatting>
  <conditionalFormatting sqref="AR919:AR938">
    <cfRule type="cellIs" dxfId="387" priority="113" operator="equal">
      <formula>"NO"</formula>
    </cfRule>
  </conditionalFormatting>
  <conditionalFormatting sqref="AR919:AR938">
    <cfRule type="containsText" dxfId="386" priority="112" operator="containsText" text="SI">
      <formula>NOT(ISERROR(SEARCH("SI",AR919)))</formula>
    </cfRule>
  </conditionalFormatting>
  <conditionalFormatting sqref="AR919:AR938">
    <cfRule type="cellIs" dxfId="385" priority="111" operator="equal">
      <formula>"SI"</formula>
    </cfRule>
  </conditionalFormatting>
  <conditionalFormatting sqref="AB939:AB969">
    <cfRule type="cellIs" dxfId="384" priority="100" operator="equal">
      <formula>$BA$7</formula>
    </cfRule>
    <cfRule type="cellIs" dxfId="383" priority="101" operator="equal">
      <formula>$BA$7</formula>
    </cfRule>
  </conditionalFormatting>
  <conditionalFormatting sqref="AF939:AF969">
    <cfRule type="cellIs" dxfId="382" priority="99" operator="equal">
      <formula>$BB$7</formula>
    </cfRule>
  </conditionalFormatting>
  <conditionalFormatting sqref="AR939:AR969">
    <cfRule type="cellIs" dxfId="381" priority="93" operator="equal">
      <formula>"NO"</formula>
    </cfRule>
    <cfRule type="cellIs" dxfId="380" priority="94" operator="equal">
      <formula>"NO"</formula>
    </cfRule>
    <cfRule type="cellIs" dxfId="379" priority="95" operator="equal">
      <formula>"NO"</formula>
    </cfRule>
    <cfRule type="cellIs" dxfId="378" priority="96" operator="equal">
      <formula>"SI"</formula>
    </cfRule>
  </conditionalFormatting>
  <conditionalFormatting sqref="AR939:AR969">
    <cfRule type="cellIs" dxfId="377" priority="92" operator="equal">
      <formula>"NO"</formula>
    </cfRule>
  </conditionalFormatting>
  <conditionalFormatting sqref="AR939:AR969">
    <cfRule type="containsText" dxfId="376" priority="91" operator="containsText" text="SI">
      <formula>NOT(ISERROR(SEARCH("SI",AR939)))</formula>
    </cfRule>
  </conditionalFormatting>
  <conditionalFormatting sqref="AR939:AR969">
    <cfRule type="cellIs" dxfId="375" priority="90" operator="equal">
      <formula>"SI"</formula>
    </cfRule>
  </conditionalFormatting>
  <conditionalFormatting sqref="AB970:AB1178">
    <cfRule type="cellIs" dxfId="374" priority="79" operator="equal">
      <formula>$BA$7</formula>
    </cfRule>
    <cfRule type="cellIs" dxfId="373" priority="80" operator="equal">
      <formula>$BA$7</formula>
    </cfRule>
  </conditionalFormatting>
  <conditionalFormatting sqref="AF970:AF1178">
    <cfRule type="cellIs" dxfId="372" priority="78" operator="equal">
      <formula>$BB$7</formula>
    </cfRule>
  </conditionalFormatting>
  <conditionalFormatting sqref="AR970:AR1178">
    <cfRule type="cellIs" dxfId="371" priority="72" operator="equal">
      <formula>"NO"</formula>
    </cfRule>
    <cfRule type="cellIs" dxfId="370" priority="73" operator="equal">
      <formula>"NO"</formula>
    </cfRule>
    <cfRule type="cellIs" dxfId="369" priority="74" operator="equal">
      <formula>"NO"</formula>
    </cfRule>
    <cfRule type="cellIs" dxfId="368" priority="75" operator="equal">
      <formula>"SI"</formula>
    </cfRule>
  </conditionalFormatting>
  <conditionalFormatting sqref="AR970:AR1178">
    <cfRule type="cellIs" dxfId="367" priority="71" operator="equal">
      <formula>"NO"</formula>
    </cfRule>
  </conditionalFormatting>
  <conditionalFormatting sqref="AR970:AR1178">
    <cfRule type="containsText" dxfId="366" priority="70" operator="containsText" text="SI">
      <formula>NOT(ISERROR(SEARCH("SI",AR970)))</formula>
    </cfRule>
  </conditionalFormatting>
  <conditionalFormatting sqref="AR970:AR1178">
    <cfRule type="cellIs" dxfId="365" priority="69" operator="equal">
      <formula>"SI"</formula>
    </cfRule>
  </conditionalFormatting>
  <conditionalFormatting sqref="AR806">
    <cfRule type="cellIs" dxfId="364" priority="60" operator="equal">
      <formula>"NO"</formula>
    </cfRule>
    <cfRule type="cellIs" dxfId="363" priority="61" operator="equal">
      <formula>"NO"</formula>
    </cfRule>
    <cfRule type="cellIs" dxfId="362" priority="62" operator="equal">
      <formula>"NO"</formula>
    </cfRule>
    <cfRule type="cellIs" dxfId="361" priority="63" operator="equal">
      <formula>"SI"</formula>
    </cfRule>
  </conditionalFormatting>
  <conditionalFormatting sqref="AR806">
    <cfRule type="cellIs" dxfId="360" priority="59" operator="equal">
      <formula>"NO"</formula>
    </cfRule>
  </conditionalFormatting>
  <conditionalFormatting sqref="AR806">
    <cfRule type="containsText" dxfId="359" priority="58" operator="containsText" text="SI">
      <formula>NOT(ISERROR(SEARCH("SI",AR806)))</formula>
    </cfRule>
  </conditionalFormatting>
  <conditionalFormatting sqref="AR806">
    <cfRule type="cellIs" dxfId="358" priority="57" operator="equal">
      <formula>"SI"</formula>
    </cfRule>
  </conditionalFormatting>
  <conditionalFormatting sqref="AR808">
    <cfRule type="cellIs" dxfId="357" priority="53" operator="equal">
      <formula>"NO"</formula>
    </cfRule>
    <cfRule type="cellIs" dxfId="356" priority="54" operator="equal">
      <formula>"NO"</formula>
    </cfRule>
    <cfRule type="cellIs" dxfId="355" priority="55" operator="equal">
      <formula>"NO"</formula>
    </cfRule>
    <cfRule type="cellIs" dxfId="354" priority="56" operator="equal">
      <formula>"SI"</formula>
    </cfRule>
  </conditionalFormatting>
  <conditionalFormatting sqref="AR808">
    <cfRule type="cellIs" dxfId="353" priority="52" operator="equal">
      <formula>"NO"</formula>
    </cfRule>
  </conditionalFormatting>
  <conditionalFormatting sqref="AR808">
    <cfRule type="containsText" dxfId="352" priority="51" operator="containsText" text="SI">
      <formula>NOT(ISERROR(SEARCH("SI",AR808)))</formula>
    </cfRule>
  </conditionalFormatting>
  <conditionalFormatting sqref="AR808">
    <cfRule type="cellIs" dxfId="351" priority="50" operator="equal">
      <formula>"SI"</formula>
    </cfRule>
  </conditionalFormatting>
  <conditionalFormatting sqref="AR810">
    <cfRule type="cellIs" dxfId="350" priority="39" operator="equal">
      <formula>"NO"</formula>
    </cfRule>
    <cfRule type="cellIs" dxfId="349" priority="40" operator="equal">
      <formula>"NO"</formula>
    </cfRule>
    <cfRule type="cellIs" dxfId="348" priority="41" operator="equal">
      <formula>"NO"</formula>
    </cfRule>
    <cfRule type="cellIs" dxfId="347" priority="42" operator="equal">
      <formula>"SI"</formula>
    </cfRule>
  </conditionalFormatting>
  <conditionalFormatting sqref="AR810">
    <cfRule type="cellIs" dxfId="346" priority="38" operator="equal">
      <formula>"NO"</formula>
    </cfRule>
  </conditionalFormatting>
  <conditionalFormatting sqref="AR810">
    <cfRule type="containsText" dxfId="345" priority="37" operator="containsText" text="SI">
      <formula>NOT(ISERROR(SEARCH("SI",AR810)))</formula>
    </cfRule>
  </conditionalFormatting>
  <conditionalFormatting sqref="AR810">
    <cfRule type="cellIs" dxfId="344" priority="36" operator="equal">
      <formula>"SI"</formula>
    </cfRule>
  </conditionalFormatting>
  <conditionalFormatting sqref="E925:E1178 E7:E923">
    <cfRule type="expression" dxfId="343" priority="1192">
      <formula>AQ7="DEVUELTO"</formula>
    </cfRule>
    <cfRule type="expression" dxfId="342" priority="1193">
      <formula>AQ7="LIQUIDADO"</formula>
    </cfRule>
    <cfRule type="expression" dxfId="341" priority="1194">
      <formula>AQ7="EN TRÁMITE"</formula>
    </cfRule>
    <cfRule type="expression" dxfId="340" priority="1196">
      <formula>AQ7="NO"</formula>
    </cfRule>
  </conditionalFormatting>
  <conditionalFormatting sqref="E1179:E1048353">
    <cfRule type="expression" dxfId="339" priority="1247">
      <formula>AQ1180="DEVUELTO"</formula>
    </cfRule>
    <cfRule type="expression" dxfId="338" priority="1248" stopIfTrue="1">
      <formula>AQ1180="LIQUIDADO"</formula>
    </cfRule>
    <cfRule type="expression" dxfId="337" priority="1249">
      <formula>AQ1180="EN TRÁMITE"</formula>
    </cfRule>
    <cfRule type="expression" dxfId="336" priority="1250">
      <formula>#REF!&gt;=$F$3</formula>
    </cfRule>
    <cfRule type="expression" dxfId="335" priority="1251">
      <formula>AQ1180="NO"</formula>
    </cfRule>
  </conditionalFormatting>
  <conditionalFormatting sqref="E1048354:E1048576">
    <cfRule type="expression" dxfId="334" priority="1252">
      <formula>AQ1="DEVUELTO"</formula>
    </cfRule>
    <cfRule type="expression" dxfId="333" priority="1253" stopIfTrue="1">
      <formula>AQ1="LIQUIDADO"</formula>
    </cfRule>
    <cfRule type="expression" dxfId="332" priority="1254">
      <formula>AQ1="EN TRÁMITE"</formula>
    </cfRule>
    <cfRule type="expression" dxfId="331" priority="1255">
      <formula>#REF!&gt;=$F$3</formula>
    </cfRule>
    <cfRule type="expression" dxfId="330" priority="1256">
      <formula>AQ1="NO"</formula>
    </cfRule>
  </conditionalFormatting>
  <conditionalFormatting sqref="E925:E1178 E756:E923">
    <cfRule type="expression" dxfId="329" priority="1257">
      <formula>AQ756="DEVUELTO"</formula>
    </cfRule>
    <cfRule type="expression" dxfId="328" priority="1259">
      <formula>AQ756="EN TRÁMITE"</formula>
    </cfRule>
    <cfRule type="expression" dxfId="327" priority="1261">
      <formula>AQ756="NO"</formula>
    </cfRule>
  </conditionalFormatting>
  <conditionalFormatting sqref="E925:E1178 E7:E923">
    <cfRule type="expression" dxfId="326" priority="34">
      <formula>W7&gt;=$F$3</formula>
    </cfRule>
  </conditionalFormatting>
  <conditionalFormatting sqref="E924">
    <cfRule type="expression" dxfId="325" priority="10">
      <formula>AQ924="DEVUELTO"</formula>
    </cfRule>
    <cfRule type="expression" dxfId="324" priority="11">
      <formula>AQ924="LIQUIDADO"</formula>
    </cfRule>
    <cfRule type="expression" dxfId="323" priority="12">
      <formula>AQ924="EN TRÁMITE"</formula>
    </cfRule>
    <cfRule type="expression" dxfId="322" priority="13">
      <formula>AQ924="NO"</formula>
    </cfRule>
  </conditionalFormatting>
  <conditionalFormatting sqref="E924">
    <cfRule type="expression" dxfId="321" priority="14">
      <formula>AQ924="DEVUELTO"</formula>
    </cfRule>
    <cfRule type="expression" dxfId="320" priority="15">
      <formula>AQ924="EN TRÁMITE"</formula>
    </cfRule>
    <cfRule type="expression" dxfId="319" priority="16">
      <formula>AQ924="NO"</formula>
    </cfRule>
  </conditionalFormatting>
  <conditionalFormatting sqref="E924">
    <cfRule type="expression" dxfId="318" priority="9">
      <formula>W924&gt;=$F$3</formula>
    </cfRule>
  </conditionalFormatting>
  <dataValidations count="16">
    <dataValidation type="list" allowBlank="1" showInputMessage="1" showErrorMessage="1" sqref="AP7:AP22 AP761 AP748 AP744:AP746 AP739:AP740 AP736 AP711 AP698 AP687:AP691 AP682:AP683 AP680 AP675 AP671 AP669 AP667 AP660 AP658 AP653 AP651 AP648:AP649 AP639:AP640 AP632 AP629 AP618:AP621 AP613:AP614 AP607 AP605 AP602 AP577 AP570 AP560:AP561 AP555:AP556 AP551 AP531:AP533 AP529 AP526:AP527 AP523 AP519:AP520 AP517 AP511:AP515 AP509 AP1048323:AP1048576 AP506:AP507 AP504 AP498 AP495:AP496 AP492:AP493 AP24:AP481 AP536:AP537 AP542" xr:uid="{00000000-0002-0000-0400-000000000000}">
      <formula1>$BC$7:$BC$8</formula1>
    </dataValidation>
    <dataValidation allowBlank="1" showInputMessage="1" showErrorMessage="1" prompt="Corresponde al año de suscripción del contrato_x000a_" sqref="K6:L6" xr:uid="{00000000-0002-0000-0400-000001000000}"/>
    <dataValidation allowBlank="1" showInputMessage="1" showErrorMessage="1" prompt="Es la fecha de terminación estipulada en la acta de inicio_x000a_" sqref="N6:O6" xr:uid="{00000000-0002-0000-0400-000002000000}"/>
    <dataValidation allowBlank="1" showInputMessage="1" showErrorMessage="1" prompt="Es el valor que resulta de la sumatoria entre el valor del contrato y las adiciones, si las hubo." sqref="X6" xr:uid="{00000000-0002-0000-0400-000003000000}"/>
    <dataValidation allowBlank="1" showInputMessage="1" showErrorMessage="1" prompt="Corresponde al grado de avance en la ejecución financiera del contrato" sqref="AB6" xr:uid="{00000000-0002-0000-0400-000004000000}"/>
    <dataValidation allowBlank="1" showInputMessage="1" showErrorMessage="1" prompt="Corresponde al grado de avance en el tiempo programado para la ejecución del contrato. " sqref="AC6" xr:uid="{00000000-0002-0000-0400-000005000000}"/>
    <dataValidation allowBlank="1" showInputMessage="1" showErrorMessage="1" prompt="Corresponde a la diferencia que hay entre el tiempo transcurrido del contrato, y la ejecución de los recursos_x000a_" sqref="AD6" xr:uid="{00000000-0002-0000-0400-000006000000}"/>
    <dataValidation type="list" allowBlank="1" showInputMessage="1" showErrorMessage="1" sqref="AO56 AO136 AO149 AO153 AO157:AO158 AO166 AO172 AO174 AO194:AO196 AO240 AO242 AO247 AO218 AO212 AO83 AO132 AO117 AO114 AO109 AO206 AO708 AO714" xr:uid="{00000000-0002-0000-0400-000007000000}">
      <formula1>$B$13:$B$28</formula1>
    </dataValidation>
    <dataValidation type="list" allowBlank="1" showInputMessage="1" showErrorMessage="1" sqref="AO110:AO113 AO219:AO236 AO57:AO75 AO295:AO299 AO88:AO108 AO213:AO217 AO197:AO205 AO167:AO171 AO118:AO131 AO77:AO82 AO84:AO86 AO243:AO246 AO241 AO238:AO239 AO207:AO211 AO175:AO193 AO173 AO159:AO165 AO154:AO156 AO137:AO148 AO150:AO152 AO133:AO135 AO248:AO256 AO276:AO283 AO285 AO290 AO293 AO7:AO22 AO24:AO55 AO304:AO306 AO301 AO308 AO320:AO321 AO324 AO344 AO352 AO354:AO355 AO367 AO388 AO391 AO395 AO398:AO400 AO402:AO403 AO406:AO407 AO413:AO414 AO421:AO423 AO426 AO428 AO430 AO433:AO434 AO441:AO446 AO450 AO454:AO456 AO458:AO460 AO474:AO475 AO488 AO491 AO496 AO498:AO500 AO504 AO506 AO513:AO514 AO517:AO518 AO521:AO522 AO524:AO525 AO527 AO529 AO537:AO538 AO540:AO541 AO548 AO551 AO554 AO564 AO574 AO580:AO581 AO584 AO591 AO605 AO607 AO609:AO611 AO626:AO627 AO629:AO631 AO633 AO635:AO638 AO642:AO645 AO650 AO654 AO658 AO661:AO663 AO668 AO670 AO672 AO679:AO680 AO682:AO683 AO685 AO687:AO691 AO695 AO697:AO698 AO711 AO713 AO737 AO739:AO741 AO745:AO747 AO749:AO751 AO755 AO762:AO763 AO767:AO771 AO773:AO775 AO777 AO779:AO782 AO785:AO790 AO794:AO797 AO799 AO801:AO802 AO808 AO837 AO839:AO840 AO867" xr:uid="{00000000-0002-0000-0400-000008000000}">
      <formula1>$B$13:$B$29</formula1>
    </dataValidation>
    <dataValidation type="list" allowBlank="1" showInputMessage="1" showErrorMessage="1" sqref="AJ175:AJ176 AJ341 AJ347 AJ246 AJ329:AJ339 AJ321:AJ327 AJ311:AJ319 AJ350 AJ308:AJ309 AJ293:AJ300 AJ302:AJ306 AJ178:AJ207 AJ113 AJ88:AJ111 AJ24:AJ80 AJ18 AJ143:AJ152 AJ12:AJ16 AJ264:AJ268 AJ257:AJ262 AJ343:AJ344 AJ210:AJ229 AJ171:AJ173 AJ166:AJ169 AJ154:AJ164 AJ137:AJ140 AJ133:AJ134 AJ115:AJ131 AJ82:AJ85 AJ20:AJ21 AJ287 AJ274:AJ284 AJ243 AJ241 AJ231:AJ239 AJ352:AJ355 AJ248:AJ249 AJ289:AJ291 AJ270:AJ272 AJ252 AJ358 AJ361 AJ363 AJ367 AJ369 AJ371 AJ392:AJ399 AJ401:AJ406 AJ408 AJ412:AJ413 AJ415:AJ416 AJ419:AJ421 AJ426 AJ428 AJ430:AJ431 AJ433 AJ436 AJ438 AJ440:AJ441 AJ443:AJ444 AJ448:AJ450 AJ453 AJ456:AJ460 AJ468 AJ470 AJ474:AJ475 AJ486 AJ490:AJ491 AJ494 AJ496 AJ498:AJ501 AJ506:AJ509 AJ513:AJ514 AJ519 AJ521 AJ523 AJ528 AJ532:AJ533 AJ536:AJ538 AJ541 AJ543 AJ545 AJ548:AJ551 AJ554 AJ556 AJ558 AJ560:AJ561 AJ564 AJ566 AJ568 AJ570 AJ572 AJ574:AJ576 AJ579 AJ584 AJ590 AJ592:AJ594 AJ605 AJ608 AJ615 AJ619:AJ621 AJ626 AJ628:AJ630 AJ633 AJ635:AJ637 AJ639 AJ643 AJ647 AJ652:AJ653 AJ656 AJ658:AJ660 AJ668:AJ669 AJ671:AJ672 AJ674:AJ676 AJ679:AJ680 AJ685 AJ689:AJ690 AJ693:AJ694 AJ703 AJ710:AJ711 AJ715 AJ720:AJ721 AJ725 AJ742 AJ746:AJ748 AJ751 AJ753 AJ756 AJ762 AJ772 AJ792:AJ793 AJ796 AJ803 AJ806 AJ808 AJ823 AJ834 AJ839:AJ840 AJ867 AJ873:AJ874 AJ878" xr:uid="{00000000-0002-0000-0400-000009000000}">
      <formula1>$B$61:$B$75</formula1>
    </dataValidation>
    <dataValidation type="list" allowBlank="1" showInputMessage="1" showErrorMessage="1" sqref="AJ17 AJ340 AJ328 AJ345:AJ346 AJ348 AJ351 AJ356 AJ320 AJ301 AJ307 AJ342 AJ292 AJ288 AJ285 AJ273 AJ269 AJ263 AJ19 AJ250:AJ251 AJ247 AJ244:AJ245 AJ242 AJ240 AJ230 AJ208:AJ209 AJ177 AJ174 AJ170 AJ165 AJ153 AJ141:AJ142 AJ135:AJ136 AJ132 AJ114 AJ112 AJ86:AJ87 AJ81 AJ22:AJ23 AJ253:AJ255 AJ400 AJ407 AJ427 AJ442 AJ447 AJ451 AJ461 AJ463 AJ478 AJ480 AJ482:AJ484 AJ493 AJ510 AJ517:AJ518 AJ529 AJ531 AJ534:AJ535 AJ540 AJ546:AJ547 AJ559 AJ563 AJ567 AJ578 AJ586 AJ588:AJ589 AJ591 AJ597 AJ600 AJ609 AJ612:AJ613 AJ632 AJ634 AJ638 AJ779 AJ645 AJ650 AJ664:AJ665 AJ678 AJ681 AJ695 AJ698 AJ701 AJ706:AJ708 AJ713:AJ714 AJ718 AJ722:AJ724 AJ726:AJ728 AJ730:AJ731 AJ733 AJ750 AJ757 AJ760:AJ761 AJ763 AJ769 AJ640:AJ641 AJ781:AJ783 AJ820:AJ822 AJ827:AJ828 AJ831 AJ836 AJ838 AJ845 AJ851 AJ853 AJ857 AJ859 AJ864 AJ868 AJ870:AJ871 AJ875 AJ877 AJ883 AJ909 AJ930 AJ938 AJ943:AJ944 AJ947:AJ948 AJ955:AJ956 AJ958 AJ961" xr:uid="{00000000-0002-0000-0400-00000A000000}">
      <formula1>$B$58:$B$72</formula1>
    </dataValidation>
    <dataValidation type="list" allowBlank="1" showInputMessage="1" showErrorMessage="1" sqref="AJ310" xr:uid="{00000000-0002-0000-0400-00000B000000}">
      <formula1>$B$59:$B$73</formula1>
    </dataValidation>
    <dataValidation type="list" allowBlank="1" showInputMessage="1" showErrorMessage="1" sqref="AJ349 AJ372:AJ379 AJ357 AJ370 AJ368 AJ364:AJ366 AJ362 AJ359:AJ360 AJ256 AJ437 AJ452 AJ462 AJ464 AJ489 AJ492 AJ505 AJ542 AJ552 AJ557 AJ585 AJ587 AJ617:AJ618 AJ700 AJ705 AJ709 AJ716 AJ754:AJ755 AJ778 AJ789 AJ825 AJ829:AJ830 AJ855" xr:uid="{00000000-0002-0000-0400-00000C000000}">
      <formula1>$B$62:$B$76</formula1>
    </dataValidation>
    <dataValidation type="list" allowBlank="1" showInputMessage="1" showErrorMessage="1" sqref="AJ380:AJ391 AJ409:AJ410 AJ417:AJ418 AJ422:AJ423 AJ425 AJ429 AJ432 AJ434:AJ435 AJ455 AJ469 AJ471:AJ472 AJ476:AJ477 AJ479 AJ481 AJ487:AJ488 AJ502:AJ504 AJ511:AJ512 AJ520 AJ522 AJ530 AJ539 AJ553 AJ555 AJ565 AJ571 AJ580:AJ582 AJ601 AJ614 AJ623 AJ627 AJ644 AJ646 AJ648 AJ651 AJ663 AJ677 AJ699 AJ737 AJ741 AJ784" xr:uid="{00000000-0002-0000-0400-00000D000000}">
      <formula1>$B$63:$B$77</formula1>
    </dataValidation>
    <dataValidation type="list" allowBlank="1" showInputMessage="1" showErrorMessage="1" sqref="AW806 AW809:AW822 AW824 AW826:AW828 AW831:AW836 AW838:AW840 AW842:AW848 AW851 AW853:AW855 AW857:AW862 AW865 AW869 AW872 AW876 AW911 AW887:AW888 AW890 AW893 AW898:AW902 AW905 AW914:AW925 AW908:AW909 AW885 AW961 AW932 AW879 AW938 AW943:AW944 AW930 AW955 AW957:AW959 AW941 AW947:AW948 AW968 AW953 AW970 AW965:AW966 AW978:AW979 AW973:AW976 AW982:AW983 AW934 AW928 AW999:AW1048576 AW992:AW993 AW995:AW997 AW985:AW987 AW989:AW990" xr:uid="{00000000-0002-0000-0400-00000E000000}">
      <formula1>"Jefe Oficina de Planeación, Secretaria General, Dirección Jurídica, Dirección Financiera, Dirección Administrativa, Oficina Asesora de Comunicaciones,"</formula1>
    </dataValidation>
    <dataValidation type="list" allowBlank="1" showInputMessage="1" showErrorMessage="1" sqref="AW892" xr:uid="{E7D16C20-2098-4010-9E48-09D6879B52F9}">
      <formula1>"Asesor, Jefe Oficina de Planeación, Secretaria General, Dirección Jurídica, Dirección Financiera, Dirección Administrativa, Oficina Asesora de Comunicaciones,"</formula1>
    </dataValidation>
  </dataValidations>
  <hyperlinks>
    <hyperlink ref="J271" r:id="rId1" xr:uid="{00000000-0004-0000-0400-00004F000000}"/>
    <hyperlink ref="J278" r:id="rId2" xr:uid="{00000000-0004-0000-0400-000050000000}"/>
    <hyperlink ref="J277" r:id="rId3" xr:uid="{00000000-0004-0000-0400-000051000000}"/>
    <hyperlink ref="J276" r:id="rId4" xr:uid="{00000000-0004-0000-0400-000052000000}"/>
    <hyperlink ref="J282" r:id="rId5" xr:uid="{00000000-0004-0000-0400-000053000000}"/>
    <hyperlink ref="J281" r:id="rId6" xr:uid="{00000000-0004-0000-0400-000054000000}"/>
    <hyperlink ref="J280" r:id="rId7" xr:uid="{00000000-0004-0000-0400-000055000000}"/>
    <hyperlink ref="J279" r:id="rId8" xr:uid="{00000000-0004-0000-0400-000056000000}"/>
    <hyperlink ref="J283" r:id="rId9" xr:uid="{00000000-0004-0000-0400-000057000000}"/>
    <hyperlink ref="J287" r:id="rId10" xr:uid="{00000000-0004-0000-0400-000058000000}"/>
    <hyperlink ref="J288" r:id="rId11" xr:uid="{00000000-0004-0000-0400-000059000000}"/>
    <hyperlink ref="J286" r:id="rId12" xr:uid="{00000000-0004-0000-0400-00005A000000}"/>
    <hyperlink ref="J285" r:id="rId13" xr:uid="{00000000-0004-0000-0400-00005B000000}"/>
    <hyperlink ref="J291" r:id="rId14" xr:uid="{00000000-0004-0000-0400-00005C000000}"/>
    <hyperlink ref="J293" r:id="rId15" xr:uid="{00000000-0004-0000-0400-00005E000000}"/>
    <hyperlink ref="J294" r:id="rId16" xr:uid="{00000000-0004-0000-0400-00005F000000}"/>
    <hyperlink ref="J295" r:id="rId17" xr:uid="{00000000-0004-0000-0400-000060000000}"/>
    <hyperlink ref="J296" r:id="rId18" xr:uid="{00000000-0004-0000-0400-000061000000}"/>
    <hyperlink ref="J297" r:id="rId19" xr:uid="{00000000-0004-0000-0400-000063000000}"/>
    <hyperlink ref="J298" r:id="rId20" xr:uid="{00000000-0004-0000-0400-000064000000}"/>
    <hyperlink ref="J301" r:id="rId21" xr:uid="{00000000-0004-0000-0400-000065000000}"/>
    <hyperlink ref="J302" r:id="rId22" xr:uid="{00000000-0004-0000-0400-000066000000}"/>
    <hyperlink ref="J305" r:id="rId23" xr:uid="{00000000-0004-0000-0400-000067000000}"/>
    <hyperlink ref="J307" r:id="rId24" xr:uid="{00000000-0004-0000-0400-000068000000}"/>
    <hyperlink ref="J308" r:id="rId25" xr:uid="{00000000-0004-0000-0400-000069000000}"/>
    <hyperlink ref="J309" r:id="rId26" xr:uid="{00000000-0004-0000-0400-00006B000000}"/>
    <hyperlink ref="J313" r:id="rId27" xr:uid="{00000000-0004-0000-0400-00006C000000}"/>
    <hyperlink ref="J314" r:id="rId28" xr:uid="{00000000-0004-0000-0400-00006D000000}"/>
    <hyperlink ref="J315" r:id="rId29" xr:uid="{00000000-0004-0000-0400-00006E000000}"/>
    <hyperlink ref="J316" r:id="rId30" xr:uid="{00000000-0004-0000-0400-00006F000000}"/>
    <hyperlink ref="J317" r:id="rId31" xr:uid="{00000000-0004-0000-0400-000070000000}"/>
    <hyperlink ref="J310" r:id="rId32" xr:uid="{00000000-0004-0000-0400-000071000000}"/>
    <hyperlink ref="J311" r:id="rId33" xr:uid="{00000000-0004-0000-0400-000072000000}"/>
    <hyperlink ref="J312" r:id="rId34" xr:uid="{00000000-0004-0000-0400-000073000000}"/>
    <hyperlink ref="J318" r:id="rId35" xr:uid="{00000000-0004-0000-0400-000074000000}"/>
    <hyperlink ref="J300" r:id="rId36" xr:uid="{00000000-0004-0000-0400-000075000000}"/>
    <hyperlink ref="J299" r:id="rId37" xr:uid="{00000000-0004-0000-0400-000076000000}"/>
    <hyperlink ref="J303" r:id="rId38" xr:uid="{00000000-0004-0000-0400-000077000000}"/>
    <hyperlink ref="J304" r:id="rId39" xr:uid="{00000000-0004-0000-0400-000078000000}"/>
    <hyperlink ref="J306" r:id="rId40" xr:uid="{00000000-0004-0000-0400-000079000000}"/>
    <hyperlink ref="J292" r:id="rId41" xr:uid="{00000000-0004-0000-0400-00007A000000}"/>
    <hyperlink ref="J319" r:id="rId42" xr:uid="{00000000-0004-0000-0400-00007B000000}"/>
    <hyperlink ref="J320" r:id="rId43" xr:uid="{00000000-0004-0000-0400-00007C000000}"/>
    <hyperlink ref="J321" r:id="rId44" xr:uid="{00000000-0004-0000-0400-00007D000000}"/>
    <hyperlink ref="J322" r:id="rId45" xr:uid="{00000000-0004-0000-0400-00007E000000}"/>
    <hyperlink ref="J323" r:id="rId46" xr:uid="{00000000-0004-0000-0400-00007F000000}"/>
    <hyperlink ref="J325" r:id="rId47" xr:uid="{00000000-0004-0000-0400-000080000000}"/>
    <hyperlink ref="J324" r:id="rId48" xr:uid="{00000000-0004-0000-0400-000081000000}"/>
    <hyperlink ref="J326" r:id="rId49" xr:uid="{00000000-0004-0000-0400-000082000000}"/>
    <hyperlink ref="J327" r:id="rId50" xr:uid="{00000000-0004-0000-0400-000083000000}"/>
    <hyperlink ref="J333" r:id="rId51" xr:uid="{00000000-0004-0000-0400-000084000000}"/>
    <hyperlink ref="J334" r:id="rId52" xr:uid="{00000000-0004-0000-0400-000085000000}"/>
    <hyperlink ref="J335" r:id="rId53" xr:uid="{00000000-0004-0000-0400-000086000000}"/>
    <hyperlink ref="J336" r:id="rId54" xr:uid="{00000000-0004-0000-0400-000087000000}"/>
    <hyperlink ref="J337" r:id="rId55" xr:uid="{00000000-0004-0000-0400-000088000000}"/>
    <hyperlink ref="J338" r:id="rId56" xr:uid="{00000000-0004-0000-0400-000089000000}"/>
    <hyperlink ref="J339" r:id="rId57" xr:uid="{00000000-0004-0000-0400-00008A000000}"/>
    <hyperlink ref="J340" r:id="rId58" xr:uid="{00000000-0004-0000-0400-00008B000000}"/>
    <hyperlink ref="J341" r:id="rId59" xr:uid="{00000000-0004-0000-0400-00008C000000}"/>
    <hyperlink ref="J342" r:id="rId60" xr:uid="{00000000-0004-0000-0400-00008D000000}"/>
    <hyperlink ref="J343" r:id="rId61" xr:uid="{00000000-0004-0000-0400-00008E000000}"/>
    <hyperlink ref="J272" r:id="rId62" xr:uid="{00000000-0004-0000-0400-00008F000000}"/>
    <hyperlink ref="J289" r:id="rId63" xr:uid="{00000000-0004-0000-0400-000090000000}"/>
    <hyperlink ref="J344" r:id="rId64" xr:uid="{00000000-0004-0000-0400-000091000000}"/>
    <hyperlink ref="J345" r:id="rId65" xr:uid="{00000000-0004-0000-0400-000092000000}"/>
    <hyperlink ref="J346" r:id="rId66" xr:uid="{00000000-0004-0000-0400-000093000000}"/>
    <hyperlink ref="J347" r:id="rId67" xr:uid="{00000000-0004-0000-0400-000094000000}"/>
    <hyperlink ref="J348" r:id="rId68" xr:uid="{00000000-0004-0000-0400-000095000000}"/>
    <hyperlink ref="J349" r:id="rId69" xr:uid="{00000000-0004-0000-0400-000096000000}"/>
    <hyperlink ref="J350" r:id="rId70" xr:uid="{00000000-0004-0000-0400-000097000000}"/>
    <hyperlink ref="J352" r:id="rId71" xr:uid="{00000000-0004-0000-0400-000098000000}"/>
    <hyperlink ref="J353" r:id="rId72" xr:uid="{00000000-0004-0000-0400-000099000000}"/>
    <hyperlink ref="J354" r:id="rId73" xr:uid="{00000000-0004-0000-0400-00009A000000}"/>
    <hyperlink ref="J355" r:id="rId74" xr:uid="{00000000-0004-0000-0400-00009B000000}"/>
    <hyperlink ref="J356" r:id="rId75" xr:uid="{00000000-0004-0000-0400-00009C000000}"/>
    <hyperlink ref="J357" r:id="rId76" xr:uid="{00000000-0004-0000-0400-00009D000000}"/>
    <hyperlink ref="J358" r:id="rId77" xr:uid="{00000000-0004-0000-0400-00009E000000}"/>
    <hyperlink ref="J359" r:id="rId78" xr:uid="{00000000-0004-0000-0400-00009F000000}"/>
    <hyperlink ref="J360" r:id="rId79" xr:uid="{00000000-0004-0000-0400-0000A0000000}"/>
    <hyperlink ref="J361" r:id="rId80" xr:uid="{00000000-0004-0000-0400-0000A1000000}"/>
    <hyperlink ref="J362" r:id="rId81" xr:uid="{00000000-0004-0000-0400-0000A2000000}"/>
    <hyperlink ref="J363" r:id="rId82" xr:uid="{00000000-0004-0000-0400-0000A3000000}"/>
    <hyperlink ref="J364" r:id="rId83" xr:uid="{00000000-0004-0000-0400-0000A4000000}"/>
    <hyperlink ref="J365" r:id="rId84" xr:uid="{00000000-0004-0000-0400-0000A5000000}"/>
    <hyperlink ref="J366" r:id="rId85" xr:uid="{00000000-0004-0000-0400-0000A6000000}"/>
    <hyperlink ref="J367" r:id="rId86" xr:uid="{00000000-0004-0000-0400-0000A7000000}"/>
    <hyperlink ref="J368" r:id="rId87" xr:uid="{00000000-0004-0000-0400-0000A8000000}"/>
    <hyperlink ref="J369" r:id="rId88" xr:uid="{00000000-0004-0000-0400-0000A9000000}"/>
    <hyperlink ref="J233" r:id="rId89" xr:uid="{00000000-0004-0000-0400-0000AA000000}"/>
    <hyperlink ref="J221" r:id="rId90" xr:uid="{00000000-0004-0000-0400-0000AB000000}"/>
    <hyperlink ref="J370" r:id="rId91" xr:uid="{00000000-0004-0000-0400-0000AC000000}"/>
    <hyperlink ref="J371" r:id="rId92" xr:uid="{00000000-0004-0000-0400-0000AD000000}"/>
    <hyperlink ref="J372" r:id="rId93" xr:uid="{00000000-0004-0000-0400-0000AE000000}"/>
    <hyperlink ref="J374" r:id="rId94" xr:uid="{00000000-0004-0000-0400-0000AF000000}"/>
    <hyperlink ref="J373" r:id="rId95" xr:uid="{00000000-0004-0000-0400-0000B0000000}"/>
    <hyperlink ref="J375" r:id="rId96" xr:uid="{00000000-0004-0000-0400-0000B1000000}"/>
    <hyperlink ref="J376" r:id="rId97" xr:uid="{00000000-0004-0000-0400-0000B2000000}"/>
    <hyperlink ref="J377" r:id="rId98" xr:uid="{00000000-0004-0000-0400-0000B3000000}"/>
    <hyperlink ref="J378" r:id="rId99" xr:uid="{00000000-0004-0000-0400-0000B4000000}"/>
    <hyperlink ref="J379" r:id="rId100" xr:uid="{00000000-0004-0000-0400-0000B5000000}"/>
    <hyperlink ref="J329" r:id="rId101" xr:uid="{00000000-0004-0000-0400-0000B6000000}"/>
    <hyperlink ref="J330" r:id="rId102" xr:uid="{00000000-0004-0000-0400-0000B7000000}"/>
    <hyperlink ref="J331" r:id="rId103" xr:uid="{00000000-0004-0000-0400-0000B8000000}"/>
    <hyperlink ref="J332" r:id="rId104" xr:uid="{00000000-0004-0000-0400-0000B9000000}"/>
    <hyperlink ref="J202" r:id="rId105" xr:uid="{00000000-0004-0000-0400-0000BA000000}"/>
    <hyperlink ref="J383" r:id="rId106" xr:uid="{00000000-0004-0000-0400-0000BB000000}"/>
    <hyperlink ref="J384" r:id="rId107" xr:uid="{00000000-0004-0000-0400-0000BC000000}"/>
    <hyperlink ref="J386" r:id="rId108" xr:uid="{00000000-0004-0000-0400-0000BD000000}"/>
    <hyperlink ref="J385" r:id="rId109" xr:uid="{00000000-0004-0000-0400-0000BE000000}"/>
    <hyperlink ref="J387" r:id="rId110" tooltip="160066-0-2016" xr:uid="{00000000-0004-0000-0400-0000BF000000}"/>
    <hyperlink ref="J380" r:id="rId111" xr:uid="{00000000-0004-0000-0400-0000C0000000}"/>
    <hyperlink ref="J388" r:id="rId112" xr:uid="{00000000-0004-0000-0400-0000C1000000}"/>
    <hyperlink ref="J389" r:id="rId113" xr:uid="{00000000-0004-0000-0400-0000C2000000}"/>
    <hyperlink ref="J391" r:id="rId114" xr:uid="{00000000-0004-0000-0400-0000C3000000}"/>
    <hyperlink ref="J390" r:id="rId115" xr:uid="{00000000-0004-0000-0400-0000C4000000}"/>
    <hyperlink ref="J392" r:id="rId116" xr:uid="{00000000-0004-0000-0400-0000C5000000}"/>
    <hyperlink ref="J395" r:id="rId117" xr:uid="{00000000-0004-0000-0400-0000C6000000}"/>
    <hyperlink ref="J396" r:id="rId118" xr:uid="{00000000-0004-0000-0400-0000C7000000}"/>
    <hyperlink ref="J274" r:id="rId119" xr:uid="{00000000-0004-0000-0400-0000C8000000}"/>
    <hyperlink ref="J258" r:id="rId120" xr:uid="{00000000-0004-0000-0400-0000C9000000}"/>
    <hyperlink ref="J394" r:id="rId121" xr:uid="{00000000-0004-0000-0400-0000CA000000}"/>
    <hyperlink ref="J398" r:id="rId122" xr:uid="{00000000-0004-0000-0400-0000CB000000}"/>
    <hyperlink ref="J399" r:id="rId123" xr:uid="{00000000-0004-0000-0400-0000CC000000}"/>
    <hyperlink ref="J400" r:id="rId124" xr:uid="{00000000-0004-0000-0400-0000CD000000}"/>
    <hyperlink ref="J393" r:id="rId125" xr:uid="{00000000-0004-0000-0400-0000CE000000}"/>
    <hyperlink ref="J401" r:id="rId126" xr:uid="{00000000-0004-0000-0400-0000CF000000}"/>
    <hyperlink ref="J402" r:id="rId127" xr:uid="{00000000-0004-0000-0400-0000D0000000}"/>
    <hyperlink ref="J403" r:id="rId128" xr:uid="{00000000-0004-0000-0400-0000D1000000}"/>
    <hyperlink ref="J404" r:id="rId129" xr:uid="{00000000-0004-0000-0400-0000D2000000}"/>
    <hyperlink ref="J405" r:id="rId130" xr:uid="{00000000-0004-0000-0400-0000D3000000}"/>
    <hyperlink ref="J406" r:id="rId131" xr:uid="{00000000-0004-0000-0400-0000D4000000}"/>
    <hyperlink ref="J407" r:id="rId132" xr:uid="{00000000-0004-0000-0400-0000D5000000}"/>
    <hyperlink ref="J408" r:id="rId133" xr:uid="{00000000-0004-0000-0400-0000D6000000}"/>
    <hyperlink ref="J409" r:id="rId134" xr:uid="{00000000-0004-0000-0400-0000D7000000}"/>
    <hyperlink ref="J410" r:id="rId135" xr:uid="{00000000-0004-0000-0400-0000D8000000}"/>
    <hyperlink ref="J411" r:id="rId136" xr:uid="{00000000-0004-0000-0400-0000D9000000}"/>
    <hyperlink ref="J412" r:id="rId137" xr:uid="{00000000-0004-0000-0400-0000DA000000}"/>
    <hyperlink ref="J413" r:id="rId138" xr:uid="{00000000-0004-0000-0400-0000DB000000}"/>
    <hyperlink ref="J414" r:id="rId139" xr:uid="{00000000-0004-0000-0400-0000DC000000}"/>
    <hyperlink ref="J415" r:id="rId140" xr:uid="{00000000-0004-0000-0400-0000DD000000}"/>
    <hyperlink ref="J416" r:id="rId141" xr:uid="{00000000-0004-0000-0400-0000DE000000}"/>
    <hyperlink ref="J418" r:id="rId142" xr:uid="{00000000-0004-0000-0400-0000DF000000}"/>
    <hyperlink ref="J419" r:id="rId143" xr:uid="{00000000-0004-0000-0400-0000E0000000}"/>
    <hyperlink ref="J421" r:id="rId144" xr:uid="{00000000-0004-0000-0400-0000E1000000}"/>
    <hyperlink ref="J423" r:id="rId145" xr:uid="{00000000-0004-0000-0400-0000E2000000}"/>
    <hyperlink ref="J422" r:id="rId146" xr:uid="{00000000-0004-0000-0400-0000E3000000}"/>
    <hyperlink ref="J424" r:id="rId147" xr:uid="{00000000-0004-0000-0400-0000E4000000}"/>
    <hyperlink ref="J425" r:id="rId148" xr:uid="{00000000-0004-0000-0400-0000E5000000}"/>
    <hyperlink ref="J426" r:id="rId149" xr:uid="{00000000-0004-0000-0400-0000E6000000}"/>
    <hyperlink ref="J420" r:id="rId150" xr:uid="{00000000-0004-0000-0400-0000E7000000}"/>
    <hyperlink ref="J427" r:id="rId151" xr:uid="{00000000-0004-0000-0400-0000E8000000}"/>
    <hyperlink ref="J428" r:id="rId152" xr:uid="{00000000-0004-0000-0400-0000E9000000}"/>
    <hyperlink ref="J429" r:id="rId153" xr:uid="{00000000-0004-0000-0400-0000EA000000}"/>
    <hyperlink ref="J430" r:id="rId154" xr:uid="{00000000-0004-0000-0400-0000EB000000}"/>
    <hyperlink ref="J431" r:id="rId155" xr:uid="{00000000-0004-0000-0400-0000EC000000}"/>
    <hyperlink ref="J432" r:id="rId156" xr:uid="{00000000-0004-0000-0400-0000ED000000}"/>
    <hyperlink ref="J433" r:id="rId157" xr:uid="{00000000-0004-0000-0400-0000EE000000}"/>
    <hyperlink ref="J434" r:id="rId158" xr:uid="{00000000-0004-0000-0400-0000EF000000}"/>
    <hyperlink ref="J437" r:id="rId159" xr:uid="{00000000-0004-0000-0400-0000F0000000}"/>
    <hyperlink ref="J436" r:id="rId160" xr:uid="{00000000-0004-0000-0400-0000F1000000}"/>
    <hyperlink ref="J438" r:id="rId161" xr:uid="{00000000-0004-0000-0400-0000F2000000}"/>
    <hyperlink ref="J435" r:id="rId162" xr:uid="{00000000-0004-0000-0400-0000F3000000}"/>
    <hyperlink ref="J439" r:id="rId163" xr:uid="{00000000-0004-0000-0400-0000F4000000}"/>
    <hyperlink ref="J440" r:id="rId164" xr:uid="{00000000-0004-0000-0400-0000F5000000}"/>
    <hyperlink ref="J441" r:id="rId165" xr:uid="{00000000-0004-0000-0400-0000F6000000}"/>
    <hyperlink ref="J442" r:id="rId166" xr:uid="{00000000-0004-0000-0400-0000F7000000}"/>
    <hyperlink ref="J250" r:id="rId167" xr:uid="{00000000-0004-0000-0400-0000F8000000}"/>
    <hyperlink ref="J185" r:id="rId168" xr:uid="{00000000-0004-0000-0400-0000F9000000}"/>
    <hyperlink ref="J186" r:id="rId169" xr:uid="{00000000-0004-0000-0400-0000FA000000}"/>
    <hyperlink ref="J240" r:id="rId170" xr:uid="{00000000-0004-0000-0400-0000FB000000}"/>
    <hyperlink ref="J198" r:id="rId171" xr:uid="{00000000-0004-0000-0400-0000FC000000}"/>
    <hyperlink ref="J206" r:id="rId172" xr:uid="{00000000-0004-0000-0400-0000FD000000}"/>
    <hyperlink ref="J208" r:id="rId173" xr:uid="{00000000-0004-0000-0400-0000FE000000}"/>
    <hyperlink ref="J251" r:id="rId174" xr:uid="{00000000-0004-0000-0400-0000FF000000}"/>
    <hyperlink ref="J218" r:id="rId175" xr:uid="{00000000-0004-0000-0400-000000010000}"/>
    <hyperlink ref="J176" r:id="rId176" display=" 140034" xr:uid="{00000000-0004-0000-0400-000001010000}"/>
    <hyperlink ref="J235" r:id="rId177" xr:uid="{00000000-0004-0000-0400-000002010000}"/>
    <hyperlink ref="J273" r:id="rId178" xr:uid="{00000000-0004-0000-0400-000003010000}"/>
    <hyperlink ref="J249" r:id="rId179" xr:uid="{00000000-0004-0000-0400-000004010000}"/>
    <hyperlink ref="J443" r:id="rId180" xr:uid="{00000000-0004-0000-0400-000005010000}"/>
    <hyperlink ref="J444" r:id="rId181" xr:uid="{00000000-0004-0000-0400-000006010000}"/>
    <hyperlink ref="J445" r:id="rId182" xr:uid="{00000000-0004-0000-0400-000007010000}"/>
    <hyperlink ref="J447" r:id="rId183" xr:uid="{00000000-0004-0000-0400-000008010000}"/>
    <hyperlink ref="J446" r:id="rId184" xr:uid="{00000000-0004-0000-0400-000009010000}"/>
    <hyperlink ref="J449" r:id="rId185" xr:uid="{00000000-0004-0000-0400-00000A010000}"/>
    <hyperlink ref="J448" r:id="rId186" xr:uid="{00000000-0004-0000-0400-00000B010000}"/>
    <hyperlink ref="J397" r:id="rId187" xr:uid="{00000000-0004-0000-0400-00000C010000}"/>
    <hyperlink ref="J382" r:id="rId188" xr:uid="{00000000-0004-0000-0400-00000D010000}"/>
    <hyperlink ref="J451" r:id="rId189" xr:uid="{00000000-0004-0000-0400-00000E010000}"/>
    <hyperlink ref="J452" r:id="rId190" xr:uid="{00000000-0004-0000-0400-00000F010000}"/>
    <hyperlink ref="J450" r:id="rId191" xr:uid="{00000000-0004-0000-0400-000010010000}"/>
    <hyperlink ref="J453" r:id="rId192" xr:uid="{00000000-0004-0000-0400-000011010000}"/>
    <hyperlink ref="J175" r:id="rId193" xr:uid="{00000000-0004-0000-0400-000012010000}"/>
    <hyperlink ref="J197" r:id="rId194" xr:uid="{00000000-0004-0000-0400-000013010000}"/>
    <hyperlink ref="J199" r:id="rId195" xr:uid="{00000000-0004-0000-0400-000014010000}"/>
    <hyperlink ref="J200" r:id="rId196" xr:uid="{00000000-0004-0000-0400-000015010000}"/>
    <hyperlink ref="J203" r:id="rId197" xr:uid="{00000000-0004-0000-0400-000016010000}"/>
    <hyperlink ref="J204" r:id="rId198" xr:uid="{00000000-0004-0000-0400-000017010000}"/>
    <hyperlink ref="J454" r:id="rId199" xr:uid="{00000000-0004-0000-0400-000018010000}"/>
    <hyperlink ref="J456" r:id="rId200" xr:uid="{00000000-0004-0000-0400-000019010000}"/>
    <hyperlink ref="J455" r:id="rId201" xr:uid="{00000000-0004-0000-0400-00001A010000}"/>
    <hyperlink ref="J457" r:id="rId202" xr:uid="{00000000-0004-0000-0400-00001B010000}"/>
    <hyperlink ref="J458" r:id="rId203" xr:uid="{00000000-0004-0000-0400-00001C010000}"/>
    <hyperlink ref="J459" r:id="rId204" xr:uid="{00000000-0004-0000-0400-00001D010000}"/>
    <hyperlink ref="J460" r:id="rId205" xr:uid="{00000000-0004-0000-0400-00001E010000}"/>
    <hyperlink ref="J461" r:id="rId206" xr:uid="{00000000-0004-0000-0400-00001F010000}"/>
    <hyperlink ref="J462" r:id="rId207" xr:uid="{00000000-0004-0000-0400-000020010000}"/>
    <hyperlink ref="J463" r:id="rId208" xr:uid="{00000000-0004-0000-0400-000021010000}"/>
    <hyperlink ref="J464" r:id="rId209" xr:uid="{00000000-0004-0000-0400-000022010000}"/>
    <hyperlink ref="J465" r:id="rId210" xr:uid="{00000000-0004-0000-0400-000023010000}"/>
    <hyperlink ref="J466" r:id="rId211" xr:uid="{00000000-0004-0000-0400-000024010000}"/>
    <hyperlink ref="J467" r:id="rId212" xr:uid="{00000000-0004-0000-0400-000025010000}"/>
    <hyperlink ref="J468" r:id="rId213" xr:uid="{00000000-0004-0000-0400-000026010000}"/>
    <hyperlink ref="J469" r:id="rId214" xr:uid="{00000000-0004-0000-0400-000027010000}"/>
    <hyperlink ref="J470" r:id="rId215" xr:uid="{00000000-0004-0000-0400-000028010000}"/>
    <hyperlink ref="J471" r:id="rId216" xr:uid="{00000000-0004-0000-0400-000029010000}"/>
    <hyperlink ref="J472" r:id="rId217" xr:uid="{00000000-0004-0000-0400-00002A010000}"/>
    <hyperlink ref="J473" r:id="rId218" xr:uid="{00000000-0004-0000-0400-00002B010000}"/>
    <hyperlink ref="J474" r:id="rId219" xr:uid="{00000000-0004-0000-0400-00002C010000}"/>
    <hyperlink ref="J475" r:id="rId220" xr:uid="{00000000-0004-0000-0400-00002D010000}"/>
    <hyperlink ref="J476" r:id="rId221" xr:uid="{00000000-0004-0000-0400-00002E010000}"/>
    <hyperlink ref="J477" r:id="rId222" xr:uid="{00000000-0004-0000-0400-00002F010000}"/>
    <hyperlink ref="J478" r:id="rId223" xr:uid="{00000000-0004-0000-0400-000030010000}"/>
    <hyperlink ref="J479" r:id="rId224" xr:uid="{00000000-0004-0000-0400-000031010000}"/>
    <hyperlink ref="J480" r:id="rId225" xr:uid="{00000000-0004-0000-0400-000032010000}"/>
    <hyperlink ref="J483" r:id="rId226" xr:uid="{00000000-0004-0000-0400-000033010000}"/>
    <hyperlink ref="J482" r:id="rId227" xr:uid="{00000000-0004-0000-0400-000034010000}"/>
    <hyperlink ref="J481" r:id="rId228" xr:uid="{00000000-0004-0000-0400-000035010000}"/>
    <hyperlink ref="J484" r:id="rId229" xr:uid="{00000000-0004-0000-0400-000036010000}"/>
    <hyperlink ref="J485" r:id="rId230" xr:uid="{00000000-0004-0000-0400-000037010000}"/>
    <hyperlink ref="J486" r:id="rId231" xr:uid="{00000000-0004-0000-0400-000038010000}"/>
    <hyperlink ref="J488" r:id="rId232" xr:uid="{00000000-0004-0000-0400-000039010000}"/>
    <hyperlink ref="J328" r:id="rId233" xr:uid="{00000000-0004-0000-0400-00003A010000}"/>
    <hyperlink ref="J351" r:id="rId234" xr:uid="{00000000-0004-0000-0400-00003B010000}"/>
    <hyperlink ref="J489" r:id="rId235" xr:uid="{00000000-0004-0000-0400-00003C010000}"/>
    <hyperlink ref="J491" r:id="rId236" xr:uid="{00000000-0004-0000-0400-00003D010000}"/>
    <hyperlink ref="J490" r:id="rId237" xr:uid="{00000000-0004-0000-0400-00003E010000}"/>
    <hyperlink ref="J492" r:id="rId238" xr:uid="{00000000-0004-0000-0400-00003F010000}"/>
    <hyperlink ref="J493" r:id="rId239" xr:uid="{00000000-0004-0000-0400-000040010000}"/>
    <hyperlink ref="J152" r:id="rId240" xr:uid="{00000000-0004-0000-0400-000041010000}"/>
    <hyperlink ref="J496" r:id="rId241" xr:uid="{00000000-0004-0000-0400-000042010000}"/>
    <hyperlink ref="J497" r:id="rId242" xr:uid="{00000000-0004-0000-0400-000043010000}"/>
    <hyperlink ref="J498" r:id="rId243" xr:uid="{00000000-0004-0000-0400-000044010000}"/>
    <hyperlink ref="J495" r:id="rId244" xr:uid="{00000000-0004-0000-0400-000045010000}"/>
    <hyperlink ref="J499" r:id="rId245" xr:uid="{00000000-0004-0000-0400-000046010000}"/>
    <hyperlink ref="J500" r:id="rId246" xr:uid="{00000000-0004-0000-0400-000047010000}"/>
    <hyperlink ref="J501" r:id="rId247" xr:uid="{00000000-0004-0000-0400-000048010000}"/>
    <hyperlink ref="J502" r:id="rId248" xr:uid="{00000000-0004-0000-0400-000049010000}"/>
    <hyperlink ref="J510" r:id="rId249" xr:uid="{00000000-0004-0000-0400-00004A010000}"/>
    <hyperlink ref="J503" r:id="rId250" xr:uid="{00000000-0004-0000-0400-00004B010000}"/>
    <hyperlink ref="J504" r:id="rId251" xr:uid="{00000000-0004-0000-0400-00004C010000}"/>
    <hyperlink ref="J506" r:id="rId252" xr:uid="{00000000-0004-0000-0400-00004D010000}"/>
    <hyperlink ref="J507" r:id="rId253" xr:uid="{00000000-0004-0000-0400-00004E010000}"/>
    <hyperlink ref="J508" r:id="rId254" xr:uid="{00000000-0004-0000-0400-00004F010000}"/>
    <hyperlink ref="J509" r:id="rId255" xr:uid="{00000000-0004-0000-0400-000050010000}"/>
    <hyperlink ref="J511" r:id="rId256" xr:uid="{00000000-0004-0000-0400-000051010000}"/>
    <hyperlink ref="J512" r:id="rId257" xr:uid="{00000000-0004-0000-0400-000052010000}"/>
    <hyperlink ref="J513" r:id="rId258" xr:uid="{00000000-0004-0000-0400-000053010000}"/>
    <hyperlink ref="J514" r:id="rId259" xr:uid="{00000000-0004-0000-0400-000054010000}"/>
    <hyperlink ref="J515" r:id="rId260" xr:uid="{00000000-0004-0000-0400-000055010000}"/>
    <hyperlink ref="J505" r:id="rId261" xr:uid="{00000000-0004-0000-0400-000056010000}"/>
    <hyperlink ref="J517" r:id="rId262" xr:uid="{00000000-0004-0000-0400-000057010000}"/>
    <hyperlink ref="J518" r:id="rId263" xr:uid="{00000000-0004-0000-0400-000058010000}"/>
    <hyperlink ref="J519" r:id="rId264" xr:uid="{00000000-0004-0000-0400-000059010000}"/>
    <hyperlink ref="J520" r:id="rId265" xr:uid="{00000000-0004-0000-0400-00005A010000}"/>
    <hyperlink ref="J521" r:id="rId266" xr:uid="{00000000-0004-0000-0400-00005B010000}"/>
    <hyperlink ref="J522" r:id="rId267" xr:uid="{00000000-0004-0000-0400-00005C010000}"/>
    <hyperlink ref="J523" r:id="rId268" xr:uid="{00000000-0004-0000-0400-00005D010000}"/>
    <hyperlink ref="J487" r:id="rId269" xr:uid="{00000000-0004-0000-0400-00005E010000}"/>
    <hyperlink ref="J524" r:id="rId270" xr:uid="{00000000-0004-0000-0400-00005F010000}"/>
    <hyperlink ref="J525" r:id="rId271" xr:uid="{00000000-0004-0000-0400-000060010000}"/>
    <hyperlink ref="J526" r:id="rId272" xr:uid="{00000000-0004-0000-0400-000061010000}"/>
    <hyperlink ref="J527" r:id="rId273" xr:uid="{00000000-0004-0000-0400-000062010000}"/>
    <hyperlink ref="J528" r:id="rId274" xr:uid="{00000000-0004-0000-0400-000063010000}"/>
    <hyperlink ref="J516" r:id="rId275" xr:uid="{00000000-0004-0000-0400-000064010000}"/>
    <hyperlink ref="J529" r:id="rId276" xr:uid="{00000000-0004-0000-0400-000065010000}"/>
    <hyperlink ref="J530" r:id="rId277" xr:uid="{00000000-0004-0000-0400-000066010000}"/>
    <hyperlink ref="J531" r:id="rId278" xr:uid="{00000000-0004-0000-0400-000067010000}"/>
    <hyperlink ref="J532" r:id="rId279" xr:uid="{00000000-0004-0000-0400-000068010000}"/>
    <hyperlink ref="J533" r:id="rId280" xr:uid="{00000000-0004-0000-0400-000069010000}"/>
    <hyperlink ref="J534" r:id="rId281" xr:uid="{00000000-0004-0000-0400-00006A010000}"/>
    <hyperlink ref="J535" r:id="rId282" xr:uid="{00000000-0004-0000-0400-00006B010000}"/>
    <hyperlink ref="J536" r:id="rId283" xr:uid="{00000000-0004-0000-0400-00006C010000}"/>
    <hyperlink ref="J538" r:id="rId284" xr:uid="{00000000-0004-0000-0400-00006D010000}"/>
    <hyperlink ref="J537" r:id="rId285" xr:uid="{00000000-0004-0000-0400-00006E010000}"/>
    <hyperlink ref="J539" r:id="rId286" xr:uid="{00000000-0004-0000-0400-00006F010000}"/>
    <hyperlink ref="J540" r:id="rId287" xr:uid="{00000000-0004-0000-0400-000070010000}"/>
    <hyperlink ref="J541" r:id="rId288" xr:uid="{00000000-0004-0000-0400-000071010000}"/>
    <hyperlink ref="J542" r:id="rId289" xr:uid="{00000000-0004-0000-0400-000072010000}"/>
    <hyperlink ref="J543" r:id="rId290" xr:uid="{00000000-0004-0000-0400-000073010000}"/>
    <hyperlink ref="J545" r:id="rId291" xr:uid="{00000000-0004-0000-0400-000074010000}"/>
    <hyperlink ref="J546" r:id="rId292" xr:uid="{00000000-0004-0000-0400-000075010000}"/>
    <hyperlink ref="J547" r:id="rId293" xr:uid="{00000000-0004-0000-0400-000076010000}"/>
    <hyperlink ref="J548" r:id="rId294" xr:uid="{00000000-0004-0000-0400-000077010000}"/>
    <hyperlink ref="J549" r:id="rId295" xr:uid="{00000000-0004-0000-0400-000078010000}"/>
    <hyperlink ref="J550" r:id="rId296" xr:uid="{00000000-0004-0000-0400-000079010000}"/>
    <hyperlink ref="J551" r:id="rId297" xr:uid="{00000000-0004-0000-0400-00007A010000}"/>
    <hyperlink ref="J553" r:id="rId298" xr:uid="{00000000-0004-0000-0400-00007B010000}"/>
    <hyperlink ref="J554" r:id="rId299" xr:uid="{00000000-0004-0000-0400-00007C010000}"/>
    <hyperlink ref="J555" r:id="rId300" xr:uid="{00000000-0004-0000-0400-00007D010000}"/>
    <hyperlink ref="J557" r:id="rId301" xr:uid="{00000000-0004-0000-0400-00007E010000}"/>
    <hyperlink ref="J558" r:id="rId302" xr:uid="{00000000-0004-0000-0400-00007F010000}"/>
    <hyperlink ref="J559" r:id="rId303" xr:uid="{00000000-0004-0000-0400-000080010000}"/>
    <hyperlink ref="J561" r:id="rId304" xr:uid="{00000000-0004-0000-0400-000081010000}"/>
    <hyperlink ref="J560" r:id="rId305" xr:uid="{00000000-0004-0000-0400-000082010000}"/>
    <hyperlink ref="J563" r:id="rId306" xr:uid="{00000000-0004-0000-0400-000083010000}"/>
    <hyperlink ref="J562" r:id="rId307" xr:uid="{00000000-0004-0000-0400-000084010000}"/>
    <hyperlink ref="J565" r:id="rId308" xr:uid="{00000000-0004-0000-0400-000085010000}"/>
    <hyperlink ref="J566" r:id="rId309" xr:uid="{00000000-0004-0000-0400-000086010000}"/>
    <hyperlink ref="J556" r:id="rId310" xr:uid="{00000000-0004-0000-0400-000087010000}"/>
    <hyperlink ref="J567" r:id="rId311" xr:uid="{00000000-0004-0000-0400-000088010000}"/>
    <hyperlink ref="J568" r:id="rId312" xr:uid="{00000000-0004-0000-0400-000089010000}"/>
    <hyperlink ref="J569" r:id="rId313" xr:uid="{00000000-0004-0000-0400-00008A010000}"/>
    <hyperlink ref="J570" r:id="rId314" xr:uid="{00000000-0004-0000-0400-00008B010000}"/>
    <hyperlink ref="J572" r:id="rId315" xr:uid="{00000000-0004-0000-0400-00008C010000}"/>
    <hyperlink ref="J571" r:id="rId316" xr:uid="{00000000-0004-0000-0400-00008D010000}"/>
    <hyperlink ref="J573" r:id="rId317" xr:uid="{00000000-0004-0000-0400-00008E010000}"/>
    <hyperlink ref="J574" r:id="rId318" xr:uid="{00000000-0004-0000-0400-00008F010000}"/>
    <hyperlink ref="J575" r:id="rId319" xr:uid="{00000000-0004-0000-0400-000090010000}"/>
    <hyperlink ref="J576" r:id="rId320" xr:uid="{00000000-0004-0000-0400-000091010000}"/>
    <hyperlink ref="J577" r:id="rId321" xr:uid="{00000000-0004-0000-0400-000092010000}"/>
    <hyperlink ref="J578" r:id="rId322" xr:uid="{00000000-0004-0000-0400-000093010000}"/>
    <hyperlink ref="J580" r:id="rId323" xr:uid="{00000000-0004-0000-0400-000094010000}"/>
    <hyperlink ref="J581" r:id="rId324" xr:uid="{00000000-0004-0000-0400-000095010000}"/>
    <hyperlink ref="J579" r:id="rId325" xr:uid="{00000000-0004-0000-0400-000096010000}"/>
    <hyperlink ref="J582" r:id="rId326" xr:uid="{00000000-0004-0000-0400-000097010000}"/>
    <hyperlink ref="J583" r:id="rId327" xr:uid="{00000000-0004-0000-0400-000098010000}"/>
    <hyperlink ref="J552" r:id="rId328" xr:uid="{00000000-0004-0000-0400-000099010000}"/>
    <hyperlink ref="J584" r:id="rId329" xr:uid="{00000000-0004-0000-0400-00009A010000}"/>
    <hyperlink ref="J585" r:id="rId330" xr:uid="{00000000-0004-0000-0400-00009B010000}"/>
    <hyperlink ref="J586" r:id="rId331" xr:uid="{00000000-0004-0000-0400-00009C010000}"/>
    <hyperlink ref="J588" r:id="rId332" xr:uid="{00000000-0004-0000-0400-00009D010000}"/>
    <hyperlink ref="J590" r:id="rId333" xr:uid="{00000000-0004-0000-0400-00009E010000}"/>
    <hyperlink ref="J589" r:id="rId334" xr:uid="{00000000-0004-0000-0400-00009F010000}"/>
    <hyperlink ref="J591" r:id="rId335" xr:uid="{00000000-0004-0000-0400-0000A0010000}"/>
    <hyperlink ref="J592" r:id="rId336" display="SDH-SMINC-50" xr:uid="{00000000-0004-0000-0400-0000A1010000}"/>
    <hyperlink ref="J593" r:id="rId337" xr:uid="{00000000-0004-0000-0400-0000A2010000}"/>
    <hyperlink ref="J587" r:id="rId338" xr:uid="{00000000-0004-0000-0400-0000A3010000}"/>
    <hyperlink ref="J594" r:id="rId339" xr:uid="{00000000-0004-0000-0400-0000A4010000}"/>
    <hyperlink ref="J596" r:id="rId340" xr:uid="{00000000-0004-0000-0400-0000A5010000}"/>
    <hyperlink ref="J595" r:id="rId341" xr:uid="{00000000-0004-0000-0400-0000A6010000}"/>
    <hyperlink ref="J597" r:id="rId342" xr:uid="{00000000-0004-0000-0400-0000A7010000}"/>
    <hyperlink ref="J599" r:id="rId343" xr:uid="{00000000-0004-0000-0400-0000A8010000}"/>
    <hyperlink ref="J600" r:id="rId344" xr:uid="{00000000-0004-0000-0400-0000A9010000}"/>
    <hyperlink ref="J598" r:id="rId345" xr:uid="{00000000-0004-0000-0400-0000AA010000}"/>
    <hyperlink ref="J601" r:id="rId346" xr:uid="{00000000-0004-0000-0400-0000AB010000}"/>
    <hyperlink ref="J602" r:id="rId347" xr:uid="{00000000-0004-0000-0400-0000AC010000}"/>
    <hyperlink ref="J603" r:id="rId348" xr:uid="{00000000-0004-0000-0400-0000AD010000}"/>
    <hyperlink ref="J604" r:id="rId349" xr:uid="{00000000-0004-0000-0400-0000AE010000}"/>
    <hyperlink ref="J605" r:id="rId350" xr:uid="{00000000-0004-0000-0400-0000AF010000}"/>
    <hyperlink ref="J606" r:id="rId351" xr:uid="{00000000-0004-0000-0400-0000B0010000}"/>
    <hyperlink ref="J607" r:id="rId352" xr:uid="{00000000-0004-0000-0400-0000B1010000}"/>
    <hyperlink ref="J608" r:id="rId353" xr:uid="{00000000-0004-0000-0400-0000B2010000}"/>
    <hyperlink ref="J609" r:id="rId354" xr:uid="{00000000-0004-0000-0400-0000B3010000}"/>
    <hyperlink ref="J610" r:id="rId355" xr:uid="{00000000-0004-0000-0400-0000B4010000}"/>
    <hyperlink ref="J611" r:id="rId356" xr:uid="{00000000-0004-0000-0400-0000B5010000}"/>
    <hyperlink ref="J615" r:id="rId357" xr:uid="{00000000-0004-0000-0400-0000B7010000}"/>
    <hyperlink ref="J614" r:id="rId358" xr:uid="{00000000-0004-0000-0400-0000B8010000}"/>
    <hyperlink ref="J613" r:id="rId359" xr:uid="{00000000-0004-0000-0400-0000B9010000}"/>
    <hyperlink ref="J616" r:id="rId360" xr:uid="{00000000-0004-0000-0400-0000BA010000}"/>
    <hyperlink ref="J617" r:id="rId361" xr:uid="{00000000-0004-0000-0400-0000BB010000}"/>
    <hyperlink ref="J618" r:id="rId362" xr:uid="{00000000-0004-0000-0400-0000BC010000}"/>
    <hyperlink ref="J619" r:id="rId363" xr:uid="{00000000-0004-0000-0400-0000BD010000}"/>
    <hyperlink ref="J620" r:id="rId364" xr:uid="{00000000-0004-0000-0400-0000BE010000}"/>
    <hyperlink ref="J621" r:id="rId365" xr:uid="{00000000-0004-0000-0400-0000BF010000}"/>
    <hyperlink ref="J623" r:id="rId366" xr:uid="{00000000-0004-0000-0400-0000C0010000}"/>
    <hyperlink ref="J622" r:id="rId367" xr:uid="{00000000-0004-0000-0400-0000C1010000}"/>
    <hyperlink ref="J624" r:id="rId368" xr:uid="{00000000-0004-0000-0400-0000C2010000}"/>
    <hyperlink ref="J626" r:id="rId369" xr:uid="{00000000-0004-0000-0400-0000C3010000}"/>
    <hyperlink ref="J625" r:id="rId370" xr:uid="{00000000-0004-0000-0400-0000C4010000}"/>
    <hyperlink ref="J627" r:id="rId371" xr:uid="{00000000-0004-0000-0400-0000C5010000}"/>
    <hyperlink ref="J144" r:id="rId372" xr:uid="{00000000-0004-0000-0400-0000C6010000}"/>
    <hyperlink ref="J99" r:id="rId373" xr:uid="{00000000-0004-0000-0400-0000C7010000}"/>
    <hyperlink ref="J22" r:id="rId374" xr:uid="{00000000-0004-0000-0400-0000C8010000}"/>
    <hyperlink ref="J544" r:id="rId375" xr:uid="{00000000-0004-0000-0400-0000C9010000}"/>
    <hyperlink ref="J628" r:id="rId376" xr:uid="{00000000-0004-0000-0400-0000CA010000}"/>
    <hyperlink ref="J629" r:id="rId377" xr:uid="{00000000-0004-0000-0400-0000CB010000}"/>
    <hyperlink ref="J217" r:id="rId378" xr:uid="{00000000-0004-0000-0400-0000CC010000}"/>
    <hyperlink ref="J172" r:id="rId379" xr:uid="{00000000-0004-0000-0400-0000CD010000}"/>
    <hyperlink ref="J23" r:id="rId380" xr:uid="{00000000-0004-0000-0400-0000CE010000}"/>
    <hyperlink ref="J630" r:id="rId381" xr:uid="{00000000-0004-0000-0400-0000CF010000}"/>
    <hyperlink ref="J87" r:id="rId382" xr:uid="{00000000-0004-0000-0400-0000D0010000}"/>
    <hyperlink ref="J94" r:id="rId383" xr:uid="{00000000-0004-0000-0400-0000D1010000}"/>
    <hyperlink ref="J631" r:id="rId384" xr:uid="{00000000-0004-0000-0400-0000D2010000}"/>
    <hyperlink ref="J103" r:id="rId385" xr:uid="{00000000-0004-0000-0400-0000D3010000}"/>
    <hyperlink ref="J110" r:id="rId386" xr:uid="{00000000-0004-0000-0400-0000D4010000}"/>
    <hyperlink ref="J129" r:id="rId387" xr:uid="{00000000-0004-0000-0400-0000D5010000}"/>
    <hyperlink ref="J69" r:id="rId388" xr:uid="{00000000-0004-0000-0400-0000D6010000}"/>
    <hyperlink ref="J104" r:id="rId389" xr:uid="{00000000-0004-0000-0400-0000D7010000}"/>
    <hyperlink ref="J148" r:id="rId390" xr:uid="{00000000-0004-0000-0400-0000D8010000}"/>
    <hyperlink ref="J74" r:id="rId391" xr:uid="{00000000-0004-0000-0400-0000D9010000}"/>
    <hyperlink ref="J32" r:id="rId392" xr:uid="{00000000-0004-0000-0400-0000DA010000}"/>
    <hyperlink ref="J157" r:id="rId393" xr:uid="{00000000-0004-0000-0400-0000DB010000}"/>
    <hyperlink ref="J85" r:id="rId394" xr:uid="{00000000-0004-0000-0400-0000DC010000}"/>
    <hyperlink ref="J12" r:id="rId395" xr:uid="{00000000-0004-0000-0400-0000DD010000}"/>
    <hyperlink ref="J18" r:id="rId396" xr:uid="{00000000-0004-0000-0400-0000DE010000}"/>
    <hyperlink ref="J633" r:id="rId397" xr:uid="{00000000-0004-0000-0400-0000DF010000}"/>
    <hyperlink ref="J634" r:id="rId398" xr:uid="{00000000-0004-0000-0400-0000E0010000}"/>
    <hyperlink ref="J635" r:id="rId399" xr:uid="{00000000-0004-0000-0400-0000E1010000}"/>
    <hyperlink ref="J632" r:id="rId400" xr:uid="{00000000-0004-0000-0400-0000E2010000}"/>
    <hyperlink ref="J636" r:id="rId401" xr:uid="{00000000-0004-0000-0400-0000E3010000}"/>
    <hyperlink ref="J637" r:id="rId402" xr:uid="{00000000-0004-0000-0400-0000E4010000}"/>
    <hyperlink ref="J638" r:id="rId403" xr:uid="{00000000-0004-0000-0400-0000E5010000}"/>
    <hyperlink ref="J639" r:id="rId404" xr:uid="{00000000-0004-0000-0400-0000E6010000}"/>
    <hyperlink ref="J640" r:id="rId405" xr:uid="{00000000-0004-0000-0400-0000E7010000}"/>
    <hyperlink ref="J641" r:id="rId406" xr:uid="{00000000-0004-0000-0400-0000E8010000}"/>
    <hyperlink ref="J642" r:id="rId407" xr:uid="{00000000-0004-0000-0400-0000E9010000}"/>
    <hyperlink ref="J651" r:id="rId408" display="SDH-CD-026-2018" xr:uid="{00000000-0004-0000-0400-0000EA010000}"/>
    <hyperlink ref="J645" r:id="rId409" xr:uid="{00000000-0004-0000-0400-0000EB010000}"/>
    <hyperlink ref="J652" r:id="rId410" display="SDH-CD-018-2018" xr:uid="{00000000-0004-0000-0400-0000EC010000}"/>
    <hyperlink ref="J654" r:id="rId411" display="SDH-CD-012-2018" xr:uid="{00000000-0004-0000-0400-0000ED010000}"/>
    <hyperlink ref="J643" r:id="rId412" xr:uid="{00000000-0004-0000-0400-0000EE010000}"/>
    <hyperlink ref="J650" r:id="rId413" xr:uid="{00000000-0004-0000-0400-0000EF010000}"/>
    <hyperlink ref="J653" r:id="rId414" display="SDH-CD-011-2018" xr:uid="{00000000-0004-0000-0400-0000F0010000}"/>
    <hyperlink ref="J644" r:id="rId415" display="SDH-CD-015-2018" xr:uid="{00000000-0004-0000-0400-0000F1010000}"/>
    <hyperlink ref="J646" r:id="rId416" xr:uid="{00000000-0004-0000-0400-0000F2010000}"/>
    <hyperlink ref="J649" r:id="rId417" xr:uid="{00000000-0004-0000-0400-0000F3010000}"/>
    <hyperlink ref="J648" r:id="rId418" display="SDH-CD-014-2018" xr:uid="{00000000-0004-0000-0400-0000F4010000}"/>
    <hyperlink ref="J647" r:id="rId419" xr:uid="{00000000-0004-0000-0400-0000F5010000}"/>
    <hyperlink ref="J655" r:id="rId420" display="SHD-CD-016-2018" xr:uid="{00000000-0004-0000-0400-0000F6010000}"/>
    <hyperlink ref="J656" r:id="rId421" display="SDH-CD-013-2018" xr:uid="{00000000-0004-0000-0400-0000F7010000}"/>
    <hyperlink ref="J659" r:id="rId422" display="SDH-CD-004-2018" xr:uid="{00000000-0004-0000-0400-0000F8010000}"/>
    <hyperlink ref="J658" r:id="rId423" xr:uid="{00000000-0004-0000-0400-0000F9010000}"/>
    <hyperlink ref="J657" r:id="rId424" display="SDH-CD-033-2018" xr:uid="{00000000-0004-0000-0400-0000FA010000}"/>
    <hyperlink ref="J660" r:id="rId425" display="SDH-SAMC-01-2018 " xr:uid="{00000000-0004-0000-0400-0000FB010000}"/>
    <hyperlink ref="J661" r:id="rId426" display="SDH-CD-032-2018" xr:uid="{00000000-0004-0000-0400-0000FC010000}"/>
    <hyperlink ref="J663" r:id="rId427" display="SDH-CD-030-2018" xr:uid="{00000000-0004-0000-0400-0000FD010000}"/>
    <hyperlink ref="J662" r:id="rId428" display="CD-SHD-036-2018" xr:uid="{00000000-0004-0000-0400-0000FE010000}"/>
    <hyperlink ref="J664" r:id="rId429" display="SDH-SIE-07-2018" xr:uid="{00000000-0004-0000-0400-0000FF010000}"/>
    <hyperlink ref="J665" r:id="rId430" display="SDH-CD-017-2018" xr:uid="{00000000-0004-0000-0400-000000020000}"/>
    <hyperlink ref="J666" r:id="rId431" xr:uid="{00000000-0004-0000-0400-000001020000}"/>
    <hyperlink ref="J667" r:id="rId432" display="SDH-CD-040-2018" xr:uid="{00000000-0004-0000-0400-000002020000}"/>
    <hyperlink ref="J668" r:id="rId433" display="SDH-CD-039-2018" xr:uid="{00000000-0004-0000-0400-000003020000}"/>
    <hyperlink ref="J669" r:id="rId434" display="SDH-SAMC-04-2018" xr:uid="{00000000-0004-0000-0400-000004020000}"/>
    <hyperlink ref="J670" r:id="rId435" display="SDH-CD-034-2018" xr:uid="{00000000-0004-0000-0400-000005020000}"/>
    <hyperlink ref="J671" r:id="rId436" display="SDH-CD-006-2018" xr:uid="{00000000-0004-0000-0400-000006020000}"/>
    <hyperlink ref="J672" r:id="rId437" display="SDH-CD-045-2018" xr:uid="{00000000-0004-0000-0400-000007020000}"/>
    <hyperlink ref="J673" r:id="rId438" xr:uid="{00000000-0004-0000-0400-000008020000}"/>
    <hyperlink ref="J674" r:id="rId439" xr:uid="{00000000-0004-0000-0400-000009020000}"/>
    <hyperlink ref="J675" r:id="rId440" display="SDH-CD-056-2018" xr:uid="{00000000-0004-0000-0400-00000A020000}"/>
    <hyperlink ref="J676" r:id="rId441" xr:uid="{00000000-0004-0000-0400-00000B020000}"/>
    <hyperlink ref="J677" r:id="rId442" display="SDH - CD -026-2018" xr:uid="{00000000-0004-0000-0400-00000C020000}"/>
    <hyperlink ref="J678" r:id="rId443" xr:uid="{00000000-0004-0000-0400-00000D020000}"/>
    <hyperlink ref="J680" r:id="rId444" display="SDH-CD-061-2018" xr:uid="{00000000-0004-0000-0400-00000E020000}"/>
    <hyperlink ref="J679" r:id="rId445" xr:uid="{00000000-0004-0000-0400-00000F020000}"/>
    <hyperlink ref="J681" r:id="rId446" display="SDH-SMINC-043-2018" xr:uid="{00000000-0004-0000-0400-000010020000}"/>
    <hyperlink ref="J682" r:id="rId447" display="SDH-CD-037-2018" xr:uid="{00000000-0004-0000-0400-000011020000}"/>
    <hyperlink ref="J683" r:id="rId448" display="SDH-CD-037-2018" xr:uid="{00000000-0004-0000-0400-000012020000}"/>
    <hyperlink ref="J68" r:id="rId449" xr:uid="{00000000-0004-0000-0400-000013020000}"/>
    <hyperlink ref="J143" r:id="rId450" xr:uid="{00000000-0004-0000-0400-000014020000}"/>
    <hyperlink ref="J67" r:id="rId451" xr:uid="{00000000-0004-0000-0400-000015020000}"/>
    <hyperlink ref="J124" r:id="rId452" display=" 130209" xr:uid="{00000000-0004-0000-0400-000016020000}"/>
    <hyperlink ref="J49" r:id="rId453" xr:uid="{00000000-0004-0000-0400-000017020000}"/>
    <hyperlink ref="J167" r:id="rId454" xr:uid="{00000000-0004-0000-0400-000018020000}"/>
    <hyperlink ref="J36" r:id="rId455" xr:uid="{00000000-0004-0000-0400-000019020000}"/>
    <hyperlink ref="J51" r:id="rId456" xr:uid="{00000000-0004-0000-0400-00001A020000}"/>
    <hyperlink ref="J44" r:id="rId457" xr:uid="{00000000-0004-0000-0400-00001B020000}"/>
    <hyperlink ref="J27" r:id="rId458" xr:uid="{00000000-0004-0000-0400-00001C020000}"/>
    <hyperlink ref="J684" r:id="rId459" xr:uid="{00000000-0004-0000-0400-00001D020000}"/>
    <hyperlink ref="J41" r:id="rId460" xr:uid="{00000000-0004-0000-0400-00001E020000}"/>
    <hyperlink ref="J77" r:id="rId461" xr:uid="{00000000-0004-0000-0400-00001F020000}"/>
    <hyperlink ref="J229" r:id="rId462" xr:uid="{00000000-0004-0000-0400-000020020000}"/>
    <hyperlink ref="J261" r:id="rId463" xr:uid="{00000000-0004-0000-0400-000021020000}"/>
    <hyperlink ref="J242" r:id="rId464" xr:uid="{00000000-0004-0000-0400-000022020000}"/>
    <hyperlink ref="J290" r:id="rId465" xr:uid="{00000000-0004-0000-0400-000023020000}"/>
    <hyperlink ref="J64" r:id="rId466" xr:uid="{00000000-0004-0000-0400-000024020000}"/>
    <hyperlink ref="J227" r:id="rId467" xr:uid="{00000000-0004-0000-0400-000025020000}"/>
    <hyperlink ref="J47" r:id="rId468" xr:uid="{00000000-0004-0000-0400-000026020000}"/>
    <hyperlink ref="J685" r:id="rId469" display="SDH-CD-054-2018" xr:uid="{00000000-0004-0000-0400-000027020000}"/>
    <hyperlink ref="J686" r:id="rId470" display="SDH-SMINC-047-2018" xr:uid="{00000000-0004-0000-0400-000028020000}"/>
    <hyperlink ref="J687" r:id="rId471" display="SDH-CD-075-2018" xr:uid="{00000000-0004-0000-0400-000029020000}"/>
    <hyperlink ref="J688" r:id="rId472" xr:uid="{00000000-0004-0000-0400-00002A020000}"/>
    <hyperlink ref="J691" r:id="rId473" display="SDH-CD-078-2018" xr:uid="{00000000-0004-0000-0400-00002B020000}"/>
    <hyperlink ref="J690" r:id="rId474" display="SDH-CD-079-2018" xr:uid="{00000000-0004-0000-0400-00002C020000}"/>
    <hyperlink ref="J689" r:id="rId475" xr:uid="{00000000-0004-0000-0400-00002D020000}"/>
    <hyperlink ref="J692" r:id="rId476" display="SDH-CD-074-2018" xr:uid="{00000000-0004-0000-0400-00002E020000}"/>
    <hyperlink ref="J693" r:id="rId477" display="SDH-CD-055-2018" xr:uid="{00000000-0004-0000-0400-00002F020000}"/>
    <hyperlink ref="J694" r:id="rId478" display="SDH-CD-051-2018" xr:uid="{00000000-0004-0000-0400-000030020000}"/>
    <hyperlink ref="J695" r:id="rId479" xr:uid="{00000000-0004-0000-0400-000031020000}"/>
    <hyperlink ref="J696" r:id="rId480" display="SDH-SAMC-06-2018" xr:uid="{00000000-0004-0000-0400-000032020000}"/>
    <hyperlink ref="J697" r:id="rId481" xr:uid="{00000000-0004-0000-0400-000033020000}"/>
    <hyperlink ref="J698" r:id="rId482" display="SDH-CD-080-2018" xr:uid="{00000000-0004-0000-0400-000034020000}"/>
    <hyperlink ref="J699" r:id="rId483" xr:uid="{00000000-0004-0000-0400-000035020000}"/>
    <hyperlink ref="J700" r:id="rId484" xr:uid="{00000000-0004-0000-0400-000036020000}"/>
    <hyperlink ref="J703" r:id="rId485" xr:uid="{00000000-0004-0000-0400-000037020000}"/>
    <hyperlink ref="J702" r:id="rId486" xr:uid="{00000000-0004-0000-0400-000038020000}"/>
    <hyperlink ref="J701" r:id="rId487" xr:uid="{00000000-0004-0000-0400-000039020000}"/>
    <hyperlink ref="J704" r:id="rId488" display="SDH-SAMC-07-2018" xr:uid="{00000000-0004-0000-0400-00003A020000}"/>
    <hyperlink ref="J705" r:id="rId489" display="SDH-CD-076-2018" xr:uid="{00000000-0004-0000-0400-00003B020000}"/>
    <hyperlink ref="J381" r:id="rId490" xr:uid="{00000000-0004-0000-0400-00003C020000}"/>
    <hyperlink ref="J706" r:id="rId491" xr:uid="{00000000-0004-0000-0400-00003D020000}"/>
    <hyperlink ref="J707" r:id="rId492" xr:uid="{00000000-0004-0000-0400-00003E020000}"/>
    <hyperlink ref="J708" r:id="rId493" display="SDH-SIE-08-2018" xr:uid="{00000000-0004-0000-0400-00003F020000}"/>
    <hyperlink ref="J709" r:id="rId494" xr:uid="{00000000-0004-0000-0400-000040020000}"/>
    <hyperlink ref="J126" r:id="rId495" xr:uid="{00000000-0004-0000-0400-000041020000}"/>
    <hyperlink ref="J109" r:id="rId496" xr:uid="{00000000-0004-0000-0400-000042020000}"/>
    <hyperlink ref="J98" r:id="rId497" xr:uid="{00000000-0004-0000-0400-000043020000}"/>
    <hyperlink ref="J245" r:id="rId498" xr:uid="{00000000-0004-0000-0400-000044020000}"/>
    <hyperlink ref="J710" r:id="rId499" xr:uid="{00000000-0004-0000-0400-000045020000}"/>
    <hyperlink ref="J173" r:id="rId500" xr:uid="{00000000-0004-0000-0400-000046020000}"/>
    <hyperlink ref="J101" r:id="rId501" xr:uid="{00000000-0004-0000-0400-000047020000}"/>
    <hyperlink ref="J196" r:id="rId502" xr:uid="{00000000-0004-0000-0400-000048020000}"/>
    <hyperlink ref="J88" r:id="rId503" xr:uid="{00000000-0004-0000-0400-000049020000}"/>
    <hyperlink ref="J53" r:id="rId504" xr:uid="{00000000-0004-0000-0400-00004A020000}"/>
    <hyperlink ref="J65" r:id="rId505" xr:uid="{00000000-0004-0000-0400-00004B020000}"/>
    <hyperlink ref="J163" r:id="rId506" xr:uid="{00000000-0004-0000-0400-00004C020000}"/>
    <hyperlink ref="J711" r:id="rId507" xr:uid="{00000000-0004-0000-0400-00004D020000}"/>
    <hyperlink ref="J712" r:id="rId508" xr:uid="{00000000-0004-0000-0400-00004E020000}"/>
    <hyperlink ref="J21" r:id="rId509" xr:uid="{00000000-0004-0000-0400-00004F020000}"/>
    <hyperlink ref="J713" r:id="rId510" xr:uid="{00000000-0004-0000-0400-000050020000}"/>
    <hyperlink ref="J714" r:id="rId511" xr:uid="{00000000-0004-0000-0400-000051020000}"/>
    <hyperlink ref="J715" r:id="rId512" xr:uid="{00000000-0004-0000-0400-000052020000}"/>
    <hyperlink ref="J716" r:id="rId513" xr:uid="{00000000-0004-0000-0400-000053020000}"/>
    <hyperlink ref="J717" r:id="rId514" xr:uid="{00000000-0004-0000-0400-000054020000}"/>
    <hyperlink ref="J718" r:id="rId515" display="SDH-CD-092-2018" xr:uid="{00000000-0004-0000-0400-000055020000}"/>
    <hyperlink ref="J719" r:id="rId516" xr:uid="{00000000-0004-0000-0400-000056020000}"/>
    <hyperlink ref="J720" r:id="rId517" xr:uid="{00000000-0004-0000-0400-000057020000}"/>
    <hyperlink ref="J721" r:id="rId518" xr:uid="{00000000-0004-0000-0400-000058020000}"/>
    <hyperlink ref="J725" r:id="rId519" xr:uid="{00000000-0004-0000-0400-000059020000}"/>
    <hyperlink ref="J727" r:id="rId520" xr:uid="{00000000-0004-0000-0400-00005A020000}"/>
    <hyperlink ref="J724" r:id="rId521" xr:uid="{00000000-0004-0000-0400-00005B020000}"/>
    <hyperlink ref="J723" r:id="rId522" xr:uid="{00000000-0004-0000-0400-00005C020000}"/>
    <hyperlink ref="J722" r:id="rId523" xr:uid="{00000000-0004-0000-0400-00005D020000}"/>
    <hyperlink ref="J726" r:id="rId524" xr:uid="{00000000-0004-0000-0400-00005E020000}"/>
    <hyperlink ref="J728" r:id="rId525" xr:uid="{00000000-0004-0000-0400-00005F020000}"/>
    <hyperlink ref="J729" r:id="rId526" xr:uid="{00000000-0004-0000-0400-000060020000}"/>
    <hyperlink ref="J733" r:id="rId527" xr:uid="{00000000-0004-0000-0400-000061020000}"/>
    <hyperlink ref="J731" r:id="rId528" xr:uid="{00000000-0004-0000-0400-000062020000}"/>
    <hyperlink ref="J730" r:id="rId529" xr:uid="{00000000-0004-0000-0400-000063020000}"/>
    <hyperlink ref="J732" r:id="rId530" xr:uid="{00000000-0004-0000-0400-000064020000}"/>
    <hyperlink ref="J268" r:id="rId531" xr:uid="{00000000-0004-0000-0400-000066020000}"/>
    <hyperlink ref="J734" r:id="rId532" xr:uid="{00000000-0004-0000-0400-000067020000}"/>
    <hyperlink ref="J735" r:id="rId533" xr:uid="{00000000-0004-0000-0400-000068020000}"/>
    <hyperlink ref="J80" r:id="rId534" xr:uid="{00000000-0004-0000-0400-000069020000}"/>
    <hyperlink ref="J225" r:id="rId535" xr:uid="{00000000-0004-0000-0400-00006A020000}"/>
    <hyperlink ref="J736" r:id="rId536" xr:uid="{00000000-0004-0000-0400-00006B020000}"/>
    <hyperlink ref="J737" r:id="rId537" display="SDH-CD-009-2019" xr:uid="{00000000-0004-0000-0400-00006C020000}"/>
    <hyperlink ref="J738" r:id="rId538" xr:uid="{00000000-0004-0000-0400-00006D020000}"/>
    <hyperlink ref="J171" r:id="rId539" xr:uid="{00000000-0004-0000-0400-00006E020000}"/>
    <hyperlink ref="J164" r:id="rId540" xr:uid="{00000000-0004-0000-0400-00006F020000}"/>
    <hyperlink ref="J160" r:id="rId541" xr:uid="{00000000-0004-0000-0400-000070020000}"/>
    <hyperlink ref="J159" r:id="rId542" xr:uid="{00000000-0004-0000-0400-000071020000}"/>
    <hyperlink ref="J153" r:id="rId543" xr:uid="{00000000-0004-0000-0400-000072020000}"/>
    <hyperlink ref="J155" r:id="rId544" xr:uid="{00000000-0004-0000-0400-000073020000}"/>
    <hyperlink ref="J165" r:id="rId545" xr:uid="{00000000-0004-0000-0400-000074020000}"/>
    <hyperlink ref="J130" r:id="rId546" xr:uid="{00000000-0004-0000-0400-000075020000}"/>
    <hyperlink ref="J128" r:id="rId547" xr:uid="{00000000-0004-0000-0400-000076020000}"/>
    <hyperlink ref="J95" r:id="rId548" xr:uid="{00000000-0004-0000-0400-000077020000}"/>
    <hyperlink ref="J739" r:id="rId549" display="SDH-CD-028-2019" xr:uid="{00000000-0004-0000-0400-000078020000}"/>
    <hyperlink ref="J740" r:id="rId550" display="SDH-CD-036-2019" xr:uid="{00000000-0004-0000-0400-000079020000}"/>
    <hyperlink ref="J741" r:id="rId551" xr:uid="{00000000-0004-0000-0400-00007A020000}"/>
    <hyperlink ref="J743" r:id="rId552" xr:uid="{00000000-0004-0000-0400-00007B020000}"/>
    <hyperlink ref="J742" r:id="rId553" xr:uid="{00000000-0004-0000-0400-00007C020000}"/>
    <hyperlink ref="J744" r:id="rId554" display="SDH-CD-032-2019" xr:uid="{00000000-0004-0000-0400-00007D020000}"/>
    <hyperlink ref="J745" r:id="rId555" xr:uid="{00000000-0004-0000-0400-00007E020000}"/>
    <hyperlink ref="J746" r:id="rId556" xr:uid="{00000000-0004-0000-0400-00007F020000}"/>
    <hyperlink ref="J747" r:id="rId557" display="SDH-CD-047-2019" xr:uid="{00000000-0004-0000-0400-000080020000}"/>
    <hyperlink ref="J748" r:id="rId558" xr:uid="{00000000-0004-0000-0400-000081020000}"/>
    <hyperlink ref="J749" r:id="rId559" xr:uid="{00000000-0004-0000-0400-000082020000}"/>
    <hyperlink ref="J750" r:id="rId560" xr:uid="{00000000-0004-0000-0400-000083020000}"/>
    <hyperlink ref="J751" r:id="rId561" xr:uid="{00000000-0004-0000-0400-000084020000}"/>
    <hyperlink ref="J752" r:id="rId562" xr:uid="{00000000-0004-0000-0400-000085020000}"/>
    <hyperlink ref="J753" r:id="rId563" xr:uid="{00000000-0004-0000-0400-000086020000}"/>
    <hyperlink ref="J754" r:id="rId564" xr:uid="{00000000-0004-0000-0400-000087020000}"/>
    <hyperlink ref="J755" r:id="rId565" xr:uid="{00000000-0004-0000-0400-000088020000}"/>
    <hyperlink ref="J270" r:id="rId566" xr:uid="{00000000-0004-0000-0400-000089020000}"/>
    <hyperlink ref="J230" r:id="rId567" xr:uid="{00000000-0004-0000-0400-00008A020000}"/>
    <hyperlink ref="J267" r:id="rId568" xr:uid="{00000000-0004-0000-0400-00008B020000}"/>
    <hyperlink ref="J192" r:id="rId569" xr:uid="{00000000-0004-0000-0400-00008C020000}"/>
    <hyperlink ref="J145" r:id="rId570" xr:uid="{00000000-0004-0000-0400-00008D020000}"/>
    <hyperlink ref="J168" r:id="rId571" xr:uid="{00000000-0004-0000-0400-00008E020000}"/>
    <hyperlink ref="J246" r:id="rId572" xr:uid="{00000000-0004-0000-0400-00008F020000}"/>
    <hyperlink ref="J210" r:id="rId573" xr:uid="{00000000-0004-0000-0400-000090020000}"/>
    <hyperlink ref="J756" r:id="rId574" xr:uid="{00000000-0004-0000-0400-000091020000}"/>
    <hyperlink ref="J757" r:id="rId575" xr:uid="{00000000-0004-0000-0400-000092020000}"/>
    <hyperlink ref="J758" r:id="rId576" xr:uid="{00000000-0004-0000-0400-000093020000}"/>
    <hyperlink ref="J759" r:id="rId577" xr:uid="{00000000-0004-0000-0400-000094020000}"/>
    <hyperlink ref="J222" r:id="rId578" xr:uid="{00000000-0004-0000-0400-000095020000}"/>
    <hyperlink ref="J760" r:id="rId579" xr:uid="{00000000-0004-0000-0400-000096020000}"/>
    <hyperlink ref="J194" r:id="rId580" xr:uid="{00000000-0004-0000-0400-000097020000}"/>
    <hyperlink ref="J174" r:id="rId581" xr:uid="{00000000-0004-0000-0400-000098020000}"/>
    <hyperlink ref="J170" r:id="rId582" xr:uid="{00000000-0004-0000-0400-000099020000}"/>
    <hyperlink ref="J162" r:id="rId583" xr:uid="{00000000-0004-0000-0400-00009A020000}"/>
    <hyperlink ref="J149" r:id="rId584" xr:uid="{00000000-0004-0000-0400-00009B020000}"/>
    <hyperlink ref="J147" r:id="rId585" xr:uid="{00000000-0004-0000-0400-00009C020000}"/>
    <hyperlink ref="J146" r:id="rId586" xr:uid="{00000000-0004-0000-0400-00009D020000}"/>
    <hyperlink ref="J141" r:id="rId587" xr:uid="{00000000-0004-0000-0400-00009E020000}"/>
    <hyperlink ref="J140" r:id="rId588" xr:uid="{00000000-0004-0000-0400-00009F020000}"/>
    <hyperlink ref="J138" r:id="rId589" xr:uid="{00000000-0004-0000-0400-0000A0020000}"/>
    <hyperlink ref="J137" r:id="rId590" xr:uid="{00000000-0004-0000-0400-0000A1020000}"/>
    <hyperlink ref="J761" r:id="rId591" xr:uid="{00000000-0004-0000-0400-0000A2020000}"/>
    <hyperlink ref="J762" r:id="rId592" xr:uid="{00000000-0004-0000-0400-0000A3020000}"/>
    <hyperlink ref="J763" r:id="rId593" xr:uid="{00000000-0004-0000-0400-0000A4020000}"/>
    <hyperlink ref="J764" r:id="rId594" xr:uid="{00000000-0004-0000-0400-0000A5020000}"/>
    <hyperlink ref="J767" r:id="rId595" xr:uid="{00000000-0004-0000-0400-0000A6020000}"/>
    <hyperlink ref="J766" r:id="rId596" xr:uid="{00000000-0004-0000-0400-0000A7020000}"/>
    <hyperlink ref="J765" r:id="rId597" xr:uid="{00000000-0004-0000-0400-0000A8020000}"/>
    <hyperlink ref="J768" r:id="rId598" xr:uid="{00000000-0004-0000-0400-0000A9020000}"/>
    <hyperlink ref="J770" r:id="rId599" xr:uid="{00000000-0004-0000-0400-0000AA020000}"/>
    <hyperlink ref="J769" r:id="rId600" xr:uid="{00000000-0004-0000-0400-0000AB020000}"/>
    <hyperlink ref="J771" r:id="rId601" xr:uid="{00000000-0004-0000-0400-0000AC020000}"/>
    <hyperlink ref="J773" r:id="rId602" xr:uid="{00000000-0004-0000-0400-0000AD020000}"/>
    <hyperlink ref="J772" r:id="rId603" xr:uid="{00000000-0004-0000-0400-0000AE020000}"/>
    <hyperlink ref="J774" r:id="rId604" xr:uid="{00000000-0004-0000-0400-0000AF020000}"/>
    <hyperlink ref="J776" r:id="rId605" xr:uid="{00000000-0004-0000-0400-0000B0020000}"/>
    <hyperlink ref="J775" r:id="rId606" xr:uid="{00000000-0004-0000-0400-0000B1020000}"/>
    <hyperlink ref="J777" r:id="rId607" xr:uid="{00000000-0004-0000-0400-0000B2020000}"/>
    <hyperlink ref="J778" r:id="rId608" xr:uid="{00000000-0004-0000-0400-0000B3020000}"/>
    <hyperlink ref="J780" r:id="rId609" xr:uid="{00000000-0004-0000-0400-0000B4020000}"/>
    <hyperlink ref="J779" r:id="rId610" xr:uid="{00000000-0004-0000-0400-0000B5020000}"/>
    <hyperlink ref="J781" r:id="rId611" xr:uid="{00000000-0004-0000-0400-0000B6020000}"/>
    <hyperlink ref="J782" r:id="rId612" xr:uid="{00000000-0004-0000-0400-0000B7020000}"/>
    <hyperlink ref="J783" r:id="rId613" xr:uid="{00000000-0004-0000-0400-0000B8020000}"/>
    <hyperlink ref="J59" r:id="rId614" xr:uid="{00000000-0004-0000-0400-0000B9020000}"/>
    <hyperlink ref="J70" r:id="rId615" xr:uid="{00000000-0004-0000-0400-0000BA020000}"/>
    <hyperlink ref="J154" r:id="rId616" xr:uid="{00000000-0004-0000-0400-0000BB020000}"/>
    <hyperlink ref="J127" r:id="rId617" xr:uid="{00000000-0004-0000-0400-0000BC020000}"/>
    <hyperlink ref="J50" r:id="rId618" xr:uid="{00000000-0004-0000-0400-0000BD020000}"/>
    <hyperlink ref="J93" r:id="rId619" xr:uid="{00000000-0004-0000-0400-0000BE020000}"/>
    <hyperlink ref="J122" r:id="rId620" xr:uid="{00000000-0004-0000-0400-0000BF020000}"/>
    <hyperlink ref="J784" r:id="rId621" xr:uid="{00000000-0004-0000-0400-0000C0020000}"/>
    <hyperlink ref="J786" r:id="rId622" xr:uid="{00000000-0004-0000-0400-0000C1020000}"/>
    <hyperlink ref="J785" r:id="rId623" xr:uid="{00000000-0004-0000-0400-0000C2020000}"/>
    <hyperlink ref="J787" r:id="rId624" xr:uid="{00000000-0004-0000-0400-0000C3020000}"/>
    <hyperlink ref="J788" r:id="rId625" xr:uid="{00000000-0004-0000-0400-0000C4020000}"/>
    <hyperlink ref="J789" r:id="rId626" xr:uid="{00000000-0004-0000-0400-0000C5020000}"/>
    <hyperlink ref="J790" r:id="rId627" xr:uid="{00000000-0004-0000-0400-0000C6020000}"/>
    <hyperlink ref="J791" r:id="rId628" xr:uid="{00000000-0004-0000-0400-0000C7020000}"/>
    <hyperlink ref="J792" r:id="rId629" xr:uid="{00000000-0004-0000-0400-0000C8020000}"/>
    <hyperlink ref="J793" r:id="rId630" xr:uid="{00000000-0004-0000-0400-0000C9020000}"/>
    <hyperlink ref="J794" r:id="rId631" xr:uid="{00000000-0004-0000-0400-0000CA020000}"/>
    <hyperlink ref="J795" r:id="rId632" xr:uid="{00000000-0004-0000-0400-0000CB020000}"/>
    <hyperlink ref="J797" r:id="rId633" xr:uid="{00000000-0004-0000-0400-0000CC020000}"/>
    <hyperlink ref="J796" r:id="rId634" xr:uid="{00000000-0004-0000-0400-0000CD020000}"/>
    <hyperlink ref="J798" r:id="rId635" xr:uid="{00000000-0004-0000-0400-0000CE020000}"/>
    <hyperlink ref="J799" r:id="rId636" xr:uid="{00000000-0004-0000-0400-0000CF020000}"/>
    <hyperlink ref="J800" r:id="rId637" xr:uid="{00000000-0004-0000-0400-0000D0020000}"/>
    <hyperlink ref="J801" r:id="rId638" xr:uid="{00000000-0004-0000-0400-0000D1020000}"/>
    <hyperlink ref="J802" r:id="rId639" xr:uid="{00000000-0004-0000-0400-0000D2020000}"/>
    <hyperlink ref="J804" r:id="rId640" xr:uid="{00000000-0004-0000-0400-0000D3020000}"/>
    <hyperlink ref="J805" r:id="rId641" xr:uid="{00000000-0004-0000-0400-0000D4020000}"/>
    <hyperlink ref="J806" r:id="rId642" xr:uid="{00000000-0004-0000-0400-0000D5020000}"/>
    <hyperlink ref="J807" r:id="rId643" xr:uid="{00000000-0004-0000-0400-0000D6020000}"/>
    <hyperlink ref="J808" r:id="rId644" xr:uid="{00000000-0004-0000-0400-0000D7020000}"/>
    <hyperlink ref="J809" r:id="rId645" xr:uid="{00000000-0004-0000-0400-0000D8020000}"/>
    <hyperlink ref="J810" r:id="rId646" xr:uid="{00000000-0004-0000-0400-0000D9020000}"/>
    <hyperlink ref="J811" r:id="rId647" xr:uid="{00000000-0004-0000-0400-0000DA020000}"/>
    <hyperlink ref="J812" r:id="rId648" xr:uid="{00000000-0004-0000-0400-0000DB020000}"/>
    <hyperlink ref="J813" r:id="rId649" xr:uid="{00000000-0004-0000-0400-0000DC020000}"/>
    <hyperlink ref="J803" r:id="rId650" xr:uid="{00000000-0004-0000-0400-0000DD020000}"/>
    <hyperlink ref="J814" r:id="rId651" xr:uid="{00000000-0004-0000-0400-0000DE020000}"/>
    <hyperlink ref="J815" r:id="rId652" xr:uid="{00000000-0004-0000-0400-0000DF020000}"/>
    <hyperlink ref="J816" r:id="rId653" xr:uid="{00000000-0004-0000-0400-0000E0020000}"/>
    <hyperlink ref="J817" r:id="rId654" xr:uid="{00000000-0004-0000-0400-0000E1020000}"/>
    <hyperlink ref="J818" r:id="rId655" xr:uid="{00000000-0004-0000-0400-0000E2020000}"/>
    <hyperlink ref="J819" r:id="rId656" xr:uid="{00000000-0004-0000-0400-0000E3020000}"/>
    <hyperlink ref="J820" r:id="rId657" xr:uid="{AC653474-067B-4C84-A2C2-7DBF5F378287}"/>
    <hyperlink ref="J821" r:id="rId658" xr:uid="{7EB2ADA0-737D-4F4B-969D-95774D350A59}"/>
    <hyperlink ref="J822" r:id="rId659" xr:uid="{F3545486-8B98-4DCA-9AC2-F3BD2B7E4068}"/>
    <hyperlink ref="J823" r:id="rId660" xr:uid="{0F563FF1-A7C3-4536-9529-C302B2143F82}"/>
    <hyperlink ref="J824" r:id="rId661" xr:uid="{79137B92-967E-495F-90F1-C0FD04CCB1DF}"/>
    <hyperlink ref="J825" r:id="rId662" xr:uid="{3AFE28AD-885A-4F4A-967F-6FC4B3F6D24F}"/>
    <hyperlink ref="J826" r:id="rId663" xr:uid="{B8BC6566-4866-4539-9C73-F198ADCBA2FA}"/>
    <hyperlink ref="J827" r:id="rId664" xr:uid="{3244F378-F099-413D-A7C0-4CCCCF9476A8}"/>
    <hyperlink ref="J828" r:id="rId665" xr:uid="{FF50FB04-1DC4-4BD7-ADFE-8D802144A90A}"/>
    <hyperlink ref="J829" r:id="rId666" xr:uid="{280063F5-5F9C-4EF2-A580-CC7C51C0F257}"/>
    <hyperlink ref="J830" r:id="rId667" xr:uid="{B37BC8B9-CF85-4CFE-B8CB-18B9A191C7D5}"/>
    <hyperlink ref="J831" r:id="rId668" display="DH-SMINC-23-2019" xr:uid="{0A40DF1D-5B3F-4E9A-8021-86D95971E8DF}"/>
    <hyperlink ref="J832" r:id="rId669" xr:uid="{7215E57E-4CD4-4D20-97AD-75AA5A3F9BB4}"/>
    <hyperlink ref="J833" r:id="rId670" xr:uid="{76A17F2B-4D1B-42C2-96EC-B965A6C1A320}"/>
    <hyperlink ref="J834" r:id="rId671" xr:uid="{60130E1D-0AD5-48EA-8A12-F72EFD251022}"/>
    <hyperlink ref="J835" r:id="rId672" xr:uid="{C41C86B0-3B33-4260-A050-71446B96A66C}"/>
    <hyperlink ref="J836" r:id="rId673" xr:uid="{562F8065-AD44-4980-870A-92D87F4B2D2E}"/>
    <hyperlink ref="J837" r:id="rId674" xr:uid="{E2E2E5B8-6390-4D73-A1B4-7C1CEB939451}"/>
    <hyperlink ref="J564" r:id="rId675" xr:uid="{19D8AD72-BB81-4F49-8EAC-EEE02486EF88}"/>
    <hyperlink ref="J838" r:id="rId676" xr:uid="{52AE936F-C67D-4C0F-A929-DA44646BEE47}"/>
    <hyperlink ref="J839" r:id="rId677" xr:uid="{5F67E59F-3298-4B72-9324-D9144649886A}"/>
    <hyperlink ref="J840" r:id="rId678" xr:uid="{62AA9C73-BF4E-4DA7-B542-360B8F03804D}"/>
    <hyperlink ref="J841" r:id="rId679" xr:uid="{E0E81A61-0901-4883-AE12-B19F4F49865F}"/>
    <hyperlink ref="J842" r:id="rId680" xr:uid="{C1D1E868-B297-4A25-B56D-C57154B34E36}"/>
    <hyperlink ref="J843" r:id="rId681" xr:uid="{E55220EE-118F-4D63-9FC0-D03F76A89702}"/>
    <hyperlink ref="J844" r:id="rId682" xr:uid="{71BD7766-2BBD-40EC-A2AE-9C41F43DA346}"/>
    <hyperlink ref="J612" r:id="rId683" xr:uid="{A11F1CD1-30E4-49D1-AEEC-C3ECDB2335EA}"/>
    <hyperlink ref="J56" r:id="rId684" xr:uid="{AF0E51E0-B8FC-4158-93FA-807E5E4984C0}"/>
    <hyperlink ref="J226" r:id="rId685" xr:uid="{76849EE4-FC5D-40C7-97AB-37E92D994A42}"/>
    <hyperlink ref="J89" r:id="rId686" xr:uid="{E8661B24-8E55-40A4-B21E-654BD2D716AE}"/>
    <hyperlink ref="J214" r:id="rId687" xr:uid="{7AC62670-EC78-47F4-B66C-0081C4AD1CD3}"/>
    <hyperlink ref="J237" r:id="rId688" xr:uid="{9A18AB27-A8D2-4742-AA94-FB8B2AA1EF1A}"/>
    <hyperlink ref="J107" r:id="rId689" xr:uid="{20CB744C-8920-4E71-AB9D-465F3844917C}"/>
    <hyperlink ref="J262" r:id="rId690" xr:uid="{36B4B506-9A50-4B96-A064-E598D2D80781}"/>
    <hyperlink ref="J193" r:id="rId691" xr:uid="{328A04A1-6397-4952-AAAD-02E3C04E2DA7}"/>
    <hyperlink ref="J169" r:id="rId692" xr:uid="{1193C2F4-068C-46E7-981E-94C246166119}"/>
    <hyperlink ref="J17" r:id="rId693" xr:uid="{CD8DF31D-5576-4D72-A086-98821BA34B47}"/>
    <hyperlink ref="J39" r:id="rId694" xr:uid="{B1B8AD49-4BBF-4B96-B986-7F08DD3EFC89}"/>
    <hyperlink ref="J20" r:id="rId695" xr:uid="{6E5E28D5-34D6-4F0A-9B4F-AD7B2FEFB663}"/>
    <hyperlink ref="J114" r:id="rId696" xr:uid="{8894D2F8-3327-43BD-8816-2ADFA088708A}"/>
    <hyperlink ref="J102" r:id="rId697" xr:uid="{D8F4D73D-3D4F-42B6-90F9-AB984C810757}"/>
    <hyperlink ref="J209" r:id="rId698" xr:uid="{85AB682D-FEB3-4408-BC14-DD4FFC807183}"/>
    <hyperlink ref="J73" r:id="rId699" xr:uid="{9EFE7DE2-237B-42AC-8DCC-7C543DED7FCC}"/>
    <hyperlink ref="J179" r:id="rId700" xr:uid="{1B3930B1-8273-45E0-B449-E15F4628A3E3}"/>
    <hyperlink ref="J139" r:id="rId701" xr:uid="{14BC8CD6-EA28-4DA3-A010-D1EB9F3D4F04}"/>
    <hyperlink ref="J16" r:id="rId702" xr:uid="{FEACAD7D-E113-4AE3-8A6D-A9EFC62F878D}"/>
    <hyperlink ref="J256" r:id="rId703" xr:uid="{84A9A964-9EC8-4EAB-B6B3-AD6979C6A9F9}"/>
    <hyperlink ref="J211" r:id="rId704" xr:uid="{ADD71DC7-39C0-4F60-8594-E4E5184DFC6E}"/>
    <hyperlink ref="J243" r:id="rId705" xr:uid="{DA63CC1D-0527-491F-871E-9E0D03F43B6C}"/>
    <hyperlink ref="J120" r:id="rId706" xr:uid="{D33CBE1E-53A5-4A02-B379-FDC0BCA7F232}"/>
    <hyperlink ref="J181" r:id="rId707" xr:uid="{D3CA30FF-BB1C-48CB-A81B-9531ADFE30FB}"/>
    <hyperlink ref="J845" r:id="rId708" xr:uid="{AC55D18F-F62A-4FB9-BB45-89328CB21E16}"/>
    <hyperlink ref="J846" r:id="rId709" xr:uid="{9D9D7B8E-1A6F-44FB-B22C-5DF92F41CEDE}"/>
    <hyperlink ref="J847" r:id="rId710" xr:uid="{068125C2-A287-415E-9618-788DB664CA85}"/>
    <hyperlink ref="J848" r:id="rId711" xr:uid="{866AA075-7CF4-4B73-9020-2F07F5AF6B6E}"/>
    <hyperlink ref="J849" r:id="rId712" xr:uid="{F560C9D3-0715-476D-A133-191B617D29DE}"/>
    <hyperlink ref="J850" r:id="rId713" xr:uid="{F0E846EF-7AA3-49BF-BA9A-98B1EDC1F724}"/>
    <hyperlink ref="J851" r:id="rId714" xr:uid="{A17F5C14-8EE7-4AAA-8EA9-C673ED341BF0}"/>
    <hyperlink ref="J852" r:id="rId715" xr:uid="{C6D4E834-FD0A-4ED6-9A1D-5E5AC2BC0000}"/>
    <hyperlink ref="J853" r:id="rId716" xr:uid="{95F940F3-A4CC-4AB7-A375-84B18C0A69AC}"/>
    <hyperlink ref="J854" r:id="rId717" xr:uid="{0FEDCD64-4452-474B-9BDA-0AC89A1F6B7A}"/>
    <hyperlink ref="J855" r:id="rId718" display="SDH-SAMC-09-2019" xr:uid="{D5ABA341-2DEB-4B40-AD07-E05410FA547C}"/>
    <hyperlink ref="J856" r:id="rId719" xr:uid="{EE2A6E52-A1C3-45BD-9EDF-60D27A06186D}"/>
    <hyperlink ref="J857" r:id="rId720" xr:uid="{60030A78-3D37-4CB1-9730-A7DF6F0AFDCC}"/>
    <hyperlink ref="J858" r:id="rId721" xr:uid="{B4A9222D-39B6-4C98-AB0E-C66888579F9A}"/>
    <hyperlink ref="J859" r:id="rId722" xr:uid="{CF987C05-942D-41C0-A4D6-603A5F270D94}"/>
    <hyperlink ref="J860" r:id="rId723" xr:uid="{F16F8CAC-92B1-4AA4-83FF-962C5DA83953}"/>
    <hyperlink ref="J861" r:id="rId724" xr:uid="{8B1F0AB2-6C56-4669-B0FA-192172DE9D7F}"/>
    <hyperlink ref="E234" r:id="rId725" xr:uid="{00000000-0004-0000-0400-000000000000}"/>
    <hyperlink ref="E235" r:id="rId726" xr:uid="{00000000-0004-0000-0400-000001000000}"/>
    <hyperlink ref="E236" r:id="rId727" xr:uid="{00000000-0004-0000-0400-000002000000}"/>
    <hyperlink ref="E237" r:id="rId728" xr:uid="{00000000-0004-0000-0400-000003000000}"/>
    <hyperlink ref="E238" r:id="rId729" xr:uid="{00000000-0004-0000-0400-000004000000}"/>
    <hyperlink ref="E239" r:id="rId730" xr:uid="{00000000-0004-0000-0400-000005000000}"/>
    <hyperlink ref="E240" r:id="rId731" xr:uid="{00000000-0004-0000-0400-000006000000}"/>
    <hyperlink ref="E241" r:id="rId732" xr:uid="{00000000-0004-0000-0400-000007000000}"/>
    <hyperlink ref="E242" r:id="rId733" xr:uid="{00000000-0004-0000-0400-000008000000}"/>
    <hyperlink ref="E243" r:id="rId734" xr:uid="{00000000-0004-0000-0400-000009000000}"/>
    <hyperlink ref="E244" r:id="rId735" xr:uid="{00000000-0004-0000-0400-00000A000000}"/>
    <hyperlink ref="E245" r:id="rId736" xr:uid="{00000000-0004-0000-0400-00000B000000}"/>
    <hyperlink ref="E246" r:id="rId737" xr:uid="{00000000-0004-0000-0400-00000C000000}"/>
    <hyperlink ref="E247" r:id="rId738" xr:uid="{00000000-0004-0000-0400-00000D000000}"/>
    <hyperlink ref="E248" r:id="rId739" xr:uid="{00000000-0004-0000-0400-00000E000000}"/>
    <hyperlink ref="E249" r:id="rId740" xr:uid="{00000000-0004-0000-0400-00000F000000}"/>
    <hyperlink ref="E250" r:id="rId741" xr:uid="{00000000-0004-0000-0400-000010000000}"/>
    <hyperlink ref="E251" r:id="rId742" xr:uid="{00000000-0004-0000-0400-000011000000}"/>
    <hyperlink ref="E252" r:id="rId743" xr:uid="{00000000-0004-0000-0400-000012000000}"/>
    <hyperlink ref="E253" r:id="rId744" xr:uid="{00000000-0004-0000-0400-000013000000}"/>
    <hyperlink ref="E254" r:id="rId745" xr:uid="{00000000-0004-0000-0400-000014000000}"/>
    <hyperlink ref="E256" r:id="rId746" xr:uid="{00000000-0004-0000-0400-000015000000}"/>
    <hyperlink ref="E257" r:id="rId747" xr:uid="{00000000-0004-0000-0400-000016000000}"/>
    <hyperlink ref="E258" r:id="rId748" xr:uid="{00000000-0004-0000-0400-000017000000}"/>
    <hyperlink ref="E259" r:id="rId749" xr:uid="{00000000-0004-0000-0400-000018000000}"/>
    <hyperlink ref="E261" r:id="rId750" xr:uid="{00000000-0004-0000-0400-000019000000}"/>
    <hyperlink ref="E262" r:id="rId751" xr:uid="{00000000-0004-0000-0400-00001A000000}"/>
    <hyperlink ref="E263" r:id="rId752" xr:uid="{00000000-0004-0000-0400-00001B000000}"/>
    <hyperlink ref="E267" r:id="rId753" xr:uid="{00000000-0004-0000-0400-00001C000000}"/>
    <hyperlink ref="E269" r:id="rId754" xr:uid="{00000000-0004-0000-0400-00001D000000}"/>
    <hyperlink ref="E270" r:id="rId755" xr:uid="{00000000-0004-0000-0400-00001E000000}"/>
    <hyperlink ref="E233" r:id="rId756" xr:uid="{00000000-0004-0000-0400-00001F000000}"/>
    <hyperlink ref="E232" r:id="rId757" xr:uid="{00000000-0004-0000-0400-000020000000}"/>
    <hyperlink ref="E231" r:id="rId758" xr:uid="{00000000-0004-0000-0400-000021000000}"/>
    <hyperlink ref="E230" r:id="rId759" xr:uid="{00000000-0004-0000-0400-000022000000}"/>
    <hyperlink ref="E229" r:id="rId760" xr:uid="{00000000-0004-0000-0400-000023000000}"/>
    <hyperlink ref="E228" r:id="rId761" xr:uid="{00000000-0004-0000-0400-000024000000}"/>
    <hyperlink ref="E227" r:id="rId762" xr:uid="{00000000-0004-0000-0400-000025000000}"/>
    <hyperlink ref="E226" r:id="rId763" xr:uid="{00000000-0004-0000-0400-000026000000}"/>
    <hyperlink ref="E225" r:id="rId764" xr:uid="{00000000-0004-0000-0400-000027000000}"/>
    <hyperlink ref="E224" r:id="rId765" xr:uid="{00000000-0004-0000-0400-000028000000}"/>
    <hyperlink ref="E223" r:id="rId766" xr:uid="{00000000-0004-0000-0400-000029000000}"/>
    <hyperlink ref="E219" r:id="rId767" xr:uid="{00000000-0004-0000-0400-00002A000000}"/>
    <hyperlink ref="E218" r:id="rId768" xr:uid="{00000000-0004-0000-0400-00002B000000}"/>
    <hyperlink ref="E217" r:id="rId769" xr:uid="{00000000-0004-0000-0400-00002C000000}"/>
    <hyperlink ref="E214" r:id="rId770" xr:uid="{00000000-0004-0000-0400-00002D000000}"/>
    <hyperlink ref="E213" r:id="rId771" xr:uid="{00000000-0004-0000-0400-00002E000000}"/>
    <hyperlink ref="E212" r:id="rId772" xr:uid="{00000000-0004-0000-0400-00002F000000}"/>
    <hyperlink ref="E202" r:id="rId773" xr:uid="{00000000-0004-0000-0400-000030000000}"/>
    <hyperlink ref="E287" r:id="rId774" xr:uid="{00000000-0004-0000-0400-000031000000}"/>
    <hyperlink ref="E292" r:id="rId775" xr:uid="{00000000-0004-0000-0400-000032000000}"/>
    <hyperlink ref="E288" r:id="rId776" xr:uid="{00000000-0004-0000-0400-000033000000}"/>
    <hyperlink ref="E291" r:id="rId777" xr:uid="{00000000-0004-0000-0400-000034000000}"/>
    <hyperlink ref="E286" r:id="rId778" xr:uid="{00000000-0004-0000-0400-000035000000}"/>
    <hyperlink ref="E285" r:id="rId779" xr:uid="{00000000-0004-0000-0400-000036000000}"/>
    <hyperlink ref="E283" r:id="rId780" xr:uid="{00000000-0004-0000-0400-000037000000}"/>
    <hyperlink ref="E282" r:id="rId781" xr:uid="{00000000-0004-0000-0400-000038000000}"/>
    <hyperlink ref="E281" r:id="rId782" xr:uid="{00000000-0004-0000-0400-000039000000}"/>
    <hyperlink ref="E280" r:id="rId783" xr:uid="{00000000-0004-0000-0400-00003A000000}"/>
    <hyperlink ref="E279" r:id="rId784" xr:uid="{00000000-0004-0000-0400-00003B000000}"/>
    <hyperlink ref="E278" r:id="rId785" xr:uid="{00000000-0004-0000-0400-00003C000000}"/>
    <hyperlink ref="E277" r:id="rId786" xr:uid="{00000000-0004-0000-0400-00003D000000}"/>
    <hyperlink ref="E276" r:id="rId787" xr:uid="{00000000-0004-0000-0400-00003E000000}"/>
    <hyperlink ref="E273" r:id="rId788" display="140390-02014" xr:uid="{00000000-0004-0000-0400-00003F000000}"/>
    <hyperlink ref="E272" r:id="rId789" xr:uid="{00000000-0004-0000-0400-000040000000}"/>
    <hyperlink ref="E271" r:id="rId790" xr:uid="{00000000-0004-0000-0400-000041000000}"/>
    <hyperlink ref="E295" r:id="rId791" xr:uid="{00000000-0004-0000-0400-000042000000}"/>
    <hyperlink ref="E296" r:id="rId792" xr:uid="{00000000-0004-0000-0400-000043000000}"/>
    <hyperlink ref="E201" r:id="rId793" xr:uid="{00000000-0004-0000-0400-000044000000}"/>
    <hyperlink ref="E294" r:id="rId794" xr:uid="{00000000-0004-0000-0400-000045000000}"/>
    <hyperlink ref="E298" r:id="rId795" xr:uid="{00000000-0004-0000-0400-000046000000}"/>
    <hyperlink ref="E139" r:id="rId796" xr:uid="{00000000-0004-0000-0400-000047000000}"/>
    <hyperlink ref="E305" r:id="rId797" xr:uid="{00000000-0004-0000-0400-000048000000}"/>
    <hyperlink ref="E307" r:id="rId798" xr:uid="{00000000-0004-0000-0400-000049000000}"/>
    <hyperlink ref="E302" r:id="rId799" xr:uid="{00000000-0004-0000-0400-00004A000000}"/>
    <hyperlink ref="E301" r:id="rId800" xr:uid="{00000000-0004-0000-0400-00004B000000}"/>
    <hyperlink ref="E308" r:id="rId801" xr:uid="{00000000-0004-0000-0400-00004C000000}"/>
    <hyperlink ref="E157" r:id="rId802" xr:uid="{00000000-0004-0000-0400-00004D000000}"/>
    <hyperlink ref="E313" r:id="rId803" xr:uid="{00000000-0004-0000-0400-00004E000000}"/>
    <hyperlink ref="E293" r:id="rId804" xr:uid="{00000000-0004-0000-0400-00005D000000}"/>
    <hyperlink ref="E297" r:id="rId805" xr:uid="{00000000-0004-0000-0400-000062000000}"/>
    <hyperlink ref="E309" r:id="rId806" xr:uid="{00000000-0004-0000-0400-00006A000000}"/>
    <hyperlink ref="J862" r:id="rId807" xr:uid="{9E1C5163-985E-43D5-B745-7FCC2FBBD526}"/>
    <hyperlink ref="J863" r:id="rId808" xr:uid="{F625607D-C05C-437E-861D-4CEB39FB7BEB}"/>
    <hyperlink ref="J864" r:id="rId809" xr:uid="{EACC7565-1F0D-48F4-8501-EF4AF524BE48}"/>
    <hyperlink ref="J865" r:id="rId810" xr:uid="{5CEB2626-1AB7-4512-98DB-ADF80C18F715}"/>
    <hyperlink ref="J867" r:id="rId811" xr:uid="{B33A92C4-C6D2-4BE6-B885-D544F5923366}"/>
    <hyperlink ref="J866" r:id="rId812" xr:uid="{FE3914F1-E143-483C-A5B6-AE9A14188B9F}"/>
    <hyperlink ref="J868" r:id="rId813" xr:uid="{8A69B77A-AC4C-49C5-9627-2773590D7A1E}"/>
    <hyperlink ref="J869" r:id="rId814" xr:uid="{10B182A4-51F7-4081-9689-BF03FFEAFA66}"/>
    <hyperlink ref="J870" r:id="rId815" xr:uid="{F857019B-5546-491E-AAE1-2D4EFAB8A55E}"/>
    <hyperlink ref="J871" r:id="rId816" xr:uid="{9AC5A32D-4428-4946-84A5-71199B031805}"/>
    <hyperlink ref="J872" r:id="rId817" xr:uid="{D5EAE280-4111-4EFB-BAB6-99A55F18DD99}"/>
    <hyperlink ref="J873" r:id="rId818" xr:uid="{65EDC0D8-4718-406B-A69F-5B3B3D44A459}"/>
    <hyperlink ref="J874" r:id="rId819" display="SDH-SMINC--67-2019" xr:uid="{AAE81E48-66DA-4042-83CF-659765640F5D}"/>
    <hyperlink ref="J875" r:id="rId820" xr:uid="{B936E139-4EC7-4EC9-9F64-B6F981A678E5}"/>
    <hyperlink ref="J108" r:id="rId821" xr:uid="{C08A999B-68A2-415D-8E9A-6A7BBC16BEAD}"/>
    <hyperlink ref="J248" r:id="rId822" xr:uid="{74D3EA72-B2C9-4313-AEE6-08E8AF65756A}"/>
    <hyperlink ref="J244" r:id="rId823" xr:uid="{44CC1351-FA0C-45E3-AEAB-620766DB22F3}"/>
    <hyperlink ref="J38" r:id="rId824" xr:uid="{B56537C8-A73C-451B-B697-292A3054FF3E}"/>
    <hyperlink ref="J37" r:id="rId825" xr:uid="{02BEAAB7-CE68-40B8-885A-946792F75942}"/>
    <hyperlink ref="J40" r:id="rId826" xr:uid="{4303972C-5FD9-4D0A-B30E-8413EF0C39AA}"/>
    <hyperlink ref="J35" r:id="rId827" xr:uid="{3EC43124-B6FD-4D1B-BBA2-ADC5A3B82851}"/>
    <hyperlink ref="J34" r:id="rId828" xr:uid="{9C226B05-4ECB-49CD-8413-40A0709E2677}"/>
    <hyperlink ref="J55" r:id="rId829" xr:uid="{7A96CE3E-87A3-47A9-BF4F-0C4B7836BFC1}"/>
    <hyperlink ref="J31" r:id="rId830" xr:uid="{CD7E044C-753A-45F9-8453-0915D7FB2C04}"/>
    <hyperlink ref="J30" r:id="rId831" xr:uid="{4A115AF5-CF13-43EB-AAA1-687A006D79E1}"/>
    <hyperlink ref="J28" r:id="rId832" xr:uid="{63729B22-8C89-4FC1-B5A6-9CFFEE7EFBA5}"/>
    <hyperlink ref="J26" r:id="rId833" xr:uid="{0F4E7987-B975-4B88-9467-A8C75A064770}"/>
    <hyperlink ref="J25" r:id="rId834" xr:uid="{01D9185C-56E5-4D23-88AC-3D5F835A6313}"/>
    <hyperlink ref="J19" r:id="rId835" xr:uid="{2D078FD9-D826-47CE-900C-D82B4C7785D7}"/>
    <hyperlink ref="J105" r:id="rId836" xr:uid="{DD253C5C-1BC9-4E18-AA5B-ACDAC592697C}"/>
    <hyperlink ref="J92" r:id="rId837" xr:uid="{7E3F6F7F-8802-43EC-A94A-A7CBF77387D2}"/>
    <hyperlink ref="J166" r:id="rId838" xr:uid="{F24962FE-B479-4701-BBC8-D0DA844EC9FF}"/>
    <hyperlink ref="J117" r:id="rId839" xr:uid="{523A5935-4FB4-4C64-BB6C-5A34F33E39B3}"/>
    <hyperlink ref="J156" r:id="rId840" xr:uid="{C3A75566-2A55-417B-B1BA-46933A82A96B}"/>
    <hyperlink ref="J134" r:id="rId841" xr:uid="{C02844A3-2C77-493A-AECD-A8CE6E52CF01}"/>
    <hyperlink ref="J125" r:id="rId842" xr:uid="{C86D6D74-7B10-40C7-A900-89DE4D277A5E}"/>
    <hyperlink ref="J136" r:id="rId843" xr:uid="{64C5C37E-881B-4BD3-8D41-922B511F1A36}"/>
    <hyperlink ref="J195" r:id="rId844" xr:uid="{2EA2D0A5-503C-45C4-8CE9-5EB91F95EC83}"/>
    <hyperlink ref="J212" r:id="rId845" xr:uid="{E0E75744-5DF3-4F2C-92AB-324E8376C7D7}"/>
    <hyperlink ref="J116" r:id="rId846" xr:uid="{62D833F0-8B79-4BA4-8A34-F3A787C3A40F}"/>
    <hyperlink ref="J118" r:id="rId847" xr:uid="{22A5B80B-B877-4784-AEAC-31481DEDD9D5}"/>
    <hyperlink ref="J215" r:id="rId848" xr:uid="{0DE17072-7893-4D33-AAD4-526A3F86254C}"/>
    <hyperlink ref="J135" r:id="rId849" xr:uid="{D53FC33D-0B72-4E4A-A6C0-97A263CDF7CE}"/>
    <hyperlink ref="J100" r:id="rId850" xr:uid="{60B06C64-43A0-4A97-B193-668589893959}"/>
    <hyperlink ref="J97" r:id="rId851" xr:uid="{970706EA-EC14-4F0B-AC08-356D7687786F}"/>
    <hyperlink ref="J253" r:id="rId852" xr:uid="{B532FDEE-DBC1-4B5E-A8C7-32E66EFD6D8C}"/>
    <hyperlink ref="J263" r:id="rId853" xr:uid="{D1642E10-3F98-4AD7-96E3-076593798FA6}"/>
    <hyperlink ref="J259" r:id="rId854" xr:uid="{DD834B77-0D5E-48D3-88B5-2080DF277B8E}"/>
    <hyperlink ref="J264" r:id="rId855" xr:uid="{94D33452-5EBF-4D96-B4F6-AF1FE229A466}"/>
    <hyperlink ref="J239" r:id="rId856" xr:uid="{4D065655-388D-4A1F-A506-915A7095E834}"/>
    <hyperlink ref="J238" r:id="rId857" xr:uid="{9B917CA6-603C-485A-9248-1F659BECE668}"/>
    <hyperlink ref="J220" r:id="rId858" xr:uid="{B35EF3D2-DD8B-461E-85DE-5890FDD6816C}"/>
    <hyperlink ref="J876" r:id="rId859" xr:uid="{961902D1-F2BA-4CAF-94FD-AF7E31272A36}"/>
    <hyperlink ref="J877" r:id="rId860" xr:uid="{5604178D-5264-4949-A48A-29468D460D81}"/>
    <hyperlink ref="J878" r:id="rId861" xr:uid="{F76A444C-50E3-4C08-8D81-2BDCE92FCD61}"/>
    <hyperlink ref="J187" r:id="rId862" xr:uid="{84371B8E-66E2-415F-8ED9-D03AF22B9060}"/>
    <hyperlink ref="J188" r:id="rId863" xr:uid="{FE09D823-E4A0-4ED3-B61E-12AE169E5563}"/>
    <hyperlink ref="J182" r:id="rId864" xr:uid="{3CC5BF9A-C880-4C54-A6F6-D199E881A5DD}"/>
    <hyperlink ref="J184" r:id="rId865" xr:uid="{68721290-6887-4F11-BE40-F06547F85CCD}"/>
    <hyperlink ref="J180" r:id="rId866" xr:uid="{CBBF916D-710E-4F61-BEE0-D845769A51EF}"/>
    <hyperlink ref="J255" r:id="rId867" xr:uid="{2B5E5AE4-61B0-4FC4-A450-23DB56114EE7}"/>
    <hyperlink ref="J241" r:id="rId868" xr:uid="{202DAE6C-0497-44C3-B80B-69F12AA6CF7F}"/>
    <hyperlink ref="J207" r:id="rId869" xr:uid="{C69D739D-8800-41DD-9215-290F056DB59D}"/>
    <hyperlink ref="J112" r:id="rId870" xr:uid="{D139325E-7E8D-4335-B850-2C8B8B979B2B}"/>
    <hyperlink ref="J71" r:id="rId871" xr:uid="{F8E20E4A-1BFE-40BF-BADB-8E7498AB4694}"/>
    <hyperlink ref="J191" r:id="rId872" xr:uid="{781D93D0-4A62-4263-B8DB-C4DB6CFA503C}"/>
    <hyperlink ref="J190" r:id="rId873" xr:uid="{B71936C0-8CA2-4694-8329-3258D552ACA7}"/>
    <hyperlink ref="J161" r:id="rId874" xr:uid="{2FB3C9BE-746D-4611-BD39-FA07F1E10157}"/>
    <hyperlink ref="J879" r:id="rId875" xr:uid="{FFFFAAD9-99D6-4D8F-8D50-A9A07806949D}"/>
    <hyperlink ref="J880" r:id="rId876" xr:uid="{F538BA7C-3D85-438D-837F-276FD5C9D0AB}"/>
    <hyperlink ref="J881" r:id="rId877" xr:uid="{CAB83102-10D8-4822-8950-2CB613D301A1}"/>
    <hyperlink ref="J882" r:id="rId878" display="SDH-CD-69-2020." xr:uid="{9FE8D1EB-3BFF-4D60-925E-6974BB0C1CE1}"/>
    <hyperlink ref="J883" r:id="rId879" xr:uid="{287E207D-D436-4A26-AD82-DDCB0B41BE97}"/>
    <hyperlink ref="J884" r:id="rId880" xr:uid="{FCD7790A-5461-4695-84FA-1EA3ED359F71}"/>
    <hyperlink ref="J885" r:id="rId881" xr:uid="{8144CD4A-39F0-4F74-BA3C-A1BEB4E5F0AD}"/>
    <hyperlink ref="J886" r:id="rId882" xr:uid="{ED8450A7-3E62-4A94-BB06-C3C4FF847BF3}"/>
    <hyperlink ref="J887" r:id="rId883" xr:uid="{07AD1D69-88F9-42DC-A586-E928929E7B1A}"/>
    <hyperlink ref="J888" r:id="rId884" xr:uid="{E3E9CF6B-DB20-43AB-BCAA-21E398589424}"/>
    <hyperlink ref="J889" r:id="rId885" xr:uid="{1832D147-8CB2-448C-9239-D6C9FA4B1430}"/>
    <hyperlink ref="J890" r:id="rId886" xr:uid="{0F5B3F5B-4211-40D5-9E89-2DF74A6AAD62}"/>
    <hyperlink ref="J891" r:id="rId887" xr:uid="{FB9A011E-F09A-41DA-88D5-BCA0ED5C6B30}"/>
    <hyperlink ref="J892" r:id="rId888" xr:uid="{E7C91136-4EC6-4F1F-B109-ACC3180F7999}"/>
    <hyperlink ref="J893" r:id="rId889" xr:uid="{2024A9A9-F57D-477B-AC32-801208D305F8}"/>
    <hyperlink ref="J894" r:id="rId890" xr:uid="{87535688-B023-4EB4-A8C7-FA80A753271D}"/>
    <hyperlink ref="J895" r:id="rId891" xr:uid="{561865FB-AC4E-4C6C-BD66-E06E49545A5F}"/>
    <hyperlink ref="J896" r:id="rId892" xr:uid="{933F9D9E-3ECD-4467-8B04-C3966CBEAB59}"/>
    <hyperlink ref="J897" r:id="rId893" xr:uid="{BA8E25A5-BA31-4038-A349-8351A96229A8}"/>
    <hyperlink ref="J898" r:id="rId894" xr:uid="{23B15CB3-7B70-472E-B8C0-AEE672F242F1}"/>
    <hyperlink ref="J899" r:id="rId895" xr:uid="{44F85B3B-A3E7-4794-AD96-BCE89376A544}"/>
    <hyperlink ref="J900" r:id="rId896" xr:uid="{B8CC9153-487C-49A1-807D-6645589A9F06}"/>
    <hyperlink ref="J901" r:id="rId897" xr:uid="{C46E68EE-4D51-4676-BE70-12F593BF69F4}"/>
    <hyperlink ref="J902" r:id="rId898" xr:uid="{C1AD4AF4-36FF-4297-8B6E-B12A3737E6A1}"/>
    <hyperlink ref="J903" r:id="rId899" xr:uid="{2D96461A-381B-4A4F-B8D1-1014D095497C}"/>
    <hyperlink ref="J904" r:id="rId900" xr:uid="{C4308DFB-285F-4556-8DE0-DE84542E230C}"/>
    <hyperlink ref="J905" r:id="rId901" xr:uid="{FB1AB9E5-1AF6-45A9-96F9-E99829110611}"/>
    <hyperlink ref="J906" r:id="rId902" xr:uid="{18B32410-8F55-4741-8A82-65B1A0D29445}"/>
    <hyperlink ref="J907" r:id="rId903" xr:uid="{DC750D2C-F7E5-41ED-9BE3-46396A842290}"/>
    <hyperlink ref="J908" r:id="rId904" xr:uid="{177D2025-E72A-4FA8-9D1B-CAE41704D67C}"/>
    <hyperlink ref="J909" r:id="rId905" xr:uid="{B330AF83-305A-40A4-A262-1CD18B5739D3}"/>
    <hyperlink ref="J910" r:id="rId906" xr:uid="{4FF9C4D6-42D3-40A6-A846-9EDDF57728A8}"/>
    <hyperlink ref="J911" r:id="rId907" xr:uid="{E9FC94B5-3D70-4F24-86C5-5920F225AB0A}"/>
    <hyperlink ref="J912" r:id="rId908" xr:uid="{8DCA9DC7-AD4B-47D0-BFD0-F1004C133EEB}"/>
    <hyperlink ref="J913" r:id="rId909" xr:uid="{D43A5771-A4C0-4C61-9A54-35D426825AA9}"/>
    <hyperlink ref="J921" r:id="rId910" xr:uid="{1BAC3329-0C93-4CDA-A566-D6C5C7D4C86A}"/>
    <hyperlink ref="J922" r:id="rId911" xr:uid="{5359E56E-EA93-412B-A1BD-422FE683A823}"/>
    <hyperlink ref="J923" r:id="rId912" xr:uid="{FDE87101-5D83-49B4-8A62-495F21310096}"/>
    <hyperlink ref="J926" r:id="rId913" xr:uid="{C7BD8E52-113C-4CF0-B074-1B7A8BA4E542}"/>
    <hyperlink ref="J927" r:id="rId914" xr:uid="{2E18D611-9E1A-49A8-92C6-B13532B8EED6}"/>
    <hyperlink ref="J928" r:id="rId915" xr:uid="{90A9B5ED-7935-4B66-A57B-E0D62B10B16E}"/>
    <hyperlink ref="J925" r:id="rId916" xr:uid="{8A0D39BE-C36D-4664-877B-714F1BE88233}"/>
    <hyperlink ref="J929" r:id="rId917" xr:uid="{EB9C1F20-8060-4831-8949-96EB76B880BA}"/>
    <hyperlink ref="J930" r:id="rId918" xr:uid="{EB5CE98E-364C-40D5-B24E-EC975C1BDC9C}"/>
    <hyperlink ref="J931" r:id="rId919" xr:uid="{FDE9E05D-787F-4032-819D-1DF4D339E372}"/>
    <hyperlink ref="J932" r:id="rId920" xr:uid="{C9A2AA08-B848-424C-BC54-053D5F7C292E}"/>
    <hyperlink ref="J933" r:id="rId921" xr:uid="{ACDDB7C8-6EBB-4ECD-A19E-C6014D9C5925}"/>
    <hyperlink ref="J934" r:id="rId922" xr:uid="{C826AF89-21AF-4515-9D57-D06CC20362E8}"/>
    <hyperlink ref="J935" r:id="rId923" xr:uid="{F9D37A57-D780-4CC7-AFB3-A6EFED8965A4}"/>
    <hyperlink ref="J936" r:id="rId924" display="SDP-CD-125-2020" xr:uid="{09B2B76D-BB8F-415A-89A5-7147150A1956}"/>
    <hyperlink ref="J937" r:id="rId925" xr:uid="{1DD0701B-4749-4F26-B40F-130A20A20851}"/>
    <hyperlink ref="J939" r:id="rId926" xr:uid="{DC89A46F-CC1B-4803-A167-85C207156547}"/>
    <hyperlink ref="J940" r:id="rId927" xr:uid="{C7FD7371-51A6-4C9C-809D-0CFCEE472C99}"/>
    <hyperlink ref="J941" r:id="rId928" xr:uid="{28E564A2-C4AA-45E6-BCE5-4EEDFC527715}"/>
    <hyperlink ref="J942" r:id="rId929" xr:uid="{0D958DAC-9F55-4B68-965D-FDDA6E845B6F}"/>
    <hyperlink ref="J943" r:id="rId930" xr:uid="{4DE24C4D-FBBC-4752-8A0A-3AEABF935920}"/>
    <hyperlink ref="J944" r:id="rId931" xr:uid="{D28DEC7D-A30B-4B1B-9D84-BE21ECF88B15}"/>
    <hyperlink ref="J945" r:id="rId932" xr:uid="{5A733247-D69B-4441-945C-1A755C93DCCE}"/>
    <hyperlink ref="J946" r:id="rId933" xr:uid="{B4E9A1C3-688C-4AAA-A097-2DCC55F4A17D}"/>
    <hyperlink ref="J947" r:id="rId934" xr:uid="{D45B1DEC-7424-4863-AE07-4D2E909FD792}"/>
    <hyperlink ref="J948" r:id="rId935" xr:uid="{4CFFB3D4-EAA6-42E5-90A0-B53A51765420}"/>
    <hyperlink ref="J949" r:id="rId936" xr:uid="{3DEAD170-10C9-43B4-87CF-450ABFA0788B}"/>
    <hyperlink ref="J950" r:id="rId937" xr:uid="{81C77DF5-7536-40B4-9CC7-F1E121B241E6}"/>
    <hyperlink ref="J951" r:id="rId938" xr:uid="{E1C57B90-B7F8-4170-B991-F447F01FA349}"/>
    <hyperlink ref="J952" r:id="rId939" xr:uid="{C2AB78F6-50C1-4772-8AF7-9F99AE65CB10}"/>
    <hyperlink ref="J953" r:id="rId940" xr:uid="{DD80684B-DB03-40C3-BA04-54E5113B0C47}"/>
    <hyperlink ref="J954" r:id="rId941" xr:uid="{36454B6A-32C3-4CB5-80EC-CED63BA2F670}"/>
    <hyperlink ref="J955" r:id="rId942" xr:uid="{8D7127A6-C020-4EEE-B4BE-238FCCBDB07F}"/>
    <hyperlink ref="J956" r:id="rId943" xr:uid="{9774E53D-B0A3-4BBC-A3CE-3A229028A244}"/>
    <hyperlink ref="J957" r:id="rId944" xr:uid="{7DDEAE00-3F14-42CC-9942-8FE6D0315CB8}"/>
    <hyperlink ref="J958" r:id="rId945" xr:uid="{0C9991FD-A76B-467A-9D6C-DEC5B0C0ED34}"/>
    <hyperlink ref="J959" r:id="rId946" xr:uid="{2ECCB5F6-BBC1-4C99-BF48-1A385A069069}"/>
    <hyperlink ref="J960" r:id="rId947" xr:uid="{C88AC752-B443-423C-805E-BC6FACFB59EC}"/>
    <hyperlink ref="J961" r:id="rId948" xr:uid="{C8169006-BAE4-4E98-A119-B4D532ACEE69}"/>
    <hyperlink ref="J962" r:id="rId949" xr:uid="{F27C56C1-C9D5-4930-AF76-EF29C1531180}"/>
    <hyperlink ref="J963" r:id="rId950" xr:uid="{FA3F70DE-46C5-4E3F-B31B-EB6219A6B605}"/>
    <hyperlink ref="J964" r:id="rId951" xr:uid="{7FD509EC-003F-4F49-B42E-95777D1AD9F2}"/>
    <hyperlink ref="J965" r:id="rId952" xr:uid="{5CA369C2-1AE4-408B-8C42-EA5B1A439C1C}"/>
    <hyperlink ref="J966" r:id="rId953" xr:uid="{0E2F50FB-5D4A-4796-A7EA-EB18B187BD96}"/>
    <hyperlink ref="J967" r:id="rId954" xr:uid="{4C59F26C-FABD-46E3-9BC8-370AB80A3F61}"/>
    <hyperlink ref="J968" r:id="rId955" xr:uid="{1B4DB84B-33D4-4E78-8788-C982F45ACC01}"/>
    <hyperlink ref="J969" r:id="rId956" xr:uid="{55D008A9-312F-4588-B5D7-1BC80C3AFE92}"/>
    <hyperlink ref="J970" r:id="rId957" xr:uid="{1EB88C34-52F8-4A33-A568-F0C592711CC6}"/>
    <hyperlink ref="J971" r:id="rId958" xr:uid="{37E5134D-E6E8-48E2-84D4-648D6216946B}"/>
    <hyperlink ref="J972" r:id="rId959" xr:uid="{82A164D4-33E3-435E-970E-D2C2D1A77F7E}"/>
    <hyperlink ref="J973" r:id="rId960" xr:uid="{B08310B6-DA64-4245-BFCF-7B7DF59B7FA8}"/>
    <hyperlink ref="J974" r:id="rId961" xr:uid="{28B3E4D0-78EB-4879-A30C-897B60AD2E83}"/>
    <hyperlink ref="J975" r:id="rId962" xr:uid="{63770532-AD38-4124-81D8-F4B64B0FB260}"/>
    <hyperlink ref="J976" r:id="rId963" xr:uid="{BB9D9E9E-F4FA-4B65-8E98-270590547E71}"/>
    <hyperlink ref="J977" r:id="rId964" xr:uid="{D5C99500-9A85-4995-9E4B-339A29E2D1DF}"/>
    <hyperlink ref="J978" r:id="rId965" xr:uid="{B218BDB7-5BEB-4F77-9EA7-4E049654A270}"/>
    <hyperlink ref="J979" r:id="rId966" xr:uid="{62A8A837-CC67-442A-8E4F-79D8C3714430}"/>
    <hyperlink ref="J980" r:id="rId967" xr:uid="{7424343D-FAB2-427D-BB9F-7EA86957C0C7}"/>
    <hyperlink ref="J981" r:id="rId968" xr:uid="{8C02140F-6868-48F0-9756-81997C513631}"/>
    <hyperlink ref="J982" r:id="rId969" xr:uid="{C014030B-4F42-4116-8D60-5076093E9124}"/>
    <hyperlink ref="J983" r:id="rId970" xr:uid="{D02D31E2-9B77-41DD-A401-35FCDB66D662}"/>
    <hyperlink ref="J984" r:id="rId971" xr:uid="{696C935B-4439-49FA-82E1-5D7DA6CEA784}"/>
    <hyperlink ref="J985" r:id="rId972" xr:uid="{0B083AD5-A58D-4772-AB22-DBCCE143BD3E}"/>
    <hyperlink ref="J986" r:id="rId973" xr:uid="{D6A2641E-1060-498F-93DC-07CD8A30AE60}"/>
    <hyperlink ref="J987" r:id="rId974" xr:uid="{17312F5E-4D12-499A-B2DD-AF79B94AC3BF}"/>
    <hyperlink ref="J989" r:id="rId975" xr:uid="{3011084F-C258-4804-85AA-7C0BFFBE3A02}"/>
    <hyperlink ref="J990" r:id="rId976" xr:uid="{A7978581-84F2-4BB7-AA4A-94BBB83D5601}"/>
    <hyperlink ref="J991" r:id="rId977" xr:uid="{330DDE7F-3EBB-42E7-BD24-0B22052D1C25}"/>
    <hyperlink ref="J992" r:id="rId978" xr:uid="{3906FDC9-AD1B-4E3A-BCBB-B0562F1F79DA}"/>
    <hyperlink ref="J993" r:id="rId979" xr:uid="{D032F149-BB9C-423A-8CA7-D9B3EA114C2D}"/>
    <hyperlink ref="J995" r:id="rId980" xr:uid="{76BE0B77-676A-4134-BC8F-FD357523E09A}"/>
    <hyperlink ref="J996" r:id="rId981" xr:uid="{50790DC6-F853-45B2-BBD8-DE4903D7EDBA}"/>
    <hyperlink ref="J997" r:id="rId982" xr:uid="{2B0EFE65-F249-437A-9899-78A124C57891}"/>
    <hyperlink ref="J998" r:id="rId983" xr:uid="{74CF889C-E60D-4A42-A0FB-A68F79F42054}"/>
    <hyperlink ref="J999" r:id="rId984" xr:uid="{522FB94B-B110-4F83-B24D-CF1FD26DC86F}"/>
    <hyperlink ref="J1000" r:id="rId985" xr:uid="{3574CA52-B005-4CE7-9C16-669076795DCF}"/>
    <hyperlink ref="J988" r:id="rId986" xr:uid="{78BB58D0-1153-44E1-836E-09D14137239F}"/>
    <hyperlink ref="J1001" r:id="rId987" xr:uid="{E442F019-266C-4CF2-AEBB-A66B4FDAD96D}"/>
  </hyperlinks>
  <printOptions horizontalCentered="1" verticalCentered="1"/>
  <pageMargins left="0.25" right="0.25" top="0.75" bottom="0.75" header="0.3" footer="0.3"/>
  <pageSetup paperSize="132" scale="60" orientation="landscape" r:id="rId988"/>
  <rowBreaks count="1" manualBreakCount="1">
    <brk id="837" max="46" man="1"/>
  </rowBreaks>
  <colBreaks count="2" manualBreakCount="2">
    <brk id="33" max="1003" man="1"/>
    <brk id="50" max="1048575" man="1"/>
  </colBreaks>
  <ignoredErrors>
    <ignoredError sqref="Z377" formula="1"/>
  </ignoredErrors>
  <drawing r:id="rId989"/>
  <legacyDrawing r:id="rId990"/>
  <extLst>
    <ext xmlns:x14="http://schemas.microsoft.com/office/spreadsheetml/2009/9/main" uri="{78C0D931-6437-407d-A8EE-F0AAD7539E65}">
      <x14:conditionalFormattings>
        <x14:conditionalFormatting xmlns:xm="http://schemas.microsoft.com/office/excel/2006/main">
          <x14:cfRule type="containsText" priority="922" operator="containsText" id="{8A483957-BC96-43A3-8B20-2BAB30483389}">
            <xm:f>NOT(ISERROR(SEARCH($BB$8,AF7)))</xm:f>
            <xm:f>$BB$8</xm:f>
            <x14:dxf>
              <font>
                <b/>
                <i val="0"/>
                <color rgb="FFFF0000"/>
              </font>
            </x14:dxf>
          </x14:cfRule>
          <xm:sqref>AF7:AG267 AF271:AF410 AF421:AF422 AF455:AF456 AF460:AF600 AF757:AF794 AF269:AG270 AF268</xm:sqref>
        </x14:conditionalFormatting>
        <x14:conditionalFormatting xmlns:xm="http://schemas.microsoft.com/office/excel/2006/main">
          <x14:cfRule type="containsText" priority="921" operator="containsText" id="{003E9E27-F950-433F-8EDF-7F6B768A3E65}">
            <xm:f>NOT(ISERROR(SEARCH($BC$7,AF7)))</xm:f>
            <xm:f>$BC$7</xm:f>
            <x14:dxf>
              <font>
                <b/>
                <i val="0"/>
                <color rgb="FF00B050"/>
              </font>
            </x14:dxf>
          </x14:cfRule>
          <xm:sqref>AF7:AG267 AF271:AF410 AF421:AF422 AF455:AF456 AF460:AF600 AF757:AF794 AF269:AG270 AF268</xm:sqref>
        </x14:conditionalFormatting>
        <x14:conditionalFormatting xmlns:xm="http://schemas.microsoft.com/office/excel/2006/main">
          <x14:cfRule type="containsText" priority="919" operator="containsText" id="{8F57F5D0-8850-4230-949E-FFCAA930A9C1}">
            <xm:f>NOT(ISERROR(SEARCH($BC$8,AT7)))</xm:f>
            <xm:f>$BC$8</xm:f>
            <x14:dxf>
              <font>
                <b/>
                <i val="0"/>
                <color rgb="FFFF0000"/>
              </font>
            </x14:dxf>
          </x14:cfRule>
          <x14:cfRule type="containsText" priority="920" operator="containsText" id="{F4914B39-D355-46A3-87E4-75B6BC2023A9}">
            <xm:f>NOT(ISERROR(SEARCH($BC$7,AT7)))</xm:f>
            <xm:f>$BC$7</xm:f>
            <x14:dxf>
              <font>
                <b/>
                <i val="0"/>
                <color rgb="FF00B050"/>
              </font>
            </x14:dxf>
          </x14:cfRule>
          <xm:sqref>AT7:AT1178</xm:sqref>
        </x14:conditionalFormatting>
        <x14:conditionalFormatting xmlns:xm="http://schemas.microsoft.com/office/excel/2006/main">
          <x14:cfRule type="iconSet" priority="1070"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AC7:AC1178</xm:sqref>
        </x14:conditionalFormatting>
        <x14:conditionalFormatting xmlns:xm="http://schemas.microsoft.com/office/excel/2006/main">
          <x14:cfRule type="iconSet" priority="1072"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AC7:AC1178</xm:sqref>
        </x14:conditionalFormatting>
        <x14:conditionalFormatting xmlns:xm="http://schemas.microsoft.com/office/excel/2006/main">
          <x14:cfRule type="containsText" priority="905" operator="containsText" id="{DFEE3AE6-4C6D-4211-888A-B5D50B9F7265}">
            <xm:f>NOT(ISERROR(SEARCH($BB$8,AF411)))</xm:f>
            <xm:f>$BB$8</xm:f>
            <x14:dxf>
              <font>
                <b/>
                <i val="0"/>
                <color rgb="FFFF0000"/>
              </font>
            </x14:dxf>
          </x14:cfRule>
          <xm:sqref>AF411:AF420</xm:sqref>
        </x14:conditionalFormatting>
        <x14:conditionalFormatting xmlns:xm="http://schemas.microsoft.com/office/excel/2006/main">
          <x14:cfRule type="containsText" priority="904" operator="containsText" id="{44635632-36C2-4611-9827-0F7EA477A8A2}">
            <xm:f>NOT(ISERROR(SEARCH($BC$7,AF411)))</xm:f>
            <xm:f>$BC$7</xm:f>
            <x14:dxf>
              <font>
                <b/>
                <i val="0"/>
                <color rgb="FF00B050"/>
              </font>
            </x14:dxf>
          </x14:cfRule>
          <xm:sqref>AF411:AF420</xm:sqref>
        </x14:conditionalFormatting>
        <x14:conditionalFormatting xmlns:xm="http://schemas.microsoft.com/office/excel/2006/main">
          <x14:cfRule type="containsText" priority="896" operator="containsText" id="{9C1D7B37-3646-4B06-9050-F336EC8DBA9E}">
            <xm:f>NOT(ISERROR(SEARCH($BB$8,AF425)))</xm:f>
            <xm:f>$BB$8</xm:f>
            <x14:dxf>
              <font>
                <b/>
                <i val="0"/>
                <color rgb="FFFF0000"/>
              </font>
            </x14:dxf>
          </x14:cfRule>
          <xm:sqref>AF425:AF426</xm:sqref>
        </x14:conditionalFormatting>
        <x14:conditionalFormatting xmlns:xm="http://schemas.microsoft.com/office/excel/2006/main">
          <x14:cfRule type="containsText" priority="895" operator="containsText" id="{194E6919-A44F-4F80-BB0E-4D6F246A93DF}">
            <xm:f>NOT(ISERROR(SEARCH($BC$7,AF425)))</xm:f>
            <xm:f>$BC$7</xm:f>
            <x14:dxf>
              <font>
                <b/>
                <i val="0"/>
                <color rgb="FF00B050"/>
              </font>
            </x14:dxf>
          </x14:cfRule>
          <xm:sqref>AF425:AF426</xm:sqref>
        </x14:conditionalFormatting>
        <x14:conditionalFormatting xmlns:xm="http://schemas.microsoft.com/office/excel/2006/main">
          <x14:cfRule type="containsText" priority="885" operator="containsText" id="{812B5566-A902-404F-8D47-8C997EE03544}">
            <xm:f>NOT(ISERROR(SEARCH($BB$8,AF423)))</xm:f>
            <xm:f>$BB$8</xm:f>
            <x14:dxf>
              <font>
                <b/>
                <i val="0"/>
                <color rgb="FFFF0000"/>
              </font>
            </x14:dxf>
          </x14:cfRule>
          <xm:sqref>AF423:AF424</xm:sqref>
        </x14:conditionalFormatting>
        <x14:conditionalFormatting xmlns:xm="http://schemas.microsoft.com/office/excel/2006/main">
          <x14:cfRule type="containsText" priority="884" operator="containsText" id="{31C5CF96-6647-4790-97B0-8A50ED70C8D0}">
            <xm:f>NOT(ISERROR(SEARCH($BC$7,AF423)))</xm:f>
            <xm:f>$BC$7</xm:f>
            <x14:dxf>
              <font>
                <b/>
                <i val="0"/>
                <color rgb="FF00B050"/>
              </font>
            </x14:dxf>
          </x14:cfRule>
          <xm:sqref>AF423:AF424</xm:sqref>
        </x14:conditionalFormatting>
        <x14:conditionalFormatting xmlns:xm="http://schemas.microsoft.com/office/excel/2006/main">
          <x14:cfRule type="containsText" priority="876" operator="containsText" id="{F52796F3-2CBE-48A1-B01E-A114A9A52382}">
            <xm:f>NOT(ISERROR(SEARCH($BB$8,AF429)))</xm:f>
            <xm:f>$BB$8</xm:f>
            <x14:dxf>
              <font>
                <b/>
                <i val="0"/>
                <color rgb="FFFF0000"/>
              </font>
            </x14:dxf>
          </x14:cfRule>
          <xm:sqref>AF429:AF430</xm:sqref>
        </x14:conditionalFormatting>
        <x14:conditionalFormatting xmlns:xm="http://schemas.microsoft.com/office/excel/2006/main">
          <x14:cfRule type="containsText" priority="875" operator="containsText" id="{81E91FF9-49ED-4F21-8AAE-C2187E84FAC6}">
            <xm:f>NOT(ISERROR(SEARCH($BC$7,AF429)))</xm:f>
            <xm:f>$BC$7</xm:f>
            <x14:dxf>
              <font>
                <b/>
                <i val="0"/>
                <color rgb="FF00B050"/>
              </font>
            </x14:dxf>
          </x14:cfRule>
          <xm:sqref>AF429:AF430</xm:sqref>
        </x14:conditionalFormatting>
        <x14:conditionalFormatting xmlns:xm="http://schemas.microsoft.com/office/excel/2006/main">
          <x14:cfRule type="containsText" priority="865" operator="containsText" id="{2F2A19D7-C991-4D95-B290-FA90579EA105}">
            <xm:f>NOT(ISERROR(SEARCH($BB$8,AF427)))</xm:f>
            <xm:f>$BB$8</xm:f>
            <x14:dxf>
              <font>
                <b/>
                <i val="0"/>
                <color rgb="FFFF0000"/>
              </font>
            </x14:dxf>
          </x14:cfRule>
          <xm:sqref>AF427:AF428</xm:sqref>
        </x14:conditionalFormatting>
        <x14:conditionalFormatting xmlns:xm="http://schemas.microsoft.com/office/excel/2006/main">
          <x14:cfRule type="containsText" priority="864" operator="containsText" id="{5E88C617-F6DF-4363-B804-2CB435948757}">
            <xm:f>NOT(ISERROR(SEARCH($BC$7,AF427)))</xm:f>
            <xm:f>$BC$7</xm:f>
            <x14:dxf>
              <font>
                <b/>
                <i val="0"/>
                <color rgb="FF00B050"/>
              </font>
            </x14:dxf>
          </x14:cfRule>
          <xm:sqref>AF427:AF428</xm:sqref>
        </x14:conditionalFormatting>
        <x14:conditionalFormatting xmlns:xm="http://schemas.microsoft.com/office/excel/2006/main">
          <x14:cfRule type="containsText" priority="856" operator="containsText" id="{89E593FE-A074-4D1E-95EF-7DAB1E061880}">
            <xm:f>NOT(ISERROR(SEARCH($BB$8,AF433)))</xm:f>
            <xm:f>$BB$8</xm:f>
            <x14:dxf>
              <font>
                <b/>
                <i val="0"/>
                <color rgb="FFFF0000"/>
              </font>
            </x14:dxf>
          </x14:cfRule>
          <xm:sqref>AF433:AF434</xm:sqref>
        </x14:conditionalFormatting>
        <x14:conditionalFormatting xmlns:xm="http://schemas.microsoft.com/office/excel/2006/main">
          <x14:cfRule type="containsText" priority="855" operator="containsText" id="{2755045F-5F44-4CCA-B6F7-A967CCF7A2E9}">
            <xm:f>NOT(ISERROR(SEARCH($BC$7,AF433)))</xm:f>
            <xm:f>$BC$7</xm:f>
            <x14:dxf>
              <font>
                <b/>
                <i val="0"/>
                <color rgb="FF00B050"/>
              </font>
            </x14:dxf>
          </x14:cfRule>
          <xm:sqref>AF433:AF434</xm:sqref>
        </x14:conditionalFormatting>
        <x14:conditionalFormatting xmlns:xm="http://schemas.microsoft.com/office/excel/2006/main">
          <x14:cfRule type="containsText" priority="845" operator="containsText" id="{0201FF66-8D33-4BF0-A894-2B8926D287BA}">
            <xm:f>NOT(ISERROR(SEARCH($BB$8,AF431)))</xm:f>
            <xm:f>$BB$8</xm:f>
            <x14:dxf>
              <font>
                <b/>
                <i val="0"/>
                <color rgb="FFFF0000"/>
              </font>
            </x14:dxf>
          </x14:cfRule>
          <xm:sqref>AF431:AF432</xm:sqref>
        </x14:conditionalFormatting>
        <x14:conditionalFormatting xmlns:xm="http://schemas.microsoft.com/office/excel/2006/main">
          <x14:cfRule type="containsText" priority="844" operator="containsText" id="{32BF9606-7C76-427E-9F0D-A7FB4ED2F9ED}">
            <xm:f>NOT(ISERROR(SEARCH($BC$7,AF431)))</xm:f>
            <xm:f>$BC$7</xm:f>
            <x14:dxf>
              <font>
                <b/>
                <i val="0"/>
                <color rgb="FF00B050"/>
              </font>
            </x14:dxf>
          </x14:cfRule>
          <xm:sqref>AF431:AF432</xm:sqref>
        </x14:conditionalFormatting>
        <x14:conditionalFormatting xmlns:xm="http://schemas.microsoft.com/office/excel/2006/main">
          <x14:cfRule type="containsText" priority="836" operator="containsText" id="{939F4DFD-77BD-417B-81E5-145496A88835}">
            <xm:f>NOT(ISERROR(SEARCH($BB$8,AF435)))</xm:f>
            <xm:f>$BB$8</xm:f>
            <x14:dxf>
              <font>
                <b/>
                <i val="0"/>
                <color rgb="FFFF0000"/>
              </font>
            </x14:dxf>
          </x14:cfRule>
          <xm:sqref>AF435:AF436</xm:sqref>
        </x14:conditionalFormatting>
        <x14:conditionalFormatting xmlns:xm="http://schemas.microsoft.com/office/excel/2006/main">
          <x14:cfRule type="containsText" priority="835" operator="containsText" id="{3B9B0FD4-C79A-4528-9BD2-7F4A0C53B172}">
            <xm:f>NOT(ISERROR(SEARCH($BC$7,AF435)))</xm:f>
            <xm:f>$BC$7</xm:f>
            <x14:dxf>
              <font>
                <b/>
                <i val="0"/>
                <color rgb="FF00B050"/>
              </font>
            </x14:dxf>
          </x14:cfRule>
          <xm:sqref>AF435:AF436</xm:sqref>
        </x14:conditionalFormatting>
        <x14:conditionalFormatting xmlns:xm="http://schemas.microsoft.com/office/excel/2006/main">
          <x14:cfRule type="containsText" priority="825" operator="containsText" id="{BA3567D3-78E9-44EC-BA82-652335A4AD46}">
            <xm:f>NOT(ISERROR(SEARCH($BB$8,AF439)))</xm:f>
            <xm:f>$BB$8</xm:f>
            <x14:dxf>
              <font>
                <b/>
                <i val="0"/>
                <color rgb="FFFF0000"/>
              </font>
            </x14:dxf>
          </x14:cfRule>
          <xm:sqref>AF439:AF440</xm:sqref>
        </x14:conditionalFormatting>
        <x14:conditionalFormatting xmlns:xm="http://schemas.microsoft.com/office/excel/2006/main">
          <x14:cfRule type="containsText" priority="824" operator="containsText" id="{6473990B-B0D1-4992-A0A8-E6AEC88B83B4}">
            <xm:f>NOT(ISERROR(SEARCH($BC$7,AF439)))</xm:f>
            <xm:f>$BC$7</xm:f>
            <x14:dxf>
              <font>
                <b/>
                <i val="0"/>
                <color rgb="FF00B050"/>
              </font>
            </x14:dxf>
          </x14:cfRule>
          <xm:sqref>AF439:AF440</xm:sqref>
        </x14:conditionalFormatting>
        <x14:conditionalFormatting xmlns:xm="http://schemas.microsoft.com/office/excel/2006/main">
          <x14:cfRule type="containsText" priority="814" operator="containsText" id="{4068A207-84BA-4F47-9FEE-E8CB87EDF8AC}">
            <xm:f>NOT(ISERROR(SEARCH($BB$8,AF437)))</xm:f>
            <xm:f>$BB$8</xm:f>
            <x14:dxf>
              <font>
                <b/>
                <i val="0"/>
                <color rgb="FFFF0000"/>
              </font>
            </x14:dxf>
          </x14:cfRule>
          <xm:sqref>AF437:AF438</xm:sqref>
        </x14:conditionalFormatting>
        <x14:conditionalFormatting xmlns:xm="http://schemas.microsoft.com/office/excel/2006/main">
          <x14:cfRule type="containsText" priority="813" operator="containsText" id="{115FD359-93D4-4BB8-9939-71AC2B4B9D64}">
            <xm:f>NOT(ISERROR(SEARCH($BC$7,AF437)))</xm:f>
            <xm:f>$BC$7</xm:f>
            <x14:dxf>
              <font>
                <b/>
                <i val="0"/>
                <color rgb="FF00B050"/>
              </font>
            </x14:dxf>
          </x14:cfRule>
          <xm:sqref>AF437:AF438</xm:sqref>
        </x14:conditionalFormatting>
        <x14:conditionalFormatting xmlns:xm="http://schemas.microsoft.com/office/excel/2006/main">
          <x14:cfRule type="containsText" priority="805" operator="containsText" id="{3CFE7E39-EC06-4F1C-B4D2-A2948478410C}">
            <xm:f>NOT(ISERROR(SEARCH($BB$8,AF441)))</xm:f>
            <xm:f>$BB$8</xm:f>
            <x14:dxf>
              <font>
                <b/>
                <i val="0"/>
                <color rgb="FFFF0000"/>
              </font>
            </x14:dxf>
          </x14:cfRule>
          <xm:sqref>AF441:AF442</xm:sqref>
        </x14:conditionalFormatting>
        <x14:conditionalFormatting xmlns:xm="http://schemas.microsoft.com/office/excel/2006/main">
          <x14:cfRule type="containsText" priority="804" operator="containsText" id="{1C89DA7E-AA58-45E9-8B8D-CEBA5DDFA324}">
            <xm:f>NOT(ISERROR(SEARCH($BC$7,AF441)))</xm:f>
            <xm:f>$BC$7</xm:f>
            <x14:dxf>
              <font>
                <b/>
                <i val="0"/>
                <color rgb="FF00B050"/>
              </font>
            </x14:dxf>
          </x14:cfRule>
          <xm:sqref>AF441:AF442</xm:sqref>
        </x14:conditionalFormatting>
        <x14:conditionalFormatting xmlns:xm="http://schemas.microsoft.com/office/excel/2006/main">
          <x14:cfRule type="containsText" priority="794" operator="containsText" id="{9E578760-CB92-4CDF-BD39-BDC69BCB51FA}">
            <xm:f>NOT(ISERROR(SEARCH($BB$8,AF445)))</xm:f>
            <xm:f>$BB$8</xm:f>
            <x14:dxf>
              <font>
                <b/>
                <i val="0"/>
                <color rgb="FFFF0000"/>
              </font>
            </x14:dxf>
          </x14:cfRule>
          <xm:sqref>AF445:AF446</xm:sqref>
        </x14:conditionalFormatting>
        <x14:conditionalFormatting xmlns:xm="http://schemas.microsoft.com/office/excel/2006/main">
          <x14:cfRule type="containsText" priority="793" operator="containsText" id="{EA0EAC0A-3C21-4B12-A87C-7F7854895CBD}">
            <xm:f>NOT(ISERROR(SEARCH($BC$7,AF445)))</xm:f>
            <xm:f>$BC$7</xm:f>
            <x14:dxf>
              <font>
                <b/>
                <i val="0"/>
                <color rgb="FF00B050"/>
              </font>
            </x14:dxf>
          </x14:cfRule>
          <xm:sqref>AF445:AF446</xm:sqref>
        </x14:conditionalFormatting>
        <x14:conditionalFormatting xmlns:xm="http://schemas.microsoft.com/office/excel/2006/main">
          <x14:cfRule type="containsText" priority="783" operator="containsText" id="{B2151934-7139-4BA1-BFCD-3724D6F2E3B5}">
            <xm:f>NOT(ISERROR(SEARCH($BB$8,AF443)))</xm:f>
            <xm:f>$BB$8</xm:f>
            <x14:dxf>
              <font>
                <b/>
                <i val="0"/>
                <color rgb="FFFF0000"/>
              </font>
            </x14:dxf>
          </x14:cfRule>
          <xm:sqref>AF443:AF444</xm:sqref>
        </x14:conditionalFormatting>
        <x14:conditionalFormatting xmlns:xm="http://schemas.microsoft.com/office/excel/2006/main">
          <x14:cfRule type="containsText" priority="782" operator="containsText" id="{3BDC5D37-9722-4B0B-9B13-0DC1F9BFF825}">
            <xm:f>NOT(ISERROR(SEARCH($BC$7,AF443)))</xm:f>
            <xm:f>$BC$7</xm:f>
            <x14:dxf>
              <font>
                <b/>
                <i val="0"/>
                <color rgb="FF00B050"/>
              </font>
            </x14:dxf>
          </x14:cfRule>
          <xm:sqref>AF443:AF444</xm:sqref>
        </x14:conditionalFormatting>
        <x14:conditionalFormatting xmlns:xm="http://schemas.microsoft.com/office/excel/2006/main">
          <x14:cfRule type="containsText" priority="774" operator="containsText" id="{142C0EA7-F002-4BB3-8CFC-F345996BDFC5}">
            <xm:f>NOT(ISERROR(SEARCH($BB$8,AF447)))</xm:f>
            <xm:f>$BB$8</xm:f>
            <x14:dxf>
              <font>
                <b/>
                <i val="0"/>
                <color rgb="FFFF0000"/>
              </font>
            </x14:dxf>
          </x14:cfRule>
          <xm:sqref>AF447:AF448</xm:sqref>
        </x14:conditionalFormatting>
        <x14:conditionalFormatting xmlns:xm="http://schemas.microsoft.com/office/excel/2006/main">
          <x14:cfRule type="containsText" priority="773" operator="containsText" id="{ED754564-70D4-4D33-8624-B7D4C993472D}">
            <xm:f>NOT(ISERROR(SEARCH($BC$7,AF447)))</xm:f>
            <xm:f>$BC$7</xm:f>
            <x14:dxf>
              <font>
                <b/>
                <i val="0"/>
                <color rgb="FF00B050"/>
              </font>
            </x14:dxf>
          </x14:cfRule>
          <xm:sqref>AF447:AF448</xm:sqref>
        </x14:conditionalFormatting>
        <x14:conditionalFormatting xmlns:xm="http://schemas.microsoft.com/office/excel/2006/main">
          <x14:cfRule type="containsText" priority="763" operator="containsText" id="{C41B38F2-1731-4F0F-BFF7-E8CFDFF42F98}">
            <xm:f>NOT(ISERROR(SEARCH($BB$8,AF451)))</xm:f>
            <xm:f>$BB$8</xm:f>
            <x14:dxf>
              <font>
                <b/>
                <i val="0"/>
                <color rgb="FFFF0000"/>
              </font>
            </x14:dxf>
          </x14:cfRule>
          <xm:sqref>AF451:AF452</xm:sqref>
        </x14:conditionalFormatting>
        <x14:conditionalFormatting xmlns:xm="http://schemas.microsoft.com/office/excel/2006/main">
          <x14:cfRule type="containsText" priority="762" operator="containsText" id="{10266C8A-FB8C-49C5-B149-7069AE09A09C}">
            <xm:f>NOT(ISERROR(SEARCH($BC$7,AF451)))</xm:f>
            <xm:f>$BC$7</xm:f>
            <x14:dxf>
              <font>
                <b/>
                <i val="0"/>
                <color rgb="FF00B050"/>
              </font>
            </x14:dxf>
          </x14:cfRule>
          <xm:sqref>AF451:AF452</xm:sqref>
        </x14:conditionalFormatting>
        <x14:conditionalFormatting xmlns:xm="http://schemas.microsoft.com/office/excel/2006/main">
          <x14:cfRule type="containsText" priority="752" operator="containsText" id="{5146BC85-9E07-4011-A329-066B8EADBF27}">
            <xm:f>NOT(ISERROR(SEARCH($BB$8,AF449)))</xm:f>
            <xm:f>$BB$8</xm:f>
            <x14:dxf>
              <font>
                <b/>
                <i val="0"/>
                <color rgb="FFFF0000"/>
              </font>
            </x14:dxf>
          </x14:cfRule>
          <xm:sqref>AF449:AF450</xm:sqref>
        </x14:conditionalFormatting>
        <x14:conditionalFormatting xmlns:xm="http://schemas.microsoft.com/office/excel/2006/main">
          <x14:cfRule type="containsText" priority="751" operator="containsText" id="{2ACC62F5-291C-42E7-92DC-6AF04B93CBE0}">
            <xm:f>NOT(ISERROR(SEARCH($BC$7,AF449)))</xm:f>
            <xm:f>$BC$7</xm:f>
            <x14:dxf>
              <font>
                <b/>
                <i val="0"/>
                <color rgb="FF00B050"/>
              </font>
            </x14:dxf>
          </x14:cfRule>
          <xm:sqref>AF449:AF450</xm:sqref>
        </x14:conditionalFormatting>
        <x14:conditionalFormatting xmlns:xm="http://schemas.microsoft.com/office/excel/2006/main">
          <x14:cfRule type="containsText" priority="743" operator="containsText" id="{EDE1144D-1FF4-4721-B1F9-2A71307AF50C}">
            <xm:f>NOT(ISERROR(SEARCH($BB$8,AF453)))</xm:f>
            <xm:f>$BB$8</xm:f>
            <x14:dxf>
              <font>
                <b/>
                <i val="0"/>
                <color rgb="FFFF0000"/>
              </font>
            </x14:dxf>
          </x14:cfRule>
          <xm:sqref>AF453:AF454</xm:sqref>
        </x14:conditionalFormatting>
        <x14:conditionalFormatting xmlns:xm="http://schemas.microsoft.com/office/excel/2006/main">
          <x14:cfRule type="containsText" priority="742" operator="containsText" id="{0812D729-E026-40B4-A654-2D51391C214B}">
            <xm:f>NOT(ISERROR(SEARCH($BC$7,AF453)))</xm:f>
            <xm:f>$BC$7</xm:f>
            <x14:dxf>
              <font>
                <b/>
                <i val="0"/>
                <color rgb="FF00B050"/>
              </font>
            </x14:dxf>
          </x14:cfRule>
          <xm:sqref>AF453:AF454</xm:sqref>
        </x14:conditionalFormatting>
        <x14:conditionalFormatting xmlns:xm="http://schemas.microsoft.com/office/excel/2006/main">
          <x14:cfRule type="containsText" priority="732" operator="containsText" id="{B633DDB9-138E-4495-BB42-E90C217356B5}">
            <xm:f>NOT(ISERROR(SEARCH($BB$8,AF458)))</xm:f>
            <xm:f>$BB$8</xm:f>
            <x14:dxf>
              <font>
                <b/>
                <i val="0"/>
                <color rgb="FFFF0000"/>
              </font>
            </x14:dxf>
          </x14:cfRule>
          <xm:sqref>AF458</xm:sqref>
        </x14:conditionalFormatting>
        <x14:conditionalFormatting xmlns:xm="http://schemas.microsoft.com/office/excel/2006/main">
          <x14:cfRule type="containsText" priority="731" operator="containsText" id="{31975CDC-939E-4E4A-AB0B-4727AC9E7A02}">
            <xm:f>NOT(ISERROR(SEARCH($BC$7,AF458)))</xm:f>
            <xm:f>$BC$7</xm:f>
            <x14:dxf>
              <font>
                <b/>
                <i val="0"/>
                <color rgb="FF00B050"/>
              </font>
            </x14:dxf>
          </x14:cfRule>
          <xm:sqref>AF458</xm:sqref>
        </x14:conditionalFormatting>
        <x14:conditionalFormatting xmlns:xm="http://schemas.microsoft.com/office/excel/2006/main">
          <x14:cfRule type="containsText" priority="704" operator="containsText" id="{F7C7644E-58B8-45B2-99C0-241F0AD69EC3}">
            <xm:f>NOT(ISERROR(SEARCH($BB$8,AF457)))</xm:f>
            <xm:f>$BB$8</xm:f>
            <x14:dxf>
              <font>
                <b/>
                <i val="0"/>
                <color rgb="FFFF0000"/>
              </font>
            </x14:dxf>
          </x14:cfRule>
          <xm:sqref>AF457</xm:sqref>
        </x14:conditionalFormatting>
        <x14:conditionalFormatting xmlns:xm="http://schemas.microsoft.com/office/excel/2006/main">
          <x14:cfRule type="containsText" priority="703" operator="containsText" id="{37270AD6-C435-450A-8DBA-ED4EC5F55AC1}">
            <xm:f>NOT(ISERROR(SEARCH($BC$7,AF457)))</xm:f>
            <xm:f>$BC$7</xm:f>
            <x14:dxf>
              <font>
                <b/>
                <i val="0"/>
                <color rgb="FF00B050"/>
              </font>
            </x14:dxf>
          </x14:cfRule>
          <xm:sqref>AF457</xm:sqref>
        </x14:conditionalFormatting>
        <x14:conditionalFormatting xmlns:xm="http://schemas.microsoft.com/office/excel/2006/main">
          <x14:cfRule type="containsText" priority="695" operator="containsText" id="{3EC548AE-6347-491E-9FF9-2B1223D43982}">
            <xm:f>NOT(ISERROR(SEARCH($BB$8,AF459)))</xm:f>
            <xm:f>$BB$8</xm:f>
            <x14:dxf>
              <font>
                <b/>
                <i val="0"/>
                <color rgb="FFFF0000"/>
              </font>
            </x14:dxf>
          </x14:cfRule>
          <xm:sqref>AF459</xm:sqref>
        </x14:conditionalFormatting>
        <x14:conditionalFormatting xmlns:xm="http://schemas.microsoft.com/office/excel/2006/main">
          <x14:cfRule type="containsText" priority="694" operator="containsText" id="{4E74E979-DDCE-4A17-8031-D3C59E63D7CA}">
            <xm:f>NOT(ISERROR(SEARCH($BC$7,AF459)))</xm:f>
            <xm:f>$BC$7</xm:f>
            <x14:dxf>
              <font>
                <b/>
                <i val="0"/>
                <color rgb="FF00B050"/>
              </font>
            </x14:dxf>
          </x14:cfRule>
          <xm:sqref>AF459</xm:sqref>
        </x14:conditionalFormatting>
        <x14:conditionalFormatting xmlns:xm="http://schemas.microsoft.com/office/excel/2006/main">
          <x14:cfRule type="containsText" priority="611" operator="containsText" id="{B49A5E23-7E54-4B24-8AB6-8803EB9A07DC}">
            <xm:f>NOT(ISERROR(SEARCH($BB$8,AF601)))</xm:f>
            <xm:f>$BB$8</xm:f>
            <x14:dxf>
              <font>
                <b/>
                <i val="0"/>
                <color rgb="FFFF0000"/>
              </font>
            </x14:dxf>
          </x14:cfRule>
          <xm:sqref>AF601:AF645</xm:sqref>
        </x14:conditionalFormatting>
        <x14:conditionalFormatting xmlns:xm="http://schemas.microsoft.com/office/excel/2006/main">
          <x14:cfRule type="containsText" priority="610" operator="containsText" id="{89F6AC88-9B58-469B-A992-F001246B2E97}">
            <xm:f>NOT(ISERROR(SEARCH($BC$7,AF601)))</xm:f>
            <xm:f>$BC$7</xm:f>
            <x14:dxf>
              <font>
                <b/>
                <i val="0"/>
                <color rgb="FF00B050"/>
              </font>
            </x14:dxf>
          </x14:cfRule>
          <xm:sqref>AF601:AF645</xm:sqref>
        </x14:conditionalFormatting>
        <x14:conditionalFormatting xmlns:xm="http://schemas.microsoft.com/office/excel/2006/main">
          <x14:cfRule type="containsText" priority="565" operator="containsText" id="{42D4C8C7-14CF-49DB-A256-2F99C8291B07}">
            <xm:f>NOT(ISERROR(SEARCH($BB$8,AF646)))</xm:f>
            <xm:f>$BB$8</xm:f>
            <x14:dxf>
              <font>
                <b/>
                <i val="0"/>
                <color rgb="FFFF0000"/>
              </font>
            </x14:dxf>
          </x14:cfRule>
          <xm:sqref>AF646:AF675</xm:sqref>
        </x14:conditionalFormatting>
        <x14:conditionalFormatting xmlns:xm="http://schemas.microsoft.com/office/excel/2006/main">
          <x14:cfRule type="containsText" priority="564" operator="containsText" id="{E1BF0A17-5B25-4306-98A5-A926CC9BA4EF}">
            <xm:f>NOT(ISERROR(SEARCH($BC$7,AF646)))</xm:f>
            <xm:f>$BC$7</xm:f>
            <x14:dxf>
              <font>
                <b/>
                <i val="0"/>
                <color rgb="FF00B050"/>
              </font>
            </x14:dxf>
          </x14:cfRule>
          <xm:sqref>AF646:AF675</xm:sqref>
        </x14:conditionalFormatting>
        <x14:conditionalFormatting xmlns:xm="http://schemas.microsoft.com/office/excel/2006/main">
          <x14:cfRule type="containsText" priority="518" operator="containsText" id="{A2FE8673-EB1B-44F4-8CD0-61239F1C9ED0}">
            <xm:f>NOT(ISERROR(SEARCH($BB$8,AF676)))</xm:f>
            <xm:f>$BB$8</xm:f>
            <x14:dxf>
              <font>
                <b/>
                <i val="0"/>
                <color rgb="FFFF0000"/>
              </font>
            </x14:dxf>
          </x14:cfRule>
          <xm:sqref>AF676:AF683</xm:sqref>
        </x14:conditionalFormatting>
        <x14:conditionalFormatting xmlns:xm="http://schemas.microsoft.com/office/excel/2006/main">
          <x14:cfRule type="containsText" priority="517" operator="containsText" id="{FCAB47C4-360D-480A-B0B3-8C9D8EB86EB1}">
            <xm:f>NOT(ISERROR(SEARCH($BC$7,AF676)))</xm:f>
            <xm:f>$BC$7</xm:f>
            <x14:dxf>
              <font>
                <b/>
                <i val="0"/>
                <color rgb="FF00B050"/>
              </font>
            </x14:dxf>
          </x14:cfRule>
          <xm:sqref>AF676:AF683</xm:sqref>
        </x14:conditionalFormatting>
        <x14:conditionalFormatting xmlns:xm="http://schemas.microsoft.com/office/excel/2006/main">
          <x14:cfRule type="containsText" priority="497" operator="containsText" id="{DFF91060-2942-40AA-97D9-A04050C38200}">
            <xm:f>NOT(ISERROR(SEARCH($BB$8,AF684)))</xm:f>
            <xm:f>$BB$8</xm:f>
            <x14:dxf>
              <font>
                <b/>
                <i val="0"/>
                <color rgb="FFFF0000"/>
              </font>
            </x14:dxf>
          </x14:cfRule>
          <xm:sqref>AF684:AF691</xm:sqref>
        </x14:conditionalFormatting>
        <x14:conditionalFormatting xmlns:xm="http://schemas.microsoft.com/office/excel/2006/main">
          <x14:cfRule type="containsText" priority="496" operator="containsText" id="{5BC6126E-C96D-433D-860F-547966E649BD}">
            <xm:f>NOT(ISERROR(SEARCH($BC$7,AF684)))</xm:f>
            <xm:f>$BC$7</xm:f>
            <x14:dxf>
              <font>
                <b/>
                <i val="0"/>
                <color rgb="FF00B050"/>
              </font>
            </x14:dxf>
          </x14:cfRule>
          <xm:sqref>AF684:AF691</xm:sqref>
        </x14:conditionalFormatting>
        <x14:conditionalFormatting xmlns:xm="http://schemas.microsoft.com/office/excel/2006/main">
          <x14:cfRule type="containsText" priority="464" operator="containsText" id="{057C1395-5A5A-43B6-B37D-A94855F2FAAB}">
            <xm:f>NOT(ISERROR(SEARCH($BB$8,AF692)))</xm:f>
            <xm:f>$BB$8</xm:f>
            <x14:dxf>
              <font>
                <b/>
                <i val="0"/>
                <color rgb="FFFF0000"/>
              </font>
            </x14:dxf>
          </x14:cfRule>
          <xm:sqref>AF692:AF699</xm:sqref>
        </x14:conditionalFormatting>
        <x14:conditionalFormatting xmlns:xm="http://schemas.microsoft.com/office/excel/2006/main">
          <x14:cfRule type="containsText" priority="463" operator="containsText" id="{E9926C29-0757-4CF7-B802-DE6AD283005B}">
            <xm:f>NOT(ISERROR(SEARCH($BC$7,AF692)))</xm:f>
            <xm:f>$BC$7</xm:f>
            <x14:dxf>
              <font>
                <b/>
                <i val="0"/>
                <color rgb="FF00B050"/>
              </font>
            </x14:dxf>
          </x14:cfRule>
          <xm:sqref>AF692:AF699</xm:sqref>
        </x14:conditionalFormatting>
        <x14:conditionalFormatting xmlns:xm="http://schemas.microsoft.com/office/excel/2006/main">
          <x14:cfRule type="containsText" priority="443" operator="containsText" id="{2F3E9CB6-D2FF-4583-A6DA-03CCC78AF22E}">
            <xm:f>NOT(ISERROR(SEARCH($BB$8,AF700)))</xm:f>
            <xm:f>$BB$8</xm:f>
            <x14:dxf>
              <font>
                <b/>
                <i val="0"/>
                <color rgb="FFFF0000"/>
              </font>
            </x14:dxf>
          </x14:cfRule>
          <xm:sqref>AF700:AF707</xm:sqref>
        </x14:conditionalFormatting>
        <x14:conditionalFormatting xmlns:xm="http://schemas.microsoft.com/office/excel/2006/main">
          <x14:cfRule type="containsText" priority="442" operator="containsText" id="{C7798011-F2BB-4BD3-8506-76CA33545B65}">
            <xm:f>NOT(ISERROR(SEARCH($BC$7,AF700)))</xm:f>
            <xm:f>$BC$7</xm:f>
            <x14:dxf>
              <font>
                <b/>
                <i val="0"/>
                <color rgb="FF00B050"/>
              </font>
            </x14:dxf>
          </x14:cfRule>
          <xm:sqref>AF700:AF707</xm:sqref>
        </x14:conditionalFormatting>
        <x14:conditionalFormatting xmlns:xm="http://schemas.microsoft.com/office/excel/2006/main">
          <x14:cfRule type="containsText" priority="422" operator="containsText" id="{0562A848-8CC1-45B4-9A2E-D45185B77974}">
            <xm:f>NOT(ISERROR(SEARCH($BB$8,AF708)))</xm:f>
            <xm:f>$BB$8</xm:f>
            <x14:dxf>
              <font>
                <b/>
                <i val="0"/>
                <color rgb="FFFF0000"/>
              </font>
            </x14:dxf>
          </x14:cfRule>
          <xm:sqref>AF708:AF715</xm:sqref>
        </x14:conditionalFormatting>
        <x14:conditionalFormatting xmlns:xm="http://schemas.microsoft.com/office/excel/2006/main">
          <x14:cfRule type="containsText" priority="421" operator="containsText" id="{8F508045-C918-4151-8C93-1F05A439B8E8}">
            <xm:f>NOT(ISERROR(SEARCH($BC$7,AF708)))</xm:f>
            <xm:f>$BC$7</xm:f>
            <x14:dxf>
              <font>
                <b/>
                <i val="0"/>
                <color rgb="FF00B050"/>
              </font>
            </x14:dxf>
          </x14:cfRule>
          <xm:sqref>AF708:AF715</xm:sqref>
        </x14:conditionalFormatting>
        <x14:conditionalFormatting xmlns:xm="http://schemas.microsoft.com/office/excel/2006/main">
          <x14:cfRule type="containsText" priority="386" operator="containsText" id="{2D58EB9E-6D81-4D09-990A-8F9B4C53B4BD}">
            <xm:f>NOT(ISERROR(SEARCH($BB$8,AF716)))</xm:f>
            <xm:f>$BB$8</xm:f>
            <x14:dxf>
              <font>
                <b/>
                <i val="0"/>
                <color rgb="FFFF0000"/>
              </font>
            </x14:dxf>
          </x14:cfRule>
          <xm:sqref>AF716:AF756</xm:sqref>
        </x14:conditionalFormatting>
        <x14:conditionalFormatting xmlns:xm="http://schemas.microsoft.com/office/excel/2006/main">
          <x14:cfRule type="containsText" priority="385" operator="containsText" id="{ADEA8641-72E0-4BEB-AF3D-D66F1B7CF798}">
            <xm:f>NOT(ISERROR(SEARCH($BC$7,AF716)))</xm:f>
            <xm:f>$BC$7</xm:f>
            <x14:dxf>
              <font>
                <b/>
                <i val="0"/>
                <color rgb="FF00B050"/>
              </font>
            </x14:dxf>
          </x14:cfRule>
          <xm:sqref>AF716:AF756</xm:sqref>
        </x14:conditionalFormatting>
        <x14:conditionalFormatting xmlns:xm="http://schemas.microsoft.com/office/excel/2006/main">
          <x14:cfRule type="containsText" priority="287" operator="containsText" id="{58E500BE-CC49-4A22-AA6F-BBC0965E1A08}">
            <xm:f>NOT(ISERROR(SEARCH($BB$8,AF795)))</xm:f>
            <xm:f>$BB$8</xm:f>
            <x14:dxf>
              <font>
                <b/>
                <i val="0"/>
                <color rgb="FFFF0000"/>
              </font>
            </x14:dxf>
          </x14:cfRule>
          <xm:sqref>AF795</xm:sqref>
        </x14:conditionalFormatting>
        <x14:conditionalFormatting xmlns:xm="http://schemas.microsoft.com/office/excel/2006/main">
          <x14:cfRule type="containsText" priority="286" operator="containsText" id="{9EF17F27-D2D6-4B92-8674-5F7F54A1B10F}">
            <xm:f>NOT(ISERROR(SEARCH($BC$7,AF795)))</xm:f>
            <xm:f>$BC$7</xm:f>
            <x14:dxf>
              <font>
                <b/>
                <i val="0"/>
                <color rgb="FF00B050"/>
              </font>
            </x14:dxf>
          </x14:cfRule>
          <xm:sqref>AF795</xm:sqref>
        </x14:conditionalFormatting>
        <x14:conditionalFormatting xmlns:xm="http://schemas.microsoft.com/office/excel/2006/main">
          <x14:cfRule type="containsText" priority="266" operator="containsText" id="{2D2F05E6-5665-4195-B093-C3AD5C096082}">
            <xm:f>NOT(ISERROR(SEARCH($BB$8,AF796)))</xm:f>
            <xm:f>$BB$8</xm:f>
            <x14:dxf>
              <font>
                <b/>
                <i val="0"/>
                <color rgb="FFFF0000"/>
              </font>
            </x14:dxf>
          </x14:cfRule>
          <xm:sqref>AF796</xm:sqref>
        </x14:conditionalFormatting>
        <x14:conditionalFormatting xmlns:xm="http://schemas.microsoft.com/office/excel/2006/main">
          <x14:cfRule type="containsText" priority="265" operator="containsText" id="{B1555E52-4738-40A1-A83C-9671E6C77A15}">
            <xm:f>NOT(ISERROR(SEARCH($BC$7,AF796)))</xm:f>
            <xm:f>$BC$7</xm:f>
            <x14:dxf>
              <font>
                <b/>
                <i val="0"/>
                <color rgb="FF00B050"/>
              </font>
            </x14:dxf>
          </x14:cfRule>
          <xm:sqref>AF796</xm:sqref>
        </x14:conditionalFormatting>
        <x14:conditionalFormatting xmlns:xm="http://schemas.microsoft.com/office/excel/2006/main">
          <x14:cfRule type="containsText" priority="245" operator="containsText" id="{FDE7E608-E162-4601-BED0-209EA685C27A}">
            <xm:f>NOT(ISERROR(SEARCH($BB$8,AF797)))</xm:f>
            <xm:f>$BB$8</xm:f>
            <x14:dxf>
              <font>
                <b/>
                <i val="0"/>
                <color rgb="FFFF0000"/>
              </font>
            </x14:dxf>
          </x14:cfRule>
          <xm:sqref>AF797:AF799</xm:sqref>
        </x14:conditionalFormatting>
        <x14:conditionalFormatting xmlns:xm="http://schemas.microsoft.com/office/excel/2006/main">
          <x14:cfRule type="containsText" priority="244" operator="containsText" id="{E2912770-D710-4D65-AEDB-2057D770B28A}">
            <xm:f>NOT(ISERROR(SEARCH($BC$7,AF797)))</xm:f>
            <xm:f>$BC$7</xm:f>
            <x14:dxf>
              <font>
                <b/>
                <i val="0"/>
                <color rgb="FF00B050"/>
              </font>
            </x14:dxf>
          </x14:cfRule>
          <xm:sqref>AF797:AF799</xm:sqref>
        </x14:conditionalFormatting>
        <x14:conditionalFormatting xmlns:xm="http://schemas.microsoft.com/office/excel/2006/main">
          <x14:cfRule type="containsText" priority="224" operator="containsText" id="{4598F0BE-2582-4CF5-9301-AFEC92715BC3}">
            <xm:f>NOT(ISERROR(SEARCH($BB$8,AF800)))</xm:f>
            <xm:f>$BB$8</xm:f>
            <x14:dxf>
              <font>
                <b/>
                <i val="0"/>
                <color rgb="FFFF0000"/>
              </font>
            </x14:dxf>
          </x14:cfRule>
          <xm:sqref>AF800:AF807</xm:sqref>
        </x14:conditionalFormatting>
        <x14:conditionalFormatting xmlns:xm="http://schemas.microsoft.com/office/excel/2006/main">
          <x14:cfRule type="containsText" priority="223" operator="containsText" id="{C7893D04-D4CC-41D9-9383-E06AE5F36B1B}">
            <xm:f>NOT(ISERROR(SEARCH($BC$7,AF800)))</xm:f>
            <xm:f>$BC$7</xm:f>
            <x14:dxf>
              <font>
                <b/>
                <i val="0"/>
                <color rgb="FF00B050"/>
              </font>
            </x14:dxf>
          </x14:cfRule>
          <xm:sqref>AF800:AF807</xm:sqref>
        </x14:conditionalFormatting>
        <x14:conditionalFormatting xmlns:xm="http://schemas.microsoft.com/office/excel/2006/main">
          <x14:cfRule type="containsText" priority="203" operator="containsText" id="{3E645FF0-5927-4838-9758-025FE9A4A027}">
            <xm:f>NOT(ISERROR(SEARCH($BB$8,AF808)))</xm:f>
            <xm:f>$BB$8</xm:f>
            <x14:dxf>
              <font>
                <b/>
                <i val="0"/>
                <color rgb="FFFF0000"/>
              </font>
            </x14:dxf>
          </x14:cfRule>
          <xm:sqref>AF808:AF822</xm:sqref>
        </x14:conditionalFormatting>
        <x14:conditionalFormatting xmlns:xm="http://schemas.microsoft.com/office/excel/2006/main">
          <x14:cfRule type="containsText" priority="202" operator="containsText" id="{98D61A21-3A48-49D1-BF6C-8D9BF9013792}">
            <xm:f>NOT(ISERROR(SEARCH($BC$7,AF808)))</xm:f>
            <xm:f>$BC$7</xm:f>
            <x14:dxf>
              <font>
                <b/>
                <i val="0"/>
                <color rgb="FF00B050"/>
              </font>
            </x14:dxf>
          </x14:cfRule>
          <xm:sqref>AF808:AF822</xm:sqref>
        </x14:conditionalFormatting>
        <x14:conditionalFormatting xmlns:xm="http://schemas.microsoft.com/office/excel/2006/main">
          <x14:cfRule type="containsText" priority="182" operator="containsText" id="{CD338629-C5D1-4ED5-A6B5-0A70F5849834}">
            <xm:f>NOT(ISERROR(SEARCH($BB$8,AF823)))</xm:f>
            <xm:f>$BB$8</xm:f>
            <x14:dxf>
              <font>
                <b/>
                <i val="0"/>
                <color rgb="FFFF0000"/>
              </font>
            </x14:dxf>
          </x14:cfRule>
          <xm:sqref>AF823:AF898</xm:sqref>
        </x14:conditionalFormatting>
        <x14:conditionalFormatting xmlns:xm="http://schemas.microsoft.com/office/excel/2006/main">
          <x14:cfRule type="containsText" priority="181" operator="containsText" id="{8BB12B9C-6CDF-48E2-9617-35B435AE467E}">
            <xm:f>NOT(ISERROR(SEARCH($BC$7,AF823)))</xm:f>
            <xm:f>$BC$7</xm:f>
            <x14:dxf>
              <font>
                <b/>
                <i val="0"/>
                <color rgb="FF00B050"/>
              </font>
            </x14:dxf>
          </x14:cfRule>
          <xm:sqref>AF823:AF898</xm:sqref>
        </x14:conditionalFormatting>
        <x14:conditionalFormatting xmlns:xm="http://schemas.microsoft.com/office/excel/2006/main">
          <x14:cfRule type="containsText" priority="161" operator="containsText" id="{89109BF3-585D-49ED-8783-1CBF3BEC16EE}">
            <xm:f>NOT(ISERROR(SEARCH($BB$8,AF899)))</xm:f>
            <xm:f>$BB$8</xm:f>
            <x14:dxf>
              <font>
                <b/>
                <i val="0"/>
                <color rgb="FFFF0000"/>
              </font>
            </x14:dxf>
          </x14:cfRule>
          <xm:sqref>AF899</xm:sqref>
        </x14:conditionalFormatting>
        <x14:conditionalFormatting xmlns:xm="http://schemas.microsoft.com/office/excel/2006/main">
          <x14:cfRule type="containsText" priority="160" operator="containsText" id="{305C70AA-91F1-40B5-87FA-EE4B944A26B5}">
            <xm:f>NOT(ISERROR(SEARCH($BC$7,AF899)))</xm:f>
            <xm:f>$BC$7</xm:f>
            <x14:dxf>
              <font>
                <b/>
                <i val="0"/>
                <color rgb="FF00B050"/>
              </font>
            </x14:dxf>
          </x14:cfRule>
          <xm:sqref>AF899</xm:sqref>
        </x14:conditionalFormatting>
        <x14:conditionalFormatting xmlns:xm="http://schemas.microsoft.com/office/excel/2006/main">
          <x14:cfRule type="containsText" priority="140" operator="containsText" id="{DA6E2D7B-9F46-48FB-8ECE-45EA95F1D45E}">
            <xm:f>NOT(ISERROR(SEARCH($BB$8,AF900)))</xm:f>
            <xm:f>$BB$8</xm:f>
            <x14:dxf>
              <font>
                <b/>
                <i val="0"/>
                <color rgb="FFFF0000"/>
              </font>
            </x14:dxf>
          </x14:cfRule>
          <xm:sqref>AF900:AF918</xm:sqref>
        </x14:conditionalFormatting>
        <x14:conditionalFormatting xmlns:xm="http://schemas.microsoft.com/office/excel/2006/main">
          <x14:cfRule type="containsText" priority="139" operator="containsText" id="{2E02B3E1-2F61-4BBB-B4C8-798C795AB8D2}">
            <xm:f>NOT(ISERROR(SEARCH($BC$7,AF900)))</xm:f>
            <xm:f>$BC$7</xm:f>
            <x14:dxf>
              <font>
                <b/>
                <i val="0"/>
                <color rgb="FF00B050"/>
              </font>
            </x14:dxf>
          </x14:cfRule>
          <xm:sqref>AF900:AF918</xm:sqref>
        </x14:conditionalFormatting>
        <x14:conditionalFormatting xmlns:xm="http://schemas.microsoft.com/office/excel/2006/main">
          <x14:cfRule type="containsText" priority="119" operator="containsText" id="{4CEE3647-3AC2-4BD6-8AC7-C30C1489F20B}">
            <xm:f>NOT(ISERROR(SEARCH($BB$8,AF919)))</xm:f>
            <xm:f>$BB$8</xm:f>
            <x14:dxf>
              <font>
                <b/>
                <i val="0"/>
                <color rgb="FFFF0000"/>
              </font>
            </x14:dxf>
          </x14:cfRule>
          <xm:sqref>AF919:AF938</xm:sqref>
        </x14:conditionalFormatting>
        <x14:conditionalFormatting xmlns:xm="http://schemas.microsoft.com/office/excel/2006/main">
          <x14:cfRule type="containsText" priority="118" operator="containsText" id="{20715C07-0697-4C10-BA7E-717CE7EE6ADB}">
            <xm:f>NOT(ISERROR(SEARCH($BC$7,AF919)))</xm:f>
            <xm:f>$BC$7</xm:f>
            <x14:dxf>
              <font>
                <b/>
                <i val="0"/>
                <color rgb="FF00B050"/>
              </font>
            </x14:dxf>
          </x14:cfRule>
          <xm:sqref>AF919:AF938</xm:sqref>
        </x14:conditionalFormatting>
        <x14:conditionalFormatting xmlns:xm="http://schemas.microsoft.com/office/excel/2006/main">
          <x14:cfRule type="containsText" priority="98" operator="containsText" id="{7C346DFE-8613-43E7-80C0-13522E480E6E}">
            <xm:f>NOT(ISERROR(SEARCH($BB$8,AF939)))</xm:f>
            <xm:f>$BB$8</xm:f>
            <x14:dxf>
              <font>
                <b/>
                <i val="0"/>
                <color rgb="FFFF0000"/>
              </font>
            </x14:dxf>
          </x14:cfRule>
          <xm:sqref>AF939:AF969</xm:sqref>
        </x14:conditionalFormatting>
        <x14:conditionalFormatting xmlns:xm="http://schemas.microsoft.com/office/excel/2006/main">
          <x14:cfRule type="containsText" priority="97" operator="containsText" id="{AE988F17-A532-4FB7-BB38-C8DC96526F57}">
            <xm:f>NOT(ISERROR(SEARCH($BC$7,AF939)))</xm:f>
            <xm:f>$BC$7</xm:f>
            <x14:dxf>
              <font>
                <b/>
                <i val="0"/>
                <color rgb="FF00B050"/>
              </font>
            </x14:dxf>
          </x14:cfRule>
          <xm:sqref>AF939:AF969</xm:sqref>
        </x14:conditionalFormatting>
        <x14:conditionalFormatting xmlns:xm="http://schemas.microsoft.com/office/excel/2006/main">
          <x14:cfRule type="containsText" priority="77" operator="containsText" id="{DAE0C6C9-224F-4DB9-B307-2C0D34ECF87F}">
            <xm:f>NOT(ISERROR(SEARCH($BB$8,AF970)))</xm:f>
            <xm:f>$BB$8</xm:f>
            <x14:dxf>
              <font>
                <b/>
                <i val="0"/>
                <color rgb="FFFF0000"/>
              </font>
            </x14:dxf>
          </x14:cfRule>
          <xm:sqref>AF970:AF1178</xm:sqref>
        </x14:conditionalFormatting>
        <x14:conditionalFormatting xmlns:xm="http://schemas.microsoft.com/office/excel/2006/main">
          <x14:cfRule type="containsText" priority="76" operator="containsText" id="{15AC1351-5838-42E3-9372-7F8F43BDC01E}">
            <xm:f>NOT(ISERROR(SEARCH($BC$7,AF970)))</xm:f>
            <xm:f>$BC$7</xm:f>
            <x14:dxf>
              <font>
                <b/>
                <i val="0"/>
                <color rgb="FF00B050"/>
              </font>
            </x14:dxf>
          </x14:cfRule>
          <xm:sqref>AF970:AF1178</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00000000-0002-0000-0400-00000F000000}">
          <x14:formula1>
            <xm:f>Hoja1!$B$13:$B$28</xm:f>
          </x14:formula1>
          <xm:sqref>AO76 AO237 AO420 AO532 AO664 AO669</xm:sqref>
        </x14:dataValidation>
        <x14:dataValidation type="list" allowBlank="1" showInputMessage="1" showErrorMessage="1" xr:uid="{00000000-0002-0000-0400-000010000000}">
          <x14:formula1>
            <xm:f>Hoja1!$B$13:$B$29</xm:f>
          </x14:formula1>
          <xm:sqref>AO115:AO116 AO87 AO257:AO275 AO284 AO286:AO289 AO291:AO292 AO294 AO23 AO302:AO303 AO300 AO307 AO309:AO319 AO322:AO323 AO325:AO343 AO345:AO351 AO353 AO356:AO366 AO368:AO387 AO389:AO390 AO392:AO394 AO396:AO397 AO401 AO404:AO405 AO408:AO412 AO415:AO419 AO424:AO425 AO427 AO429 AO431:AO432 AO435:AO440 AO447:AO449 AO507:AO509 AO451:AO453 AO457 AO461:AO466 AO468:AO471 AO473 AO476:AO478 AO480:AO481 AO485 AO489:AO490 AO492:AO495 AO497 AO501:AO503 AO515:AO516 AO511:AO512 AO519:AO520 AO523 AO526 AO528 AO530:AO531 AO533:AO534 AO536 AO539 AO542:AO543 AO545:AO547 AO549:AO550 AO552:AO553 AO555:AO558 AO560:AO563 AO565:AO566 AO568:AO573 AO575:AO579 AO582:AO583 AO588:AO589 AO592:AO594 AO596 AO599 AO602:AO604 AO608 AO613:AO615 AO617:AO623 AO632 AO634 AO639:AO641 AO646:AO649 AO651:AO653 AO655:AO657 AO659:AO660 AO665 AO667 AO671 AO674:AO678 AO686 AO692:AO694 AO699:AO700 AO703:AO705 AO709 AO712 AO716:AO717 AO720:AO721 AO725 AO734 AO736 AO742:AO744 AO748 AO753 AO760:AO761 AO764 AO766 AO772 AO783 AO803:AO807 AO809:AO819 AO823:AO824 AO826:AO827 AO832:AO836 AO841:AO858 AO860 AO869 AO873 AO876 AO878:AO886 AO888:AO891 AO894:AO897 AO899:AO912 AO921:AO923 AO926 AO931:AO936 AO938:AO942 AO945:AO946 AO949:AO951 AO953:AO954 AO956:AO960 AO964 AO966 AO968:AO969 AO971:AO972 AO977:AO978 AO980:AO985 AO989:AO996</xm:sqref>
        </x14:dataValidation>
        <x14:dataValidation type="list" allowBlank="1" showInputMessage="1" showErrorMessage="1" xr:uid="{00000000-0002-0000-0400-000011000000}">
          <x14:formula1>
            <xm:f>Hoja1!$B$63:$B$77</xm:f>
          </x14:formula1>
          <xm:sqref>AJ7</xm:sqref>
        </x14:dataValidation>
        <x14:dataValidation type="list" allowBlank="1" showInputMessage="1" showErrorMessage="1" xr:uid="{00000000-0002-0000-0400-000012000000}">
          <x14:formula1>
            <xm:f>Hoja1!$B$60:$B$74</xm:f>
          </x14:formula1>
          <xm:sqref>AJ8:AJ11</xm:sqref>
        </x14:dataValidation>
        <x14:dataValidation type="list" allowBlank="1" showInputMessage="1" showErrorMessage="1" xr:uid="{00000000-0002-0000-0400-000013000000}">
          <x14:formula1>
            <xm:f>Hoja1!$B$61:$B$75</xm:f>
          </x14:formula1>
          <xm:sqref>AJ286</xm:sqref>
        </x14:dataValidation>
        <x14:dataValidation type="list" allowBlank="1" showInputMessage="1" showErrorMessage="1" xr:uid="{00000000-0002-0000-0400-000014000000}">
          <x14:formula1>
            <xm:f>Hoja1!$B$32:$B$55</xm:f>
          </x14:formula1>
          <xm:sqref>AU481 AU477 AU153:AU167 AU269:AU326 AU408:AU420 AU169:AU206 AU454:AU455 AU353:AU359 AU361:AU384 AU328:AU351 AU398:AU401 AU403:AU406 AU208:AU267 AU7:AU151 AU458:AU460 AU392:AU396 AU437:AU440 AU445:AU446 AU432:AU434 AU422:AU424 AU462 AU465:AU474 AU426 AU479 AU386:AU389</xm:sqref>
        </x14:dataValidation>
        <x14:dataValidation type="list" allowBlank="1" showInputMessage="1" showErrorMessage="1" xr:uid="{00000000-0002-0000-0400-000015000000}">
          <x14:formula1>
            <xm:f>Hoja1!$B$3:$B$9</xm:f>
          </x14:formula1>
          <xm:sqref>AK738:AK742 AK796:AK798 AK486:AK525 AK545:AK576 AK527:AK543 AK578:AK582 AK596:AK597 AK584:AK594 AK412:AK484 AK745:AK773 AK617:AK643 AK7:AK410 AK650:AK665 AK599:AK601 AK603:AK615 AK667:AK689 AK691:AK701 AK645:AK648 AK703:AK735 AK775:AK784 AK789 AK792:AK793 AK800:AK903 AK905:AK945 AK947:AK949 AK951:AK968 AK970 AK973:AK979 AK981:AK990 AK992:AK993 AK995:AK1048576</xm:sqref>
        </x14:dataValidation>
        <x14:dataValidation type="list" allowBlank="1" showInputMessage="1" showErrorMessage="1" xr:uid="{00000000-0002-0000-0400-000016000000}">
          <x14:formula1>
            <xm:f>Hoja1!$B$57:$B$58</xm:f>
          </x14:formula1>
          <xm:sqref>AH7:AH482 AH486:AH493 AH496:AH509 AH511:AH533 AH536:AH543 AH545:AH549 AH551:AH558 AH560:AH566 AH568:AH574 AH576:AH582 AH584:AH597 AH600:AH605 AH608:AH611 AH613:AH615 AH617:AH621 AH623 AH626:AH630 AH632 AH635:AH636 AH639:AH640 AH642:AH655 AH658:AH663 AH665:AH672 AH674:AH675 AH677:AH680 AH684:AH686 AH692:AH700 AH703:AH705 AH711:AH712 AH716:AH717 AH719:AH721 AH725 AH727 AH729 AH732:AH733 AH736:AH738 AH741:AH744 AH746:AH757 AH760:AH761 AH763:AH764 AH766 AH769 AH772 AH778:AH779 AH784 AH803 AH805:AH819 AH821 AH823:AH825 AH829:AH830 AH837 AH857:AH858 AH867 AH869</xm:sqref>
        </x14:dataValidation>
        <x14:dataValidation type="list" allowBlank="1" showInputMessage="1" showErrorMessage="1" xr:uid="{00000000-0002-0000-0400-000017000000}">
          <x14:formula1>
            <xm:f>'\\cbprint\FONDO CUENTA\FONDO CUENTA\[Relación Contratos 2014 - 2014 (02-10-2014).xls]Hoja1'!#REF!</xm:f>
          </x14:formula1>
          <xm:sqref>AH689:AH691 AH745 AK690</xm:sqref>
        </x14:dataValidation>
        <x14:dataValidation type="list" allowBlank="1" showInputMessage="1" showErrorMessage="1" xr:uid="{00000000-0002-0000-0400-000018000000}">
          <x14:formula1>
            <xm:f>'\\cbprint\FONDO CUENTA\Contratos\[BASE DE DATOS 3-04-2019.xlsm]Hoja1'!#REF!</xm:f>
          </x14:formula1>
          <xm:sqref>AH767:AH768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604"/>
  <sheetViews>
    <sheetView topLeftCell="A46" workbookViewId="0">
      <selection activeCell="B34" sqref="B34"/>
    </sheetView>
  </sheetViews>
  <sheetFormatPr baseColWidth="10" defaultRowHeight="14.4" x14ac:dyDescent="0.3"/>
  <cols>
    <col min="2" max="2" width="32.5546875" customWidth="1"/>
    <col min="6" max="6" width="47.33203125" style="15" customWidth="1"/>
    <col min="7" max="8" width="16.44140625" style="15" bestFit="1" customWidth="1"/>
    <col min="9" max="15" width="11.44140625" style="15"/>
    <col min="16" max="16" width="15.33203125" style="15" customWidth="1"/>
    <col min="17" max="17" width="37.109375" style="15" customWidth="1"/>
    <col min="18" max="19" width="11.44140625" style="15"/>
    <col min="20" max="20" width="16.33203125" style="55" customWidth="1"/>
    <col min="21" max="21" width="11.44140625" style="54"/>
    <col min="22" max="25" width="11.44140625" style="15"/>
    <col min="26" max="26" width="17.109375" style="54" customWidth="1"/>
    <col min="27" max="27" width="11.44140625" style="56"/>
    <col min="28" max="30" width="11.44140625" style="15"/>
    <col min="31" max="31" width="17.88671875" style="15" customWidth="1"/>
    <col min="32" max="32" width="18.6640625" style="15" customWidth="1"/>
    <col min="33" max="38" width="11.44140625" style="15"/>
  </cols>
  <sheetData>
    <row r="1" spans="1:38" x14ac:dyDescent="0.3">
      <c r="F1"/>
      <c r="G1"/>
      <c r="H1"/>
      <c r="I1"/>
      <c r="J1"/>
      <c r="K1"/>
      <c r="L1"/>
      <c r="M1"/>
      <c r="N1"/>
      <c r="O1"/>
      <c r="S1"/>
      <c r="T1" s="55" t="s">
        <v>591</v>
      </c>
      <c r="U1" s="54" t="s">
        <v>907</v>
      </c>
      <c r="V1"/>
      <c r="W1"/>
      <c r="X1"/>
      <c r="Y1"/>
      <c r="Z1" s="55" t="s">
        <v>591</v>
      </c>
      <c r="AA1" s="56" t="s">
        <v>907</v>
      </c>
      <c r="AB1"/>
      <c r="AC1"/>
      <c r="AD1"/>
      <c r="AE1" s="55" t="s">
        <v>591</v>
      </c>
      <c r="AF1" s="56" t="s">
        <v>592</v>
      </c>
      <c r="AG1"/>
      <c r="AH1"/>
      <c r="AI1"/>
      <c r="AJ1"/>
      <c r="AK1"/>
      <c r="AL1"/>
    </row>
    <row r="2" spans="1:38" x14ac:dyDescent="0.3">
      <c r="B2" s="50" t="s">
        <v>558</v>
      </c>
      <c r="D2" t="s">
        <v>570</v>
      </c>
      <c r="H2"/>
      <c r="I2"/>
      <c r="J2" t="s">
        <v>390</v>
      </c>
      <c r="K2"/>
      <c r="L2"/>
      <c r="M2"/>
      <c r="N2"/>
      <c r="O2"/>
      <c r="S2"/>
      <c r="T2" s="54" t="s">
        <v>601</v>
      </c>
      <c r="U2" s="54" t="s">
        <v>908</v>
      </c>
      <c r="V2"/>
      <c r="W2"/>
      <c r="X2"/>
      <c r="Y2"/>
      <c r="Z2" s="55" t="s">
        <v>278</v>
      </c>
      <c r="AA2" s="56" t="s">
        <v>908</v>
      </c>
      <c r="AB2"/>
      <c r="AC2"/>
      <c r="AD2"/>
      <c r="AE2" s="55" t="s">
        <v>278</v>
      </c>
      <c r="AF2" s="56" t="s">
        <v>899</v>
      </c>
      <c r="AG2"/>
      <c r="AH2"/>
      <c r="AI2"/>
      <c r="AJ2"/>
      <c r="AK2"/>
      <c r="AL2"/>
    </row>
    <row r="3" spans="1:38" x14ac:dyDescent="0.3">
      <c r="B3" s="49" t="s">
        <v>559</v>
      </c>
      <c r="D3" t="s">
        <v>571</v>
      </c>
      <c r="F3" s="87" t="s">
        <v>1685</v>
      </c>
      <c r="G3" s="447">
        <v>29809977000</v>
      </c>
      <c r="H3" s="397">
        <f>G4+G40</f>
        <v>29809977000</v>
      </c>
      <c r="I3"/>
      <c r="J3" t="s">
        <v>391</v>
      </c>
      <c r="M3"/>
      <c r="N3"/>
      <c r="O3"/>
      <c r="S3"/>
      <c r="T3" s="54" t="s">
        <v>602</v>
      </c>
      <c r="U3" s="54" t="s">
        <v>909</v>
      </c>
      <c r="V3"/>
      <c r="W3"/>
      <c r="X3"/>
      <c r="Y3"/>
      <c r="Z3" s="55" t="s">
        <v>270</v>
      </c>
      <c r="AA3" s="56" t="s">
        <v>908</v>
      </c>
      <c r="AB3"/>
      <c r="AC3"/>
      <c r="AD3"/>
      <c r="AE3" s="55" t="s">
        <v>270</v>
      </c>
      <c r="AF3" s="56" t="s">
        <v>898</v>
      </c>
      <c r="AG3"/>
      <c r="AH3"/>
      <c r="AI3"/>
      <c r="AJ3"/>
      <c r="AK3"/>
      <c r="AL3"/>
    </row>
    <row r="4" spans="1:38" x14ac:dyDescent="0.3">
      <c r="A4" s="44"/>
      <c r="B4" s="49" t="s">
        <v>560</v>
      </c>
      <c r="C4" s="36"/>
      <c r="F4" s="401" t="s">
        <v>1683</v>
      </c>
      <c r="G4" s="448">
        <v>22267500000</v>
      </c>
      <c r="H4" s="397">
        <f>G5+G11</f>
        <v>22267500000</v>
      </c>
      <c r="J4" s="51"/>
      <c r="T4" s="54" t="s">
        <v>603</v>
      </c>
      <c r="U4" s="54" t="s">
        <v>908</v>
      </c>
      <c r="Z4" s="55" t="s">
        <v>267</v>
      </c>
      <c r="AA4" s="56" t="s">
        <v>908</v>
      </c>
      <c r="AE4" s="55" t="s">
        <v>267</v>
      </c>
      <c r="AF4" s="56" t="s">
        <v>901</v>
      </c>
    </row>
    <row r="5" spans="1:38" x14ac:dyDescent="0.3">
      <c r="A5" s="44"/>
      <c r="B5" s="49" t="s">
        <v>561</v>
      </c>
      <c r="C5" s="36"/>
      <c r="F5" s="87" t="s">
        <v>1682</v>
      </c>
      <c r="G5" s="447">
        <v>13495500000</v>
      </c>
      <c r="J5" s="15">
        <v>2015</v>
      </c>
      <c r="T5" s="54" t="s">
        <v>604</v>
      </c>
      <c r="U5" s="54" t="s">
        <v>908</v>
      </c>
      <c r="Z5" s="55" t="s">
        <v>245</v>
      </c>
      <c r="AA5" s="56" t="s">
        <v>908</v>
      </c>
      <c r="AE5" s="55" t="s">
        <v>245</v>
      </c>
      <c r="AF5" s="56" t="s">
        <v>898</v>
      </c>
    </row>
    <row r="6" spans="1:38" x14ac:dyDescent="0.3">
      <c r="A6" s="44"/>
      <c r="B6" s="49" t="s">
        <v>563</v>
      </c>
      <c r="C6" s="36"/>
      <c r="F6" s="398" t="s">
        <v>1681</v>
      </c>
      <c r="G6" s="447">
        <v>13495500000</v>
      </c>
      <c r="J6" s="15">
        <v>2016</v>
      </c>
      <c r="T6" s="54" t="s">
        <v>605</v>
      </c>
      <c r="U6" s="54" t="s">
        <v>908</v>
      </c>
      <c r="Z6" s="55" t="s">
        <v>247</v>
      </c>
      <c r="AA6" s="56" t="s">
        <v>908</v>
      </c>
      <c r="AE6" s="55" t="s">
        <v>247</v>
      </c>
      <c r="AF6" s="56" t="s">
        <v>898</v>
      </c>
    </row>
    <row r="7" spans="1:38" x14ac:dyDescent="0.3">
      <c r="A7" s="45"/>
      <c r="B7" s="49" t="s">
        <v>564</v>
      </c>
      <c r="C7" s="36"/>
      <c r="F7" s="399" t="s">
        <v>1680</v>
      </c>
      <c r="G7" s="449">
        <v>13475500000</v>
      </c>
      <c r="J7" s="51"/>
      <c r="T7" s="54" t="s">
        <v>606</v>
      </c>
      <c r="U7" s="54" t="s">
        <v>908</v>
      </c>
      <c r="Z7" s="55" t="s">
        <v>248</v>
      </c>
      <c r="AA7" s="56" t="s">
        <v>908</v>
      </c>
      <c r="AE7" s="55" t="s">
        <v>248</v>
      </c>
      <c r="AF7" s="56" t="s">
        <v>898</v>
      </c>
    </row>
    <row r="8" spans="1:38" x14ac:dyDescent="0.3">
      <c r="A8" s="45"/>
      <c r="B8" s="49" t="s">
        <v>565</v>
      </c>
      <c r="C8" s="36"/>
      <c r="F8" s="396" t="s">
        <v>1642</v>
      </c>
      <c r="G8" s="449">
        <v>730500000</v>
      </c>
      <c r="T8" s="54" t="s">
        <v>607</v>
      </c>
      <c r="U8" s="54" t="s">
        <v>908</v>
      </c>
      <c r="Z8" s="55" t="s">
        <v>268</v>
      </c>
      <c r="AA8" s="56" t="s">
        <v>908</v>
      </c>
      <c r="AE8" s="55" t="s">
        <v>268</v>
      </c>
      <c r="AF8" s="56" t="s">
        <v>898</v>
      </c>
    </row>
    <row r="9" spans="1:38" x14ac:dyDescent="0.3">
      <c r="A9" s="45"/>
      <c r="B9" s="49" t="s">
        <v>562</v>
      </c>
      <c r="C9" s="36"/>
      <c r="F9" s="396" t="s">
        <v>1643</v>
      </c>
      <c r="G9" s="449">
        <v>12745000000</v>
      </c>
      <c r="T9" s="54" t="s">
        <v>608</v>
      </c>
      <c r="U9" s="54" t="s">
        <v>908</v>
      </c>
      <c r="Z9" s="55" t="s">
        <v>253</v>
      </c>
      <c r="AA9" s="56" t="s">
        <v>908</v>
      </c>
      <c r="AE9" s="55" t="s">
        <v>253</v>
      </c>
      <c r="AF9" s="56" t="s">
        <v>951</v>
      </c>
    </row>
    <row r="10" spans="1:38" x14ac:dyDescent="0.3">
      <c r="A10" s="45"/>
      <c r="B10" s="45"/>
      <c r="C10" s="36"/>
      <c r="F10" s="396" t="s">
        <v>1644</v>
      </c>
      <c r="G10" s="449">
        <v>20000000</v>
      </c>
      <c r="J10" s="51"/>
      <c r="T10" s="54" t="s">
        <v>609</v>
      </c>
      <c r="U10" s="54" t="s">
        <v>908</v>
      </c>
      <c r="Z10" s="55" t="s">
        <v>255</v>
      </c>
      <c r="AA10" s="56" t="s">
        <v>908</v>
      </c>
      <c r="AE10" s="55" t="s">
        <v>255</v>
      </c>
      <c r="AF10" s="56" t="s">
        <v>898</v>
      </c>
    </row>
    <row r="11" spans="1:38" x14ac:dyDescent="0.3">
      <c r="A11" s="45"/>
      <c r="B11" s="45"/>
      <c r="C11" s="36"/>
      <c r="F11" s="400" t="s">
        <v>1645</v>
      </c>
      <c r="G11" s="450">
        <v>8772000000</v>
      </c>
      <c r="J11" s="51"/>
      <c r="T11" s="54" t="s">
        <v>610</v>
      </c>
      <c r="U11" s="54" t="s">
        <v>908</v>
      </c>
      <c r="Z11" s="55" t="s">
        <v>250</v>
      </c>
      <c r="AA11" s="56" t="s">
        <v>908</v>
      </c>
      <c r="AE11" s="55" t="s">
        <v>250</v>
      </c>
      <c r="AF11" s="56" t="s">
        <v>898</v>
      </c>
    </row>
    <row r="12" spans="1:38" x14ac:dyDescent="0.3">
      <c r="A12" s="45"/>
      <c r="B12" s="53" t="s">
        <v>572</v>
      </c>
      <c r="C12" s="36"/>
      <c r="D12" s="405" t="s">
        <v>1684</v>
      </c>
      <c r="F12" s="396" t="s">
        <v>1646</v>
      </c>
      <c r="G12" s="449">
        <v>1589000000</v>
      </c>
      <c r="J12" s="51"/>
      <c r="T12" s="54" t="s">
        <v>611</v>
      </c>
      <c r="U12" s="54" t="s">
        <v>908</v>
      </c>
      <c r="Z12" s="55" t="s">
        <v>256</v>
      </c>
      <c r="AA12" s="56" t="s">
        <v>908</v>
      </c>
      <c r="AE12" s="55" t="s">
        <v>256</v>
      </c>
      <c r="AF12" s="56" t="s">
        <v>898</v>
      </c>
    </row>
    <row r="13" spans="1:38" x14ac:dyDescent="0.3">
      <c r="A13" s="45"/>
      <c r="B13" s="2" t="s">
        <v>573</v>
      </c>
      <c r="C13" s="36"/>
      <c r="D13" s="49" t="s">
        <v>1674</v>
      </c>
      <c r="F13" s="396" t="s">
        <v>1647</v>
      </c>
      <c r="G13" s="449">
        <v>914000000</v>
      </c>
      <c r="J13" s="51"/>
      <c r="T13" s="54" t="s">
        <v>612</v>
      </c>
      <c r="U13" s="54" t="s">
        <v>908</v>
      </c>
      <c r="Z13" s="55" t="s">
        <v>260</v>
      </c>
      <c r="AA13" s="56" t="s">
        <v>910</v>
      </c>
      <c r="AE13" s="55" t="s">
        <v>260</v>
      </c>
      <c r="AF13" s="56" t="s">
        <v>899</v>
      </c>
    </row>
    <row r="14" spans="1:38" ht="20.399999999999999" x14ac:dyDescent="0.3">
      <c r="A14" s="45"/>
      <c r="B14" s="2" t="s">
        <v>574</v>
      </c>
      <c r="C14" s="36"/>
      <c r="D14" s="49" t="s">
        <v>1641</v>
      </c>
      <c r="F14" s="396" t="s">
        <v>1648</v>
      </c>
      <c r="G14" s="449">
        <v>452000000</v>
      </c>
      <c r="J14" s="51"/>
      <c r="T14" s="54" t="s">
        <v>613</v>
      </c>
      <c r="U14" s="54" t="s">
        <v>908</v>
      </c>
      <c r="Z14" s="55" t="s">
        <v>271</v>
      </c>
      <c r="AA14" s="56" t="s">
        <v>909</v>
      </c>
      <c r="AE14" s="55" t="s">
        <v>271</v>
      </c>
      <c r="AF14" s="56" t="s">
        <v>901</v>
      </c>
    </row>
    <row r="15" spans="1:38" x14ac:dyDescent="0.3">
      <c r="A15" s="44"/>
      <c r="B15" s="9" t="s">
        <v>575</v>
      </c>
      <c r="C15" s="36"/>
      <c r="F15" s="396" t="s">
        <v>1649</v>
      </c>
      <c r="G15" s="449">
        <v>223000000</v>
      </c>
      <c r="J15" s="51"/>
      <c r="T15" s="54" t="s">
        <v>614</v>
      </c>
      <c r="U15" s="54" t="s">
        <v>908</v>
      </c>
      <c r="Z15" s="55" t="s">
        <v>400</v>
      </c>
      <c r="AA15" s="56" t="s">
        <v>909</v>
      </c>
      <c r="AE15" s="55" t="s">
        <v>400</v>
      </c>
      <c r="AF15" s="56" t="s">
        <v>899</v>
      </c>
    </row>
    <row r="16" spans="1:38" x14ac:dyDescent="0.3">
      <c r="A16" s="46"/>
      <c r="B16" s="9" t="s">
        <v>576</v>
      </c>
      <c r="C16" s="36"/>
      <c r="F16" s="396" t="s">
        <v>1650</v>
      </c>
      <c r="G16" s="449">
        <v>7182000000</v>
      </c>
      <c r="J16" s="51"/>
      <c r="T16" s="54" t="s">
        <v>615</v>
      </c>
      <c r="U16" s="54" t="s">
        <v>908</v>
      </c>
      <c r="Z16" s="55" t="s">
        <v>279</v>
      </c>
      <c r="AA16" s="56" t="s">
        <v>909</v>
      </c>
      <c r="AE16" s="55" t="s">
        <v>279</v>
      </c>
      <c r="AF16" s="56" t="s">
        <v>899</v>
      </c>
    </row>
    <row r="17" spans="1:32" x14ac:dyDescent="0.3">
      <c r="A17" s="47"/>
      <c r="B17" s="5" t="s">
        <v>577</v>
      </c>
      <c r="C17" s="36"/>
      <c r="D17" t="s">
        <v>1067</v>
      </c>
      <c r="F17" s="396" t="s">
        <v>1651</v>
      </c>
      <c r="G17" s="449">
        <v>229000000</v>
      </c>
      <c r="J17" s="51"/>
      <c r="T17" s="54" t="s">
        <v>616</v>
      </c>
      <c r="U17" s="54" t="s">
        <v>908</v>
      </c>
      <c r="Z17" s="55" t="s">
        <v>283</v>
      </c>
      <c r="AA17" s="56" t="s">
        <v>910</v>
      </c>
      <c r="AE17" s="55" t="s">
        <v>283</v>
      </c>
      <c r="AF17" s="56" t="s">
        <v>898</v>
      </c>
    </row>
    <row r="18" spans="1:32" x14ac:dyDescent="0.3">
      <c r="A18" s="47"/>
      <c r="B18" s="2" t="s">
        <v>578</v>
      </c>
      <c r="C18" s="36"/>
      <c r="D18" t="s">
        <v>927</v>
      </c>
      <c r="F18" s="396" t="s">
        <v>1652</v>
      </c>
      <c r="G18" s="449">
        <v>54000000</v>
      </c>
      <c r="J18" s="51"/>
      <c r="T18" s="54" t="s">
        <v>617</v>
      </c>
      <c r="U18" s="54" t="s">
        <v>908</v>
      </c>
      <c r="Z18" s="55" t="s">
        <v>401</v>
      </c>
      <c r="AA18" s="56" t="s">
        <v>913</v>
      </c>
      <c r="AE18" s="55" t="s">
        <v>401</v>
      </c>
      <c r="AF18" s="56" t="s">
        <v>590</v>
      </c>
    </row>
    <row r="19" spans="1:32" x14ac:dyDescent="0.3">
      <c r="A19" s="47"/>
      <c r="B19" s="2" t="s">
        <v>579</v>
      </c>
      <c r="C19" s="36"/>
      <c r="F19" s="396" t="s">
        <v>1653</v>
      </c>
      <c r="G19" s="449">
        <v>1243000000</v>
      </c>
      <c r="T19" s="54" t="s">
        <v>618</v>
      </c>
      <c r="U19" s="54" t="s">
        <v>908</v>
      </c>
      <c r="Z19" s="55" t="s">
        <v>291</v>
      </c>
      <c r="AA19" s="56" t="s">
        <v>908</v>
      </c>
      <c r="AE19" s="55" t="s">
        <v>291</v>
      </c>
      <c r="AF19" s="56" t="s">
        <v>901</v>
      </c>
    </row>
    <row r="20" spans="1:32" x14ac:dyDescent="0.3">
      <c r="A20" s="47"/>
      <c r="B20" s="2" t="s">
        <v>580</v>
      </c>
      <c r="C20" s="36"/>
      <c r="F20" s="396" t="s">
        <v>1654</v>
      </c>
      <c r="G20" s="449">
        <v>1243000000</v>
      </c>
      <c r="J20" s="51"/>
      <c r="T20" s="54" t="s">
        <v>619</v>
      </c>
      <c r="U20" s="54" t="s">
        <v>908</v>
      </c>
      <c r="Z20" s="55" t="s">
        <v>285</v>
      </c>
      <c r="AA20" s="56" t="s">
        <v>920</v>
      </c>
      <c r="AE20" s="55" t="s">
        <v>285</v>
      </c>
      <c r="AF20" s="56" t="s">
        <v>900</v>
      </c>
    </row>
    <row r="21" spans="1:32" x14ac:dyDescent="0.3">
      <c r="A21" s="46"/>
      <c r="B21" s="9" t="s">
        <v>581</v>
      </c>
      <c r="C21" s="36"/>
      <c r="F21" s="396" t="s">
        <v>1655</v>
      </c>
      <c r="G21" s="449">
        <v>1488000000</v>
      </c>
      <c r="J21" s="51"/>
      <c r="T21" s="55" t="s">
        <v>78</v>
      </c>
      <c r="U21" s="54" t="s">
        <v>910</v>
      </c>
      <c r="Z21" s="55" t="s">
        <v>292</v>
      </c>
      <c r="AA21" s="56" t="s">
        <v>909</v>
      </c>
      <c r="AE21" s="55" t="s">
        <v>292</v>
      </c>
      <c r="AF21" s="56" t="s">
        <v>899</v>
      </c>
    </row>
    <row r="22" spans="1:32" x14ac:dyDescent="0.3">
      <c r="A22" s="47"/>
      <c r="B22" s="2" t="s">
        <v>582</v>
      </c>
      <c r="C22" s="36"/>
      <c r="F22" s="396" t="s">
        <v>1656</v>
      </c>
      <c r="G22" s="449">
        <v>194693000</v>
      </c>
      <c r="J22" s="51"/>
      <c r="T22" s="55" t="s">
        <v>78</v>
      </c>
      <c r="U22" s="54" t="s">
        <v>910</v>
      </c>
      <c r="Z22" s="55" t="s">
        <v>297</v>
      </c>
      <c r="AA22" s="56" t="s">
        <v>913</v>
      </c>
      <c r="AE22" s="55" t="s">
        <v>297</v>
      </c>
      <c r="AF22" s="56" t="s">
        <v>899</v>
      </c>
    </row>
    <row r="23" spans="1:32" x14ac:dyDescent="0.3">
      <c r="A23" s="47"/>
      <c r="B23" s="2" t="s">
        <v>583</v>
      </c>
      <c r="C23" s="36"/>
      <c r="F23" s="396" t="s">
        <v>1657</v>
      </c>
      <c r="G23" s="449">
        <v>212307000</v>
      </c>
      <c r="J23" s="51"/>
      <c r="T23" s="54" t="s">
        <v>620</v>
      </c>
      <c r="U23" s="54" t="s">
        <v>908</v>
      </c>
      <c r="Z23" s="55" t="s">
        <v>919</v>
      </c>
      <c r="AA23" s="56" t="s">
        <v>920</v>
      </c>
      <c r="AE23" s="55" t="s">
        <v>919</v>
      </c>
      <c r="AF23" s="56" t="s">
        <v>899</v>
      </c>
    </row>
    <row r="24" spans="1:32" x14ac:dyDescent="0.3">
      <c r="A24" s="47"/>
      <c r="B24" s="2" t="s">
        <v>584</v>
      </c>
      <c r="C24" s="36"/>
      <c r="F24" s="396" t="s">
        <v>1658</v>
      </c>
      <c r="G24" s="449">
        <v>1081000000</v>
      </c>
      <c r="J24" s="51"/>
      <c r="T24" s="54" t="s">
        <v>621</v>
      </c>
      <c r="U24" s="54" t="s">
        <v>908</v>
      </c>
      <c r="Z24" s="55" t="s">
        <v>304</v>
      </c>
      <c r="AA24" s="56" t="s">
        <v>908</v>
      </c>
      <c r="AE24" s="55" t="s">
        <v>304</v>
      </c>
      <c r="AF24" s="56" t="s">
        <v>899</v>
      </c>
    </row>
    <row r="25" spans="1:32" x14ac:dyDescent="0.3">
      <c r="A25" s="46"/>
      <c r="B25" s="9" t="s">
        <v>585</v>
      </c>
      <c r="C25" s="36"/>
      <c r="F25" s="396" t="s">
        <v>1659</v>
      </c>
      <c r="G25" s="449">
        <v>430000000</v>
      </c>
      <c r="J25" s="51"/>
      <c r="T25" s="54" t="s">
        <v>622</v>
      </c>
      <c r="U25" s="54" t="s">
        <v>909</v>
      </c>
      <c r="Z25" s="55" t="s">
        <v>307</v>
      </c>
      <c r="AA25" s="56" t="s">
        <v>908</v>
      </c>
      <c r="AE25" s="55" t="s">
        <v>307</v>
      </c>
      <c r="AF25" s="56" t="s">
        <v>952</v>
      </c>
    </row>
    <row r="26" spans="1:32" ht="20.399999999999999" x14ac:dyDescent="0.3">
      <c r="A26" s="48"/>
      <c r="B26" s="2" t="s">
        <v>586</v>
      </c>
      <c r="C26" s="36"/>
      <c r="F26" s="396" t="s">
        <v>1660</v>
      </c>
      <c r="G26" s="449">
        <v>206250000</v>
      </c>
      <c r="J26" s="51"/>
      <c r="T26" s="55" t="s">
        <v>80</v>
      </c>
      <c r="U26" s="54" t="s">
        <v>909</v>
      </c>
      <c r="Z26" s="55" t="s">
        <v>590</v>
      </c>
      <c r="AA26" s="56" t="s">
        <v>908</v>
      </c>
      <c r="AE26" s="55" t="s">
        <v>590</v>
      </c>
      <c r="AF26" s="56" t="s">
        <v>898</v>
      </c>
    </row>
    <row r="27" spans="1:32" ht="20.399999999999999" x14ac:dyDescent="0.3">
      <c r="B27" s="2" t="s">
        <v>587</v>
      </c>
      <c r="F27" s="396" t="s">
        <v>1661</v>
      </c>
      <c r="G27" s="449">
        <v>36750000</v>
      </c>
      <c r="J27" s="51"/>
      <c r="T27" s="54" t="s">
        <v>623</v>
      </c>
      <c r="U27" s="54" t="s">
        <v>908</v>
      </c>
      <c r="Z27" s="55" t="s">
        <v>590</v>
      </c>
      <c r="AA27" s="56" t="s">
        <v>908</v>
      </c>
      <c r="AE27" s="55" t="s">
        <v>590</v>
      </c>
      <c r="AF27" s="56" t="s">
        <v>953</v>
      </c>
    </row>
    <row r="28" spans="1:32" x14ac:dyDescent="0.3">
      <c r="B28" s="2" t="s">
        <v>588</v>
      </c>
      <c r="F28" s="396" t="s">
        <v>1662</v>
      </c>
      <c r="G28" s="449">
        <v>58000000</v>
      </c>
      <c r="J28" s="51"/>
      <c r="T28" s="54" t="s">
        <v>624</v>
      </c>
      <c r="U28" s="54" t="s">
        <v>908</v>
      </c>
      <c r="Z28" s="55"/>
    </row>
    <row r="29" spans="1:32" x14ac:dyDescent="0.3">
      <c r="B29" s="2" t="s">
        <v>921</v>
      </c>
      <c r="F29" s="396" t="s">
        <v>1663</v>
      </c>
      <c r="G29" s="449">
        <v>129000000</v>
      </c>
      <c r="J29" s="51"/>
      <c r="T29" s="54" t="s">
        <v>625</v>
      </c>
      <c r="U29" s="54" t="s">
        <v>908</v>
      </c>
      <c r="Z29" s="55"/>
    </row>
    <row r="30" spans="1:32" x14ac:dyDescent="0.3">
      <c r="F30" s="396" t="s">
        <v>1664</v>
      </c>
      <c r="G30" s="449">
        <v>478000000</v>
      </c>
      <c r="J30" s="51"/>
      <c r="T30" s="54" t="s">
        <v>626</v>
      </c>
      <c r="U30" s="54" t="s">
        <v>908</v>
      </c>
      <c r="Z30" s="55"/>
    </row>
    <row r="31" spans="1:32" x14ac:dyDescent="0.3">
      <c r="B31" s="71" t="s">
        <v>980</v>
      </c>
      <c r="F31" s="396" t="s">
        <v>1665</v>
      </c>
      <c r="G31" s="449">
        <v>478000000</v>
      </c>
      <c r="J31" s="51"/>
      <c r="T31" s="54" t="s">
        <v>627</v>
      </c>
      <c r="U31" s="54" t="s">
        <v>909</v>
      </c>
      <c r="Z31" s="55"/>
    </row>
    <row r="32" spans="1:32" x14ac:dyDescent="0.3">
      <c r="F32" s="396" t="s">
        <v>1666</v>
      </c>
      <c r="G32" s="449">
        <v>834000000</v>
      </c>
      <c r="T32" s="54" t="s">
        <v>628</v>
      </c>
      <c r="U32" s="54" t="s">
        <v>908</v>
      </c>
      <c r="Z32" s="55"/>
    </row>
    <row r="33" spans="2:38" x14ac:dyDescent="0.3">
      <c r="B33" t="s">
        <v>2599</v>
      </c>
      <c r="F33" s="396" t="s">
        <v>1667</v>
      </c>
      <c r="G33" s="449">
        <v>478000000</v>
      </c>
      <c r="J33" s="51"/>
      <c r="T33" s="54" t="s">
        <v>629</v>
      </c>
      <c r="U33" s="54" t="s">
        <v>908</v>
      </c>
      <c r="Z33" s="55"/>
    </row>
    <row r="34" spans="2:38" x14ac:dyDescent="0.3">
      <c r="B34" t="s">
        <v>2601</v>
      </c>
      <c r="F34" s="396" t="s">
        <v>1668</v>
      </c>
      <c r="G34" s="449">
        <v>108000000</v>
      </c>
      <c r="J34" s="51"/>
      <c r="T34" s="54" t="s">
        <v>630</v>
      </c>
      <c r="U34" s="54" t="s">
        <v>908</v>
      </c>
    </row>
    <row r="35" spans="2:38" x14ac:dyDescent="0.3">
      <c r="B35" t="s">
        <v>2600</v>
      </c>
      <c r="F35" s="396" t="s">
        <v>1669</v>
      </c>
      <c r="G35" s="449">
        <v>40000000</v>
      </c>
      <c r="T35" s="54" t="s">
        <v>631</v>
      </c>
      <c r="U35" s="54" t="s">
        <v>908</v>
      </c>
    </row>
    <row r="36" spans="2:38" ht="28.8" x14ac:dyDescent="0.3">
      <c r="B36" s="49" t="s">
        <v>981</v>
      </c>
      <c r="F36" s="396" t="s">
        <v>1670</v>
      </c>
      <c r="G36" s="449">
        <v>40000000</v>
      </c>
      <c r="J36" s="51"/>
      <c r="T36" s="54" t="s">
        <v>632</v>
      </c>
      <c r="U36" s="54" t="s">
        <v>908</v>
      </c>
    </row>
    <row r="37" spans="2:38" x14ac:dyDescent="0.3">
      <c r="B37" s="49" t="s">
        <v>1391</v>
      </c>
      <c r="F37" s="396" t="s">
        <v>1671</v>
      </c>
      <c r="G37" s="449">
        <v>1800000000</v>
      </c>
      <c r="J37" s="51"/>
      <c r="T37" s="54" t="s">
        <v>632</v>
      </c>
      <c r="U37" s="54" t="s">
        <v>908</v>
      </c>
    </row>
    <row r="38" spans="2:38" s="54" customFormat="1" x14ac:dyDescent="0.3">
      <c r="B38" s="49" t="s">
        <v>1442</v>
      </c>
      <c r="F38" s="396" t="s">
        <v>1672</v>
      </c>
      <c r="G38" s="449">
        <v>1000000</v>
      </c>
      <c r="H38" s="15"/>
      <c r="I38" s="15"/>
      <c r="J38" s="51"/>
      <c r="K38" s="15"/>
      <c r="L38" s="15"/>
      <c r="M38" s="15"/>
      <c r="N38" s="15"/>
      <c r="O38" s="15"/>
      <c r="P38" s="15"/>
      <c r="Q38" s="15"/>
      <c r="R38" s="15"/>
      <c r="S38" s="15"/>
      <c r="V38" s="15"/>
      <c r="W38" s="15"/>
      <c r="X38" s="15"/>
      <c r="Y38" s="15"/>
      <c r="AA38" s="56"/>
      <c r="AB38" s="15"/>
      <c r="AC38" s="15"/>
      <c r="AD38" s="15"/>
      <c r="AE38" s="15"/>
      <c r="AF38" s="15"/>
      <c r="AG38" s="15"/>
      <c r="AH38" s="15"/>
      <c r="AI38" s="15"/>
      <c r="AJ38" s="15"/>
      <c r="AK38" s="15"/>
      <c r="AL38" s="15"/>
    </row>
    <row r="39" spans="2:38" ht="28.8" x14ac:dyDescent="0.3">
      <c r="B39" s="49" t="s">
        <v>1150</v>
      </c>
      <c r="F39" s="396" t="s">
        <v>1673</v>
      </c>
      <c r="G39" s="449">
        <v>1000000</v>
      </c>
      <c r="J39" s="51"/>
      <c r="T39" s="54" t="s">
        <v>633</v>
      </c>
      <c r="U39" s="54" t="s">
        <v>908</v>
      </c>
    </row>
    <row r="40" spans="2:38" x14ac:dyDescent="0.3">
      <c r="B40" s="49" t="s">
        <v>1509</v>
      </c>
      <c r="F40" s="451" t="s">
        <v>1687</v>
      </c>
      <c r="G40" s="448">
        <v>7542477000</v>
      </c>
      <c r="J40" s="51"/>
      <c r="T40" s="54" t="s">
        <v>634</v>
      </c>
      <c r="U40" s="54" t="s">
        <v>908</v>
      </c>
    </row>
    <row r="41" spans="2:38" x14ac:dyDescent="0.3">
      <c r="B41" s="49" t="s">
        <v>983</v>
      </c>
      <c r="F41" s="452" t="s">
        <v>1686</v>
      </c>
      <c r="G41" s="447">
        <v>7542477000</v>
      </c>
      <c r="J41" s="51"/>
      <c r="T41" s="54" t="s">
        <v>82</v>
      </c>
      <c r="U41" s="54" t="s">
        <v>909</v>
      </c>
    </row>
    <row r="42" spans="2:38" s="54" customFormat="1" x14ac:dyDescent="0.3">
      <c r="B42" s="49" t="s">
        <v>1991</v>
      </c>
      <c r="F42" s="396" t="s">
        <v>1675</v>
      </c>
      <c r="G42" s="449">
        <v>7542477000</v>
      </c>
      <c r="H42" s="15"/>
      <c r="I42" s="15"/>
      <c r="J42" s="51"/>
      <c r="K42" s="15"/>
      <c r="L42" s="15"/>
      <c r="M42" s="15"/>
      <c r="N42" s="15"/>
      <c r="O42" s="15"/>
      <c r="P42" s="15"/>
      <c r="Q42" s="15"/>
      <c r="R42" s="15"/>
      <c r="S42" s="15"/>
      <c r="V42" s="15"/>
      <c r="W42" s="15"/>
      <c r="X42" s="15"/>
      <c r="Y42" s="15"/>
      <c r="AA42" s="56"/>
      <c r="AB42" s="15"/>
      <c r="AC42" s="15"/>
      <c r="AD42" s="15"/>
      <c r="AE42" s="15"/>
      <c r="AF42" s="15"/>
      <c r="AG42" s="15"/>
      <c r="AH42" s="15"/>
      <c r="AI42" s="15"/>
      <c r="AJ42" s="15"/>
      <c r="AK42" s="15"/>
      <c r="AL42" s="15"/>
    </row>
    <row r="43" spans="2:38" s="54" customFormat="1" ht="28.8" x14ac:dyDescent="0.3">
      <c r="B43" s="49" t="s">
        <v>1568</v>
      </c>
      <c r="F43" s="396" t="s">
        <v>1676</v>
      </c>
      <c r="G43" s="449">
        <v>7542477000</v>
      </c>
      <c r="H43" s="15"/>
      <c r="I43" s="15"/>
      <c r="J43" s="51"/>
      <c r="K43" s="15"/>
      <c r="L43" s="15"/>
      <c r="M43" s="15"/>
      <c r="N43" s="15"/>
      <c r="O43" s="15"/>
      <c r="P43" s="15"/>
      <c r="Q43" s="15"/>
      <c r="R43" s="15"/>
      <c r="S43" s="15"/>
      <c r="V43" s="15"/>
      <c r="W43" s="15"/>
      <c r="X43" s="15"/>
      <c r="Y43" s="15"/>
      <c r="AA43" s="56"/>
      <c r="AB43" s="15"/>
      <c r="AC43" s="15"/>
      <c r="AD43" s="15"/>
      <c r="AE43" s="15"/>
      <c r="AF43" s="15"/>
      <c r="AG43" s="15"/>
      <c r="AH43" s="15"/>
      <c r="AI43" s="15"/>
      <c r="AJ43" s="15"/>
      <c r="AK43" s="15"/>
      <c r="AL43" s="15"/>
    </row>
    <row r="44" spans="2:38" s="54" customFormat="1" ht="28.8" x14ac:dyDescent="0.3">
      <c r="B44" s="49" t="s">
        <v>1569</v>
      </c>
      <c r="F44" s="396" t="s">
        <v>1677</v>
      </c>
      <c r="G44" s="449">
        <v>7542477000</v>
      </c>
      <c r="H44" s="15"/>
      <c r="I44" s="15"/>
      <c r="J44" s="51"/>
      <c r="K44" s="15"/>
      <c r="L44" s="15"/>
      <c r="M44" s="15"/>
      <c r="N44" s="15"/>
      <c r="O44" s="15"/>
      <c r="P44" s="15"/>
      <c r="Q44" s="15"/>
      <c r="R44" s="15"/>
      <c r="S44" s="15"/>
      <c r="V44" s="15"/>
      <c r="W44" s="15"/>
      <c r="X44" s="15"/>
      <c r="Y44" s="15"/>
      <c r="AA44" s="56"/>
      <c r="AB44" s="15"/>
      <c r="AC44" s="15"/>
      <c r="AD44" s="15"/>
      <c r="AE44" s="15"/>
      <c r="AF44" s="15"/>
      <c r="AG44" s="15"/>
      <c r="AH44" s="15"/>
      <c r="AI44" s="15"/>
      <c r="AJ44" s="15"/>
      <c r="AK44" s="15"/>
      <c r="AL44" s="15"/>
    </row>
    <row r="45" spans="2:38" s="54" customFormat="1" ht="28.8" x14ac:dyDescent="0.3">
      <c r="B45" s="49" t="s">
        <v>1570</v>
      </c>
      <c r="F45" s="396" t="s">
        <v>1678</v>
      </c>
      <c r="G45" s="449">
        <v>7542477000</v>
      </c>
      <c r="H45" s="15"/>
      <c r="I45" s="15"/>
      <c r="J45" s="51"/>
      <c r="K45" s="15"/>
      <c r="L45" s="15"/>
      <c r="M45" s="15"/>
      <c r="N45" s="15"/>
      <c r="O45" s="15"/>
      <c r="P45" s="15"/>
      <c r="Q45" s="15"/>
      <c r="R45" s="15"/>
      <c r="S45" s="15"/>
      <c r="V45" s="15"/>
      <c r="W45" s="15"/>
      <c r="X45" s="15"/>
      <c r="Y45" s="15"/>
      <c r="AA45" s="56"/>
      <c r="AB45" s="15"/>
      <c r="AC45" s="15"/>
      <c r="AD45" s="15"/>
      <c r="AE45" s="15"/>
      <c r="AF45" s="15"/>
      <c r="AG45" s="15"/>
      <c r="AH45" s="15"/>
      <c r="AI45" s="15"/>
      <c r="AJ45" s="15"/>
      <c r="AK45" s="15"/>
      <c r="AL45" s="15"/>
    </row>
    <row r="46" spans="2:38" ht="28.8" x14ac:dyDescent="0.3">
      <c r="B46" s="49" t="s">
        <v>1164</v>
      </c>
      <c r="F46" s="396" t="s">
        <v>1679</v>
      </c>
      <c r="G46" s="449">
        <v>7542477000</v>
      </c>
      <c r="J46" s="51"/>
      <c r="T46" s="54" t="s">
        <v>635</v>
      </c>
      <c r="U46" s="54" t="s">
        <v>908</v>
      </c>
    </row>
    <row r="47" spans="2:38" s="54" customFormat="1" x14ac:dyDescent="0.3">
      <c r="B47" s="49" t="s">
        <v>2388</v>
      </c>
      <c r="F47" s="809"/>
      <c r="G47" s="810"/>
      <c r="H47" s="15"/>
      <c r="I47" s="15"/>
      <c r="J47" s="51"/>
      <c r="K47" s="15"/>
      <c r="L47" s="15"/>
      <c r="M47" s="15"/>
      <c r="N47" s="15"/>
      <c r="O47" s="15"/>
      <c r="P47" s="15"/>
      <c r="Q47" s="15"/>
      <c r="R47" s="15"/>
      <c r="S47" s="15"/>
      <c r="V47" s="15"/>
      <c r="W47" s="15"/>
      <c r="X47" s="15"/>
      <c r="Y47" s="15"/>
      <c r="AA47" s="56"/>
      <c r="AB47" s="15"/>
      <c r="AC47" s="15"/>
      <c r="AD47" s="15"/>
      <c r="AE47" s="15"/>
      <c r="AF47" s="15"/>
      <c r="AG47" s="15"/>
      <c r="AH47" s="15"/>
      <c r="AI47" s="15"/>
      <c r="AJ47" s="15"/>
      <c r="AK47" s="15"/>
      <c r="AL47" s="15"/>
    </row>
    <row r="48" spans="2:38" x14ac:dyDescent="0.3">
      <c r="B48" s="49" t="s">
        <v>982</v>
      </c>
      <c r="J48" s="51"/>
      <c r="T48" s="54" t="s">
        <v>636</v>
      </c>
      <c r="U48" s="54" t="s">
        <v>908</v>
      </c>
    </row>
    <row r="49" spans="2:38" x14ac:dyDescent="0.3">
      <c r="B49" s="87" t="s">
        <v>1055</v>
      </c>
      <c r="J49" s="51"/>
      <c r="T49" s="54" t="s">
        <v>637</v>
      </c>
      <c r="U49" s="54" t="s">
        <v>911</v>
      </c>
    </row>
    <row r="50" spans="2:38" x14ac:dyDescent="0.3">
      <c r="B50" s="87" t="s">
        <v>1147</v>
      </c>
      <c r="J50" s="51"/>
      <c r="T50" s="54" t="s">
        <v>638</v>
      </c>
      <c r="U50" s="54" t="s">
        <v>908</v>
      </c>
    </row>
    <row r="51" spans="2:38" s="54" customFormat="1" x14ac:dyDescent="0.3">
      <c r="B51" s="188" t="s">
        <v>2075</v>
      </c>
      <c r="F51" s="15"/>
      <c r="G51" s="15"/>
      <c r="H51" s="15"/>
      <c r="I51" s="15"/>
      <c r="J51" s="51"/>
      <c r="K51" s="15"/>
      <c r="L51" s="15"/>
      <c r="M51" s="15"/>
      <c r="N51" s="15"/>
      <c r="O51" s="15"/>
      <c r="P51" s="15"/>
      <c r="Q51" s="15"/>
      <c r="R51" s="15"/>
      <c r="S51" s="15"/>
      <c r="V51" s="15"/>
      <c r="W51" s="15"/>
      <c r="X51" s="15"/>
      <c r="Y51" s="15"/>
      <c r="AA51" s="56"/>
      <c r="AB51" s="15"/>
      <c r="AC51" s="15"/>
      <c r="AD51" s="15"/>
      <c r="AE51" s="15"/>
      <c r="AF51" s="15"/>
      <c r="AG51" s="15"/>
      <c r="AH51" s="15"/>
      <c r="AI51" s="15"/>
      <c r="AJ51" s="15"/>
      <c r="AK51" s="15"/>
      <c r="AL51" s="15"/>
    </row>
    <row r="52" spans="2:38" s="54" customFormat="1" x14ac:dyDescent="0.3">
      <c r="B52" s="188" t="s">
        <v>2597</v>
      </c>
      <c r="F52" s="15"/>
      <c r="G52" s="15"/>
      <c r="H52" s="15"/>
      <c r="I52" s="15"/>
      <c r="J52" s="51"/>
      <c r="K52" s="15"/>
      <c r="L52" s="15"/>
      <c r="M52" s="15"/>
      <c r="N52" s="15"/>
      <c r="O52" s="15"/>
      <c r="P52" s="15"/>
      <c r="Q52" s="15"/>
      <c r="R52" s="15"/>
      <c r="S52" s="15"/>
      <c r="V52" s="15"/>
      <c r="W52" s="15"/>
      <c r="X52" s="15"/>
      <c r="Y52" s="15"/>
      <c r="AA52" s="56"/>
      <c r="AB52" s="15"/>
      <c r="AC52" s="15"/>
      <c r="AD52" s="15"/>
      <c r="AE52" s="15"/>
      <c r="AF52" s="15"/>
      <c r="AG52" s="15"/>
      <c r="AH52" s="15"/>
      <c r="AI52" s="15"/>
      <c r="AJ52" s="15"/>
      <c r="AK52" s="15"/>
      <c r="AL52" s="15"/>
    </row>
    <row r="53" spans="2:38" s="54" customFormat="1" x14ac:dyDescent="0.3">
      <c r="B53" s="188" t="s">
        <v>1606</v>
      </c>
      <c r="F53" s="15"/>
      <c r="G53" s="15"/>
      <c r="H53" s="15"/>
      <c r="I53" s="15"/>
      <c r="J53" s="51"/>
      <c r="K53" s="15"/>
      <c r="L53" s="15"/>
      <c r="M53" s="15"/>
      <c r="N53" s="15"/>
      <c r="O53" s="15"/>
      <c r="R53" s="15"/>
      <c r="S53" s="15"/>
      <c r="V53" s="15"/>
      <c r="W53" s="15"/>
      <c r="X53" s="15"/>
      <c r="Y53" s="15"/>
      <c r="AA53" s="56"/>
      <c r="AB53" s="15"/>
      <c r="AC53" s="15"/>
      <c r="AD53" s="15"/>
      <c r="AE53" s="15"/>
      <c r="AF53" s="15"/>
      <c r="AG53" s="15"/>
      <c r="AH53" s="15"/>
      <c r="AI53" s="15"/>
      <c r="AJ53" s="15"/>
      <c r="AK53" s="15"/>
      <c r="AL53" s="15"/>
    </row>
    <row r="54" spans="2:38" x14ac:dyDescent="0.3">
      <c r="B54" s="188" t="s">
        <v>1149</v>
      </c>
      <c r="J54" s="51"/>
      <c r="T54" s="54" t="s">
        <v>639</v>
      </c>
      <c r="U54" s="54" t="s">
        <v>908</v>
      </c>
    </row>
    <row r="55" spans="2:38" x14ac:dyDescent="0.3">
      <c r="B55" s="188" t="s">
        <v>2598</v>
      </c>
      <c r="J55" s="51"/>
      <c r="T55" s="54" t="s">
        <v>640</v>
      </c>
      <c r="U55" s="54" t="s">
        <v>908</v>
      </c>
    </row>
    <row r="56" spans="2:38" x14ac:dyDescent="0.3">
      <c r="T56" s="54" t="s">
        <v>641</v>
      </c>
      <c r="U56" s="54" t="s">
        <v>908</v>
      </c>
    </row>
    <row r="57" spans="2:38" x14ac:dyDescent="0.3">
      <c r="B57" t="s">
        <v>1255</v>
      </c>
      <c r="T57" s="55" t="s">
        <v>83</v>
      </c>
      <c r="U57" s="54" t="s">
        <v>908</v>
      </c>
    </row>
    <row r="58" spans="2:38" x14ac:dyDescent="0.3">
      <c r="B58" t="s">
        <v>1256</v>
      </c>
      <c r="J58" s="51"/>
      <c r="T58" s="54" t="s">
        <v>642</v>
      </c>
      <c r="U58" s="54" t="s">
        <v>908</v>
      </c>
    </row>
    <row r="59" spans="2:38" x14ac:dyDescent="0.3">
      <c r="J59" s="51"/>
      <c r="T59" s="54" t="s">
        <v>643</v>
      </c>
      <c r="U59" s="54" t="s">
        <v>908</v>
      </c>
    </row>
    <row r="60" spans="2:38" x14ac:dyDescent="0.3">
      <c r="J60" s="51"/>
      <c r="T60" s="54" t="s">
        <v>644</v>
      </c>
      <c r="U60" s="54" t="s">
        <v>908</v>
      </c>
    </row>
    <row r="61" spans="2:38" x14ac:dyDescent="0.3">
      <c r="T61" s="55" t="s">
        <v>85</v>
      </c>
      <c r="U61" s="54" t="s">
        <v>908</v>
      </c>
    </row>
    <row r="62" spans="2:38" x14ac:dyDescent="0.3">
      <c r="B62" s="289" t="s">
        <v>1427</v>
      </c>
      <c r="T62" s="54" t="s">
        <v>645</v>
      </c>
      <c r="U62" s="54" t="s">
        <v>908</v>
      </c>
    </row>
    <row r="63" spans="2:38" x14ac:dyDescent="0.3">
      <c r="B63" t="s">
        <v>1428</v>
      </c>
      <c r="T63" s="54" t="s">
        <v>646</v>
      </c>
      <c r="U63" s="54" t="s">
        <v>908</v>
      </c>
    </row>
    <row r="64" spans="2:38" x14ac:dyDescent="0.3">
      <c r="B64" t="s">
        <v>1429</v>
      </c>
      <c r="T64" s="54" t="s">
        <v>647</v>
      </c>
      <c r="U64" s="54" t="s">
        <v>908</v>
      </c>
    </row>
    <row r="65" spans="2:21" x14ac:dyDescent="0.3">
      <c r="B65" t="s">
        <v>1430</v>
      </c>
      <c r="T65" s="54" t="s">
        <v>648</v>
      </c>
      <c r="U65" s="54" t="s">
        <v>908</v>
      </c>
    </row>
    <row r="66" spans="2:21" x14ac:dyDescent="0.3">
      <c r="B66" t="s">
        <v>1431</v>
      </c>
      <c r="T66" s="54" t="s">
        <v>649</v>
      </c>
      <c r="U66" s="54" t="s">
        <v>908</v>
      </c>
    </row>
    <row r="67" spans="2:21" x14ac:dyDescent="0.3">
      <c r="B67" t="s">
        <v>1432</v>
      </c>
      <c r="D67" s="15"/>
      <c r="E67" s="15"/>
      <c r="F67" s="52"/>
      <c r="T67" s="54" t="s">
        <v>650</v>
      </c>
      <c r="U67" s="54" t="s">
        <v>908</v>
      </c>
    </row>
    <row r="68" spans="2:21" x14ac:dyDescent="0.3">
      <c r="B68" t="s">
        <v>1433</v>
      </c>
      <c r="D68" s="15"/>
      <c r="E68" s="15"/>
      <c r="F68" s="52"/>
      <c r="T68" s="54" t="s">
        <v>651</v>
      </c>
      <c r="U68" s="54" t="s">
        <v>908</v>
      </c>
    </row>
    <row r="69" spans="2:21" x14ac:dyDescent="0.3">
      <c r="B69" t="s">
        <v>1434</v>
      </c>
      <c r="D69" s="15"/>
      <c r="E69" s="15"/>
      <c r="F69" s="52"/>
      <c r="T69" s="54" t="s">
        <v>652</v>
      </c>
      <c r="U69" s="54" t="s">
        <v>908</v>
      </c>
    </row>
    <row r="70" spans="2:21" x14ac:dyDescent="0.3">
      <c r="B70" t="s">
        <v>1435</v>
      </c>
      <c r="D70" s="15"/>
      <c r="E70" s="15"/>
      <c r="F70" s="52"/>
      <c r="T70" s="54" t="s">
        <v>653</v>
      </c>
      <c r="U70" s="54" t="s">
        <v>908</v>
      </c>
    </row>
    <row r="71" spans="2:21" x14ac:dyDescent="0.3">
      <c r="B71" t="s">
        <v>1436</v>
      </c>
      <c r="D71" s="15"/>
      <c r="E71" s="15"/>
      <c r="F71" s="52"/>
      <c r="T71" s="54" t="s">
        <v>654</v>
      </c>
      <c r="U71" s="54" t="s">
        <v>908</v>
      </c>
    </row>
    <row r="72" spans="2:21" x14ac:dyDescent="0.3">
      <c r="B72" t="s">
        <v>1437</v>
      </c>
      <c r="D72" s="15"/>
      <c r="E72" s="15"/>
      <c r="F72" s="52"/>
      <c r="T72" s="54" t="s">
        <v>655</v>
      </c>
      <c r="U72" s="54" t="s">
        <v>908</v>
      </c>
    </row>
    <row r="73" spans="2:21" x14ac:dyDescent="0.3">
      <c r="B73" t="s">
        <v>1441</v>
      </c>
      <c r="D73" s="15"/>
      <c r="E73" s="15"/>
      <c r="F73" s="52"/>
      <c r="T73" s="54" t="s">
        <v>656</v>
      </c>
      <c r="U73" s="54" t="s">
        <v>908</v>
      </c>
    </row>
    <row r="74" spans="2:21" x14ac:dyDescent="0.3">
      <c r="B74" t="s">
        <v>1438</v>
      </c>
      <c r="D74" s="15"/>
      <c r="E74" s="15"/>
      <c r="F74" s="52"/>
      <c r="T74" s="54" t="s">
        <v>657</v>
      </c>
      <c r="U74" s="54" t="s">
        <v>908</v>
      </c>
    </row>
    <row r="75" spans="2:21" x14ac:dyDescent="0.3">
      <c r="B75" t="s">
        <v>1439</v>
      </c>
      <c r="D75" s="15"/>
      <c r="E75" s="15"/>
      <c r="F75" s="52"/>
      <c r="T75" s="54" t="s">
        <v>658</v>
      </c>
      <c r="U75" s="54" t="s">
        <v>908</v>
      </c>
    </row>
    <row r="76" spans="2:21" x14ac:dyDescent="0.3">
      <c r="B76" t="s">
        <v>1176</v>
      </c>
      <c r="D76" s="15"/>
      <c r="E76" s="15"/>
      <c r="F76" s="52"/>
      <c r="T76" s="54" t="s">
        <v>659</v>
      </c>
      <c r="U76" s="54" t="s">
        <v>908</v>
      </c>
    </row>
    <row r="77" spans="2:21" x14ac:dyDescent="0.3">
      <c r="B77" t="s">
        <v>1440</v>
      </c>
      <c r="D77" s="15"/>
      <c r="E77" s="15"/>
      <c r="F77" s="52"/>
      <c r="T77" s="54" t="s">
        <v>660</v>
      </c>
      <c r="U77" s="54" t="s">
        <v>908</v>
      </c>
    </row>
    <row r="78" spans="2:21" x14ac:dyDescent="0.3">
      <c r="D78" s="15"/>
      <c r="E78" s="15"/>
      <c r="F78" s="52"/>
      <c r="T78" s="54" t="s">
        <v>661</v>
      </c>
      <c r="U78" s="54" t="s">
        <v>908</v>
      </c>
    </row>
    <row r="79" spans="2:21" x14ac:dyDescent="0.3">
      <c r="D79" s="15"/>
      <c r="E79" s="15"/>
      <c r="F79" s="52"/>
      <c r="T79" s="54" t="s">
        <v>662</v>
      </c>
      <c r="U79" s="54" t="s">
        <v>908</v>
      </c>
    </row>
    <row r="80" spans="2:21" x14ac:dyDescent="0.3">
      <c r="D80" s="15"/>
      <c r="E80" s="15"/>
      <c r="F80" s="52"/>
      <c r="T80" s="54" t="s">
        <v>663</v>
      </c>
      <c r="U80" s="54" t="s">
        <v>908</v>
      </c>
    </row>
    <row r="81" spans="4:21" x14ac:dyDescent="0.3">
      <c r="D81" s="15"/>
      <c r="E81" s="15"/>
      <c r="F81" s="52"/>
      <c r="T81" s="54" t="s">
        <v>664</v>
      </c>
      <c r="U81" s="54" t="s">
        <v>908</v>
      </c>
    </row>
    <row r="82" spans="4:21" x14ac:dyDescent="0.3">
      <c r="D82" s="15"/>
      <c r="E82" s="15"/>
      <c r="F82" s="52"/>
      <c r="T82" s="54" t="s">
        <v>665</v>
      </c>
      <c r="U82" s="54" t="s">
        <v>908</v>
      </c>
    </row>
    <row r="83" spans="4:21" x14ac:dyDescent="0.3">
      <c r="D83" s="15"/>
      <c r="E83" s="15"/>
      <c r="F83" s="52"/>
      <c r="T83" s="54" t="s">
        <v>666</v>
      </c>
      <c r="U83" s="54" t="s">
        <v>908</v>
      </c>
    </row>
    <row r="84" spans="4:21" x14ac:dyDescent="0.3">
      <c r="D84" s="15"/>
      <c r="E84" s="15"/>
      <c r="F84" s="52"/>
      <c r="T84" s="54" t="s">
        <v>667</v>
      </c>
      <c r="U84" s="54" t="s">
        <v>908</v>
      </c>
    </row>
    <row r="85" spans="4:21" x14ac:dyDescent="0.3">
      <c r="D85" s="15"/>
      <c r="E85" s="15"/>
      <c r="F85" s="52"/>
      <c r="T85" s="54" t="s">
        <v>668</v>
      </c>
      <c r="U85" s="54" t="s">
        <v>908</v>
      </c>
    </row>
    <row r="86" spans="4:21" x14ac:dyDescent="0.3">
      <c r="D86" s="15"/>
      <c r="E86" s="15"/>
      <c r="F86" s="52"/>
      <c r="T86" s="54" t="s">
        <v>669</v>
      </c>
      <c r="U86" s="54" t="s">
        <v>908</v>
      </c>
    </row>
    <row r="87" spans="4:21" x14ac:dyDescent="0.3">
      <c r="D87" s="15"/>
      <c r="E87" s="15"/>
      <c r="F87" s="52"/>
      <c r="T87" s="54" t="s">
        <v>670</v>
      </c>
      <c r="U87" s="54" t="s">
        <v>908</v>
      </c>
    </row>
    <row r="88" spans="4:21" x14ac:dyDescent="0.3">
      <c r="D88" s="15"/>
      <c r="E88" s="15"/>
      <c r="F88" s="52"/>
      <c r="T88" s="54" t="s">
        <v>671</v>
      </c>
      <c r="U88" s="54" t="s">
        <v>908</v>
      </c>
    </row>
    <row r="89" spans="4:21" x14ac:dyDescent="0.3">
      <c r="D89" s="15"/>
      <c r="E89" s="15"/>
      <c r="F89" s="52"/>
      <c r="T89" s="54" t="s">
        <v>672</v>
      </c>
      <c r="U89" s="54" t="s">
        <v>908</v>
      </c>
    </row>
    <row r="90" spans="4:21" x14ac:dyDescent="0.3">
      <c r="D90" s="15"/>
      <c r="E90" s="15"/>
      <c r="F90" s="52"/>
      <c r="T90" s="54" t="s">
        <v>673</v>
      </c>
      <c r="U90" s="54" t="s">
        <v>908</v>
      </c>
    </row>
    <row r="91" spans="4:21" x14ac:dyDescent="0.3">
      <c r="D91" s="15"/>
      <c r="E91" s="15"/>
      <c r="F91" s="52"/>
      <c r="T91" s="54" t="s">
        <v>674</v>
      </c>
      <c r="U91" s="54" t="s">
        <v>908</v>
      </c>
    </row>
    <row r="92" spans="4:21" x14ac:dyDescent="0.3">
      <c r="D92" s="15"/>
      <c r="E92" s="15"/>
      <c r="F92" s="52"/>
      <c r="T92" s="54" t="s">
        <v>674</v>
      </c>
      <c r="U92" s="54" t="s">
        <v>908</v>
      </c>
    </row>
    <row r="93" spans="4:21" x14ac:dyDescent="0.3">
      <c r="D93" s="15"/>
      <c r="E93" s="15"/>
      <c r="F93" s="52"/>
      <c r="T93" s="54" t="s">
        <v>675</v>
      </c>
      <c r="U93" s="54" t="s">
        <v>908</v>
      </c>
    </row>
    <row r="94" spans="4:21" x14ac:dyDescent="0.3">
      <c r="D94" s="15"/>
      <c r="E94" s="15"/>
      <c r="F94" s="52"/>
      <c r="T94" s="54" t="s">
        <v>676</v>
      </c>
      <c r="U94" s="54" t="s">
        <v>908</v>
      </c>
    </row>
    <row r="95" spans="4:21" x14ac:dyDescent="0.3">
      <c r="D95" s="15"/>
      <c r="E95" s="15"/>
      <c r="F95" s="52"/>
      <c r="T95" s="54" t="s">
        <v>677</v>
      </c>
      <c r="U95" s="54" t="s">
        <v>908</v>
      </c>
    </row>
    <row r="96" spans="4:21" x14ac:dyDescent="0.3">
      <c r="D96" s="15"/>
      <c r="E96" s="15"/>
      <c r="F96" s="52"/>
      <c r="T96" s="54" t="s">
        <v>678</v>
      </c>
      <c r="U96" s="54" t="s">
        <v>908</v>
      </c>
    </row>
    <row r="97" spans="4:21" x14ac:dyDescent="0.3">
      <c r="D97" s="15"/>
      <c r="E97" s="15"/>
      <c r="F97" s="52"/>
      <c r="T97" s="54" t="s">
        <v>679</v>
      </c>
      <c r="U97" s="54" t="s">
        <v>908</v>
      </c>
    </row>
    <row r="98" spans="4:21" x14ac:dyDescent="0.3">
      <c r="D98" s="15"/>
      <c r="E98" s="15"/>
      <c r="F98" s="52"/>
      <c r="T98" s="54" t="s">
        <v>680</v>
      </c>
      <c r="U98" s="54" t="s">
        <v>908</v>
      </c>
    </row>
    <row r="99" spans="4:21" x14ac:dyDescent="0.3">
      <c r="D99" s="15"/>
      <c r="E99" s="15"/>
      <c r="F99" s="52"/>
      <c r="T99" s="54" t="s">
        <v>681</v>
      </c>
      <c r="U99" s="54" t="s">
        <v>908</v>
      </c>
    </row>
    <row r="100" spans="4:21" x14ac:dyDescent="0.3">
      <c r="D100" s="15"/>
      <c r="E100" s="15"/>
      <c r="F100" s="52"/>
      <c r="T100" s="54" t="s">
        <v>682</v>
      </c>
      <c r="U100" s="54" t="s">
        <v>908</v>
      </c>
    </row>
    <row r="101" spans="4:21" x14ac:dyDescent="0.3">
      <c r="D101" s="15"/>
      <c r="E101" s="15"/>
      <c r="F101" s="52"/>
      <c r="T101" s="54" t="s">
        <v>683</v>
      </c>
      <c r="U101" s="54" t="s">
        <v>908</v>
      </c>
    </row>
    <row r="102" spans="4:21" x14ac:dyDescent="0.3">
      <c r="D102" s="15"/>
      <c r="E102" s="15"/>
      <c r="F102" s="52"/>
      <c r="T102" s="54" t="s">
        <v>684</v>
      </c>
      <c r="U102" s="54" t="s">
        <v>908</v>
      </c>
    </row>
    <row r="103" spans="4:21" x14ac:dyDescent="0.3">
      <c r="T103" s="55" t="s">
        <v>87</v>
      </c>
      <c r="U103" s="54" t="s">
        <v>909</v>
      </c>
    </row>
    <row r="104" spans="4:21" x14ac:dyDescent="0.3">
      <c r="T104" s="54" t="s">
        <v>685</v>
      </c>
      <c r="U104" s="54" t="s">
        <v>909</v>
      </c>
    </row>
    <row r="105" spans="4:21" x14ac:dyDescent="0.3">
      <c r="T105" s="54" t="s">
        <v>686</v>
      </c>
      <c r="U105" s="54" t="s">
        <v>909</v>
      </c>
    </row>
    <row r="106" spans="4:21" x14ac:dyDescent="0.3">
      <c r="T106" s="54" t="s">
        <v>687</v>
      </c>
      <c r="U106" s="54" t="s">
        <v>908</v>
      </c>
    </row>
    <row r="107" spans="4:21" x14ac:dyDescent="0.3">
      <c r="T107" s="54" t="s">
        <v>688</v>
      </c>
      <c r="U107" s="54" t="s">
        <v>908</v>
      </c>
    </row>
    <row r="108" spans="4:21" x14ac:dyDescent="0.3">
      <c r="D108" s="15"/>
      <c r="E108" s="15"/>
      <c r="T108" s="54" t="s">
        <v>689</v>
      </c>
      <c r="U108" s="54" t="s">
        <v>908</v>
      </c>
    </row>
    <row r="109" spans="4:21" x14ac:dyDescent="0.3">
      <c r="D109" s="15"/>
      <c r="E109" s="15"/>
      <c r="T109" s="54" t="s">
        <v>690</v>
      </c>
      <c r="U109" s="54" t="s">
        <v>912</v>
      </c>
    </row>
    <row r="110" spans="4:21" x14ac:dyDescent="0.3">
      <c r="D110" s="15"/>
      <c r="E110" s="15"/>
      <c r="T110" s="54" t="s">
        <v>691</v>
      </c>
      <c r="U110" s="54" t="s">
        <v>908</v>
      </c>
    </row>
    <row r="111" spans="4:21" x14ac:dyDescent="0.3">
      <c r="D111" s="15"/>
      <c r="E111" s="15"/>
      <c r="T111" s="54" t="s">
        <v>692</v>
      </c>
      <c r="U111" s="54" t="s">
        <v>908</v>
      </c>
    </row>
    <row r="112" spans="4:21" x14ac:dyDescent="0.3">
      <c r="D112" s="15"/>
      <c r="E112" s="15"/>
      <c r="T112" s="54" t="s">
        <v>693</v>
      </c>
      <c r="U112" s="54" t="s">
        <v>908</v>
      </c>
    </row>
    <row r="113" spans="4:21" x14ac:dyDescent="0.3">
      <c r="D113" s="15"/>
      <c r="E113" s="15"/>
      <c r="T113" s="54" t="s">
        <v>694</v>
      </c>
      <c r="U113" s="54" t="s">
        <v>908</v>
      </c>
    </row>
    <row r="114" spans="4:21" x14ac:dyDescent="0.3">
      <c r="D114" s="15"/>
      <c r="E114" s="15"/>
      <c r="T114" s="54" t="s">
        <v>695</v>
      </c>
      <c r="U114" s="54" t="s">
        <v>908</v>
      </c>
    </row>
    <row r="115" spans="4:21" x14ac:dyDescent="0.3">
      <c r="D115" s="15"/>
      <c r="E115" s="15"/>
      <c r="T115" s="54" t="s">
        <v>696</v>
      </c>
      <c r="U115" s="54" t="s">
        <v>912</v>
      </c>
    </row>
    <row r="116" spans="4:21" x14ac:dyDescent="0.3">
      <c r="D116" s="15"/>
      <c r="E116" s="15"/>
      <c r="T116" s="54" t="s">
        <v>697</v>
      </c>
      <c r="U116" s="54" t="s">
        <v>908</v>
      </c>
    </row>
    <row r="117" spans="4:21" x14ac:dyDescent="0.3">
      <c r="D117" s="15"/>
      <c r="E117" s="15"/>
      <c r="T117" s="54" t="s">
        <v>698</v>
      </c>
      <c r="U117" s="54" t="s">
        <v>908</v>
      </c>
    </row>
    <row r="118" spans="4:21" x14ac:dyDescent="0.3">
      <c r="D118" s="15"/>
      <c r="E118" s="15"/>
      <c r="T118" s="55" t="s">
        <v>88</v>
      </c>
      <c r="U118" s="54" t="s">
        <v>908</v>
      </c>
    </row>
    <row r="119" spans="4:21" x14ac:dyDescent="0.3">
      <c r="D119" s="15"/>
      <c r="E119" s="15"/>
      <c r="T119" s="54" t="s">
        <v>699</v>
      </c>
      <c r="U119" s="54" t="s">
        <v>908</v>
      </c>
    </row>
    <row r="120" spans="4:21" x14ac:dyDescent="0.3">
      <c r="D120" s="15"/>
      <c r="E120" s="15"/>
      <c r="T120" s="54" t="s">
        <v>700</v>
      </c>
      <c r="U120" s="54" t="s">
        <v>908</v>
      </c>
    </row>
    <row r="121" spans="4:21" x14ac:dyDescent="0.3">
      <c r="D121" s="15"/>
      <c r="E121" s="15"/>
      <c r="T121" s="54" t="s">
        <v>701</v>
      </c>
      <c r="U121" s="54" t="s">
        <v>908</v>
      </c>
    </row>
    <row r="122" spans="4:21" x14ac:dyDescent="0.3">
      <c r="D122" s="15"/>
      <c r="E122" s="15"/>
      <c r="T122" s="54" t="s">
        <v>702</v>
      </c>
      <c r="U122" s="54" t="s">
        <v>908</v>
      </c>
    </row>
    <row r="123" spans="4:21" x14ac:dyDescent="0.3">
      <c r="D123" s="15"/>
      <c r="E123" s="15"/>
      <c r="T123" s="54" t="s">
        <v>703</v>
      </c>
      <c r="U123" s="54" t="s">
        <v>908</v>
      </c>
    </row>
    <row r="124" spans="4:21" x14ac:dyDescent="0.3">
      <c r="D124" s="15"/>
      <c r="E124" s="15"/>
      <c r="T124" s="54" t="s">
        <v>704</v>
      </c>
      <c r="U124" s="54" t="s">
        <v>908</v>
      </c>
    </row>
    <row r="125" spans="4:21" x14ac:dyDescent="0.3">
      <c r="D125" s="15"/>
      <c r="E125" s="15"/>
      <c r="T125" s="54" t="s">
        <v>705</v>
      </c>
      <c r="U125" s="54" t="s">
        <v>908</v>
      </c>
    </row>
    <row r="126" spans="4:21" x14ac:dyDescent="0.3">
      <c r="D126" s="15"/>
      <c r="E126" s="15"/>
      <c r="T126" s="54" t="s">
        <v>706</v>
      </c>
      <c r="U126" s="54" t="s">
        <v>908</v>
      </c>
    </row>
    <row r="127" spans="4:21" x14ac:dyDescent="0.3">
      <c r="D127" s="15"/>
      <c r="E127" s="15"/>
      <c r="T127" s="54" t="s">
        <v>707</v>
      </c>
      <c r="U127" s="54" t="s">
        <v>908</v>
      </c>
    </row>
    <row r="128" spans="4:21" x14ac:dyDescent="0.3">
      <c r="D128" s="15"/>
      <c r="E128" s="15"/>
      <c r="T128" s="54" t="s">
        <v>91</v>
      </c>
      <c r="U128" s="54" t="s">
        <v>912</v>
      </c>
    </row>
    <row r="129" spans="2:21" x14ac:dyDescent="0.3">
      <c r="D129" s="15"/>
      <c r="E129" s="15"/>
      <c r="T129" s="54" t="s">
        <v>708</v>
      </c>
      <c r="U129" s="54" t="s">
        <v>908</v>
      </c>
    </row>
    <row r="130" spans="2:21" x14ac:dyDescent="0.3">
      <c r="D130" s="15"/>
      <c r="E130" s="15"/>
      <c r="T130" s="54" t="s">
        <v>709</v>
      </c>
      <c r="U130" s="54" t="s">
        <v>908</v>
      </c>
    </row>
    <row r="131" spans="2:21" x14ac:dyDescent="0.3">
      <c r="D131" s="15"/>
      <c r="E131" s="15"/>
      <c r="T131" s="54" t="s">
        <v>710</v>
      </c>
      <c r="U131" s="54" t="s">
        <v>908</v>
      </c>
    </row>
    <row r="132" spans="2:21" x14ac:dyDescent="0.3">
      <c r="D132" s="15"/>
      <c r="E132" s="15"/>
      <c r="T132" s="54" t="s">
        <v>711</v>
      </c>
      <c r="U132" s="54" t="s">
        <v>912</v>
      </c>
    </row>
    <row r="133" spans="2:21" x14ac:dyDescent="0.3">
      <c r="D133" s="15"/>
      <c r="E133" s="15"/>
      <c r="T133" s="54" t="s">
        <v>93</v>
      </c>
      <c r="U133" s="54" t="s">
        <v>912</v>
      </c>
    </row>
    <row r="134" spans="2:21" x14ac:dyDescent="0.3">
      <c r="T134" s="54" t="s">
        <v>712</v>
      </c>
      <c r="U134" s="54" t="s">
        <v>908</v>
      </c>
    </row>
    <row r="135" spans="2:21" x14ac:dyDescent="0.3">
      <c r="T135" s="54" t="s">
        <v>713</v>
      </c>
      <c r="U135" s="54" t="s">
        <v>912</v>
      </c>
    </row>
    <row r="136" spans="2:21" x14ac:dyDescent="0.3">
      <c r="T136" s="54" t="s">
        <v>714</v>
      </c>
      <c r="U136" s="54" t="s">
        <v>908</v>
      </c>
    </row>
    <row r="137" spans="2:21" x14ac:dyDescent="0.3">
      <c r="B137" s="15"/>
      <c r="C137" s="15"/>
      <c r="D137" s="15"/>
      <c r="E137" s="15"/>
      <c r="F137" s="51"/>
      <c r="T137" s="54" t="s">
        <v>715</v>
      </c>
      <c r="U137" s="54" t="s">
        <v>908</v>
      </c>
    </row>
    <row r="138" spans="2:21" x14ac:dyDescent="0.3">
      <c r="B138" s="15"/>
      <c r="C138" s="15"/>
      <c r="D138" s="15"/>
      <c r="E138" s="15"/>
      <c r="T138" s="54" t="s">
        <v>94</v>
      </c>
      <c r="U138" s="54" t="s">
        <v>908</v>
      </c>
    </row>
    <row r="139" spans="2:21" x14ac:dyDescent="0.3">
      <c r="B139" s="15"/>
      <c r="C139" s="15"/>
      <c r="D139" s="15"/>
      <c r="E139" s="15"/>
      <c r="T139" s="54" t="s">
        <v>716</v>
      </c>
      <c r="U139" s="54" t="s">
        <v>908</v>
      </c>
    </row>
    <row r="140" spans="2:21" x14ac:dyDescent="0.3">
      <c r="B140" s="15"/>
      <c r="C140" s="15"/>
      <c r="D140" s="15"/>
      <c r="E140" s="15"/>
      <c r="T140" s="54" t="s">
        <v>717</v>
      </c>
      <c r="U140" s="54" t="s">
        <v>913</v>
      </c>
    </row>
    <row r="141" spans="2:21" x14ac:dyDescent="0.3">
      <c r="B141" s="15"/>
      <c r="C141" s="15"/>
      <c r="D141" s="15"/>
      <c r="E141" s="15"/>
      <c r="T141" s="54" t="s">
        <v>717</v>
      </c>
      <c r="U141" s="54" t="s">
        <v>913</v>
      </c>
    </row>
    <row r="142" spans="2:21" x14ac:dyDescent="0.3">
      <c r="B142" s="15"/>
      <c r="C142" s="15"/>
      <c r="D142" s="15"/>
      <c r="E142" s="15"/>
      <c r="T142" s="55" t="s">
        <v>95</v>
      </c>
      <c r="U142" s="54" t="s">
        <v>913</v>
      </c>
    </row>
    <row r="143" spans="2:21" x14ac:dyDescent="0.3">
      <c r="B143" s="15"/>
      <c r="C143" s="15"/>
      <c r="D143" s="15"/>
      <c r="E143" s="15"/>
      <c r="T143" s="55" t="s">
        <v>95</v>
      </c>
      <c r="U143" s="54" t="s">
        <v>913</v>
      </c>
    </row>
    <row r="144" spans="2:21" x14ac:dyDescent="0.3">
      <c r="B144" s="15"/>
      <c r="C144" s="15"/>
      <c r="D144" s="15"/>
      <c r="E144" s="15"/>
      <c r="T144" s="55" t="s">
        <v>96</v>
      </c>
      <c r="U144" s="54" t="s">
        <v>913</v>
      </c>
    </row>
    <row r="145" spans="2:21" x14ac:dyDescent="0.3">
      <c r="B145" s="15"/>
      <c r="C145" s="15"/>
      <c r="D145" s="15"/>
      <c r="E145" s="15"/>
      <c r="T145" s="54" t="s">
        <v>718</v>
      </c>
      <c r="U145" s="54" t="s">
        <v>913</v>
      </c>
    </row>
    <row r="146" spans="2:21" x14ac:dyDescent="0.3">
      <c r="B146" s="15"/>
      <c r="C146" s="15"/>
      <c r="D146" s="15"/>
      <c r="E146" s="15"/>
      <c r="T146" s="54" t="s">
        <v>719</v>
      </c>
      <c r="U146" s="54" t="s">
        <v>909</v>
      </c>
    </row>
    <row r="147" spans="2:21" x14ac:dyDescent="0.3">
      <c r="B147" s="15"/>
      <c r="C147" s="15"/>
      <c r="D147" s="15"/>
      <c r="E147" s="15"/>
      <c r="T147" s="54" t="s">
        <v>97</v>
      </c>
      <c r="U147" s="54" t="s">
        <v>909</v>
      </c>
    </row>
    <row r="148" spans="2:21" x14ac:dyDescent="0.3">
      <c r="B148" s="15"/>
      <c r="C148" s="15"/>
      <c r="D148" s="15"/>
      <c r="E148" s="15"/>
      <c r="T148" s="54" t="s">
        <v>720</v>
      </c>
      <c r="U148" s="54" t="s">
        <v>912</v>
      </c>
    </row>
    <row r="149" spans="2:21" x14ac:dyDescent="0.3">
      <c r="B149" s="15"/>
      <c r="C149" s="15"/>
      <c r="D149" s="15"/>
      <c r="E149" s="15"/>
      <c r="T149" s="54" t="s">
        <v>721</v>
      </c>
      <c r="U149" s="54" t="s">
        <v>912</v>
      </c>
    </row>
    <row r="150" spans="2:21" x14ac:dyDescent="0.3">
      <c r="B150" s="15"/>
      <c r="C150" s="15"/>
      <c r="D150" s="15"/>
      <c r="E150" s="15"/>
      <c r="T150" s="54" t="s">
        <v>99</v>
      </c>
      <c r="U150" s="54" t="s">
        <v>909</v>
      </c>
    </row>
    <row r="151" spans="2:21" x14ac:dyDescent="0.3">
      <c r="B151" s="15"/>
      <c r="C151" s="15"/>
      <c r="D151" s="15"/>
      <c r="E151" s="15"/>
      <c r="T151" s="54" t="s">
        <v>99</v>
      </c>
      <c r="U151" s="54" t="s">
        <v>909</v>
      </c>
    </row>
    <row r="152" spans="2:21" x14ac:dyDescent="0.3">
      <c r="B152" s="15"/>
      <c r="C152" s="15"/>
      <c r="D152" s="15"/>
      <c r="E152" s="15"/>
      <c r="T152" s="54" t="s">
        <v>722</v>
      </c>
      <c r="U152" s="54" t="s">
        <v>912</v>
      </c>
    </row>
    <row r="153" spans="2:21" x14ac:dyDescent="0.3">
      <c r="B153" s="15"/>
      <c r="C153" s="15"/>
      <c r="D153" s="15"/>
      <c r="E153" s="15"/>
      <c r="T153" s="54" t="s">
        <v>723</v>
      </c>
      <c r="U153" s="54" t="s">
        <v>908</v>
      </c>
    </row>
    <row r="154" spans="2:21" x14ac:dyDescent="0.3">
      <c r="B154" s="15"/>
      <c r="C154" s="15"/>
      <c r="D154" s="15"/>
      <c r="E154" s="15"/>
      <c r="T154" s="54" t="s">
        <v>121</v>
      </c>
      <c r="U154" s="54" t="s">
        <v>912</v>
      </c>
    </row>
    <row r="155" spans="2:21" x14ac:dyDescent="0.3">
      <c r="B155" s="15"/>
      <c r="C155" s="15"/>
      <c r="D155" s="15"/>
      <c r="E155" s="15"/>
      <c r="T155" s="54" t="s">
        <v>724</v>
      </c>
      <c r="U155" s="54" t="s">
        <v>908</v>
      </c>
    </row>
    <row r="156" spans="2:21" x14ac:dyDescent="0.3">
      <c r="B156" s="15"/>
      <c r="C156" s="15"/>
      <c r="D156" s="15"/>
      <c r="E156" s="15"/>
      <c r="F156" s="51"/>
      <c r="T156" s="55" t="s">
        <v>123</v>
      </c>
      <c r="U156" s="54" t="s">
        <v>908</v>
      </c>
    </row>
    <row r="157" spans="2:21" x14ac:dyDescent="0.3">
      <c r="B157" s="15"/>
      <c r="C157" s="15"/>
      <c r="D157" s="15"/>
      <c r="E157" s="15"/>
      <c r="F157" s="51"/>
      <c r="T157" s="54" t="s">
        <v>125</v>
      </c>
      <c r="U157" s="54" t="s">
        <v>909</v>
      </c>
    </row>
    <row r="158" spans="2:21" x14ac:dyDescent="0.3">
      <c r="B158" s="15"/>
      <c r="C158" s="15"/>
      <c r="D158" s="15"/>
      <c r="E158" s="15"/>
      <c r="T158" s="54" t="s">
        <v>725</v>
      </c>
      <c r="U158" s="54" t="s">
        <v>908</v>
      </c>
    </row>
    <row r="159" spans="2:21" x14ac:dyDescent="0.3">
      <c r="B159" s="15"/>
      <c r="C159" s="15"/>
      <c r="D159" s="15"/>
      <c r="E159" s="15"/>
      <c r="T159" s="54" t="s">
        <v>726</v>
      </c>
      <c r="U159" s="54" t="s">
        <v>912</v>
      </c>
    </row>
    <row r="160" spans="2:21" x14ac:dyDescent="0.3">
      <c r="B160" s="15"/>
      <c r="C160" s="15"/>
      <c r="D160" s="15"/>
      <c r="E160" s="15"/>
      <c r="T160" s="54" t="s">
        <v>727</v>
      </c>
      <c r="U160" s="54" t="s">
        <v>913</v>
      </c>
    </row>
    <row r="161" spans="2:21" x14ac:dyDescent="0.3">
      <c r="B161" s="15"/>
      <c r="C161" s="15"/>
      <c r="D161" s="15"/>
      <c r="E161" s="15"/>
      <c r="T161" s="55" t="s">
        <v>129</v>
      </c>
      <c r="U161" s="54" t="s">
        <v>913</v>
      </c>
    </row>
    <row r="162" spans="2:21" x14ac:dyDescent="0.3">
      <c r="B162" s="15"/>
      <c r="C162" s="15"/>
      <c r="D162" s="15"/>
      <c r="E162" s="15"/>
      <c r="T162" s="54" t="s">
        <v>89</v>
      </c>
      <c r="U162" s="54" t="s">
        <v>909</v>
      </c>
    </row>
    <row r="163" spans="2:21" x14ac:dyDescent="0.3">
      <c r="B163" s="15"/>
      <c r="C163" s="15"/>
      <c r="D163" s="15"/>
      <c r="E163" s="15"/>
      <c r="F163" s="51"/>
      <c r="T163" s="54" t="s">
        <v>728</v>
      </c>
      <c r="U163" s="54" t="s">
        <v>909</v>
      </c>
    </row>
    <row r="164" spans="2:21" x14ac:dyDescent="0.3">
      <c r="B164" s="15"/>
      <c r="C164" s="15"/>
      <c r="D164" s="15"/>
      <c r="E164" s="15"/>
      <c r="F164" s="51"/>
      <c r="T164" s="54" t="s">
        <v>729</v>
      </c>
      <c r="U164" s="54" t="s">
        <v>912</v>
      </c>
    </row>
    <row r="165" spans="2:21" x14ac:dyDescent="0.3">
      <c r="B165" s="15"/>
      <c r="C165" s="15"/>
      <c r="D165" s="15"/>
      <c r="E165" s="15"/>
      <c r="T165" s="54" t="s">
        <v>130</v>
      </c>
      <c r="U165" s="54" t="s">
        <v>908</v>
      </c>
    </row>
    <row r="166" spans="2:21" x14ac:dyDescent="0.3">
      <c r="B166" s="15"/>
      <c r="C166" s="15"/>
      <c r="D166" s="15"/>
      <c r="E166" s="15"/>
      <c r="F166" s="51"/>
      <c r="T166" s="54" t="s">
        <v>730</v>
      </c>
      <c r="U166" s="54" t="s">
        <v>908</v>
      </c>
    </row>
    <row r="167" spans="2:21" x14ac:dyDescent="0.3">
      <c r="B167" s="15"/>
      <c r="C167" s="15"/>
      <c r="D167" s="15"/>
      <c r="E167" s="15"/>
      <c r="F167" s="51"/>
      <c r="T167" s="54" t="s">
        <v>132</v>
      </c>
      <c r="U167" s="54" t="s">
        <v>908</v>
      </c>
    </row>
    <row r="168" spans="2:21" x14ac:dyDescent="0.3">
      <c r="B168" s="15"/>
      <c r="C168" s="15"/>
      <c r="D168" s="15"/>
      <c r="E168" s="15"/>
      <c r="F168" s="51"/>
      <c r="T168" s="54" t="s">
        <v>731</v>
      </c>
      <c r="U168" s="54" t="s">
        <v>909</v>
      </c>
    </row>
    <row r="169" spans="2:21" x14ac:dyDescent="0.3">
      <c r="B169" s="15"/>
      <c r="C169" s="15"/>
      <c r="D169" s="15"/>
      <c r="E169" s="15"/>
      <c r="F169" s="51"/>
      <c r="T169" s="54" t="s">
        <v>133</v>
      </c>
      <c r="U169" s="54" t="s">
        <v>909</v>
      </c>
    </row>
    <row r="170" spans="2:21" x14ac:dyDescent="0.3">
      <c r="B170" s="15"/>
      <c r="C170" s="15"/>
      <c r="D170" s="15"/>
      <c r="E170" s="15"/>
      <c r="F170" s="51"/>
      <c r="T170" s="54" t="s">
        <v>732</v>
      </c>
      <c r="U170" s="54" t="s">
        <v>909</v>
      </c>
    </row>
    <row r="171" spans="2:21" x14ac:dyDescent="0.3">
      <c r="B171" s="15"/>
      <c r="C171" s="15"/>
      <c r="D171" s="15"/>
      <c r="E171" s="15"/>
      <c r="F171" s="51"/>
      <c r="T171" s="55" t="s">
        <v>135</v>
      </c>
      <c r="U171" s="54" t="s">
        <v>914</v>
      </c>
    </row>
    <row r="172" spans="2:21" x14ac:dyDescent="0.3">
      <c r="B172" s="15"/>
      <c r="C172" s="15"/>
      <c r="D172" s="15"/>
      <c r="E172" s="15"/>
      <c r="F172" s="51"/>
      <c r="T172" s="54" t="s">
        <v>733</v>
      </c>
      <c r="U172" s="54" t="s">
        <v>914</v>
      </c>
    </row>
    <row r="173" spans="2:21" x14ac:dyDescent="0.3">
      <c r="B173" s="15"/>
      <c r="C173" s="15"/>
      <c r="D173" s="15"/>
      <c r="E173" s="15"/>
      <c r="F173" s="51"/>
      <c r="T173" s="54" t="s">
        <v>734</v>
      </c>
      <c r="U173" s="54" t="s">
        <v>909</v>
      </c>
    </row>
    <row r="174" spans="2:21" x14ac:dyDescent="0.3">
      <c r="B174" s="15"/>
      <c r="C174" s="15"/>
      <c r="D174" s="15"/>
      <c r="E174" s="15"/>
      <c r="F174" s="51"/>
      <c r="T174" s="54" t="s">
        <v>735</v>
      </c>
      <c r="U174" s="54" t="s">
        <v>908</v>
      </c>
    </row>
    <row r="175" spans="2:21" x14ac:dyDescent="0.3">
      <c r="B175" s="15"/>
      <c r="C175" s="15"/>
      <c r="D175" s="15"/>
      <c r="E175" s="15"/>
      <c r="T175" s="54" t="s">
        <v>736</v>
      </c>
      <c r="U175" s="54" t="s">
        <v>908</v>
      </c>
    </row>
    <row r="176" spans="2:21" x14ac:dyDescent="0.3">
      <c r="B176" s="15"/>
      <c r="C176" s="15"/>
      <c r="D176" s="15"/>
      <c r="E176" s="15"/>
      <c r="F176" s="51"/>
      <c r="T176" s="54" t="s">
        <v>136</v>
      </c>
      <c r="U176" s="54" t="s">
        <v>912</v>
      </c>
    </row>
    <row r="177" spans="2:21" x14ac:dyDescent="0.3">
      <c r="B177" s="15"/>
      <c r="C177" s="15"/>
      <c r="D177" s="15"/>
      <c r="E177" s="15"/>
      <c r="F177" s="51"/>
      <c r="T177" s="54" t="s">
        <v>202</v>
      </c>
      <c r="U177" s="54" t="s">
        <v>912</v>
      </c>
    </row>
    <row r="178" spans="2:21" x14ac:dyDescent="0.3">
      <c r="B178" s="15"/>
      <c r="C178" s="15"/>
      <c r="D178" s="15"/>
      <c r="E178" s="15"/>
      <c r="F178" s="51"/>
      <c r="T178" s="55" t="s">
        <v>138</v>
      </c>
      <c r="U178" s="54" t="s">
        <v>908</v>
      </c>
    </row>
    <row r="179" spans="2:21" x14ac:dyDescent="0.3">
      <c r="B179" s="15"/>
      <c r="C179" s="15"/>
      <c r="D179" s="15"/>
      <c r="E179" s="15"/>
      <c r="F179" s="51"/>
      <c r="T179" s="55" t="s">
        <v>139</v>
      </c>
      <c r="U179" s="54" t="s">
        <v>908</v>
      </c>
    </row>
    <row r="180" spans="2:21" x14ac:dyDescent="0.3">
      <c r="B180" s="15"/>
      <c r="C180" s="15"/>
      <c r="D180" s="15"/>
      <c r="E180" s="15"/>
      <c r="F180" s="51"/>
      <c r="T180" s="54" t="s">
        <v>737</v>
      </c>
      <c r="U180" s="54" t="s">
        <v>910</v>
      </c>
    </row>
    <row r="181" spans="2:21" x14ac:dyDescent="0.3">
      <c r="B181" s="15"/>
      <c r="C181" s="15"/>
      <c r="D181" s="15"/>
      <c r="E181" s="15"/>
      <c r="F181" s="51"/>
      <c r="T181" s="54" t="s">
        <v>141</v>
      </c>
      <c r="U181" s="54" t="s">
        <v>910</v>
      </c>
    </row>
    <row r="182" spans="2:21" x14ac:dyDescent="0.3">
      <c r="B182" s="15"/>
      <c r="C182" s="15"/>
      <c r="D182" s="15"/>
      <c r="E182" s="15"/>
      <c r="F182" s="51"/>
      <c r="T182" s="54" t="s">
        <v>738</v>
      </c>
      <c r="U182" s="54" t="s">
        <v>908</v>
      </c>
    </row>
    <row r="183" spans="2:21" x14ac:dyDescent="0.3">
      <c r="B183" s="15"/>
      <c r="C183" s="15"/>
      <c r="D183" s="15"/>
      <c r="E183" s="15"/>
      <c r="F183" s="51"/>
      <c r="T183" s="54" t="s">
        <v>739</v>
      </c>
      <c r="U183" s="54" t="s">
        <v>908</v>
      </c>
    </row>
    <row r="184" spans="2:21" x14ac:dyDescent="0.3">
      <c r="B184" s="15"/>
      <c r="C184" s="15"/>
      <c r="D184" s="15"/>
      <c r="E184" s="15"/>
      <c r="F184" s="51"/>
      <c r="T184" s="54" t="s">
        <v>740</v>
      </c>
      <c r="U184" s="54" t="s">
        <v>908</v>
      </c>
    </row>
    <row r="185" spans="2:21" x14ac:dyDescent="0.3">
      <c r="B185" s="15"/>
      <c r="C185" s="15"/>
      <c r="D185" s="15"/>
      <c r="E185" s="15"/>
      <c r="F185" s="51"/>
      <c r="T185" s="54" t="s">
        <v>741</v>
      </c>
      <c r="U185" s="54" t="s">
        <v>908</v>
      </c>
    </row>
    <row r="186" spans="2:21" x14ac:dyDescent="0.3">
      <c r="B186" s="15"/>
      <c r="C186" s="15"/>
      <c r="D186" s="15"/>
      <c r="E186" s="15"/>
      <c r="F186" s="51"/>
      <c r="T186" s="54" t="s">
        <v>742</v>
      </c>
      <c r="U186" s="54" t="s">
        <v>908</v>
      </c>
    </row>
    <row r="187" spans="2:21" x14ac:dyDescent="0.3">
      <c r="B187" s="15"/>
      <c r="C187" s="15"/>
      <c r="D187" s="15"/>
      <c r="E187" s="15"/>
      <c r="F187" s="51"/>
      <c r="T187" s="54" t="s">
        <v>743</v>
      </c>
      <c r="U187" s="54" t="s">
        <v>908</v>
      </c>
    </row>
    <row r="188" spans="2:21" x14ac:dyDescent="0.3">
      <c r="B188" s="15"/>
      <c r="C188" s="15"/>
      <c r="D188" s="15"/>
      <c r="E188" s="15"/>
      <c r="F188" s="51"/>
      <c r="T188" s="54" t="s">
        <v>744</v>
      </c>
      <c r="U188" s="54" t="s">
        <v>908</v>
      </c>
    </row>
    <row r="189" spans="2:21" x14ac:dyDescent="0.3">
      <c r="B189" s="15"/>
      <c r="C189" s="15"/>
      <c r="D189" s="15"/>
      <c r="E189" s="15"/>
      <c r="F189" s="51"/>
      <c r="T189" s="54" t="s">
        <v>745</v>
      </c>
      <c r="U189" s="54" t="s">
        <v>909</v>
      </c>
    </row>
    <row r="190" spans="2:21" x14ac:dyDescent="0.3">
      <c r="B190" s="15"/>
      <c r="C190" s="15"/>
      <c r="D190" s="15"/>
      <c r="E190" s="15"/>
      <c r="F190" s="51"/>
      <c r="T190" s="54" t="s">
        <v>746</v>
      </c>
      <c r="U190" s="54" t="s">
        <v>912</v>
      </c>
    </row>
    <row r="191" spans="2:21" x14ac:dyDescent="0.3">
      <c r="B191" s="15"/>
      <c r="C191" s="15"/>
      <c r="D191" s="15"/>
      <c r="E191" s="15"/>
      <c r="F191" s="51"/>
      <c r="T191" s="54" t="s">
        <v>747</v>
      </c>
      <c r="U191" s="54" t="s">
        <v>909</v>
      </c>
    </row>
    <row r="192" spans="2:21" x14ac:dyDescent="0.3">
      <c r="B192" s="15"/>
      <c r="C192" s="15"/>
      <c r="D192" s="15"/>
      <c r="E192" s="15"/>
      <c r="F192" s="51"/>
      <c r="T192" s="54" t="s">
        <v>748</v>
      </c>
      <c r="U192" s="54" t="s">
        <v>908</v>
      </c>
    </row>
    <row r="193" spans="2:21" x14ac:dyDescent="0.3">
      <c r="B193" s="15"/>
      <c r="C193" s="15"/>
      <c r="D193" s="15"/>
      <c r="E193" s="15"/>
      <c r="F193" s="51"/>
      <c r="T193" s="54" t="s">
        <v>749</v>
      </c>
      <c r="U193" s="54" t="s">
        <v>908</v>
      </c>
    </row>
    <row r="194" spans="2:21" x14ac:dyDescent="0.3">
      <c r="B194" s="15"/>
      <c r="C194" s="15"/>
      <c r="D194" s="15"/>
      <c r="E194" s="15"/>
      <c r="F194" s="51"/>
      <c r="T194" s="54" t="s">
        <v>750</v>
      </c>
      <c r="U194" s="54" t="s">
        <v>908</v>
      </c>
    </row>
    <row r="195" spans="2:21" x14ac:dyDescent="0.3">
      <c r="B195" s="15"/>
      <c r="C195" s="15"/>
      <c r="D195" s="15"/>
      <c r="E195" s="15"/>
      <c r="F195" s="51"/>
      <c r="T195" s="54" t="s">
        <v>751</v>
      </c>
      <c r="U195" s="54" t="s">
        <v>912</v>
      </c>
    </row>
    <row r="196" spans="2:21" x14ac:dyDescent="0.3">
      <c r="B196" s="15"/>
      <c r="C196" s="15"/>
      <c r="D196" s="15"/>
      <c r="E196" s="15"/>
      <c r="F196" s="51"/>
      <c r="T196" s="54" t="s">
        <v>752</v>
      </c>
      <c r="U196" s="54" t="s">
        <v>908</v>
      </c>
    </row>
    <row r="197" spans="2:21" x14ac:dyDescent="0.3">
      <c r="B197" s="15"/>
      <c r="C197" s="15"/>
      <c r="D197" s="15"/>
      <c r="E197" s="15"/>
      <c r="F197" s="51"/>
      <c r="T197" s="54" t="s">
        <v>753</v>
      </c>
      <c r="U197" s="54" t="s">
        <v>911</v>
      </c>
    </row>
    <row r="198" spans="2:21" x14ac:dyDescent="0.3">
      <c r="B198" s="15"/>
      <c r="C198" s="15"/>
      <c r="D198" s="15"/>
      <c r="E198" s="15"/>
      <c r="F198" s="51"/>
      <c r="T198" s="54" t="s">
        <v>754</v>
      </c>
      <c r="U198" s="54" t="s">
        <v>912</v>
      </c>
    </row>
    <row r="199" spans="2:21" x14ac:dyDescent="0.3">
      <c r="B199" s="15"/>
      <c r="C199" s="15"/>
      <c r="D199" s="15"/>
      <c r="E199" s="15"/>
      <c r="F199" s="51"/>
      <c r="T199" s="54" t="s">
        <v>755</v>
      </c>
      <c r="U199" s="54" t="s">
        <v>909</v>
      </c>
    </row>
    <row r="200" spans="2:21" x14ac:dyDescent="0.3">
      <c r="B200" s="15"/>
      <c r="C200" s="15"/>
      <c r="D200" s="15"/>
      <c r="E200" s="15"/>
      <c r="F200" s="51"/>
      <c r="T200" s="54" t="s">
        <v>756</v>
      </c>
      <c r="U200" s="54" t="s">
        <v>908</v>
      </c>
    </row>
    <row r="201" spans="2:21" x14ac:dyDescent="0.3">
      <c r="B201" s="15"/>
      <c r="C201" s="15"/>
      <c r="D201" s="15"/>
      <c r="E201" s="15"/>
      <c r="F201" s="51"/>
      <c r="T201" s="54" t="s">
        <v>143</v>
      </c>
      <c r="U201" s="54" t="s">
        <v>908</v>
      </c>
    </row>
    <row r="202" spans="2:21" x14ac:dyDescent="0.3">
      <c r="B202" s="15"/>
      <c r="C202" s="15"/>
      <c r="D202" s="15"/>
      <c r="E202" s="15"/>
      <c r="F202" s="51"/>
      <c r="T202" s="54" t="s">
        <v>757</v>
      </c>
      <c r="U202" s="54" t="s">
        <v>908</v>
      </c>
    </row>
    <row r="203" spans="2:21" x14ac:dyDescent="0.3">
      <c r="B203" s="15"/>
      <c r="C203" s="15"/>
      <c r="D203" s="15"/>
      <c r="E203" s="15"/>
      <c r="F203" s="51"/>
      <c r="T203" s="54" t="s">
        <v>758</v>
      </c>
      <c r="U203" s="54" t="s">
        <v>912</v>
      </c>
    </row>
    <row r="204" spans="2:21" x14ac:dyDescent="0.3">
      <c r="B204" s="15"/>
      <c r="C204" s="15"/>
      <c r="D204" s="15"/>
      <c r="E204" s="15"/>
      <c r="F204" s="51"/>
      <c r="T204" s="54" t="s">
        <v>759</v>
      </c>
      <c r="U204" s="54" t="s">
        <v>915</v>
      </c>
    </row>
    <row r="205" spans="2:21" x14ac:dyDescent="0.3">
      <c r="B205" s="15"/>
      <c r="C205" s="15"/>
      <c r="D205" s="15"/>
      <c r="E205" s="15"/>
      <c r="F205" s="51"/>
      <c r="T205" s="54" t="s">
        <v>145</v>
      </c>
      <c r="U205" s="54" t="s">
        <v>909</v>
      </c>
    </row>
    <row r="206" spans="2:21" x14ac:dyDescent="0.3">
      <c r="B206" s="15"/>
      <c r="C206" s="15"/>
      <c r="D206" s="15"/>
      <c r="E206" s="15"/>
      <c r="F206" s="51"/>
      <c r="T206" s="54" t="s">
        <v>760</v>
      </c>
      <c r="U206" s="54" t="s">
        <v>912</v>
      </c>
    </row>
    <row r="207" spans="2:21" x14ac:dyDescent="0.3">
      <c r="B207" s="15"/>
      <c r="C207" s="15"/>
      <c r="D207" s="15"/>
      <c r="E207" s="15"/>
      <c r="F207" s="51"/>
      <c r="T207" s="54" t="s">
        <v>761</v>
      </c>
      <c r="U207" s="54" t="s">
        <v>908</v>
      </c>
    </row>
    <row r="208" spans="2:21" x14ac:dyDescent="0.3">
      <c r="B208" s="15"/>
      <c r="C208" s="15"/>
      <c r="D208" s="15"/>
      <c r="E208" s="15"/>
      <c r="F208" s="51"/>
      <c r="T208" s="54" t="s">
        <v>761</v>
      </c>
      <c r="U208" s="54" t="s">
        <v>908</v>
      </c>
    </row>
    <row r="209" spans="2:21" x14ac:dyDescent="0.3">
      <c r="B209" s="15"/>
      <c r="C209" s="15"/>
      <c r="D209" s="15"/>
      <c r="E209" s="15"/>
      <c r="F209" s="51"/>
      <c r="T209" s="54" t="s">
        <v>762</v>
      </c>
      <c r="U209" s="54" t="s">
        <v>908</v>
      </c>
    </row>
    <row r="210" spans="2:21" x14ac:dyDescent="0.3">
      <c r="B210" s="15"/>
      <c r="C210" s="15"/>
      <c r="D210" s="15"/>
      <c r="E210" s="15"/>
      <c r="F210" s="51"/>
      <c r="T210" s="55" t="s">
        <v>146</v>
      </c>
      <c r="U210" s="54" t="s">
        <v>910</v>
      </c>
    </row>
    <row r="211" spans="2:21" x14ac:dyDescent="0.3">
      <c r="B211" s="15"/>
      <c r="C211" s="15"/>
      <c r="D211" s="15"/>
      <c r="E211" s="15"/>
      <c r="F211" s="51"/>
      <c r="T211" s="54" t="s">
        <v>763</v>
      </c>
      <c r="U211" s="54" t="s">
        <v>910</v>
      </c>
    </row>
    <row r="212" spans="2:21" x14ac:dyDescent="0.3">
      <c r="B212" s="15"/>
      <c r="C212" s="15"/>
      <c r="D212" s="15"/>
      <c r="E212" s="15"/>
      <c r="F212" s="51"/>
      <c r="T212" s="54" t="s">
        <v>147</v>
      </c>
      <c r="U212" s="54" t="s">
        <v>909</v>
      </c>
    </row>
    <row r="213" spans="2:21" x14ac:dyDescent="0.3">
      <c r="B213" s="15"/>
      <c r="C213" s="15"/>
      <c r="D213" s="15"/>
      <c r="E213" s="15"/>
      <c r="F213" s="51"/>
      <c r="T213" s="54" t="s">
        <v>764</v>
      </c>
      <c r="U213" s="54" t="s">
        <v>912</v>
      </c>
    </row>
    <row r="214" spans="2:21" x14ac:dyDescent="0.3">
      <c r="B214" s="15"/>
      <c r="C214" s="15"/>
      <c r="D214" s="15"/>
      <c r="E214" s="15"/>
      <c r="F214" s="51"/>
      <c r="T214" s="54" t="s">
        <v>155</v>
      </c>
      <c r="U214" s="54" t="s">
        <v>912</v>
      </c>
    </row>
    <row r="215" spans="2:21" x14ac:dyDescent="0.3">
      <c r="B215" s="15"/>
      <c r="C215" s="15"/>
      <c r="D215" s="15"/>
      <c r="E215" s="15"/>
      <c r="F215" s="51"/>
      <c r="T215" s="54" t="s">
        <v>765</v>
      </c>
      <c r="U215" s="54" t="s">
        <v>909</v>
      </c>
    </row>
    <row r="216" spans="2:21" x14ac:dyDescent="0.3">
      <c r="B216" s="15"/>
      <c r="C216" s="15"/>
      <c r="D216" s="15"/>
      <c r="E216" s="15"/>
      <c r="F216" s="51"/>
      <c r="T216" s="54" t="s">
        <v>156</v>
      </c>
      <c r="U216" s="54" t="s">
        <v>909</v>
      </c>
    </row>
    <row r="217" spans="2:21" x14ac:dyDescent="0.3">
      <c r="B217" s="15"/>
      <c r="C217" s="15"/>
      <c r="D217" s="15"/>
      <c r="E217" s="15"/>
      <c r="F217" s="51"/>
      <c r="T217" s="54" t="s">
        <v>766</v>
      </c>
      <c r="U217" s="54" t="s">
        <v>912</v>
      </c>
    </row>
    <row r="218" spans="2:21" x14ac:dyDescent="0.3">
      <c r="B218" s="15"/>
      <c r="C218" s="15"/>
      <c r="D218" s="15"/>
      <c r="E218" s="15"/>
      <c r="F218" s="51"/>
      <c r="T218" s="54" t="s">
        <v>157</v>
      </c>
      <c r="U218" s="54" t="s">
        <v>909</v>
      </c>
    </row>
    <row r="219" spans="2:21" x14ac:dyDescent="0.3">
      <c r="B219" s="15"/>
      <c r="C219" s="15"/>
      <c r="D219" s="15"/>
      <c r="E219" s="15"/>
      <c r="F219" s="51"/>
      <c r="T219" s="54" t="s">
        <v>767</v>
      </c>
      <c r="U219" s="54" t="s">
        <v>912</v>
      </c>
    </row>
    <row r="220" spans="2:21" x14ac:dyDescent="0.3">
      <c r="B220" s="15"/>
      <c r="C220" s="15"/>
      <c r="D220" s="15"/>
      <c r="E220" s="15"/>
      <c r="F220" s="51"/>
      <c r="T220" s="54" t="s">
        <v>767</v>
      </c>
      <c r="U220" s="54" t="s">
        <v>912</v>
      </c>
    </row>
    <row r="221" spans="2:21" x14ac:dyDescent="0.3">
      <c r="B221" s="15"/>
      <c r="C221" s="15"/>
      <c r="D221" s="15"/>
      <c r="E221" s="15"/>
      <c r="F221" s="51"/>
      <c r="T221" s="55" t="s">
        <v>159</v>
      </c>
      <c r="U221" s="54" t="s">
        <v>909</v>
      </c>
    </row>
    <row r="222" spans="2:21" x14ac:dyDescent="0.3">
      <c r="B222" s="15"/>
      <c r="C222" s="15"/>
      <c r="D222" s="15"/>
      <c r="E222" s="15"/>
      <c r="F222" s="51"/>
      <c r="T222" s="54" t="s">
        <v>768</v>
      </c>
      <c r="U222" s="54" t="s">
        <v>916</v>
      </c>
    </row>
    <row r="223" spans="2:21" x14ac:dyDescent="0.3">
      <c r="B223" s="15"/>
      <c r="C223" s="15"/>
      <c r="D223" s="15"/>
      <c r="E223" s="15"/>
      <c r="F223" s="51"/>
      <c r="T223" s="54" t="s">
        <v>769</v>
      </c>
      <c r="U223" s="54" t="s">
        <v>913</v>
      </c>
    </row>
    <row r="224" spans="2:21" x14ac:dyDescent="0.3">
      <c r="B224" s="15"/>
      <c r="C224" s="15"/>
      <c r="D224" s="15"/>
      <c r="E224" s="15"/>
      <c r="F224" s="51"/>
      <c r="T224" s="54" t="s">
        <v>769</v>
      </c>
      <c r="U224" s="54" t="s">
        <v>913</v>
      </c>
    </row>
    <row r="225" spans="2:21" x14ac:dyDescent="0.3">
      <c r="B225" s="15"/>
      <c r="C225" s="15"/>
      <c r="D225" s="15"/>
      <c r="E225" s="15"/>
      <c r="F225" s="51"/>
      <c r="T225" s="54" t="s">
        <v>164</v>
      </c>
      <c r="U225" s="54" t="s">
        <v>913</v>
      </c>
    </row>
    <row r="226" spans="2:21" x14ac:dyDescent="0.3">
      <c r="B226" s="15"/>
      <c r="C226" s="15"/>
      <c r="D226" s="15"/>
      <c r="E226" s="15"/>
      <c r="F226" s="51"/>
      <c r="T226" s="54" t="s">
        <v>164</v>
      </c>
      <c r="U226" s="54" t="s">
        <v>913</v>
      </c>
    </row>
    <row r="227" spans="2:21" x14ac:dyDescent="0.3">
      <c r="B227" s="15"/>
      <c r="C227" s="15"/>
      <c r="D227" s="15"/>
      <c r="E227" s="15"/>
      <c r="F227" s="51"/>
      <c r="T227" s="54" t="s">
        <v>770</v>
      </c>
      <c r="U227" s="54" t="s">
        <v>916</v>
      </c>
    </row>
    <row r="228" spans="2:21" x14ac:dyDescent="0.3">
      <c r="B228" s="15"/>
      <c r="C228" s="15"/>
      <c r="D228" s="15"/>
      <c r="E228" s="15"/>
      <c r="F228" s="51"/>
      <c r="T228" s="54" t="s">
        <v>190</v>
      </c>
      <c r="U228" s="54" t="s">
        <v>912</v>
      </c>
    </row>
    <row r="229" spans="2:21" x14ac:dyDescent="0.3">
      <c r="B229" s="15"/>
      <c r="C229" s="15"/>
      <c r="D229" s="15"/>
      <c r="E229" s="15"/>
      <c r="F229" s="51"/>
      <c r="T229" s="54" t="s">
        <v>771</v>
      </c>
      <c r="U229" s="54" t="s">
        <v>909</v>
      </c>
    </row>
    <row r="230" spans="2:21" x14ac:dyDescent="0.3">
      <c r="B230" s="15"/>
      <c r="C230" s="15"/>
      <c r="D230" s="15"/>
      <c r="E230" s="15"/>
      <c r="F230" s="51"/>
      <c r="T230" s="55" t="s">
        <v>166</v>
      </c>
      <c r="U230" s="54" t="s">
        <v>909</v>
      </c>
    </row>
    <row r="231" spans="2:21" x14ac:dyDescent="0.3">
      <c r="B231" s="15"/>
      <c r="C231" s="15"/>
      <c r="D231" s="15"/>
      <c r="E231" s="15"/>
      <c r="F231" s="51"/>
      <c r="T231" s="54" t="s">
        <v>772</v>
      </c>
      <c r="U231" s="54" t="s">
        <v>912</v>
      </c>
    </row>
    <row r="232" spans="2:21" x14ac:dyDescent="0.3">
      <c r="B232" s="15"/>
      <c r="C232" s="15"/>
      <c r="D232" s="15"/>
      <c r="E232" s="15"/>
      <c r="F232" s="51"/>
      <c r="T232" s="54" t="s">
        <v>773</v>
      </c>
      <c r="U232" s="54" t="s">
        <v>909</v>
      </c>
    </row>
    <row r="233" spans="2:21" x14ac:dyDescent="0.3">
      <c r="B233" s="15"/>
      <c r="C233" s="15"/>
      <c r="D233" s="15"/>
      <c r="E233" s="15"/>
      <c r="F233" s="51"/>
      <c r="T233" s="55" t="s">
        <v>175</v>
      </c>
      <c r="U233" s="54" t="s">
        <v>909</v>
      </c>
    </row>
    <row r="234" spans="2:21" x14ac:dyDescent="0.3">
      <c r="B234" s="15"/>
      <c r="C234" s="15"/>
      <c r="D234" s="15"/>
      <c r="E234" s="15"/>
      <c r="F234" s="51"/>
      <c r="T234" s="54" t="s">
        <v>774</v>
      </c>
      <c r="U234" s="54" t="s">
        <v>911</v>
      </c>
    </row>
    <row r="235" spans="2:21" x14ac:dyDescent="0.3">
      <c r="B235" s="15"/>
      <c r="C235" s="15"/>
      <c r="D235" s="15"/>
      <c r="E235" s="15"/>
      <c r="F235" s="51"/>
      <c r="T235" s="54" t="s">
        <v>775</v>
      </c>
      <c r="U235" s="54" t="s">
        <v>909</v>
      </c>
    </row>
    <row r="236" spans="2:21" x14ac:dyDescent="0.3">
      <c r="B236" s="15"/>
      <c r="C236" s="15"/>
      <c r="D236" s="15"/>
      <c r="E236" s="15"/>
      <c r="T236" s="54" t="s">
        <v>197</v>
      </c>
      <c r="U236" s="54" t="s">
        <v>909</v>
      </c>
    </row>
    <row r="237" spans="2:21" x14ac:dyDescent="0.3">
      <c r="B237" s="15"/>
      <c r="C237" s="15"/>
      <c r="D237" s="15"/>
      <c r="E237" s="15"/>
      <c r="F237" s="51"/>
      <c r="T237" s="54" t="s">
        <v>776</v>
      </c>
      <c r="U237" s="54" t="s">
        <v>908</v>
      </c>
    </row>
    <row r="238" spans="2:21" x14ac:dyDescent="0.3">
      <c r="B238" s="15"/>
      <c r="C238" s="15"/>
      <c r="D238" s="15"/>
      <c r="E238" s="15"/>
      <c r="F238" s="51"/>
      <c r="T238" s="54" t="s">
        <v>777</v>
      </c>
      <c r="U238" s="54" t="s">
        <v>910</v>
      </c>
    </row>
    <row r="239" spans="2:21" x14ac:dyDescent="0.3">
      <c r="B239" s="15"/>
      <c r="C239" s="15"/>
      <c r="D239" s="15"/>
      <c r="E239" s="15"/>
      <c r="F239" s="51"/>
      <c r="T239" s="54" t="s">
        <v>167</v>
      </c>
      <c r="U239" s="54" t="s">
        <v>912</v>
      </c>
    </row>
    <row r="240" spans="2:21" x14ac:dyDescent="0.3">
      <c r="B240" s="15"/>
      <c r="C240" s="15"/>
      <c r="D240" s="15"/>
      <c r="E240" s="15"/>
      <c r="F240" s="51"/>
      <c r="T240" s="54" t="s">
        <v>778</v>
      </c>
      <c r="U240" s="54" t="s">
        <v>909</v>
      </c>
    </row>
    <row r="241" spans="2:21" x14ac:dyDescent="0.3">
      <c r="B241" s="15"/>
      <c r="C241" s="15"/>
      <c r="D241" s="15"/>
      <c r="E241" s="15"/>
      <c r="F241" s="51"/>
      <c r="T241" s="54" t="s">
        <v>779</v>
      </c>
      <c r="U241" s="54" t="s">
        <v>912</v>
      </c>
    </row>
    <row r="242" spans="2:21" x14ac:dyDescent="0.3">
      <c r="B242" s="15"/>
      <c r="C242" s="15"/>
      <c r="D242" s="15"/>
      <c r="E242" s="15"/>
      <c r="F242" s="51"/>
      <c r="T242" s="54" t="s">
        <v>780</v>
      </c>
      <c r="U242" s="54" t="s">
        <v>908</v>
      </c>
    </row>
    <row r="243" spans="2:21" x14ac:dyDescent="0.3">
      <c r="B243" s="15"/>
      <c r="C243" s="15"/>
      <c r="D243" s="15"/>
      <c r="E243" s="15"/>
      <c r="F243" s="51"/>
      <c r="T243" s="54" t="s">
        <v>781</v>
      </c>
      <c r="U243" s="54" t="s">
        <v>910</v>
      </c>
    </row>
    <row r="244" spans="2:21" x14ac:dyDescent="0.3">
      <c r="B244" s="15"/>
      <c r="C244" s="15"/>
      <c r="D244" s="15"/>
      <c r="E244" s="15"/>
      <c r="F244" s="51"/>
      <c r="T244" s="54" t="s">
        <v>782</v>
      </c>
      <c r="U244" s="54" t="s">
        <v>908</v>
      </c>
    </row>
    <row r="245" spans="2:21" x14ac:dyDescent="0.3">
      <c r="B245" s="15"/>
      <c r="C245" s="15"/>
      <c r="D245" s="15"/>
      <c r="E245" s="15"/>
      <c r="F245" s="51"/>
      <c r="T245" s="54" t="s">
        <v>783</v>
      </c>
      <c r="U245" s="54" t="s">
        <v>909</v>
      </c>
    </row>
    <row r="246" spans="2:21" x14ac:dyDescent="0.3">
      <c r="B246" s="15"/>
      <c r="C246" s="15"/>
      <c r="D246" s="15"/>
      <c r="E246" s="15"/>
      <c r="F246" s="51"/>
      <c r="T246" s="54" t="s">
        <v>178</v>
      </c>
      <c r="U246" s="54" t="s">
        <v>912</v>
      </c>
    </row>
    <row r="247" spans="2:21" x14ac:dyDescent="0.3">
      <c r="B247" s="15"/>
      <c r="C247" s="15"/>
      <c r="D247" s="15"/>
      <c r="E247" s="15"/>
      <c r="F247" s="51"/>
      <c r="T247" s="55" t="s">
        <v>189</v>
      </c>
      <c r="U247" s="54" t="s">
        <v>908</v>
      </c>
    </row>
    <row r="248" spans="2:21" x14ac:dyDescent="0.3">
      <c r="B248" s="15"/>
      <c r="C248" s="15"/>
      <c r="D248" s="15"/>
      <c r="E248" s="15"/>
      <c r="F248" s="51"/>
      <c r="T248" s="54" t="s">
        <v>168</v>
      </c>
      <c r="U248" s="54" t="s">
        <v>912</v>
      </c>
    </row>
    <row r="249" spans="2:21" x14ac:dyDescent="0.3">
      <c r="B249" s="15"/>
      <c r="C249" s="15"/>
      <c r="D249" s="15"/>
      <c r="E249" s="15"/>
      <c r="T249" s="54" t="s">
        <v>784</v>
      </c>
      <c r="U249" s="54" t="s">
        <v>909</v>
      </c>
    </row>
    <row r="250" spans="2:21" x14ac:dyDescent="0.3">
      <c r="B250" s="15"/>
      <c r="C250" s="15"/>
      <c r="D250" s="15"/>
      <c r="E250" s="15"/>
      <c r="T250" s="54" t="s">
        <v>785</v>
      </c>
      <c r="U250" s="54" t="s">
        <v>908</v>
      </c>
    </row>
    <row r="251" spans="2:21" x14ac:dyDescent="0.3">
      <c r="B251" s="15"/>
      <c r="C251" s="15"/>
      <c r="D251" s="15"/>
      <c r="E251" s="15"/>
      <c r="F251" s="51"/>
      <c r="T251" s="54" t="s">
        <v>786</v>
      </c>
      <c r="U251" s="54" t="s">
        <v>908</v>
      </c>
    </row>
    <row r="252" spans="2:21" x14ac:dyDescent="0.3">
      <c r="B252" s="15"/>
      <c r="C252" s="15"/>
      <c r="D252" s="15"/>
      <c r="E252" s="15"/>
      <c r="F252" s="51"/>
      <c r="T252" s="54" t="s">
        <v>787</v>
      </c>
      <c r="U252" s="54" t="s">
        <v>908</v>
      </c>
    </row>
    <row r="253" spans="2:21" x14ac:dyDescent="0.3">
      <c r="B253" s="15"/>
      <c r="C253" s="15"/>
      <c r="D253" s="15"/>
      <c r="E253" s="15"/>
      <c r="F253" s="51"/>
      <c r="T253" s="54" t="s">
        <v>788</v>
      </c>
      <c r="U253" s="54" t="s">
        <v>909</v>
      </c>
    </row>
    <row r="254" spans="2:21" x14ac:dyDescent="0.3">
      <c r="B254" s="15"/>
      <c r="C254" s="15"/>
      <c r="D254" s="15"/>
      <c r="E254" s="15"/>
      <c r="T254" s="54" t="s">
        <v>789</v>
      </c>
      <c r="U254" s="54" t="s">
        <v>908</v>
      </c>
    </row>
    <row r="255" spans="2:21" x14ac:dyDescent="0.3">
      <c r="B255" s="15"/>
      <c r="C255" s="15"/>
      <c r="D255" s="15"/>
      <c r="E255" s="15"/>
      <c r="F255" s="51"/>
      <c r="T255" s="54" t="s">
        <v>790</v>
      </c>
      <c r="U255" s="54" t="s">
        <v>910</v>
      </c>
    </row>
    <row r="256" spans="2:21" x14ac:dyDescent="0.3">
      <c r="B256" s="15"/>
      <c r="C256" s="15"/>
      <c r="D256" s="15"/>
      <c r="E256" s="15"/>
      <c r="F256" s="51"/>
      <c r="T256" s="54" t="s">
        <v>172</v>
      </c>
      <c r="U256" s="54" t="s">
        <v>910</v>
      </c>
    </row>
    <row r="257" spans="2:21" x14ac:dyDescent="0.3">
      <c r="B257" s="15"/>
      <c r="C257" s="15"/>
      <c r="D257" s="15"/>
      <c r="E257" s="15"/>
      <c r="F257" s="51"/>
      <c r="T257" s="54" t="s">
        <v>791</v>
      </c>
      <c r="U257" s="54" t="s">
        <v>917</v>
      </c>
    </row>
    <row r="258" spans="2:21" x14ac:dyDescent="0.3">
      <c r="B258" s="15"/>
      <c r="C258" s="15"/>
      <c r="D258" s="15"/>
      <c r="E258" s="15"/>
      <c r="T258" s="54" t="s">
        <v>792</v>
      </c>
      <c r="U258" s="54" t="s">
        <v>917</v>
      </c>
    </row>
    <row r="259" spans="2:21" x14ac:dyDescent="0.3">
      <c r="B259" s="15"/>
      <c r="C259" s="15"/>
      <c r="D259" s="15"/>
      <c r="E259" s="15"/>
      <c r="T259" s="54" t="s">
        <v>793</v>
      </c>
      <c r="U259" s="54" t="s">
        <v>909</v>
      </c>
    </row>
    <row r="260" spans="2:21" x14ac:dyDescent="0.3">
      <c r="B260" s="15"/>
      <c r="C260" s="15"/>
      <c r="D260" s="15"/>
      <c r="E260" s="15"/>
      <c r="T260" s="54" t="s">
        <v>173</v>
      </c>
      <c r="U260" s="54" t="s">
        <v>909</v>
      </c>
    </row>
    <row r="261" spans="2:21" x14ac:dyDescent="0.3">
      <c r="B261" s="15"/>
      <c r="C261" s="15"/>
      <c r="D261" s="15"/>
      <c r="E261" s="15"/>
      <c r="T261" s="55" t="s">
        <v>187</v>
      </c>
      <c r="U261" s="54" t="s">
        <v>909</v>
      </c>
    </row>
    <row r="262" spans="2:21" x14ac:dyDescent="0.3">
      <c r="B262" s="15"/>
      <c r="C262" s="15"/>
      <c r="D262" s="15"/>
      <c r="E262" s="15"/>
      <c r="F262" s="51"/>
      <c r="T262" s="54" t="s">
        <v>794</v>
      </c>
      <c r="U262" s="54" t="s">
        <v>909</v>
      </c>
    </row>
    <row r="263" spans="2:21" x14ac:dyDescent="0.3">
      <c r="B263" s="15"/>
      <c r="C263" s="15"/>
      <c r="D263" s="15"/>
      <c r="E263" s="15"/>
      <c r="T263" s="54" t="s">
        <v>183</v>
      </c>
      <c r="U263" s="54" t="s">
        <v>910</v>
      </c>
    </row>
    <row r="264" spans="2:21" x14ac:dyDescent="0.3">
      <c r="B264" s="15"/>
      <c r="C264" s="15"/>
      <c r="D264" s="15"/>
      <c r="E264" s="15"/>
      <c r="T264" s="54" t="s">
        <v>795</v>
      </c>
      <c r="U264" s="54" t="s">
        <v>908</v>
      </c>
    </row>
    <row r="265" spans="2:21" x14ac:dyDescent="0.3">
      <c r="B265" s="15"/>
      <c r="C265" s="15"/>
      <c r="D265" s="15"/>
      <c r="E265" s="15"/>
      <c r="F265" s="51"/>
      <c r="T265" s="54" t="s">
        <v>796</v>
      </c>
      <c r="U265" s="54" t="s">
        <v>910</v>
      </c>
    </row>
    <row r="266" spans="2:21" x14ac:dyDescent="0.3">
      <c r="B266" s="15"/>
      <c r="C266" s="15"/>
      <c r="D266" s="15"/>
      <c r="E266" s="15"/>
      <c r="F266" s="51"/>
      <c r="T266" s="54" t="s">
        <v>797</v>
      </c>
      <c r="U266" s="54" t="s">
        <v>910</v>
      </c>
    </row>
    <row r="267" spans="2:21" x14ac:dyDescent="0.3">
      <c r="B267" s="15"/>
      <c r="C267" s="15"/>
      <c r="D267" s="15"/>
      <c r="E267" s="15"/>
      <c r="F267" s="51"/>
      <c r="T267" s="54" t="s">
        <v>798</v>
      </c>
      <c r="U267" s="54" t="s">
        <v>908</v>
      </c>
    </row>
    <row r="268" spans="2:21" x14ac:dyDescent="0.3">
      <c r="B268" s="15"/>
      <c r="C268" s="15"/>
      <c r="D268" s="15"/>
      <c r="E268" s="15"/>
      <c r="F268" s="51"/>
      <c r="T268" s="55" t="s">
        <v>185</v>
      </c>
      <c r="U268" s="54" t="s">
        <v>910</v>
      </c>
    </row>
    <row r="269" spans="2:21" x14ac:dyDescent="0.3">
      <c r="B269" s="15"/>
      <c r="C269" s="15"/>
      <c r="D269" s="15"/>
      <c r="E269" s="15"/>
      <c r="F269" s="51"/>
      <c r="T269" s="54" t="s">
        <v>799</v>
      </c>
      <c r="U269" s="54" t="s">
        <v>910</v>
      </c>
    </row>
    <row r="270" spans="2:21" x14ac:dyDescent="0.3">
      <c r="B270" s="15"/>
      <c r="C270" s="15"/>
      <c r="D270" s="15"/>
      <c r="E270" s="15"/>
      <c r="F270" s="51"/>
      <c r="T270" s="54" t="s">
        <v>800</v>
      </c>
      <c r="U270" s="54" t="s">
        <v>910</v>
      </c>
    </row>
    <row r="271" spans="2:21" x14ac:dyDescent="0.3">
      <c r="B271" s="15"/>
      <c r="C271" s="15"/>
      <c r="D271" s="15"/>
      <c r="E271" s="15"/>
      <c r="F271" s="51"/>
      <c r="T271" s="54" t="s">
        <v>800</v>
      </c>
      <c r="U271" s="54" t="s">
        <v>910</v>
      </c>
    </row>
    <row r="272" spans="2:21" x14ac:dyDescent="0.3">
      <c r="B272" s="15"/>
      <c r="C272" s="15"/>
      <c r="D272" s="15"/>
      <c r="E272" s="15"/>
      <c r="F272" s="51"/>
      <c r="T272" s="54" t="s">
        <v>801</v>
      </c>
      <c r="U272" s="54" t="s">
        <v>908</v>
      </c>
    </row>
    <row r="273" spans="2:21" x14ac:dyDescent="0.3">
      <c r="B273" s="15"/>
      <c r="C273" s="15"/>
      <c r="D273" s="15"/>
      <c r="E273" s="15"/>
      <c r="F273" s="51"/>
      <c r="T273" s="54" t="s">
        <v>802</v>
      </c>
      <c r="U273" s="54" t="s">
        <v>913</v>
      </c>
    </row>
    <row r="274" spans="2:21" x14ac:dyDescent="0.3">
      <c r="B274" s="15"/>
      <c r="C274" s="15"/>
      <c r="D274" s="15"/>
      <c r="E274" s="15"/>
      <c r="F274" s="51"/>
      <c r="T274" s="54" t="s">
        <v>195</v>
      </c>
      <c r="U274" s="54" t="s">
        <v>913</v>
      </c>
    </row>
    <row r="275" spans="2:21" x14ac:dyDescent="0.3">
      <c r="B275" s="15"/>
      <c r="C275" s="15"/>
      <c r="D275" s="15"/>
      <c r="E275" s="15"/>
      <c r="F275" s="51"/>
      <c r="T275" s="54" t="s">
        <v>803</v>
      </c>
      <c r="U275" s="54" t="s">
        <v>908</v>
      </c>
    </row>
    <row r="276" spans="2:21" x14ac:dyDescent="0.3">
      <c r="B276" s="15"/>
      <c r="C276" s="15"/>
      <c r="D276" s="15"/>
      <c r="E276" s="15"/>
      <c r="F276" s="51"/>
      <c r="T276" s="54" t="s">
        <v>804</v>
      </c>
      <c r="U276" s="54" t="s">
        <v>915</v>
      </c>
    </row>
    <row r="277" spans="2:21" x14ac:dyDescent="0.3">
      <c r="B277" s="15"/>
      <c r="C277" s="15"/>
      <c r="D277" s="15"/>
      <c r="E277" s="15"/>
      <c r="F277" s="51"/>
      <c r="T277" s="54" t="s">
        <v>805</v>
      </c>
      <c r="U277" s="54" t="s">
        <v>913</v>
      </c>
    </row>
    <row r="278" spans="2:21" x14ac:dyDescent="0.3">
      <c r="B278" s="15"/>
      <c r="C278" s="15"/>
      <c r="D278" s="15"/>
      <c r="E278" s="15"/>
      <c r="F278" s="51"/>
      <c r="T278" s="54" t="s">
        <v>806</v>
      </c>
      <c r="U278" s="54" t="s">
        <v>909</v>
      </c>
    </row>
    <row r="279" spans="2:21" x14ac:dyDescent="0.3">
      <c r="B279" s="15"/>
      <c r="C279" s="15"/>
      <c r="D279" s="15"/>
      <c r="E279" s="15"/>
      <c r="T279" s="54" t="s">
        <v>807</v>
      </c>
      <c r="U279" s="54" t="s">
        <v>910</v>
      </c>
    </row>
    <row r="280" spans="2:21" x14ac:dyDescent="0.3">
      <c r="B280" s="15"/>
      <c r="C280" s="15"/>
      <c r="D280" s="15"/>
      <c r="E280" s="15"/>
      <c r="T280" s="55" t="s">
        <v>191</v>
      </c>
      <c r="U280" s="54" t="s">
        <v>909</v>
      </c>
    </row>
    <row r="281" spans="2:21" x14ac:dyDescent="0.3">
      <c r="B281" s="15"/>
      <c r="C281" s="15"/>
      <c r="D281" s="15"/>
      <c r="E281" s="15"/>
      <c r="T281" s="54" t="s">
        <v>199</v>
      </c>
      <c r="U281" s="54" t="s">
        <v>911</v>
      </c>
    </row>
    <row r="282" spans="2:21" x14ac:dyDescent="0.3">
      <c r="B282" s="15"/>
      <c r="C282" s="15"/>
      <c r="D282" s="15"/>
      <c r="E282" s="15"/>
      <c r="T282" s="54" t="s">
        <v>808</v>
      </c>
      <c r="U282" s="54" t="s">
        <v>917</v>
      </c>
    </row>
    <row r="283" spans="2:21" x14ac:dyDescent="0.3">
      <c r="B283" s="15"/>
      <c r="C283" s="15"/>
      <c r="D283" s="15"/>
      <c r="E283" s="15"/>
      <c r="F283" s="51"/>
      <c r="T283" s="54" t="s">
        <v>809</v>
      </c>
      <c r="U283" s="54" t="s">
        <v>908</v>
      </c>
    </row>
    <row r="284" spans="2:21" x14ac:dyDescent="0.3">
      <c r="B284" s="15"/>
      <c r="C284" s="15"/>
      <c r="D284" s="15"/>
      <c r="E284" s="15"/>
      <c r="T284" s="54" t="s">
        <v>810</v>
      </c>
      <c r="U284" s="54" t="s">
        <v>908</v>
      </c>
    </row>
    <row r="285" spans="2:21" x14ac:dyDescent="0.3">
      <c r="B285" s="15"/>
      <c r="C285" s="15"/>
      <c r="D285" s="15"/>
      <c r="E285" s="15"/>
      <c r="F285" s="51"/>
      <c r="T285" s="54" t="s">
        <v>177</v>
      </c>
      <c r="U285" s="54" t="s">
        <v>909</v>
      </c>
    </row>
    <row r="286" spans="2:21" x14ac:dyDescent="0.3">
      <c r="B286" s="15"/>
      <c r="C286" s="15"/>
      <c r="D286" s="15"/>
      <c r="E286" s="15"/>
      <c r="F286" s="51"/>
      <c r="T286" s="54" t="s">
        <v>811</v>
      </c>
      <c r="U286" s="54" t="s">
        <v>908</v>
      </c>
    </row>
    <row r="287" spans="2:21" x14ac:dyDescent="0.3">
      <c r="B287" s="15"/>
      <c r="C287" s="15"/>
      <c r="D287" s="15"/>
      <c r="E287" s="15"/>
      <c r="F287" s="51"/>
      <c r="T287" s="54" t="s">
        <v>812</v>
      </c>
      <c r="U287" s="54" t="s">
        <v>908</v>
      </c>
    </row>
    <row r="288" spans="2:21" x14ac:dyDescent="0.3">
      <c r="B288" s="15"/>
      <c r="C288" s="15"/>
      <c r="D288" s="15"/>
      <c r="E288" s="15"/>
      <c r="F288" s="51"/>
      <c r="T288" s="54" t="s">
        <v>813</v>
      </c>
      <c r="U288" s="54" t="s">
        <v>908</v>
      </c>
    </row>
    <row r="289" spans="2:21" x14ac:dyDescent="0.3">
      <c r="B289" s="15"/>
      <c r="C289" s="15"/>
      <c r="D289" s="15"/>
      <c r="E289" s="15"/>
      <c r="F289" s="51"/>
      <c r="T289" s="54" t="s">
        <v>814</v>
      </c>
      <c r="U289" s="54" t="s">
        <v>908</v>
      </c>
    </row>
    <row r="290" spans="2:21" x14ac:dyDescent="0.3">
      <c r="B290" s="15"/>
      <c r="C290" s="15"/>
      <c r="D290" s="15"/>
      <c r="E290" s="15"/>
      <c r="T290" s="55" t="s">
        <v>193</v>
      </c>
      <c r="U290" s="54" t="s">
        <v>909</v>
      </c>
    </row>
    <row r="291" spans="2:21" x14ac:dyDescent="0.3">
      <c r="B291" s="15"/>
      <c r="C291" s="15"/>
      <c r="D291" s="15"/>
      <c r="E291" s="15"/>
      <c r="F291" s="51"/>
      <c r="T291" s="54" t="s">
        <v>815</v>
      </c>
      <c r="U291" s="54" t="s">
        <v>908</v>
      </c>
    </row>
    <row r="292" spans="2:21" x14ac:dyDescent="0.3">
      <c r="B292" s="15"/>
      <c r="C292" s="15"/>
      <c r="D292" s="15"/>
      <c r="E292" s="15"/>
      <c r="F292" s="51"/>
      <c r="T292" s="54" t="s">
        <v>816</v>
      </c>
      <c r="U292" s="54" t="s">
        <v>908</v>
      </c>
    </row>
    <row r="293" spans="2:21" x14ac:dyDescent="0.3">
      <c r="B293" s="15"/>
      <c r="C293" s="15"/>
      <c r="D293" s="15"/>
      <c r="E293" s="15"/>
      <c r="T293" s="54" t="s">
        <v>817</v>
      </c>
      <c r="U293" s="54" t="s">
        <v>908</v>
      </c>
    </row>
    <row r="294" spans="2:21" x14ac:dyDescent="0.3">
      <c r="B294" s="15"/>
      <c r="C294" s="15"/>
      <c r="D294" s="15"/>
      <c r="E294" s="15"/>
      <c r="T294" s="54" t="s">
        <v>818</v>
      </c>
      <c r="U294" s="54" t="s">
        <v>908</v>
      </c>
    </row>
    <row r="295" spans="2:21" x14ac:dyDescent="0.3">
      <c r="B295" s="15"/>
      <c r="C295" s="15"/>
      <c r="D295" s="15"/>
      <c r="E295" s="15"/>
      <c r="F295" s="51"/>
      <c r="T295" s="54" t="s">
        <v>819</v>
      </c>
      <c r="U295" s="54" t="s">
        <v>908</v>
      </c>
    </row>
    <row r="296" spans="2:21" x14ac:dyDescent="0.3">
      <c r="B296" s="15"/>
      <c r="C296" s="15"/>
      <c r="D296" s="15"/>
      <c r="E296" s="15"/>
      <c r="F296" s="51"/>
      <c r="T296" s="54" t="s">
        <v>196</v>
      </c>
      <c r="U296" s="54" t="s">
        <v>908</v>
      </c>
    </row>
    <row r="297" spans="2:21" x14ac:dyDescent="0.3">
      <c r="B297" s="15"/>
      <c r="C297" s="15"/>
      <c r="D297" s="15"/>
      <c r="E297" s="15"/>
      <c r="F297" s="51"/>
      <c r="T297" s="54" t="s">
        <v>820</v>
      </c>
      <c r="U297" s="54" t="s">
        <v>908</v>
      </c>
    </row>
    <row r="298" spans="2:21" x14ac:dyDescent="0.3">
      <c r="B298" s="15"/>
      <c r="C298" s="15"/>
      <c r="D298" s="15"/>
      <c r="E298" s="15"/>
      <c r="F298" s="51"/>
      <c r="T298" s="54" t="s">
        <v>821</v>
      </c>
      <c r="U298" s="54" t="s">
        <v>908</v>
      </c>
    </row>
    <row r="299" spans="2:21" x14ac:dyDescent="0.3">
      <c r="B299" s="15"/>
      <c r="C299" s="15"/>
      <c r="D299" s="15"/>
      <c r="E299" s="15"/>
      <c r="F299" s="51"/>
      <c r="T299" s="54" t="s">
        <v>822</v>
      </c>
      <c r="U299" s="54" t="s">
        <v>912</v>
      </c>
    </row>
    <row r="300" spans="2:21" x14ac:dyDescent="0.3">
      <c r="B300" s="15"/>
      <c r="C300" s="15"/>
      <c r="D300" s="15"/>
      <c r="E300" s="15"/>
      <c r="T300" s="54" t="s">
        <v>823</v>
      </c>
      <c r="U300" s="54" t="s">
        <v>909</v>
      </c>
    </row>
    <row r="301" spans="2:21" x14ac:dyDescent="0.3">
      <c r="B301" s="15"/>
      <c r="C301" s="15"/>
      <c r="D301" s="15"/>
      <c r="E301" s="15"/>
      <c r="F301" s="51"/>
      <c r="T301" s="54" t="s">
        <v>200</v>
      </c>
      <c r="U301" s="54" t="s">
        <v>909</v>
      </c>
    </row>
    <row r="302" spans="2:21" x14ac:dyDescent="0.3">
      <c r="B302" s="15"/>
      <c r="C302" s="15"/>
      <c r="D302" s="15"/>
      <c r="E302" s="15"/>
      <c r="T302" s="54" t="s">
        <v>824</v>
      </c>
      <c r="U302" s="54" t="s">
        <v>908</v>
      </c>
    </row>
    <row r="303" spans="2:21" x14ac:dyDescent="0.3">
      <c r="B303" s="15"/>
      <c r="C303" s="15"/>
      <c r="D303" s="15"/>
      <c r="E303" s="15"/>
      <c r="T303" s="54" t="s">
        <v>825</v>
      </c>
      <c r="U303" s="54" t="s">
        <v>912</v>
      </c>
    </row>
    <row r="304" spans="2:21" x14ac:dyDescent="0.3">
      <c r="B304" s="15"/>
      <c r="C304" s="15"/>
      <c r="D304" s="15"/>
      <c r="E304" s="15"/>
      <c r="F304" s="51"/>
      <c r="T304" s="54" t="s">
        <v>826</v>
      </c>
      <c r="U304" s="54" t="s">
        <v>917</v>
      </c>
    </row>
    <row r="305" spans="2:21" x14ac:dyDescent="0.3">
      <c r="B305" s="15"/>
      <c r="C305" s="15"/>
      <c r="D305" s="15"/>
      <c r="E305" s="15"/>
      <c r="F305" s="51"/>
      <c r="T305" s="54" t="s">
        <v>827</v>
      </c>
      <c r="U305" s="54" t="s">
        <v>909</v>
      </c>
    </row>
    <row r="306" spans="2:21" x14ac:dyDescent="0.3">
      <c r="B306" s="15"/>
      <c r="C306" s="15"/>
      <c r="D306" s="15"/>
      <c r="E306" s="15"/>
      <c r="F306" s="51"/>
      <c r="T306" s="54" t="s">
        <v>204</v>
      </c>
      <c r="U306" s="54" t="s">
        <v>909</v>
      </c>
    </row>
    <row r="307" spans="2:21" x14ac:dyDescent="0.3">
      <c r="B307" s="15"/>
      <c r="C307" s="15"/>
      <c r="D307" s="15"/>
      <c r="E307" s="15"/>
      <c r="F307" s="51"/>
      <c r="T307" s="54" t="s">
        <v>828</v>
      </c>
      <c r="U307" s="54" t="s">
        <v>908</v>
      </c>
    </row>
    <row r="308" spans="2:21" x14ac:dyDescent="0.3">
      <c r="B308" s="15"/>
      <c r="C308" s="15"/>
      <c r="D308" s="15"/>
      <c r="E308" s="15"/>
      <c r="F308" s="51"/>
      <c r="T308" s="54" t="s">
        <v>829</v>
      </c>
      <c r="U308" s="54" t="s">
        <v>909</v>
      </c>
    </row>
    <row r="309" spans="2:21" x14ac:dyDescent="0.3">
      <c r="B309" s="15"/>
      <c r="C309" s="15"/>
      <c r="D309" s="15"/>
      <c r="E309" s="15"/>
      <c r="F309" s="51"/>
      <c r="T309" s="54" t="s">
        <v>830</v>
      </c>
      <c r="U309" s="54" t="s">
        <v>908</v>
      </c>
    </row>
    <row r="310" spans="2:21" x14ac:dyDescent="0.3">
      <c r="B310" s="15"/>
      <c r="C310" s="15"/>
      <c r="D310" s="15"/>
      <c r="E310" s="15"/>
      <c r="F310" s="51"/>
      <c r="T310" s="54" t="s">
        <v>831</v>
      </c>
      <c r="U310" s="54" t="s">
        <v>908</v>
      </c>
    </row>
    <row r="311" spans="2:21" x14ac:dyDescent="0.3">
      <c r="B311" s="15"/>
      <c r="C311" s="15"/>
      <c r="D311" s="15"/>
      <c r="E311" s="15"/>
      <c r="F311" s="51"/>
      <c r="T311" s="54" t="s">
        <v>832</v>
      </c>
      <c r="U311" s="54" t="s">
        <v>908</v>
      </c>
    </row>
    <row r="312" spans="2:21" x14ac:dyDescent="0.3">
      <c r="B312" s="15"/>
      <c r="C312" s="15"/>
      <c r="D312" s="15"/>
      <c r="E312" s="15"/>
      <c r="F312" s="51"/>
      <c r="T312" s="54" t="s">
        <v>833</v>
      </c>
      <c r="U312" s="54" t="s">
        <v>908</v>
      </c>
    </row>
    <row r="313" spans="2:21" x14ac:dyDescent="0.3">
      <c r="B313" s="15"/>
      <c r="C313" s="15"/>
      <c r="D313" s="15"/>
      <c r="E313" s="15"/>
      <c r="F313" s="51"/>
      <c r="T313" s="54" t="s">
        <v>834</v>
      </c>
      <c r="U313" s="54" t="s">
        <v>908</v>
      </c>
    </row>
    <row r="314" spans="2:21" x14ac:dyDescent="0.3">
      <c r="B314" s="15"/>
      <c r="C314" s="15"/>
      <c r="D314" s="15"/>
      <c r="E314" s="15"/>
      <c r="F314" s="51"/>
      <c r="T314" s="54" t="s">
        <v>835</v>
      </c>
      <c r="U314" s="54" t="s">
        <v>914</v>
      </c>
    </row>
    <row r="315" spans="2:21" x14ac:dyDescent="0.3">
      <c r="B315" s="15"/>
      <c r="C315" s="15"/>
      <c r="D315" s="15"/>
      <c r="E315" s="15"/>
      <c r="T315" s="54" t="s">
        <v>836</v>
      </c>
      <c r="U315" s="54" t="s">
        <v>914</v>
      </c>
    </row>
    <row r="316" spans="2:21" x14ac:dyDescent="0.3">
      <c r="B316" s="15"/>
      <c r="C316" s="15"/>
      <c r="D316" s="15"/>
      <c r="E316" s="15"/>
      <c r="F316" s="51"/>
      <c r="T316" s="54" t="s">
        <v>837</v>
      </c>
      <c r="U316" s="54" t="s">
        <v>914</v>
      </c>
    </row>
    <row r="317" spans="2:21" x14ac:dyDescent="0.3">
      <c r="B317" s="15"/>
      <c r="C317" s="15"/>
      <c r="D317" s="15"/>
      <c r="E317" s="15"/>
      <c r="T317" s="54" t="s">
        <v>206</v>
      </c>
      <c r="U317" s="54" t="s">
        <v>908</v>
      </c>
    </row>
    <row r="318" spans="2:21" x14ac:dyDescent="0.3">
      <c r="B318" s="15"/>
      <c r="C318" s="15"/>
      <c r="D318" s="15"/>
      <c r="E318" s="15"/>
      <c r="F318" s="51"/>
      <c r="T318" s="55" t="s">
        <v>211</v>
      </c>
      <c r="U318" s="54" t="s">
        <v>909</v>
      </c>
    </row>
    <row r="319" spans="2:21" x14ac:dyDescent="0.3">
      <c r="B319" s="15"/>
      <c r="C319" s="15"/>
      <c r="D319" s="15"/>
      <c r="E319" s="15"/>
      <c r="F319" s="51"/>
      <c r="T319" s="55" t="s">
        <v>209</v>
      </c>
      <c r="U319" s="54" t="s">
        <v>909</v>
      </c>
    </row>
    <row r="320" spans="2:21" x14ac:dyDescent="0.3">
      <c r="B320" s="15"/>
      <c r="C320" s="15"/>
      <c r="D320" s="15"/>
      <c r="E320" s="15"/>
      <c r="F320" s="51"/>
      <c r="T320" s="54" t="s">
        <v>838</v>
      </c>
      <c r="U320" s="54" t="s">
        <v>908</v>
      </c>
    </row>
    <row r="321" spans="2:21" x14ac:dyDescent="0.3">
      <c r="B321" s="15"/>
      <c r="C321" s="15"/>
      <c r="D321" s="15"/>
      <c r="E321" s="15"/>
      <c r="F321" s="51"/>
      <c r="T321" s="54" t="s">
        <v>207</v>
      </c>
      <c r="U321" s="54" t="s">
        <v>908</v>
      </c>
    </row>
    <row r="322" spans="2:21" x14ac:dyDescent="0.3">
      <c r="B322" s="15"/>
      <c r="C322" s="15"/>
      <c r="D322" s="15"/>
      <c r="E322" s="15"/>
      <c r="F322" s="51"/>
      <c r="T322" s="54" t="s">
        <v>839</v>
      </c>
      <c r="U322" s="54" t="s">
        <v>908</v>
      </c>
    </row>
    <row r="323" spans="2:21" x14ac:dyDescent="0.3">
      <c r="B323" s="15"/>
      <c r="C323" s="15"/>
      <c r="D323" s="15"/>
      <c r="E323" s="15"/>
      <c r="F323" s="51"/>
      <c r="T323" s="54" t="s">
        <v>840</v>
      </c>
      <c r="U323" s="54" t="s">
        <v>908</v>
      </c>
    </row>
    <row r="324" spans="2:21" x14ac:dyDescent="0.3">
      <c r="B324" s="15"/>
      <c r="C324" s="15"/>
      <c r="D324" s="15"/>
      <c r="E324" s="15"/>
      <c r="F324" s="51"/>
      <c r="T324" s="54" t="s">
        <v>841</v>
      </c>
      <c r="U324" s="54" t="s">
        <v>908</v>
      </c>
    </row>
    <row r="325" spans="2:21" x14ac:dyDescent="0.3">
      <c r="B325" s="15"/>
      <c r="C325" s="15"/>
      <c r="D325" s="15"/>
      <c r="E325" s="15"/>
      <c r="T325" s="54" t="s">
        <v>842</v>
      </c>
      <c r="U325" s="54" t="s">
        <v>908</v>
      </c>
    </row>
    <row r="326" spans="2:21" x14ac:dyDescent="0.3">
      <c r="B326" s="15"/>
      <c r="C326" s="15"/>
      <c r="D326" s="15"/>
      <c r="E326" s="15"/>
      <c r="F326" s="51"/>
      <c r="T326" s="54" t="s">
        <v>843</v>
      </c>
      <c r="U326" s="54" t="s">
        <v>908</v>
      </c>
    </row>
    <row r="327" spans="2:21" x14ac:dyDescent="0.3">
      <c r="B327" s="15"/>
      <c r="C327" s="15"/>
      <c r="D327" s="15"/>
      <c r="E327" s="15"/>
      <c r="F327" s="51"/>
      <c r="T327" s="54" t="s">
        <v>844</v>
      </c>
      <c r="U327" s="54" t="s">
        <v>908</v>
      </c>
    </row>
    <row r="328" spans="2:21" x14ac:dyDescent="0.3">
      <c r="B328" s="15"/>
      <c r="C328" s="15"/>
      <c r="D328" s="15"/>
      <c r="E328" s="15"/>
      <c r="F328" s="51"/>
      <c r="T328" s="54" t="s">
        <v>845</v>
      </c>
      <c r="U328" s="54" t="s">
        <v>910</v>
      </c>
    </row>
    <row r="329" spans="2:21" x14ac:dyDescent="0.3">
      <c r="B329" s="15"/>
      <c r="C329" s="15"/>
      <c r="D329" s="15"/>
      <c r="E329" s="15"/>
      <c r="F329" s="51"/>
      <c r="T329" s="55" t="s">
        <v>213</v>
      </c>
      <c r="U329" s="54" t="s">
        <v>910</v>
      </c>
    </row>
    <row r="330" spans="2:21" x14ac:dyDescent="0.3">
      <c r="B330" s="15"/>
      <c r="C330" s="15"/>
      <c r="D330" s="15"/>
      <c r="E330" s="15"/>
      <c r="F330" s="51"/>
      <c r="T330" s="54" t="s">
        <v>846</v>
      </c>
      <c r="U330" s="54" t="s">
        <v>909</v>
      </c>
    </row>
    <row r="331" spans="2:21" x14ac:dyDescent="0.3">
      <c r="B331" s="15"/>
      <c r="C331" s="15"/>
      <c r="D331" s="15"/>
      <c r="E331" s="15"/>
      <c r="F331" s="51"/>
      <c r="T331" s="54" t="s">
        <v>847</v>
      </c>
      <c r="U331" s="54" t="s">
        <v>908</v>
      </c>
    </row>
    <row r="332" spans="2:21" x14ac:dyDescent="0.3">
      <c r="B332" s="15"/>
      <c r="C332" s="15"/>
      <c r="D332" s="15"/>
      <c r="E332" s="15"/>
      <c r="F332" s="51"/>
      <c r="T332" s="54" t="s">
        <v>848</v>
      </c>
      <c r="U332" s="54" t="s">
        <v>908</v>
      </c>
    </row>
    <row r="333" spans="2:21" x14ac:dyDescent="0.3">
      <c r="B333" s="15"/>
      <c r="C333" s="15"/>
      <c r="D333" s="15"/>
      <c r="E333" s="15"/>
      <c r="F333" s="51"/>
      <c r="T333" s="54" t="s">
        <v>849</v>
      </c>
      <c r="U333" s="54" t="s">
        <v>908</v>
      </c>
    </row>
    <row r="334" spans="2:21" x14ac:dyDescent="0.3">
      <c r="B334" s="15"/>
      <c r="C334" s="15"/>
      <c r="D334" s="15"/>
      <c r="E334" s="15"/>
      <c r="F334" s="51"/>
      <c r="T334" s="54" t="s">
        <v>850</v>
      </c>
      <c r="U334" s="54" t="s">
        <v>908</v>
      </c>
    </row>
    <row r="335" spans="2:21" x14ac:dyDescent="0.3">
      <c r="B335" s="15"/>
      <c r="C335" s="15"/>
      <c r="D335" s="15"/>
      <c r="E335" s="15"/>
      <c r="F335" s="51"/>
      <c r="T335" s="54" t="s">
        <v>851</v>
      </c>
      <c r="U335" s="54" t="s">
        <v>908</v>
      </c>
    </row>
    <row r="336" spans="2:21" x14ac:dyDescent="0.3">
      <c r="B336" s="15"/>
      <c r="C336" s="15"/>
      <c r="D336" s="15"/>
      <c r="E336" s="15"/>
      <c r="F336" s="51"/>
      <c r="T336" s="54" t="s">
        <v>852</v>
      </c>
      <c r="U336" s="54" t="s">
        <v>908</v>
      </c>
    </row>
    <row r="337" spans="2:21" x14ac:dyDescent="0.3">
      <c r="B337" s="15"/>
      <c r="C337" s="15"/>
      <c r="D337" s="15"/>
      <c r="E337" s="15"/>
      <c r="F337" s="51"/>
      <c r="T337" s="54" t="s">
        <v>853</v>
      </c>
      <c r="U337" s="54" t="s">
        <v>917</v>
      </c>
    </row>
    <row r="338" spans="2:21" x14ac:dyDescent="0.3">
      <c r="B338" s="15"/>
      <c r="C338" s="15"/>
      <c r="D338" s="15"/>
      <c r="E338" s="15"/>
      <c r="T338" s="54" t="s">
        <v>854</v>
      </c>
      <c r="U338" s="54" t="s">
        <v>908</v>
      </c>
    </row>
    <row r="339" spans="2:21" x14ac:dyDescent="0.3">
      <c r="B339" s="15"/>
      <c r="C339" s="15"/>
      <c r="D339" s="15"/>
      <c r="E339" s="15"/>
      <c r="F339" s="51"/>
      <c r="T339" s="54" t="s">
        <v>855</v>
      </c>
      <c r="U339" s="54" t="s">
        <v>908</v>
      </c>
    </row>
    <row r="340" spans="2:21" x14ac:dyDescent="0.3">
      <c r="B340" s="15"/>
      <c r="C340" s="15"/>
      <c r="D340" s="15"/>
      <c r="E340" s="15"/>
      <c r="F340" s="51"/>
      <c r="T340" s="54" t="s">
        <v>856</v>
      </c>
      <c r="U340" s="54" t="s">
        <v>908</v>
      </c>
    </row>
    <row r="341" spans="2:21" x14ac:dyDescent="0.3">
      <c r="B341" s="15"/>
      <c r="C341" s="15"/>
      <c r="D341" s="15"/>
      <c r="E341" s="15"/>
      <c r="F341" s="51"/>
      <c r="T341" s="54" t="s">
        <v>857</v>
      </c>
      <c r="U341" s="54" t="s">
        <v>908</v>
      </c>
    </row>
    <row r="342" spans="2:21" x14ac:dyDescent="0.3">
      <c r="B342" s="15"/>
      <c r="C342" s="15"/>
      <c r="D342" s="15"/>
      <c r="E342" s="15"/>
      <c r="F342" s="51"/>
      <c r="T342" s="54" t="s">
        <v>858</v>
      </c>
      <c r="U342" s="54" t="s">
        <v>911</v>
      </c>
    </row>
    <row r="343" spans="2:21" x14ac:dyDescent="0.3">
      <c r="B343" s="15"/>
      <c r="C343" s="15"/>
      <c r="D343" s="15"/>
      <c r="E343" s="15"/>
      <c r="F343" s="51"/>
      <c r="T343" s="54" t="s">
        <v>859</v>
      </c>
      <c r="U343" s="54" t="s">
        <v>909</v>
      </c>
    </row>
    <row r="344" spans="2:21" x14ac:dyDescent="0.3">
      <c r="B344" s="15"/>
      <c r="C344" s="15"/>
      <c r="D344" s="15"/>
      <c r="E344" s="15"/>
      <c r="F344" s="51"/>
      <c r="T344" s="54" t="s">
        <v>860</v>
      </c>
      <c r="U344" s="54" t="s">
        <v>917</v>
      </c>
    </row>
    <row r="345" spans="2:21" x14ac:dyDescent="0.3">
      <c r="B345" s="15"/>
      <c r="C345" s="15"/>
      <c r="D345" s="15"/>
      <c r="E345" s="15"/>
      <c r="F345" s="51"/>
      <c r="T345" s="54" t="s">
        <v>258</v>
      </c>
      <c r="U345" s="54" t="s">
        <v>911</v>
      </c>
    </row>
    <row r="346" spans="2:21" x14ac:dyDescent="0.3">
      <c r="B346" s="15"/>
      <c r="C346" s="15"/>
      <c r="D346" s="15"/>
      <c r="E346" s="15"/>
      <c r="F346" s="51"/>
      <c r="T346" s="55" t="s">
        <v>309</v>
      </c>
      <c r="U346" s="54" t="s">
        <v>911</v>
      </c>
    </row>
    <row r="347" spans="2:21" x14ac:dyDescent="0.3">
      <c r="B347" s="15"/>
      <c r="C347" s="15"/>
      <c r="D347" s="15"/>
      <c r="E347" s="15"/>
      <c r="T347" s="54" t="s">
        <v>861</v>
      </c>
      <c r="U347" s="54" t="s">
        <v>908</v>
      </c>
    </row>
    <row r="348" spans="2:21" x14ac:dyDescent="0.3">
      <c r="B348" s="15"/>
      <c r="C348" s="15"/>
      <c r="D348" s="15"/>
      <c r="E348" s="15"/>
      <c r="F348" s="51"/>
      <c r="T348" s="54" t="s">
        <v>862</v>
      </c>
      <c r="U348" s="54" t="s">
        <v>911</v>
      </c>
    </row>
    <row r="349" spans="2:21" x14ac:dyDescent="0.3">
      <c r="B349" s="15"/>
      <c r="C349" s="15"/>
      <c r="D349" s="15"/>
      <c r="E349" s="15"/>
      <c r="F349" s="51"/>
      <c r="T349" s="54" t="s">
        <v>863</v>
      </c>
      <c r="U349" s="54" t="s">
        <v>913</v>
      </c>
    </row>
    <row r="350" spans="2:21" x14ac:dyDescent="0.3">
      <c r="B350" s="15"/>
      <c r="C350" s="15"/>
      <c r="D350" s="15"/>
      <c r="E350" s="15"/>
      <c r="F350" s="51"/>
      <c r="T350" s="54" t="s">
        <v>864</v>
      </c>
      <c r="U350" s="54" t="s">
        <v>908</v>
      </c>
    </row>
    <row r="351" spans="2:21" x14ac:dyDescent="0.3">
      <c r="B351" s="15"/>
      <c r="C351" s="15"/>
      <c r="D351" s="15"/>
      <c r="E351" s="15"/>
      <c r="F351" s="51"/>
      <c r="T351" s="54" t="s">
        <v>865</v>
      </c>
      <c r="U351" s="54" t="s">
        <v>908</v>
      </c>
    </row>
    <row r="352" spans="2:21" x14ac:dyDescent="0.3">
      <c r="B352" s="15"/>
      <c r="C352" s="15"/>
      <c r="D352" s="15"/>
      <c r="E352" s="15"/>
      <c r="F352" s="51"/>
      <c r="T352" s="54" t="s">
        <v>866</v>
      </c>
      <c r="U352" s="54" t="s">
        <v>914</v>
      </c>
    </row>
    <row r="353" spans="2:21" x14ac:dyDescent="0.3">
      <c r="B353" s="15"/>
      <c r="C353" s="15"/>
      <c r="D353" s="15"/>
      <c r="E353" s="15"/>
      <c r="F353" s="51"/>
      <c r="T353" s="54" t="s">
        <v>234</v>
      </c>
      <c r="U353" s="54" t="s">
        <v>914</v>
      </c>
    </row>
    <row r="354" spans="2:21" x14ac:dyDescent="0.3">
      <c r="B354" s="15"/>
      <c r="C354" s="15"/>
      <c r="D354" s="15"/>
      <c r="E354" s="15"/>
      <c r="F354" s="51"/>
      <c r="T354" s="54" t="s">
        <v>867</v>
      </c>
      <c r="U354" s="54" t="s">
        <v>908</v>
      </c>
    </row>
    <row r="355" spans="2:21" x14ac:dyDescent="0.3">
      <c r="B355" s="15"/>
      <c r="C355" s="15"/>
      <c r="D355" s="15"/>
      <c r="E355" s="15"/>
      <c r="F355" s="51"/>
      <c r="T355" s="55" t="s">
        <v>214</v>
      </c>
      <c r="U355" s="54" t="s">
        <v>908</v>
      </c>
    </row>
    <row r="356" spans="2:21" x14ac:dyDescent="0.3">
      <c r="B356" s="15"/>
      <c r="C356" s="15"/>
      <c r="D356" s="15"/>
      <c r="E356" s="15"/>
      <c r="F356" s="51"/>
      <c r="T356" s="54" t="s">
        <v>868</v>
      </c>
      <c r="U356" s="54" t="s">
        <v>918</v>
      </c>
    </row>
    <row r="357" spans="2:21" x14ac:dyDescent="0.3">
      <c r="B357" s="15"/>
      <c r="C357" s="15"/>
      <c r="D357" s="15"/>
      <c r="E357" s="15"/>
      <c r="F357" s="51"/>
      <c r="T357" s="54" t="s">
        <v>869</v>
      </c>
      <c r="U357" s="54" t="s">
        <v>908</v>
      </c>
    </row>
    <row r="358" spans="2:21" x14ac:dyDescent="0.3">
      <c r="B358" s="15"/>
      <c r="C358" s="15"/>
      <c r="D358" s="15"/>
      <c r="E358" s="15"/>
      <c r="F358" s="51"/>
      <c r="T358" s="54" t="s">
        <v>870</v>
      </c>
      <c r="U358" s="54" t="s">
        <v>909</v>
      </c>
    </row>
    <row r="359" spans="2:21" x14ac:dyDescent="0.3">
      <c r="B359" s="15"/>
      <c r="C359" s="15"/>
      <c r="D359" s="15"/>
      <c r="E359" s="15"/>
      <c r="F359" s="51"/>
      <c r="T359" s="54" t="s">
        <v>232</v>
      </c>
      <c r="U359" s="54" t="s">
        <v>909</v>
      </c>
    </row>
    <row r="360" spans="2:21" x14ac:dyDescent="0.3">
      <c r="B360" s="15"/>
      <c r="C360" s="15"/>
      <c r="D360" s="15"/>
      <c r="E360" s="15"/>
      <c r="F360" s="51"/>
      <c r="T360" s="54" t="s">
        <v>871</v>
      </c>
      <c r="U360" s="54" t="s">
        <v>908</v>
      </c>
    </row>
    <row r="361" spans="2:21" x14ac:dyDescent="0.3">
      <c r="B361" s="15"/>
      <c r="C361" s="15"/>
      <c r="D361" s="15"/>
      <c r="E361" s="15"/>
      <c r="T361" s="54" t="s">
        <v>872</v>
      </c>
      <c r="U361" s="54" t="s">
        <v>916</v>
      </c>
    </row>
    <row r="362" spans="2:21" x14ac:dyDescent="0.3">
      <c r="B362" s="15"/>
      <c r="C362" s="15"/>
      <c r="D362" s="15"/>
      <c r="E362" s="15"/>
      <c r="T362" s="54" t="s">
        <v>873</v>
      </c>
      <c r="U362" s="54" t="s">
        <v>908</v>
      </c>
    </row>
    <row r="363" spans="2:21" x14ac:dyDescent="0.3">
      <c r="B363" s="15"/>
      <c r="C363" s="15"/>
      <c r="D363" s="15"/>
      <c r="E363" s="15"/>
      <c r="F363" s="51"/>
      <c r="T363" s="54" t="s">
        <v>874</v>
      </c>
      <c r="U363" s="54" t="s">
        <v>908</v>
      </c>
    </row>
    <row r="364" spans="2:21" x14ac:dyDescent="0.3">
      <c r="B364" s="15"/>
      <c r="C364" s="15"/>
      <c r="D364" s="15"/>
      <c r="E364" s="15"/>
      <c r="T364" s="54" t="s">
        <v>875</v>
      </c>
      <c r="U364" s="54" t="s">
        <v>908</v>
      </c>
    </row>
    <row r="365" spans="2:21" x14ac:dyDescent="0.3">
      <c r="B365" s="15"/>
      <c r="C365" s="15"/>
      <c r="D365" s="15"/>
      <c r="E365" s="15"/>
      <c r="F365" s="51"/>
      <c r="T365" s="55" t="s">
        <v>215</v>
      </c>
      <c r="U365" s="54" t="s">
        <v>909</v>
      </c>
    </row>
    <row r="366" spans="2:21" x14ac:dyDescent="0.3">
      <c r="B366" s="15"/>
      <c r="C366" s="15"/>
      <c r="D366" s="15"/>
      <c r="E366" s="15"/>
      <c r="F366" s="51"/>
      <c r="T366" s="54" t="s">
        <v>876</v>
      </c>
      <c r="U366" s="54" t="s">
        <v>908</v>
      </c>
    </row>
    <row r="367" spans="2:21" x14ac:dyDescent="0.3">
      <c r="B367" s="15"/>
      <c r="C367" s="15"/>
      <c r="D367" s="15"/>
      <c r="E367" s="15"/>
      <c r="F367" s="51"/>
      <c r="T367" s="54" t="s">
        <v>877</v>
      </c>
      <c r="U367" s="54" t="s">
        <v>910</v>
      </c>
    </row>
    <row r="368" spans="2:21" x14ac:dyDescent="0.3">
      <c r="B368" s="15"/>
      <c r="C368" s="15"/>
      <c r="D368" s="15"/>
      <c r="E368" s="15"/>
      <c r="F368" s="51"/>
      <c r="T368" s="54" t="s">
        <v>216</v>
      </c>
      <c r="U368" s="54" t="s">
        <v>914</v>
      </c>
    </row>
    <row r="369" spans="2:21" x14ac:dyDescent="0.3">
      <c r="B369" s="15"/>
      <c r="C369" s="15"/>
      <c r="D369" s="15"/>
      <c r="E369" s="15"/>
      <c r="T369" s="54" t="s">
        <v>878</v>
      </c>
      <c r="U369" s="54" t="s">
        <v>913</v>
      </c>
    </row>
    <row r="370" spans="2:21" x14ac:dyDescent="0.3">
      <c r="B370" s="15"/>
      <c r="C370" s="15"/>
      <c r="D370" s="15"/>
      <c r="E370" s="15"/>
      <c r="F370" s="51"/>
      <c r="T370" s="54" t="s">
        <v>879</v>
      </c>
      <c r="U370" s="54" t="s">
        <v>914</v>
      </c>
    </row>
    <row r="371" spans="2:21" x14ac:dyDescent="0.3">
      <c r="B371" s="15"/>
      <c r="C371" s="15"/>
      <c r="D371" s="15"/>
      <c r="E371" s="15"/>
      <c r="F371" s="51"/>
      <c r="T371" s="54" t="s">
        <v>218</v>
      </c>
      <c r="U371" s="54" t="s">
        <v>914</v>
      </c>
    </row>
    <row r="372" spans="2:21" x14ac:dyDescent="0.3">
      <c r="B372" s="15"/>
      <c r="C372" s="15"/>
      <c r="D372" s="15"/>
      <c r="E372" s="15"/>
      <c r="F372" s="51"/>
      <c r="T372" s="54" t="s">
        <v>880</v>
      </c>
      <c r="U372" s="54" t="s">
        <v>908</v>
      </c>
    </row>
    <row r="373" spans="2:21" x14ac:dyDescent="0.3">
      <c r="B373" s="15"/>
      <c r="C373" s="15"/>
      <c r="D373" s="15"/>
      <c r="E373" s="15"/>
      <c r="F373" s="51"/>
      <c r="T373" s="54" t="s">
        <v>881</v>
      </c>
      <c r="U373" s="54" t="s">
        <v>913</v>
      </c>
    </row>
    <row r="374" spans="2:21" x14ac:dyDescent="0.3">
      <c r="B374" s="15"/>
      <c r="C374" s="15"/>
      <c r="D374" s="15"/>
      <c r="E374" s="15"/>
      <c r="F374" s="51"/>
      <c r="T374" s="54" t="s">
        <v>220</v>
      </c>
      <c r="U374" s="54" t="s">
        <v>913</v>
      </c>
    </row>
    <row r="375" spans="2:21" x14ac:dyDescent="0.3">
      <c r="B375" s="15"/>
      <c r="C375" s="15"/>
      <c r="D375" s="15"/>
      <c r="E375" s="15"/>
      <c r="F375" s="51"/>
      <c r="T375" s="54" t="s">
        <v>882</v>
      </c>
      <c r="U375" s="54" t="s">
        <v>908</v>
      </c>
    </row>
    <row r="376" spans="2:21" x14ac:dyDescent="0.3">
      <c r="B376" s="15"/>
      <c r="C376" s="15"/>
      <c r="D376" s="15"/>
      <c r="E376" s="15"/>
      <c r="F376" s="51"/>
      <c r="T376" s="54" t="s">
        <v>883</v>
      </c>
      <c r="U376" s="54" t="s">
        <v>908</v>
      </c>
    </row>
    <row r="377" spans="2:21" x14ac:dyDescent="0.3">
      <c r="B377" s="15"/>
      <c r="C377" s="15"/>
      <c r="D377" s="15"/>
      <c r="E377" s="15"/>
      <c r="F377" s="51"/>
      <c r="T377" s="54" t="s">
        <v>884</v>
      </c>
      <c r="U377" s="54" t="s">
        <v>908</v>
      </c>
    </row>
    <row r="378" spans="2:21" x14ac:dyDescent="0.3">
      <c r="B378" s="15"/>
      <c r="C378" s="15"/>
      <c r="D378" s="15"/>
      <c r="E378" s="15"/>
      <c r="F378" s="51"/>
      <c r="T378" s="54" t="s">
        <v>885</v>
      </c>
      <c r="U378" s="54" t="s">
        <v>909</v>
      </c>
    </row>
    <row r="379" spans="2:21" x14ac:dyDescent="0.3">
      <c r="B379" s="15"/>
      <c r="C379" s="15"/>
      <c r="D379" s="15"/>
      <c r="E379" s="15"/>
      <c r="F379" s="51"/>
      <c r="T379" s="54" t="s">
        <v>886</v>
      </c>
      <c r="U379" s="54" t="s">
        <v>909</v>
      </c>
    </row>
    <row r="380" spans="2:21" x14ac:dyDescent="0.3">
      <c r="B380" s="15"/>
      <c r="C380" s="15"/>
      <c r="D380" s="15"/>
      <c r="E380" s="15"/>
      <c r="F380" s="51"/>
      <c r="T380" s="54" t="s">
        <v>227</v>
      </c>
      <c r="U380" s="54" t="s">
        <v>912</v>
      </c>
    </row>
    <row r="381" spans="2:21" x14ac:dyDescent="0.3">
      <c r="B381" s="15"/>
      <c r="C381" s="15"/>
      <c r="D381" s="15"/>
      <c r="E381" s="15"/>
      <c r="T381" s="55" t="s">
        <v>223</v>
      </c>
      <c r="U381" s="54" t="s">
        <v>908</v>
      </c>
    </row>
    <row r="382" spans="2:21" x14ac:dyDescent="0.3">
      <c r="B382" s="15"/>
      <c r="C382" s="15"/>
      <c r="D382" s="15"/>
      <c r="E382" s="15"/>
      <c r="T382" s="55" t="s">
        <v>231</v>
      </c>
      <c r="U382" s="54" t="s">
        <v>913</v>
      </c>
    </row>
    <row r="383" spans="2:21" x14ac:dyDescent="0.3">
      <c r="B383" s="15"/>
      <c r="C383" s="15"/>
      <c r="D383" s="15"/>
      <c r="E383" s="15"/>
      <c r="F383" s="51"/>
      <c r="T383" s="54" t="s">
        <v>225</v>
      </c>
      <c r="U383" s="54" t="s">
        <v>908</v>
      </c>
    </row>
    <row r="384" spans="2:21" x14ac:dyDescent="0.3">
      <c r="B384" s="15"/>
      <c r="C384" s="15"/>
      <c r="D384" s="15"/>
      <c r="E384" s="15"/>
      <c r="T384" s="54" t="s">
        <v>221</v>
      </c>
      <c r="U384" s="54" t="s">
        <v>912</v>
      </c>
    </row>
    <row r="385" spans="2:21" x14ac:dyDescent="0.3">
      <c r="B385" s="15"/>
      <c r="C385" s="15"/>
      <c r="D385" s="15"/>
      <c r="E385" s="15"/>
      <c r="F385" s="51"/>
      <c r="T385" s="54" t="s">
        <v>887</v>
      </c>
      <c r="U385" s="54" t="s">
        <v>909</v>
      </c>
    </row>
    <row r="386" spans="2:21" x14ac:dyDescent="0.3">
      <c r="B386" s="15"/>
      <c r="C386" s="15"/>
      <c r="D386" s="15"/>
      <c r="E386" s="15"/>
      <c r="F386" s="51"/>
      <c r="T386" s="54" t="s">
        <v>888</v>
      </c>
      <c r="U386" s="54" t="s">
        <v>908</v>
      </c>
    </row>
    <row r="387" spans="2:21" x14ac:dyDescent="0.3">
      <c r="B387" s="15"/>
      <c r="C387" s="15"/>
      <c r="D387" s="15"/>
      <c r="E387" s="15"/>
      <c r="F387" s="51"/>
      <c r="T387" s="55" t="s">
        <v>242</v>
      </c>
      <c r="U387" s="54" t="s">
        <v>909</v>
      </c>
    </row>
    <row r="388" spans="2:21" x14ac:dyDescent="0.3">
      <c r="B388" s="15"/>
      <c r="C388" s="15"/>
      <c r="D388" s="15"/>
      <c r="E388" s="15"/>
      <c r="F388" s="51"/>
      <c r="T388" s="54" t="s">
        <v>889</v>
      </c>
      <c r="U388" s="54" t="s">
        <v>912</v>
      </c>
    </row>
    <row r="389" spans="2:21" x14ac:dyDescent="0.3">
      <c r="B389" s="15"/>
      <c r="C389" s="15"/>
      <c r="D389" s="15"/>
      <c r="E389" s="15"/>
      <c r="F389" s="51"/>
      <c r="T389" s="54" t="s">
        <v>240</v>
      </c>
      <c r="U389" s="54" t="s">
        <v>910</v>
      </c>
    </row>
    <row r="390" spans="2:21" x14ac:dyDescent="0.3">
      <c r="B390" s="15"/>
      <c r="C390" s="15"/>
      <c r="D390" s="15"/>
      <c r="E390" s="15"/>
      <c r="T390" s="54" t="s">
        <v>890</v>
      </c>
      <c r="U390" s="54" t="s">
        <v>910</v>
      </c>
    </row>
    <row r="391" spans="2:21" x14ac:dyDescent="0.3">
      <c r="B391" s="15"/>
      <c r="C391" s="15"/>
      <c r="D391" s="15"/>
      <c r="E391" s="15"/>
      <c r="F391" s="51"/>
      <c r="T391" s="54" t="s">
        <v>229</v>
      </c>
      <c r="U391" s="54" t="s">
        <v>912</v>
      </c>
    </row>
    <row r="392" spans="2:21" x14ac:dyDescent="0.3">
      <c r="B392" s="15"/>
      <c r="C392" s="15"/>
      <c r="D392" s="15"/>
      <c r="E392" s="15"/>
      <c r="F392" s="51"/>
      <c r="T392" s="54" t="s">
        <v>239</v>
      </c>
      <c r="U392" s="54" t="s">
        <v>909</v>
      </c>
    </row>
    <row r="393" spans="2:21" x14ac:dyDescent="0.3">
      <c r="B393" s="15"/>
      <c r="C393" s="15"/>
      <c r="D393" s="15"/>
      <c r="E393" s="15"/>
      <c r="T393" s="54" t="s">
        <v>891</v>
      </c>
      <c r="U393" s="54" t="s">
        <v>909</v>
      </c>
    </row>
    <row r="394" spans="2:21" x14ac:dyDescent="0.3">
      <c r="B394" s="15"/>
      <c r="C394" s="15"/>
      <c r="D394" s="15"/>
      <c r="E394" s="15"/>
      <c r="F394" s="51"/>
      <c r="T394" s="54" t="s">
        <v>405</v>
      </c>
      <c r="U394" s="54" t="s">
        <v>909</v>
      </c>
    </row>
    <row r="395" spans="2:21" x14ac:dyDescent="0.3">
      <c r="B395" s="15"/>
      <c r="C395" s="15"/>
      <c r="D395" s="15"/>
      <c r="E395" s="15"/>
      <c r="F395" s="51"/>
      <c r="T395" s="54" t="s">
        <v>892</v>
      </c>
      <c r="U395" s="54" t="s">
        <v>916</v>
      </c>
    </row>
    <row r="396" spans="2:21" x14ac:dyDescent="0.3">
      <c r="B396" s="15"/>
      <c r="C396" s="15"/>
      <c r="D396" s="15"/>
      <c r="E396" s="15"/>
      <c r="F396" s="51"/>
      <c r="T396" s="54" t="s">
        <v>893</v>
      </c>
      <c r="U396" s="54" t="s">
        <v>909</v>
      </c>
    </row>
    <row r="397" spans="2:21" x14ac:dyDescent="0.3">
      <c r="B397" s="15"/>
      <c r="C397" s="15"/>
      <c r="D397" s="15"/>
      <c r="E397" s="15"/>
      <c r="F397" s="51"/>
      <c r="T397" s="55" t="s">
        <v>236</v>
      </c>
      <c r="U397" s="54" t="s">
        <v>909</v>
      </c>
    </row>
    <row r="398" spans="2:21" x14ac:dyDescent="0.3">
      <c r="B398" s="15"/>
      <c r="C398" s="15"/>
      <c r="D398" s="15"/>
      <c r="E398" s="15"/>
      <c r="T398" s="54" t="s">
        <v>894</v>
      </c>
      <c r="U398" s="54" t="s">
        <v>908</v>
      </c>
    </row>
    <row r="399" spans="2:21" x14ac:dyDescent="0.3">
      <c r="B399" s="15"/>
      <c r="C399" s="15"/>
      <c r="D399" s="15"/>
      <c r="E399" s="15"/>
      <c r="F399" s="51"/>
      <c r="T399" s="54" t="s">
        <v>241</v>
      </c>
      <c r="U399" s="54" t="s">
        <v>909</v>
      </c>
    </row>
    <row r="400" spans="2:21" x14ac:dyDescent="0.3">
      <c r="B400" s="15"/>
      <c r="C400" s="15"/>
      <c r="D400" s="15"/>
      <c r="E400" s="15"/>
      <c r="F400" s="51"/>
      <c r="T400" s="54" t="s">
        <v>895</v>
      </c>
      <c r="U400" s="54" t="s">
        <v>915</v>
      </c>
    </row>
    <row r="401" spans="2:21" x14ac:dyDescent="0.3">
      <c r="B401" s="15"/>
      <c r="C401" s="15"/>
      <c r="D401" s="15"/>
      <c r="E401" s="15"/>
      <c r="F401" s="51"/>
      <c r="T401" s="54" t="s">
        <v>896</v>
      </c>
      <c r="U401" s="54" t="s">
        <v>909</v>
      </c>
    </row>
    <row r="402" spans="2:21" x14ac:dyDescent="0.3">
      <c r="B402" s="15"/>
      <c r="C402" s="15"/>
      <c r="D402" s="15"/>
      <c r="E402" s="15"/>
      <c r="F402" s="51"/>
      <c r="T402" s="54" t="s">
        <v>897</v>
      </c>
      <c r="U402" s="54" t="s">
        <v>910</v>
      </c>
    </row>
    <row r="403" spans="2:21" x14ac:dyDescent="0.3">
      <c r="B403" s="15"/>
      <c r="C403" s="15"/>
      <c r="D403" s="15"/>
      <c r="E403" s="15"/>
      <c r="F403" s="51"/>
      <c r="T403" s="54" t="s">
        <v>237</v>
      </c>
      <c r="U403" s="54" t="s">
        <v>910</v>
      </c>
    </row>
    <row r="404" spans="2:21" x14ac:dyDescent="0.3">
      <c r="B404" s="15"/>
      <c r="C404" s="15"/>
      <c r="D404" s="15"/>
      <c r="E404" s="15"/>
      <c r="T404" s="55" t="s">
        <v>230</v>
      </c>
      <c r="U404" s="54" t="s">
        <v>908</v>
      </c>
    </row>
    <row r="405" spans="2:21" x14ac:dyDescent="0.3">
      <c r="B405" s="15"/>
      <c r="C405" s="15"/>
      <c r="D405" s="15"/>
      <c r="E405" s="15"/>
      <c r="F405" s="51"/>
      <c r="T405" s="54" t="s">
        <v>243</v>
      </c>
      <c r="U405" s="54" t="s">
        <v>910</v>
      </c>
    </row>
    <row r="406" spans="2:21" x14ac:dyDescent="0.3">
      <c r="B406" s="15"/>
      <c r="C406" s="15"/>
      <c r="D406" s="15"/>
      <c r="E406" s="15"/>
      <c r="F406" s="51"/>
      <c r="T406" s="54" t="s">
        <v>590</v>
      </c>
      <c r="U406" s="54" t="s">
        <v>910</v>
      </c>
    </row>
    <row r="407" spans="2:21" x14ac:dyDescent="0.3">
      <c r="B407" s="15"/>
      <c r="C407" s="15"/>
      <c r="D407" s="15"/>
      <c r="E407" s="15"/>
      <c r="T407" s="54" t="s">
        <v>590</v>
      </c>
      <c r="U407" s="54" t="s">
        <v>590</v>
      </c>
    </row>
    <row r="408" spans="2:21" x14ac:dyDescent="0.3">
      <c r="B408" s="15"/>
      <c r="C408" s="15"/>
      <c r="D408" s="15"/>
      <c r="E408" s="15"/>
      <c r="T408" s="54" t="s">
        <v>590</v>
      </c>
      <c r="U408" s="54" t="s">
        <v>590</v>
      </c>
    </row>
    <row r="409" spans="2:21" x14ac:dyDescent="0.3">
      <c r="B409" s="15"/>
      <c r="C409" s="15"/>
      <c r="D409" s="15"/>
      <c r="E409" s="15"/>
      <c r="F409" s="51"/>
      <c r="T409" s="54" t="s">
        <v>590</v>
      </c>
      <c r="U409" s="54" t="s">
        <v>590</v>
      </c>
    </row>
    <row r="410" spans="2:21" x14ac:dyDescent="0.3">
      <c r="B410" s="15"/>
      <c r="C410" s="15"/>
      <c r="D410" s="15"/>
      <c r="E410" s="15"/>
      <c r="F410" s="51"/>
      <c r="T410" s="54" t="s">
        <v>590</v>
      </c>
      <c r="U410" s="54" t="s">
        <v>590</v>
      </c>
    </row>
    <row r="411" spans="2:21" x14ac:dyDescent="0.3">
      <c r="B411" s="15"/>
      <c r="C411" s="15"/>
      <c r="D411" s="15"/>
      <c r="E411" s="15"/>
      <c r="F411" s="51"/>
      <c r="T411" s="54" t="s">
        <v>590</v>
      </c>
      <c r="U411" s="54" t="s">
        <v>590</v>
      </c>
    </row>
    <row r="412" spans="2:21" x14ac:dyDescent="0.3">
      <c r="B412" s="15"/>
      <c r="C412" s="15"/>
      <c r="D412" s="15"/>
      <c r="E412" s="15"/>
      <c r="T412" s="54" t="s">
        <v>590</v>
      </c>
      <c r="U412" s="54" t="s">
        <v>590</v>
      </c>
    </row>
    <row r="413" spans="2:21" x14ac:dyDescent="0.3">
      <c r="B413" s="15"/>
      <c r="C413" s="15"/>
      <c r="D413" s="15"/>
      <c r="E413" s="15"/>
      <c r="T413" s="54" t="s">
        <v>590</v>
      </c>
      <c r="U413" s="54" t="s">
        <v>590</v>
      </c>
    </row>
    <row r="414" spans="2:21" x14ac:dyDescent="0.3">
      <c r="B414" s="15"/>
      <c r="C414" s="15"/>
      <c r="D414" s="15"/>
      <c r="E414" s="15"/>
      <c r="F414" s="51"/>
      <c r="T414" s="54" t="s">
        <v>590</v>
      </c>
      <c r="U414" s="54" t="s">
        <v>590</v>
      </c>
    </row>
    <row r="415" spans="2:21" x14ac:dyDescent="0.3">
      <c r="B415" s="15"/>
      <c r="C415" s="15"/>
      <c r="D415" s="15"/>
      <c r="E415" s="15"/>
      <c r="F415" s="51"/>
      <c r="T415" s="54" t="s">
        <v>590</v>
      </c>
      <c r="U415" s="54" t="s">
        <v>590</v>
      </c>
    </row>
    <row r="416" spans="2:21" x14ac:dyDescent="0.3">
      <c r="B416" s="15"/>
      <c r="C416" s="15"/>
      <c r="D416" s="15"/>
      <c r="E416" s="15"/>
      <c r="F416" s="51"/>
      <c r="T416" s="54" t="s">
        <v>590</v>
      </c>
      <c r="U416" s="54" t="s">
        <v>590</v>
      </c>
    </row>
    <row r="417" spans="2:21" x14ac:dyDescent="0.3">
      <c r="B417" s="15"/>
      <c r="C417" s="15"/>
      <c r="D417" s="15"/>
      <c r="E417" s="15"/>
      <c r="F417" s="51"/>
      <c r="T417" s="54" t="s">
        <v>590</v>
      </c>
      <c r="U417" s="54" t="s">
        <v>590</v>
      </c>
    </row>
    <row r="418" spans="2:21" x14ac:dyDescent="0.3">
      <c r="B418" s="15"/>
      <c r="C418" s="15"/>
      <c r="D418" s="15"/>
      <c r="E418" s="15"/>
      <c r="T418" s="54" t="s">
        <v>590</v>
      </c>
      <c r="U418" s="54" t="s">
        <v>590</v>
      </c>
    </row>
    <row r="419" spans="2:21" x14ac:dyDescent="0.3">
      <c r="B419" s="15"/>
      <c r="C419" s="15"/>
      <c r="D419" s="15"/>
      <c r="E419" s="15"/>
      <c r="F419" s="51"/>
      <c r="T419" s="54" t="s">
        <v>590</v>
      </c>
      <c r="U419" s="54" t="s">
        <v>590</v>
      </c>
    </row>
    <row r="420" spans="2:21" x14ac:dyDescent="0.3">
      <c r="B420" s="15"/>
      <c r="C420" s="15"/>
      <c r="D420" s="15"/>
      <c r="E420" s="15"/>
      <c r="T420" s="54" t="s">
        <v>590</v>
      </c>
      <c r="U420" s="54" t="s">
        <v>590</v>
      </c>
    </row>
    <row r="421" spans="2:21" x14ac:dyDescent="0.3">
      <c r="B421" s="15"/>
      <c r="C421" s="15"/>
      <c r="D421" s="15"/>
      <c r="E421" s="15"/>
      <c r="T421" s="54" t="s">
        <v>590</v>
      </c>
      <c r="U421" s="54" t="s">
        <v>590</v>
      </c>
    </row>
    <row r="422" spans="2:21" x14ac:dyDescent="0.3">
      <c r="B422" s="15"/>
      <c r="C422" s="15"/>
      <c r="D422" s="15"/>
      <c r="E422" s="15"/>
      <c r="F422" s="51"/>
      <c r="T422" s="54" t="s">
        <v>590</v>
      </c>
      <c r="U422" s="54" t="s">
        <v>590</v>
      </c>
    </row>
    <row r="423" spans="2:21" x14ac:dyDescent="0.3">
      <c r="B423" s="15"/>
      <c r="C423" s="15"/>
      <c r="D423" s="15"/>
      <c r="E423" s="15"/>
      <c r="F423" s="51"/>
      <c r="T423" s="54" t="s">
        <v>590</v>
      </c>
      <c r="U423" s="54" t="s">
        <v>590</v>
      </c>
    </row>
    <row r="424" spans="2:21" x14ac:dyDescent="0.3">
      <c r="B424" s="15"/>
      <c r="C424" s="15"/>
      <c r="D424" s="15"/>
      <c r="E424" s="15"/>
      <c r="T424" s="54" t="s">
        <v>590</v>
      </c>
      <c r="U424" s="54" t="s">
        <v>590</v>
      </c>
    </row>
    <row r="425" spans="2:21" x14ac:dyDescent="0.3">
      <c r="B425" s="15"/>
      <c r="C425" s="15"/>
      <c r="D425" s="15"/>
      <c r="E425" s="15"/>
      <c r="F425" s="51"/>
      <c r="T425" s="54" t="s">
        <v>590</v>
      </c>
      <c r="U425" s="54" t="s">
        <v>590</v>
      </c>
    </row>
    <row r="426" spans="2:21" x14ac:dyDescent="0.3">
      <c r="B426" s="15"/>
      <c r="C426" s="15"/>
      <c r="D426" s="15"/>
      <c r="E426" s="15"/>
      <c r="T426" s="54" t="s">
        <v>590</v>
      </c>
      <c r="U426" s="54" t="s">
        <v>590</v>
      </c>
    </row>
    <row r="427" spans="2:21" x14ac:dyDescent="0.3">
      <c r="B427" s="15"/>
      <c r="C427" s="15"/>
      <c r="D427" s="15"/>
      <c r="E427" s="15"/>
      <c r="T427" s="54" t="s">
        <v>590</v>
      </c>
      <c r="U427" s="54" t="s">
        <v>590</v>
      </c>
    </row>
    <row r="428" spans="2:21" x14ac:dyDescent="0.3">
      <c r="B428" s="15"/>
      <c r="C428" s="15"/>
      <c r="D428" s="15"/>
      <c r="E428" s="15"/>
      <c r="F428" s="51"/>
      <c r="T428" s="54" t="s">
        <v>590</v>
      </c>
      <c r="U428" s="54" t="s">
        <v>590</v>
      </c>
    </row>
    <row r="429" spans="2:21" x14ac:dyDescent="0.3">
      <c r="B429" s="15"/>
      <c r="C429" s="15"/>
      <c r="D429" s="15"/>
      <c r="E429" s="15"/>
      <c r="F429" s="51"/>
      <c r="T429" s="54" t="s">
        <v>590</v>
      </c>
      <c r="U429" s="54" t="s">
        <v>590</v>
      </c>
    </row>
    <row r="430" spans="2:21" x14ac:dyDescent="0.3">
      <c r="B430" s="15"/>
      <c r="C430" s="15"/>
      <c r="D430" s="15"/>
      <c r="E430" s="15"/>
      <c r="F430" s="51"/>
      <c r="T430" s="54" t="s">
        <v>590</v>
      </c>
      <c r="U430" s="54" t="s">
        <v>590</v>
      </c>
    </row>
    <row r="431" spans="2:21" x14ac:dyDescent="0.3">
      <c r="B431" s="15"/>
      <c r="C431" s="15"/>
      <c r="D431" s="15"/>
      <c r="E431" s="15"/>
      <c r="F431" s="51"/>
      <c r="T431" s="54" t="s">
        <v>590</v>
      </c>
      <c r="U431" s="54" t="s">
        <v>590</v>
      </c>
    </row>
    <row r="432" spans="2:21" x14ac:dyDescent="0.3">
      <c r="B432" s="15"/>
      <c r="C432" s="15"/>
      <c r="D432" s="15"/>
      <c r="E432" s="15"/>
      <c r="F432" s="51"/>
      <c r="T432" s="54" t="s">
        <v>590</v>
      </c>
      <c r="U432" s="54" t="s">
        <v>590</v>
      </c>
    </row>
    <row r="433" spans="2:21" x14ac:dyDescent="0.3">
      <c r="B433" s="15"/>
      <c r="C433" s="15"/>
      <c r="D433" s="15"/>
      <c r="E433" s="15"/>
      <c r="F433" s="51"/>
      <c r="T433" s="54" t="s">
        <v>590</v>
      </c>
      <c r="U433" s="54" t="s">
        <v>590</v>
      </c>
    </row>
    <row r="434" spans="2:21" x14ac:dyDescent="0.3">
      <c r="B434" s="15"/>
      <c r="C434" s="15"/>
      <c r="D434" s="15"/>
      <c r="E434" s="15"/>
      <c r="T434" s="54" t="s">
        <v>590</v>
      </c>
      <c r="U434" s="54" t="s">
        <v>590</v>
      </c>
    </row>
    <row r="435" spans="2:21" x14ac:dyDescent="0.3">
      <c r="B435" s="15"/>
      <c r="C435" s="15"/>
      <c r="D435" s="15"/>
      <c r="E435" s="15"/>
      <c r="F435" s="51"/>
      <c r="T435" s="54" t="s">
        <v>590</v>
      </c>
      <c r="U435" s="54" t="s">
        <v>590</v>
      </c>
    </row>
    <row r="436" spans="2:21" x14ac:dyDescent="0.3">
      <c r="B436" s="15"/>
      <c r="C436" s="15"/>
      <c r="D436" s="15"/>
      <c r="E436" s="15"/>
      <c r="F436" s="51"/>
      <c r="T436" s="54" t="s">
        <v>590</v>
      </c>
      <c r="U436" s="54" t="s">
        <v>590</v>
      </c>
    </row>
    <row r="437" spans="2:21" x14ac:dyDescent="0.3">
      <c r="B437" s="15"/>
      <c r="C437" s="15"/>
      <c r="D437" s="15"/>
      <c r="E437" s="15"/>
      <c r="F437" s="51"/>
      <c r="T437" s="54" t="s">
        <v>590</v>
      </c>
      <c r="U437" s="54" t="s">
        <v>590</v>
      </c>
    </row>
    <row r="438" spans="2:21" x14ac:dyDescent="0.3">
      <c r="B438" s="15"/>
      <c r="C438" s="15"/>
      <c r="D438" s="15"/>
      <c r="E438" s="15"/>
      <c r="F438" s="51"/>
      <c r="T438" s="54" t="s">
        <v>590</v>
      </c>
      <c r="U438" s="54" t="s">
        <v>590</v>
      </c>
    </row>
    <row r="439" spans="2:21" x14ac:dyDescent="0.3">
      <c r="B439" s="15"/>
      <c r="C439" s="15"/>
      <c r="D439" s="15"/>
      <c r="E439" s="15"/>
      <c r="F439" s="51"/>
      <c r="T439" s="54" t="s">
        <v>590</v>
      </c>
      <c r="U439" s="54" t="s">
        <v>590</v>
      </c>
    </row>
    <row r="440" spans="2:21" x14ac:dyDescent="0.3">
      <c r="B440" s="15"/>
      <c r="C440" s="15"/>
      <c r="D440" s="15"/>
      <c r="E440" s="15"/>
      <c r="F440" s="51"/>
      <c r="T440" s="54" t="s">
        <v>590</v>
      </c>
      <c r="U440" s="54" t="s">
        <v>590</v>
      </c>
    </row>
    <row r="441" spans="2:21" x14ac:dyDescent="0.3">
      <c r="B441" s="15"/>
      <c r="C441" s="15"/>
      <c r="D441" s="15"/>
      <c r="E441" s="15"/>
      <c r="F441" s="51"/>
      <c r="T441" s="54" t="s">
        <v>590</v>
      </c>
      <c r="U441" s="54" t="s">
        <v>590</v>
      </c>
    </row>
    <row r="442" spans="2:21" x14ac:dyDescent="0.3">
      <c r="B442" s="15"/>
      <c r="C442" s="15"/>
      <c r="D442" s="15"/>
      <c r="E442" s="15"/>
      <c r="F442" s="51"/>
      <c r="T442" s="54" t="s">
        <v>590</v>
      </c>
      <c r="U442" s="54" t="s">
        <v>590</v>
      </c>
    </row>
    <row r="443" spans="2:21" x14ac:dyDescent="0.3">
      <c r="B443" s="15"/>
      <c r="C443" s="15"/>
      <c r="D443" s="15"/>
      <c r="E443" s="15"/>
      <c r="F443" s="51"/>
      <c r="T443" s="54" t="s">
        <v>590</v>
      </c>
      <c r="U443" s="54" t="s">
        <v>590</v>
      </c>
    </row>
    <row r="444" spans="2:21" x14ac:dyDescent="0.3">
      <c r="B444" s="15"/>
      <c r="C444" s="15"/>
      <c r="D444" s="15"/>
      <c r="E444" s="15"/>
      <c r="T444" s="54" t="s">
        <v>590</v>
      </c>
      <c r="U444" s="54" t="s">
        <v>590</v>
      </c>
    </row>
    <row r="445" spans="2:21" x14ac:dyDescent="0.3">
      <c r="B445" s="15"/>
      <c r="C445" s="15"/>
      <c r="D445" s="15"/>
      <c r="E445" s="15"/>
      <c r="T445" s="54" t="s">
        <v>590</v>
      </c>
      <c r="U445" s="54" t="s">
        <v>590</v>
      </c>
    </row>
    <row r="446" spans="2:21" x14ac:dyDescent="0.3">
      <c r="B446" s="15"/>
      <c r="C446" s="15"/>
      <c r="D446" s="15"/>
      <c r="E446" s="15"/>
      <c r="F446" s="51"/>
      <c r="T446" s="54" t="s">
        <v>590</v>
      </c>
      <c r="U446" s="54" t="s">
        <v>590</v>
      </c>
    </row>
    <row r="447" spans="2:21" x14ac:dyDescent="0.3">
      <c r="B447" s="15"/>
      <c r="C447" s="15"/>
      <c r="D447" s="15"/>
      <c r="E447" s="15"/>
      <c r="F447" s="51"/>
      <c r="T447" s="54" t="s">
        <v>590</v>
      </c>
      <c r="U447" s="54" t="s">
        <v>590</v>
      </c>
    </row>
    <row r="448" spans="2:21" x14ac:dyDescent="0.3">
      <c r="B448" s="15"/>
      <c r="C448" s="15"/>
      <c r="D448" s="15"/>
      <c r="E448" s="15"/>
      <c r="F448" s="51"/>
      <c r="T448" s="54" t="s">
        <v>590</v>
      </c>
      <c r="U448" s="54" t="s">
        <v>590</v>
      </c>
    </row>
    <row r="449" spans="2:21" x14ac:dyDescent="0.3">
      <c r="B449" s="15"/>
      <c r="C449" s="15"/>
      <c r="D449" s="15"/>
      <c r="E449" s="15"/>
      <c r="T449" s="54" t="s">
        <v>590</v>
      </c>
      <c r="U449" s="54" t="s">
        <v>590</v>
      </c>
    </row>
    <row r="450" spans="2:21" x14ac:dyDescent="0.3">
      <c r="B450" s="15"/>
      <c r="C450" s="15"/>
      <c r="D450" s="15"/>
      <c r="E450" s="15"/>
      <c r="F450" s="51"/>
      <c r="T450" s="54" t="s">
        <v>590</v>
      </c>
      <c r="U450" s="54" t="s">
        <v>590</v>
      </c>
    </row>
    <row r="451" spans="2:21" x14ac:dyDescent="0.3">
      <c r="B451" s="15"/>
      <c r="C451" s="15"/>
      <c r="D451" s="15"/>
      <c r="E451" s="15"/>
      <c r="F451" s="51"/>
      <c r="T451" s="54" t="s">
        <v>590</v>
      </c>
      <c r="U451" s="54" t="s">
        <v>590</v>
      </c>
    </row>
    <row r="452" spans="2:21" x14ac:dyDescent="0.3">
      <c r="B452" s="15"/>
      <c r="C452" s="15"/>
      <c r="D452" s="15"/>
      <c r="E452" s="15"/>
      <c r="F452" s="51"/>
      <c r="T452" s="54" t="s">
        <v>590</v>
      </c>
      <c r="U452" s="54" t="s">
        <v>590</v>
      </c>
    </row>
    <row r="453" spans="2:21" x14ac:dyDescent="0.3">
      <c r="B453" s="15"/>
      <c r="C453" s="15"/>
      <c r="D453" s="15"/>
      <c r="E453" s="15"/>
      <c r="F453" s="51"/>
      <c r="T453" s="55" t="s">
        <v>590</v>
      </c>
      <c r="U453" s="54" t="s">
        <v>908</v>
      </c>
    </row>
    <row r="454" spans="2:21" x14ac:dyDescent="0.3">
      <c r="B454" s="15"/>
      <c r="C454" s="15"/>
      <c r="D454" s="15"/>
      <c r="E454" s="15"/>
      <c r="T454" s="54" t="s">
        <v>590</v>
      </c>
      <c r="U454" s="54" t="s">
        <v>590</v>
      </c>
    </row>
    <row r="455" spans="2:21" x14ac:dyDescent="0.3">
      <c r="B455" s="15"/>
      <c r="C455" s="15"/>
      <c r="D455" s="15"/>
      <c r="E455" s="15"/>
      <c r="T455" s="54" t="s">
        <v>590</v>
      </c>
      <c r="U455" s="54" t="s">
        <v>911</v>
      </c>
    </row>
    <row r="456" spans="2:21" x14ac:dyDescent="0.3">
      <c r="B456" s="15"/>
      <c r="C456" s="15"/>
      <c r="D456" s="15"/>
      <c r="E456" s="15"/>
      <c r="T456" s="54" t="s">
        <v>590</v>
      </c>
      <c r="U456" s="54" t="s">
        <v>590</v>
      </c>
    </row>
    <row r="457" spans="2:21" x14ac:dyDescent="0.3">
      <c r="B457" s="15"/>
      <c r="C457" s="15"/>
      <c r="D457" s="15"/>
      <c r="E457" s="15"/>
      <c r="F457" s="51"/>
      <c r="T457" s="54" t="s">
        <v>590</v>
      </c>
      <c r="U457" s="54" t="s">
        <v>590</v>
      </c>
    </row>
    <row r="458" spans="2:21" x14ac:dyDescent="0.3">
      <c r="B458" s="15"/>
      <c r="C458" s="15"/>
      <c r="D458" s="15"/>
      <c r="E458" s="15"/>
      <c r="F458" s="51"/>
      <c r="T458" s="54" t="s">
        <v>590</v>
      </c>
      <c r="U458" s="54" t="s">
        <v>590</v>
      </c>
    </row>
    <row r="459" spans="2:21" x14ac:dyDescent="0.3">
      <c r="B459" s="15"/>
      <c r="C459" s="15"/>
      <c r="D459" s="15"/>
      <c r="E459" s="15"/>
      <c r="F459" s="51"/>
      <c r="T459" s="54" t="s">
        <v>590</v>
      </c>
      <c r="U459" s="54" t="s">
        <v>590</v>
      </c>
    </row>
    <row r="460" spans="2:21" x14ac:dyDescent="0.3">
      <c r="B460" s="15"/>
      <c r="C460" s="15"/>
      <c r="D460" s="15"/>
      <c r="E460" s="15"/>
      <c r="F460" s="51"/>
      <c r="T460" s="54" t="s">
        <v>590</v>
      </c>
      <c r="U460" s="54" t="s">
        <v>590</v>
      </c>
    </row>
    <row r="461" spans="2:21" x14ac:dyDescent="0.3">
      <c r="B461" s="15"/>
      <c r="C461" s="15"/>
      <c r="D461" s="15"/>
      <c r="E461" s="15"/>
      <c r="F461" s="51"/>
      <c r="T461" s="54" t="s">
        <v>590</v>
      </c>
      <c r="U461" s="54" t="s">
        <v>590</v>
      </c>
    </row>
    <row r="462" spans="2:21" x14ac:dyDescent="0.3">
      <c r="B462" s="15"/>
      <c r="C462" s="15"/>
      <c r="D462" s="15"/>
      <c r="E462" s="15"/>
      <c r="F462" s="51"/>
      <c r="T462" s="54" t="s">
        <v>590</v>
      </c>
      <c r="U462" s="54" t="s">
        <v>590</v>
      </c>
    </row>
    <row r="463" spans="2:21" x14ac:dyDescent="0.3">
      <c r="B463" s="15"/>
      <c r="C463" s="15"/>
      <c r="D463" s="15"/>
      <c r="E463" s="15"/>
      <c r="F463" s="51"/>
      <c r="T463" s="54" t="s">
        <v>590</v>
      </c>
      <c r="U463" s="54" t="s">
        <v>590</v>
      </c>
    </row>
    <row r="464" spans="2:21" x14ac:dyDescent="0.3">
      <c r="B464" s="15"/>
      <c r="C464" s="15"/>
      <c r="D464" s="15"/>
      <c r="E464" s="15"/>
      <c r="F464" s="51"/>
      <c r="T464" s="54" t="s">
        <v>590</v>
      </c>
      <c r="U464" s="54" t="s">
        <v>590</v>
      </c>
    </row>
    <row r="465" spans="2:21" x14ac:dyDescent="0.3">
      <c r="B465" s="15"/>
      <c r="C465" s="15"/>
      <c r="D465" s="15"/>
      <c r="E465" s="15"/>
      <c r="F465" s="51"/>
      <c r="T465" s="54" t="s">
        <v>590</v>
      </c>
      <c r="U465" s="54" t="s">
        <v>590</v>
      </c>
    </row>
    <row r="466" spans="2:21" x14ac:dyDescent="0.3">
      <c r="B466" s="15"/>
      <c r="C466" s="15"/>
      <c r="D466" s="15"/>
      <c r="E466" s="15"/>
      <c r="F466" s="51"/>
      <c r="T466" s="54" t="s">
        <v>590</v>
      </c>
      <c r="U466" s="54" t="s">
        <v>908</v>
      </c>
    </row>
    <row r="467" spans="2:21" x14ac:dyDescent="0.3">
      <c r="B467" s="15"/>
      <c r="C467" s="15"/>
      <c r="D467" s="15"/>
      <c r="E467" s="15"/>
      <c r="F467" s="51"/>
      <c r="T467" s="54" t="s">
        <v>590</v>
      </c>
      <c r="U467" s="54" t="s">
        <v>916</v>
      </c>
    </row>
    <row r="468" spans="2:21" x14ac:dyDescent="0.3">
      <c r="B468" s="15"/>
      <c r="C468" s="15"/>
      <c r="D468" s="15"/>
      <c r="E468" s="15"/>
      <c r="F468" s="51"/>
      <c r="T468" s="54" t="s">
        <v>590</v>
      </c>
      <c r="U468" s="54" t="s">
        <v>590</v>
      </c>
    </row>
    <row r="469" spans="2:21" x14ac:dyDescent="0.3">
      <c r="B469" s="15"/>
      <c r="C469" s="15"/>
      <c r="D469" s="15"/>
      <c r="E469" s="15"/>
      <c r="F469" s="51"/>
      <c r="T469" s="54" t="s">
        <v>590</v>
      </c>
      <c r="U469" s="54" t="s">
        <v>910</v>
      </c>
    </row>
    <row r="470" spans="2:21" x14ac:dyDescent="0.3">
      <c r="B470" s="15"/>
      <c r="C470" s="15"/>
      <c r="D470" s="15"/>
      <c r="E470" s="15"/>
      <c r="F470" s="51"/>
      <c r="T470" s="54" t="s">
        <v>590</v>
      </c>
      <c r="U470" s="54" t="s">
        <v>590</v>
      </c>
    </row>
    <row r="471" spans="2:21" x14ac:dyDescent="0.3">
      <c r="B471" s="15"/>
      <c r="C471" s="15"/>
      <c r="D471" s="15"/>
      <c r="E471" s="15"/>
      <c r="F471" s="51"/>
      <c r="T471" s="54" t="s">
        <v>590</v>
      </c>
      <c r="U471" s="54" t="s">
        <v>590</v>
      </c>
    </row>
    <row r="472" spans="2:21" x14ac:dyDescent="0.3">
      <c r="B472" s="15"/>
      <c r="C472" s="15"/>
      <c r="D472" s="15"/>
      <c r="E472" s="15"/>
      <c r="F472" s="51"/>
      <c r="T472" s="54" t="s">
        <v>590</v>
      </c>
      <c r="U472" s="54" t="s">
        <v>590</v>
      </c>
    </row>
    <row r="473" spans="2:21" x14ac:dyDescent="0.3">
      <c r="B473" s="15"/>
      <c r="C473" s="15"/>
      <c r="D473" s="15"/>
      <c r="E473" s="15"/>
      <c r="F473" s="51"/>
      <c r="T473" s="54" t="s">
        <v>590</v>
      </c>
      <c r="U473" s="54" t="s">
        <v>590</v>
      </c>
    </row>
    <row r="474" spans="2:21" x14ac:dyDescent="0.3">
      <c r="B474" s="15"/>
      <c r="C474" s="15"/>
      <c r="D474" s="15"/>
      <c r="E474" s="15"/>
      <c r="F474" s="51"/>
      <c r="T474" s="54" t="s">
        <v>590</v>
      </c>
      <c r="U474" s="54" t="s">
        <v>590</v>
      </c>
    </row>
    <row r="475" spans="2:21" x14ac:dyDescent="0.3">
      <c r="B475" s="15"/>
      <c r="C475" s="15"/>
      <c r="D475" s="15"/>
      <c r="E475" s="15"/>
      <c r="F475" s="51"/>
      <c r="T475" s="54" t="s">
        <v>590</v>
      </c>
      <c r="U475" s="54" t="s">
        <v>590</v>
      </c>
    </row>
    <row r="476" spans="2:21" x14ac:dyDescent="0.3">
      <c r="B476" s="15"/>
      <c r="C476" s="15"/>
      <c r="D476" s="15"/>
      <c r="E476" s="15"/>
      <c r="F476" s="51"/>
      <c r="T476" s="54" t="s">
        <v>590</v>
      </c>
      <c r="U476" s="54" t="s">
        <v>590</v>
      </c>
    </row>
    <row r="477" spans="2:21" x14ac:dyDescent="0.3">
      <c r="B477" s="15"/>
      <c r="C477" s="15"/>
      <c r="D477" s="15"/>
      <c r="E477" s="15"/>
      <c r="F477" s="51"/>
      <c r="T477" s="54" t="s">
        <v>590</v>
      </c>
      <c r="U477" s="54" t="s">
        <v>917</v>
      </c>
    </row>
    <row r="478" spans="2:21" x14ac:dyDescent="0.3">
      <c r="B478" s="15"/>
      <c r="C478" s="15"/>
      <c r="D478" s="15"/>
      <c r="E478" s="15"/>
      <c r="F478" s="51"/>
      <c r="T478" s="54" t="s">
        <v>590</v>
      </c>
      <c r="U478" s="54" t="s">
        <v>909</v>
      </c>
    </row>
    <row r="479" spans="2:21" x14ac:dyDescent="0.3">
      <c r="B479" s="15"/>
      <c r="C479" s="15"/>
      <c r="D479" s="15"/>
      <c r="E479" s="15"/>
      <c r="F479" s="51"/>
    </row>
    <row r="480" spans="2:21" x14ac:dyDescent="0.3">
      <c r="B480" s="15"/>
      <c r="C480" s="15"/>
      <c r="D480" s="15"/>
      <c r="E480" s="15"/>
      <c r="F480" s="51"/>
    </row>
    <row r="481" spans="2:6" x14ac:dyDescent="0.3">
      <c r="B481" s="15"/>
      <c r="C481" s="15"/>
      <c r="D481" s="15"/>
      <c r="E481" s="15"/>
      <c r="F481" s="51"/>
    </row>
    <row r="482" spans="2:6" x14ac:dyDescent="0.3">
      <c r="B482" s="15"/>
      <c r="C482" s="15"/>
      <c r="D482" s="15"/>
      <c r="E482" s="15"/>
      <c r="F482" s="51"/>
    </row>
    <row r="483" spans="2:6" x14ac:dyDescent="0.3">
      <c r="B483" s="15"/>
      <c r="C483" s="15"/>
      <c r="D483" s="15"/>
      <c r="E483" s="15"/>
      <c r="F483" s="51"/>
    </row>
    <row r="484" spans="2:6" x14ac:dyDescent="0.3">
      <c r="B484" s="15"/>
      <c r="C484" s="15"/>
      <c r="D484" s="15"/>
      <c r="E484" s="15"/>
      <c r="F484" s="51"/>
    </row>
    <row r="485" spans="2:6" x14ac:dyDescent="0.3">
      <c r="B485" s="15"/>
      <c r="C485" s="15"/>
      <c r="D485" s="15"/>
      <c r="E485" s="15"/>
      <c r="F485" s="51"/>
    </row>
    <row r="486" spans="2:6" x14ac:dyDescent="0.3">
      <c r="B486" s="15"/>
      <c r="C486" s="15"/>
      <c r="D486" s="15"/>
      <c r="E486" s="15"/>
      <c r="F486" s="51"/>
    </row>
    <row r="487" spans="2:6" x14ac:dyDescent="0.3">
      <c r="B487" s="15"/>
      <c r="C487" s="15"/>
      <c r="D487" s="15"/>
      <c r="E487" s="15"/>
      <c r="F487" s="51"/>
    </row>
    <row r="488" spans="2:6" x14ac:dyDescent="0.3">
      <c r="B488" s="15"/>
      <c r="C488" s="15"/>
      <c r="D488" s="15"/>
      <c r="E488" s="15"/>
      <c r="F488" s="51"/>
    </row>
    <row r="489" spans="2:6" x14ac:dyDescent="0.3">
      <c r="B489" s="15"/>
      <c r="C489" s="15"/>
      <c r="D489" s="15"/>
      <c r="E489" s="15"/>
      <c r="F489" s="51"/>
    </row>
    <row r="490" spans="2:6" x14ac:dyDescent="0.3">
      <c r="B490" s="15"/>
      <c r="C490" s="15"/>
      <c r="D490" s="15"/>
      <c r="E490" s="15"/>
      <c r="F490" s="51"/>
    </row>
    <row r="491" spans="2:6" x14ac:dyDescent="0.3">
      <c r="B491" s="15"/>
      <c r="C491" s="15"/>
      <c r="D491" s="15"/>
      <c r="E491" s="15"/>
      <c r="F491" s="51"/>
    </row>
    <row r="492" spans="2:6" x14ac:dyDescent="0.3">
      <c r="B492" s="15"/>
      <c r="C492" s="15"/>
      <c r="D492" s="15"/>
      <c r="E492" s="15"/>
      <c r="F492" s="51"/>
    </row>
    <row r="493" spans="2:6" x14ac:dyDescent="0.3">
      <c r="B493" s="15"/>
      <c r="C493" s="15"/>
      <c r="D493" s="15"/>
      <c r="E493" s="15"/>
    </row>
    <row r="494" spans="2:6" x14ac:dyDescent="0.3">
      <c r="B494" s="15"/>
      <c r="C494" s="15"/>
      <c r="D494" s="15"/>
      <c r="E494" s="15"/>
    </row>
    <row r="495" spans="2:6" x14ac:dyDescent="0.3">
      <c r="B495" s="15"/>
      <c r="C495" s="15"/>
      <c r="D495" s="15"/>
      <c r="E495" s="15"/>
    </row>
    <row r="496" spans="2:6" x14ac:dyDescent="0.3">
      <c r="B496" s="15"/>
      <c r="C496" s="15"/>
      <c r="D496" s="15"/>
      <c r="E496" s="15"/>
      <c r="F496" s="51"/>
    </row>
    <row r="497" spans="2:6" x14ac:dyDescent="0.3">
      <c r="B497" s="15"/>
      <c r="C497" s="15"/>
      <c r="D497" s="15"/>
      <c r="E497" s="15"/>
      <c r="F497" s="51"/>
    </row>
    <row r="498" spans="2:6" x14ac:dyDescent="0.3">
      <c r="B498" s="15"/>
      <c r="C498" s="15"/>
      <c r="D498" s="15"/>
      <c r="E498" s="15"/>
      <c r="F498" s="51"/>
    </row>
    <row r="499" spans="2:6" x14ac:dyDescent="0.3">
      <c r="B499" s="15"/>
      <c r="C499" s="15"/>
      <c r="D499" s="15"/>
      <c r="E499" s="15"/>
    </row>
    <row r="500" spans="2:6" x14ac:dyDescent="0.3">
      <c r="B500" s="15"/>
      <c r="C500" s="15"/>
      <c r="D500" s="15"/>
      <c r="E500" s="15"/>
    </row>
    <row r="501" spans="2:6" x14ac:dyDescent="0.3">
      <c r="B501" s="15"/>
      <c r="C501" s="15"/>
      <c r="D501" s="15"/>
      <c r="E501" s="15"/>
      <c r="F501" s="51"/>
    </row>
    <row r="502" spans="2:6" x14ac:dyDescent="0.3">
      <c r="B502" s="15"/>
      <c r="C502" s="15"/>
      <c r="D502" s="15"/>
      <c r="E502" s="15"/>
      <c r="F502" s="51"/>
    </row>
    <row r="503" spans="2:6" x14ac:dyDescent="0.3">
      <c r="B503" s="15"/>
      <c r="C503" s="15"/>
      <c r="D503" s="15"/>
      <c r="E503" s="15"/>
      <c r="F503" s="51"/>
    </row>
    <row r="504" spans="2:6" x14ac:dyDescent="0.3">
      <c r="B504" s="15"/>
      <c r="C504" s="15"/>
      <c r="D504" s="15"/>
      <c r="E504" s="15"/>
      <c r="F504" s="51"/>
    </row>
    <row r="505" spans="2:6" x14ac:dyDescent="0.3">
      <c r="B505" s="15"/>
      <c r="C505" s="15"/>
      <c r="D505" s="15"/>
      <c r="E505" s="15"/>
      <c r="F505" s="51"/>
    </row>
    <row r="506" spans="2:6" x14ac:dyDescent="0.3">
      <c r="B506" s="15"/>
      <c r="C506" s="15"/>
      <c r="D506" s="15"/>
      <c r="E506" s="15"/>
    </row>
    <row r="507" spans="2:6" x14ac:dyDescent="0.3">
      <c r="B507" s="15"/>
      <c r="C507" s="15"/>
      <c r="D507" s="15"/>
      <c r="E507" s="15"/>
    </row>
    <row r="508" spans="2:6" x14ac:dyDescent="0.3">
      <c r="B508" s="15"/>
      <c r="C508" s="15"/>
      <c r="D508" s="15"/>
      <c r="E508" s="15"/>
      <c r="F508" s="51"/>
    </row>
    <row r="509" spans="2:6" x14ac:dyDescent="0.3">
      <c r="B509" s="15"/>
      <c r="C509" s="15"/>
      <c r="D509" s="15"/>
      <c r="E509" s="15"/>
    </row>
    <row r="510" spans="2:6" x14ac:dyDescent="0.3">
      <c r="B510" s="15"/>
      <c r="C510" s="15"/>
      <c r="D510" s="15"/>
      <c r="E510" s="15"/>
    </row>
    <row r="511" spans="2:6" x14ac:dyDescent="0.3">
      <c r="B511" s="15"/>
      <c r="C511" s="15"/>
      <c r="D511" s="15"/>
      <c r="E511" s="15"/>
      <c r="F511" s="51"/>
    </row>
    <row r="512" spans="2:6" x14ac:dyDescent="0.3">
      <c r="B512" s="15"/>
      <c r="C512" s="15"/>
      <c r="D512" s="15"/>
      <c r="E512" s="15"/>
    </row>
    <row r="513" spans="2:6" x14ac:dyDescent="0.3">
      <c r="B513" s="15"/>
      <c r="C513" s="15"/>
      <c r="D513" s="15"/>
      <c r="E513" s="15"/>
      <c r="F513" s="51"/>
    </row>
    <row r="514" spans="2:6" x14ac:dyDescent="0.3">
      <c r="B514" s="15"/>
      <c r="C514" s="15"/>
      <c r="D514" s="15"/>
      <c r="E514" s="15"/>
      <c r="F514" s="51"/>
    </row>
    <row r="515" spans="2:6" x14ac:dyDescent="0.3">
      <c r="B515" s="15"/>
      <c r="C515" s="15"/>
      <c r="D515" s="15"/>
      <c r="E515" s="15"/>
      <c r="F515" s="51"/>
    </row>
    <row r="516" spans="2:6" x14ac:dyDescent="0.3">
      <c r="B516" s="15"/>
      <c r="C516" s="15"/>
      <c r="D516" s="15"/>
      <c r="E516" s="15"/>
      <c r="F516" s="51"/>
    </row>
    <row r="517" spans="2:6" x14ac:dyDescent="0.3">
      <c r="B517" s="15"/>
      <c r="C517" s="15"/>
      <c r="D517" s="15"/>
      <c r="E517" s="15"/>
    </row>
    <row r="518" spans="2:6" x14ac:dyDescent="0.3">
      <c r="B518" s="15"/>
      <c r="C518" s="15"/>
      <c r="D518" s="15"/>
      <c r="E518" s="15"/>
      <c r="F518" s="51"/>
    </row>
    <row r="519" spans="2:6" x14ac:dyDescent="0.3">
      <c r="B519" s="15"/>
      <c r="C519" s="15"/>
      <c r="D519" s="15"/>
      <c r="E519" s="15"/>
      <c r="F519" s="51"/>
    </row>
    <row r="520" spans="2:6" x14ac:dyDescent="0.3">
      <c r="B520" s="15"/>
      <c r="C520" s="15"/>
      <c r="D520" s="15"/>
      <c r="E520" s="15"/>
      <c r="F520" s="51"/>
    </row>
    <row r="521" spans="2:6" x14ac:dyDescent="0.3">
      <c r="B521" s="15"/>
      <c r="C521" s="15"/>
      <c r="D521" s="15"/>
      <c r="E521" s="15"/>
      <c r="F521" s="51"/>
    </row>
    <row r="522" spans="2:6" x14ac:dyDescent="0.3">
      <c r="B522" s="15"/>
      <c r="C522" s="15"/>
      <c r="D522" s="15"/>
      <c r="E522" s="15"/>
      <c r="F522" s="51"/>
    </row>
    <row r="523" spans="2:6" x14ac:dyDescent="0.3">
      <c r="B523" s="15"/>
      <c r="C523" s="15"/>
      <c r="D523" s="15"/>
      <c r="E523" s="15"/>
    </row>
    <row r="524" spans="2:6" x14ac:dyDescent="0.3">
      <c r="B524" s="15"/>
      <c r="C524" s="15"/>
      <c r="D524" s="15"/>
      <c r="E524" s="15"/>
    </row>
    <row r="525" spans="2:6" x14ac:dyDescent="0.3">
      <c r="B525" s="15"/>
      <c r="C525" s="15"/>
      <c r="D525" s="15"/>
      <c r="E525" s="15"/>
    </row>
    <row r="526" spans="2:6" x14ac:dyDescent="0.3">
      <c r="B526" s="15"/>
      <c r="C526" s="15"/>
      <c r="D526" s="15"/>
      <c r="E526" s="15"/>
      <c r="F526" s="51"/>
    </row>
    <row r="527" spans="2:6" x14ac:dyDescent="0.3">
      <c r="B527" s="15"/>
      <c r="C527" s="15"/>
      <c r="D527" s="15"/>
      <c r="E527" s="15"/>
    </row>
    <row r="528" spans="2:6" x14ac:dyDescent="0.3">
      <c r="B528" s="15"/>
      <c r="C528" s="15"/>
      <c r="D528" s="15"/>
      <c r="E528" s="15"/>
      <c r="F528" s="51"/>
    </row>
    <row r="529" spans="2:6" x14ac:dyDescent="0.3">
      <c r="B529" s="15"/>
      <c r="C529" s="15"/>
      <c r="D529" s="15"/>
      <c r="E529" s="15"/>
      <c r="F529" s="51"/>
    </row>
    <row r="530" spans="2:6" x14ac:dyDescent="0.3">
      <c r="B530" s="15"/>
      <c r="C530" s="15"/>
      <c r="D530" s="15"/>
      <c r="E530" s="15"/>
    </row>
    <row r="531" spans="2:6" x14ac:dyDescent="0.3">
      <c r="B531" s="15"/>
      <c r="C531" s="15"/>
      <c r="D531" s="15"/>
      <c r="E531" s="15"/>
      <c r="F531" s="51"/>
    </row>
    <row r="532" spans="2:6" x14ac:dyDescent="0.3">
      <c r="B532" s="15"/>
      <c r="C532" s="15"/>
      <c r="D532" s="15"/>
      <c r="E532" s="15"/>
    </row>
    <row r="533" spans="2:6" x14ac:dyDescent="0.3">
      <c r="B533" s="15"/>
      <c r="C533" s="15"/>
      <c r="D533" s="15"/>
      <c r="E533" s="15"/>
    </row>
    <row r="534" spans="2:6" x14ac:dyDescent="0.3">
      <c r="B534" s="15"/>
      <c r="C534" s="15"/>
      <c r="D534" s="15"/>
      <c r="E534" s="15"/>
      <c r="F534" s="51"/>
    </row>
    <row r="535" spans="2:6" x14ac:dyDescent="0.3">
      <c r="B535" s="15"/>
      <c r="C535" s="15"/>
      <c r="D535" s="15"/>
      <c r="E535" s="15"/>
      <c r="F535" s="51"/>
    </row>
    <row r="536" spans="2:6" x14ac:dyDescent="0.3">
      <c r="B536" s="15"/>
      <c r="C536" s="15"/>
      <c r="D536" s="15"/>
      <c r="E536" s="15"/>
    </row>
    <row r="537" spans="2:6" x14ac:dyDescent="0.3">
      <c r="B537" s="15"/>
      <c r="C537" s="15"/>
      <c r="D537" s="15"/>
      <c r="E537" s="15"/>
    </row>
    <row r="538" spans="2:6" x14ac:dyDescent="0.3">
      <c r="B538" s="15"/>
      <c r="C538" s="15"/>
      <c r="D538" s="15"/>
      <c r="E538" s="15"/>
    </row>
    <row r="539" spans="2:6" x14ac:dyDescent="0.3">
      <c r="B539" s="15"/>
      <c r="C539" s="15"/>
      <c r="D539" s="15"/>
      <c r="E539" s="15"/>
    </row>
    <row r="540" spans="2:6" x14ac:dyDescent="0.3">
      <c r="B540" s="15"/>
      <c r="C540" s="15"/>
      <c r="D540" s="15"/>
      <c r="E540" s="15"/>
    </row>
    <row r="541" spans="2:6" x14ac:dyDescent="0.3">
      <c r="B541" s="15"/>
      <c r="C541" s="15"/>
      <c r="D541" s="15"/>
      <c r="E541" s="15"/>
      <c r="F541" s="51"/>
    </row>
    <row r="542" spans="2:6" x14ac:dyDescent="0.3">
      <c r="B542" s="15"/>
      <c r="C542" s="15"/>
      <c r="D542" s="15"/>
      <c r="E542" s="15"/>
      <c r="F542" s="51"/>
    </row>
    <row r="543" spans="2:6" x14ac:dyDescent="0.3">
      <c r="B543" s="15"/>
      <c r="C543" s="15"/>
      <c r="D543" s="15"/>
      <c r="E543" s="15"/>
    </row>
    <row r="544" spans="2:6" x14ac:dyDescent="0.3">
      <c r="B544" s="15"/>
      <c r="C544" s="15"/>
      <c r="D544" s="15"/>
      <c r="E544" s="15"/>
      <c r="F544" s="51"/>
    </row>
    <row r="545" spans="2:6" x14ac:dyDescent="0.3">
      <c r="B545" s="15"/>
      <c r="C545" s="15"/>
      <c r="D545" s="15"/>
      <c r="E545" s="15"/>
      <c r="F545" s="51"/>
    </row>
    <row r="546" spans="2:6" x14ac:dyDescent="0.3">
      <c r="B546" s="15"/>
      <c r="C546" s="15"/>
      <c r="D546" s="15"/>
      <c r="E546" s="15"/>
    </row>
    <row r="547" spans="2:6" x14ac:dyDescent="0.3">
      <c r="B547" s="15"/>
      <c r="C547" s="15"/>
      <c r="D547" s="15"/>
      <c r="E547" s="15"/>
      <c r="F547" s="51"/>
    </row>
    <row r="548" spans="2:6" x14ac:dyDescent="0.3">
      <c r="B548" s="15"/>
      <c r="C548" s="15"/>
      <c r="D548" s="15"/>
      <c r="E548" s="15"/>
      <c r="F548" s="51"/>
    </row>
    <row r="549" spans="2:6" x14ac:dyDescent="0.3">
      <c r="B549" s="15"/>
      <c r="C549" s="15"/>
      <c r="D549" s="15"/>
      <c r="E549" s="15"/>
    </row>
    <row r="550" spans="2:6" x14ac:dyDescent="0.3">
      <c r="B550" s="15"/>
      <c r="C550" s="15"/>
      <c r="D550" s="15"/>
      <c r="E550" s="15"/>
      <c r="F550" s="51"/>
    </row>
    <row r="551" spans="2:6" x14ac:dyDescent="0.3">
      <c r="B551" s="15"/>
      <c r="C551" s="15"/>
      <c r="D551" s="15"/>
      <c r="E551" s="15"/>
      <c r="F551" s="51"/>
    </row>
    <row r="552" spans="2:6" x14ac:dyDescent="0.3">
      <c r="B552" s="15"/>
      <c r="C552" s="15"/>
      <c r="D552" s="15"/>
      <c r="E552" s="15"/>
    </row>
    <row r="553" spans="2:6" x14ac:dyDescent="0.3">
      <c r="B553" s="15"/>
      <c r="C553" s="15"/>
      <c r="D553" s="15"/>
      <c r="E553" s="15"/>
      <c r="F553" s="51"/>
    </row>
    <row r="554" spans="2:6" x14ac:dyDescent="0.3">
      <c r="B554" s="15"/>
      <c r="C554" s="15"/>
      <c r="D554" s="15"/>
      <c r="E554" s="15"/>
      <c r="F554" s="51"/>
    </row>
    <row r="555" spans="2:6" x14ac:dyDescent="0.3">
      <c r="B555" s="15"/>
      <c r="C555" s="15"/>
      <c r="D555" s="15"/>
      <c r="E555" s="15"/>
    </row>
    <row r="556" spans="2:6" x14ac:dyDescent="0.3">
      <c r="B556" s="15"/>
      <c r="C556" s="15"/>
      <c r="D556" s="15"/>
      <c r="E556" s="15"/>
      <c r="F556" s="51"/>
    </row>
    <row r="557" spans="2:6" x14ac:dyDescent="0.3">
      <c r="B557" s="15"/>
      <c r="C557" s="15"/>
      <c r="D557" s="15"/>
      <c r="E557" s="15"/>
      <c r="F557" s="51"/>
    </row>
    <row r="558" spans="2:6" x14ac:dyDescent="0.3">
      <c r="B558" s="15"/>
      <c r="C558" s="15"/>
      <c r="D558" s="15"/>
      <c r="E558" s="15"/>
    </row>
    <row r="559" spans="2:6" x14ac:dyDescent="0.3">
      <c r="B559" s="15"/>
      <c r="C559" s="15"/>
      <c r="D559" s="15"/>
      <c r="E559" s="15"/>
    </row>
    <row r="560" spans="2:6" x14ac:dyDescent="0.3">
      <c r="B560" s="15"/>
      <c r="C560" s="15"/>
      <c r="D560" s="15"/>
      <c r="E560" s="15"/>
      <c r="F560" s="51"/>
    </row>
    <row r="561" spans="2:6" x14ac:dyDescent="0.3">
      <c r="B561" s="15"/>
      <c r="C561" s="15"/>
      <c r="D561" s="15"/>
      <c r="E561" s="15"/>
    </row>
    <row r="562" spans="2:6" x14ac:dyDescent="0.3">
      <c r="B562" s="15"/>
      <c r="C562" s="15"/>
      <c r="D562" s="15"/>
      <c r="E562" s="15"/>
      <c r="F562" s="51"/>
    </row>
    <row r="563" spans="2:6" x14ac:dyDescent="0.3">
      <c r="B563" s="15"/>
      <c r="C563" s="15"/>
      <c r="D563" s="15"/>
      <c r="E563" s="15"/>
      <c r="F563" s="51"/>
    </row>
    <row r="564" spans="2:6" x14ac:dyDescent="0.3">
      <c r="B564" s="15"/>
      <c r="C564" s="15"/>
      <c r="D564" s="15"/>
      <c r="E564" s="15"/>
      <c r="F564" s="51"/>
    </row>
    <row r="565" spans="2:6" x14ac:dyDescent="0.3">
      <c r="B565" s="15"/>
      <c r="C565" s="15"/>
      <c r="D565" s="15"/>
      <c r="E565" s="15"/>
    </row>
    <row r="566" spans="2:6" x14ac:dyDescent="0.3">
      <c r="B566" s="15"/>
      <c r="C566" s="15"/>
      <c r="D566" s="15"/>
      <c r="E566" s="15"/>
    </row>
    <row r="567" spans="2:6" x14ac:dyDescent="0.3">
      <c r="B567" s="15"/>
      <c r="C567" s="15"/>
      <c r="D567" s="15"/>
      <c r="E567" s="15"/>
    </row>
    <row r="568" spans="2:6" x14ac:dyDescent="0.3">
      <c r="B568" s="15"/>
      <c r="C568" s="15"/>
      <c r="D568" s="15"/>
      <c r="E568" s="15"/>
      <c r="F568" s="51"/>
    </row>
    <row r="569" spans="2:6" x14ac:dyDescent="0.3">
      <c r="B569" s="15"/>
      <c r="C569" s="15"/>
      <c r="D569" s="15"/>
      <c r="E569" s="15"/>
    </row>
    <row r="570" spans="2:6" x14ac:dyDescent="0.3">
      <c r="B570" s="15"/>
      <c r="C570" s="15"/>
      <c r="D570" s="15"/>
      <c r="E570" s="15"/>
    </row>
    <row r="571" spans="2:6" x14ac:dyDescent="0.3">
      <c r="B571" s="15"/>
      <c r="C571" s="15"/>
      <c r="D571" s="15"/>
      <c r="E571" s="15"/>
      <c r="F571" s="51"/>
    </row>
    <row r="572" spans="2:6" x14ac:dyDescent="0.3">
      <c r="B572" s="15"/>
      <c r="C572" s="15"/>
      <c r="D572" s="15"/>
      <c r="E572" s="15"/>
    </row>
    <row r="573" spans="2:6" x14ac:dyDescent="0.3">
      <c r="B573" s="15"/>
      <c r="C573" s="15"/>
      <c r="D573" s="15"/>
      <c r="E573" s="15"/>
    </row>
    <row r="574" spans="2:6" x14ac:dyDescent="0.3">
      <c r="B574" s="15"/>
      <c r="C574" s="15"/>
      <c r="D574" s="15"/>
      <c r="E574" s="15"/>
    </row>
    <row r="575" spans="2:6" x14ac:dyDescent="0.3">
      <c r="B575" s="15"/>
      <c r="C575" s="15"/>
      <c r="D575" s="15"/>
      <c r="E575" s="15"/>
      <c r="F575" s="51"/>
    </row>
    <row r="576" spans="2:6" x14ac:dyDescent="0.3">
      <c r="B576" s="15"/>
      <c r="C576" s="15"/>
      <c r="D576" s="15"/>
      <c r="E576" s="15"/>
    </row>
    <row r="577" spans="2:6" x14ac:dyDescent="0.3">
      <c r="B577" s="15"/>
      <c r="C577" s="15"/>
      <c r="D577" s="15"/>
      <c r="E577" s="15"/>
    </row>
    <row r="578" spans="2:6" x14ac:dyDescent="0.3">
      <c r="B578" s="15"/>
      <c r="C578" s="15"/>
      <c r="D578" s="15"/>
      <c r="E578" s="15"/>
      <c r="F578" s="51"/>
    </row>
    <row r="579" spans="2:6" x14ac:dyDescent="0.3">
      <c r="B579" s="15"/>
      <c r="C579" s="15"/>
      <c r="D579" s="15"/>
      <c r="E579" s="15"/>
    </row>
    <row r="580" spans="2:6" x14ac:dyDescent="0.3">
      <c r="B580" s="15"/>
      <c r="C580" s="15"/>
      <c r="D580" s="15"/>
      <c r="E580" s="15"/>
      <c r="F580" s="51"/>
    </row>
    <row r="581" spans="2:6" x14ac:dyDescent="0.3">
      <c r="B581" s="15"/>
      <c r="C581" s="15"/>
      <c r="D581" s="15"/>
      <c r="E581" s="15"/>
      <c r="F581" s="51"/>
    </row>
    <row r="582" spans="2:6" x14ac:dyDescent="0.3">
      <c r="B582" s="15"/>
      <c r="C582" s="15"/>
      <c r="D582" s="15"/>
      <c r="E582" s="15"/>
    </row>
    <row r="583" spans="2:6" x14ac:dyDescent="0.3">
      <c r="B583" s="15"/>
      <c r="C583" s="15"/>
      <c r="D583" s="15"/>
      <c r="E583" s="15"/>
    </row>
    <row r="584" spans="2:6" x14ac:dyDescent="0.3">
      <c r="B584" s="15"/>
      <c r="C584" s="15"/>
      <c r="D584" s="15"/>
      <c r="E584" s="15"/>
      <c r="F584" s="51"/>
    </row>
    <row r="585" spans="2:6" x14ac:dyDescent="0.3">
      <c r="B585" s="15"/>
      <c r="C585" s="15"/>
      <c r="D585" s="15"/>
      <c r="E585" s="15"/>
      <c r="F585" s="51"/>
    </row>
    <row r="586" spans="2:6" x14ac:dyDescent="0.3">
      <c r="B586" s="15"/>
      <c r="C586" s="15"/>
      <c r="D586" s="15"/>
      <c r="E586" s="15"/>
    </row>
    <row r="587" spans="2:6" x14ac:dyDescent="0.3">
      <c r="B587" s="15"/>
      <c r="C587" s="15"/>
      <c r="D587" s="15"/>
      <c r="E587" s="15"/>
      <c r="F587" s="51"/>
    </row>
    <row r="588" spans="2:6" x14ac:dyDescent="0.3">
      <c r="B588" s="15"/>
      <c r="C588" s="15"/>
      <c r="D588" s="15"/>
      <c r="E588" s="15"/>
    </row>
    <row r="589" spans="2:6" x14ac:dyDescent="0.3">
      <c r="B589" s="15"/>
      <c r="C589" s="15"/>
      <c r="D589" s="15"/>
      <c r="E589" s="15"/>
    </row>
    <row r="590" spans="2:6" x14ac:dyDescent="0.3">
      <c r="B590" s="15"/>
      <c r="C590" s="15"/>
      <c r="D590" s="15"/>
      <c r="E590" s="15"/>
      <c r="F590" s="51"/>
    </row>
    <row r="591" spans="2:6" x14ac:dyDescent="0.3">
      <c r="B591" s="15"/>
      <c r="C591" s="15"/>
      <c r="D591" s="15"/>
      <c r="E591" s="15"/>
      <c r="F591" s="51"/>
    </row>
    <row r="592" spans="2:6" x14ac:dyDescent="0.3">
      <c r="B592" s="15"/>
      <c r="C592" s="15"/>
      <c r="D592" s="15"/>
      <c r="E592" s="15"/>
    </row>
    <row r="593" spans="2:6" x14ac:dyDescent="0.3">
      <c r="B593" s="15"/>
      <c r="C593" s="15"/>
      <c r="D593" s="15"/>
      <c r="E593" s="15"/>
      <c r="F593" s="51"/>
    </row>
    <row r="594" spans="2:6" x14ac:dyDescent="0.3">
      <c r="B594" s="15"/>
      <c r="C594" s="15"/>
      <c r="D594" s="15"/>
      <c r="E594" s="15"/>
      <c r="F594" s="51"/>
    </row>
    <row r="595" spans="2:6" x14ac:dyDescent="0.3">
      <c r="B595" s="15"/>
      <c r="C595" s="15"/>
      <c r="D595" s="15"/>
      <c r="E595" s="15"/>
    </row>
    <row r="596" spans="2:6" x14ac:dyDescent="0.3">
      <c r="B596" s="15"/>
      <c r="C596" s="15"/>
      <c r="D596" s="15"/>
      <c r="E596" s="15"/>
    </row>
    <row r="597" spans="2:6" x14ac:dyDescent="0.3">
      <c r="B597" s="15"/>
      <c r="C597" s="15"/>
      <c r="D597" s="15"/>
      <c r="E597" s="15"/>
      <c r="F597" s="51"/>
    </row>
    <row r="598" spans="2:6" x14ac:dyDescent="0.3">
      <c r="B598" s="15"/>
      <c r="C598" s="15"/>
      <c r="D598" s="15"/>
      <c r="E598" s="15"/>
      <c r="F598" s="51"/>
    </row>
    <row r="599" spans="2:6" x14ac:dyDescent="0.3">
      <c r="B599" s="15"/>
      <c r="C599" s="15"/>
      <c r="D599" s="15"/>
      <c r="E599" s="15"/>
    </row>
    <row r="600" spans="2:6" x14ac:dyDescent="0.3">
      <c r="B600" s="15"/>
      <c r="C600" s="15"/>
      <c r="D600" s="15"/>
      <c r="E600" s="15"/>
    </row>
    <row r="601" spans="2:6" x14ac:dyDescent="0.3">
      <c r="B601" s="15"/>
      <c r="C601" s="15"/>
      <c r="D601" s="15"/>
      <c r="E601" s="15"/>
      <c r="F601" s="51"/>
    </row>
    <row r="602" spans="2:6" x14ac:dyDescent="0.3">
      <c r="B602" s="15"/>
      <c r="C602" s="15"/>
      <c r="D602" s="15"/>
      <c r="E602" s="15"/>
      <c r="F602" s="51"/>
    </row>
    <row r="603" spans="2:6" x14ac:dyDescent="0.3">
      <c r="B603" s="15"/>
      <c r="C603" s="15"/>
      <c r="D603" s="15"/>
      <c r="E603" s="15"/>
    </row>
    <row r="604" spans="2:6" x14ac:dyDescent="0.3">
      <c r="B604" s="15"/>
      <c r="C604" s="15"/>
      <c r="D604" s="15"/>
      <c r="E604" s="15"/>
    </row>
  </sheetData>
  <sortState xmlns:xlrd2="http://schemas.microsoft.com/office/spreadsheetml/2017/richdata2"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53"/>
  <sheetViews>
    <sheetView topLeftCell="A13" zoomScaleNormal="100" workbookViewId="0">
      <selection activeCell="F32" sqref="F32"/>
    </sheetView>
  </sheetViews>
  <sheetFormatPr baseColWidth="10" defaultColWidth="0" defaultRowHeight="15" customHeight="1" zeroHeight="1" x14ac:dyDescent="0.3"/>
  <cols>
    <col min="1" max="1" width="4.5546875" customWidth="1"/>
    <col min="2" max="2" width="1.33203125" customWidth="1"/>
    <col min="3" max="3" width="4.5546875" customWidth="1"/>
    <col min="4" max="4" width="5.33203125" customWidth="1"/>
    <col min="5" max="5" width="4.109375" customWidth="1"/>
    <col min="6" max="6" width="13" customWidth="1"/>
    <col min="7" max="7" width="1.5546875" customWidth="1"/>
    <col min="8" max="8" width="1.6640625" customWidth="1"/>
    <col min="9" max="9" width="10" customWidth="1"/>
    <col min="10" max="10" width="9.88671875" customWidth="1"/>
    <col min="11" max="12" width="10.109375" customWidth="1"/>
    <col min="13" max="13" width="10.33203125" customWidth="1"/>
    <col min="14" max="14" width="10.5546875" customWidth="1"/>
    <col min="15" max="15" width="10.33203125" customWidth="1"/>
    <col min="16" max="16" width="3" customWidth="1"/>
    <col min="17" max="17" width="1.5546875" customWidth="1"/>
    <col min="18" max="18" width="4.44140625" customWidth="1"/>
    <col min="19" max="19" width="11.44140625" style="19" hidden="1" customWidth="1"/>
    <col min="20" max="22" width="11.44140625" hidden="1" customWidth="1"/>
    <col min="23" max="25" width="0" hidden="1" customWidth="1"/>
    <col min="26" max="16384" width="11.44140625" hidden="1"/>
  </cols>
  <sheetData>
    <row r="1" spans="1:19" ht="14.4" x14ac:dyDescent="0.3">
      <c r="A1" s="19"/>
      <c r="B1" s="19"/>
      <c r="C1" s="19"/>
      <c r="D1" s="19"/>
      <c r="E1" s="19"/>
      <c r="F1" s="19"/>
      <c r="G1" s="19"/>
      <c r="H1" s="19"/>
      <c r="I1" s="19"/>
      <c r="J1" s="19"/>
      <c r="K1" s="19"/>
      <c r="L1" s="19"/>
      <c r="M1" s="19"/>
      <c r="N1" s="19"/>
      <c r="O1" s="19"/>
      <c r="P1" s="19"/>
      <c r="Q1" s="19"/>
      <c r="R1" s="19"/>
      <c r="S1"/>
    </row>
    <row r="2" spans="1:19" ht="12" customHeight="1" x14ac:dyDescent="0.3">
      <c r="A2" s="19"/>
      <c r="B2" s="25"/>
      <c r="C2" s="25"/>
      <c r="D2" s="25"/>
      <c r="E2" s="25"/>
      <c r="F2" s="25"/>
      <c r="G2" s="25"/>
      <c r="H2" s="25"/>
      <c r="I2" s="25"/>
      <c r="J2" s="25"/>
      <c r="K2" s="25"/>
      <c r="L2" s="25"/>
      <c r="M2" s="25"/>
      <c r="N2" s="25"/>
      <c r="O2" s="25"/>
      <c r="P2" s="25"/>
      <c r="Q2" s="25"/>
      <c r="R2" s="19"/>
      <c r="S2"/>
    </row>
    <row r="3" spans="1:19" thickBot="1" x14ac:dyDescent="0.35">
      <c r="A3" s="19"/>
      <c r="B3" s="25"/>
      <c r="C3" s="19"/>
      <c r="D3" s="19"/>
      <c r="E3" s="19"/>
      <c r="F3" s="19"/>
      <c r="G3" s="25"/>
      <c r="H3" s="19"/>
      <c r="I3" s="19"/>
      <c r="J3" s="19"/>
      <c r="K3" s="19"/>
      <c r="L3" s="19"/>
      <c r="M3" s="19"/>
      <c r="N3" s="19"/>
      <c r="O3" s="19"/>
      <c r="P3" s="19"/>
      <c r="Q3" s="25"/>
      <c r="R3" s="19"/>
      <c r="S3"/>
    </row>
    <row r="4" spans="1:19" ht="14.25" customHeight="1" thickTop="1" x14ac:dyDescent="0.3">
      <c r="A4" s="19"/>
      <c r="B4" s="25"/>
      <c r="C4" s="19"/>
      <c r="D4" s="19"/>
      <c r="E4" s="19"/>
      <c r="F4" s="19"/>
      <c r="G4" s="25"/>
      <c r="H4" s="26"/>
      <c r="I4" s="1178" t="s">
        <v>411</v>
      </c>
      <c r="J4" s="1179"/>
      <c r="K4" s="1179"/>
      <c r="L4" s="1179"/>
      <c r="M4" s="1179"/>
      <c r="N4" s="1179"/>
      <c r="O4" s="1180"/>
      <c r="P4" s="19"/>
      <c r="Q4" s="25"/>
      <c r="R4" s="19"/>
      <c r="S4"/>
    </row>
    <row r="5" spans="1:19" ht="15" hidden="1" customHeight="1" x14ac:dyDescent="0.3">
      <c r="A5" s="19"/>
      <c r="B5" s="25"/>
      <c r="C5" s="19"/>
      <c r="D5" s="19"/>
      <c r="E5" s="19"/>
      <c r="F5" s="19"/>
      <c r="G5" s="25"/>
      <c r="H5" s="26"/>
      <c r="I5" s="1181"/>
      <c r="J5" s="1182"/>
      <c r="K5" s="1182"/>
      <c r="L5" s="1182"/>
      <c r="M5" s="1182"/>
      <c r="N5" s="1182"/>
      <c r="O5" s="1183"/>
      <c r="P5" s="19"/>
      <c r="Q5" s="25"/>
      <c r="R5" s="19"/>
      <c r="S5"/>
    </row>
    <row r="6" spans="1:19" ht="14.4" x14ac:dyDescent="0.3">
      <c r="A6" s="19"/>
      <c r="B6" s="25"/>
      <c r="C6" s="19"/>
      <c r="D6" s="19"/>
      <c r="E6" s="19"/>
      <c r="F6" s="19"/>
      <c r="G6" s="25"/>
      <c r="H6" s="26"/>
      <c r="I6" s="1181"/>
      <c r="J6" s="1182"/>
      <c r="K6" s="1182"/>
      <c r="L6" s="1182"/>
      <c r="M6" s="1182"/>
      <c r="N6" s="1182"/>
      <c r="O6" s="1183"/>
      <c r="P6" s="19"/>
      <c r="Q6" s="25"/>
      <c r="R6" s="19"/>
      <c r="S6"/>
    </row>
    <row r="7" spans="1:19" ht="10.5" customHeight="1" x14ac:dyDescent="0.3">
      <c r="A7" s="19"/>
      <c r="B7" s="25"/>
      <c r="C7" s="19"/>
      <c r="D7" s="19"/>
      <c r="E7" s="19"/>
      <c r="F7" s="19"/>
      <c r="G7" s="25"/>
      <c r="H7" s="26"/>
      <c r="I7" s="1181" t="s">
        <v>412</v>
      </c>
      <c r="J7" s="1182"/>
      <c r="K7" s="1182"/>
      <c r="L7" s="1182"/>
      <c r="M7" s="1182"/>
      <c r="N7" s="1182"/>
      <c r="O7" s="1183"/>
      <c r="P7" s="19"/>
      <c r="Q7" s="25"/>
      <c r="R7" s="19"/>
      <c r="S7"/>
    </row>
    <row r="8" spans="1:19" ht="14.4" x14ac:dyDescent="0.3">
      <c r="A8" s="19"/>
      <c r="B8" s="25"/>
      <c r="C8" s="19"/>
      <c r="D8" s="19"/>
      <c r="E8" s="19"/>
      <c r="F8" s="19"/>
      <c r="G8" s="25"/>
      <c r="H8" s="26"/>
      <c r="I8" s="1181"/>
      <c r="J8" s="1182"/>
      <c r="K8" s="1182"/>
      <c r="L8" s="1182"/>
      <c r="M8" s="1182"/>
      <c r="N8" s="1182"/>
      <c r="O8" s="1183"/>
      <c r="P8" s="19"/>
      <c r="Q8" s="25"/>
      <c r="R8" s="19"/>
      <c r="S8"/>
    </row>
    <row r="9" spans="1:19" ht="14.4" x14ac:dyDescent="0.3">
      <c r="A9" s="19"/>
      <c r="B9" s="25"/>
      <c r="C9" s="19"/>
      <c r="D9" s="19"/>
      <c r="E9" s="19"/>
      <c r="F9" s="19"/>
      <c r="G9" s="25"/>
      <c r="H9" s="26"/>
      <c r="I9" s="1181"/>
      <c r="J9" s="1182"/>
      <c r="K9" s="1182"/>
      <c r="L9" s="1182"/>
      <c r="M9" s="1182"/>
      <c r="N9" s="1182"/>
      <c r="O9" s="1183"/>
      <c r="P9" s="19"/>
      <c r="Q9" s="25"/>
      <c r="R9" s="19"/>
      <c r="S9"/>
    </row>
    <row r="10" spans="1:19" ht="8.25" customHeight="1" thickBot="1" x14ac:dyDescent="0.35">
      <c r="A10" s="19"/>
      <c r="B10" s="25"/>
      <c r="C10" s="25"/>
      <c r="D10" s="25"/>
      <c r="E10" s="25"/>
      <c r="F10" s="25"/>
      <c r="G10" s="25"/>
      <c r="H10" s="26"/>
      <c r="I10" s="1184"/>
      <c r="J10" s="1185"/>
      <c r="K10" s="1185"/>
      <c r="L10" s="1185"/>
      <c r="M10" s="1185"/>
      <c r="N10" s="1185"/>
      <c r="O10" s="1186"/>
      <c r="P10" s="19"/>
      <c r="Q10" s="25"/>
      <c r="R10" s="19"/>
      <c r="S10"/>
    </row>
    <row r="11" spans="1:19" ht="16.2" thickTop="1" x14ac:dyDescent="0.3">
      <c r="A11" s="19"/>
      <c r="B11" s="25"/>
      <c r="C11" s="1187" t="s">
        <v>406</v>
      </c>
      <c r="D11" s="1187"/>
      <c r="E11" s="1187"/>
      <c r="F11" s="1187"/>
      <c r="G11" s="25"/>
      <c r="H11" s="19"/>
      <c r="I11" s="19"/>
      <c r="J11" s="19"/>
      <c r="K11" s="19"/>
      <c r="L11" s="19"/>
      <c r="M11" s="19"/>
      <c r="N11" s="19"/>
      <c r="O11" s="19"/>
      <c r="P11" s="19"/>
      <c r="Q11" s="25"/>
      <c r="R11" s="19"/>
      <c r="S11"/>
    </row>
    <row r="12" spans="1:19" ht="7.5" customHeight="1" x14ac:dyDescent="0.3">
      <c r="A12" s="19"/>
      <c r="B12" s="25"/>
      <c r="C12" s="25"/>
      <c r="D12" s="25"/>
      <c r="E12" s="25"/>
      <c r="F12" s="25"/>
      <c r="G12" s="25"/>
      <c r="H12" s="25"/>
      <c r="I12" s="25"/>
      <c r="J12" s="25"/>
      <c r="K12" s="25"/>
      <c r="L12" s="25"/>
      <c r="M12" s="25"/>
      <c r="N12" s="25"/>
      <c r="O12" s="25"/>
      <c r="P12" s="25"/>
      <c r="Q12" s="25"/>
      <c r="R12" s="19"/>
      <c r="S12"/>
    </row>
    <row r="13" spans="1:19" ht="14.4" x14ac:dyDescent="0.3">
      <c r="A13" s="19"/>
      <c r="B13" s="19"/>
      <c r="C13" s="19"/>
      <c r="D13" s="19"/>
      <c r="E13" s="19"/>
      <c r="F13" s="19"/>
      <c r="G13" s="19"/>
      <c r="H13" s="19"/>
      <c r="I13" s="19"/>
      <c r="J13" s="19"/>
      <c r="K13" s="19"/>
      <c r="L13" s="19"/>
      <c r="M13" s="19"/>
      <c r="N13" s="19"/>
      <c r="O13" s="19"/>
      <c r="P13" s="19"/>
      <c r="Q13" s="19"/>
      <c r="R13" s="19"/>
      <c r="S13"/>
    </row>
    <row r="14" spans="1:19" ht="9" customHeight="1" x14ac:dyDescent="0.3">
      <c r="A14" s="19"/>
      <c r="B14" s="25"/>
      <c r="C14" s="25"/>
      <c r="D14" s="25"/>
      <c r="E14" s="25"/>
      <c r="F14" s="25"/>
      <c r="G14" s="25"/>
      <c r="H14" s="25"/>
      <c r="I14" s="25"/>
      <c r="J14" s="25"/>
      <c r="K14" s="25"/>
      <c r="L14" s="25"/>
      <c r="M14" s="25"/>
      <c r="N14" s="25"/>
      <c r="O14" s="25"/>
      <c r="P14" s="25"/>
      <c r="Q14" s="25"/>
      <c r="R14" s="19"/>
      <c r="S14"/>
    </row>
    <row r="15" spans="1:19" ht="21" x14ac:dyDescent="0.3">
      <c r="A15" s="19"/>
      <c r="B15" s="25"/>
      <c r="C15" s="1188" t="s">
        <v>413</v>
      </c>
      <c r="D15" s="1188"/>
      <c r="E15" s="1188"/>
      <c r="F15" s="1188"/>
      <c r="G15" s="1188"/>
      <c r="H15" s="1188"/>
      <c r="I15" s="1188"/>
      <c r="J15" s="1188"/>
      <c r="K15" s="1188"/>
      <c r="L15" s="1188"/>
      <c r="M15" s="1188"/>
      <c r="N15" s="1188"/>
      <c r="O15" s="1188"/>
      <c r="P15" s="1188"/>
      <c r="Q15" s="25"/>
      <c r="R15" s="19"/>
      <c r="S15"/>
    </row>
    <row r="16" spans="1:19" ht="8.25" customHeight="1" x14ac:dyDescent="0.3">
      <c r="A16" s="19"/>
      <c r="B16" s="25"/>
      <c r="C16" s="25"/>
      <c r="D16" s="25"/>
      <c r="E16" s="25"/>
      <c r="F16" s="25"/>
      <c r="G16" s="25"/>
      <c r="H16" s="25"/>
      <c r="I16" s="25"/>
      <c r="J16" s="25"/>
      <c r="K16" s="25"/>
      <c r="L16" s="25"/>
      <c r="M16" s="25"/>
      <c r="N16" s="25"/>
      <c r="O16" s="25"/>
      <c r="P16" s="25"/>
      <c r="Q16" s="25"/>
      <c r="R16" s="19"/>
      <c r="S16"/>
    </row>
    <row r="17" spans="1:19" ht="14.4" x14ac:dyDescent="0.3">
      <c r="A17" s="19"/>
      <c r="B17" s="25"/>
      <c r="C17" s="19"/>
      <c r="D17" s="19"/>
      <c r="E17" s="19"/>
      <c r="F17" s="19"/>
      <c r="G17" s="19"/>
      <c r="H17" s="19"/>
      <c r="I17" s="19"/>
      <c r="J17" s="19"/>
      <c r="K17" s="19"/>
      <c r="L17" s="19"/>
      <c r="M17" s="19"/>
      <c r="N17" s="19"/>
      <c r="O17" s="19"/>
      <c r="P17" s="19"/>
      <c r="Q17" s="25"/>
      <c r="R17" s="19"/>
      <c r="S17"/>
    </row>
    <row r="18" spans="1:19" ht="18.75" customHeight="1" x14ac:dyDescent="0.3">
      <c r="A18" s="19"/>
      <c r="B18" s="25"/>
      <c r="C18" s="19"/>
      <c r="D18" s="1189" t="s">
        <v>1075</v>
      </c>
      <c r="E18" s="1189"/>
      <c r="F18" s="1189"/>
      <c r="G18" s="1189"/>
      <c r="H18" s="1189"/>
      <c r="I18" s="1189"/>
      <c r="J18" s="1189"/>
      <c r="K18" s="1189"/>
      <c r="L18" s="1189"/>
      <c r="M18" s="1189"/>
      <c r="N18" s="1189"/>
      <c r="O18" s="1189"/>
      <c r="P18" s="19"/>
      <c r="Q18" s="25"/>
      <c r="R18" s="19"/>
      <c r="S18"/>
    </row>
    <row r="19" spans="1:19" ht="14.4" x14ac:dyDescent="0.3">
      <c r="A19" s="19"/>
      <c r="B19" s="25"/>
      <c r="C19" s="19"/>
      <c r="D19" s="1189"/>
      <c r="E19" s="1189"/>
      <c r="F19" s="1189"/>
      <c r="G19" s="1189"/>
      <c r="H19" s="1189"/>
      <c r="I19" s="1189"/>
      <c r="J19" s="1189"/>
      <c r="K19" s="1189"/>
      <c r="L19" s="1189"/>
      <c r="M19" s="1189"/>
      <c r="N19" s="1189"/>
      <c r="O19" s="1189"/>
      <c r="P19" s="19"/>
      <c r="Q19" s="25"/>
      <c r="R19" s="19"/>
      <c r="S19"/>
    </row>
    <row r="20" spans="1:19" ht="18" x14ac:dyDescent="0.35">
      <c r="A20" s="19"/>
      <c r="B20" s="25"/>
      <c r="C20" s="19"/>
      <c r="D20" s="19"/>
      <c r="E20" s="35"/>
      <c r="F20" s="34"/>
      <c r="G20" s="19"/>
      <c r="H20" s="19"/>
      <c r="I20" s="19"/>
      <c r="J20" s="19"/>
      <c r="K20" s="19"/>
      <c r="L20" s="19"/>
      <c r="M20" s="19"/>
      <c r="N20" s="19"/>
      <c r="O20" s="19"/>
      <c r="P20" s="19"/>
      <c r="Q20" s="25"/>
      <c r="R20" s="19"/>
      <c r="S20"/>
    </row>
    <row r="21" spans="1:19" ht="18" x14ac:dyDescent="0.35">
      <c r="A21" s="19"/>
      <c r="B21" s="25"/>
      <c r="C21" s="19"/>
      <c r="E21" s="170" t="s">
        <v>1077</v>
      </c>
      <c r="F21" s="34"/>
      <c r="G21" s="19"/>
      <c r="H21" s="19"/>
      <c r="I21" s="19"/>
      <c r="J21" s="19"/>
      <c r="K21" s="19"/>
      <c r="L21" s="19"/>
      <c r="M21" s="19"/>
      <c r="N21" s="19"/>
      <c r="O21" s="19"/>
      <c r="P21" s="19"/>
      <c r="Q21" s="25"/>
      <c r="R21" s="19"/>
      <c r="S21"/>
    </row>
    <row r="22" spans="1:19" ht="18.75" customHeight="1" x14ac:dyDescent="0.3">
      <c r="A22" s="19"/>
      <c r="B22" s="25"/>
      <c r="C22" s="19"/>
      <c r="D22" s="19"/>
      <c r="E22" s="1177" t="s">
        <v>1078</v>
      </c>
      <c r="F22" s="1177"/>
      <c r="G22" s="1177"/>
      <c r="H22" s="1177"/>
      <c r="I22" s="1177"/>
      <c r="J22" s="1177"/>
      <c r="K22" s="1177"/>
      <c r="L22" s="1177"/>
      <c r="M22" s="1177"/>
      <c r="N22" s="1177"/>
      <c r="O22" s="1177"/>
      <c r="P22" s="19"/>
      <c r="Q22" s="25"/>
      <c r="R22" s="19"/>
      <c r="S22"/>
    </row>
    <row r="23" spans="1:19" ht="18.75" customHeight="1" x14ac:dyDescent="0.3">
      <c r="A23" s="19"/>
      <c r="B23" s="25"/>
      <c r="C23" s="19"/>
      <c r="D23" s="19"/>
      <c r="E23" s="1177"/>
      <c r="F23" s="1177"/>
      <c r="G23" s="1177"/>
      <c r="H23" s="1177"/>
      <c r="I23" s="1177"/>
      <c r="J23" s="1177"/>
      <c r="K23" s="1177"/>
      <c r="L23" s="1177"/>
      <c r="M23" s="1177"/>
      <c r="N23" s="1177"/>
      <c r="O23" s="1177"/>
      <c r="P23" s="19"/>
      <c r="Q23" s="25"/>
      <c r="R23" s="19"/>
      <c r="S23"/>
    </row>
    <row r="24" spans="1:19" ht="18" x14ac:dyDescent="0.35">
      <c r="A24" s="19"/>
      <c r="B24" s="25"/>
      <c r="C24" s="19"/>
      <c r="D24" s="19"/>
      <c r="E24" s="34"/>
      <c r="F24" s="34"/>
      <c r="G24" s="19"/>
      <c r="H24" s="19"/>
      <c r="I24" s="19"/>
      <c r="J24" s="19"/>
      <c r="K24" s="19"/>
      <c r="L24" s="19"/>
      <c r="M24" s="19"/>
      <c r="N24" s="19"/>
      <c r="O24" s="19"/>
      <c r="P24" s="19"/>
      <c r="Q24" s="25"/>
      <c r="R24" s="19"/>
      <c r="S24"/>
    </row>
    <row r="25" spans="1:19" ht="14.4" x14ac:dyDescent="0.3">
      <c r="A25" s="19"/>
      <c r="B25" s="25"/>
      <c r="C25" s="19"/>
      <c r="D25" s="171" t="s">
        <v>1076</v>
      </c>
      <c r="E25" s="170" t="s">
        <v>403</v>
      </c>
      <c r="F25" s="169"/>
      <c r="G25" s="172"/>
      <c r="H25" s="172"/>
      <c r="I25" s="172"/>
      <c r="J25" s="172"/>
      <c r="K25" s="172"/>
      <c r="L25" s="172"/>
      <c r="M25" s="172"/>
      <c r="N25" s="172"/>
      <c r="O25" s="172"/>
      <c r="P25" s="19"/>
      <c r="Q25" s="25"/>
      <c r="R25" s="19"/>
      <c r="S25"/>
    </row>
    <row r="26" spans="1:19" ht="14.4" x14ac:dyDescent="0.3">
      <c r="A26" s="19"/>
      <c r="B26" s="25"/>
      <c r="C26" s="19"/>
      <c r="D26" s="19"/>
      <c r="E26" s="169" t="s">
        <v>1079</v>
      </c>
      <c r="F26" s="169"/>
      <c r="G26" s="172"/>
      <c r="H26" s="172"/>
      <c r="I26" s="172"/>
      <c r="J26" s="172"/>
      <c r="K26" s="172"/>
      <c r="L26" s="172"/>
      <c r="M26" s="172"/>
      <c r="N26" s="172"/>
      <c r="O26" s="172"/>
      <c r="P26" s="19"/>
      <c r="Q26" s="25"/>
      <c r="R26" s="19"/>
      <c r="S26"/>
    </row>
    <row r="27" spans="1:19" ht="14.4" x14ac:dyDescent="0.3">
      <c r="A27" s="19"/>
      <c r="B27" s="25"/>
      <c r="C27" s="19"/>
      <c r="D27" s="19"/>
      <c r="E27" s="169"/>
      <c r="F27" s="169"/>
      <c r="G27" s="172"/>
      <c r="H27" s="172"/>
      <c r="I27" s="172"/>
      <c r="J27" s="172"/>
      <c r="K27" s="172"/>
      <c r="L27" s="172"/>
      <c r="M27" s="172"/>
      <c r="N27" s="172"/>
      <c r="O27" s="172"/>
      <c r="P27" s="19"/>
      <c r="Q27" s="25"/>
      <c r="R27" s="19"/>
      <c r="S27"/>
    </row>
    <row r="28" spans="1:19" ht="14.4" x14ac:dyDescent="0.3">
      <c r="A28" s="19"/>
      <c r="B28" s="25"/>
      <c r="C28" s="19"/>
      <c r="D28" s="171" t="s">
        <v>1080</v>
      </c>
      <c r="E28" s="170" t="s">
        <v>1081</v>
      </c>
      <c r="F28" s="169"/>
      <c r="G28" s="172"/>
      <c r="H28" s="172"/>
      <c r="I28" s="172"/>
      <c r="J28" s="172"/>
      <c r="K28" s="172"/>
      <c r="L28" s="172"/>
      <c r="M28" s="172"/>
      <c r="N28" s="172"/>
      <c r="O28" s="172"/>
      <c r="P28" s="19"/>
      <c r="Q28" s="25"/>
      <c r="R28" s="19"/>
      <c r="S28"/>
    </row>
    <row r="29" spans="1:19" ht="14.4" x14ac:dyDescent="0.3">
      <c r="A29" s="19"/>
      <c r="B29" s="25"/>
      <c r="C29" s="19"/>
      <c r="D29" s="19"/>
      <c r="E29" s="169" t="s">
        <v>1082</v>
      </c>
      <c r="F29" s="169"/>
      <c r="G29" s="172"/>
      <c r="H29" s="172"/>
      <c r="I29" s="172"/>
      <c r="J29" s="172"/>
      <c r="K29" s="172"/>
      <c r="L29" s="172"/>
      <c r="M29" s="172"/>
      <c r="N29" s="172"/>
      <c r="O29" s="172"/>
      <c r="P29" s="19"/>
      <c r="Q29" s="25"/>
      <c r="R29" s="19"/>
      <c r="S29"/>
    </row>
    <row r="30" spans="1:19" ht="14.4" x14ac:dyDescent="0.3">
      <c r="A30" s="19"/>
      <c r="B30" s="25"/>
      <c r="C30" s="19"/>
      <c r="D30" s="19"/>
      <c r="E30" s="169" t="s">
        <v>1083</v>
      </c>
      <c r="F30" s="169"/>
      <c r="G30" s="172"/>
      <c r="H30" s="172"/>
      <c r="I30" s="172"/>
      <c r="J30" s="172"/>
      <c r="K30" s="172"/>
      <c r="L30" s="172"/>
      <c r="M30" s="172"/>
      <c r="N30" s="172"/>
      <c r="O30" s="172"/>
      <c r="P30" s="19"/>
      <c r="Q30" s="25"/>
      <c r="R30" s="19"/>
      <c r="S30"/>
    </row>
    <row r="31" spans="1:19" ht="14.4" x14ac:dyDescent="0.3">
      <c r="A31" s="19"/>
      <c r="B31" s="25"/>
      <c r="C31" s="19"/>
      <c r="D31" s="19"/>
      <c r="E31" s="169"/>
      <c r="F31" s="169"/>
      <c r="G31" s="172"/>
      <c r="H31" s="172"/>
      <c r="I31" s="172"/>
      <c r="J31" s="172"/>
      <c r="K31" s="172"/>
      <c r="L31" s="172"/>
      <c r="M31" s="172"/>
      <c r="N31" s="172"/>
      <c r="O31" s="172"/>
      <c r="P31" s="19"/>
      <c r="Q31" s="25"/>
      <c r="R31" s="19"/>
      <c r="S31"/>
    </row>
    <row r="32" spans="1:19" ht="14.4" x14ac:dyDescent="0.3">
      <c r="A32" s="19"/>
      <c r="B32" s="25"/>
      <c r="C32" s="19"/>
      <c r="D32" s="171" t="s">
        <v>1084</v>
      </c>
      <c r="E32" s="170" t="s">
        <v>1085</v>
      </c>
      <c r="F32" s="169"/>
      <c r="G32" s="172"/>
      <c r="H32" s="172"/>
      <c r="I32" s="172"/>
      <c r="J32" s="172"/>
      <c r="K32" s="172"/>
      <c r="L32" s="172"/>
      <c r="M32" s="172"/>
      <c r="N32" s="172"/>
      <c r="O32" s="172"/>
      <c r="P32" s="19"/>
      <c r="Q32" s="25"/>
      <c r="R32" s="19"/>
      <c r="S32"/>
    </row>
    <row r="33" spans="1:19" ht="14.4" x14ac:dyDescent="0.3">
      <c r="A33" s="19"/>
      <c r="B33" s="25"/>
      <c r="C33" s="19"/>
      <c r="D33" s="19"/>
      <c r="E33" s="169" t="s">
        <v>1086</v>
      </c>
      <c r="F33" s="169"/>
      <c r="G33" s="172"/>
      <c r="H33" s="172"/>
      <c r="I33" s="172"/>
      <c r="J33" s="172"/>
      <c r="K33" s="172"/>
      <c r="L33" s="172"/>
      <c r="M33" s="172"/>
      <c r="N33" s="172"/>
      <c r="O33" s="172"/>
      <c r="P33" s="19"/>
      <c r="Q33" s="25"/>
      <c r="R33" s="19"/>
      <c r="S33"/>
    </row>
    <row r="34" spans="1:19" ht="14.4" x14ac:dyDescent="0.3">
      <c r="A34" s="19"/>
      <c r="B34" s="25"/>
      <c r="C34" s="19"/>
      <c r="D34" s="19" t="s">
        <v>1087</v>
      </c>
      <c r="E34" s="1177" t="s">
        <v>1088</v>
      </c>
      <c r="F34" s="1177"/>
      <c r="G34" s="1177"/>
      <c r="H34" s="1177"/>
      <c r="I34" s="1177"/>
      <c r="J34" s="1177"/>
      <c r="K34" s="1177"/>
      <c r="L34" s="1177"/>
      <c r="M34" s="1177"/>
      <c r="N34" s="1177"/>
      <c r="O34" s="1177"/>
      <c r="P34" s="19"/>
      <c r="Q34" s="25"/>
      <c r="R34" s="19"/>
      <c r="S34"/>
    </row>
    <row r="35" spans="1:19" ht="18" x14ac:dyDescent="0.35">
      <c r="A35" s="19"/>
      <c r="B35" s="25"/>
      <c r="C35" s="19"/>
      <c r="D35" s="34"/>
      <c r="E35" s="1177"/>
      <c r="F35" s="1177"/>
      <c r="G35" s="1177"/>
      <c r="H35" s="1177"/>
      <c r="I35" s="1177"/>
      <c r="J35" s="1177"/>
      <c r="K35" s="1177"/>
      <c r="L35" s="1177"/>
      <c r="M35" s="1177"/>
      <c r="N35" s="1177"/>
      <c r="O35" s="1177"/>
      <c r="P35" s="19"/>
      <c r="Q35" s="25"/>
      <c r="R35" s="19"/>
      <c r="S35"/>
    </row>
    <row r="36" spans="1:19" s="54" customFormat="1" ht="18" x14ac:dyDescent="0.35">
      <c r="A36" s="56"/>
      <c r="B36" s="25"/>
      <c r="C36" s="56"/>
      <c r="D36" s="34"/>
      <c r="E36" s="1177" t="s">
        <v>1089</v>
      </c>
      <c r="F36" s="1177"/>
      <c r="G36" s="1177"/>
      <c r="H36" s="1177"/>
      <c r="I36" s="1177"/>
      <c r="J36" s="1177"/>
      <c r="K36" s="1177"/>
      <c r="L36" s="1177"/>
      <c r="M36" s="1177"/>
      <c r="N36" s="1177"/>
      <c r="O36" s="1177"/>
      <c r="P36" s="56"/>
      <c r="Q36" s="25"/>
      <c r="R36" s="56"/>
    </row>
    <row r="37" spans="1:19" s="54" customFormat="1" ht="18" x14ac:dyDescent="0.35">
      <c r="A37" s="56"/>
      <c r="B37" s="25"/>
      <c r="C37" s="56"/>
      <c r="D37" s="34"/>
      <c r="E37" s="1177"/>
      <c r="F37" s="1177"/>
      <c r="G37" s="1177"/>
      <c r="H37" s="1177"/>
      <c r="I37" s="1177"/>
      <c r="J37" s="1177"/>
      <c r="K37" s="1177"/>
      <c r="L37" s="1177"/>
      <c r="M37" s="1177"/>
      <c r="N37" s="1177"/>
      <c r="O37" s="1177"/>
      <c r="P37" s="56"/>
      <c r="Q37" s="25"/>
      <c r="R37" s="56"/>
    </row>
    <row r="38" spans="1:19" s="54" customFormat="1" ht="18" x14ac:dyDescent="0.35">
      <c r="A38" s="56"/>
      <c r="B38" s="25"/>
      <c r="C38" s="56"/>
      <c r="D38" s="34"/>
      <c r="E38" s="1177" t="s">
        <v>1090</v>
      </c>
      <c r="F38" s="1177"/>
      <c r="G38" s="1177"/>
      <c r="H38" s="1177"/>
      <c r="I38" s="1177"/>
      <c r="J38" s="1177"/>
      <c r="K38" s="1177"/>
      <c r="L38" s="1177"/>
      <c r="M38" s="1177"/>
      <c r="N38" s="1177"/>
      <c r="O38" s="1177"/>
      <c r="P38" s="56"/>
      <c r="Q38" s="25"/>
      <c r="R38" s="56"/>
    </row>
    <row r="39" spans="1:19" s="54" customFormat="1" ht="18" x14ac:dyDescent="0.35">
      <c r="A39" s="56"/>
      <c r="B39" s="25"/>
      <c r="C39" s="56"/>
      <c r="D39" s="34"/>
      <c r="E39" s="1177"/>
      <c r="F39" s="1177"/>
      <c r="G39" s="1177"/>
      <c r="H39" s="1177"/>
      <c r="I39" s="1177"/>
      <c r="J39" s="1177"/>
      <c r="K39" s="1177"/>
      <c r="L39" s="1177"/>
      <c r="M39" s="1177"/>
      <c r="N39" s="1177"/>
      <c r="O39" s="1177"/>
      <c r="P39" s="56"/>
      <c r="Q39" s="25"/>
      <c r="R39" s="56"/>
    </row>
    <row r="40" spans="1:19" ht="14.4" x14ac:dyDescent="0.3">
      <c r="A40" s="19"/>
      <c r="B40" s="25"/>
      <c r="C40" s="19"/>
      <c r="E40" s="169"/>
      <c r="F40" s="172"/>
      <c r="G40" s="172"/>
      <c r="H40" s="172"/>
      <c r="I40" s="172"/>
      <c r="J40" s="172"/>
      <c r="K40" s="172"/>
      <c r="L40" s="172"/>
      <c r="M40" s="172"/>
      <c r="N40" s="172"/>
      <c r="O40" s="172"/>
      <c r="P40" s="19"/>
      <c r="Q40" s="25"/>
      <c r="R40" s="19"/>
      <c r="S40"/>
    </row>
    <row r="41" spans="1:19" ht="14.4" x14ac:dyDescent="0.3">
      <c r="A41" s="19"/>
      <c r="B41" s="25"/>
      <c r="C41" s="19"/>
      <c r="D41" s="171" t="s">
        <v>1091</v>
      </c>
      <c r="E41" s="173" t="s">
        <v>1092</v>
      </c>
      <c r="F41" s="172"/>
      <c r="G41" s="172"/>
      <c r="H41" s="172"/>
      <c r="I41" s="172"/>
      <c r="J41" s="172"/>
      <c r="K41" s="172"/>
      <c r="L41" s="172"/>
      <c r="M41" s="172"/>
      <c r="N41" s="172"/>
      <c r="O41" s="172"/>
      <c r="P41" s="19"/>
      <c r="Q41" s="25"/>
      <c r="R41" s="19"/>
      <c r="S41"/>
    </row>
    <row r="42" spans="1:19" s="54" customFormat="1" ht="14.4" x14ac:dyDescent="0.3">
      <c r="A42" s="56"/>
      <c r="B42" s="25"/>
      <c r="C42" s="56"/>
      <c r="D42" s="171"/>
      <c r="E42" s="173"/>
      <c r="F42" s="172"/>
      <c r="G42" s="172"/>
      <c r="H42" s="172"/>
      <c r="I42" s="172"/>
      <c r="J42" s="172"/>
      <c r="K42" s="172"/>
      <c r="L42" s="172"/>
      <c r="M42" s="172"/>
      <c r="N42" s="172"/>
      <c r="O42" s="172"/>
      <c r="P42" s="56"/>
      <c r="Q42" s="25"/>
      <c r="R42" s="56"/>
    </row>
    <row r="43" spans="1:19" ht="14.4" x14ac:dyDescent="0.3">
      <c r="A43" s="19"/>
      <c r="B43" s="25"/>
      <c r="C43" s="19"/>
      <c r="D43" s="19"/>
      <c r="E43" s="172"/>
      <c r="F43" s="172"/>
      <c r="G43" s="172"/>
      <c r="H43" s="172"/>
      <c r="I43" s="172"/>
      <c r="J43" s="172"/>
      <c r="K43" s="172"/>
      <c r="L43" s="172"/>
      <c r="M43" s="172"/>
      <c r="N43" s="172"/>
      <c r="O43" s="172"/>
      <c r="P43" s="19"/>
      <c r="Q43" s="25"/>
      <c r="R43" s="19"/>
      <c r="S43"/>
    </row>
    <row r="44" spans="1:19" ht="14.4" x14ac:dyDescent="0.3">
      <c r="A44" s="19"/>
      <c r="B44" s="25"/>
      <c r="C44" s="19"/>
      <c r="D44" s="19"/>
      <c r="E44" s="172"/>
      <c r="F44" s="172"/>
      <c r="G44" s="172"/>
      <c r="H44" s="172"/>
      <c r="I44" s="172"/>
      <c r="J44" s="172"/>
      <c r="K44" s="172"/>
      <c r="L44" s="172"/>
      <c r="M44" s="172"/>
      <c r="N44" s="172"/>
      <c r="O44" s="172"/>
      <c r="P44" s="19"/>
      <c r="Q44" s="25"/>
      <c r="R44" s="19"/>
      <c r="S44"/>
    </row>
    <row r="45" spans="1:19" ht="14.4" x14ac:dyDescent="0.3">
      <c r="A45" s="19"/>
      <c r="B45" s="25"/>
      <c r="C45" s="19"/>
      <c r="D45" s="19"/>
      <c r="E45" s="172"/>
      <c r="F45" s="172"/>
      <c r="G45" s="172"/>
      <c r="H45" s="172"/>
      <c r="I45" s="172"/>
      <c r="J45" s="172"/>
      <c r="K45" s="172"/>
      <c r="L45" s="172"/>
      <c r="M45" s="172"/>
      <c r="N45" s="172"/>
      <c r="O45" s="172"/>
      <c r="P45" s="19"/>
      <c r="Q45" s="25"/>
      <c r="R45" s="19"/>
      <c r="S45"/>
    </row>
    <row r="46" spans="1:19" ht="9.75" customHeight="1" x14ac:dyDescent="0.3">
      <c r="A46" s="19"/>
      <c r="B46" s="25"/>
      <c r="C46" s="25"/>
      <c r="D46" s="25"/>
      <c r="E46" s="25"/>
      <c r="F46" s="25"/>
      <c r="G46" s="25"/>
      <c r="H46" s="25"/>
      <c r="I46" s="25"/>
      <c r="J46" s="25"/>
      <c r="K46" s="25"/>
      <c r="L46" s="25"/>
      <c r="M46" s="25"/>
      <c r="N46" s="25"/>
      <c r="O46" s="25"/>
      <c r="P46" s="25"/>
      <c r="Q46" s="25"/>
      <c r="R46" s="19"/>
      <c r="S46"/>
    </row>
    <row r="47" spans="1:19" ht="14.4" x14ac:dyDescent="0.3">
      <c r="A47" s="19"/>
      <c r="B47" s="19"/>
      <c r="C47" s="19"/>
      <c r="D47" s="19"/>
      <c r="E47" s="19"/>
      <c r="F47" s="19"/>
      <c r="G47" s="19"/>
      <c r="H47" s="19"/>
      <c r="I47" s="19"/>
      <c r="J47" s="19"/>
      <c r="K47" s="19"/>
      <c r="L47" s="19"/>
      <c r="M47" s="19"/>
      <c r="N47" s="19"/>
      <c r="O47" s="19"/>
      <c r="P47" s="19"/>
      <c r="Q47" s="19"/>
      <c r="R47" s="19"/>
      <c r="S47"/>
    </row>
    <row r="48" spans="1:19" ht="14.4" x14ac:dyDescent="0.3">
      <c r="A48" s="19"/>
      <c r="B48" s="19"/>
      <c r="C48" s="19"/>
      <c r="D48" s="19"/>
      <c r="E48" s="19"/>
      <c r="F48" s="19"/>
      <c r="G48" s="19"/>
      <c r="H48" s="19"/>
      <c r="I48" s="19"/>
      <c r="J48" s="19"/>
      <c r="K48" s="19"/>
      <c r="L48" s="19"/>
      <c r="M48" s="19"/>
      <c r="N48" s="19"/>
      <c r="O48" s="19"/>
      <c r="P48" s="19"/>
      <c r="Q48" s="19"/>
      <c r="R48" s="19"/>
      <c r="S48"/>
    </row>
    <row r="49" spans="1:19" ht="14.4" x14ac:dyDescent="0.3">
      <c r="A49" s="19"/>
      <c r="B49" s="19"/>
      <c r="C49" s="19"/>
      <c r="D49" s="19"/>
      <c r="E49" s="19"/>
      <c r="F49" s="19"/>
      <c r="G49" s="19"/>
      <c r="H49" s="19"/>
      <c r="I49" s="19"/>
      <c r="J49" s="19"/>
      <c r="K49" s="19"/>
      <c r="L49" s="19"/>
      <c r="M49" s="19"/>
      <c r="N49" s="19"/>
      <c r="O49" s="19"/>
      <c r="P49" s="19"/>
      <c r="Q49" s="19"/>
      <c r="R49" s="19"/>
      <c r="S49"/>
    </row>
    <row r="50" spans="1:19" ht="14.4" x14ac:dyDescent="0.3">
      <c r="A50" s="19"/>
      <c r="B50" s="19"/>
      <c r="C50" s="19"/>
      <c r="D50" s="19"/>
      <c r="E50" s="19"/>
      <c r="F50" s="19"/>
      <c r="G50" s="19"/>
      <c r="H50" s="19"/>
      <c r="I50" s="19"/>
      <c r="J50" s="19"/>
      <c r="K50" s="19"/>
      <c r="L50" s="19"/>
      <c r="M50" s="19"/>
      <c r="N50" s="19"/>
      <c r="O50" s="19"/>
      <c r="P50" s="19"/>
      <c r="Q50" s="19"/>
      <c r="R50" s="19"/>
      <c r="S50"/>
    </row>
    <row r="51" spans="1:19" ht="14.4" x14ac:dyDescent="0.3">
      <c r="A51" s="19"/>
      <c r="B51" s="19"/>
      <c r="C51" s="19"/>
      <c r="D51" s="19"/>
      <c r="E51" s="19"/>
      <c r="F51" s="19"/>
      <c r="G51" s="19"/>
      <c r="H51" s="19"/>
      <c r="I51" s="19"/>
      <c r="J51" s="19"/>
      <c r="K51" s="19"/>
      <c r="L51" s="19"/>
      <c r="M51" s="19"/>
      <c r="N51" s="19"/>
      <c r="O51" s="19"/>
      <c r="P51" s="19"/>
      <c r="Q51" s="19"/>
      <c r="R51" s="19"/>
      <c r="S51"/>
    </row>
    <row r="52" spans="1:19" ht="14.4" x14ac:dyDescent="0.3">
      <c r="A52" s="19"/>
      <c r="B52" s="19"/>
      <c r="C52" s="19"/>
      <c r="D52" s="19"/>
      <c r="E52" s="19"/>
      <c r="F52" s="19"/>
      <c r="G52" s="19"/>
      <c r="H52" s="19"/>
      <c r="I52" s="19"/>
      <c r="J52" s="19"/>
      <c r="K52" s="19"/>
      <c r="L52" s="19"/>
      <c r="M52" s="19"/>
      <c r="N52" s="19"/>
      <c r="O52" s="19"/>
      <c r="P52" s="19"/>
      <c r="Q52" s="19"/>
      <c r="R52" s="19"/>
      <c r="S52"/>
    </row>
    <row r="53" spans="1:19" ht="14.4" x14ac:dyDescent="0.3">
      <c r="A53" s="19"/>
      <c r="B53" s="19"/>
      <c r="C53" s="19"/>
      <c r="D53" s="19"/>
      <c r="E53" s="19"/>
      <c r="F53" s="19"/>
      <c r="G53" s="19"/>
      <c r="H53" s="19"/>
      <c r="I53" s="19"/>
      <c r="J53" s="19"/>
      <c r="K53" s="19"/>
      <c r="L53" s="19"/>
      <c r="M53" s="19"/>
      <c r="N53" s="19"/>
      <c r="O53" s="19"/>
      <c r="P53" s="19"/>
      <c r="Q53" s="19"/>
      <c r="R53" s="19"/>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FF0000"/>
  </sheetPr>
  <dimension ref="A1:BG1077"/>
  <sheetViews>
    <sheetView zoomScaleNormal="100" workbookViewId="0">
      <pane xSplit="3" ySplit="6" topLeftCell="L979" activePane="bottomRight" state="frozen"/>
      <selection pane="topRight" activeCell="D1" sqref="D1"/>
      <selection pane="bottomLeft" activeCell="A7" sqref="A7"/>
      <selection pane="bottomRight" activeCell="V979" sqref="V979"/>
    </sheetView>
  </sheetViews>
  <sheetFormatPr baseColWidth="10" defaultRowHeight="14.4" x14ac:dyDescent="0.3"/>
  <cols>
    <col min="1" max="1" width="4.5546875" style="56" customWidth="1"/>
    <col min="2" max="2" width="17.5546875" customWidth="1"/>
    <col min="3" max="3" width="27.6640625" customWidth="1"/>
    <col min="4" max="4" width="17.109375" style="1" customWidth="1"/>
    <col min="5" max="5" width="42" style="1" customWidth="1"/>
    <col min="6" max="6" width="15.33203125" style="1" customWidth="1"/>
    <col min="7" max="9" width="12.88671875" style="1" customWidth="1"/>
    <col min="10" max="10" width="13.6640625" style="1" bestFit="1" customWidth="1"/>
    <col min="11" max="11" width="9.88671875" style="334" bestFit="1" customWidth="1"/>
    <col min="12" max="12" width="13.6640625" style="259" bestFit="1" customWidth="1"/>
    <col min="13" max="13" width="9.88671875" style="337" bestFit="1" customWidth="1"/>
    <col min="14" max="14" width="12" style="1" bestFit="1" customWidth="1"/>
    <col min="15" max="15" width="9.88671875" style="334" bestFit="1" customWidth="1"/>
    <col min="16" max="16" width="11.44140625" style="1"/>
    <col min="17" max="17" width="9.88671875" style="334" bestFit="1" customWidth="1"/>
    <col min="18" max="18" width="16.33203125" style="1" customWidth="1"/>
    <col min="19" max="19" width="11.44140625" style="260"/>
    <col min="20" max="20" width="11.44140625" style="341"/>
    <col min="21" max="21" width="11.44140625" style="260"/>
    <col min="22" max="22" width="11.44140625" style="341"/>
    <col min="23" max="23" width="11.44140625" style="260"/>
    <col min="24" max="24" width="11.44140625" style="341"/>
    <col min="25" max="25" width="11.44140625" style="260"/>
    <col min="26" max="26" width="11.44140625" style="341"/>
    <col min="27" max="27" width="11.44140625" style="328"/>
    <col min="28" max="33" width="11.44140625" style="1"/>
    <col min="34" max="35" width="11.44140625" style="1093"/>
    <col min="36" max="37" width="11.44140625" style="1"/>
    <col min="38" max="38" width="15" style="261" bestFit="1" customWidth="1"/>
    <col min="39" max="39" width="16" style="261" bestFit="1" customWidth="1"/>
    <col min="40" max="43" width="15" style="261" bestFit="1" customWidth="1"/>
    <col min="44" max="44" width="13.6640625" style="261" customWidth="1"/>
    <col min="45" max="49" width="15" style="261" bestFit="1" customWidth="1"/>
    <col min="50" max="50" width="14.88671875" style="261" bestFit="1" customWidth="1"/>
    <col min="51" max="53" width="13.88671875" style="261" customWidth="1"/>
    <col min="54" max="54" width="14" style="261" bestFit="1" customWidth="1"/>
    <col min="55" max="55" width="14" style="261" customWidth="1"/>
    <col min="56" max="56" width="14" style="341" customWidth="1"/>
    <col min="57" max="57" width="15.33203125" style="1" bestFit="1" customWidth="1"/>
    <col min="58" max="58" width="11.44140625" style="13"/>
    <col min="59" max="59" width="15.109375" style="1" customWidth="1"/>
  </cols>
  <sheetData>
    <row r="1" spans="1:59" ht="15" thickBot="1" x14ac:dyDescent="0.35">
      <c r="B1" s="56"/>
      <c r="C1" s="56"/>
      <c r="D1" s="13"/>
      <c r="E1" s="13"/>
      <c r="F1" s="13"/>
      <c r="G1" s="13"/>
      <c r="H1" s="13"/>
      <c r="I1" s="13"/>
      <c r="J1" s="13"/>
      <c r="K1" s="331"/>
      <c r="L1" s="257"/>
      <c r="M1" s="335"/>
      <c r="N1" s="13"/>
      <c r="O1" s="331"/>
      <c r="P1" s="13"/>
      <c r="Q1" s="331"/>
      <c r="R1" s="13"/>
      <c r="S1" s="13"/>
      <c r="T1" s="331"/>
      <c r="U1" s="13"/>
      <c r="V1" s="331"/>
      <c r="W1" s="13"/>
      <c r="X1" s="331"/>
      <c r="Y1" s="13"/>
      <c r="Z1" s="331"/>
      <c r="AA1" s="247"/>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331"/>
      <c r="BE1" s="13"/>
    </row>
    <row r="2" spans="1:59" ht="23.4" x14ac:dyDescent="0.3">
      <c r="B2" s="92"/>
      <c r="C2" s="93"/>
      <c r="D2" s="193"/>
      <c r="E2" s="1194" t="s">
        <v>387</v>
      </c>
      <c r="F2" s="1194"/>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93"/>
      <c r="AN2" s="193"/>
      <c r="AO2" s="193"/>
      <c r="AP2" s="193"/>
      <c r="AQ2" s="193"/>
      <c r="AR2" s="193"/>
      <c r="AS2" s="193"/>
      <c r="AT2" s="193"/>
      <c r="AU2" s="193"/>
      <c r="AV2" s="193"/>
      <c r="AW2" s="193"/>
      <c r="AX2" s="193"/>
      <c r="AY2" s="1195" t="s">
        <v>1058</v>
      </c>
      <c r="AZ2" s="1196"/>
      <c r="BA2" s="1196"/>
      <c r="BB2" s="1196"/>
      <c r="BC2" s="1196"/>
      <c r="BD2" s="1196"/>
      <c r="BE2" s="1197"/>
    </row>
    <row r="3" spans="1:59" s="54" customFormat="1" ht="24" thickBot="1" x14ac:dyDescent="0.35">
      <c r="A3" s="56"/>
      <c r="B3" s="94"/>
      <c r="C3" s="95"/>
      <c r="D3" s="194"/>
      <c r="E3" s="1201" t="s">
        <v>961</v>
      </c>
      <c r="F3" s="1201"/>
      <c r="G3" s="1201"/>
      <c r="H3" s="1201"/>
      <c r="I3" s="1201"/>
      <c r="J3" s="1201"/>
      <c r="K3" s="1201"/>
      <c r="L3" s="1201"/>
      <c r="M3" s="1201"/>
      <c r="N3" s="1201"/>
      <c r="O3" s="1201"/>
      <c r="P3" s="1201"/>
      <c r="Q3" s="1201"/>
      <c r="R3" s="1201"/>
      <c r="S3" s="1201"/>
      <c r="T3" s="1201"/>
      <c r="U3" s="1201"/>
      <c r="V3" s="1201"/>
      <c r="W3" s="1201"/>
      <c r="X3" s="1201"/>
      <c r="Y3" s="1201"/>
      <c r="Z3" s="1201"/>
      <c r="AA3" s="1201"/>
      <c r="AB3" s="1201"/>
      <c r="AC3" s="1201"/>
      <c r="AD3" s="1201"/>
      <c r="AE3" s="1201"/>
      <c r="AF3" s="1201"/>
      <c r="AG3" s="1201"/>
      <c r="AH3" s="1201"/>
      <c r="AI3" s="1201"/>
      <c r="AJ3" s="1201"/>
      <c r="AK3" s="1201"/>
      <c r="AL3" s="1201"/>
      <c r="AM3" s="194"/>
      <c r="AN3" s="194"/>
      <c r="AO3" s="194"/>
      <c r="AP3" s="194"/>
      <c r="AQ3" s="194"/>
      <c r="AR3" s="194"/>
      <c r="AS3" s="194"/>
      <c r="AT3" s="194"/>
      <c r="AU3" s="194"/>
      <c r="AV3" s="194"/>
      <c r="AW3" s="194"/>
      <c r="AX3" s="194"/>
      <c r="AY3" s="1198"/>
      <c r="AZ3" s="1199"/>
      <c r="BA3" s="1199"/>
      <c r="BB3" s="1199"/>
      <c r="BC3" s="1199"/>
      <c r="BD3" s="1199"/>
      <c r="BE3" s="1200"/>
      <c r="BF3" s="13"/>
      <c r="BG3" s="1"/>
    </row>
    <row r="4" spans="1:59" ht="15" thickBot="1" x14ac:dyDescent="0.35">
      <c r="B4" s="56"/>
      <c r="C4" s="56"/>
      <c r="D4" s="13"/>
      <c r="E4" s="13"/>
      <c r="F4" s="13"/>
      <c r="G4" s="13"/>
      <c r="H4" s="13"/>
      <c r="I4" s="13"/>
      <c r="J4" s="13"/>
      <c r="K4" s="331"/>
      <c r="L4" s="257"/>
      <c r="M4" s="335"/>
      <c r="N4" s="13"/>
      <c r="O4" s="331"/>
      <c r="P4" s="13"/>
      <c r="Q4" s="331"/>
      <c r="R4" s="13"/>
      <c r="S4" s="13"/>
      <c r="T4" s="331"/>
      <c r="U4" s="13"/>
      <c r="V4" s="331"/>
      <c r="W4" s="13"/>
      <c r="X4" s="331"/>
      <c r="Y4" s="13"/>
      <c r="Z4" s="331"/>
      <c r="AA4" s="247"/>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331"/>
      <c r="BE4" s="13"/>
    </row>
    <row r="5" spans="1:59" ht="15" customHeight="1" thickTop="1" thickBot="1" x14ac:dyDescent="0.35">
      <c r="B5" s="56"/>
      <c r="C5" s="56"/>
      <c r="D5" s="13"/>
      <c r="E5" s="13"/>
      <c r="F5" s="13"/>
      <c r="G5" s="13"/>
      <c r="H5" s="13"/>
      <c r="I5" s="13"/>
      <c r="J5" s="1207" t="s">
        <v>970</v>
      </c>
      <c r="K5" s="1207"/>
      <c r="L5" s="1207"/>
      <c r="M5" s="1207"/>
      <c r="N5" s="1207"/>
      <c r="O5" s="1207"/>
      <c r="P5" s="1207"/>
      <c r="Q5" s="1207"/>
      <c r="R5" s="1202" t="s">
        <v>942</v>
      </c>
      <c r="S5" s="1206" t="s">
        <v>944</v>
      </c>
      <c r="T5" s="1207"/>
      <c r="U5" s="1207" t="s">
        <v>945</v>
      </c>
      <c r="V5" s="1207"/>
      <c r="W5" s="1207" t="s">
        <v>946</v>
      </c>
      <c r="X5" s="1207"/>
      <c r="Y5" s="1207" t="s">
        <v>947</v>
      </c>
      <c r="Z5" s="1208"/>
      <c r="AA5" s="1209" t="s">
        <v>948</v>
      </c>
      <c r="AB5" s="1209"/>
      <c r="AC5" s="1190" t="s">
        <v>5492</v>
      </c>
      <c r="AD5" s="1191"/>
      <c r="AE5" s="1191"/>
      <c r="AF5" s="1191"/>
      <c r="AG5" s="1192" t="s">
        <v>5493</v>
      </c>
      <c r="AH5" s="1191"/>
      <c r="AI5" s="1191"/>
      <c r="AJ5" s="1193"/>
      <c r="AK5" s="1098" t="s">
        <v>5494</v>
      </c>
      <c r="AL5" s="1211" t="s">
        <v>950</v>
      </c>
      <c r="AM5" s="1212"/>
      <c r="AN5" s="1212"/>
      <c r="AO5" s="1212"/>
      <c r="AP5" s="1212"/>
      <c r="AQ5" s="1212"/>
      <c r="AR5" s="1212"/>
      <c r="AS5" s="1212"/>
      <c r="AT5" s="1212"/>
      <c r="AU5" s="1212"/>
      <c r="AV5" s="1212"/>
      <c r="AW5" s="1212"/>
      <c r="AX5" s="1212"/>
      <c r="AY5" s="1212"/>
      <c r="AZ5" s="1212"/>
      <c r="BA5" s="1212"/>
      <c r="BB5" s="1212"/>
      <c r="BC5" s="1213"/>
      <c r="BD5" s="1210" t="s">
        <v>1394</v>
      </c>
      <c r="BE5" s="1204" t="s">
        <v>943</v>
      </c>
    </row>
    <row r="6" spans="1:59" ht="45" customHeight="1" thickTop="1" thickBot="1" x14ac:dyDescent="0.35">
      <c r="B6" s="31" t="s">
        <v>0</v>
      </c>
      <c r="C6" s="31" t="s">
        <v>1</v>
      </c>
      <c r="D6" s="31" t="s">
        <v>394</v>
      </c>
      <c r="E6" s="31" t="s">
        <v>311</v>
      </c>
      <c r="F6" s="32" t="s">
        <v>386</v>
      </c>
      <c r="G6" s="33" t="s">
        <v>374</v>
      </c>
      <c r="H6" s="33" t="s">
        <v>375</v>
      </c>
      <c r="I6" s="1086" t="s">
        <v>5503</v>
      </c>
      <c r="J6" s="43" t="s">
        <v>922</v>
      </c>
      <c r="K6" s="262" t="s">
        <v>1369</v>
      </c>
      <c r="L6" s="73" t="s">
        <v>923</v>
      </c>
      <c r="M6" s="262" t="s">
        <v>1369</v>
      </c>
      <c r="N6" s="43" t="s">
        <v>924</v>
      </c>
      <c r="O6" s="262" t="s">
        <v>1369</v>
      </c>
      <c r="P6" s="70" t="s">
        <v>925</v>
      </c>
      <c r="Q6" s="262" t="s">
        <v>1369</v>
      </c>
      <c r="R6" s="1203"/>
      <c r="S6" s="68" t="s">
        <v>926</v>
      </c>
      <c r="T6" s="339" t="s">
        <v>949</v>
      </c>
      <c r="U6" s="57" t="s">
        <v>926</v>
      </c>
      <c r="V6" s="339" t="s">
        <v>949</v>
      </c>
      <c r="W6" s="57" t="s">
        <v>926</v>
      </c>
      <c r="X6" s="339" t="s">
        <v>949</v>
      </c>
      <c r="Y6" s="57" t="s">
        <v>926</v>
      </c>
      <c r="Z6" s="340" t="s">
        <v>949</v>
      </c>
      <c r="AA6" s="83" t="s">
        <v>926</v>
      </c>
      <c r="AB6" s="83" t="s">
        <v>949</v>
      </c>
      <c r="AC6" s="43" t="s">
        <v>926</v>
      </c>
      <c r="AD6" s="43" t="s">
        <v>1848</v>
      </c>
      <c r="AE6" s="43" t="s">
        <v>5495</v>
      </c>
      <c r="AF6" s="43" t="s">
        <v>5500</v>
      </c>
      <c r="AG6" s="1097" t="s">
        <v>926</v>
      </c>
      <c r="AH6" s="1097" t="s">
        <v>1848</v>
      </c>
      <c r="AI6" s="1097" t="s">
        <v>5495</v>
      </c>
      <c r="AJ6" s="1097" t="s">
        <v>5501</v>
      </c>
      <c r="AK6" s="68" t="s">
        <v>5502</v>
      </c>
      <c r="AL6" s="68" t="s">
        <v>928</v>
      </c>
      <c r="AM6" s="57" t="s">
        <v>929</v>
      </c>
      <c r="AN6" s="57" t="s">
        <v>930</v>
      </c>
      <c r="AO6" s="57" t="s">
        <v>931</v>
      </c>
      <c r="AP6" s="57" t="s">
        <v>932</v>
      </c>
      <c r="AQ6" s="57" t="s">
        <v>933</v>
      </c>
      <c r="AR6" s="57" t="s">
        <v>934</v>
      </c>
      <c r="AS6" s="57" t="s">
        <v>935</v>
      </c>
      <c r="AT6" s="57" t="s">
        <v>936</v>
      </c>
      <c r="AU6" s="57" t="s">
        <v>937</v>
      </c>
      <c r="AV6" s="57" t="s">
        <v>938</v>
      </c>
      <c r="AW6" s="57" t="s">
        <v>939</v>
      </c>
      <c r="AX6" s="57" t="s">
        <v>940</v>
      </c>
      <c r="AY6" s="57" t="s">
        <v>941</v>
      </c>
      <c r="AZ6" s="57" t="s">
        <v>967</v>
      </c>
      <c r="BA6" s="57" t="s">
        <v>968</v>
      </c>
      <c r="BB6" s="69" t="s">
        <v>969</v>
      </c>
      <c r="BC6" s="69" t="s">
        <v>1489</v>
      </c>
      <c r="BD6" s="1210"/>
      <c r="BE6" s="1205"/>
    </row>
    <row r="7" spans="1:59" ht="34.5" hidden="1" customHeight="1" x14ac:dyDescent="0.3">
      <c r="A7" s="80">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29">
        <f>+'Base de Datos'!I7</f>
        <v>7329236109</v>
      </c>
      <c r="G7" s="330">
        <f>+'Base de Datos'!M7</f>
        <v>39724</v>
      </c>
      <c r="H7" s="330">
        <f>+'Base de Datos'!N7</f>
        <v>41673</v>
      </c>
      <c r="I7" s="330"/>
      <c r="J7" s="162"/>
      <c r="K7" s="332"/>
      <c r="L7" s="162"/>
      <c r="M7" s="332"/>
      <c r="N7" s="162"/>
      <c r="O7" s="332"/>
      <c r="P7" s="162"/>
      <c r="Q7" s="332"/>
      <c r="R7" s="81">
        <f>SUM(J7,L7,N7,P7)</f>
        <v>0</v>
      </c>
      <c r="S7" s="345"/>
      <c r="T7" s="343"/>
      <c r="U7" s="345"/>
      <c r="V7" s="343"/>
      <c r="W7" s="345"/>
      <c r="X7" s="343"/>
      <c r="Y7" s="345"/>
      <c r="Z7" s="343"/>
      <c r="AA7" s="347"/>
      <c r="AB7" s="1004" t="str">
        <f t="shared" ref="AB7:AB70" si="0">IF(ISNUMBER(T7),MAX(T7,V7,X7,Z7),"")</f>
        <v/>
      </c>
      <c r="AC7" s="1082" t="str">
        <f t="shared" ref="AC7:AC70" si="1">IF(ISNUMBER(AD7),ABS(AD7-AE7)+1,"")</f>
        <v/>
      </c>
      <c r="AD7" s="1073"/>
      <c r="AE7" s="1073"/>
      <c r="AF7" s="1084" t="str">
        <f t="shared" ref="AF7:AF70" si="2">IFERROR(IF(MAX(H7,I7)&lt;AE7,MAX(H7,I7)-AE7+AC7+AE7,MAX(H7,I7)+AC7),"")</f>
        <v/>
      </c>
      <c r="AG7" s="1082" t="str">
        <f t="shared" ref="AG7:AG70" si="3">IF(ISNUMBER(AH7),ABS(AH7-AI7)+1,"")</f>
        <v/>
      </c>
      <c r="AH7" s="1087"/>
      <c r="AI7" s="1087"/>
      <c r="AJ7" s="1084" t="str">
        <f t="shared" ref="AJ7:AJ70" si="4">IFERROR(IF(AF7&lt;AI7,((AF7-AI7)+AG7)+(AI7),AF7+AG7),"")</f>
        <v/>
      </c>
      <c r="AK7" s="1083" t="str">
        <f t="shared" ref="AK7:AK70" si="5">IF(ISNUMBER(AF7),MAX(AB7,AF7,AJ7),"")</f>
        <v/>
      </c>
      <c r="AL7" s="210">
        <v>6218260556</v>
      </c>
      <c r="AM7" s="210"/>
      <c r="AN7" s="210"/>
      <c r="AO7" s="210"/>
      <c r="AP7" s="210"/>
      <c r="AQ7" s="210"/>
      <c r="AR7" s="210"/>
      <c r="AS7" s="210"/>
      <c r="AT7" s="210"/>
      <c r="AU7" s="210"/>
      <c r="AV7" s="210"/>
      <c r="AW7" s="210"/>
      <c r="AX7" s="210"/>
      <c r="AY7" s="210"/>
      <c r="AZ7" s="210"/>
      <c r="BA7" s="210"/>
      <c r="BB7" s="210"/>
      <c r="BC7" s="210"/>
      <c r="BD7" s="342">
        <v>0</v>
      </c>
      <c r="BE7" s="82">
        <f>SUM(AL7:BC7)</f>
        <v>6218260556</v>
      </c>
    </row>
    <row r="8" spans="1:59" ht="34.5" hidden="1" customHeight="1" x14ac:dyDescent="0.3">
      <c r="A8" s="80">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6"/>
      <c r="J8" s="162">
        <v>1073825676</v>
      </c>
      <c r="K8" s="332"/>
      <c r="L8" s="162"/>
      <c r="M8" s="332"/>
      <c r="N8" s="162"/>
      <c r="O8" s="332"/>
      <c r="P8" s="162"/>
      <c r="Q8" s="332"/>
      <c r="R8" s="81">
        <f t="shared" ref="R8:R71" si="6">SUM(J8,L8,N8,P8)</f>
        <v>1073825676</v>
      </c>
      <c r="S8" s="345"/>
      <c r="T8" s="343"/>
      <c r="U8" s="345"/>
      <c r="V8" s="343"/>
      <c r="W8" s="345"/>
      <c r="X8" s="343"/>
      <c r="Y8" s="345"/>
      <c r="Z8" s="343"/>
      <c r="AA8" s="348"/>
      <c r="AB8" s="1004" t="str">
        <f t="shared" si="0"/>
        <v/>
      </c>
      <c r="AC8" s="1082" t="str">
        <f t="shared" si="1"/>
        <v/>
      </c>
      <c r="AD8" s="1074"/>
      <c r="AE8" s="1074"/>
      <c r="AF8" s="1084" t="str">
        <f t="shared" si="2"/>
        <v/>
      </c>
      <c r="AG8" s="1082" t="str">
        <f t="shared" si="3"/>
        <v/>
      </c>
      <c r="AH8" s="1088"/>
      <c r="AI8" s="1087"/>
      <c r="AJ8" s="1084" t="str">
        <f t="shared" si="4"/>
        <v/>
      </c>
      <c r="AK8" s="1083" t="str">
        <f t="shared" si="5"/>
        <v/>
      </c>
      <c r="AL8" s="210">
        <v>3066561119</v>
      </c>
      <c r="AM8" s="210"/>
      <c r="AN8" s="210"/>
      <c r="AO8" s="210"/>
      <c r="AP8" s="210"/>
      <c r="AQ8" s="210"/>
      <c r="AR8" s="210"/>
      <c r="AS8" s="210"/>
      <c r="AT8" s="210"/>
      <c r="AU8" s="210"/>
      <c r="AV8" s="210"/>
      <c r="AW8" s="210"/>
      <c r="AX8" s="210"/>
      <c r="AY8" s="210"/>
      <c r="AZ8" s="210"/>
      <c r="BA8" s="210"/>
      <c r="BB8" s="210"/>
      <c r="BC8" s="210"/>
      <c r="BD8" s="342">
        <v>0</v>
      </c>
      <c r="BE8" s="82">
        <f>SUM(AL8:BC8)</f>
        <v>3066561119</v>
      </c>
    </row>
    <row r="9" spans="1:59" ht="34.5" hidden="1" customHeight="1" x14ac:dyDescent="0.3">
      <c r="A9" s="80">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6"/>
      <c r="J9" s="162"/>
      <c r="K9" s="332"/>
      <c r="L9" s="162"/>
      <c r="M9" s="332"/>
      <c r="N9" s="162"/>
      <c r="O9" s="332"/>
      <c r="P9" s="162"/>
      <c r="Q9" s="332"/>
      <c r="R9" s="81">
        <f t="shared" si="6"/>
        <v>0</v>
      </c>
      <c r="S9" s="345"/>
      <c r="T9" s="343"/>
      <c r="U9" s="345"/>
      <c r="V9" s="343"/>
      <c r="W9" s="345"/>
      <c r="X9" s="343"/>
      <c r="Y9" s="345"/>
      <c r="Z9" s="343"/>
      <c r="AA9" s="165"/>
      <c r="AB9" s="1004" t="str">
        <f t="shared" si="0"/>
        <v/>
      </c>
      <c r="AC9" s="1082" t="str">
        <f t="shared" si="1"/>
        <v/>
      </c>
      <c r="AD9" s="1074"/>
      <c r="AE9" s="1074"/>
      <c r="AF9" s="1084" t="str">
        <f t="shared" si="2"/>
        <v/>
      </c>
      <c r="AG9" s="1082" t="str">
        <f t="shared" si="3"/>
        <v/>
      </c>
      <c r="AH9" s="1088"/>
      <c r="AI9" s="1087"/>
      <c r="AJ9" s="1084" t="str">
        <f t="shared" si="4"/>
        <v/>
      </c>
      <c r="AK9" s="1083" t="str">
        <f t="shared" si="5"/>
        <v/>
      </c>
      <c r="AL9" s="210">
        <v>13400894</v>
      </c>
      <c r="AM9" s="210"/>
      <c r="AN9" s="210"/>
      <c r="AO9" s="210"/>
      <c r="AP9" s="210"/>
      <c r="AQ9" s="210"/>
      <c r="AR9" s="210"/>
      <c r="AS9" s="210"/>
      <c r="AT9" s="210"/>
      <c r="AU9" s="210"/>
      <c r="AV9" s="210"/>
      <c r="AW9" s="210"/>
      <c r="AX9" s="210"/>
      <c r="AY9" s="210"/>
      <c r="AZ9" s="210"/>
      <c r="BA9" s="210"/>
      <c r="BB9" s="210"/>
      <c r="BC9" s="210"/>
      <c r="BD9" s="342">
        <v>0</v>
      </c>
      <c r="BE9" s="82">
        <f>SUM(AL9:BC9)</f>
        <v>13400894</v>
      </c>
    </row>
    <row r="10" spans="1:59" ht="34.5" hidden="1" customHeight="1" x14ac:dyDescent="0.3">
      <c r="A10" s="80">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7">
        <v>234495075</v>
      </c>
      <c r="G10" s="6">
        <v>40197</v>
      </c>
      <c r="H10" s="6">
        <v>41323</v>
      </c>
      <c r="I10" s="6"/>
      <c r="J10" s="162"/>
      <c r="K10" s="332"/>
      <c r="L10" s="162"/>
      <c r="M10" s="332"/>
      <c r="N10" s="162"/>
      <c r="O10" s="332"/>
      <c r="P10" s="162"/>
      <c r="Q10" s="332"/>
      <c r="R10" s="81">
        <f t="shared" si="6"/>
        <v>0</v>
      </c>
      <c r="S10" s="345"/>
      <c r="T10" s="343"/>
      <c r="U10" s="345"/>
      <c r="V10" s="343"/>
      <c r="W10" s="345"/>
      <c r="X10" s="343"/>
      <c r="Y10" s="345"/>
      <c r="Z10" s="343"/>
      <c r="AA10" s="349"/>
      <c r="AB10" s="1004" t="str">
        <f t="shared" si="0"/>
        <v/>
      </c>
      <c r="AC10" s="1082" t="str">
        <f t="shared" si="1"/>
        <v/>
      </c>
      <c r="AD10" s="1074"/>
      <c r="AE10" s="1074"/>
      <c r="AF10" s="1084" t="str">
        <f t="shared" si="2"/>
        <v/>
      </c>
      <c r="AG10" s="1082" t="str">
        <f t="shared" si="3"/>
        <v/>
      </c>
      <c r="AH10" s="1088"/>
      <c r="AI10" s="1087"/>
      <c r="AJ10" s="1084" t="str">
        <f t="shared" si="4"/>
        <v/>
      </c>
      <c r="AK10" s="1083" t="str">
        <f t="shared" si="5"/>
        <v/>
      </c>
      <c r="AL10" s="210">
        <v>234495075</v>
      </c>
      <c r="AM10" s="210"/>
      <c r="AN10" s="210"/>
      <c r="AO10" s="210"/>
      <c r="AP10" s="210"/>
      <c r="AQ10" s="210"/>
      <c r="AR10" s="210"/>
      <c r="AS10" s="210"/>
      <c r="AT10" s="210"/>
      <c r="AU10" s="210"/>
      <c r="AV10" s="210"/>
      <c r="AW10" s="210"/>
      <c r="AX10" s="210"/>
      <c r="AY10" s="210"/>
      <c r="AZ10" s="210"/>
      <c r="BA10" s="210"/>
      <c r="BB10" s="210"/>
      <c r="BC10" s="210"/>
      <c r="BD10" s="342">
        <v>0</v>
      </c>
      <c r="BE10" s="82">
        <f t="shared" ref="BE10:BE73" si="7">SUM(AL10:BC10)</f>
        <v>234495075</v>
      </c>
    </row>
    <row r="11" spans="1:59" ht="34.5" hidden="1" customHeight="1" x14ac:dyDescent="0.3">
      <c r="A11" s="80">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7">
        <v>507000000</v>
      </c>
      <c r="G11" s="6">
        <v>40150</v>
      </c>
      <c r="H11" s="6">
        <v>41336</v>
      </c>
      <c r="I11" s="6"/>
      <c r="J11" s="162"/>
      <c r="K11" s="332"/>
      <c r="L11" s="162"/>
      <c r="M11" s="332"/>
      <c r="N11" s="162"/>
      <c r="O11" s="332"/>
      <c r="P11" s="162"/>
      <c r="Q11" s="332"/>
      <c r="R11" s="81">
        <f t="shared" si="6"/>
        <v>0</v>
      </c>
      <c r="S11" s="345"/>
      <c r="T11" s="343"/>
      <c r="U11" s="345"/>
      <c r="V11" s="343"/>
      <c r="W11" s="345"/>
      <c r="X11" s="343"/>
      <c r="Y11" s="345"/>
      <c r="Z11" s="343"/>
      <c r="AA11" s="349"/>
      <c r="AB11" s="1004" t="str">
        <f t="shared" si="0"/>
        <v/>
      </c>
      <c r="AC11" s="1082" t="str">
        <f t="shared" si="1"/>
        <v/>
      </c>
      <c r="AD11" s="1074"/>
      <c r="AE11" s="1074"/>
      <c r="AF11" s="1084" t="str">
        <f t="shared" si="2"/>
        <v/>
      </c>
      <c r="AG11" s="1082" t="str">
        <f t="shared" si="3"/>
        <v/>
      </c>
      <c r="AH11" s="1088"/>
      <c r="AI11" s="1087"/>
      <c r="AJ11" s="1084" t="str">
        <f t="shared" si="4"/>
        <v/>
      </c>
      <c r="AK11" s="1083" t="str">
        <f t="shared" si="5"/>
        <v/>
      </c>
      <c r="AL11" s="210">
        <v>471070424</v>
      </c>
      <c r="AM11" s="210"/>
      <c r="AN11" s="210"/>
      <c r="AO11" s="210"/>
      <c r="AP11" s="210"/>
      <c r="AQ11" s="210"/>
      <c r="AR11" s="210"/>
      <c r="AS11" s="210"/>
      <c r="AT11" s="210"/>
      <c r="AU11" s="210"/>
      <c r="AV11" s="210"/>
      <c r="AW11" s="210"/>
      <c r="AX11" s="210"/>
      <c r="AY11" s="210"/>
      <c r="AZ11" s="210"/>
      <c r="BA11" s="210"/>
      <c r="BB11" s="210"/>
      <c r="BC11" s="210"/>
      <c r="BD11" s="342">
        <v>0</v>
      </c>
      <c r="BE11" s="82">
        <f t="shared" si="7"/>
        <v>471070424</v>
      </c>
    </row>
    <row r="12" spans="1:59" ht="34.5" hidden="1" customHeight="1" x14ac:dyDescent="0.3">
      <c r="A12" s="80">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6"/>
      <c r="J12" s="162"/>
      <c r="K12" s="332"/>
      <c r="L12" s="162"/>
      <c r="M12" s="332"/>
      <c r="N12" s="162"/>
      <c r="O12" s="332"/>
      <c r="P12" s="162"/>
      <c r="Q12" s="332"/>
      <c r="R12" s="81">
        <f t="shared" si="6"/>
        <v>0</v>
      </c>
      <c r="S12" s="345"/>
      <c r="T12" s="343"/>
      <c r="U12" s="345"/>
      <c r="V12" s="343"/>
      <c r="W12" s="345"/>
      <c r="X12" s="343"/>
      <c r="Y12" s="345"/>
      <c r="Z12" s="343"/>
      <c r="AA12" s="349"/>
      <c r="AB12" s="1004" t="str">
        <f t="shared" si="0"/>
        <v/>
      </c>
      <c r="AC12" s="1082" t="str">
        <f t="shared" si="1"/>
        <v/>
      </c>
      <c r="AD12" s="1074"/>
      <c r="AE12" s="1074"/>
      <c r="AF12" s="1084" t="str">
        <f t="shared" si="2"/>
        <v/>
      </c>
      <c r="AG12" s="1082" t="str">
        <f t="shared" si="3"/>
        <v/>
      </c>
      <c r="AH12" s="1088"/>
      <c r="AI12" s="1087"/>
      <c r="AJ12" s="1084" t="str">
        <f t="shared" si="4"/>
        <v/>
      </c>
      <c r="AK12" s="1083" t="str">
        <f t="shared" si="5"/>
        <v/>
      </c>
      <c r="AL12" s="210">
        <v>1092200</v>
      </c>
      <c r="AM12" s="210"/>
      <c r="AN12" s="210"/>
      <c r="AO12" s="210"/>
      <c r="AP12" s="210"/>
      <c r="AQ12" s="210"/>
      <c r="AR12" s="210"/>
      <c r="AS12" s="210"/>
      <c r="AT12" s="210"/>
      <c r="AU12" s="210"/>
      <c r="AV12" s="210"/>
      <c r="AW12" s="210"/>
      <c r="AX12" s="210"/>
      <c r="AY12" s="210"/>
      <c r="AZ12" s="210"/>
      <c r="BA12" s="210"/>
      <c r="BB12" s="210"/>
      <c r="BC12" s="210"/>
      <c r="BD12" s="342">
        <v>0</v>
      </c>
      <c r="BE12" s="82">
        <f t="shared" si="7"/>
        <v>1092200</v>
      </c>
    </row>
    <row r="13" spans="1:59" ht="34.5" hidden="1" customHeight="1" x14ac:dyDescent="0.3">
      <c r="A13" s="80">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1">
        <v>1750000</v>
      </c>
      <c r="G13" s="12">
        <v>40822</v>
      </c>
      <c r="H13" s="12">
        <v>41370</v>
      </c>
      <c r="I13" s="12"/>
      <c r="J13" s="162">
        <v>875000</v>
      </c>
      <c r="K13" s="332"/>
      <c r="L13" s="162"/>
      <c r="M13" s="332"/>
      <c r="N13" s="162"/>
      <c r="O13" s="332"/>
      <c r="P13" s="162"/>
      <c r="Q13" s="332"/>
      <c r="R13" s="81">
        <f t="shared" si="6"/>
        <v>875000</v>
      </c>
      <c r="S13" s="345" t="s">
        <v>382</v>
      </c>
      <c r="T13" s="343">
        <v>41370</v>
      </c>
      <c r="U13" s="345"/>
      <c r="V13" s="343"/>
      <c r="W13" s="345"/>
      <c r="X13" s="343"/>
      <c r="Y13" s="345"/>
      <c r="Z13" s="343"/>
      <c r="AA13" s="165" t="s">
        <v>382</v>
      </c>
      <c r="AB13" s="1004">
        <f t="shared" si="0"/>
        <v>41370</v>
      </c>
      <c r="AC13" s="1082" t="str">
        <f t="shared" si="1"/>
        <v/>
      </c>
      <c r="AD13" s="1074"/>
      <c r="AE13" s="1074"/>
      <c r="AF13" s="1084" t="str">
        <f t="shared" si="2"/>
        <v/>
      </c>
      <c r="AG13" s="1082" t="str">
        <f t="shared" si="3"/>
        <v/>
      </c>
      <c r="AH13" s="1088"/>
      <c r="AI13" s="1087"/>
      <c r="AJ13" s="1084" t="str">
        <f t="shared" si="4"/>
        <v/>
      </c>
      <c r="AK13" s="1083" t="str">
        <f t="shared" si="5"/>
        <v/>
      </c>
      <c r="AL13" s="210"/>
      <c r="AM13" s="210"/>
      <c r="AN13" s="210"/>
      <c r="AO13" s="210"/>
      <c r="AP13" s="210"/>
      <c r="AQ13" s="210"/>
      <c r="AR13" s="210"/>
      <c r="AS13" s="210"/>
      <c r="AT13" s="210"/>
      <c r="AU13" s="210"/>
      <c r="AV13" s="210"/>
      <c r="AW13" s="210"/>
      <c r="AX13" s="210"/>
      <c r="AY13" s="210"/>
      <c r="AZ13" s="210"/>
      <c r="BA13" s="210"/>
      <c r="BB13" s="210"/>
      <c r="BC13" s="210"/>
      <c r="BD13" s="342">
        <v>0</v>
      </c>
      <c r="BE13" s="82">
        <f t="shared" si="7"/>
        <v>0</v>
      </c>
    </row>
    <row r="14" spans="1:59" ht="34.5" hidden="1" customHeight="1" x14ac:dyDescent="0.3">
      <c r="A14" s="80">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7">
        <v>497000000</v>
      </c>
      <c r="G14" s="6">
        <v>40746</v>
      </c>
      <c r="H14" s="6">
        <v>41112</v>
      </c>
      <c r="I14" s="6"/>
      <c r="J14" s="162"/>
      <c r="K14" s="332"/>
      <c r="L14" s="162"/>
      <c r="M14" s="332"/>
      <c r="N14" s="162"/>
      <c r="O14" s="332"/>
      <c r="P14" s="162"/>
      <c r="Q14" s="332"/>
      <c r="R14" s="81">
        <f t="shared" si="6"/>
        <v>0</v>
      </c>
      <c r="S14" s="345"/>
      <c r="T14" s="343"/>
      <c r="U14" s="345"/>
      <c r="V14" s="343"/>
      <c r="W14" s="345"/>
      <c r="X14" s="343"/>
      <c r="Y14" s="345"/>
      <c r="Z14" s="343"/>
      <c r="AA14" s="349"/>
      <c r="AB14" s="1004" t="str">
        <f t="shared" si="0"/>
        <v/>
      </c>
      <c r="AC14" s="1082" t="str">
        <f t="shared" si="1"/>
        <v/>
      </c>
      <c r="AD14" s="1074"/>
      <c r="AE14" s="1074"/>
      <c r="AF14" s="1084" t="str">
        <f t="shared" si="2"/>
        <v/>
      </c>
      <c r="AG14" s="1082" t="str">
        <f t="shared" si="3"/>
        <v/>
      </c>
      <c r="AH14" s="1088"/>
      <c r="AI14" s="1087"/>
      <c r="AJ14" s="1084" t="str">
        <f t="shared" si="4"/>
        <v/>
      </c>
      <c r="AK14" s="1083" t="str">
        <f t="shared" si="5"/>
        <v/>
      </c>
      <c r="AL14" s="210">
        <v>495932967</v>
      </c>
      <c r="AM14" s="210"/>
      <c r="AN14" s="210"/>
      <c r="AO14" s="210"/>
      <c r="AP14" s="210"/>
      <c r="AQ14" s="210"/>
      <c r="AR14" s="210"/>
      <c r="AS14" s="210"/>
      <c r="AT14" s="210"/>
      <c r="AU14" s="210"/>
      <c r="AV14" s="210"/>
      <c r="AW14" s="210"/>
      <c r="AX14" s="210"/>
      <c r="AY14" s="210"/>
      <c r="AZ14" s="210"/>
      <c r="BA14" s="210"/>
      <c r="BB14" s="210"/>
      <c r="BC14" s="210"/>
      <c r="BD14" s="342">
        <v>0</v>
      </c>
      <c r="BE14" s="82">
        <f t="shared" si="7"/>
        <v>495932967</v>
      </c>
    </row>
    <row r="15" spans="1:59" ht="34.5" hidden="1" customHeight="1" x14ac:dyDescent="0.3">
      <c r="A15" s="80">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7">
        <v>9425000</v>
      </c>
      <c r="G15" s="6">
        <v>40870</v>
      </c>
      <c r="H15" s="6">
        <v>41356</v>
      </c>
      <c r="I15" s="6"/>
      <c r="J15" s="162"/>
      <c r="K15" s="332"/>
      <c r="L15" s="162"/>
      <c r="M15" s="332"/>
      <c r="N15" s="162"/>
      <c r="O15" s="332"/>
      <c r="P15" s="162"/>
      <c r="Q15" s="332"/>
      <c r="R15" s="81">
        <f t="shared" si="6"/>
        <v>0</v>
      </c>
      <c r="S15" s="345" t="s">
        <v>380</v>
      </c>
      <c r="T15" s="343">
        <v>41356</v>
      </c>
      <c r="U15" s="345"/>
      <c r="V15" s="343"/>
      <c r="W15" s="345"/>
      <c r="X15" s="343"/>
      <c r="Y15" s="345"/>
      <c r="Z15" s="343"/>
      <c r="AA15" s="349" t="s">
        <v>380</v>
      </c>
      <c r="AB15" s="1004">
        <f t="shared" si="0"/>
        <v>41356</v>
      </c>
      <c r="AC15" s="1082" t="str">
        <f t="shared" si="1"/>
        <v/>
      </c>
      <c r="AD15" s="1074"/>
      <c r="AE15" s="1074"/>
      <c r="AF15" s="1084" t="str">
        <f t="shared" si="2"/>
        <v/>
      </c>
      <c r="AG15" s="1082" t="str">
        <f t="shared" si="3"/>
        <v/>
      </c>
      <c r="AH15" s="1088"/>
      <c r="AI15" s="1087"/>
      <c r="AJ15" s="1084" t="str">
        <f t="shared" si="4"/>
        <v/>
      </c>
      <c r="AK15" s="1083" t="str">
        <f t="shared" si="5"/>
        <v/>
      </c>
      <c r="AL15" s="210">
        <v>9425000</v>
      </c>
      <c r="AM15" s="210"/>
      <c r="AN15" s="210"/>
      <c r="AO15" s="210"/>
      <c r="AP15" s="210"/>
      <c r="AQ15" s="210"/>
      <c r="AR15" s="210"/>
      <c r="AS15" s="210"/>
      <c r="AT15" s="210"/>
      <c r="AU15" s="210"/>
      <c r="AV15" s="210"/>
      <c r="AW15" s="210"/>
      <c r="AX15" s="210"/>
      <c r="AY15" s="210"/>
      <c r="AZ15" s="210"/>
      <c r="BA15" s="210"/>
      <c r="BB15" s="210"/>
      <c r="BC15" s="210"/>
      <c r="BD15" s="342">
        <v>0</v>
      </c>
      <c r="BE15" s="82">
        <f t="shared" si="7"/>
        <v>9425000</v>
      </c>
    </row>
    <row r="16" spans="1:59" ht="34.5" hidden="1" customHeight="1" x14ac:dyDescent="0.3">
      <c r="A16" s="80">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1">
        <v>15000000</v>
      </c>
      <c r="G16" s="10">
        <v>40863</v>
      </c>
      <c r="H16" s="10">
        <v>41364</v>
      </c>
      <c r="I16" s="10"/>
      <c r="J16" s="162">
        <v>7930000</v>
      </c>
      <c r="K16" s="332"/>
      <c r="L16" s="162"/>
      <c r="M16" s="332"/>
      <c r="N16" s="162"/>
      <c r="O16" s="332"/>
      <c r="P16" s="162"/>
      <c r="Q16" s="332"/>
      <c r="R16" s="81">
        <f t="shared" si="6"/>
        <v>7930000</v>
      </c>
      <c r="S16" s="345"/>
      <c r="T16" s="343"/>
      <c r="U16" s="345"/>
      <c r="V16" s="343"/>
      <c r="W16" s="345"/>
      <c r="X16" s="343"/>
      <c r="Y16" s="345"/>
      <c r="Z16" s="343"/>
      <c r="AA16" s="350"/>
      <c r="AB16" s="1004" t="str">
        <f t="shared" si="0"/>
        <v/>
      </c>
      <c r="AC16" s="1082" t="str">
        <f t="shared" si="1"/>
        <v/>
      </c>
      <c r="AD16" s="1074"/>
      <c r="AE16" s="1074"/>
      <c r="AF16" s="1084" t="str">
        <f t="shared" si="2"/>
        <v/>
      </c>
      <c r="AG16" s="1082" t="str">
        <f t="shared" si="3"/>
        <v/>
      </c>
      <c r="AH16" s="1088"/>
      <c r="AI16" s="1087"/>
      <c r="AJ16" s="1084" t="str">
        <f t="shared" si="4"/>
        <v/>
      </c>
      <c r="AK16" s="1083" t="str">
        <f t="shared" si="5"/>
        <v/>
      </c>
      <c r="AL16" s="210">
        <v>18432731</v>
      </c>
      <c r="AM16" s="210"/>
      <c r="AN16" s="210"/>
      <c r="AO16" s="210"/>
      <c r="AP16" s="210"/>
      <c r="AQ16" s="210"/>
      <c r="AR16" s="210"/>
      <c r="AS16" s="210"/>
      <c r="AT16" s="210"/>
      <c r="AU16" s="210"/>
      <c r="AV16" s="210"/>
      <c r="AW16" s="210"/>
      <c r="AX16" s="210"/>
      <c r="AY16" s="210"/>
      <c r="AZ16" s="210"/>
      <c r="BA16" s="210"/>
      <c r="BB16" s="210"/>
      <c r="BC16" s="210"/>
      <c r="BD16" s="342">
        <v>0</v>
      </c>
      <c r="BE16" s="82">
        <f t="shared" si="7"/>
        <v>18432731</v>
      </c>
    </row>
    <row r="17" spans="1:59" ht="34.5" hidden="1" customHeight="1" x14ac:dyDescent="0.3">
      <c r="A17" s="80">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4"/>
      <c r="J17" s="162">
        <v>4981040</v>
      </c>
      <c r="K17" s="332">
        <v>41239</v>
      </c>
      <c r="L17" s="162"/>
      <c r="M17" s="332"/>
      <c r="N17" s="162"/>
      <c r="O17" s="332"/>
      <c r="P17" s="162"/>
      <c r="Q17" s="332"/>
      <c r="R17" s="81">
        <f t="shared" si="6"/>
        <v>4981040</v>
      </c>
      <c r="S17" s="345" t="s">
        <v>380</v>
      </c>
      <c r="T17" s="343">
        <v>41362</v>
      </c>
      <c r="U17" s="345"/>
      <c r="V17" s="343"/>
      <c r="W17" s="345"/>
      <c r="X17" s="343"/>
      <c r="Y17" s="345"/>
      <c r="Z17" s="343"/>
      <c r="AA17" s="165"/>
      <c r="AB17" s="1004">
        <f t="shared" si="0"/>
        <v>41362</v>
      </c>
      <c r="AC17" s="1082" t="str">
        <f t="shared" si="1"/>
        <v/>
      </c>
      <c r="AD17" s="1074"/>
      <c r="AE17" s="1074"/>
      <c r="AF17" s="1084" t="str">
        <f t="shared" si="2"/>
        <v/>
      </c>
      <c r="AG17" s="1082" t="str">
        <f t="shared" si="3"/>
        <v/>
      </c>
      <c r="AH17" s="1088"/>
      <c r="AI17" s="1087"/>
      <c r="AJ17" s="1084" t="str">
        <f t="shared" si="4"/>
        <v/>
      </c>
      <c r="AK17" s="1083" t="str">
        <f t="shared" si="5"/>
        <v/>
      </c>
      <c r="AL17" s="210">
        <v>20044800</v>
      </c>
      <c r="AM17" s="210"/>
      <c r="AN17" s="210"/>
      <c r="AO17" s="210"/>
      <c r="AP17" s="210"/>
      <c r="AQ17" s="210"/>
      <c r="AR17" s="210"/>
      <c r="AS17" s="210"/>
      <c r="AT17" s="210"/>
      <c r="AU17" s="210"/>
      <c r="AV17" s="210"/>
      <c r="AW17" s="210"/>
      <c r="AX17" s="210"/>
      <c r="AY17" s="210"/>
      <c r="AZ17" s="210"/>
      <c r="BA17" s="210"/>
      <c r="BB17" s="210"/>
      <c r="BC17" s="210"/>
      <c r="BD17" s="342">
        <v>0</v>
      </c>
      <c r="BE17" s="82">
        <f t="shared" si="7"/>
        <v>20044800</v>
      </c>
    </row>
    <row r="18" spans="1:59" ht="34.5" hidden="1" customHeight="1" x14ac:dyDescent="0.3">
      <c r="A18" s="80">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1">
        <v>8506800</v>
      </c>
      <c r="G18" s="12">
        <v>40865</v>
      </c>
      <c r="H18" s="12">
        <v>41323</v>
      </c>
      <c r="I18" s="12"/>
      <c r="J18" s="162">
        <v>1470000</v>
      </c>
      <c r="K18" s="332">
        <v>41228</v>
      </c>
      <c r="L18" s="162"/>
      <c r="M18" s="332"/>
      <c r="N18" s="162"/>
      <c r="O18" s="332"/>
      <c r="P18" s="162"/>
      <c r="Q18" s="332"/>
      <c r="R18" s="81">
        <f t="shared" si="6"/>
        <v>1470000</v>
      </c>
      <c r="S18" s="345" t="s">
        <v>379</v>
      </c>
      <c r="T18" s="343">
        <v>41323</v>
      </c>
      <c r="U18" s="345"/>
      <c r="V18" s="343"/>
      <c r="W18" s="345"/>
      <c r="X18" s="343"/>
      <c r="Y18" s="345"/>
      <c r="Z18" s="343"/>
      <c r="AA18" s="165"/>
      <c r="AB18" s="1004">
        <f t="shared" si="0"/>
        <v>41323</v>
      </c>
      <c r="AC18" s="1082" t="str">
        <f t="shared" si="1"/>
        <v/>
      </c>
      <c r="AD18" s="1074"/>
      <c r="AE18" s="1074"/>
      <c r="AF18" s="1084" t="str">
        <f t="shared" si="2"/>
        <v/>
      </c>
      <c r="AG18" s="1082" t="str">
        <f t="shared" si="3"/>
        <v/>
      </c>
      <c r="AH18" s="1088"/>
      <c r="AI18" s="1087"/>
      <c r="AJ18" s="1084" t="str">
        <f t="shared" si="4"/>
        <v/>
      </c>
      <c r="AK18" s="1083" t="str">
        <f t="shared" si="5"/>
        <v/>
      </c>
      <c r="AL18" s="210">
        <v>9976596</v>
      </c>
      <c r="AM18" s="210"/>
      <c r="AN18" s="210"/>
      <c r="AO18" s="210"/>
      <c r="AP18" s="210"/>
      <c r="AQ18" s="210"/>
      <c r="AR18" s="210"/>
      <c r="AS18" s="210"/>
      <c r="AT18" s="210"/>
      <c r="AU18" s="210"/>
      <c r="AV18" s="210"/>
      <c r="AW18" s="210"/>
      <c r="AX18" s="210"/>
      <c r="AY18" s="210"/>
      <c r="AZ18" s="210"/>
      <c r="BA18" s="210"/>
      <c r="BB18" s="210"/>
      <c r="BC18" s="210"/>
      <c r="BD18" s="342">
        <v>0</v>
      </c>
      <c r="BE18" s="82">
        <f t="shared" si="7"/>
        <v>9976596</v>
      </c>
    </row>
    <row r="19" spans="1:59" ht="34.5" hidden="1" customHeight="1" x14ac:dyDescent="0.3">
      <c r="A19" s="80">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6"/>
      <c r="J19" s="162"/>
      <c r="K19" s="332"/>
      <c r="L19" s="162"/>
      <c r="M19" s="332"/>
      <c r="N19" s="162"/>
      <c r="O19" s="332"/>
      <c r="P19" s="162"/>
      <c r="Q19" s="332"/>
      <c r="R19" s="81">
        <f t="shared" si="6"/>
        <v>0</v>
      </c>
      <c r="S19" s="345"/>
      <c r="T19" s="343"/>
      <c r="U19" s="345"/>
      <c r="V19" s="343"/>
      <c r="W19" s="345"/>
      <c r="X19" s="343"/>
      <c r="Y19" s="345"/>
      <c r="Z19" s="343"/>
      <c r="AA19" s="349"/>
      <c r="AB19" s="1004" t="str">
        <f t="shared" si="0"/>
        <v/>
      </c>
      <c r="AC19" s="1082" t="str">
        <f t="shared" si="1"/>
        <v/>
      </c>
      <c r="AD19" s="1074"/>
      <c r="AE19" s="1074"/>
      <c r="AF19" s="1084" t="str">
        <f t="shared" si="2"/>
        <v/>
      </c>
      <c r="AG19" s="1082" t="str">
        <f t="shared" si="3"/>
        <v/>
      </c>
      <c r="AH19" s="1088"/>
      <c r="AI19" s="1087"/>
      <c r="AJ19" s="1084" t="str">
        <f t="shared" si="4"/>
        <v/>
      </c>
      <c r="AK19" s="1083" t="str">
        <f t="shared" si="5"/>
        <v/>
      </c>
      <c r="AL19" s="210">
        <v>1306508</v>
      </c>
      <c r="AM19" s="210"/>
      <c r="AN19" s="210"/>
      <c r="AO19" s="210"/>
      <c r="AP19" s="210"/>
      <c r="AQ19" s="210"/>
      <c r="AR19" s="210"/>
      <c r="AS19" s="210"/>
      <c r="AT19" s="210"/>
      <c r="AU19" s="210"/>
      <c r="AV19" s="210"/>
      <c r="AW19" s="210"/>
      <c r="AX19" s="210"/>
      <c r="AY19" s="210"/>
      <c r="AZ19" s="210"/>
      <c r="BA19" s="210"/>
      <c r="BB19" s="210"/>
      <c r="BC19" s="210"/>
      <c r="BD19" s="342">
        <v>0</v>
      </c>
      <c r="BE19" s="82">
        <f t="shared" si="7"/>
        <v>1306508</v>
      </c>
    </row>
    <row r="20" spans="1:59" ht="34.5" hidden="1" customHeight="1" x14ac:dyDescent="0.3">
      <c r="A20" s="80">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1">
        <v>102786079</v>
      </c>
      <c r="G20" s="12">
        <v>40897</v>
      </c>
      <c r="H20" s="12">
        <v>41110</v>
      </c>
      <c r="I20" s="12"/>
      <c r="J20" s="162"/>
      <c r="K20" s="332"/>
      <c r="L20" s="162"/>
      <c r="M20" s="332"/>
      <c r="N20" s="162"/>
      <c r="O20" s="332"/>
      <c r="P20" s="162"/>
      <c r="Q20" s="332"/>
      <c r="R20" s="81">
        <f t="shared" si="6"/>
        <v>0</v>
      </c>
      <c r="S20" s="345" t="s">
        <v>1533</v>
      </c>
      <c r="T20" s="343">
        <v>41243</v>
      </c>
      <c r="U20" s="345"/>
      <c r="V20" s="343"/>
      <c r="W20" s="345"/>
      <c r="X20" s="343"/>
      <c r="Y20" s="345"/>
      <c r="Z20" s="343"/>
      <c r="AA20" s="165" t="s">
        <v>1533</v>
      </c>
      <c r="AB20" s="1004">
        <f t="shared" si="0"/>
        <v>41243</v>
      </c>
      <c r="AC20" s="1082" t="str">
        <f t="shared" si="1"/>
        <v/>
      </c>
      <c r="AD20" s="1074"/>
      <c r="AE20" s="1074"/>
      <c r="AF20" s="1084" t="str">
        <f t="shared" si="2"/>
        <v/>
      </c>
      <c r="AG20" s="1082" t="str">
        <f t="shared" si="3"/>
        <v/>
      </c>
      <c r="AH20" s="1088"/>
      <c r="AI20" s="1087"/>
      <c r="AJ20" s="1084" t="str">
        <f t="shared" si="4"/>
        <v/>
      </c>
      <c r="AK20" s="1083" t="str">
        <f t="shared" si="5"/>
        <v/>
      </c>
      <c r="AL20" s="210">
        <v>20163045</v>
      </c>
      <c r="AM20" s="210">
        <v>7922244</v>
      </c>
      <c r="AN20" s="210">
        <v>3457160</v>
      </c>
      <c r="AO20" s="210">
        <v>4795816</v>
      </c>
      <c r="AP20" s="210">
        <v>5037116</v>
      </c>
      <c r="AQ20" s="210">
        <v>9132552</v>
      </c>
      <c r="AR20" s="210">
        <v>33358440</v>
      </c>
      <c r="AS20" s="388">
        <v>180000</v>
      </c>
      <c r="AT20" s="210"/>
      <c r="AU20" s="210"/>
      <c r="AV20" s="210"/>
      <c r="AW20" s="210"/>
      <c r="AX20" s="210"/>
      <c r="AY20" s="210"/>
      <c r="AZ20" s="210"/>
      <c r="BA20" s="210"/>
      <c r="BB20" s="210"/>
      <c r="BC20" s="210"/>
      <c r="BD20" s="342">
        <v>41227</v>
      </c>
      <c r="BE20" s="82">
        <f t="shared" si="7"/>
        <v>84046373</v>
      </c>
      <c r="BG20" s="1">
        <v>84046373</v>
      </c>
    </row>
    <row r="21" spans="1:59" ht="34.5" hidden="1" customHeight="1" x14ac:dyDescent="0.3">
      <c r="A21" s="80">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6"/>
      <c r="J21" s="162"/>
      <c r="K21" s="332"/>
      <c r="L21" s="162"/>
      <c r="M21" s="332"/>
      <c r="N21" s="162"/>
      <c r="O21" s="332"/>
      <c r="P21" s="162"/>
      <c r="Q21" s="332"/>
      <c r="R21" s="81">
        <f t="shared" si="6"/>
        <v>0</v>
      </c>
      <c r="S21" s="345"/>
      <c r="T21" s="343"/>
      <c r="U21" s="345"/>
      <c r="V21" s="343"/>
      <c r="W21" s="345"/>
      <c r="X21" s="343"/>
      <c r="Y21" s="345"/>
      <c r="Z21" s="343"/>
      <c r="AA21" s="349"/>
      <c r="AB21" s="1004" t="str">
        <f t="shared" si="0"/>
        <v/>
      </c>
      <c r="AC21" s="1082" t="str">
        <f t="shared" si="1"/>
        <v/>
      </c>
      <c r="AD21" s="1074"/>
      <c r="AE21" s="1074"/>
      <c r="AF21" s="1084" t="str">
        <f t="shared" si="2"/>
        <v/>
      </c>
      <c r="AG21" s="1082" t="str">
        <f t="shared" si="3"/>
        <v/>
      </c>
      <c r="AH21" s="1088"/>
      <c r="AI21" s="1087"/>
      <c r="AJ21" s="1084" t="str">
        <f t="shared" si="4"/>
        <v/>
      </c>
      <c r="AK21" s="1083" t="str">
        <f t="shared" si="5"/>
        <v/>
      </c>
      <c r="AL21" s="210">
        <v>34563390</v>
      </c>
      <c r="AM21" s="210">
        <v>14812882</v>
      </c>
      <c r="AN21" s="210"/>
      <c r="AO21" s="210"/>
      <c r="AP21" s="210"/>
      <c r="AQ21" s="210"/>
      <c r="AR21" s="210"/>
      <c r="AS21" s="210"/>
      <c r="AT21" s="210"/>
      <c r="AU21" s="210"/>
      <c r="AV21" s="210"/>
      <c r="AW21" s="210"/>
      <c r="AX21" s="210"/>
      <c r="AY21" s="210"/>
      <c r="AZ21" s="210"/>
      <c r="BA21" s="210"/>
      <c r="BB21" s="210"/>
      <c r="BC21" s="210"/>
      <c r="BD21" s="342">
        <v>41520</v>
      </c>
      <c r="BE21" s="82">
        <f t="shared" si="7"/>
        <v>49376272</v>
      </c>
    </row>
    <row r="22" spans="1:59" ht="34.5" hidden="1" customHeight="1" x14ac:dyDescent="0.3">
      <c r="A22" s="80">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6"/>
      <c r="J22" s="162"/>
      <c r="K22" s="332"/>
      <c r="L22" s="162"/>
      <c r="M22" s="332"/>
      <c r="N22" s="162"/>
      <c r="O22" s="332"/>
      <c r="P22" s="162"/>
      <c r="Q22" s="332"/>
      <c r="R22" s="81">
        <f t="shared" si="6"/>
        <v>0</v>
      </c>
      <c r="S22" s="345" t="s">
        <v>378</v>
      </c>
      <c r="T22" s="343">
        <v>41513</v>
      </c>
      <c r="U22" s="345"/>
      <c r="V22" s="343"/>
      <c r="W22" s="345"/>
      <c r="X22" s="343"/>
      <c r="Y22" s="345"/>
      <c r="Z22" s="343"/>
      <c r="AA22" s="165" t="s">
        <v>378</v>
      </c>
      <c r="AB22" s="1004">
        <f t="shared" si="0"/>
        <v>41513</v>
      </c>
      <c r="AC22" s="1082" t="str">
        <f t="shared" si="1"/>
        <v/>
      </c>
      <c r="AD22" s="1074"/>
      <c r="AE22" s="1074"/>
      <c r="AF22" s="1084" t="str">
        <f t="shared" si="2"/>
        <v/>
      </c>
      <c r="AG22" s="1082" t="str">
        <f t="shared" si="3"/>
        <v/>
      </c>
      <c r="AH22" s="1088"/>
      <c r="AI22" s="1087"/>
      <c r="AJ22" s="1084" t="str">
        <f t="shared" si="4"/>
        <v/>
      </c>
      <c r="AK22" s="1083" t="str">
        <f t="shared" si="5"/>
        <v/>
      </c>
      <c r="AL22" s="210">
        <v>10730000</v>
      </c>
      <c r="AM22" s="210">
        <v>2900000</v>
      </c>
      <c r="AN22" s="210">
        <v>2900000</v>
      </c>
      <c r="AO22" s="210">
        <v>2900000</v>
      </c>
      <c r="AP22" s="210">
        <v>2900000</v>
      </c>
      <c r="AQ22" s="210">
        <v>34104000</v>
      </c>
      <c r="AR22" s="210">
        <v>2900000</v>
      </c>
      <c r="AS22" s="210">
        <v>2900000</v>
      </c>
      <c r="AT22" s="210">
        <v>2900000</v>
      </c>
      <c r="AU22" s="210">
        <v>2900000</v>
      </c>
      <c r="AV22" s="210">
        <v>2900000</v>
      </c>
      <c r="AW22" s="210">
        <v>2900000</v>
      </c>
      <c r="AX22" s="210">
        <v>2900000</v>
      </c>
      <c r="AY22" s="210">
        <v>2900000</v>
      </c>
      <c r="AZ22" s="210"/>
      <c r="BA22" s="210"/>
      <c r="BB22" s="210"/>
      <c r="BC22" s="210"/>
      <c r="BD22" s="342">
        <v>0</v>
      </c>
      <c r="BE22" s="82">
        <f t="shared" si="7"/>
        <v>79634000</v>
      </c>
    </row>
    <row r="23" spans="1:59" ht="34.5" hidden="1" customHeight="1" x14ac:dyDescent="0.3">
      <c r="A23" s="80">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4"/>
      <c r="J23" s="162"/>
      <c r="K23" s="332"/>
      <c r="L23" s="162"/>
      <c r="M23" s="332"/>
      <c r="N23" s="162"/>
      <c r="O23" s="332"/>
      <c r="P23" s="162"/>
      <c r="Q23" s="332"/>
      <c r="R23" s="81">
        <f t="shared" si="6"/>
        <v>0</v>
      </c>
      <c r="S23" s="345"/>
      <c r="T23" s="343"/>
      <c r="U23" s="345"/>
      <c r="V23" s="343"/>
      <c r="W23" s="345"/>
      <c r="X23" s="343"/>
      <c r="Y23" s="345"/>
      <c r="Z23" s="343"/>
      <c r="AA23" s="165"/>
      <c r="AB23" s="1004" t="str">
        <f t="shared" si="0"/>
        <v/>
      </c>
      <c r="AC23" s="1082" t="str">
        <f t="shared" si="1"/>
        <v/>
      </c>
      <c r="AD23" s="1074"/>
      <c r="AE23" s="1074"/>
      <c r="AF23" s="1084" t="str">
        <f t="shared" si="2"/>
        <v/>
      </c>
      <c r="AG23" s="1082" t="str">
        <f t="shared" si="3"/>
        <v/>
      </c>
      <c r="AH23" s="1088"/>
      <c r="AI23" s="1087"/>
      <c r="AJ23" s="1084" t="str">
        <f t="shared" si="4"/>
        <v/>
      </c>
      <c r="AK23" s="1083" t="str">
        <f t="shared" si="5"/>
        <v/>
      </c>
      <c r="AL23" s="210"/>
      <c r="AM23" s="210"/>
      <c r="AN23" s="210"/>
      <c r="AO23" s="210"/>
      <c r="AP23" s="210"/>
      <c r="AQ23" s="210"/>
      <c r="AR23" s="210"/>
      <c r="AS23" s="210"/>
      <c r="AT23" s="210"/>
      <c r="AU23" s="210"/>
      <c r="AV23" s="210"/>
      <c r="AW23" s="210"/>
      <c r="AX23" s="210"/>
      <c r="AY23" s="210"/>
      <c r="AZ23" s="210"/>
      <c r="BA23" s="210"/>
      <c r="BB23" s="210"/>
      <c r="BC23" s="210"/>
      <c r="BD23" s="342">
        <v>0</v>
      </c>
      <c r="BE23" s="82">
        <f t="shared" si="7"/>
        <v>0</v>
      </c>
    </row>
    <row r="24" spans="1:59" ht="34.5" hidden="1" customHeight="1" x14ac:dyDescent="0.3">
      <c r="A24" s="80">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7">
        <v>726335435</v>
      </c>
      <c r="G24" s="6">
        <v>41206</v>
      </c>
      <c r="H24" s="6">
        <v>41609</v>
      </c>
      <c r="I24" s="6"/>
      <c r="J24" s="162"/>
      <c r="K24" s="332"/>
      <c r="L24" s="162"/>
      <c r="M24" s="332"/>
      <c r="N24" s="162"/>
      <c r="O24" s="332"/>
      <c r="P24" s="162"/>
      <c r="Q24" s="332"/>
      <c r="R24" s="81">
        <f t="shared" si="6"/>
        <v>0</v>
      </c>
      <c r="S24" s="345"/>
      <c r="T24" s="343"/>
      <c r="U24" s="345"/>
      <c r="V24" s="343"/>
      <c r="W24" s="345"/>
      <c r="X24" s="343"/>
      <c r="Y24" s="345"/>
      <c r="Z24" s="343"/>
      <c r="AA24" s="165"/>
      <c r="AB24" s="1004" t="str">
        <f t="shared" si="0"/>
        <v/>
      </c>
      <c r="AC24" s="1082" t="str">
        <f t="shared" si="1"/>
        <v/>
      </c>
      <c r="AD24" s="1074"/>
      <c r="AE24" s="1074"/>
      <c r="AF24" s="1084" t="str">
        <f t="shared" si="2"/>
        <v/>
      </c>
      <c r="AG24" s="1082" t="str">
        <f t="shared" si="3"/>
        <v/>
      </c>
      <c r="AH24" s="1088"/>
      <c r="AI24" s="1087"/>
      <c r="AJ24" s="1084" t="str">
        <f t="shared" si="4"/>
        <v/>
      </c>
      <c r="AK24" s="1083" t="str">
        <f t="shared" si="5"/>
        <v/>
      </c>
      <c r="AL24" s="210">
        <v>38873613</v>
      </c>
      <c r="AM24" s="210">
        <v>37780170</v>
      </c>
      <c r="AN24" s="210">
        <v>226381204</v>
      </c>
      <c r="AO24" s="210">
        <v>43503937</v>
      </c>
      <c r="AP24" s="210">
        <v>96751874</v>
      </c>
      <c r="AQ24" s="210">
        <v>44895937</v>
      </c>
      <c r="AR24" s="210">
        <v>89791874</v>
      </c>
      <c r="AS24" s="210"/>
      <c r="AT24" s="210"/>
      <c r="AU24" s="210"/>
      <c r="AV24" s="210"/>
      <c r="AW24" s="210"/>
      <c r="AX24" s="210"/>
      <c r="AY24" s="210"/>
      <c r="AZ24" s="210"/>
      <c r="BA24" s="210"/>
      <c r="BB24" s="210"/>
      <c r="BC24" s="210"/>
      <c r="BD24" s="342">
        <v>41627</v>
      </c>
      <c r="BE24" s="82">
        <f t="shared" si="7"/>
        <v>577978609</v>
      </c>
    </row>
    <row r="25" spans="1:59" ht="34.5" hidden="1" customHeight="1" x14ac:dyDescent="0.3">
      <c r="A25" s="80">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4"/>
      <c r="J25" s="162">
        <v>2436000</v>
      </c>
      <c r="K25" s="332">
        <v>41394</v>
      </c>
      <c r="L25" s="162">
        <v>18159786</v>
      </c>
      <c r="M25" s="332">
        <v>41451</v>
      </c>
      <c r="N25" s="162">
        <v>1780371</v>
      </c>
      <c r="O25" s="332">
        <v>41607</v>
      </c>
      <c r="P25" s="162"/>
      <c r="Q25" s="332"/>
      <c r="R25" s="81">
        <f t="shared" si="6"/>
        <v>22376157</v>
      </c>
      <c r="S25" s="345" t="s">
        <v>544</v>
      </c>
      <c r="T25" s="343">
        <v>41608</v>
      </c>
      <c r="U25" s="345" t="s">
        <v>962</v>
      </c>
      <c r="V25" s="343">
        <v>41623</v>
      </c>
      <c r="W25" s="345"/>
      <c r="X25" s="343"/>
      <c r="Y25" s="345"/>
      <c r="Z25" s="343"/>
      <c r="AA25" s="165" t="s">
        <v>1560</v>
      </c>
      <c r="AB25" s="1004">
        <f t="shared" si="0"/>
        <v>41623</v>
      </c>
      <c r="AC25" s="1082" t="str">
        <f t="shared" si="1"/>
        <v/>
      </c>
      <c r="AD25" s="1074"/>
      <c r="AE25" s="1074"/>
      <c r="AF25" s="1084" t="str">
        <f t="shared" si="2"/>
        <v/>
      </c>
      <c r="AG25" s="1082" t="str">
        <f t="shared" si="3"/>
        <v/>
      </c>
      <c r="AH25" s="1088"/>
      <c r="AI25" s="1087"/>
      <c r="AJ25" s="1084" t="str">
        <f t="shared" si="4"/>
        <v/>
      </c>
      <c r="AK25" s="1083" t="str">
        <f t="shared" si="5"/>
        <v/>
      </c>
      <c r="AL25" s="210">
        <v>71096157</v>
      </c>
      <c r="AM25" s="210"/>
      <c r="AN25" s="210"/>
      <c r="AO25" s="210"/>
      <c r="AP25" s="210"/>
      <c r="AQ25" s="210"/>
      <c r="AR25" s="210"/>
      <c r="AS25" s="210"/>
      <c r="AT25" s="210"/>
      <c r="AU25" s="210"/>
      <c r="AV25" s="210"/>
      <c r="AW25" s="210"/>
      <c r="AX25" s="210"/>
      <c r="AY25" s="210"/>
      <c r="AZ25" s="210"/>
      <c r="BA25" s="210"/>
      <c r="BB25" s="210"/>
      <c r="BC25" s="210"/>
      <c r="BD25" s="342">
        <v>0</v>
      </c>
      <c r="BE25" s="82">
        <f t="shared" si="7"/>
        <v>71096157</v>
      </c>
    </row>
    <row r="26" spans="1:59" ht="34.5" hidden="1" customHeight="1" x14ac:dyDescent="0.3">
      <c r="A26" s="80">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1">
        <v>11587500</v>
      </c>
      <c r="G26" s="10">
        <v>41074</v>
      </c>
      <c r="H26" s="10">
        <v>41347</v>
      </c>
      <c r="I26" s="10"/>
      <c r="J26" s="162"/>
      <c r="K26" s="332"/>
      <c r="L26" s="162"/>
      <c r="M26" s="332"/>
      <c r="N26" s="162"/>
      <c r="O26" s="332"/>
      <c r="P26" s="162"/>
      <c r="Q26" s="332"/>
      <c r="R26" s="81">
        <f t="shared" si="6"/>
        <v>0</v>
      </c>
      <c r="S26" s="345"/>
      <c r="T26" s="343"/>
      <c r="U26" s="345"/>
      <c r="V26" s="343"/>
      <c r="W26" s="345"/>
      <c r="X26" s="343"/>
      <c r="Y26" s="345"/>
      <c r="Z26" s="343"/>
      <c r="AA26" s="165"/>
      <c r="AB26" s="1004" t="str">
        <f t="shared" si="0"/>
        <v/>
      </c>
      <c r="AC26" s="1082" t="str">
        <f t="shared" si="1"/>
        <v/>
      </c>
      <c r="AD26" s="1074"/>
      <c r="AE26" s="1074"/>
      <c r="AF26" s="1084" t="str">
        <f t="shared" si="2"/>
        <v/>
      </c>
      <c r="AG26" s="1082" t="str">
        <f t="shared" si="3"/>
        <v/>
      </c>
      <c r="AH26" s="1088"/>
      <c r="AI26" s="1087"/>
      <c r="AJ26" s="1084" t="str">
        <f t="shared" si="4"/>
        <v/>
      </c>
      <c r="AK26" s="1083" t="str">
        <f t="shared" si="5"/>
        <v/>
      </c>
      <c r="AL26" s="210">
        <v>1146312</v>
      </c>
      <c r="AM26" s="210">
        <v>1146312</v>
      </c>
      <c r="AN26" s="210">
        <v>1146312</v>
      </c>
      <c r="AO26" s="210">
        <v>1146312</v>
      </c>
      <c r="AP26" s="210">
        <v>1146312</v>
      </c>
      <c r="AQ26" s="210">
        <v>1146312</v>
      </c>
      <c r="AR26" s="210">
        <v>1146312</v>
      </c>
      <c r="AS26" s="210">
        <v>1146312</v>
      </c>
      <c r="AT26" s="210">
        <v>1146312</v>
      </c>
      <c r="AU26" s="210"/>
      <c r="AV26" s="210"/>
      <c r="AW26" s="210"/>
      <c r="AX26" s="210"/>
      <c r="AY26" s="210"/>
      <c r="AZ26" s="210"/>
      <c r="BA26" s="210"/>
      <c r="BB26" s="210"/>
      <c r="BC26" s="210"/>
      <c r="BD26" s="342">
        <v>0</v>
      </c>
      <c r="BE26" s="82">
        <f t="shared" si="7"/>
        <v>10316808</v>
      </c>
    </row>
    <row r="27" spans="1:59" ht="34.5" hidden="1" customHeight="1" x14ac:dyDescent="0.3">
      <c r="A27" s="80">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6"/>
      <c r="J27" s="162"/>
      <c r="K27" s="332"/>
      <c r="L27" s="162"/>
      <c r="M27" s="332"/>
      <c r="N27" s="162"/>
      <c r="O27" s="332"/>
      <c r="P27" s="162"/>
      <c r="Q27" s="332"/>
      <c r="R27" s="81">
        <f t="shared" si="6"/>
        <v>0</v>
      </c>
      <c r="S27" s="345"/>
      <c r="T27" s="343"/>
      <c r="U27" s="345"/>
      <c r="V27" s="343"/>
      <c r="W27" s="345"/>
      <c r="X27" s="343"/>
      <c r="Y27" s="345"/>
      <c r="Z27" s="343"/>
      <c r="AA27" s="165"/>
      <c r="AB27" s="1004" t="str">
        <f t="shared" si="0"/>
        <v/>
      </c>
      <c r="AC27" s="1082" t="str">
        <f t="shared" si="1"/>
        <v/>
      </c>
      <c r="AD27" s="1074"/>
      <c r="AE27" s="1074"/>
      <c r="AF27" s="1084" t="str">
        <f t="shared" si="2"/>
        <v/>
      </c>
      <c r="AG27" s="1082" t="str">
        <f t="shared" si="3"/>
        <v/>
      </c>
      <c r="AH27" s="1088"/>
      <c r="AI27" s="1087"/>
      <c r="AJ27" s="1084" t="str">
        <f t="shared" si="4"/>
        <v/>
      </c>
      <c r="AK27" s="1083" t="str">
        <f t="shared" si="5"/>
        <v/>
      </c>
      <c r="AL27" s="210">
        <v>4452000</v>
      </c>
      <c r="AM27" s="210"/>
      <c r="AN27" s="210"/>
      <c r="AO27" s="210"/>
      <c r="AP27" s="210"/>
      <c r="AQ27" s="210"/>
      <c r="AR27" s="210"/>
      <c r="AS27" s="210"/>
      <c r="AT27" s="210"/>
      <c r="AU27" s="210"/>
      <c r="AV27" s="210"/>
      <c r="AW27" s="210"/>
      <c r="AX27" s="210"/>
      <c r="AY27" s="210"/>
      <c r="AZ27" s="210"/>
      <c r="BA27" s="210"/>
      <c r="BB27" s="210"/>
      <c r="BC27" s="210"/>
      <c r="BD27" s="342">
        <v>0</v>
      </c>
      <c r="BE27" s="82">
        <f t="shared" si="7"/>
        <v>4452000</v>
      </c>
    </row>
    <row r="28" spans="1:59" ht="34.5" hidden="1" customHeight="1" x14ac:dyDescent="0.3">
      <c r="A28" s="80">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4"/>
      <c r="J28" s="162"/>
      <c r="K28" s="332"/>
      <c r="L28" s="162"/>
      <c r="M28" s="332"/>
      <c r="N28" s="162"/>
      <c r="O28" s="332"/>
      <c r="P28" s="162"/>
      <c r="Q28" s="332"/>
      <c r="R28" s="81">
        <f t="shared" si="6"/>
        <v>0</v>
      </c>
      <c r="S28" s="345"/>
      <c r="T28" s="343"/>
      <c r="U28" s="345"/>
      <c r="V28" s="343"/>
      <c r="W28" s="345"/>
      <c r="X28" s="343"/>
      <c r="Y28" s="345"/>
      <c r="Z28" s="343"/>
      <c r="AA28" s="165"/>
      <c r="AB28" s="1004" t="str">
        <f t="shared" si="0"/>
        <v/>
      </c>
      <c r="AC28" s="1082" t="str">
        <f t="shared" si="1"/>
        <v/>
      </c>
      <c r="AD28" s="1074"/>
      <c r="AE28" s="1074"/>
      <c r="AF28" s="1084" t="str">
        <f t="shared" si="2"/>
        <v/>
      </c>
      <c r="AG28" s="1082" t="str">
        <f t="shared" si="3"/>
        <v/>
      </c>
      <c r="AH28" s="1088"/>
      <c r="AI28" s="1087"/>
      <c r="AJ28" s="1084" t="str">
        <f t="shared" si="4"/>
        <v/>
      </c>
      <c r="AK28" s="1083" t="str">
        <f t="shared" si="5"/>
        <v/>
      </c>
      <c r="AL28" s="210">
        <v>849000</v>
      </c>
      <c r="AM28" s="210"/>
      <c r="AN28" s="210"/>
      <c r="AO28" s="210"/>
      <c r="AP28" s="210"/>
      <c r="AQ28" s="210"/>
      <c r="AR28" s="210"/>
      <c r="AS28" s="210"/>
      <c r="AT28" s="210"/>
      <c r="AU28" s="210"/>
      <c r="AV28" s="210"/>
      <c r="AW28" s="210"/>
      <c r="AX28" s="210"/>
      <c r="AY28" s="210"/>
      <c r="AZ28" s="210"/>
      <c r="BA28" s="210"/>
      <c r="BB28" s="210"/>
      <c r="BC28" s="210"/>
      <c r="BD28" s="342">
        <v>0</v>
      </c>
      <c r="BE28" s="82">
        <f t="shared" si="7"/>
        <v>849000</v>
      </c>
    </row>
    <row r="29" spans="1:59" ht="34.5" hidden="1" customHeight="1" x14ac:dyDescent="0.3">
      <c r="A29" s="80">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4"/>
      <c r="J29" s="162"/>
      <c r="K29" s="332"/>
      <c r="L29" s="162"/>
      <c r="M29" s="332"/>
      <c r="N29" s="162"/>
      <c r="O29" s="332"/>
      <c r="P29" s="162"/>
      <c r="Q29" s="332"/>
      <c r="R29" s="81">
        <f t="shared" si="6"/>
        <v>0</v>
      </c>
      <c r="S29" s="345"/>
      <c r="T29" s="343"/>
      <c r="U29" s="345"/>
      <c r="V29" s="343"/>
      <c r="W29" s="345"/>
      <c r="X29" s="343"/>
      <c r="Y29" s="345"/>
      <c r="Z29" s="343"/>
      <c r="AA29" s="165"/>
      <c r="AB29" s="1004" t="str">
        <f t="shared" si="0"/>
        <v/>
      </c>
      <c r="AC29" s="1082" t="str">
        <f t="shared" si="1"/>
        <v/>
      </c>
      <c r="AD29" s="1074"/>
      <c r="AE29" s="1074"/>
      <c r="AF29" s="1084" t="str">
        <f t="shared" si="2"/>
        <v/>
      </c>
      <c r="AG29" s="1082" t="str">
        <f t="shared" si="3"/>
        <v/>
      </c>
      <c r="AH29" s="1088"/>
      <c r="AI29" s="1087"/>
      <c r="AJ29" s="1084" t="str">
        <f t="shared" si="4"/>
        <v/>
      </c>
      <c r="AK29" s="1083" t="str">
        <f t="shared" si="5"/>
        <v/>
      </c>
      <c r="AL29" s="210">
        <v>3103000</v>
      </c>
      <c r="AM29" s="210">
        <v>1363000</v>
      </c>
      <c r="AN29" s="210">
        <v>1363000</v>
      </c>
      <c r="AO29" s="210">
        <v>1363000</v>
      </c>
      <c r="AP29" s="210"/>
      <c r="AQ29" s="210"/>
      <c r="AR29" s="210"/>
      <c r="AS29" s="210"/>
      <c r="AT29" s="210"/>
      <c r="AU29" s="210"/>
      <c r="AV29" s="210"/>
      <c r="AW29" s="210"/>
      <c r="AX29" s="210"/>
      <c r="AY29" s="210"/>
      <c r="AZ29" s="210"/>
      <c r="BA29" s="210"/>
      <c r="BB29" s="210"/>
      <c r="BC29" s="210"/>
      <c r="BD29" s="342">
        <v>0</v>
      </c>
      <c r="BE29" s="82">
        <f t="shared" si="7"/>
        <v>7192000</v>
      </c>
    </row>
    <row r="30" spans="1:59" ht="34.5" hidden="1" customHeight="1" x14ac:dyDescent="0.3">
      <c r="A30" s="80">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4"/>
      <c r="J30" s="162"/>
      <c r="K30" s="332"/>
      <c r="L30" s="162"/>
      <c r="M30" s="332"/>
      <c r="N30" s="162"/>
      <c r="O30" s="332"/>
      <c r="P30" s="162"/>
      <c r="Q30" s="332"/>
      <c r="R30" s="81">
        <f t="shared" si="6"/>
        <v>0</v>
      </c>
      <c r="S30" s="345"/>
      <c r="T30" s="343"/>
      <c r="U30" s="345"/>
      <c r="V30" s="343"/>
      <c r="W30" s="345"/>
      <c r="X30" s="343"/>
      <c r="Y30" s="345"/>
      <c r="Z30" s="343"/>
      <c r="AA30" s="165"/>
      <c r="AB30" s="1004" t="str">
        <f t="shared" si="0"/>
        <v/>
      </c>
      <c r="AC30" s="1082" t="str">
        <f t="shared" si="1"/>
        <v/>
      </c>
      <c r="AD30" s="1074"/>
      <c r="AE30" s="1074"/>
      <c r="AF30" s="1084" t="str">
        <f t="shared" si="2"/>
        <v/>
      </c>
      <c r="AG30" s="1082" t="str">
        <f t="shared" si="3"/>
        <v/>
      </c>
      <c r="AH30" s="1088"/>
      <c r="AI30" s="1087"/>
      <c r="AJ30" s="1084" t="str">
        <f t="shared" si="4"/>
        <v/>
      </c>
      <c r="AK30" s="1083" t="str">
        <f t="shared" si="5"/>
        <v/>
      </c>
      <c r="AL30" s="210">
        <v>997600</v>
      </c>
      <c r="AM30" s="210">
        <v>2612000</v>
      </c>
      <c r="AN30" s="210">
        <v>1229600</v>
      </c>
      <c r="AO30" s="210"/>
      <c r="AP30" s="210"/>
      <c r="AQ30" s="210"/>
      <c r="AR30" s="210"/>
      <c r="AS30" s="210"/>
      <c r="AT30" s="210"/>
      <c r="AU30" s="210"/>
      <c r="AV30" s="210"/>
      <c r="AW30" s="210"/>
      <c r="AX30" s="210"/>
      <c r="AY30" s="210"/>
      <c r="AZ30" s="210"/>
      <c r="BA30" s="210"/>
      <c r="BB30" s="210"/>
      <c r="BC30" s="210"/>
      <c r="BD30" s="342">
        <v>0</v>
      </c>
      <c r="BE30" s="82">
        <f t="shared" si="7"/>
        <v>4839200</v>
      </c>
    </row>
    <row r="31" spans="1:59" ht="34.5" hidden="1" customHeight="1" x14ac:dyDescent="0.3">
      <c r="A31" s="80">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1">
        <v>13527752</v>
      </c>
      <c r="G31" s="12">
        <v>41137</v>
      </c>
      <c r="H31" s="12">
        <v>41349</v>
      </c>
      <c r="I31" s="12"/>
      <c r="J31" s="162"/>
      <c r="K31" s="332"/>
      <c r="L31" s="162"/>
      <c r="M31" s="332"/>
      <c r="N31" s="162"/>
      <c r="O31" s="332"/>
      <c r="P31" s="162"/>
      <c r="Q31" s="332"/>
      <c r="R31" s="81">
        <f t="shared" si="6"/>
        <v>0</v>
      </c>
      <c r="S31" s="345"/>
      <c r="T31" s="343"/>
      <c r="U31" s="345"/>
      <c r="V31" s="343"/>
      <c r="W31" s="345"/>
      <c r="X31" s="343"/>
      <c r="Y31" s="345"/>
      <c r="Z31" s="343"/>
      <c r="AA31" s="165"/>
      <c r="AB31" s="1004" t="str">
        <f t="shared" si="0"/>
        <v/>
      </c>
      <c r="AC31" s="1082" t="str">
        <f t="shared" si="1"/>
        <v/>
      </c>
      <c r="AD31" s="1074"/>
      <c r="AE31" s="1074"/>
      <c r="AF31" s="1084" t="str">
        <f t="shared" si="2"/>
        <v/>
      </c>
      <c r="AG31" s="1082" t="str">
        <f t="shared" si="3"/>
        <v/>
      </c>
      <c r="AH31" s="1088"/>
      <c r="AI31" s="1087"/>
      <c r="AJ31" s="1084" t="str">
        <f t="shared" si="4"/>
        <v/>
      </c>
      <c r="AK31" s="1083" t="str">
        <f t="shared" si="5"/>
        <v/>
      </c>
      <c r="AL31" s="210"/>
      <c r="AM31" s="210"/>
      <c r="AN31" s="210"/>
      <c r="AO31" s="210"/>
      <c r="AP31" s="210"/>
      <c r="AQ31" s="210"/>
      <c r="AR31" s="210"/>
      <c r="AS31" s="210"/>
      <c r="AT31" s="210"/>
      <c r="AU31" s="210"/>
      <c r="AV31" s="210"/>
      <c r="AW31" s="210"/>
      <c r="AX31" s="210"/>
      <c r="AY31" s="210"/>
      <c r="AZ31" s="210"/>
      <c r="BA31" s="210"/>
      <c r="BB31" s="210"/>
      <c r="BC31" s="210"/>
      <c r="BD31" s="342">
        <v>0</v>
      </c>
      <c r="BE31" s="82">
        <f t="shared" si="7"/>
        <v>0</v>
      </c>
    </row>
    <row r="32" spans="1:59" ht="34.5" hidden="1" customHeight="1" x14ac:dyDescent="0.3">
      <c r="A32" s="80">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4"/>
      <c r="J32" s="162">
        <v>15102355</v>
      </c>
      <c r="K32" s="332"/>
      <c r="L32" s="162"/>
      <c r="M32" s="332"/>
      <c r="N32" s="162"/>
      <c r="O32" s="332"/>
      <c r="P32" s="162"/>
      <c r="Q32" s="332"/>
      <c r="R32" s="81">
        <f t="shared" si="6"/>
        <v>15102355</v>
      </c>
      <c r="S32" s="345"/>
      <c r="T32" s="343"/>
      <c r="U32" s="345"/>
      <c r="V32" s="343"/>
      <c r="W32" s="345"/>
      <c r="X32" s="343"/>
      <c r="Y32" s="345"/>
      <c r="Z32" s="343"/>
      <c r="AA32" s="163"/>
      <c r="AB32" s="1004" t="str">
        <f t="shared" si="0"/>
        <v/>
      </c>
      <c r="AC32" s="1082" t="str">
        <f t="shared" si="1"/>
        <v/>
      </c>
      <c r="AD32" s="1074"/>
      <c r="AE32" s="1074"/>
      <c r="AF32" s="1084" t="str">
        <f t="shared" si="2"/>
        <v/>
      </c>
      <c r="AG32" s="1082" t="str">
        <f t="shared" si="3"/>
        <v/>
      </c>
      <c r="AH32" s="1088"/>
      <c r="AI32" s="1087"/>
      <c r="AJ32" s="1084" t="str">
        <f t="shared" si="4"/>
        <v/>
      </c>
      <c r="AK32" s="1083" t="str">
        <f t="shared" si="5"/>
        <v/>
      </c>
      <c r="AL32" s="210">
        <v>95321355</v>
      </c>
      <c r="AM32" s="210"/>
      <c r="AN32" s="210"/>
      <c r="AO32" s="210"/>
      <c r="AP32" s="210"/>
      <c r="AQ32" s="210"/>
      <c r="AR32" s="210"/>
      <c r="AS32" s="210"/>
      <c r="AT32" s="210"/>
      <c r="AU32" s="210"/>
      <c r="AV32" s="210"/>
      <c r="AW32" s="210"/>
      <c r="AX32" s="210"/>
      <c r="AY32" s="210"/>
      <c r="AZ32" s="210"/>
      <c r="BA32" s="210"/>
      <c r="BB32" s="210"/>
      <c r="BC32" s="210"/>
      <c r="BD32" s="342">
        <v>0</v>
      </c>
      <c r="BE32" s="82">
        <f t="shared" si="7"/>
        <v>95321355</v>
      </c>
    </row>
    <row r="33" spans="1:57" ht="34.5" hidden="1" customHeight="1" x14ac:dyDescent="0.3">
      <c r="A33" s="80">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4"/>
      <c r="J33" s="162">
        <v>17234233</v>
      </c>
      <c r="K33" s="332">
        <v>41478</v>
      </c>
      <c r="L33" s="162"/>
      <c r="M33" s="332"/>
      <c r="N33" s="162"/>
      <c r="O33" s="332"/>
      <c r="P33" s="162"/>
      <c r="Q33" s="332"/>
      <c r="R33" s="81">
        <f t="shared" si="6"/>
        <v>17234233</v>
      </c>
      <c r="S33" s="345" t="s">
        <v>542</v>
      </c>
      <c r="T33" s="343">
        <v>41608</v>
      </c>
      <c r="U33" s="345" t="s">
        <v>962</v>
      </c>
      <c r="V33" s="343">
        <v>41623</v>
      </c>
      <c r="W33" s="345"/>
      <c r="X33" s="343"/>
      <c r="Y33" s="345"/>
      <c r="Z33" s="343"/>
      <c r="AA33" s="163" t="s">
        <v>1372</v>
      </c>
      <c r="AB33" s="1004">
        <f t="shared" si="0"/>
        <v>41623</v>
      </c>
      <c r="AC33" s="1082" t="str">
        <f t="shared" si="1"/>
        <v/>
      </c>
      <c r="AD33" s="1074"/>
      <c r="AE33" s="1074"/>
      <c r="AF33" s="1084" t="str">
        <f t="shared" si="2"/>
        <v/>
      </c>
      <c r="AG33" s="1082" t="str">
        <f t="shared" si="3"/>
        <v/>
      </c>
      <c r="AH33" s="1088"/>
      <c r="AI33" s="1087"/>
      <c r="AJ33" s="1084" t="str">
        <f t="shared" si="4"/>
        <v/>
      </c>
      <c r="AK33" s="1083" t="str">
        <f t="shared" si="5"/>
        <v/>
      </c>
      <c r="AL33" s="210">
        <v>93840542</v>
      </c>
      <c r="AM33" s="210"/>
      <c r="AN33" s="210"/>
      <c r="AO33" s="210"/>
      <c r="AP33" s="210"/>
      <c r="AQ33" s="210"/>
      <c r="AR33" s="210"/>
      <c r="AS33" s="210"/>
      <c r="AT33" s="210"/>
      <c r="AU33" s="210"/>
      <c r="AV33" s="210"/>
      <c r="AW33" s="210"/>
      <c r="AX33" s="210"/>
      <c r="AY33" s="210"/>
      <c r="AZ33" s="210"/>
      <c r="BA33" s="210"/>
      <c r="BB33" s="210"/>
      <c r="BC33" s="210"/>
      <c r="BD33" s="342">
        <v>0</v>
      </c>
      <c r="BE33" s="82">
        <f t="shared" si="7"/>
        <v>93840542</v>
      </c>
    </row>
    <row r="34" spans="1:57" ht="34.5" hidden="1" customHeight="1" x14ac:dyDescent="0.3">
      <c r="A34" s="80">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6"/>
      <c r="J34" s="162"/>
      <c r="K34" s="332"/>
      <c r="L34" s="162"/>
      <c r="M34" s="332"/>
      <c r="N34" s="162"/>
      <c r="O34" s="332"/>
      <c r="P34" s="162"/>
      <c r="Q34" s="332"/>
      <c r="R34" s="81">
        <f t="shared" si="6"/>
        <v>0</v>
      </c>
      <c r="S34" s="345"/>
      <c r="T34" s="343"/>
      <c r="U34" s="345"/>
      <c r="V34" s="343"/>
      <c r="W34" s="345"/>
      <c r="X34" s="343"/>
      <c r="Y34" s="345"/>
      <c r="Z34" s="343"/>
      <c r="AA34" s="165"/>
      <c r="AB34" s="1004" t="str">
        <f t="shared" si="0"/>
        <v/>
      </c>
      <c r="AC34" s="1082" t="str">
        <f t="shared" si="1"/>
        <v/>
      </c>
      <c r="AD34" s="1074"/>
      <c r="AE34" s="1074"/>
      <c r="AF34" s="1084" t="str">
        <f t="shared" si="2"/>
        <v/>
      </c>
      <c r="AG34" s="1082" t="str">
        <f t="shared" si="3"/>
        <v/>
      </c>
      <c r="AH34" s="1088"/>
      <c r="AI34" s="1087"/>
      <c r="AJ34" s="1084" t="str">
        <f t="shared" si="4"/>
        <v/>
      </c>
      <c r="AK34" s="1083" t="str">
        <f t="shared" si="5"/>
        <v/>
      </c>
      <c r="AL34" s="210">
        <v>900000</v>
      </c>
      <c r="AM34" s="210"/>
      <c r="AN34" s="210"/>
      <c r="AO34" s="210"/>
      <c r="AP34" s="210"/>
      <c r="AQ34" s="210"/>
      <c r="AR34" s="210"/>
      <c r="AS34" s="210"/>
      <c r="AT34" s="210"/>
      <c r="AU34" s="210"/>
      <c r="AV34" s="210"/>
      <c r="AW34" s="210"/>
      <c r="AX34" s="210"/>
      <c r="AY34" s="210"/>
      <c r="AZ34" s="210"/>
      <c r="BA34" s="210"/>
      <c r="BB34" s="210"/>
      <c r="BC34" s="210"/>
      <c r="BD34" s="342">
        <v>0</v>
      </c>
      <c r="BE34" s="82">
        <f t="shared" si="7"/>
        <v>900000</v>
      </c>
    </row>
    <row r="35" spans="1:57" ht="34.5" hidden="1" customHeight="1" x14ac:dyDescent="0.3">
      <c r="A35" s="80">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4"/>
      <c r="J35" s="162"/>
      <c r="K35" s="332"/>
      <c r="L35" s="162"/>
      <c r="M35" s="332"/>
      <c r="N35" s="162"/>
      <c r="O35" s="332"/>
      <c r="P35" s="162"/>
      <c r="Q35" s="332"/>
      <c r="R35" s="81">
        <f t="shared" si="6"/>
        <v>0</v>
      </c>
      <c r="S35" s="345"/>
      <c r="T35" s="343"/>
      <c r="U35" s="345"/>
      <c r="V35" s="343"/>
      <c r="W35" s="345"/>
      <c r="X35" s="343"/>
      <c r="Y35" s="345"/>
      <c r="Z35" s="343"/>
      <c r="AA35" s="165"/>
      <c r="AB35" s="1004" t="str">
        <f t="shared" si="0"/>
        <v/>
      </c>
      <c r="AC35" s="1082" t="str">
        <f t="shared" si="1"/>
        <v/>
      </c>
      <c r="AD35" s="1074"/>
      <c r="AE35" s="1074"/>
      <c r="AF35" s="1084" t="str">
        <f t="shared" si="2"/>
        <v/>
      </c>
      <c r="AG35" s="1082" t="str">
        <f t="shared" si="3"/>
        <v/>
      </c>
      <c r="AH35" s="1088"/>
      <c r="AI35" s="1087"/>
      <c r="AJ35" s="1084" t="str">
        <f t="shared" si="4"/>
        <v/>
      </c>
      <c r="AK35" s="1083" t="str">
        <f t="shared" si="5"/>
        <v/>
      </c>
      <c r="AL35" s="210">
        <v>840000</v>
      </c>
      <c r="AM35" s="210"/>
      <c r="AN35" s="210"/>
      <c r="AO35" s="210"/>
      <c r="AP35" s="210"/>
      <c r="AQ35" s="210"/>
      <c r="AR35" s="210"/>
      <c r="AS35" s="210"/>
      <c r="AT35" s="210"/>
      <c r="AU35" s="210"/>
      <c r="AV35" s="210"/>
      <c r="AW35" s="210"/>
      <c r="AX35" s="210"/>
      <c r="AY35" s="210"/>
      <c r="AZ35" s="210"/>
      <c r="BA35" s="210"/>
      <c r="BB35" s="210"/>
      <c r="BC35" s="210"/>
      <c r="BD35" s="342">
        <v>0</v>
      </c>
      <c r="BE35" s="82">
        <f t="shared" si="7"/>
        <v>840000</v>
      </c>
    </row>
    <row r="36" spans="1:57" ht="34.5" hidden="1" customHeight="1" x14ac:dyDescent="0.3">
      <c r="A36" s="80">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4"/>
      <c r="J36" s="162"/>
      <c r="K36" s="332"/>
      <c r="L36" s="162"/>
      <c r="M36" s="332"/>
      <c r="N36" s="162"/>
      <c r="O36" s="332"/>
      <c r="P36" s="162"/>
      <c r="Q36" s="332"/>
      <c r="R36" s="81">
        <f t="shared" si="6"/>
        <v>0</v>
      </c>
      <c r="S36" s="345"/>
      <c r="T36" s="343"/>
      <c r="U36" s="345"/>
      <c r="V36" s="343"/>
      <c r="W36" s="345"/>
      <c r="X36" s="343"/>
      <c r="Y36" s="345"/>
      <c r="Z36" s="343"/>
      <c r="AA36" s="165"/>
      <c r="AB36" s="1004" t="str">
        <f t="shared" si="0"/>
        <v/>
      </c>
      <c r="AC36" s="1082" t="str">
        <f t="shared" si="1"/>
        <v/>
      </c>
      <c r="AD36" s="1074"/>
      <c r="AE36" s="1074"/>
      <c r="AF36" s="1084" t="str">
        <f t="shared" si="2"/>
        <v/>
      </c>
      <c r="AG36" s="1082" t="str">
        <f t="shared" si="3"/>
        <v/>
      </c>
      <c r="AH36" s="1088"/>
      <c r="AI36" s="1087"/>
      <c r="AJ36" s="1084" t="str">
        <f t="shared" si="4"/>
        <v/>
      </c>
      <c r="AK36" s="1083" t="str">
        <f t="shared" si="5"/>
        <v/>
      </c>
      <c r="AL36" s="210">
        <v>795000</v>
      </c>
      <c r="AM36" s="210"/>
      <c r="AN36" s="210"/>
      <c r="AO36" s="210"/>
      <c r="AP36" s="210"/>
      <c r="AQ36" s="210"/>
      <c r="AR36" s="210"/>
      <c r="AS36" s="210"/>
      <c r="AT36" s="210"/>
      <c r="AU36" s="210"/>
      <c r="AV36" s="210"/>
      <c r="AW36" s="210"/>
      <c r="AX36" s="210"/>
      <c r="AY36" s="210"/>
      <c r="AZ36" s="210"/>
      <c r="BA36" s="210"/>
      <c r="BB36" s="210"/>
      <c r="BC36" s="210"/>
      <c r="BD36" s="342">
        <v>0</v>
      </c>
      <c r="BE36" s="82">
        <f t="shared" si="7"/>
        <v>795000</v>
      </c>
    </row>
    <row r="37" spans="1:57" ht="34.5" hidden="1" customHeight="1" x14ac:dyDescent="0.3">
      <c r="A37" s="80">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1">
        <v>1818000</v>
      </c>
      <c r="G37" s="12">
        <v>41165</v>
      </c>
      <c r="H37" s="12">
        <v>41346</v>
      </c>
      <c r="I37" s="12"/>
      <c r="J37" s="162"/>
      <c r="K37" s="332"/>
      <c r="L37" s="162"/>
      <c r="M37" s="332"/>
      <c r="N37" s="162"/>
      <c r="O37" s="332"/>
      <c r="P37" s="162"/>
      <c r="Q37" s="332"/>
      <c r="R37" s="81">
        <f t="shared" si="6"/>
        <v>0</v>
      </c>
      <c r="S37" s="345"/>
      <c r="T37" s="343"/>
      <c r="U37" s="345"/>
      <c r="V37" s="343"/>
      <c r="W37" s="345"/>
      <c r="X37" s="343"/>
      <c r="Y37" s="345"/>
      <c r="Z37" s="343"/>
      <c r="AA37" s="165"/>
      <c r="AB37" s="1004" t="str">
        <f t="shared" si="0"/>
        <v/>
      </c>
      <c r="AC37" s="1082" t="str">
        <f t="shared" si="1"/>
        <v/>
      </c>
      <c r="AD37" s="1074"/>
      <c r="AE37" s="1074"/>
      <c r="AF37" s="1084" t="str">
        <f t="shared" si="2"/>
        <v/>
      </c>
      <c r="AG37" s="1082" t="str">
        <f t="shared" si="3"/>
        <v/>
      </c>
      <c r="AH37" s="1088"/>
      <c r="AI37" s="1087"/>
      <c r="AJ37" s="1084" t="str">
        <f t="shared" si="4"/>
        <v/>
      </c>
      <c r="AK37" s="1083" t="str">
        <f t="shared" si="5"/>
        <v/>
      </c>
      <c r="AL37" s="210"/>
      <c r="AM37" s="210"/>
      <c r="AN37" s="210"/>
      <c r="AO37" s="210"/>
      <c r="AP37" s="210"/>
      <c r="AQ37" s="210"/>
      <c r="AR37" s="210"/>
      <c r="AS37" s="210"/>
      <c r="AT37" s="210"/>
      <c r="AU37" s="210"/>
      <c r="AV37" s="210"/>
      <c r="AW37" s="210"/>
      <c r="AX37" s="210"/>
      <c r="AY37" s="210"/>
      <c r="AZ37" s="210"/>
      <c r="BA37" s="210"/>
      <c r="BB37" s="210"/>
      <c r="BC37" s="210"/>
      <c r="BD37" s="342">
        <v>0</v>
      </c>
      <c r="BE37" s="82">
        <f t="shared" si="7"/>
        <v>0</v>
      </c>
    </row>
    <row r="38" spans="1:57" ht="34.5" hidden="1" customHeight="1" x14ac:dyDescent="0.3">
      <c r="A38" s="80">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14">
        <v>41151</v>
      </c>
      <c r="H38" s="114">
        <v>41333</v>
      </c>
      <c r="I38" s="825"/>
      <c r="J38" s="162"/>
      <c r="K38" s="332"/>
      <c r="L38" s="162"/>
      <c r="M38" s="332"/>
      <c r="N38" s="162"/>
      <c r="O38" s="332"/>
      <c r="P38" s="162"/>
      <c r="Q38" s="332"/>
      <c r="R38" s="81">
        <f t="shared" si="6"/>
        <v>0</v>
      </c>
      <c r="S38" s="345"/>
      <c r="T38" s="343"/>
      <c r="U38" s="345"/>
      <c r="V38" s="343"/>
      <c r="W38" s="345"/>
      <c r="X38" s="343"/>
      <c r="Y38" s="345"/>
      <c r="Z38" s="343"/>
      <c r="AA38" s="165"/>
      <c r="AB38" s="1004" t="str">
        <f t="shared" si="0"/>
        <v/>
      </c>
      <c r="AC38" s="1082" t="str">
        <f t="shared" si="1"/>
        <v/>
      </c>
      <c r="AD38" s="1074"/>
      <c r="AE38" s="1074"/>
      <c r="AF38" s="1084" t="str">
        <f t="shared" si="2"/>
        <v/>
      </c>
      <c r="AG38" s="1082" t="str">
        <f t="shared" si="3"/>
        <v/>
      </c>
      <c r="AH38" s="1088"/>
      <c r="AI38" s="1087"/>
      <c r="AJ38" s="1084" t="str">
        <f t="shared" si="4"/>
        <v/>
      </c>
      <c r="AK38" s="1083" t="str">
        <f t="shared" si="5"/>
        <v/>
      </c>
      <c r="AL38" s="210">
        <v>5166667</v>
      </c>
      <c r="AM38" s="210">
        <v>5000000</v>
      </c>
      <c r="AN38" s="210">
        <v>5000000</v>
      </c>
      <c r="AO38" s="210">
        <v>5000000</v>
      </c>
      <c r="AP38" s="210">
        <v>5000000</v>
      </c>
      <c r="AQ38" s="210">
        <v>4833333</v>
      </c>
      <c r="AR38" s="210"/>
      <c r="AS38" s="210"/>
      <c r="AT38" s="210"/>
      <c r="AU38" s="210"/>
      <c r="AV38" s="210"/>
      <c r="AW38" s="210"/>
      <c r="AX38" s="210"/>
      <c r="AY38" s="210"/>
      <c r="AZ38" s="210"/>
      <c r="BA38" s="210"/>
      <c r="BB38" s="210"/>
      <c r="BC38" s="210"/>
      <c r="BD38" s="342">
        <v>0</v>
      </c>
      <c r="BE38" s="82">
        <f t="shared" si="7"/>
        <v>30000000</v>
      </c>
    </row>
    <row r="39" spans="1:57" ht="34.5" hidden="1" customHeight="1" x14ac:dyDescent="0.3">
      <c r="A39" s="80">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1">
        <v>35000000</v>
      </c>
      <c r="G39" s="10">
        <v>41155</v>
      </c>
      <c r="H39" s="10">
        <v>41367</v>
      </c>
      <c r="I39" s="10"/>
      <c r="J39" s="162"/>
      <c r="K39" s="332"/>
      <c r="L39" s="162"/>
      <c r="M39" s="332"/>
      <c r="N39" s="162"/>
      <c r="O39" s="332"/>
      <c r="P39" s="162"/>
      <c r="Q39" s="332"/>
      <c r="R39" s="81">
        <f t="shared" si="6"/>
        <v>0</v>
      </c>
      <c r="S39" s="345"/>
      <c r="T39" s="343"/>
      <c r="U39" s="345"/>
      <c r="V39" s="343"/>
      <c r="W39" s="345"/>
      <c r="X39" s="343"/>
      <c r="Y39" s="345"/>
      <c r="Z39" s="343"/>
      <c r="AA39" s="165"/>
      <c r="AB39" s="1004" t="str">
        <f t="shared" si="0"/>
        <v/>
      </c>
      <c r="AC39" s="1082" t="str">
        <f t="shared" si="1"/>
        <v/>
      </c>
      <c r="AD39" s="1074"/>
      <c r="AE39" s="1074"/>
      <c r="AF39" s="1084" t="str">
        <f t="shared" si="2"/>
        <v/>
      </c>
      <c r="AG39" s="1082" t="str">
        <f t="shared" si="3"/>
        <v/>
      </c>
      <c r="AH39" s="1088"/>
      <c r="AI39" s="1087"/>
      <c r="AJ39" s="1084" t="str">
        <f t="shared" si="4"/>
        <v/>
      </c>
      <c r="AK39" s="1083" t="str">
        <f t="shared" si="5"/>
        <v/>
      </c>
      <c r="AL39" s="210">
        <v>4666667</v>
      </c>
      <c r="AM39" s="210">
        <v>5000000</v>
      </c>
      <c r="AN39" s="210">
        <v>5000000</v>
      </c>
      <c r="AO39" s="210">
        <v>5000000</v>
      </c>
      <c r="AP39" s="210">
        <v>5000000</v>
      </c>
      <c r="AQ39" s="210">
        <v>5000000</v>
      </c>
      <c r="AR39" s="210">
        <v>5000000</v>
      </c>
      <c r="AS39" s="210"/>
      <c r="AT39" s="210"/>
      <c r="AU39" s="210"/>
      <c r="AV39" s="210"/>
      <c r="AW39" s="210"/>
      <c r="AX39" s="210"/>
      <c r="AY39" s="210"/>
      <c r="AZ39" s="210"/>
      <c r="BA39" s="210"/>
      <c r="BB39" s="210"/>
      <c r="BC39" s="210"/>
      <c r="BD39" s="342">
        <v>0</v>
      </c>
      <c r="BE39" s="82">
        <f t="shared" si="7"/>
        <v>34666667</v>
      </c>
    </row>
    <row r="40" spans="1:57" ht="34.5" hidden="1" customHeight="1" x14ac:dyDescent="0.3">
      <c r="A40" s="80">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4"/>
      <c r="J40" s="162"/>
      <c r="K40" s="332"/>
      <c r="L40" s="162"/>
      <c r="M40" s="332"/>
      <c r="N40" s="162"/>
      <c r="O40" s="332"/>
      <c r="P40" s="162"/>
      <c r="Q40" s="332"/>
      <c r="R40" s="81">
        <f t="shared" si="6"/>
        <v>0</v>
      </c>
      <c r="S40" s="345"/>
      <c r="T40" s="343"/>
      <c r="U40" s="345"/>
      <c r="V40" s="343"/>
      <c r="W40" s="345"/>
      <c r="X40" s="343"/>
      <c r="Y40" s="345"/>
      <c r="Z40" s="343"/>
      <c r="AA40" s="165"/>
      <c r="AB40" s="1004" t="str">
        <f t="shared" si="0"/>
        <v/>
      </c>
      <c r="AC40" s="1082" t="str">
        <f t="shared" si="1"/>
        <v/>
      </c>
      <c r="AD40" s="1074"/>
      <c r="AE40" s="1074"/>
      <c r="AF40" s="1084" t="str">
        <f t="shared" si="2"/>
        <v/>
      </c>
      <c r="AG40" s="1082" t="str">
        <f t="shared" si="3"/>
        <v/>
      </c>
      <c r="AH40" s="1088"/>
      <c r="AI40" s="1087"/>
      <c r="AJ40" s="1084" t="str">
        <f t="shared" si="4"/>
        <v/>
      </c>
      <c r="AK40" s="1083" t="str">
        <f t="shared" si="5"/>
        <v/>
      </c>
      <c r="AL40" s="210">
        <v>8334226</v>
      </c>
      <c r="AM40" s="210"/>
      <c r="AN40" s="210"/>
      <c r="AO40" s="210"/>
      <c r="AP40" s="210"/>
      <c r="AQ40" s="210"/>
      <c r="AR40" s="210"/>
      <c r="AS40" s="210"/>
      <c r="AT40" s="210"/>
      <c r="AU40" s="210"/>
      <c r="AV40" s="210"/>
      <c r="AW40" s="210"/>
      <c r="AX40" s="210"/>
      <c r="AY40" s="210"/>
      <c r="AZ40" s="210"/>
      <c r="BA40" s="210"/>
      <c r="BB40" s="210"/>
      <c r="BC40" s="210"/>
      <c r="BD40" s="342">
        <v>0</v>
      </c>
      <c r="BE40" s="82">
        <f t="shared" si="7"/>
        <v>8334226</v>
      </c>
    </row>
    <row r="41" spans="1:57" ht="34.5" hidden="1" customHeight="1" x14ac:dyDescent="0.3">
      <c r="A41" s="80">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1">
        <v>315000000</v>
      </c>
      <c r="G41" s="12">
        <v>41163</v>
      </c>
      <c r="H41" s="12">
        <v>41375</v>
      </c>
      <c r="I41" s="12"/>
      <c r="J41" s="162"/>
      <c r="K41" s="332"/>
      <c r="L41" s="162"/>
      <c r="M41" s="332"/>
      <c r="N41" s="162"/>
      <c r="O41" s="332"/>
      <c r="P41" s="162"/>
      <c r="Q41" s="332"/>
      <c r="R41" s="81">
        <f t="shared" si="6"/>
        <v>0</v>
      </c>
      <c r="S41" s="345" t="s">
        <v>377</v>
      </c>
      <c r="T41" s="343">
        <v>41452</v>
      </c>
      <c r="U41" s="345"/>
      <c r="V41" s="343"/>
      <c r="W41" s="345"/>
      <c r="X41" s="343"/>
      <c r="Y41" s="345"/>
      <c r="Z41" s="343"/>
      <c r="AA41" s="165" t="s">
        <v>377</v>
      </c>
      <c r="AB41" s="1004">
        <f t="shared" si="0"/>
        <v>41452</v>
      </c>
      <c r="AC41" s="1082" t="str">
        <f t="shared" si="1"/>
        <v/>
      </c>
      <c r="AD41" s="1074"/>
      <c r="AE41" s="1074"/>
      <c r="AF41" s="1084" t="str">
        <f t="shared" si="2"/>
        <v/>
      </c>
      <c r="AG41" s="1082" t="str">
        <f t="shared" si="3"/>
        <v/>
      </c>
      <c r="AH41" s="1088"/>
      <c r="AI41" s="1087"/>
      <c r="AJ41" s="1084" t="str">
        <f t="shared" si="4"/>
        <v/>
      </c>
      <c r="AK41" s="1083" t="str">
        <f t="shared" si="5"/>
        <v/>
      </c>
      <c r="AL41" s="210">
        <v>314473887</v>
      </c>
      <c r="AM41" s="210"/>
      <c r="AN41" s="210"/>
      <c r="AO41" s="210"/>
      <c r="AP41" s="210"/>
      <c r="AQ41" s="210"/>
      <c r="AR41" s="210"/>
      <c r="AS41" s="210"/>
      <c r="AT41" s="210"/>
      <c r="AU41" s="210"/>
      <c r="AV41" s="210"/>
      <c r="AW41" s="210"/>
      <c r="AX41" s="210"/>
      <c r="AY41" s="210"/>
      <c r="AZ41" s="210"/>
      <c r="BA41" s="210"/>
      <c r="BB41" s="210"/>
      <c r="BC41" s="210"/>
      <c r="BD41" s="342">
        <v>0</v>
      </c>
      <c r="BE41" s="82">
        <f t="shared" si="7"/>
        <v>314473887</v>
      </c>
    </row>
    <row r="42" spans="1:57" ht="34.5" hidden="1" customHeight="1" x14ac:dyDescent="0.3">
      <c r="A42" s="80">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4"/>
      <c r="J42" s="162"/>
      <c r="K42" s="332"/>
      <c r="L42" s="162"/>
      <c r="M42" s="332"/>
      <c r="N42" s="162"/>
      <c r="O42" s="332"/>
      <c r="P42" s="162"/>
      <c r="Q42" s="332"/>
      <c r="R42" s="81">
        <f t="shared" si="6"/>
        <v>0</v>
      </c>
      <c r="S42" s="345"/>
      <c r="T42" s="343"/>
      <c r="U42" s="345"/>
      <c r="V42" s="343"/>
      <c r="W42" s="345"/>
      <c r="X42" s="343"/>
      <c r="Y42" s="345"/>
      <c r="Z42" s="343"/>
      <c r="AA42" s="165"/>
      <c r="AB42" s="1004" t="str">
        <f t="shared" si="0"/>
        <v/>
      </c>
      <c r="AC42" s="1082" t="str">
        <f t="shared" si="1"/>
        <v/>
      </c>
      <c r="AD42" s="1074"/>
      <c r="AE42" s="1074"/>
      <c r="AF42" s="1084" t="str">
        <f t="shared" si="2"/>
        <v/>
      </c>
      <c r="AG42" s="1082" t="str">
        <f t="shared" si="3"/>
        <v/>
      </c>
      <c r="AH42" s="1088"/>
      <c r="AI42" s="1087"/>
      <c r="AJ42" s="1084" t="str">
        <f t="shared" si="4"/>
        <v/>
      </c>
      <c r="AK42" s="1083" t="str">
        <f t="shared" si="5"/>
        <v/>
      </c>
      <c r="AL42" s="210">
        <v>2399250</v>
      </c>
      <c r="AM42" s="210">
        <v>3427500</v>
      </c>
      <c r="AN42" s="210">
        <v>3427500</v>
      </c>
      <c r="AO42" s="210">
        <v>3427500</v>
      </c>
      <c r="AP42" s="210">
        <v>3427500</v>
      </c>
      <c r="AQ42" s="210">
        <v>3427500</v>
      </c>
      <c r="AR42" s="210">
        <v>1028250</v>
      </c>
      <c r="AS42" s="210"/>
      <c r="AT42" s="210"/>
      <c r="AU42" s="210"/>
      <c r="AV42" s="210"/>
      <c r="AW42" s="210"/>
      <c r="AX42" s="210"/>
      <c r="AY42" s="210"/>
      <c r="AZ42" s="210"/>
      <c r="BA42" s="210"/>
      <c r="BB42" s="210"/>
      <c r="BC42" s="210"/>
      <c r="BD42" s="342">
        <v>0</v>
      </c>
      <c r="BE42" s="82">
        <f t="shared" si="7"/>
        <v>20565000</v>
      </c>
    </row>
    <row r="43" spans="1:57" ht="34.5" hidden="1" customHeight="1" x14ac:dyDescent="0.3">
      <c r="A43" s="80">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4"/>
      <c r="J43" s="162"/>
      <c r="K43" s="332"/>
      <c r="L43" s="162"/>
      <c r="M43" s="332"/>
      <c r="N43" s="162"/>
      <c r="O43" s="332"/>
      <c r="P43" s="162"/>
      <c r="Q43" s="332"/>
      <c r="R43" s="81">
        <f t="shared" si="6"/>
        <v>0</v>
      </c>
      <c r="S43" s="345" t="s">
        <v>1321</v>
      </c>
      <c r="T43" s="343">
        <v>41263</v>
      </c>
      <c r="U43" s="345"/>
      <c r="V43" s="343"/>
      <c r="W43" s="345"/>
      <c r="X43" s="343"/>
      <c r="Y43" s="345"/>
      <c r="Z43" s="343"/>
      <c r="AA43" s="165" t="s">
        <v>1321</v>
      </c>
      <c r="AB43" s="1004">
        <f t="shared" si="0"/>
        <v>41263</v>
      </c>
      <c r="AC43" s="1082" t="str">
        <f t="shared" si="1"/>
        <v/>
      </c>
      <c r="AD43" s="1074"/>
      <c r="AE43" s="1074"/>
      <c r="AF43" s="1084" t="str">
        <f t="shared" si="2"/>
        <v/>
      </c>
      <c r="AG43" s="1082" t="str">
        <f t="shared" si="3"/>
        <v/>
      </c>
      <c r="AH43" s="1088"/>
      <c r="AI43" s="1087"/>
      <c r="AJ43" s="1084" t="str">
        <f t="shared" si="4"/>
        <v/>
      </c>
      <c r="AK43" s="1083" t="str">
        <f t="shared" si="5"/>
        <v/>
      </c>
      <c r="AL43" s="210">
        <v>6395000</v>
      </c>
      <c r="AM43" s="210"/>
      <c r="AN43" s="210"/>
      <c r="AO43" s="210"/>
      <c r="AP43" s="210"/>
      <c r="AQ43" s="210"/>
      <c r="AR43" s="210"/>
      <c r="AS43" s="210"/>
      <c r="AT43" s="210"/>
      <c r="AU43" s="210"/>
      <c r="AV43" s="210"/>
      <c r="AW43" s="210"/>
      <c r="AX43" s="210"/>
      <c r="AY43" s="210"/>
      <c r="AZ43" s="210"/>
      <c r="BA43" s="210"/>
      <c r="BB43" s="210"/>
      <c r="BC43" s="210"/>
      <c r="BD43" s="342">
        <v>0</v>
      </c>
      <c r="BE43" s="82">
        <f t="shared" si="7"/>
        <v>6395000</v>
      </c>
    </row>
    <row r="44" spans="1:57" ht="34.5" hidden="1" customHeight="1" x14ac:dyDescent="0.3">
      <c r="A44" s="80">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1">
        <v>23994880</v>
      </c>
      <c r="G44" s="10">
        <v>41205</v>
      </c>
      <c r="H44" s="10">
        <v>41387</v>
      </c>
      <c r="I44" s="10"/>
      <c r="J44" s="162"/>
      <c r="K44" s="332"/>
      <c r="L44" s="162"/>
      <c r="M44" s="332"/>
      <c r="N44" s="162"/>
      <c r="O44" s="332"/>
      <c r="P44" s="162"/>
      <c r="Q44" s="332"/>
      <c r="R44" s="81">
        <f t="shared" si="6"/>
        <v>0</v>
      </c>
      <c r="S44" s="345"/>
      <c r="T44" s="343"/>
      <c r="U44" s="345"/>
      <c r="V44" s="343"/>
      <c r="W44" s="345"/>
      <c r="X44" s="343"/>
      <c r="Y44" s="345"/>
      <c r="Z44" s="343"/>
      <c r="AA44" s="165"/>
      <c r="AB44" s="1004" t="str">
        <f t="shared" si="0"/>
        <v/>
      </c>
      <c r="AC44" s="1082" t="str">
        <f t="shared" si="1"/>
        <v/>
      </c>
      <c r="AD44" s="1074"/>
      <c r="AE44" s="1074"/>
      <c r="AF44" s="1084" t="str">
        <f t="shared" si="2"/>
        <v/>
      </c>
      <c r="AG44" s="1082" t="str">
        <f t="shared" si="3"/>
        <v/>
      </c>
      <c r="AH44" s="1088"/>
      <c r="AI44" s="1087"/>
      <c r="AJ44" s="1084" t="str">
        <f t="shared" si="4"/>
        <v/>
      </c>
      <c r="AK44" s="1083" t="str">
        <f t="shared" si="5"/>
        <v/>
      </c>
      <c r="AL44" s="210">
        <v>933134</v>
      </c>
      <c r="AM44" s="210">
        <v>3999146</v>
      </c>
      <c r="AN44" s="210">
        <v>3999146</v>
      </c>
      <c r="AO44" s="210">
        <v>3999146</v>
      </c>
      <c r="AP44" s="210">
        <v>3999146</v>
      </c>
      <c r="AQ44" s="210">
        <v>3999146</v>
      </c>
      <c r="AR44" s="210">
        <v>3066012</v>
      </c>
      <c r="AS44" s="210"/>
      <c r="AT44" s="210"/>
      <c r="AU44" s="210"/>
      <c r="AV44" s="210"/>
      <c r="AW44" s="210"/>
      <c r="AX44" s="210"/>
      <c r="AY44" s="210"/>
      <c r="AZ44" s="210"/>
      <c r="BA44" s="210"/>
      <c r="BB44" s="210"/>
      <c r="BC44" s="210"/>
      <c r="BD44" s="342">
        <v>0</v>
      </c>
      <c r="BE44" s="82">
        <f t="shared" si="7"/>
        <v>23994876</v>
      </c>
    </row>
    <row r="45" spans="1:57" ht="34.5" hidden="1" customHeight="1" x14ac:dyDescent="0.3">
      <c r="A45" s="80">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4"/>
      <c r="J45" s="162"/>
      <c r="K45" s="332"/>
      <c r="L45" s="162"/>
      <c r="M45" s="332"/>
      <c r="N45" s="162"/>
      <c r="O45" s="332"/>
      <c r="P45" s="162"/>
      <c r="Q45" s="332"/>
      <c r="R45" s="81">
        <f t="shared" si="6"/>
        <v>0</v>
      </c>
      <c r="S45" s="345"/>
      <c r="T45" s="343"/>
      <c r="U45" s="345"/>
      <c r="V45" s="343"/>
      <c r="W45" s="345"/>
      <c r="X45" s="343"/>
      <c r="Y45" s="345"/>
      <c r="Z45" s="343"/>
      <c r="AA45" s="165"/>
      <c r="AB45" s="1004" t="str">
        <f t="shared" si="0"/>
        <v/>
      </c>
      <c r="AC45" s="1082" t="str">
        <f t="shared" si="1"/>
        <v/>
      </c>
      <c r="AD45" s="1074"/>
      <c r="AE45" s="1074"/>
      <c r="AF45" s="1084" t="str">
        <f t="shared" si="2"/>
        <v/>
      </c>
      <c r="AG45" s="1082" t="str">
        <f t="shared" si="3"/>
        <v/>
      </c>
      <c r="AH45" s="1088"/>
      <c r="AI45" s="1087"/>
      <c r="AJ45" s="1084" t="str">
        <f t="shared" si="4"/>
        <v/>
      </c>
      <c r="AK45" s="1083" t="str">
        <f t="shared" si="5"/>
        <v/>
      </c>
      <c r="AL45" s="210">
        <v>5760000</v>
      </c>
      <c r="AM45" s="210">
        <v>6400000</v>
      </c>
      <c r="AN45" s="210">
        <v>6400000</v>
      </c>
      <c r="AO45" s="210">
        <v>6400000</v>
      </c>
      <c r="AP45" s="210">
        <v>6400000</v>
      </c>
      <c r="AQ45" s="210">
        <v>6400000</v>
      </c>
      <c r="AR45" s="210">
        <v>640000</v>
      </c>
      <c r="AS45" s="210"/>
      <c r="AT45" s="210"/>
      <c r="AU45" s="210"/>
      <c r="AV45" s="210"/>
      <c r="AW45" s="210"/>
      <c r="AX45" s="210"/>
      <c r="AY45" s="210"/>
      <c r="AZ45" s="210"/>
      <c r="BA45" s="210"/>
      <c r="BB45" s="210"/>
      <c r="BC45" s="210"/>
      <c r="BD45" s="342">
        <v>0</v>
      </c>
      <c r="BE45" s="82">
        <f t="shared" si="7"/>
        <v>38400000</v>
      </c>
    </row>
    <row r="46" spans="1:57" ht="34.5" hidden="1" customHeight="1" x14ac:dyDescent="0.3">
      <c r="A46" s="80">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1">
        <v>3961330</v>
      </c>
      <c r="G46" s="12">
        <v>41246</v>
      </c>
      <c r="H46" s="12">
        <v>41308</v>
      </c>
      <c r="I46" s="12"/>
      <c r="J46" s="162"/>
      <c r="K46" s="332"/>
      <c r="L46" s="162"/>
      <c r="M46" s="332"/>
      <c r="N46" s="162"/>
      <c r="O46" s="332"/>
      <c r="P46" s="162"/>
      <c r="Q46" s="332"/>
      <c r="R46" s="81">
        <f t="shared" si="6"/>
        <v>0</v>
      </c>
      <c r="S46" s="345"/>
      <c r="T46" s="343"/>
      <c r="U46" s="345"/>
      <c r="V46" s="343"/>
      <c r="W46" s="345"/>
      <c r="X46" s="343"/>
      <c r="Y46" s="345"/>
      <c r="Z46" s="343"/>
      <c r="AA46" s="165"/>
      <c r="AB46" s="1004" t="str">
        <f t="shared" si="0"/>
        <v/>
      </c>
      <c r="AC46" s="1082" t="str">
        <f t="shared" si="1"/>
        <v/>
      </c>
      <c r="AD46" s="1074"/>
      <c r="AE46" s="1074"/>
      <c r="AF46" s="1084" t="str">
        <f t="shared" si="2"/>
        <v/>
      </c>
      <c r="AG46" s="1082" t="str">
        <f t="shared" si="3"/>
        <v/>
      </c>
      <c r="AH46" s="1088"/>
      <c r="AI46" s="1087"/>
      <c r="AJ46" s="1084" t="str">
        <f t="shared" si="4"/>
        <v/>
      </c>
      <c r="AK46" s="1083" t="str">
        <f t="shared" si="5"/>
        <v/>
      </c>
      <c r="AL46" s="210">
        <v>3961330</v>
      </c>
      <c r="AM46" s="210"/>
      <c r="AN46" s="210"/>
      <c r="AO46" s="210"/>
      <c r="AP46" s="210"/>
      <c r="AQ46" s="210"/>
      <c r="AR46" s="210"/>
      <c r="AS46" s="210"/>
      <c r="AT46" s="210"/>
      <c r="AU46" s="210"/>
      <c r="AV46" s="210"/>
      <c r="AW46" s="210"/>
      <c r="AX46" s="210"/>
      <c r="AY46" s="210"/>
      <c r="AZ46" s="210"/>
      <c r="BA46" s="210"/>
      <c r="BB46" s="210"/>
      <c r="BC46" s="210"/>
      <c r="BD46" s="342">
        <v>0</v>
      </c>
      <c r="BE46" s="82">
        <f t="shared" si="7"/>
        <v>3961330</v>
      </c>
    </row>
    <row r="47" spans="1:57" ht="34.5" hidden="1" customHeight="1" x14ac:dyDescent="0.3">
      <c r="A47" s="80">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4"/>
      <c r="J47" s="162"/>
      <c r="K47" s="332"/>
      <c r="L47" s="162"/>
      <c r="M47" s="332"/>
      <c r="N47" s="162"/>
      <c r="O47" s="332"/>
      <c r="P47" s="162"/>
      <c r="Q47" s="332"/>
      <c r="R47" s="81">
        <f t="shared" si="6"/>
        <v>0</v>
      </c>
      <c r="S47" s="345"/>
      <c r="T47" s="343"/>
      <c r="U47" s="345"/>
      <c r="V47" s="343"/>
      <c r="W47" s="345"/>
      <c r="X47" s="343"/>
      <c r="Y47" s="345"/>
      <c r="Z47" s="343"/>
      <c r="AA47" s="165"/>
      <c r="AB47" s="1004" t="str">
        <f t="shared" si="0"/>
        <v/>
      </c>
      <c r="AC47" s="1082" t="str">
        <f t="shared" si="1"/>
        <v/>
      </c>
      <c r="AD47" s="1074"/>
      <c r="AE47" s="1074"/>
      <c r="AF47" s="1084" t="str">
        <f t="shared" si="2"/>
        <v/>
      </c>
      <c r="AG47" s="1082" t="str">
        <f t="shared" si="3"/>
        <v/>
      </c>
      <c r="AH47" s="1088"/>
      <c r="AI47" s="1087"/>
      <c r="AJ47" s="1084" t="str">
        <f t="shared" si="4"/>
        <v/>
      </c>
      <c r="AK47" s="1083" t="str">
        <f t="shared" si="5"/>
        <v/>
      </c>
      <c r="AL47" s="210">
        <v>24000000</v>
      </c>
      <c r="AM47" s="210"/>
      <c r="AN47" s="210"/>
      <c r="AO47" s="210"/>
      <c r="AP47" s="210"/>
      <c r="AQ47" s="210"/>
      <c r="AR47" s="210"/>
      <c r="AS47" s="210"/>
      <c r="AT47" s="210"/>
      <c r="AU47" s="210"/>
      <c r="AV47" s="210"/>
      <c r="AW47" s="210"/>
      <c r="AX47" s="210"/>
      <c r="AY47" s="210"/>
      <c r="AZ47" s="210"/>
      <c r="BA47" s="210"/>
      <c r="BB47" s="210"/>
      <c r="BC47" s="210"/>
      <c r="BD47" s="342">
        <v>0</v>
      </c>
      <c r="BE47" s="82">
        <f t="shared" si="7"/>
        <v>24000000</v>
      </c>
    </row>
    <row r="48" spans="1:57" ht="34.5" hidden="1" customHeight="1" x14ac:dyDescent="0.3">
      <c r="A48" s="80">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4"/>
      <c r="J48" s="162"/>
      <c r="K48" s="332"/>
      <c r="L48" s="162"/>
      <c r="M48" s="332"/>
      <c r="N48" s="162"/>
      <c r="O48" s="332"/>
      <c r="P48" s="162"/>
      <c r="Q48" s="332"/>
      <c r="R48" s="81">
        <f t="shared" si="6"/>
        <v>0</v>
      </c>
      <c r="S48" s="345"/>
      <c r="T48" s="343"/>
      <c r="U48" s="345"/>
      <c r="V48" s="343"/>
      <c r="W48" s="345"/>
      <c r="X48" s="343"/>
      <c r="Y48" s="345"/>
      <c r="Z48" s="343"/>
      <c r="AA48" s="165"/>
      <c r="AB48" s="1004" t="str">
        <f t="shared" si="0"/>
        <v/>
      </c>
      <c r="AC48" s="1082" t="str">
        <f t="shared" si="1"/>
        <v/>
      </c>
      <c r="AD48" s="1074"/>
      <c r="AE48" s="1074"/>
      <c r="AF48" s="1084" t="str">
        <f t="shared" si="2"/>
        <v/>
      </c>
      <c r="AG48" s="1082" t="str">
        <f t="shared" si="3"/>
        <v/>
      </c>
      <c r="AH48" s="1088"/>
      <c r="AI48" s="1087"/>
      <c r="AJ48" s="1084" t="str">
        <f t="shared" si="4"/>
        <v/>
      </c>
      <c r="AK48" s="1083" t="str">
        <f t="shared" si="5"/>
        <v/>
      </c>
      <c r="AL48" s="210">
        <v>6000000</v>
      </c>
      <c r="AM48" s="210"/>
      <c r="AN48" s="210"/>
      <c r="AO48" s="210"/>
      <c r="AP48" s="210"/>
      <c r="AQ48" s="210"/>
      <c r="AR48" s="210"/>
      <c r="AS48" s="210"/>
      <c r="AT48" s="210"/>
      <c r="AU48" s="210"/>
      <c r="AV48" s="210"/>
      <c r="AW48" s="210"/>
      <c r="AX48" s="210"/>
      <c r="AY48" s="210"/>
      <c r="AZ48" s="210"/>
      <c r="BA48" s="210"/>
      <c r="BB48" s="210"/>
      <c r="BC48" s="210"/>
      <c r="BD48" s="342">
        <v>0</v>
      </c>
      <c r="BE48" s="82">
        <f t="shared" si="7"/>
        <v>6000000</v>
      </c>
    </row>
    <row r="49" spans="1:59" ht="34.5" hidden="1" customHeight="1" x14ac:dyDescent="0.3">
      <c r="A49" s="80">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4"/>
      <c r="J49" s="162"/>
      <c r="K49" s="332"/>
      <c r="L49" s="162"/>
      <c r="M49" s="332"/>
      <c r="N49" s="162"/>
      <c r="O49" s="332"/>
      <c r="P49" s="162"/>
      <c r="Q49" s="332"/>
      <c r="R49" s="81">
        <f t="shared" si="6"/>
        <v>0</v>
      </c>
      <c r="S49" s="345"/>
      <c r="T49" s="343"/>
      <c r="U49" s="345"/>
      <c r="V49" s="343"/>
      <c r="W49" s="345"/>
      <c r="X49" s="343"/>
      <c r="Y49" s="345"/>
      <c r="Z49" s="343"/>
      <c r="AA49" s="165"/>
      <c r="AB49" s="1004" t="str">
        <f t="shared" si="0"/>
        <v/>
      </c>
      <c r="AC49" s="1082" t="str">
        <f t="shared" si="1"/>
        <v/>
      </c>
      <c r="AD49" s="1074"/>
      <c r="AE49" s="1074"/>
      <c r="AF49" s="1084" t="str">
        <f t="shared" si="2"/>
        <v/>
      </c>
      <c r="AG49" s="1082" t="str">
        <f t="shared" si="3"/>
        <v/>
      </c>
      <c r="AH49" s="1088"/>
      <c r="AI49" s="1087"/>
      <c r="AJ49" s="1084" t="str">
        <f t="shared" si="4"/>
        <v/>
      </c>
      <c r="AK49" s="1083" t="str">
        <f t="shared" si="5"/>
        <v/>
      </c>
      <c r="AL49" s="210">
        <v>7740000</v>
      </c>
      <c r="AM49" s="210"/>
      <c r="AN49" s="210"/>
      <c r="AO49" s="210"/>
      <c r="AP49" s="210"/>
      <c r="AQ49" s="210"/>
      <c r="AR49" s="210"/>
      <c r="AS49" s="210"/>
      <c r="AT49" s="210"/>
      <c r="AU49" s="210"/>
      <c r="AV49" s="210"/>
      <c r="AW49" s="210"/>
      <c r="AX49" s="210"/>
      <c r="AY49" s="210"/>
      <c r="AZ49" s="210"/>
      <c r="BA49" s="210"/>
      <c r="BB49" s="210"/>
      <c r="BC49" s="210"/>
      <c r="BD49" s="342">
        <v>0</v>
      </c>
      <c r="BE49" s="82">
        <f t="shared" si="7"/>
        <v>7740000</v>
      </c>
    </row>
    <row r="50" spans="1:59" ht="34.5" hidden="1" customHeight="1" x14ac:dyDescent="0.3">
      <c r="A50" s="80">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1">
        <v>47000000</v>
      </c>
      <c r="G50" s="10">
        <v>41064</v>
      </c>
      <c r="H50" s="10">
        <v>41309</v>
      </c>
      <c r="I50" s="10"/>
      <c r="J50" s="162"/>
      <c r="K50" s="332"/>
      <c r="L50" s="162"/>
      <c r="M50" s="332"/>
      <c r="N50" s="162"/>
      <c r="O50" s="332"/>
      <c r="P50" s="162"/>
      <c r="Q50" s="332"/>
      <c r="R50" s="81">
        <f t="shared" si="6"/>
        <v>0</v>
      </c>
      <c r="S50" s="345" t="s">
        <v>379</v>
      </c>
      <c r="T50" s="343">
        <v>41398</v>
      </c>
      <c r="U50" s="345"/>
      <c r="V50" s="343"/>
      <c r="W50" s="345"/>
      <c r="X50" s="343"/>
      <c r="Y50" s="345"/>
      <c r="Z50" s="343"/>
      <c r="AA50" s="165" t="s">
        <v>379</v>
      </c>
      <c r="AB50" s="1004">
        <f t="shared" si="0"/>
        <v>41398</v>
      </c>
      <c r="AC50" s="1082" t="str">
        <f t="shared" si="1"/>
        <v/>
      </c>
      <c r="AD50" s="1074"/>
      <c r="AE50" s="1074"/>
      <c r="AF50" s="1084" t="str">
        <f t="shared" si="2"/>
        <v/>
      </c>
      <c r="AG50" s="1082" t="str">
        <f t="shared" si="3"/>
        <v/>
      </c>
      <c r="AH50" s="1088"/>
      <c r="AI50" s="1087"/>
      <c r="AJ50" s="1084" t="str">
        <f t="shared" si="4"/>
        <v/>
      </c>
      <c r="AK50" s="1083" t="str">
        <f t="shared" si="5"/>
        <v/>
      </c>
      <c r="AL50" s="210">
        <v>362500</v>
      </c>
      <c r="AM50" s="210">
        <v>9012000</v>
      </c>
      <c r="AN50" s="210">
        <v>461000</v>
      </c>
      <c r="AO50" s="210">
        <v>2402500</v>
      </c>
      <c r="AP50" s="210">
        <v>240000</v>
      </c>
      <c r="AQ50" s="210">
        <v>399000</v>
      </c>
      <c r="AR50" s="210">
        <v>1776000</v>
      </c>
      <c r="AS50" s="210">
        <v>392000</v>
      </c>
      <c r="AT50" s="210">
        <v>211500</v>
      </c>
      <c r="AU50" s="210">
        <v>6930000</v>
      </c>
      <c r="AV50" s="210">
        <v>2638000</v>
      </c>
      <c r="AW50" s="210">
        <v>16420500</v>
      </c>
      <c r="AX50" s="210"/>
      <c r="AY50" s="210"/>
      <c r="AZ50" s="210"/>
      <c r="BA50" s="210"/>
      <c r="BB50" s="210"/>
      <c r="BC50" s="210"/>
      <c r="BD50" s="342">
        <v>0</v>
      </c>
      <c r="BE50" s="82">
        <f t="shared" si="7"/>
        <v>41245000</v>
      </c>
    </row>
    <row r="51" spans="1:59" ht="34.5" hidden="1" customHeight="1" x14ac:dyDescent="0.3">
      <c r="A51" s="80">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6"/>
      <c r="J51" s="162"/>
      <c r="K51" s="332"/>
      <c r="L51" s="162"/>
      <c r="M51" s="332"/>
      <c r="N51" s="162"/>
      <c r="O51" s="332"/>
      <c r="P51" s="162"/>
      <c r="Q51" s="332"/>
      <c r="R51" s="81">
        <f t="shared" si="6"/>
        <v>0</v>
      </c>
      <c r="S51" s="345" t="s">
        <v>414</v>
      </c>
      <c r="T51" s="343">
        <v>41400</v>
      </c>
      <c r="U51" s="345"/>
      <c r="V51" s="343"/>
      <c r="W51" s="345"/>
      <c r="X51" s="343"/>
      <c r="Y51" s="345"/>
      <c r="Z51" s="343"/>
      <c r="AA51" s="165" t="s">
        <v>1561</v>
      </c>
      <c r="AB51" s="1004">
        <f t="shared" si="0"/>
        <v>41400</v>
      </c>
      <c r="AC51" s="1082" t="str">
        <f t="shared" si="1"/>
        <v/>
      </c>
      <c r="AD51" s="1074"/>
      <c r="AE51" s="1074"/>
      <c r="AF51" s="1084" t="str">
        <f t="shared" si="2"/>
        <v/>
      </c>
      <c r="AG51" s="1082" t="str">
        <f t="shared" si="3"/>
        <v/>
      </c>
      <c r="AH51" s="1088"/>
      <c r="AI51" s="1087"/>
      <c r="AJ51" s="1084" t="str">
        <f t="shared" si="4"/>
        <v/>
      </c>
      <c r="AK51" s="1083" t="str">
        <f t="shared" si="5"/>
        <v/>
      </c>
      <c r="AL51" s="210">
        <v>86363633</v>
      </c>
      <c r="AM51" s="210">
        <v>86363633</v>
      </c>
      <c r="AN51" s="210">
        <v>86363633</v>
      </c>
      <c r="AO51" s="210">
        <v>86363633</v>
      </c>
      <c r="AP51" s="210">
        <v>86363633</v>
      </c>
      <c r="AQ51" s="210">
        <v>86363633</v>
      </c>
      <c r="AR51" s="210">
        <v>172727266</v>
      </c>
      <c r="AS51" s="210">
        <v>86363633</v>
      </c>
      <c r="AT51" s="210">
        <v>86363633</v>
      </c>
      <c r="AU51" s="210">
        <v>86363670</v>
      </c>
      <c r="AV51" s="210"/>
      <c r="AW51" s="210"/>
      <c r="AX51" s="210"/>
      <c r="AY51" s="210"/>
      <c r="AZ51" s="210"/>
      <c r="BA51" s="210"/>
      <c r="BB51" s="210"/>
      <c r="BC51" s="210"/>
      <c r="BD51" s="342">
        <v>0</v>
      </c>
      <c r="BE51" s="82">
        <f t="shared" si="7"/>
        <v>950000000</v>
      </c>
    </row>
    <row r="52" spans="1:59" ht="34.5" hidden="1" customHeight="1" x14ac:dyDescent="0.3">
      <c r="A52" s="80">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1">
        <v>41578</v>
      </c>
      <c r="I52" s="61"/>
      <c r="J52" s="162">
        <v>6548819</v>
      </c>
      <c r="K52" s="332">
        <v>41158</v>
      </c>
      <c r="L52" s="162">
        <v>7238168</v>
      </c>
      <c r="M52" s="332">
        <v>41177</v>
      </c>
      <c r="N52" s="162"/>
      <c r="O52" s="332"/>
      <c r="P52" s="162"/>
      <c r="Q52" s="332"/>
      <c r="R52" s="81">
        <f t="shared" si="6"/>
        <v>13786987</v>
      </c>
      <c r="S52" s="345" t="s">
        <v>985</v>
      </c>
      <c r="T52" s="343">
        <v>41182</v>
      </c>
      <c r="U52" s="345" t="s">
        <v>986</v>
      </c>
      <c r="V52" s="343">
        <v>41213</v>
      </c>
      <c r="W52" s="345"/>
      <c r="X52" s="343"/>
      <c r="Y52" s="345"/>
      <c r="Z52" s="343"/>
      <c r="AA52" s="165" t="s">
        <v>1322</v>
      </c>
      <c r="AB52" s="1004">
        <f t="shared" si="0"/>
        <v>41213</v>
      </c>
      <c r="AC52" s="1082" t="str">
        <f t="shared" si="1"/>
        <v/>
      </c>
      <c r="AD52" s="1074"/>
      <c r="AE52" s="1074"/>
      <c r="AF52" s="1084" t="str">
        <f t="shared" si="2"/>
        <v/>
      </c>
      <c r="AG52" s="1082" t="str">
        <f t="shared" si="3"/>
        <v/>
      </c>
      <c r="AH52" s="1088"/>
      <c r="AI52" s="1087"/>
      <c r="AJ52" s="1084" t="str">
        <f t="shared" si="4"/>
        <v/>
      </c>
      <c r="AK52" s="1083" t="str">
        <f t="shared" si="5"/>
        <v/>
      </c>
      <c r="AL52" s="210">
        <v>10340240</v>
      </c>
      <c r="AM52" s="210">
        <v>10340240</v>
      </c>
      <c r="AN52" s="210">
        <v>13786987</v>
      </c>
      <c r="AO52" s="210">
        <v>7238168</v>
      </c>
      <c r="AP52" s="210"/>
      <c r="AQ52" s="210"/>
      <c r="AR52" s="210"/>
      <c r="AS52" s="210"/>
      <c r="AT52" s="210"/>
      <c r="AU52" s="210"/>
      <c r="AV52" s="210"/>
      <c r="AW52" s="210"/>
      <c r="AX52" s="210"/>
      <c r="AY52" s="210"/>
      <c r="AZ52" s="210"/>
      <c r="BA52" s="210"/>
      <c r="BB52" s="210"/>
      <c r="BC52" s="210"/>
      <c r="BD52" s="342">
        <v>0</v>
      </c>
      <c r="BE52" s="82">
        <f t="shared" si="7"/>
        <v>41705635</v>
      </c>
    </row>
    <row r="53" spans="1:59" ht="34.5" hidden="1" customHeight="1" x14ac:dyDescent="0.3">
      <c r="A53" s="80">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1">
        <v>4100000</v>
      </c>
      <c r="G53" s="12">
        <v>41103</v>
      </c>
      <c r="H53" s="62">
        <v>41471</v>
      </c>
      <c r="I53" s="62"/>
      <c r="J53" s="162"/>
      <c r="K53" s="332"/>
      <c r="L53" s="162"/>
      <c r="M53" s="332"/>
      <c r="N53" s="162"/>
      <c r="O53" s="332"/>
      <c r="P53" s="162"/>
      <c r="Q53" s="332"/>
      <c r="R53" s="81">
        <f t="shared" si="6"/>
        <v>0</v>
      </c>
      <c r="S53" s="345"/>
      <c r="T53" s="343"/>
      <c r="U53" s="345"/>
      <c r="V53" s="343"/>
      <c r="W53" s="345"/>
      <c r="X53" s="343"/>
      <c r="Y53" s="345"/>
      <c r="Z53" s="343"/>
      <c r="AA53" s="165"/>
      <c r="AB53" s="1004" t="str">
        <f t="shared" si="0"/>
        <v/>
      </c>
      <c r="AC53" s="1082" t="str">
        <f t="shared" si="1"/>
        <v/>
      </c>
      <c r="AD53" s="1074"/>
      <c r="AE53" s="1074"/>
      <c r="AF53" s="1084" t="str">
        <f t="shared" si="2"/>
        <v/>
      </c>
      <c r="AG53" s="1082" t="str">
        <f t="shared" si="3"/>
        <v/>
      </c>
      <c r="AH53" s="1088"/>
      <c r="AI53" s="1087"/>
      <c r="AJ53" s="1084" t="str">
        <f t="shared" si="4"/>
        <v/>
      </c>
      <c r="AK53" s="1083" t="str">
        <f t="shared" si="5"/>
        <v/>
      </c>
      <c r="AL53" s="210">
        <v>3389600</v>
      </c>
      <c r="AM53" s="210"/>
      <c r="AN53" s="210"/>
      <c r="AO53" s="210"/>
      <c r="AP53" s="210"/>
      <c r="AQ53" s="210"/>
      <c r="AR53" s="210"/>
      <c r="AS53" s="210"/>
      <c r="AT53" s="210"/>
      <c r="AU53" s="210"/>
      <c r="AV53" s="210"/>
      <c r="AW53" s="210"/>
      <c r="AX53" s="210"/>
      <c r="AY53" s="210"/>
      <c r="AZ53" s="210"/>
      <c r="BA53" s="210"/>
      <c r="BB53" s="210"/>
      <c r="BC53" s="210"/>
      <c r="BD53" s="342">
        <v>0</v>
      </c>
      <c r="BE53" s="82">
        <f t="shared" si="7"/>
        <v>3389600</v>
      </c>
    </row>
    <row r="54" spans="1:59" ht="34.5" hidden="1" customHeight="1" x14ac:dyDescent="0.3">
      <c r="A54" s="80">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3">
        <v>41424</v>
      </c>
      <c r="I54" s="63"/>
      <c r="J54" s="162"/>
      <c r="K54" s="332"/>
      <c r="L54" s="162"/>
      <c r="M54" s="332"/>
      <c r="N54" s="162"/>
      <c r="O54" s="332"/>
      <c r="P54" s="162"/>
      <c r="Q54" s="332"/>
      <c r="R54" s="81">
        <f t="shared" si="6"/>
        <v>0</v>
      </c>
      <c r="S54" s="345" t="s">
        <v>380</v>
      </c>
      <c r="T54" s="343">
        <v>41547</v>
      </c>
      <c r="U54" s="345"/>
      <c r="V54" s="343"/>
      <c r="W54" s="345"/>
      <c r="X54" s="343"/>
      <c r="Y54" s="345"/>
      <c r="Z54" s="343"/>
      <c r="AA54" s="165" t="s">
        <v>380</v>
      </c>
      <c r="AB54" s="1004">
        <f t="shared" si="0"/>
        <v>41547</v>
      </c>
      <c r="AC54" s="1082" t="str">
        <f t="shared" si="1"/>
        <v/>
      </c>
      <c r="AD54" s="1074"/>
      <c r="AE54" s="1074"/>
      <c r="AF54" s="1084" t="str">
        <f t="shared" si="2"/>
        <v/>
      </c>
      <c r="AG54" s="1082" t="str">
        <f t="shared" si="3"/>
        <v/>
      </c>
      <c r="AH54" s="1088"/>
      <c r="AI54" s="1087"/>
      <c r="AJ54" s="1084" t="str">
        <f t="shared" si="4"/>
        <v/>
      </c>
      <c r="AK54" s="1083" t="str">
        <f t="shared" si="5"/>
        <v/>
      </c>
      <c r="AL54" s="210">
        <v>2828196</v>
      </c>
      <c r="AM54" s="210">
        <v>344346</v>
      </c>
      <c r="AN54" s="210">
        <v>344346</v>
      </c>
      <c r="AO54" s="210">
        <v>2414721</v>
      </c>
      <c r="AP54" s="210">
        <v>741066</v>
      </c>
      <c r="AQ54" s="210">
        <v>2233993</v>
      </c>
      <c r="AR54" s="210"/>
      <c r="AS54" s="210"/>
      <c r="AT54" s="210"/>
      <c r="AU54" s="210"/>
      <c r="AV54" s="210"/>
      <c r="AW54" s="210"/>
      <c r="AX54" s="210"/>
      <c r="AY54" s="210"/>
      <c r="AZ54" s="210"/>
      <c r="BA54" s="210"/>
      <c r="BB54" s="210"/>
      <c r="BC54" s="210"/>
      <c r="BD54" s="342">
        <v>0</v>
      </c>
      <c r="BE54" s="82">
        <f t="shared" si="7"/>
        <v>8906668</v>
      </c>
    </row>
    <row r="55" spans="1:59" ht="34.5" hidden="1" customHeight="1" x14ac:dyDescent="0.3">
      <c r="A55" s="80">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1">
        <v>8545000</v>
      </c>
      <c r="G55" s="12">
        <v>41155</v>
      </c>
      <c r="H55" s="62">
        <v>41367</v>
      </c>
      <c r="I55" s="62"/>
      <c r="J55" s="162"/>
      <c r="K55" s="332"/>
      <c r="L55" s="162"/>
      <c r="M55" s="332"/>
      <c r="N55" s="162"/>
      <c r="O55" s="332"/>
      <c r="P55" s="162"/>
      <c r="Q55" s="332"/>
      <c r="R55" s="81">
        <f t="shared" si="6"/>
        <v>0</v>
      </c>
      <c r="S55" s="345" t="s">
        <v>379</v>
      </c>
      <c r="T55" s="343">
        <v>41458</v>
      </c>
      <c r="U55" s="345"/>
      <c r="V55" s="343"/>
      <c r="W55" s="345"/>
      <c r="X55" s="343"/>
      <c r="Y55" s="345"/>
      <c r="Z55" s="343"/>
      <c r="AA55" s="164" t="s">
        <v>379</v>
      </c>
      <c r="AB55" s="1004">
        <f t="shared" si="0"/>
        <v>41458</v>
      </c>
      <c r="AC55" s="1082" t="str">
        <f t="shared" si="1"/>
        <v/>
      </c>
      <c r="AD55" s="1074"/>
      <c r="AE55" s="1074"/>
      <c r="AF55" s="1084" t="str">
        <f t="shared" si="2"/>
        <v/>
      </c>
      <c r="AG55" s="1082" t="str">
        <f t="shared" si="3"/>
        <v/>
      </c>
      <c r="AH55" s="1088"/>
      <c r="AI55" s="1087"/>
      <c r="AJ55" s="1084" t="str">
        <f t="shared" si="4"/>
        <v/>
      </c>
      <c r="AK55" s="1083" t="str">
        <f t="shared" si="5"/>
        <v/>
      </c>
      <c r="AL55" s="210">
        <v>480000</v>
      </c>
      <c r="AM55" s="210">
        <v>1205000</v>
      </c>
      <c r="AN55" s="210">
        <v>1446000</v>
      </c>
      <c r="AO55" s="210">
        <v>482000</v>
      </c>
      <c r="AP55" s="210">
        <v>723000</v>
      </c>
      <c r="AQ55" s="210"/>
      <c r="AR55" s="210"/>
      <c r="AS55" s="210"/>
      <c r="AT55" s="210"/>
      <c r="AU55" s="210"/>
      <c r="AV55" s="210"/>
      <c r="AW55" s="210"/>
      <c r="AX55" s="210"/>
      <c r="AY55" s="210"/>
      <c r="AZ55" s="210"/>
      <c r="BA55" s="210"/>
      <c r="BB55" s="210"/>
      <c r="BC55" s="210"/>
      <c r="BD55" s="342">
        <v>0</v>
      </c>
      <c r="BE55" s="82">
        <f t="shared" si="7"/>
        <v>4336000</v>
      </c>
    </row>
    <row r="56" spans="1:59" ht="34.5" hidden="1" customHeight="1" x14ac:dyDescent="0.3">
      <c r="A56" s="80">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3">
        <v>41384</v>
      </c>
      <c r="I56" s="63"/>
      <c r="J56" s="162">
        <v>21739353</v>
      </c>
      <c r="K56" s="332">
        <v>41379</v>
      </c>
      <c r="L56" s="162"/>
      <c r="M56" s="332"/>
      <c r="N56" s="162"/>
      <c r="O56" s="332"/>
      <c r="P56" s="162"/>
      <c r="Q56" s="332"/>
      <c r="R56" s="81">
        <f t="shared" si="6"/>
        <v>21739353</v>
      </c>
      <c r="S56" s="345" t="s">
        <v>378</v>
      </c>
      <c r="T56" s="343">
        <v>41445</v>
      </c>
      <c r="U56" s="345"/>
      <c r="V56" s="343"/>
      <c r="W56" s="345"/>
      <c r="X56" s="343"/>
      <c r="Y56" s="345"/>
      <c r="Z56" s="343"/>
      <c r="AA56" s="164" t="s">
        <v>378</v>
      </c>
      <c r="AB56" s="1004">
        <f t="shared" si="0"/>
        <v>41445</v>
      </c>
      <c r="AC56" s="1082" t="str">
        <f t="shared" si="1"/>
        <v/>
      </c>
      <c r="AD56" s="1074"/>
      <c r="AE56" s="1074"/>
      <c r="AF56" s="1084" t="str">
        <f t="shared" si="2"/>
        <v/>
      </c>
      <c r="AG56" s="1082" t="str">
        <f t="shared" si="3"/>
        <v/>
      </c>
      <c r="AH56" s="1088"/>
      <c r="AI56" s="1087"/>
      <c r="AJ56" s="1084" t="str">
        <f t="shared" si="4"/>
        <v/>
      </c>
      <c r="AK56" s="1083" t="str">
        <f t="shared" si="5"/>
        <v/>
      </c>
      <c r="AL56" s="210">
        <v>8869624</v>
      </c>
      <c r="AM56" s="210">
        <v>21840904</v>
      </c>
      <c r="AN56" s="210">
        <v>24712137</v>
      </c>
      <c r="AO56" s="210">
        <v>20887183</v>
      </c>
      <c r="AP56" s="210">
        <v>24760402</v>
      </c>
      <c r="AQ56" s="210">
        <v>18306239</v>
      </c>
      <c r="AR56" s="210">
        <v>20874772</v>
      </c>
      <c r="AS56" s="210">
        <v>23555896</v>
      </c>
      <c r="AT56" s="210">
        <v>4337494</v>
      </c>
      <c r="AU56" s="210">
        <v>23320933</v>
      </c>
      <c r="AV56" s="210">
        <v>21909935</v>
      </c>
      <c r="AW56" s="210">
        <v>4888820</v>
      </c>
      <c r="AX56" s="210"/>
      <c r="AY56" s="210"/>
      <c r="AZ56" s="210"/>
      <c r="BA56" s="210"/>
      <c r="BB56" s="210"/>
      <c r="BC56" s="210"/>
      <c r="BD56" s="342">
        <v>0</v>
      </c>
      <c r="BE56" s="82">
        <f t="shared" si="7"/>
        <v>218264339</v>
      </c>
    </row>
    <row r="57" spans="1:59" ht="34.5" hidden="1" customHeight="1" x14ac:dyDescent="0.3">
      <c r="A57" s="80">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1">
        <v>4493000</v>
      </c>
      <c r="G57" s="12">
        <v>41172</v>
      </c>
      <c r="H57" s="62">
        <v>41353</v>
      </c>
      <c r="I57" s="62"/>
      <c r="J57" s="162"/>
      <c r="K57" s="332"/>
      <c r="L57" s="162"/>
      <c r="M57" s="332"/>
      <c r="N57" s="162"/>
      <c r="O57" s="332"/>
      <c r="P57" s="162"/>
      <c r="Q57" s="332"/>
      <c r="R57" s="81">
        <f t="shared" si="6"/>
        <v>0</v>
      </c>
      <c r="S57" s="345" t="s">
        <v>378</v>
      </c>
      <c r="T57" s="343">
        <v>41414</v>
      </c>
      <c r="U57" s="345"/>
      <c r="V57" s="343"/>
      <c r="W57" s="345"/>
      <c r="X57" s="343"/>
      <c r="Y57" s="345"/>
      <c r="Z57" s="343"/>
      <c r="AA57" s="164" t="s">
        <v>378</v>
      </c>
      <c r="AB57" s="1004">
        <f t="shared" si="0"/>
        <v>41414</v>
      </c>
      <c r="AC57" s="1082" t="str">
        <f t="shared" si="1"/>
        <v/>
      </c>
      <c r="AD57" s="1074"/>
      <c r="AE57" s="1074"/>
      <c r="AF57" s="1084" t="str">
        <f t="shared" si="2"/>
        <v/>
      </c>
      <c r="AG57" s="1082" t="str">
        <f t="shared" si="3"/>
        <v/>
      </c>
      <c r="AH57" s="1088"/>
      <c r="AI57" s="1087"/>
      <c r="AJ57" s="1084" t="str">
        <f t="shared" si="4"/>
        <v/>
      </c>
      <c r="AK57" s="1083" t="str">
        <f t="shared" si="5"/>
        <v/>
      </c>
      <c r="AL57" s="210">
        <v>1310900</v>
      </c>
      <c r="AM57" s="210">
        <v>1041600</v>
      </c>
      <c r="AN57" s="210">
        <v>956500</v>
      </c>
      <c r="AO57" s="210"/>
      <c r="AP57" s="210"/>
      <c r="AQ57" s="210"/>
      <c r="AR57" s="210"/>
      <c r="AS57" s="210"/>
      <c r="AT57" s="210"/>
      <c r="AU57" s="210"/>
      <c r="AV57" s="210"/>
      <c r="AW57" s="210"/>
      <c r="AX57" s="210"/>
      <c r="AY57" s="210"/>
      <c r="AZ57" s="210"/>
      <c r="BA57" s="210"/>
      <c r="BB57" s="210"/>
      <c r="BC57" s="210"/>
      <c r="BD57" s="342">
        <v>0</v>
      </c>
      <c r="BE57" s="82">
        <f t="shared" si="7"/>
        <v>3309000</v>
      </c>
    </row>
    <row r="58" spans="1:59" ht="34.5" hidden="1" customHeight="1" x14ac:dyDescent="0.3">
      <c r="A58" s="80">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1">
        <v>22726000</v>
      </c>
      <c r="G58" s="12">
        <v>41163</v>
      </c>
      <c r="H58" s="62">
        <v>41375</v>
      </c>
      <c r="I58" s="62"/>
      <c r="J58" s="162">
        <v>2000000</v>
      </c>
      <c r="K58" s="332">
        <v>41374</v>
      </c>
      <c r="L58" s="162"/>
      <c r="M58" s="332"/>
      <c r="N58" s="162"/>
      <c r="O58" s="332"/>
      <c r="P58" s="162"/>
      <c r="Q58" s="332"/>
      <c r="R58" s="81">
        <f t="shared" si="6"/>
        <v>2000000</v>
      </c>
      <c r="S58" s="345" t="s">
        <v>1322</v>
      </c>
      <c r="T58" s="343">
        <v>41425</v>
      </c>
      <c r="U58" s="345"/>
      <c r="V58" s="343"/>
      <c r="W58" s="345"/>
      <c r="X58" s="343"/>
      <c r="Y58" s="345"/>
      <c r="Z58" s="343"/>
      <c r="AA58" s="165" t="s">
        <v>1322</v>
      </c>
      <c r="AB58" s="1004">
        <f t="shared" si="0"/>
        <v>41425</v>
      </c>
      <c r="AC58" s="1082" t="str">
        <f t="shared" si="1"/>
        <v/>
      </c>
      <c r="AD58" s="1074"/>
      <c r="AE58" s="1074"/>
      <c r="AF58" s="1084" t="str">
        <f t="shared" si="2"/>
        <v/>
      </c>
      <c r="AG58" s="1082" t="str">
        <f t="shared" si="3"/>
        <v/>
      </c>
      <c r="AH58" s="1088"/>
      <c r="AI58" s="1087"/>
      <c r="AJ58" s="1084" t="str">
        <f t="shared" si="4"/>
        <v/>
      </c>
      <c r="AK58" s="1083" t="str">
        <f t="shared" si="5"/>
        <v/>
      </c>
      <c r="AL58" s="210">
        <v>1934781</v>
      </c>
      <c r="AM58" s="210">
        <v>3219508</v>
      </c>
      <c r="AN58" s="210">
        <v>2914673</v>
      </c>
      <c r="AO58" s="210">
        <v>2256645</v>
      </c>
      <c r="AP58" s="210">
        <v>2036637</v>
      </c>
      <c r="AQ58" s="210">
        <v>4175147</v>
      </c>
      <c r="AR58" s="210">
        <v>2534898</v>
      </c>
      <c r="AS58" s="210">
        <v>3336351</v>
      </c>
      <c r="AT58" s="210">
        <v>2317318</v>
      </c>
      <c r="AU58" s="210"/>
      <c r="AV58" s="210"/>
      <c r="AW58" s="210"/>
      <c r="AX58" s="210"/>
      <c r="AY58" s="210"/>
      <c r="AZ58" s="210"/>
      <c r="BA58" s="210"/>
      <c r="BB58" s="210"/>
      <c r="BC58" s="210"/>
      <c r="BD58" s="342">
        <v>0</v>
      </c>
      <c r="BE58" s="82">
        <f t="shared" si="7"/>
        <v>24725958</v>
      </c>
    </row>
    <row r="59" spans="1:59" ht="34.5" hidden="1" customHeight="1" x14ac:dyDescent="0.3">
      <c r="A59" s="80">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1">
        <v>19116000</v>
      </c>
      <c r="G59" s="10">
        <v>41176</v>
      </c>
      <c r="H59" s="64">
        <v>41388</v>
      </c>
      <c r="I59" s="64"/>
      <c r="J59" s="162">
        <v>1807575</v>
      </c>
      <c r="K59" s="332">
        <v>41379</v>
      </c>
      <c r="L59" s="162"/>
      <c r="M59" s="332"/>
      <c r="N59" s="162"/>
      <c r="O59" s="332"/>
      <c r="P59" s="162"/>
      <c r="Q59" s="332"/>
      <c r="R59" s="81">
        <f t="shared" si="6"/>
        <v>1807575</v>
      </c>
      <c r="S59" s="345" t="s">
        <v>543</v>
      </c>
      <c r="T59" s="343">
        <v>41409</v>
      </c>
      <c r="U59" s="345"/>
      <c r="V59" s="343"/>
      <c r="W59" s="345"/>
      <c r="X59" s="343"/>
      <c r="Y59" s="345"/>
      <c r="Z59" s="343"/>
      <c r="AA59" s="164" t="s">
        <v>543</v>
      </c>
      <c r="AB59" s="1004">
        <f t="shared" si="0"/>
        <v>41409</v>
      </c>
      <c r="AC59" s="1082" t="str">
        <f t="shared" si="1"/>
        <v/>
      </c>
      <c r="AD59" s="1074"/>
      <c r="AE59" s="1074"/>
      <c r="AF59" s="1084" t="str">
        <f t="shared" si="2"/>
        <v/>
      </c>
      <c r="AG59" s="1082" t="str">
        <f t="shared" si="3"/>
        <v/>
      </c>
      <c r="AH59" s="1088"/>
      <c r="AI59" s="1087"/>
      <c r="AJ59" s="1084" t="str">
        <f t="shared" si="4"/>
        <v/>
      </c>
      <c r="AK59" s="1083" t="str">
        <f t="shared" si="5"/>
        <v/>
      </c>
      <c r="AL59" s="210">
        <v>2082400</v>
      </c>
      <c r="AM59" s="210">
        <v>2104800</v>
      </c>
      <c r="AN59" s="210">
        <v>4035600</v>
      </c>
      <c r="AO59" s="210">
        <v>2011200</v>
      </c>
      <c r="AP59" s="210">
        <v>2262000</v>
      </c>
      <c r="AQ59" s="210">
        <v>3006400</v>
      </c>
      <c r="AR59" s="210">
        <v>2276000</v>
      </c>
      <c r="AS59" s="210">
        <v>2133800</v>
      </c>
      <c r="AT59" s="210"/>
      <c r="AU59" s="210"/>
      <c r="AV59" s="210"/>
      <c r="AW59" s="210"/>
      <c r="AX59" s="210"/>
      <c r="AY59" s="210"/>
      <c r="AZ59" s="210"/>
      <c r="BA59" s="210"/>
      <c r="BB59" s="210"/>
      <c r="BC59" s="210"/>
      <c r="BD59" s="342">
        <v>0</v>
      </c>
      <c r="BE59" s="82">
        <f t="shared" si="7"/>
        <v>19912200</v>
      </c>
      <c r="BG59" s="387"/>
    </row>
    <row r="60" spans="1:59" ht="34.5" hidden="1" customHeight="1" x14ac:dyDescent="0.3">
      <c r="A60" s="80">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3">
        <v>41441</v>
      </c>
      <c r="I60" s="63"/>
      <c r="J60" s="162"/>
      <c r="K60" s="332"/>
      <c r="L60" s="162"/>
      <c r="M60" s="332"/>
      <c r="N60" s="162"/>
      <c r="O60" s="332"/>
      <c r="P60" s="162"/>
      <c r="Q60" s="332"/>
      <c r="R60" s="81">
        <f t="shared" si="6"/>
        <v>0</v>
      </c>
      <c r="S60" s="345"/>
      <c r="T60" s="343"/>
      <c r="U60" s="345"/>
      <c r="V60" s="343"/>
      <c r="W60" s="345"/>
      <c r="X60" s="343"/>
      <c r="Y60" s="345"/>
      <c r="Z60" s="343"/>
      <c r="AA60" s="165"/>
      <c r="AB60" s="1004" t="str">
        <f t="shared" si="0"/>
        <v/>
      </c>
      <c r="AC60" s="1082" t="str">
        <f t="shared" si="1"/>
        <v/>
      </c>
      <c r="AD60" s="1074"/>
      <c r="AE60" s="1074"/>
      <c r="AF60" s="1084" t="str">
        <f t="shared" si="2"/>
        <v/>
      </c>
      <c r="AG60" s="1082" t="str">
        <f t="shared" si="3"/>
        <v/>
      </c>
      <c r="AH60" s="1088"/>
      <c r="AI60" s="1087"/>
      <c r="AJ60" s="1084" t="str">
        <f t="shared" si="4"/>
        <v/>
      </c>
      <c r="AK60" s="1083" t="str">
        <f t="shared" si="5"/>
        <v/>
      </c>
      <c r="AL60" s="210">
        <v>10291172</v>
      </c>
      <c r="AM60" s="210">
        <v>27014325</v>
      </c>
      <c r="AN60" s="210">
        <v>7718379</v>
      </c>
      <c r="AO60" s="210">
        <v>32395588</v>
      </c>
      <c r="AP60" s="210">
        <v>32894362</v>
      </c>
      <c r="AQ60" s="210">
        <v>65747881</v>
      </c>
      <c r="AR60" s="210">
        <v>74082637</v>
      </c>
      <c r="AS60" s="210">
        <v>31928922</v>
      </c>
      <c r="AT60" s="210"/>
      <c r="AU60" s="210"/>
      <c r="AV60" s="210"/>
      <c r="AW60" s="210"/>
      <c r="AX60" s="210"/>
      <c r="AY60" s="210"/>
      <c r="AZ60" s="210"/>
      <c r="BA60" s="210"/>
      <c r="BB60" s="210"/>
      <c r="BC60" s="210"/>
      <c r="BD60" s="342">
        <v>0</v>
      </c>
      <c r="BE60" s="82">
        <f t="shared" si="7"/>
        <v>282073266</v>
      </c>
    </row>
    <row r="61" spans="1:59" ht="34.5" hidden="1" customHeight="1" x14ac:dyDescent="0.3">
      <c r="A61" s="80">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3">
        <v>41441</v>
      </c>
      <c r="I61" s="63"/>
      <c r="J61" s="162"/>
      <c r="K61" s="332"/>
      <c r="L61" s="162"/>
      <c r="M61" s="332"/>
      <c r="N61" s="162"/>
      <c r="O61" s="332"/>
      <c r="P61" s="162"/>
      <c r="Q61" s="332"/>
      <c r="R61" s="81">
        <f t="shared" si="6"/>
        <v>0</v>
      </c>
      <c r="S61" s="345"/>
      <c r="T61" s="343"/>
      <c r="U61" s="345"/>
      <c r="V61" s="343"/>
      <c r="W61" s="345"/>
      <c r="X61" s="343"/>
      <c r="Y61" s="345"/>
      <c r="Z61" s="343"/>
      <c r="AA61" s="165"/>
      <c r="AB61" s="1004" t="str">
        <f t="shared" si="0"/>
        <v/>
      </c>
      <c r="AC61" s="1082" t="str">
        <f t="shared" si="1"/>
        <v/>
      </c>
      <c r="AD61" s="1074"/>
      <c r="AE61" s="1074"/>
      <c r="AF61" s="1084" t="str">
        <f t="shared" si="2"/>
        <v/>
      </c>
      <c r="AG61" s="1082" t="str">
        <f t="shared" si="3"/>
        <v/>
      </c>
      <c r="AH61" s="1088"/>
      <c r="AI61" s="1087"/>
      <c r="AJ61" s="1084" t="str">
        <f t="shared" si="4"/>
        <v/>
      </c>
      <c r="AK61" s="1083" t="str">
        <f t="shared" si="5"/>
        <v/>
      </c>
      <c r="AL61" s="210">
        <v>30909075</v>
      </c>
      <c r="AM61" s="210">
        <v>19709676</v>
      </c>
      <c r="AN61" s="210"/>
      <c r="AO61" s="210"/>
      <c r="AP61" s="210"/>
      <c r="AQ61" s="210"/>
      <c r="AR61" s="210"/>
      <c r="AS61" s="210"/>
      <c r="AT61" s="210"/>
      <c r="AU61" s="210"/>
      <c r="AV61" s="210"/>
      <c r="AW61" s="210"/>
      <c r="AX61" s="210"/>
      <c r="AY61" s="210"/>
      <c r="AZ61" s="210"/>
      <c r="BA61" s="210"/>
      <c r="BB61" s="210"/>
      <c r="BC61" s="210"/>
      <c r="BD61" s="342">
        <v>0</v>
      </c>
      <c r="BE61" s="82">
        <f t="shared" si="7"/>
        <v>50618751</v>
      </c>
    </row>
    <row r="62" spans="1:59" ht="34.5" hidden="1" customHeight="1" x14ac:dyDescent="0.3">
      <c r="A62" s="80">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1">
        <v>41486</v>
      </c>
      <c r="I62" s="61"/>
      <c r="J62" s="162"/>
      <c r="K62" s="332"/>
      <c r="L62" s="162"/>
      <c r="M62" s="332"/>
      <c r="N62" s="162"/>
      <c r="O62" s="332"/>
      <c r="P62" s="162"/>
      <c r="Q62" s="332"/>
      <c r="R62" s="81">
        <f t="shared" si="6"/>
        <v>0</v>
      </c>
      <c r="S62" s="345" t="s">
        <v>1590</v>
      </c>
      <c r="T62" s="343"/>
      <c r="U62" s="345"/>
      <c r="V62" s="343"/>
      <c r="W62" s="345"/>
      <c r="X62" s="343"/>
      <c r="Y62" s="345"/>
      <c r="Z62" s="343"/>
      <c r="AA62" s="165" t="s">
        <v>1590</v>
      </c>
      <c r="AB62" s="1004" t="str">
        <f t="shared" si="0"/>
        <v/>
      </c>
      <c r="AC62" s="1082" t="str">
        <f t="shared" si="1"/>
        <v/>
      </c>
      <c r="AD62" s="1074"/>
      <c r="AE62" s="1074"/>
      <c r="AF62" s="1084" t="str">
        <f t="shared" si="2"/>
        <v/>
      </c>
      <c r="AG62" s="1082" t="str">
        <f t="shared" si="3"/>
        <v/>
      </c>
      <c r="AH62" s="1088"/>
      <c r="AI62" s="1087"/>
      <c r="AJ62" s="1084" t="str">
        <f t="shared" si="4"/>
        <v/>
      </c>
      <c r="AK62" s="1083" t="str">
        <f t="shared" si="5"/>
        <v/>
      </c>
      <c r="AL62" s="210">
        <v>17475000</v>
      </c>
      <c r="AM62" s="210">
        <v>17475000</v>
      </c>
      <c r="AN62" s="210">
        <v>17475000</v>
      </c>
      <c r="AO62" s="210">
        <v>17475000</v>
      </c>
      <c r="AP62" s="210"/>
      <c r="AQ62" s="210"/>
      <c r="AR62" s="210"/>
      <c r="AS62" s="210"/>
      <c r="AT62" s="210"/>
      <c r="AU62" s="210"/>
      <c r="AV62" s="210"/>
      <c r="AW62" s="210"/>
      <c r="AX62" s="210"/>
      <c r="AY62" s="210"/>
      <c r="AZ62" s="210"/>
      <c r="BA62" s="210"/>
      <c r="BB62" s="210"/>
      <c r="BC62" s="210"/>
      <c r="BD62" s="342">
        <v>0</v>
      </c>
      <c r="BE62" s="82">
        <f t="shared" si="7"/>
        <v>69900000</v>
      </c>
    </row>
    <row r="63" spans="1:59" ht="34.5" hidden="1" customHeight="1" x14ac:dyDescent="0.3">
      <c r="A63" s="80">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3">
        <v>41412</v>
      </c>
      <c r="I63" s="63"/>
      <c r="J63" s="162"/>
      <c r="K63" s="332"/>
      <c r="L63" s="162"/>
      <c r="M63" s="332"/>
      <c r="N63" s="162"/>
      <c r="O63" s="332"/>
      <c r="P63" s="162"/>
      <c r="Q63" s="332"/>
      <c r="R63" s="81">
        <f t="shared" si="6"/>
        <v>0</v>
      </c>
      <c r="S63" s="345"/>
      <c r="T63" s="343"/>
      <c r="U63" s="345"/>
      <c r="V63" s="343"/>
      <c r="W63" s="345"/>
      <c r="X63" s="343"/>
      <c r="Y63" s="345"/>
      <c r="Z63" s="343"/>
      <c r="AA63" s="165"/>
      <c r="AB63" s="1004" t="str">
        <f t="shared" si="0"/>
        <v/>
      </c>
      <c r="AC63" s="1082" t="str">
        <f t="shared" si="1"/>
        <v/>
      </c>
      <c r="AD63" s="1074"/>
      <c r="AE63" s="1074"/>
      <c r="AF63" s="1084" t="str">
        <f t="shared" si="2"/>
        <v/>
      </c>
      <c r="AG63" s="1082" t="str">
        <f t="shared" si="3"/>
        <v/>
      </c>
      <c r="AH63" s="1088"/>
      <c r="AI63" s="1087"/>
      <c r="AJ63" s="1084" t="str">
        <f t="shared" si="4"/>
        <v/>
      </c>
      <c r="AK63" s="1083" t="str">
        <f t="shared" si="5"/>
        <v/>
      </c>
      <c r="AL63" s="210">
        <v>500000000</v>
      </c>
      <c r="AM63" s="210"/>
      <c r="AN63" s="210"/>
      <c r="AO63" s="210"/>
      <c r="AP63" s="210"/>
      <c r="AQ63" s="210"/>
      <c r="AR63" s="210"/>
      <c r="AS63" s="210"/>
      <c r="AT63" s="210"/>
      <c r="AU63" s="210"/>
      <c r="AV63" s="210"/>
      <c r="AW63" s="210"/>
      <c r="AX63" s="210"/>
      <c r="AY63" s="210"/>
      <c r="AZ63" s="210"/>
      <c r="BA63" s="210"/>
      <c r="BB63" s="210"/>
      <c r="BC63" s="210"/>
      <c r="BD63" s="342">
        <v>0</v>
      </c>
      <c r="BE63" s="82">
        <f t="shared" si="7"/>
        <v>500000000</v>
      </c>
    </row>
    <row r="64" spans="1:59" ht="34.5" hidden="1" customHeight="1" x14ac:dyDescent="0.3">
      <c r="A64" s="80">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1">
        <v>10440000</v>
      </c>
      <c r="G64" s="12">
        <v>41067</v>
      </c>
      <c r="H64" s="62">
        <v>41312</v>
      </c>
      <c r="I64" s="62"/>
      <c r="J64" s="162"/>
      <c r="K64" s="332"/>
      <c r="L64" s="162"/>
      <c r="M64" s="332"/>
      <c r="N64" s="162"/>
      <c r="O64" s="332"/>
      <c r="P64" s="162"/>
      <c r="Q64" s="332"/>
      <c r="R64" s="81">
        <f t="shared" si="6"/>
        <v>0</v>
      </c>
      <c r="S64" s="345"/>
      <c r="T64" s="343"/>
      <c r="U64" s="345"/>
      <c r="V64" s="343"/>
      <c r="W64" s="345"/>
      <c r="X64" s="343"/>
      <c r="Y64" s="345"/>
      <c r="Z64" s="343"/>
      <c r="AA64" s="165"/>
      <c r="AB64" s="1004" t="str">
        <f t="shared" si="0"/>
        <v/>
      </c>
      <c r="AC64" s="1082" t="str">
        <f t="shared" si="1"/>
        <v/>
      </c>
      <c r="AD64" s="1074"/>
      <c r="AE64" s="1074"/>
      <c r="AF64" s="1084" t="str">
        <f t="shared" si="2"/>
        <v/>
      </c>
      <c r="AG64" s="1082" t="str">
        <f t="shared" si="3"/>
        <v/>
      </c>
      <c r="AH64" s="1088"/>
      <c r="AI64" s="1087"/>
      <c r="AJ64" s="1084" t="str">
        <f t="shared" si="4"/>
        <v/>
      </c>
      <c r="AK64" s="1083" t="str">
        <f t="shared" si="5"/>
        <v/>
      </c>
      <c r="AL64" s="210">
        <v>1392000</v>
      </c>
      <c r="AM64" s="210">
        <v>9048000</v>
      </c>
      <c r="AN64" s="210"/>
      <c r="AO64" s="210"/>
      <c r="AP64" s="210"/>
      <c r="AQ64" s="210"/>
      <c r="AR64" s="210"/>
      <c r="AS64" s="210"/>
      <c r="AT64" s="210"/>
      <c r="AU64" s="210"/>
      <c r="AV64" s="210"/>
      <c r="AW64" s="210"/>
      <c r="AX64" s="210"/>
      <c r="AY64" s="210"/>
      <c r="AZ64" s="210"/>
      <c r="BA64" s="210"/>
      <c r="BB64" s="210"/>
      <c r="BC64" s="210"/>
      <c r="BD64" s="342">
        <v>0</v>
      </c>
      <c r="BE64" s="82">
        <f t="shared" si="7"/>
        <v>10440000</v>
      </c>
    </row>
    <row r="65" spans="1:57" ht="34.5" hidden="1" customHeight="1" x14ac:dyDescent="0.3">
      <c r="A65" s="80">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1">
        <v>24824832</v>
      </c>
      <c r="G65" s="12">
        <v>41208</v>
      </c>
      <c r="H65" s="62">
        <v>41481</v>
      </c>
      <c r="I65" s="62"/>
      <c r="J65" s="162"/>
      <c r="K65" s="332"/>
      <c r="L65" s="162"/>
      <c r="M65" s="332"/>
      <c r="N65" s="162"/>
      <c r="O65" s="332"/>
      <c r="P65" s="162"/>
      <c r="Q65" s="332"/>
      <c r="R65" s="81">
        <f t="shared" si="6"/>
        <v>0</v>
      </c>
      <c r="S65" s="345"/>
      <c r="T65" s="343"/>
      <c r="U65" s="345"/>
      <c r="V65" s="343"/>
      <c r="W65" s="345"/>
      <c r="X65" s="343"/>
      <c r="Y65" s="345"/>
      <c r="Z65" s="343"/>
      <c r="AA65" s="165"/>
      <c r="AB65" s="1004" t="str">
        <f t="shared" si="0"/>
        <v/>
      </c>
      <c r="AC65" s="1082" t="str">
        <f t="shared" si="1"/>
        <v/>
      </c>
      <c r="AD65" s="1074"/>
      <c r="AE65" s="1074"/>
      <c r="AF65" s="1084" t="str">
        <f t="shared" si="2"/>
        <v/>
      </c>
      <c r="AG65" s="1082" t="str">
        <f t="shared" si="3"/>
        <v/>
      </c>
      <c r="AH65" s="1088"/>
      <c r="AI65" s="1087"/>
      <c r="AJ65" s="1084" t="str">
        <f t="shared" si="4"/>
        <v/>
      </c>
      <c r="AK65" s="1083" t="str">
        <f t="shared" si="5"/>
        <v/>
      </c>
      <c r="AL65" s="210">
        <v>558558</v>
      </c>
      <c r="AM65" s="210">
        <v>2792792</v>
      </c>
      <c r="AN65" s="210">
        <v>2792792</v>
      </c>
      <c r="AO65" s="210">
        <v>2792792</v>
      </c>
      <c r="AP65" s="210">
        <v>2792792</v>
      </c>
      <c r="AQ65" s="210">
        <v>2792792</v>
      </c>
      <c r="AR65" s="210">
        <v>2792792</v>
      </c>
      <c r="AS65" s="210">
        <v>2792792</v>
      </c>
      <c r="AT65" s="210">
        <v>2234247</v>
      </c>
      <c r="AU65" s="210">
        <v>2482483</v>
      </c>
      <c r="AV65" s="210"/>
      <c r="AW65" s="210"/>
      <c r="AX65" s="210"/>
      <c r="AY65" s="210"/>
      <c r="AZ65" s="210"/>
      <c r="BA65" s="210"/>
      <c r="BB65" s="210"/>
      <c r="BC65" s="210"/>
      <c r="BD65" s="342">
        <v>0</v>
      </c>
      <c r="BE65" s="82">
        <f t="shared" si="7"/>
        <v>24824832</v>
      </c>
    </row>
    <row r="66" spans="1:57" ht="34.5" hidden="1" customHeight="1" x14ac:dyDescent="0.3">
      <c r="A66" s="80">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1">
        <v>41558</v>
      </c>
      <c r="I66" s="61"/>
      <c r="J66" s="162"/>
      <c r="K66" s="332"/>
      <c r="L66" s="162"/>
      <c r="M66" s="332"/>
      <c r="N66" s="162"/>
      <c r="O66" s="332"/>
      <c r="P66" s="162"/>
      <c r="Q66" s="332"/>
      <c r="R66" s="81">
        <f t="shared" si="6"/>
        <v>0</v>
      </c>
      <c r="S66" s="345"/>
      <c r="T66" s="343"/>
      <c r="U66" s="345"/>
      <c r="V66" s="343"/>
      <c r="W66" s="345"/>
      <c r="X66" s="343"/>
      <c r="Y66" s="345"/>
      <c r="Z66" s="343"/>
      <c r="AA66" s="165"/>
      <c r="AB66" s="1004" t="str">
        <f t="shared" si="0"/>
        <v/>
      </c>
      <c r="AC66" s="1082" t="str">
        <f t="shared" si="1"/>
        <v/>
      </c>
      <c r="AD66" s="1074"/>
      <c r="AE66" s="1074"/>
      <c r="AF66" s="1084" t="str">
        <f t="shared" si="2"/>
        <v/>
      </c>
      <c r="AG66" s="1082" t="str">
        <f t="shared" si="3"/>
        <v/>
      </c>
      <c r="AH66" s="1088"/>
      <c r="AI66" s="1087"/>
      <c r="AJ66" s="1084" t="str">
        <f t="shared" si="4"/>
        <v/>
      </c>
      <c r="AK66" s="1083" t="str">
        <f t="shared" si="5"/>
        <v/>
      </c>
      <c r="AL66" s="210">
        <v>810000</v>
      </c>
      <c r="AM66" s="210"/>
      <c r="AN66" s="210"/>
      <c r="AO66" s="210"/>
      <c r="AP66" s="210"/>
      <c r="AQ66" s="210"/>
      <c r="AR66" s="210"/>
      <c r="AS66" s="210"/>
      <c r="AT66" s="210"/>
      <c r="AU66" s="210"/>
      <c r="AV66" s="210"/>
      <c r="AW66" s="210"/>
      <c r="AX66" s="210"/>
      <c r="AY66" s="210"/>
      <c r="AZ66" s="210"/>
      <c r="BA66" s="210"/>
      <c r="BB66" s="210"/>
      <c r="BC66" s="210"/>
      <c r="BD66" s="342">
        <v>0</v>
      </c>
      <c r="BE66" s="82">
        <f t="shared" si="7"/>
        <v>810000</v>
      </c>
    </row>
    <row r="67" spans="1:57" ht="34.5" hidden="1" customHeight="1" x14ac:dyDescent="0.3">
      <c r="A67" s="80">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1">
        <v>299287875</v>
      </c>
      <c r="G67" s="12">
        <v>41208</v>
      </c>
      <c r="H67" s="62">
        <v>41451</v>
      </c>
      <c r="I67" s="62"/>
      <c r="J67" s="162"/>
      <c r="K67" s="332"/>
      <c r="L67" s="162"/>
      <c r="M67" s="332"/>
      <c r="N67" s="162"/>
      <c r="O67" s="332"/>
      <c r="P67" s="162"/>
      <c r="Q67" s="332"/>
      <c r="R67" s="81">
        <f t="shared" si="6"/>
        <v>0</v>
      </c>
      <c r="S67" s="345"/>
      <c r="T67" s="343"/>
      <c r="U67" s="345"/>
      <c r="V67" s="343"/>
      <c r="W67" s="345"/>
      <c r="X67" s="343"/>
      <c r="Y67" s="345"/>
      <c r="Z67" s="343"/>
      <c r="AA67" s="165"/>
      <c r="AB67" s="1004" t="str">
        <f t="shared" si="0"/>
        <v/>
      </c>
      <c r="AC67" s="1082" t="str">
        <f t="shared" si="1"/>
        <v/>
      </c>
      <c r="AD67" s="1074"/>
      <c r="AE67" s="1074"/>
      <c r="AF67" s="1084" t="str">
        <f t="shared" si="2"/>
        <v/>
      </c>
      <c r="AG67" s="1082" t="str">
        <f t="shared" si="3"/>
        <v/>
      </c>
      <c r="AH67" s="1088"/>
      <c r="AI67" s="1087"/>
      <c r="AJ67" s="1084" t="str">
        <f t="shared" si="4"/>
        <v/>
      </c>
      <c r="AK67" s="1083" t="str">
        <f t="shared" si="5"/>
        <v/>
      </c>
      <c r="AL67" s="210">
        <v>2411517</v>
      </c>
      <c r="AM67" s="210">
        <v>14710814</v>
      </c>
      <c r="AN67" s="210">
        <v>22652125</v>
      </c>
      <c r="AO67" s="210">
        <v>15164628</v>
      </c>
      <c r="AP67" s="210">
        <v>22625320</v>
      </c>
      <c r="AQ67" s="210">
        <v>23720349</v>
      </c>
      <c r="AR67" s="210">
        <v>20511661</v>
      </c>
      <c r="AS67" s="210">
        <v>15260438</v>
      </c>
      <c r="AT67" s="210">
        <v>23788129</v>
      </c>
      <c r="AU67" s="210"/>
      <c r="AV67" s="210"/>
      <c r="AW67" s="210"/>
      <c r="AX67" s="210"/>
      <c r="AY67" s="210"/>
      <c r="AZ67" s="210"/>
      <c r="BA67" s="210"/>
      <c r="BB67" s="210"/>
      <c r="BC67" s="210"/>
      <c r="BD67" s="342">
        <v>0</v>
      </c>
      <c r="BE67" s="82">
        <f t="shared" si="7"/>
        <v>160844981</v>
      </c>
    </row>
    <row r="68" spans="1:57" ht="34.5" hidden="1" customHeight="1" x14ac:dyDescent="0.3">
      <c r="A68" s="80">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1">
        <v>1392000</v>
      </c>
      <c r="G68" s="12">
        <v>41242</v>
      </c>
      <c r="H68" s="62">
        <v>41394</v>
      </c>
      <c r="I68" s="62"/>
      <c r="J68" s="162"/>
      <c r="K68" s="332"/>
      <c r="L68" s="162"/>
      <c r="M68" s="332"/>
      <c r="N68" s="162"/>
      <c r="O68" s="332"/>
      <c r="P68" s="162"/>
      <c r="Q68" s="332"/>
      <c r="R68" s="81">
        <f t="shared" si="6"/>
        <v>0</v>
      </c>
      <c r="S68" s="345" t="s">
        <v>379</v>
      </c>
      <c r="T68" s="343">
        <v>41394</v>
      </c>
      <c r="U68" s="345" t="s">
        <v>1319</v>
      </c>
      <c r="V68" s="343">
        <v>41486</v>
      </c>
      <c r="W68" s="345" t="s">
        <v>379</v>
      </c>
      <c r="X68" s="343">
        <v>41534</v>
      </c>
      <c r="Y68" s="345"/>
      <c r="Z68" s="372">
        <v>41530</v>
      </c>
      <c r="AA68" s="165" t="s">
        <v>1320</v>
      </c>
      <c r="AB68" s="1004">
        <f t="shared" si="0"/>
        <v>41534</v>
      </c>
      <c r="AC68" s="1082" t="str">
        <f t="shared" si="1"/>
        <v/>
      </c>
      <c r="AD68" s="1074"/>
      <c r="AE68" s="1074"/>
      <c r="AF68" s="1084" t="str">
        <f t="shared" si="2"/>
        <v/>
      </c>
      <c r="AG68" s="1082" t="str">
        <f t="shared" si="3"/>
        <v/>
      </c>
      <c r="AH68" s="1088"/>
      <c r="AI68" s="1087"/>
      <c r="AJ68" s="1084" t="str">
        <f t="shared" si="4"/>
        <v/>
      </c>
      <c r="AK68" s="1083" t="str">
        <f t="shared" si="5"/>
        <v/>
      </c>
      <c r="AL68" s="210"/>
      <c r="AM68" s="210"/>
      <c r="AN68" s="210"/>
      <c r="AO68" s="210"/>
      <c r="AP68" s="210"/>
      <c r="AQ68" s="210"/>
      <c r="AR68" s="210"/>
      <c r="AS68" s="210"/>
      <c r="AT68" s="210"/>
      <c r="AU68" s="210"/>
      <c r="AV68" s="210"/>
      <c r="AW68" s="210"/>
      <c r="AX68" s="210"/>
      <c r="AY68" s="210"/>
      <c r="AZ68" s="210"/>
      <c r="BA68" s="210"/>
      <c r="BB68" s="210"/>
      <c r="BC68" s="210"/>
      <c r="BD68" s="342">
        <v>0</v>
      </c>
      <c r="BE68" s="82">
        <f t="shared" si="7"/>
        <v>0</v>
      </c>
    </row>
    <row r="69" spans="1:57" ht="34.5" hidden="1" customHeight="1" x14ac:dyDescent="0.3">
      <c r="A69" s="80">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3">
        <v>41390</v>
      </c>
      <c r="I69" s="63"/>
      <c r="J69" s="162"/>
      <c r="K69" s="332"/>
      <c r="L69" s="162"/>
      <c r="M69" s="332"/>
      <c r="N69" s="162"/>
      <c r="O69" s="332"/>
      <c r="P69" s="162"/>
      <c r="Q69" s="332"/>
      <c r="R69" s="81">
        <f t="shared" si="6"/>
        <v>0</v>
      </c>
      <c r="S69" s="345"/>
      <c r="T69" s="343"/>
      <c r="U69" s="345"/>
      <c r="V69" s="343"/>
      <c r="W69" s="345"/>
      <c r="X69" s="343"/>
      <c r="Y69" s="345"/>
      <c r="Z69" s="343"/>
      <c r="AA69" s="165"/>
      <c r="AB69" s="1004" t="str">
        <f t="shared" si="0"/>
        <v/>
      </c>
      <c r="AC69" s="1082" t="str">
        <f t="shared" si="1"/>
        <v/>
      </c>
      <c r="AD69" s="1074"/>
      <c r="AE69" s="1074"/>
      <c r="AF69" s="1084" t="str">
        <f t="shared" si="2"/>
        <v/>
      </c>
      <c r="AG69" s="1082" t="str">
        <f t="shared" si="3"/>
        <v/>
      </c>
      <c r="AH69" s="1088"/>
      <c r="AI69" s="1087"/>
      <c r="AJ69" s="1084" t="str">
        <f t="shared" si="4"/>
        <v/>
      </c>
      <c r="AK69" s="1083" t="str">
        <f t="shared" si="5"/>
        <v/>
      </c>
      <c r="AL69" s="210">
        <v>4056000</v>
      </c>
      <c r="AM69" s="210"/>
      <c r="AN69" s="210"/>
      <c r="AO69" s="210"/>
      <c r="AP69" s="210"/>
      <c r="AQ69" s="210"/>
      <c r="AR69" s="210"/>
      <c r="AS69" s="210"/>
      <c r="AT69" s="210"/>
      <c r="AU69" s="210"/>
      <c r="AV69" s="210"/>
      <c r="AW69" s="210"/>
      <c r="AX69" s="210"/>
      <c r="AY69" s="210"/>
      <c r="AZ69" s="210"/>
      <c r="BA69" s="210"/>
      <c r="BB69" s="210"/>
      <c r="BC69" s="210"/>
      <c r="BD69" s="342">
        <v>0</v>
      </c>
      <c r="BE69" s="82">
        <f t="shared" si="7"/>
        <v>4056000</v>
      </c>
    </row>
    <row r="70" spans="1:57" ht="34.5" hidden="1" customHeight="1" x14ac:dyDescent="0.3">
      <c r="A70" s="80">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1">
        <v>431745000</v>
      </c>
      <c r="G70" s="12">
        <v>41214</v>
      </c>
      <c r="H70" s="62">
        <v>41518</v>
      </c>
      <c r="I70" s="62"/>
      <c r="J70" s="162">
        <v>95000000</v>
      </c>
      <c r="K70" s="332">
        <v>41513</v>
      </c>
      <c r="L70" s="162"/>
      <c r="M70" s="332"/>
      <c r="N70" s="162"/>
      <c r="O70" s="332"/>
      <c r="P70" s="162"/>
      <c r="Q70" s="332"/>
      <c r="R70" s="81">
        <f t="shared" si="6"/>
        <v>95000000</v>
      </c>
      <c r="S70" s="345" t="s">
        <v>378</v>
      </c>
      <c r="T70" s="343">
        <v>41579</v>
      </c>
      <c r="U70" s="345"/>
      <c r="V70" s="343"/>
      <c r="W70" s="345"/>
      <c r="X70" s="343"/>
      <c r="Y70" s="345"/>
      <c r="Z70" s="343"/>
      <c r="AA70" s="165" t="s">
        <v>378</v>
      </c>
      <c r="AB70" s="1004">
        <f t="shared" si="0"/>
        <v>41579</v>
      </c>
      <c r="AC70" s="1082" t="str">
        <f t="shared" si="1"/>
        <v/>
      </c>
      <c r="AD70" s="1074"/>
      <c r="AE70" s="1074"/>
      <c r="AF70" s="1084" t="str">
        <f t="shared" si="2"/>
        <v/>
      </c>
      <c r="AG70" s="1082" t="str">
        <f t="shared" si="3"/>
        <v/>
      </c>
      <c r="AH70" s="1088"/>
      <c r="AI70" s="1087"/>
      <c r="AJ70" s="1084" t="str">
        <f t="shared" si="4"/>
        <v/>
      </c>
      <c r="AK70" s="1083" t="str">
        <f t="shared" si="5"/>
        <v/>
      </c>
      <c r="AL70" s="210">
        <v>35593957</v>
      </c>
      <c r="AM70" s="210">
        <v>35765677</v>
      </c>
      <c r="AN70" s="210">
        <v>37512103</v>
      </c>
      <c r="AO70" s="210">
        <v>36648325</v>
      </c>
      <c r="AP70" s="210">
        <v>49964416</v>
      </c>
      <c r="AQ70" s="210">
        <v>48089764</v>
      </c>
      <c r="AR70" s="210">
        <v>48261252</v>
      </c>
      <c r="AS70" s="210">
        <v>48796319</v>
      </c>
      <c r="AT70" s="210">
        <v>48269836</v>
      </c>
      <c r="AU70" s="210">
        <v>48093197</v>
      </c>
      <c r="AV70" s="210">
        <v>47935445</v>
      </c>
      <c r="AW70" s="210">
        <v>40220428</v>
      </c>
      <c r="AX70" s="210">
        <v>1594281</v>
      </c>
      <c r="AY70" s="210"/>
      <c r="AZ70" s="210"/>
      <c r="BA70" s="210"/>
      <c r="BB70" s="210"/>
      <c r="BC70" s="210"/>
      <c r="BD70" s="342">
        <v>0</v>
      </c>
      <c r="BE70" s="82">
        <f t="shared" si="7"/>
        <v>526745000</v>
      </c>
    </row>
    <row r="71" spans="1:57" ht="34.5" hidden="1" customHeight="1" x14ac:dyDescent="0.3">
      <c r="A71" s="80">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3">
        <v>41383</v>
      </c>
      <c r="I71" s="63"/>
      <c r="J71" s="162">
        <v>45000000</v>
      </c>
      <c r="K71" s="332">
        <v>41337</v>
      </c>
      <c r="L71" s="162">
        <v>166889880</v>
      </c>
      <c r="M71" s="332">
        <v>41446</v>
      </c>
      <c r="N71" s="162"/>
      <c r="O71" s="332"/>
      <c r="P71" s="162"/>
      <c r="Q71" s="332"/>
      <c r="R71" s="81">
        <f t="shared" si="6"/>
        <v>211889880</v>
      </c>
      <c r="S71" s="345" t="s">
        <v>381</v>
      </c>
      <c r="T71" s="343">
        <v>41413</v>
      </c>
      <c r="U71" s="345" t="s">
        <v>987</v>
      </c>
      <c r="V71" s="343">
        <v>41517</v>
      </c>
      <c r="W71" s="345" t="s">
        <v>381</v>
      </c>
      <c r="X71" s="343">
        <v>41547</v>
      </c>
      <c r="Y71" s="345" t="s">
        <v>962</v>
      </c>
      <c r="Z71" s="343">
        <v>41562</v>
      </c>
      <c r="AA71" s="165" t="s">
        <v>1562</v>
      </c>
      <c r="AB71" s="1004">
        <f t="shared" ref="AB71:AB134" si="8">IF(ISNUMBER(T71),MAX(T71,V71,X71,Z71),"")</f>
        <v>41562</v>
      </c>
      <c r="AC71" s="1082" t="str">
        <f t="shared" ref="AC71:AC134" si="9">IF(ISNUMBER(AD71),ABS(AD71-AE71)+1,"")</f>
        <v/>
      </c>
      <c r="AD71" s="1074"/>
      <c r="AE71" s="1074"/>
      <c r="AF71" s="1084" t="str">
        <f t="shared" ref="AF71:AF134" si="10">IFERROR(IF(MAX(H71,I71)&lt;AE71,MAX(H71,I71)-AE71+AC71+AE71,MAX(H71,I71)+AC71),"")</f>
        <v/>
      </c>
      <c r="AG71" s="1082" t="str">
        <f t="shared" ref="AG71:AG134" si="11">IF(ISNUMBER(AH71),ABS(AH71-AI71)+1,"")</f>
        <v/>
      </c>
      <c r="AH71" s="1088"/>
      <c r="AI71" s="1087"/>
      <c r="AJ71" s="1084" t="str">
        <f t="shared" ref="AJ71:AJ134" si="12">IFERROR(IF(AF71&lt;AI71,((AF71-AI71)+AG71)+(AI71),AF71+AG71),"")</f>
        <v/>
      </c>
      <c r="AK71" s="1083" t="str">
        <f t="shared" ref="AK71:AK134" si="13">IF(ISNUMBER(AF71),MAX(AB71,AF71,AJ71),"")</f>
        <v/>
      </c>
      <c r="AL71" s="210">
        <v>62941177</v>
      </c>
      <c r="AM71" s="210">
        <v>275094000</v>
      </c>
      <c r="AN71" s="210">
        <v>19082000</v>
      </c>
      <c r="AO71" s="210">
        <v>41929094</v>
      </c>
      <c r="AP71" s="210">
        <v>13470000</v>
      </c>
      <c r="AQ71" s="210">
        <v>11431578</v>
      </c>
      <c r="AR71" s="210">
        <v>101920000</v>
      </c>
      <c r="AS71" s="210">
        <v>51895001</v>
      </c>
      <c r="AT71" s="210">
        <v>5413105</v>
      </c>
      <c r="AU71" s="210">
        <v>6056774</v>
      </c>
      <c r="AV71" s="210">
        <v>30057151</v>
      </c>
      <c r="AW71" s="210"/>
      <c r="AX71" s="210"/>
      <c r="AY71" s="210"/>
      <c r="AZ71" s="210"/>
      <c r="BA71" s="210"/>
      <c r="BB71" s="210"/>
      <c r="BC71" s="210"/>
      <c r="BD71" s="342">
        <v>0</v>
      </c>
      <c r="BE71" s="82">
        <f t="shared" si="7"/>
        <v>619289880</v>
      </c>
    </row>
    <row r="72" spans="1:57" ht="34.5" hidden="1" customHeight="1" x14ac:dyDescent="0.3">
      <c r="A72" s="80">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3">
        <v>41446</v>
      </c>
      <c r="I72" s="63"/>
      <c r="J72" s="162"/>
      <c r="K72" s="332"/>
      <c r="L72" s="162"/>
      <c r="M72" s="332"/>
      <c r="N72" s="162"/>
      <c r="O72" s="332"/>
      <c r="P72" s="162"/>
      <c r="Q72" s="332"/>
      <c r="R72" s="81">
        <f t="shared" ref="R72:R135" si="14">SUM(J72,L72,N72,P72)</f>
        <v>0</v>
      </c>
      <c r="S72" s="345"/>
      <c r="T72" s="343"/>
      <c r="U72" s="345"/>
      <c r="V72" s="343"/>
      <c r="W72" s="345"/>
      <c r="X72" s="343"/>
      <c r="Y72" s="345"/>
      <c r="Z72" s="343"/>
      <c r="AA72" s="351"/>
      <c r="AB72" s="1004" t="str">
        <f t="shared" si="8"/>
        <v/>
      </c>
      <c r="AC72" s="1082" t="str">
        <f t="shared" si="9"/>
        <v/>
      </c>
      <c r="AD72" s="1074"/>
      <c r="AE72" s="1074"/>
      <c r="AF72" s="1084" t="str">
        <f t="shared" si="10"/>
        <v/>
      </c>
      <c r="AG72" s="1082" t="str">
        <f t="shared" si="11"/>
        <v/>
      </c>
      <c r="AH72" s="1088"/>
      <c r="AI72" s="1087"/>
      <c r="AJ72" s="1084" t="str">
        <f t="shared" si="12"/>
        <v/>
      </c>
      <c r="AK72" s="1083" t="str">
        <f t="shared" si="13"/>
        <v/>
      </c>
      <c r="AL72" s="210">
        <v>4613661</v>
      </c>
      <c r="AM72" s="210">
        <v>2706510</v>
      </c>
      <c r="AN72" s="210">
        <v>510864</v>
      </c>
      <c r="AO72" s="210">
        <v>8889182</v>
      </c>
      <c r="AP72" s="210">
        <v>10834088</v>
      </c>
      <c r="AQ72" s="210">
        <v>9804695</v>
      </c>
      <c r="AR72" s="210"/>
      <c r="AS72" s="210"/>
      <c r="AT72" s="210"/>
      <c r="AU72" s="210"/>
      <c r="AV72" s="210"/>
      <c r="AW72" s="210"/>
      <c r="AX72" s="210"/>
      <c r="AY72" s="210"/>
      <c r="AZ72" s="210"/>
      <c r="BA72" s="210"/>
      <c r="BB72" s="210"/>
      <c r="BC72" s="210"/>
      <c r="BD72" s="342">
        <v>0</v>
      </c>
      <c r="BE72" s="82">
        <f t="shared" si="7"/>
        <v>37359000</v>
      </c>
    </row>
    <row r="73" spans="1:57" ht="34.5" hidden="1" customHeight="1" x14ac:dyDescent="0.3">
      <c r="A73" s="80">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1">
        <v>20358000</v>
      </c>
      <c r="G73" s="10">
        <v>41240</v>
      </c>
      <c r="H73" s="64">
        <v>41421</v>
      </c>
      <c r="I73" s="64"/>
      <c r="J73" s="162">
        <v>8062000</v>
      </c>
      <c r="K73" s="332">
        <v>41418</v>
      </c>
      <c r="L73" s="162"/>
      <c r="M73" s="332"/>
      <c r="N73" s="162"/>
      <c r="O73" s="332"/>
      <c r="P73" s="162"/>
      <c r="Q73" s="332"/>
      <c r="R73" s="81">
        <f t="shared" si="14"/>
        <v>8062000</v>
      </c>
      <c r="S73" s="345" t="s">
        <v>381</v>
      </c>
      <c r="T73" s="343">
        <v>41452</v>
      </c>
      <c r="U73" s="345"/>
      <c r="V73" s="343"/>
      <c r="W73" s="345"/>
      <c r="X73" s="343"/>
      <c r="Y73" s="345"/>
      <c r="Z73" s="343"/>
      <c r="AA73" s="165" t="s">
        <v>381</v>
      </c>
      <c r="AB73" s="1004">
        <f t="shared" si="8"/>
        <v>41452</v>
      </c>
      <c r="AC73" s="1082" t="str">
        <f t="shared" si="9"/>
        <v/>
      </c>
      <c r="AD73" s="1074"/>
      <c r="AE73" s="1074"/>
      <c r="AF73" s="1084" t="str">
        <f t="shared" si="10"/>
        <v/>
      </c>
      <c r="AG73" s="1082" t="str">
        <f t="shared" si="11"/>
        <v/>
      </c>
      <c r="AH73" s="1088"/>
      <c r="AI73" s="1087"/>
      <c r="AJ73" s="1084" t="str">
        <f t="shared" si="12"/>
        <v/>
      </c>
      <c r="AK73" s="1083" t="str">
        <f t="shared" si="13"/>
        <v/>
      </c>
      <c r="AL73" s="210">
        <v>3364000</v>
      </c>
      <c r="AM73" s="210">
        <v>2958000</v>
      </c>
      <c r="AN73" s="210">
        <v>2958000</v>
      </c>
      <c r="AO73" s="210">
        <v>7685000</v>
      </c>
      <c r="AP73" s="210">
        <v>3393000</v>
      </c>
      <c r="AQ73" s="210">
        <v>5950800</v>
      </c>
      <c r="AR73" s="210">
        <v>2070600</v>
      </c>
      <c r="AS73" s="210"/>
      <c r="AT73" s="210"/>
      <c r="AU73" s="210"/>
      <c r="AV73" s="210"/>
      <c r="AW73" s="210"/>
      <c r="AX73" s="210"/>
      <c r="AY73" s="210"/>
      <c r="AZ73" s="210"/>
      <c r="BA73" s="210"/>
      <c r="BB73" s="210"/>
      <c r="BC73" s="210"/>
      <c r="BD73" s="342">
        <v>0</v>
      </c>
      <c r="BE73" s="82">
        <f t="shared" si="7"/>
        <v>28379400</v>
      </c>
    </row>
    <row r="74" spans="1:57" ht="34.5" hidden="1" customHeight="1" x14ac:dyDescent="0.3">
      <c r="A74" s="80">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1">
        <v>6388708</v>
      </c>
      <c r="G74" s="12">
        <v>41248</v>
      </c>
      <c r="H74" s="62">
        <v>41500</v>
      </c>
      <c r="I74" s="62"/>
      <c r="J74" s="162">
        <v>2648556</v>
      </c>
      <c r="K74" s="332">
        <v>41519</v>
      </c>
      <c r="L74" s="162"/>
      <c r="M74" s="332"/>
      <c r="N74" s="162"/>
      <c r="O74" s="332"/>
      <c r="P74" s="162"/>
      <c r="Q74" s="332"/>
      <c r="R74" s="81">
        <f t="shared" si="14"/>
        <v>2648556</v>
      </c>
      <c r="S74" s="345" t="s">
        <v>1323</v>
      </c>
      <c r="T74" s="343">
        <v>41500</v>
      </c>
      <c r="U74" s="345" t="s">
        <v>1324</v>
      </c>
      <c r="V74" s="343">
        <v>41519</v>
      </c>
      <c r="W74" s="345" t="s">
        <v>378</v>
      </c>
      <c r="X74" s="343">
        <v>41580</v>
      </c>
      <c r="Y74" s="345"/>
      <c r="Z74" s="343"/>
      <c r="AA74" s="165" t="s">
        <v>1478</v>
      </c>
      <c r="AB74" s="1004">
        <f t="shared" si="8"/>
        <v>41580</v>
      </c>
      <c r="AC74" s="1082" t="str">
        <f t="shared" si="9"/>
        <v/>
      </c>
      <c r="AD74" s="1074"/>
      <c r="AE74" s="1074"/>
      <c r="AF74" s="1084" t="str">
        <f t="shared" si="10"/>
        <v/>
      </c>
      <c r="AG74" s="1082" t="str">
        <f t="shared" si="11"/>
        <v/>
      </c>
      <c r="AH74" s="1088"/>
      <c r="AI74" s="1087"/>
      <c r="AJ74" s="1084" t="str">
        <f t="shared" si="12"/>
        <v/>
      </c>
      <c r="AK74" s="1083" t="str">
        <f t="shared" si="13"/>
        <v/>
      </c>
      <c r="AL74" s="210">
        <v>7492420</v>
      </c>
      <c r="AM74" s="210"/>
      <c r="AN74" s="210"/>
      <c r="AO74" s="210"/>
      <c r="AP74" s="210"/>
      <c r="AQ74" s="210"/>
      <c r="AR74" s="210"/>
      <c r="AS74" s="210"/>
      <c r="AT74" s="210"/>
      <c r="AU74" s="210"/>
      <c r="AV74" s="210"/>
      <c r="AW74" s="210"/>
      <c r="AX74" s="210"/>
      <c r="AY74" s="210"/>
      <c r="AZ74" s="210"/>
      <c r="BA74" s="210"/>
      <c r="BB74" s="210"/>
      <c r="BC74" s="210"/>
      <c r="BD74" s="342">
        <v>0</v>
      </c>
      <c r="BE74" s="82">
        <f t="shared" ref="BE74:BE137" si="15">SUM(AL74:BC74)</f>
        <v>7492420</v>
      </c>
    </row>
    <row r="75" spans="1:57" ht="34.5" hidden="1" customHeight="1" x14ac:dyDescent="0.3">
      <c r="A75" s="80">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1">
        <v>41322</v>
      </c>
      <c r="I75" s="61"/>
      <c r="J75" s="162"/>
      <c r="K75" s="332"/>
      <c r="L75" s="162"/>
      <c r="M75" s="332"/>
      <c r="N75" s="162"/>
      <c r="O75" s="332"/>
      <c r="P75" s="162"/>
      <c r="Q75" s="332"/>
      <c r="R75" s="81">
        <f t="shared" si="14"/>
        <v>0</v>
      </c>
      <c r="S75" s="345"/>
      <c r="T75" s="343"/>
      <c r="U75" s="345"/>
      <c r="V75" s="343"/>
      <c r="W75" s="345"/>
      <c r="X75" s="343"/>
      <c r="Y75" s="345"/>
      <c r="Z75" s="343"/>
      <c r="AA75" s="165"/>
      <c r="AB75" s="1004" t="str">
        <f t="shared" si="8"/>
        <v/>
      </c>
      <c r="AC75" s="1082" t="str">
        <f t="shared" si="9"/>
        <v/>
      </c>
      <c r="AD75" s="1074"/>
      <c r="AE75" s="1074"/>
      <c r="AF75" s="1084" t="str">
        <f t="shared" si="10"/>
        <v/>
      </c>
      <c r="AG75" s="1082" t="str">
        <f t="shared" si="11"/>
        <v/>
      </c>
      <c r="AH75" s="1088"/>
      <c r="AI75" s="1087"/>
      <c r="AJ75" s="1084" t="str">
        <f t="shared" si="12"/>
        <v/>
      </c>
      <c r="AK75" s="1083" t="str">
        <f t="shared" si="13"/>
        <v/>
      </c>
      <c r="AL75" s="210">
        <v>58300000</v>
      </c>
      <c r="AM75" s="210"/>
      <c r="AN75" s="210"/>
      <c r="AO75" s="210"/>
      <c r="AP75" s="210"/>
      <c r="AQ75" s="210"/>
      <c r="AR75" s="210"/>
      <c r="AS75" s="210"/>
      <c r="AT75" s="210"/>
      <c r="AU75" s="210"/>
      <c r="AV75" s="210"/>
      <c r="AW75" s="210"/>
      <c r="AX75" s="210"/>
      <c r="AY75" s="210"/>
      <c r="AZ75" s="210"/>
      <c r="BA75" s="210"/>
      <c r="BB75" s="210"/>
      <c r="BC75" s="210"/>
      <c r="BD75" s="342">
        <v>0</v>
      </c>
      <c r="BE75" s="82">
        <f t="shared" si="15"/>
        <v>58300000</v>
      </c>
    </row>
    <row r="76" spans="1:57" ht="34.5" hidden="1" customHeight="1" x14ac:dyDescent="0.3">
      <c r="A76" s="80">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1">
        <v>293000000</v>
      </c>
      <c r="G76" s="12">
        <v>41269</v>
      </c>
      <c r="H76" s="62">
        <v>41451</v>
      </c>
      <c r="I76" s="62"/>
      <c r="J76" s="162">
        <v>46000000</v>
      </c>
      <c r="K76" s="332">
        <v>41523</v>
      </c>
      <c r="L76" s="162">
        <v>72000000</v>
      </c>
      <c r="M76" s="332">
        <v>41558</v>
      </c>
      <c r="N76" s="162"/>
      <c r="O76" s="332"/>
      <c r="P76" s="162"/>
      <c r="Q76" s="332"/>
      <c r="R76" s="81">
        <f t="shared" si="14"/>
        <v>118000000</v>
      </c>
      <c r="S76" s="345" t="s">
        <v>964</v>
      </c>
      <c r="T76" s="343">
        <v>41496</v>
      </c>
      <c r="U76" s="345" t="s">
        <v>963</v>
      </c>
      <c r="V76" s="343">
        <v>41517</v>
      </c>
      <c r="W76" s="345" t="s">
        <v>381</v>
      </c>
      <c r="X76" s="343">
        <v>41547</v>
      </c>
      <c r="Y76" s="345" t="s">
        <v>978</v>
      </c>
      <c r="Z76" s="343">
        <v>41593</v>
      </c>
      <c r="AA76" s="165" t="s">
        <v>1325</v>
      </c>
      <c r="AB76" s="1004">
        <f t="shared" si="8"/>
        <v>41593</v>
      </c>
      <c r="AC76" s="1082" t="str">
        <f t="shared" si="9"/>
        <v/>
      </c>
      <c r="AD76" s="1074"/>
      <c r="AE76" s="1074"/>
      <c r="AF76" s="1084" t="str">
        <f t="shared" si="10"/>
        <v/>
      </c>
      <c r="AG76" s="1082" t="str">
        <f t="shared" si="11"/>
        <v/>
      </c>
      <c r="AH76" s="1088"/>
      <c r="AI76" s="1087"/>
      <c r="AJ76" s="1084" t="str">
        <f t="shared" si="12"/>
        <v/>
      </c>
      <c r="AK76" s="1083" t="str">
        <f t="shared" si="13"/>
        <v/>
      </c>
      <c r="AL76" s="210">
        <v>48743030</v>
      </c>
      <c r="AM76" s="210">
        <v>91760221</v>
      </c>
      <c r="AN76" s="210">
        <v>30850290</v>
      </c>
      <c r="AO76" s="210">
        <v>85977595</v>
      </c>
      <c r="AP76" s="210">
        <v>50643741</v>
      </c>
      <c r="AQ76" s="210">
        <v>50643741</v>
      </c>
      <c r="AR76" s="210">
        <v>52381382</v>
      </c>
      <c r="AS76" s="210"/>
      <c r="AT76" s="210"/>
      <c r="AU76" s="210"/>
      <c r="AV76" s="210"/>
      <c r="AW76" s="210"/>
      <c r="AX76" s="210"/>
      <c r="AY76" s="210"/>
      <c r="AZ76" s="210"/>
      <c r="BA76" s="210"/>
      <c r="BB76" s="210"/>
      <c r="BC76" s="210"/>
      <c r="BD76" s="342">
        <v>0</v>
      </c>
      <c r="BE76" s="82">
        <f t="shared" si="15"/>
        <v>411000000</v>
      </c>
    </row>
    <row r="77" spans="1:57" ht="34.5" hidden="1" customHeight="1" x14ac:dyDescent="0.3">
      <c r="A77" s="80">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1">
        <v>41514</v>
      </c>
      <c r="I77" s="61"/>
      <c r="J77" s="162"/>
      <c r="K77" s="332"/>
      <c r="L77" s="162"/>
      <c r="M77" s="332"/>
      <c r="N77" s="162"/>
      <c r="O77" s="332"/>
      <c r="P77" s="162"/>
      <c r="Q77" s="332"/>
      <c r="R77" s="81">
        <f t="shared" si="14"/>
        <v>0</v>
      </c>
      <c r="S77" s="345" t="s">
        <v>378</v>
      </c>
      <c r="T77" s="343">
        <v>41575</v>
      </c>
      <c r="U77" s="345"/>
      <c r="V77" s="343"/>
      <c r="W77" s="345"/>
      <c r="X77" s="343"/>
      <c r="Y77" s="345"/>
      <c r="Z77" s="343"/>
      <c r="AA77" s="165" t="s">
        <v>378</v>
      </c>
      <c r="AB77" s="1004">
        <f t="shared" si="8"/>
        <v>41575</v>
      </c>
      <c r="AC77" s="1082" t="str">
        <f t="shared" si="9"/>
        <v/>
      </c>
      <c r="AD77" s="1074"/>
      <c r="AE77" s="1074"/>
      <c r="AF77" s="1084" t="str">
        <f t="shared" si="10"/>
        <v/>
      </c>
      <c r="AG77" s="1082" t="str">
        <f t="shared" si="11"/>
        <v/>
      </c>
      <c r="AH77" s="1088"/>
      <c r="AI77" s="1087"/>
      <c r="AJ77" s="1084" t="str">
        <f t="shared" si="12"/>
        <v/>
      </c>
      <c r="AK77" s="1083" t="str">
        <f t="shared" si="13"/>
        <v/>
      </c>
      <c r="AL77" s="210">
        <v>2425641</v>
      </c>
      <c r="AM77" s="210">
        <v>1209953</v>
      </c>
      <c r="AN77" s="210">
        <v>1846379</v>
      </c>
      <c r="AO77" s="210">
        <v>1601478</v>
      </c>
      <c r="AP77" s="210">
        <v>2256479</v>
      </c>
      <c r="AQ77" s="210"/>
      <c r="AR77" s="210"/>
      <c r="AS77" s="210"/>
      <c r="AT77" s="210"/>
      <c r="AU77" s="210"/>
      <c r="AV77" s="210"/>
      <c r="AW77" s="210"/>
      <c r="AX77" s="210"/>
      <c r="AY77" s="210"/>
      <c r="AZ77" s="210"/>
      <c r="BA77" s="210"/>
      <c r="BB77" s="210"/>
      <c r="BC77" s="210"/>
      <c r="BD77" s="342">
        <v>0</v>
      </c>
      <c r="BE77" s="82">
        <f t="shared" si="15"/>
        <v>9339930</v>
      </c>
    </row>
    <row r="78" spans="1:57" ht="34.5" hidden="1" customHeight="1" thickBot="1" x14ac:dyDescent="0.35">
      <c r="A78" s="80">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3">
        <v>41652</v>
      </c>
      <c r="I78" s="63"/>
      <c r="J78" s="162">
        <v>285000</v>
      </c>
      <c r="K78" s="332">
        <v>41652</v>
      </c>
      <c r="L78" s="162"/>
      <c r="M78" s="332"/>
      <c r="N78" s="162"/>
      <c r="O78" s="332"/>
      <c r="P78" s="162"/>
      <c r="Q78" s="332"/>
      <c r="R78" s="81">
        <f t="shared" si="14"/>
        <v>285000</v>
      </c>
      <c r="S78" s="345" t="s">
        <v>378</v>
      </c>
      <c r="T78" s="343">
        <v>41711</v>
      </c>
      <c r="U78" s="345"/>
      <c r="V78" s="343"/>
      <c r="W78" s="345"/>
      <c r="X78" s="343"/>
      <c r="Y78" s="345"/>
      <c r="Z78" s="343"/>
      <c r="AA78" s="352" t="s">
        <v>378</v>
      </c>
      <c r="AB78" s="1004">
        <f t="shared" si="8"/>
        <v>41711</v>
      </c>
      <c r="AC78" s="1082" t="str">
        <f t="shared" si="9"/>
        <v/>
      </c>
      <c r="AD78" s="1074"/>
      <c r="AE78" s="1074"/>
      <c r="AF78" s="1084" t="str">
        <f t="shared" si="10"/>
        <v/>
      </c>
      <c r="AG78" s="1082" t="str">
        <f t="shared" si="11"/>
        <v/>
      </c>
      <c r="AH78" s="1088"/>
      <c r="AI78" s="1087"/>
      <c r="AJ78" s="1084" t="str">
        <f t="shared" si="12"/>
        <v/>
      </c>
      <c r="AK78" s="1083" t="str">
        <f t="shared" si="13"/>
        <v/>
      </c>
      <c r="AL78" s="210">
        <v>1535208</v>
      </c>
      <c r="AM78" s="210">
        <v>219962</v>
      </c>
      <c r="AN78" s="210"/>
      <c r="AO78" s="210"/>
      <c r="AP78" s="210"/>
      <c r="AQ78" s="210"/>
      <c r="AR78" s="210"/>
      <c r="AS78" s="210"/>
      <c r="AT78" s="210"/>
      <c r="AU78" s="210"/>
      <c r="AV78" s="210"/>
      <c r="AW78" s="210"/>
      <c r="AX78" s="210"/>
      <c r="AY78" s="210"/>
      <c r="AZ78" s="210"/>
      <c r="BA78" s="210"/>
      <c r="BB78" s="210"/>
      <c r="BC78" s="210"/>
      <c r="BD78" s="342">
        <v>0</v>
      </c>
      <c r="BE78" s="82">
        <f t="shared" si="15"/>
        <v>1755170</v>
      </c>
    </row>
    <row r="79" spans="1:57" ht="34.5" hidden="1" customHeight="1" thickBot="1" x14ac:dyDescent="0.35">
      <c r="A79" s="80">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7">
        <v>398614000</v>
      </c>
      <c r="G79" s="6">
        <v>41864</v>
      </c>
      <c r="H79" s="61">
        <v>42107</v>
      </c>
      <c r="I79" s="61"/>
      <c r="J79" s="162"/>
      <c r="K79" s="332"/>
      <c r="L79" s="162"/>
      <c r="M79" s="332"/>
      <c r="N79" s="162"/>
      <c r="O79" s="332"/>
      <c r="P79" s="162"/>
      <c r="Q79" s="332"/>
      <c r="R79" s="81">
        <f t="shared" si="14"/>
        <v>0</v>
      </c>
      <c r="S79" s="345" t="s">
        <v>1377</v>
      </c>
      <c r="T79" s="343">
        <v>42321</v>
      </c>
      <c r="U79" s="345"/>
      <c r="V79" s="343"/>
      <c r="W79" s="345"/>
      <c r="X79" s="343"/>
      <c r="Y79" s="345"/>
      <c r="Z79" s="343"/>
      <c r="AA79" s="353" t="s">
        <v>1377</v>
      </c>
      <c r="AB79" s="1004">
        <f t="shared" si="8"/>
        <v>42321</v>
      </c>
      <c r="AC79" s="1082" t="str">
        <f t="shared" si="9"/>
        <v/>
      </c>
      <c r="AD79" s="1074"/>
      <c r="AE79" s="1074"/>
      <c r="AF79" s="1084" t="str">
        <f t="shared" si="10"/>
        <v/>
      </c>
      <c r="AG79" s="1082" t="str">
        <f t="shared" si="11"/>
        <v/>
      </c>
      <c r="AH79" s="1088"/>
      <c r="AI79" s="1087"/>
      <c r="AJ79" s="1084" t="str">
        <f t="shared" si="12"/>
        <v/>
      </c>
      <c r="AK79" s="1083" t="str">
        <f t="shared" si="13"/>
        <v/>
      </c>
      <c r="AL79" s="210">
        <v>398614000</v>
      </c>
      <c r="AM79" s="210"/>
      <c r="AN79" s="210"/>
      <c r="AO79" s="210"/>
      <c r="AP79" s="210"/>
      <c r="AQ79" s="210"/>
      <c r="AR79" s="210"/>
      <c r="AS79" s="210"/>
      <c r="AT79" s="210"/>
      <c r="AU79" s="210"/>
      <c r="AV79" s="210"/>
      <c r="AW79" s="210"/>
      <c r="AX79" s="210"/>
      <c r="AY79" s="210"/>
      <c r="AZ79" s="210"/>
      <c r="BA79" s="210"/>
      <c r="BB79" s="210"/>
      <c r="BC79" s="210"/>
      <c r="BD79" s="342">
        <v>41954</v>
      </c>
      <c r="BE79" s="82">
        <f t="shared" si="15"/>
        <v>398614000</v>
      </c>
    </row>
    <row r="80" spans="1:57" ht="34.5" hidden="1" customHeight="1" x14ac:dyDescent="0.3">
      <c r="A80" s="80">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3">
        <v>41350</v>
      </c>
      <c r="I80" s="63"/>
      <c r="J80" s="162"/>
      <c r="K80" s="332"/>
      <c r="L80" s="162"/>
      <c r="M80" s="332"/>
      <c r="N80" s="162"/>
      <c r="O80" s="332"/>
      <c r="P80" s="162"/>
      <c r="Q80" s="332"/>
      <c r="R80" s="81">
        <f t="shared" si="14"/>
        <v>0</v>
      </c>
      <c r="S80" s="345"/>
      <c r="T80" s="343"/>
      <c r="U80" s="345"/>
      <c r="V80" s="343"/>
      <c r="W80" s="345"/>
      <c r="X80" s="343"/>
      <c r="Y80" s="345"/>
      <c r="Z80" s="343"/>
      <c r="AA80" s="354"/>
      <c r="AB80" s="1004" t="str">
        <f t="shared" si="8"/>
        <v/>
      </c>
      <c r="AC80" s="1082" t="str">
        <f t="shared" si="9"/>
        <v/>
      </c>
      <c r="AD80" s="1074"/>
      <c r="AE80" s="1074"/>
      <c r="AF80" s="1084" t="str">
        <f t="shared" si="10"/>
        <v/>
      </c>
      <c r="AG80" s="1082" t="str">
        <f t="shared" si="11"/>
        <v/>
      </c>
      <c r="AH80" s="1088"/>
      <c r="AI80" s="1087"/>
      <c r="AJ80" s="1084" t="str">
        <f t="shared" si="12"/>
        <v/>
      </c>
      <c r="AK80" s="1083" t="str">
        <f t="shared" si="13"/>
        <v/>
      </c>
      <c r="AL80" s="210">
        <v>1062500</v>
      </c>
      <c r="AM80" s="210"/>
      <c r="AN80" s="210"/>
      <c r="AO80" s="210"/>
      <c r="AP80" s="210"/>
      <c r="AQ80" s="210"/>
      <c r="AR80" s="210"/>
      <c r="AS80" s="210"/>
      <c r="AT80" s="210"/>
      <c r="AU80" s="210"/>
      <c r="AV80" s="210"/>
      <c r="AW80" s="210"/>
      <c r="AX80" s="210"/>
      <c r="AY80" s="210"/>
      <c r="AZ80" s="210"/>
      <c r="BA80" s="210"/>
      <c r="BB80" s="210"/>
      <c r="BC80" s="210"/>
      <c r="BD80" s="342">
        <v>0</v>
      </c>
      <c r="BE80" s="82">
        <f t="shared" si="15"/>
        <v>1062500</v>
      </c>
    </row>
    <row r="81" spans="1:59" ht="34.5" hidden="1" customHeight="1" x14ac:dyDescent="0.3">
      <c r="A81" s="80">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1">
        <v>41585</v>
      </c>
      <c r="I81" s="61"/>
      <c r="J81" s="346">
        <v>35588800</v>
      </c>
      <c r="K81" s="332"/>
      <c r="L81" s="162"/>
      <c r="M81" s="332"/>
      <c r="N81" s="162"/>
      <c r="O81" s="332"/>
      <c r="P81" s="162"/>
      <c r="Q81" s="332"/>
      <c r="R81" s="81">
        <f t="shared" si="14"/>
        <v>35588800</v>
      </c>
      <c r="S81" s="345" t="s">
        <v>381</v>
      </c>
      <c r="T81" s="343">
        <v>41736</v>
      </c>
      <c r="U81" s="345"/>
      <c r="V81" s="343"/>
      <c r="W81" s="345"/>
      <c r="X81" s="343"/>
      <c r="Y81" s="345"/>
      <c r="Z81" s="343"/>
      <c r="AA81" s="165" t="s">
        <v>381</v>
      </c>
      <c r="AB81" s="1004">
        <f t="shared" si="8"/>
        <v>41736</v>
      </c>
      <c r="AC81" s="1082" t="str">
        <f t="shared" si="9"/>
        <v/>
      </c>
      <c r="AD81" s="1074"/>
      <c r="AE81" s="1074"/>
      <c r="AF81" s="1084" t="str">
        <f t="shared" si="10"/>
        <v/>
      </c>
      <c r="AG81" s="1082" t="str">
        <f t="shared" si="11"/>
        <v/>
      </c>
      <c r="AH81" s="1088"/>
      <c r="AI81" s="1087"/>
      <c r="AJ81" s="1084" t="str">
        <f t="shared" si="12"/>
        <v/>
      </c>
      <c r="AK81" s="1083" t="str">
        <f t="shared" si="13"/>
        <v/>
      </c>
      <c r="AL81" s="210">
        <v>26691000</v>
      </c>
      <c r="AM81" s="210">
        <v>17794400</v>
      </c>
      <c r="AN81" s="210">
        <v>26691600</v>
      </c>
      <c r="AO81" s="210">
        <v>26691600</v>
      </c>
      <c r="AP81" s="210">
        <v>17794440</v>
      </c>
      <c r="AQ81" s="210"/>
      <c r="AR81" s="210"/>
      <c r="AS81" s="210"/>
      <c r="AT81" s="210"/>
      <c r="AU81" s="210"/>
      <c r="AV81" s="210"/>
      <c r="AW81" s="210"/>
      <c r="AX81" s="210"/>
      <c r="AY81" s="210"/>
      <c r="AZ81" s="210"/>
      <c r="BA81" s="210"/>
      <c r="BB81" s="210"/>
      <c r="BC81" s="210"/>
      <c r="BD81" s="342">
        <v>0</v>
      </c>
      <c r="BE81" s="82">
        <f t="shared" si="15"/>
        <v>115663040</v>
      </c>
    </row>
    <row r="82" spans="1:59" ht="34.5" hidden="1" customHeight="1" x14ac:dyDescent="0.3">
      <c r="A82" s="80">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1">
        <v>13806000</v>
      </c>
      <c r="G82" s="10">
        <v>41278</v>
      </c>
      <c r="H82" s="64">
        <v>41429</v>
      </c>
      <c r="I82" s="64"/>
      <c r="J82" s="162"/>
      <c r="K82" s="332"/>
      <c r="L82" s="162"/>
      <c r="M82" s="332"/>
      <c r="N82" s="162"/>
      <c r="O82" s="332"/>
      <c r="P82" s="162"/>
      <c r="Q82" s="332"/>
      <c r="R82" s="81">
        <f t="shared" si="14"/>
        <v>0</v>
      </c>
      <c r="S82" s="345" t="s">
        <v>381</v>
      </c>
      <c r="T82" s="343">
        <v>41459</v>
      </c>
      <c r="U82" s="345"/>
      <c r="V82" s="343"/>
      <c r="W82" s="345"/>
      <c r="X82" s="343"/>
      <c r="Y82" s="345"/>
      <c r="Z82" s="343"/>
      <c r="AA82" s="165" t="s">
        <v>381</v>
      </c>
      <c r="AB82" s="1004">
        <f t="shared" si="8"/>
        <v>41459</v>
      </c>
      <c r="AC82" s="1082" t="str">
        <f t="shared" si="9"/>
        <v/>
      </c>
      <c r="AD82" s="1074"/>
      <c r="AE82" s="1074"/>
      <c r="AF82" s="1084" t="str">
        <f t="shared" si="10"/>
        <v/>
      </c>
      <c r="AG82" s="1082" t="str">
        <f t="shared" si="11"/>
        <v/>
      </c>
      <c r="AH82" s="1088"/>
      <c r="AI82" s="1087"/>
      <c r="AJ82" s="1084" t="str">
        <f t="shared" si="12"/>
        <v/>
      </c>
      <c r="AK82" s="1083" t="str">
        <f t="shared" si="13"/>
        <v/>
      </c>
      <c r="AL82" s="210">
        <v>1278358</v>
      </c>
      <c r="AM82" s="210">
        <v>1861402</v>
      </c>
      <c r="AN82" s="210">
        <v>2768737</v>
      </c>
      <c r="AO82" s="210">
        <v>1583227</v>
      </c>
      <c r="AP82" s="210">
        <v>3769825</v>
      </c>
      <c r="AQ82" s="210">
        <v>1177559</v>
      </c>
      <c r="AR82" s="210"/>
      <c r="AS82" s="210"/>
      <c r="AT82" s="210"/>
      <c r="AU82" s="210"/>
      <c r="AV82" s="210"/>
      <c r="AW82" s="210"/>
      <c r="AX82" s="210"/>
      <c r="AY82" s="210"/>
      <c r="AZ82" s="210"/>
      <c r="BA82" s="210"/>
      <c r="BB82" s="210"/>
      <c r="BC82" s="210"/>
      <c r="BD82" s="342">
        <v>0</v>
      </c>
      <c r="BE82" s="82">
        <f t="shared" si="15"/>
        <v>12439108</v>
      </c>
    </row>
    <row r="83" spans="1:59" ht="34.5" hidden="1" customHeight="1" x14ac:dyDescent="0.3">
      <c r="A83" s="80">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3">
        <v>41442</v>
      </c>
      <c r="I83" s="63"/>
      <c r="J83" s="162">
        <v>20167111</v>
      </c>
      <c r="K83" s="332">
        <v>41570</v>
      </c>
      <c r="L83" s="162"/>
      <c r="M83" s="332"/>
      <c r="N83" s="162"/>
      <c r="O83" s="332"/>
      <c r="P83" s="162"/>
      <c r="Q83" s="332"/>
      <c r="R83" s="81">
        <f t="shared" si="14"/>
        <v>20167111</v>
      </c>
      <c r="S83" s="345" t="s">
        <v>544</v>
      </c>
      <c r="T83" s="343">
        <v>41595</v>
      </c>
      <c r="U83" s="345" t="s">
        <v>1326</v>
      </c>
      <c r="V83" s="343">
        <v>41608</v>
      </c>
      <c r="W83" s="345"/>
      <c r="X83" s="343"/>
      <c r="Y83" s="345"/>
      <c r="Z83" s="343"/>
      <c r="AA83" s="165" t="s">
        <v>1327</v>
      </c>
      <c r="AB83" s="1004">
        <f t="shared" si="8"/>
        <v>41608</v>
      </c>
      <c r="AC83" s="1082" t="str">
        <f t="shared" si="9"/>
        <v/>
      </c>
      <c r="AD83" s="1074"/>
      <c r="AE83" s="1074"/>
      <c r="AF83" s="1084" t="str">
        <f t="shared" si="10"/>
        <v/>
      </c>
      <c r="AG83" s="1082" t="str">
        <f t="shared" si="11"/>
        <v/>
      </c>
      <c r="AH83" s="1088"/>
      <c r="AI83" s="1087"/>
      <c r="AJ83" s="1084" t="str">
        <f t="shared" si="12"/>
        <v/>
      </c>
      <c r="AK83" s="1083" t="str">
        <f t="shared" si="13"/>
        <v/>
      </c>
      <c r="AL83" s="210">
        <v>23357667</v>
      </c>
      <c r="AM83" s="210">
        <v>4553030</v>
      </c>
      <c r="AN83" s="210">
        <v>14167536</v>
      </c>
      <c r="AO83" s="210">
        <v>11582106</v>
      </c>
      <c r="AP83" s="210">
        <v>11469461</v>
      </c>
      <c r="AQ83" s="210"/>
      <c r="AR83" s="210"/>
      <c r="AS83" s="210"/>
      <c r="AT83" s="210"/>
      <c r="AU83" s="210"/>
      <c r="AV83" s="210"/>
      <c r="AW83" s="210"/>
      <c r="AX83" s="210"/>
      <c r="AY83" s="210"/>
      <c r="AZ83" s="210"/>
      <c r="BA83" s="210"/>
      <c r="BB83" s="210"/>
      <c r="BC83" s="210"/>
      <c r="BD83" s="342">
        <v>0</v>
      </c>
      <c r="BE83" s="82">
        <f t="shared" si="15"/>
        <v>65129800</v>
      </c>
      <c r="BG83" s="387">
        <f>BG20-BE20</f>
        <v>0</v>
      </c>
    </row>
    <row r="84" spans="1:59" ht="34.5" hidden="1" customHeight="1" x14ac:dyDescent="0.3">
      <c r="A84" s="80">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1">
        <v>49500000</v>
      </c>
      <c r="G84" s="10">
        <v>41325</v>
      </c>
      <c r="H84" s="64">
        <v>41505</v>
      </c>
      <c r="I84" s="64"/>
      <c r="J84" s="162">
        <v>25746412</v>
      </c>
      <c r="K84" s="332">
        <v>41401</v>
      </c>
      <c r="L84" s="162"/>
      <c r="M84" s="332"/>
      <c r="N84" s="162"/>
      <c r="O84" s="332"/>
      <c r="P84" s="162"/>
      <c r="Q84" s="332"/>
      <c r="R84" s="81">
        <f t="shared" si="14"/>
        <v>25746412</v>
      </c>
      <c r="S84" s="345"/>
      <c r="T84" s="343"/>
      <c r="U84" s="345"/>
      <c r="V84" s="343"/>
      <c r="W84" s="345"/>
      <c r="X84" s="343"/>
      <c r="Y84" s="345"/>
      <c r="Z84" s="343"/>
      <c r="AA84" s="165"/>
      <c r="AB84" s="1004" t="str">
        <f t="shared" si="8"/>
        <v/>
      </c>
      <c r="AC84" s="1082" t="str">
        <f t="shared" si="9"/>
        <v/>
      </c>
      <c r="AD84" s="1074"/>
      <c r="AE84" s="1074"/>
      <c r="AF84" s="1084" t="str">
        <f t="shared" si="10"/>
        <v/>
      </c>
      <c r="AG84" s="1082" t="str">
        <f t="shared" si="11"/>
        <v/>
      </c>
      <c r="AH84" s="1088"/>
      <c r="AI84" s="1087"/>
      <c r="AJ84" s="1084" t="str">
        <f t="shared" si="12"/>
        <v/>
      </c>
      <c r="AK84" s="1083" t="str">
        <f t="shared" si="13"/>
        <v/>
      </c>
      <c r="AL84" s="210">
        <v>14277976</v>
      </c>
      <c r="AM84" s="210">
        <v>14378924</v>
      </c>
      <c r="AN84" s="210">
        <v>12899689</v>
      </c>
      <c r="AO84" s="210">
        <v>33676115</v>
      </c>
      <c r="AP84" s="210"/>
      <c r="AQ84" s="210"/>
      <c r="AR84" s="210"/>
      <c r="AS84" s="210"/>
      <c r="AT84" s="210"/>
      <c r="AU84" s="210"/>
      <c r="AV84" s="210"/>
      <c r="AW84" s="210"/>
      <c r="AX84" s="210"/>
      <c r="AY84" s="210"/>
      <c r="AZ84" s="210"/>
      <c r="BA84" s="210"/>
      <c r="BB84" s="210"/>
      <c r="BC84" s="210"/>
      <c r="BD84" s="342">
        <v>0</v>
      </c>
      <c r="BE84" s="82">
        <f t="shared" si="15"/>
        <v>75232704</v>
      </c>
    </row>
    <row r="85" spans="1:59" ht="34.5" hidden="1" customHeight="1" x14ac:dyDescent="0.3">
      <c r="A85" s="80">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3">
        <v>41442</v>
      </c>
      <c r="I85" s="63"/>
      <c r="J85" s="162"/>
      <c r="K85" s="332"/>
      <c r="L85" s="162"/>
      <c r="M85" s="332"/>
      <c r="N85" s="162"/>
      <c r="O85" s="332"/>
      <c r="P85" s="162"/>
      <c r="Q85" s="332"/>
      <c r="R85" s="81">
        <f t="shared" si="14"/>
        <v>0</v>
      </c>
      <c r="S85" s="345"/>
      <c r="T85" s="343"/>
      <c r="U85" s="345"/>
      <c r="V85" s="343"/>
      <c r="W85" s="345"/>
      <c r="X85" s="343"/>
      <c r="Y85" s="345"/>
      <c r="Z85" s="343"/>
      <c r="AA85" s="165"/>
      <c r="AB85" s="1004" t="str">
        <f t="shared" si="8"/>
        <v/>
      </c>
      <c r="AC85" s="1082" t="str">
        <f t="shared" si="9"/>
        <v/>
      </c>
      <c r="AD85" s="1074"/>
      <c r="AE85" s="1074"/>
      <c r="AF85" s="1084" t="str">
        <f t="shared" si="10"/>
        <v/>
      </c>
      <c r="AG85" s="1082" t="str">
        <f t="shared" si="11"/>
        <v/>
      </c>
      <c r="AH85" s="1088"/>
      <c r="AI85" s="1087"/>
      <c r="AJ85" s="1084" t="str">
        <f t="shared" si="12"/>
        <v/>
      </c>
      <c r="AK85" s="1083" t="str">
        <f t="shared" si="13"/>
        <v/>
      </c>
      <c r="AL85" s="210">
        <v>18495000</v>
      </c>
      <c r="AM85" s="210">
        <v>18495000</v>
      </c>
      <c r="AN85" s="210"/>
      <c r="AO85" s="210"/>
      <c r="AP85" s="210"/>
      <c r="AQ85" s="210"/>
      <c r="AR85" s="210"/>
      <c r="AS85" s="210"/>
      <c r="AT85" s="210"/>
      <c r="AU85" s="210"/>
      <c r="AV85" s="210"/>
      <c r="AW85" s="210"/>
      <c r="AX85" s="210"/>
      <c r="AY85" s="210"/>
      <c r="AZ85" s="210"/>
      <c r="BA85" s="210"/>
      <c r="BB85" s="210"/>
      <c r="BC85" s="210"/>
      <c r="BD85" s="342">
        <v>0</v>
      </c>
      <c r="BE85" s="82">
        <f t="shared" si="15"/>
        <v>36990000</v>
      </c>
    </row>
    <row r="86" spans="1:59" ht="34.5" hidden="1" customHeight="1" thickBot="1" x14ac:dyDescent="0.35">
      <c r="A86" s="80">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3">
        <v>41680</v>
      </c>
      <c r="I86" s="63"/>
      <c r="J86" s="162"/>
      <c r="K86" s="332"/>
      <c r="L86" s="162"/>
      <c r="M86" s="332"/>
      <c r="N86" s="162"/>
      <c r="O86" s="332"/>
      <c r="P86" s="162"/>
      <c r="Q86" s="332"/>
      <c r="R86" s="81">
        <f t="shared" si="14"/>
        <v>0</v>
      </c>
      <c r="S86" s="345"/>
      <c r="T86" s="343"/>
      <c r="U86" s="345"/>
      <c r="V86" s="343"/>
      <c r="W86" s="345"/>
      <c r="X86" s="343"/>
      <c r="Y86" s="345"/>
      <c r="Z86" s="343"/>
      <c r="AA86" s="352"/>
      <c r="AB86" s="1004" t="str">
        <f t="shared" si="8"/>
        <v/>
      </c>
      <c r="AC86" s="1082" t="str">
        <f t="shared" si="9"/>
        <v/>
      </c>
      <c r="AD86" s="1074"/>
      <c r="AE86" s="1074"/>
      <c r="AF86" s="1084" t="str">
        <f t="shared" si="10"/>
        <v/>
      </c>
      <c r="AG86" s="1082" t="str">
        <f t="shared" si="11"/>
        <v/>
      </c>
      <c r="AH86" s="1088"/>
      <c r="AI86" s="1087"/>
      <c r="AJ86" s="1084" t="str">
        <f t="shared" si="12"/>
        <v/>
      </c>
      <c r="AK86" s="1083" t="str">
        <f t="shared" si="13"/>
        <v/>
      </c>
      <c r="AL86" s="210">
        <v>85314724</v>
      </c>
      <c r="AM86" s="210"/>
      <c r="AN86" s="210"/>
      <c r="AO86" s="210"/>
      <c r="AP86" s="210"/>
      <c r="AQ86" s="210"/>
      <c r="AR86" s="210"/>
      <c r="AS86" s="210"/>
      <c r="AT86" s="210"/>
      <c r="AU86" s="210"/>
      <c r="AV86" s="210"/>
      <c r="AW86" s="210"/>
      <c r="AX86" s="210"/>
      <c r="AY86" s="210"/>
      <c r="AZ86" s="210"/>
      <c r="BA86" s="210"/>
      <c r="BB86" s="210"/>
      <c r="BC86" s="210"/>
      <c r="BD86" s="342">
        <v>0</v>
      </c>
      <c r="BE86" s="82">
        <f t="shared" si="15"/>
        <v>85314724</v>
      </c>
    </row>
    <row r="87" spans="1:59" ht="34.5" hidden="1" customHeight="1" x14ac:dyDescent="0.3">
      <c r="A87" s="80">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3">
        <v>41683</v>
      </c>
      <c r="I87" s="63"/>
      <c r="J87" s="162"/>
      <c r="K87" s="332"/>
      <c r="L87" s="162"/>
      <c r="M87" s="332"/>
      <c r="N87" s="162"/>
      <c r="O87" s="332"/>
      <c r="P87" s="162"/>
      <c r="Q87" s="332"/>
      <c r="R87" s="81">
        <f t="shared" si="14"/>
        <v>0</v>
      </c>
      <c r="S87" s="345"/>
      <c r="T87" s="343"/>
      <c r="U87" s="345"/>
      <c r="V87" s="343"/>
      <c r="W87" s="345"/>
      <c r="X87" s="343"/>
      <c r="Y87" s="345"/>
      <c r="Z87" s="343"/>
      <c r="AA87" s="355"/>
      <c r="AB87" s="1004" t="str">
        <f t="shared" si="8"/>
        <v/>
      </c>
      <c r="AC87" s="1082" t="str">
        <f t="shared" si="9"/>
        <v/>
      </c>
      <c r="AD87" s="1074"/>
      <c r="AE87" s="1074"/>
      <c r="AF87" s="1084" t="str">
        <f t="shared" si="10"/>
        <v/>
      </c>
      <c r="AG87" s="1082" t="str">
        <f t="shared" si="11"/>
        <v/>
      </c>
      <c r="AH87" s="1088"/>
      <c r="AI87" s="1087"/>
      <c r="AJ87" s="1084" t="str">
        <f t="shared" si="12"/>
        <v/>
      </c>
      <c r="AK87" s="1083" t="str">
        <f t="shared" si="13"/>
        <v/>
      </c>
      <c r="AL87" s="210">
        <v>86100000</v>
      </c>
      <c r="AM87" s="210">
        <v>36900000</v>
      </c>
      <c r="AN87" s="210"/>
      <c r="AO87" s="210"/>
      <c r="AP87" s="210"/>
      <c r="AQ87" s="210"/>
      <c r="AR87" s="210"/>
      <c r="AS87" s="210"/>
      <c r="AT87" s="210"/>
      <c r="AU87" s="210"/>
      <c r="AV87" s="210"/>
      <c r="AW87" s="210"/>
      <c r="AX87" s="210"/>
      <c r="AY87" s="210"/>
      <c r="AZ87" s="210"/>
      <c r="BA87" s="210"/>
      <c r="BB87" s="210"/>
      <c r="BC87" s="210"/>
      <c r="BD87" s="342">
        <v>0</v>
      </c>
      <c r="BE87" s="82">
        <f t="shared" si="15"/>
        <v>123000000</v>
      </c>
    </row>
    <row r="88" spans="1:59" ht="34.5" hidden="1" customHeight="1" x14ac:dyDescent="0.3">
      <c r="A88" s="80">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3">
        <v>41711</v>
      </c>
      <c r="I88" s="63"/>
      <c r="J88" s="162"/>
      <c r="K88" s="332"/>
      <c r="L88" s="162"/>
      <c r="M88" s="332"/>
      <c r="N88" s="162"/>
      <c r="O88" s="332"/>
      <c r="P88" s="162"/>
      <c r="Q88" s="332"/>
      <c r="R88" s="81">
        <f t="shared" si="14"/>
        <v>0</v>
      </c>
      <c r="S88" s="345"/>
      <c r="T88" s="343"/>
      <c r="U88" s="345"/>
      <c r="V88" s="343"/>
      <c r="W88" s="345"/>
      <c r="X88" s="343"/>
      <c r="Y88" s="345"/>
      <c r="Z88" s="343"/>
      <c r="AA88" s="165"/>
      <c r="AB88" s="1004" t="str">
        <f t="shared" si="8"/>
        <v/>
      </c>
      <c r="AC88" s="1082" t="str">
        <f t="shared" si="9"/>
        <v/>
      </c>
      <c r="AD88" s="1074"/>
      <c r="AE88" s="1074"/>
      <c r="AF88" s="1084" t="str">
        <f t="shared" si="10"/>
        <v/>
      </c>
      <c r="AG88" s="1082" t="str">
        <f t="shared" si="11"/>
        <v/>
      </c>
      <c r="AH88" s="1088"/>
      <c r="AI88" s="1087"/>
      <c r="AJ88" s="1084" t="str">
        <f t="shared" si="12"/>
        <v/>
      </c>
      <c r="AK88" s="1083" t="str">
        <f t="shared" si="13"/>
        <v/>
      </c>
      <c r="AL88" s="210">
        <v>487200</v>
      </c>
      <c r="AM88" s="210">
        <v>626400</v>
      </c>
      <c r="AN88" s="210"/>
      <c r="AO88" s="210"/>
      <c r="AP88" s="210"/>
      <c r="AQ88" s="210"/>
      <c r="AR88" s="210"/>
      <c r="AS88" s="210"/>
      <c r="AT88" s="210"/>
      <c r="AU88" s="210"/>
      <c r="AV88" s="210"/>
      <c r="AW88" s="210"/>
      <c r="AX88" s="210"/>
      <c r="AY88" s="210"/>
      <c r="AZ88" s="210"/>
      <c r="BA88" s="210"/>
      <c r="BB88" s="210"/>
      <c r="BC88" s="210"/>
      <c r="BD88" s="342">
        <v>0</v>
      </c>
      <c r="BE88" s="82">
        <f t="shared" si="15"/>
        <v>1113600</v>
      </c>
    </row>
    <row r="89" spans="1:59" ht="34.5" hidden="1" customHeight="1" x14ac:dyDescent="0.3">
      <c r="A89" s="80">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3">
        <v>41652</v>
      </c>
      <c r="I89" s="63"/>
      <c r="J89" s="162"/>
      <c r="K89" s="332"/>
      <c r="L89" s="162"/>
      <c r="M89" s="332"/>
      <c r="N89" s="162"/>
      <c r="O89" s="332"/>
      <c r="P89" s="162"/>
      <c r="Q89" s="332"/>
      <c r="R89" s="81">
        <f t="shared" si="14"/>
        <v>0</v>
      </c>
      <c r="S89" s="345"/>
      <c r="T89" s="343"/>
      <c r="U89" s="345"/>
      <c r="V89" s="343"/>
      <c r="W89" s="345"/>
      <c r="X89" s="343"/>
      <c r="Y89" s="345"/>
      <c r="Z89" s="343"/>
      <c r="AA89" s="165"/>
      <c r="AB89" s="1004" t="str">
        <f t="shared" si="8"/>
        <v/>
      </c>
      <c r="AC89" s="1082" t="str">
        <f t="shared" si="9"/>
        <v/>
      </c>
      <c r="AD89" s="1074"/>
      <c r="AE89" s="1074"/>
      <c r="AF89" s="1084" t="str">
        <f t="shared" si="10"/>
        <v/>
      </c>
      <c r="AG89" s="1082" t="str">
        <f t="shared" si="11"/>
        <v/>
      </c>
      <c r="AH89" s="1088"/>
      <c r="AI89" s="1087"/>
      <c r="AJ89" s="1084" t="str">
        <f t="shared" si="12"/>
        <v/>
      </c>
      <c r="AK89" s="1083" t="str">
        <f t="shared" si="13"/>
        <v/>
      </c>
      <c r="AL89" s="210">
        <v>1625651</v>
      </c>
      <c r="AM89" s="210">
        <v>707008</v>
      </c>
      <c r="AN89" s="210">
        <v>707008</v>
      </c>
      <c r="AO89" s="210">
        <v>707008</v>
      </c>
      <c r="AP89" s="210">
        <v>707008</v>
      </c>
      <c r="AQ89" s="210"/>
      <c r="AR89" s="210"/>
      <c r="AS89" s="210"/>
      <c r="AT89" s="210"/>
      <c r="AU89" s="210"/>
      <c r="AV89" s="210"/>
      <c r="AW89" s="210"/>
      <c r="AX89" s="210"/>
      <c r="AY89" s="210"/>
      <c r="AZ89" s="210"/>
      <c r="BA89" s="210"/>
      <c r="BB89" s="210"/>
      <c r="BC89" s="210"/>
      <c r="BD89" s="342">
        <v>0</v>
      </c>
      <c r="BE89" s="82">
        <f t="shared" si="15"/>
        <v>4453683</v>
      </c>
    </row>
    <row r="90" spans="1:59" ht="34.5" hidden="1" customHeight="1" x14ac:dyDescent="0.3">
      <c r="A90" s="80">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3">
        <v>41731</v>
      </c>
      <c r="I90" s="63"/>
      <c r="J90" s="162"/>
      <c r="K90" s="332"/>
      <c r="L90" s="162"/>
      <c r="M90" s="332"/>
      <c r="N90" s="162"/>
      <c r="O90" s="332"/>
      <c r="P90" s="162"/>
      <c r="Q90" s="332"/>
      <c r="R90" s="81">
        <f t="shared" si="14"/>
        <v>0</v>
      </c>
      <c r="S90" s="345"/>
      <c r="T90" s="343"/>
      <c r="U90" s="345"/>
      <c r="V90" s="343"/>
      <c r="W90" s="345"/>
      <c r="X90" s="343"/>
      <c r="Y90" s="345"/>
      <c r="Z90" s="343"/>
      <c r="AA90" s="165"/>
      <c r="AB90" s="1004" t="str">
        <f t="shared" si="8"/>
        <v/>
      </c>
      <c r="AC90" s="1082" t="str">
        <f t="shared" si="9"/>
        <v/>
      </c>
      <c r="AD90" s="1074"/>
      <c r="AE90" s="1074"/>
      <c r="AF90" s="1084" t="str">
        <f t="shared" si="10"/>
        <v/>
      </c>
      <c r="AG90" s="1082" t="str">
        <f t="shared" si="11"/>
        <v/>
      </c>
      <c r="AH90" s="1088"/>
      <c r="AI90" s="1087"/>
      <c r="AJ90" s="1084" t="str">
        <f t="shared" si="12"/>
        <v/>
      </c>
      <c r="AK90" s="1083" t="str">
        <f t="shared" si="13"/>
        <v/>
      </c>
      <c r="AL90" s="210">
        <v>1192364</v>
      </c>
      <c r="AM90" s="210">
        <v>1145500</v>
      </c>
      <c r="AN90" s="210">
        <v>1192364</v>
      </c>
      <c r="AO90" s="210">
        <v>1192364</v>
      </c>
      <c r="AP90" s="210">
        <v>1192364</v>
      </c>
      <c r="AQ90" s="210">
        <v>1192364</v>
      </c>
      <c r="AR90" s="210">
        <v>1192364</v>
      </c>
      <c r="AS90" s="210">
        <v>1192364</v>
      </c>
      <c r="AT90" s="210">
        <v>1192364</v>
      </c>
      <c r="AU90" s="210">
        <v>1192364</v>
      </c>
      <c r="AV90" s="210">
        <v>1192364</v>
      </c>
      <c r="AW90" s="210">
        <v>1192364</v>
      </c>
      <c r="AX90" s="210">
        <v>1192364</v>
      </c>
      <c r="AY90" s="210"/>
      <c r="AZ90" s="210"/>
      <c r="BA90" s="210"/>
      <c r="BB90" s="210"/>
      <c r="BC90" s="210"/>
      <c r="BD90" s="342">
        <v>0</v>
      </c>
      <c r="BE90" s="82">
        <f t="shared" si="15"/>
        <v>15453868</v>
      </c>
    </row>
    <row r="91" spans="1:59" ht="34.5" hidden="1" customHeight="1" x14ac:dyDescent="0.3">
      <c r="A91" s="80">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3">
        <v>41716</v>
      </c>
      <c r="I91" s="63"/>
      <c r="J91" s="162"/>
      <c r="K91" s="332"/>
      <c r="L91" s="162"/>
      <c r="M91" s="332"/>
      <c r="N91" s="162"/>
      <c r="O91" s="332"/>
      <c r="P91" s="162"/>
      <c r="Q91" s="332"/>
      <c r="R91" s="81">
        <f t="shared" si="14"/>
        <v>0</v>
      </c>
      <c r="S91" s="345"/>
      <c r="T91" s="343"/>
      <c r="U91" s="345"/>
      <c r="V91" s="343"/>
      <c r="W91" s="345"/>
      <c r="X91" s="343"/>
      <c r="Y91" s="345"/>
      <c r="Z91" s="343"/>
      <c r="AA91" s="165"/>
      <c r="AB91" s="1004" t="str">
        <f t="shared" si="8"/>
        <v/>
      </c>
      <c r="AC91" s="1082" t="str">
        <f t="shared" si="9"/>
        <v/>
      </c>
      <c r="AD91" s="1074"/>
      <c r="AE91" s="1074"/>
      <c r="AF91" s="1084" t="str">
        <f t="shared" si="10"/>
        <v/>
      </c>
      <c r="AG91" s="1082" t="str">
        <f t="shared" si="11"/>
        <v/>
      </c>
      <c r="AH91" s="1088"/>
      <c r="AI91" s="1087"/>
      <c r="AJ91" s="1084" t="str">
        <f t="shared" si="12"/>
        <v/>
      </c>
      <c r="AK91" s="1083" t="str">
        <f t="shared" si="13"/>
        <v/>
      </c>
      <c r="AL91" s="210">
        <v>1197000</v>
      </c>
      <c r="AM91" s="210"/>
      <c r="AN91" s="210"/>
      <c r="AO91" s="210"/>
      <c r="AP91" s="210"/>
      <c r="AQ91" s="210"/>
      <c r="AR91" s="210"/>
      <c r="AS91" s="210"/>
      <c r="AT91" s="210"/>
      <c r="AU91" s="210"/>
      <c r="AV91" s="210"/>
      <c r="AW91" s="210"/>
      <c r="AX91" s="210"/>
      <c r="AY91" s="210"/>
      <c r="AZ91" s="210"/>
      <c r="BA91" s="210"/>
      <c r="BB91" s="210"/>
      <c r="BC91" s="210"/>
      <c r="BD91" s="342">
        <v>0</v>
      </c>
      <c r="BE91" s="82">
        <f t="shared" si="15"/>
        <v>1197000</v>
      </c>
    </row>
    <row r="92" spans="1:59" ht="34.5" hidden="1" customHeight="1" x14ac:dyDescent="0.3">
      <c r="A92" s="80">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3">
        <v>41764</v>
      </c>
      <c r="I92" s="63"/>
      <c r="J92" s="162"/>
      <c r="K92" s="332"/>
      <c r="L92" s="162"/>
      <c r="M92" s="332"/>
      <c r="N92" s="162"/>
      <c r="O92" s="332"/>
      <c r="P92" s="162"/>
      <c r="Q92" s="332"/>
      <c r="R92" s="81">
        <f t="shared" si="14"/>
        <v>0</v>
      </c>
      <c r="S92" s="345"/>
      <c r="T92" s="343"/>
      <c r="U92" s="345"/>
      <c r="V92" s="343"/>
      <c r="W92" s="345"/>
      <c r="X92" s="343"/>
      <c r="Y92" s="345"/>
      <c r="Z92" s="343"/>
      <c r="AA92" s="165"/>
      <c r="AB92" s="1004" t="str">
        <f t="shared" si="8"/>
        <v/>
      </c>
      <c r="AC92" s="1082" t="str">
        <f t="shared" si="9"/>
        <v/>
      </c>
      <c r="AD92" s="1074"/>
      <c r="AE92" s="1074"/>
      <c r="AF92" s="1084" t="str">
        <f t="shared" si="10"/>
        <v/>
      </c>
      <c r="AG92" s="1082" t="str">
        <f t="shared" si="11"/>
        <v/>
      </c>
      <c r="AH92" s="1088"/>
      <c r="AI92" s="1087"/>
      <c r="AJ92" s="1084" t="str">
        <f t="shared" si="12"/>
        <v/>
      </c>
      <c r="AK92" s="1083" t="str">
        <f t="shared" si="13"/>
        <v/>
      </c>
      <c r="AL92" s="210">
        <v>533600</v>
      </c>
      <c r="AM92" s="210">
        <v>4442800</v>
      </c>
      <c r="AN92" s="210">
        <v>533600</v>
      </c>
      <c r="AO92" s="210">
        <v>533600</v>
      </c>
      <c r="AP92" s="210">
        <v>440800</v>
      </c>
      <c r="AQ92" s="210">
        <v>533600</v>
      </c>
      <c r="AR92" s="210"/>
      <c r="AS92" s="210"/>
      <c r="AT92" s="210"/>
      <c r="AU92" s="210"/>
      <c r="AV92" s="210"/>
      <c r="AW92" s="210"/>
      <c r="AX92" s="210"/>
      <c r="AY92" s="210"/>
      <c r="AZ92" s="210"/>
      <c r="BA92" s="210"/>
      <c r="BB92" s="210"/>
      <c r="BC92" s="210"/>
      <c r="BD92" s="342">
        <v>0</v>
      </c>
      <c r="BE92" s="82">
        <f t="shared" si="15"/>
        <v>7018000</v>
      </c>
    </row>
    <row r="93" spans="1:59" ht="34.5" hidden="1" customHeight="1" x14ac:dyDescent="0.3">
      <c r="A93" s="80">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3">
        <v>41545</v>
      </c>
      <c r="I93" s="63"/>
      <c r="J93" s="162"/>
      <c r="K93" s="332"/>
      <c r="L93" s="162"/>
      <c r="M93" s="332"/>
      <c r="N93" s="162"/>
      <c r="O93" s="332"/>
      <c r="P93" s="162"/>
      <c r="Q93" s="332"/>
      <c r="R93" s="81">
        <f t="shared" si="14"/>
        <v>0</v>
      </c>
      <c r="S93" s="345"/>
      <c r="T93" s="343"/>
      <c r="U93" s="345"/>
      <c r="V93" s="343"/>
      <c r="W93" s="345"/>
      <c r="X93" s="343"/>
      <c r="Y93" s="345"/>
      <c r="Z93" s="343"/>
      <c r="AA93" s="165"/>
      <c r="AB93" s="1004" t="str">
        <f t="shared" si="8"/>
        <v/>
      </c>
      <c r="AC93" s="1082" t="str">
        <f t="shared" si="9"/>
        <v/>
      </c>
      <c r="AD93" s="1074"/>
      <c r="AE93" s="1074"/>
      <c r="AF93" s="1084" t="str">
        <f t="shared" si="10"/>
        <v/>
      </c>
      <c r="AG93" s="1082" t="str">
        <f t="shared" si="11"/>
        <v/>
      </c>
      <c r="AH93" s="1088"/>
      <c r="AI93" s="1087"/>
      <c r="AJ93" s="1084" t="str">
        <f t="shared" si="12"/>
        <v/>
      </c>
      <c r="AK93" s="1083" t="str">
        <f t="shared" si="13"/>
        <v/>
      </c>
      <c r="AL93" s="210">
        <v>3700000</v>
      </c>
      <c r="AM93" s="210"/>
      <c r="AN93" s="210"/>
      <c r="AO93" s="210"/>
      <c r="AP93" s="210"/>
      <c r="AQ93" s="210"/>
      <c r="AR93" s="210"/>
      <c r="AS93" s="210"/>
      <c r="AT93" s="210"/>
      <c r="AU93" s="210"/>
      <c r="AV93" s="210"/>
      <c r="AW93" s="210"/>
      <c r="AX93" s="210"/>
      <c r="AY93" s="210"/>
      <c r="AZ93" s="210"/>
      <c r="BA93" s="210"/>
      <c r="BB93" s="210"/>
      <c r="BC93" s="210"/>
      <c r="BD93" s="342">
        <v>0</v>
      </c>
      <c r="BE93" s="82">
        <f t="shared" si="15"/>
        <v>3700000</v>
      </c>
    </row>
    <row r="94" spans="1:59" ht="34.5" hidden="1" customHeight="1" x14ac:dyDescent="0.3">
      <c r="A94" s="80">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3">
        <v>41692</v>
      </c>
      <c r="I94" s="63"/>
      <c r="J94" s="162"/>
      <c r="K94" s="332"/>
      <c r="L94" s="162"/>
      <c r="M94" s="332"/>
      <c r="N94" s="162"/>
      <c r="O94" s="332"/>
      <c r="P94" s="162"/>
      <c r="Q94" s="332"/>
      <c r="R94" s="81">
        <f t="shared" si="14"/>
        <v>0</v>
      </c>
      <c r="S94" s="345"/>
      <c r="T94" s="343"/>
      <c r="U94" s="345"/>
      <c r="V94" s="343"/>
      <c r="W94" s="345"/>
      <c r="X94" s="343"/>
      <c r="Y94" s="345"/>
      <c r="Z94" s="343"/>
      <c r="AA94" s="165"/>
      <c r="AB94" s="1004" t="str">
        <f t="shared" si="8"/>
        <v/>
      </c>
      <c r="AC94" s="1082" t="str">
        <f t="shared" si="9"/>
        <v/>
      </c>
      <c r="AD94" s="1074"/>
      <c r="AE94" s="1074"/>
      <c r="AF94" s="1084" t="str">
        <f t="shared" si="10"/>
        <v/>
      </c>
      <c r="AG94" s="1082" t="str">
        <f t="shared" si="11"/>
        <v/>
      </c>
      <c r="AH94" s="1088"/>
      <c r="AI94" s="1087"/>
      <c r="AJ94" s="1084" t="str">
        <f t="shared" si="12"/>
        <v/>
      </c>
      <c r="AK94" s="1083" t="str">
        <f t="shared" si="13"/>
        <v/>
      </c>
      <c r="AL94" s="210">
        <v>50000000</v>
      </c>
      <c r="AM94" s="210"/>
      <c r="AN94" s="210"/>
      <c r="AO94" s="210"/>
      <c r="AP94" s="210"/>
      <c r="AQ94" s="210"/>
      <c r="AR94" s="210"/>
      <c r="AS94" s="210"/>
      <c r="AT94" s="210"/>
      <c r="AU94" s="210"/>
      <c r="AV94" s="210"/>
      <c r="AW94" s="210"/>
      <c r="AX94" s="210"/>
      <c r="AY94" s="210"/>
      <c r="AZ94" s="210"/>
      <c r="BA94" s="210"/>
      <c r="BB94" s="210"/>
      <c r="BC94" s="210"/>
      <c r="BD94" s="342">
        <v>0</v>
      </c>
      <c r="BE94" s="82">
        <f t="shared" si="15"/>
        <v>50000000</v>
      </c>
    </row>
    <row r="95" spans="1:59" ht="34.5" hidden="1" customHeight="1" x14ac:dyDescent="0.3">
      <c r="A95" s="80">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3">
        <v>41699</v>
      </c>
      <c r="I95" s="63"/>
      <c r="J95" s="162"/>
      <c r="K95" s="332"/>
      <c r="L95" s="162"/>
      <c r="M95" s="332"/>
      <c r="N95" s="162"/>
      <c r="O95" s="332"/>
      <c r="P95" s="162"/>
      <c r="Q95" s="332"/>
      <c r="R95" s="81">
        <f t="shared" si="14"/>
        <v>0</v>
      </c>
      <c r="S95" s="345"/>
      <c r="T95" s="343"/>
      <c r="U95" s="345"/>
      <c r="V95" s="343"/>
      <c r="W95" s="345"/>
      <c r="X95" s="343"/>
      <c r="Y95" s="345"/>
      <c r="Z95" s="343"/>
      <c r="AA95" s="165"/>
      <c r="AB95" s="1004" t="str">
        <f t="shared" si="8"/>
        <v/>
      </c>
      <c r="AC95" s="1082" t="str">
        <f t="shared" si="9"/>
        <v/>
      </c>
      <c r="AD95" s="1074"/>
      <c r="AE95" s="1074"/>
      <c r="AF95" s="1084" t="str">
        <f t="shared" si="10"/>
        <v/>
      </c>
      <c r="AG95" s="1082" t="str">
        <f t="shared" si="11"/>
        <v/>
      </c>
      <c r="AH95" s="1088"/>
      <c r="AI95" s="1087"/>
      <c r="AJ95" s="1084" t="str">
        <f t="shared" si="12"/>
        <v/>
      </c>
      <c r="AK95" s="1083" t="str">
        <f t="shared" si="13"/>
        <v/>
      </c>
      <c r="AL95" s="210">
        <v>41600000</v>
      </c>
      <c r="AM95" s="210"/>
      <c r="AN95" s="210"/>
      <c r="AO95" s="210"/>
      <c r="AP95" s="210"/>
      <c r="AQ95" s="210"/>
      <c r="AR95" s="210"/>
      <c r="AS95" s="210"/>
      <c r="AT95" s="210"/>
      <c r="AU95" s="210"/>
      <c r="AV95" s="210"/>
      <c r="AW95" s="210"/>
      <c r="AX95" s="210"/>
      <c r="AY95" s="210"/>
      <c r="AZ95" s="210"/>
      <c r="BA95" s="210"/>
      <c r="BB95" s="210"/>
      <c r="BC95" s="210"/>
      <c r="BD95" s="342">
        <v>0</v>
      </c>
      <c r="BE95" s="82">
        <f t="shared" si="15"/>
        <v>41600000</v>
      </c>
    </row>
    <row r="96" spans="1:59" ht="34.5" hidden="1" customHeight="1" x14ac:dyDescent="0.3">
      <c r="A96" s="80">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3">
        <v>41477</v>
      </c>
      <c r="I96" s="63"/>
      <c r="J96" s="162">
        <v>80000000</v>
      </c>
      <c r="K96" s="332">
        <v>41477</v>
      </c>
      <c r="L96" s="162"/>
      <c r="M96" s="332"/>
      <c r="N96" s="162"/>
      <c r="O96" s="332"/>
      <c r="P96" s="162"/>
      <c r="Q96" s="332"/>
      <c r="R96" s="81">
        <f t="shared" si="14"/>
        <v>80000000</v>
      </c>
      <c r="S96" s="345" t="s">
        <v>381</v>
      </c>
      <c r="T96" s="343">
        <v>41508</v>
      </c>
      <c r="U96" s="345"/>
      <c r="V96" s="343"/>
      <c r="W96" s="345"/>
      <c r="X96" s="343"/>
      <c r="Y96" s="345"/>
      <c r="Z96" s="343"/>
      <c r="AA96" s="165" t="s">
        <v>381</v>
      </c>
      <c r="AB96" s="1004">
        <f t="shared" si="8"/>
        <v>41508</v>
      </c>
      <c r="AC96" s="1082" t="str">
        <f t="shared" si="9"/>
        <v/>
      </c>
      <c r="AD96" s="1074"/>
      <c r="AE96" s="1074"/>
      <c r="AF96" s="1084" t="str">
        <f t="shared" si="10"/>
        <v/>
      </c>
      <c r="AG96" s="1082" t="str">
        <f t="shared" si="11"/>
        <v/>
      </c>
      <c r="AH96" s="1088"/>
      <c r="AI96" s="1087"/>
      <c r="AJ96" s="1084" t="str">
        <f t="shared" si="12"/>
        <v/>
      </c>
      <c r="AK96" s="1083" t="str">
        <f t="shared" si="13"/>
        <v/>
      </c>
      <c r="AL96" s="210">
        <v>239999964</v>
      </c>
      <c r="AM96" s="210"/>
      <c r="AN96" s="210"/>
      <c r="AO96" s="210"/>
      <c r="AP96" s="210"/>
      <c r="AQ96" s="210"/>
      <c r="AR96" s="210"/>
      <c r="AS96" s="210"/>
      <c r="AT96" s="210"/>
      <c r="AU96" s="210"/>
      <c r="AV96" s="210"/>
      <c r="AW96" s="210"/>
      <c r="AX96" s="210"/>
      <c r="AY96" s="210"/>
      <c r="AZ96" s="210"/>
      <c r="BA96" s="210"/>
      <c r="BB96" s="210"/>
      <c r="BC96" s="210"/>
      <c r="BD96" s="342">
        <v>0</v>
      </c>
      <c r="BE96" s="82">
        <f t="shared" si="15"/>
        <v>239999964</v>
      </c>
    </row>
    <row r="97" spans="1:57" ht="34.5" hidden="1" customHeight="1" x14ac:dyDescent="0.3">
      <c r="A97" s="80">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1">
        <v>41678</v>
      </c>
      <c r="I97" s="61"/>
      <c r="J97" s="162">
        <v>11395000</v>
      </c>
      <c r="K97" s="332">
        <v>41796</v>
      </c>
      <c r="L97" s="162"/>
      <c r="M97" s="332"/>
      <c r="N97" s="162"/>
      <c r="O97" s="332"/>
      <c r="P97" s="162"/>
      <c r="Q97" s="332"/>
      <c r="R97" s="81">
        <f t="shared" si="14"/>
        <v>11395000</v>
      </c>
      <c r="S97" s="345" t="s">
        <v>379</v>
      </c>
      <c r="T97" s="343">
        <v>41767</v>
      </c>
      <c r="U97" s="345" t="s">
        <v>381</v>
      </c>
      <c r="V97" s="343">
        <v>41798</v>
      </c>
      <c r="W97" s="345" t="s">
        <v>379</v>
      </c>
      <c r="X97" s="343">
        <v>41890</v>
      </c>
      <c r="Y97" s="345"/>
      <c r="Z97" s="343"/>
      <c r="AA97" s="350" t="s">
        <v>1377</v>
      </c>
      <c r="AB97" s="1004">
        <f t="shared" si="8"/>
        <v>41890</v>
      </c>
      <c r="AC97" s="1082" t="str">
        <f t="shared" si="9"/>
        <v/>
      </c>
      <c r="AD97" s="1074"/>
      <c r="AE97" s="1074"/>
      <c r="AF97" s="1084" t="str">
        <f t="shared" si="10"/>
        <v/>
      </c>
      <c r="AG97" s="1082" t="str">
        <f t="shared" si="11"/>
        <v/>
      </c>
      <c r="AH97" s="1088"/>
      <c r="AI97" s="1087"/>
      <c r="AJ97" s="1084" t="str">
        <f t="shared" si="12"/>
        <v/>
      </c>
      <c r="AK97" s="1083" t="str">
        <f t="shared" si="13"/>
        <v/>
      </c>
      <c r="AL97" s="210">
        <v>341000</v>
      </c>
      <c r="AM97" s="210">
        <v>279000</v>
      </c>
      <c r="AN97" s="210">
        <v>12588000</v>
      </c>
      <c r="AO97" s="210">
        <v>449500</v>
      </c>
      <c r="AP97" s="210">
        <v>396000</v>
      </c>
      <c r="AQ97" s="210">
        <v>513000</v>
      </c>
      <c r="AR97" s="210">
        <v>659500</v>
      </c>
      <c r="AS97" s="210">
        <v>7225000</v>
      </c>
      <c r="AT97" s="210">
        <v>226500</v>
      </c>
      <c r="AU97" s="210">
        <v>3376500</v>
      </c>
      <c r="AV97" s="210">
        <v>8346300</v>
      </c>
      <c r="AW97" s="210">
        <v>6724000</v>
      </c>
      <c r="AX97" s="210">
        <v>1514000</v>
      </c>
      <c r="AY97" s="210">
        <v>13145000</v>
      </c>
      <c r="AZ97" s="210">
        <v>155000</v>
      </c>
      <c r="BA97" s="210">
        <v>760000</v>
      </c>
      <c r="BB97" s="210">
        <v>7605500</v>
      </c>
      <c r="BC97" s="210">
        <v>2811500</v>
      </c>
      <c r="BD97" s="342">
        <v>41983</v>
      </c>
      <c r="BE97" s="82">
        <f t="shared" si="15"/>
        <v>67115300</v>
      </c>
    </row>
    <row r="98" spans="1:57" ht="34.5" hidden="1" customHeight="1" x14ac:dyDescent="0.3">
      <c r="A98" s="80">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1">
        <v>41671</v>
      </c>
      <c r="I98" s="61"/>
      <c r="J98" s="162">
        <v>81000000</v>
      </c>
      <c r="K98" s="332">
        <v>41711</v>
      </c>
      <c r="L98" s="162">
        <v>40839060</v>
      </c>
      <c r="M98" s="332">
        <v>41788</v>
      </c>
      <c r="N98" s="162"/>
      <c r="O98" s="332"/>
      <c r="P98" s="162"/>
      <c r="Q98" s="332"/>
      <c r="R98" s="81">
        <f t="shared" si="14"/>
        <v>121839060</v>
      </c>
      <c r="S98" s="345" t="s">
        <v>978</v>
      </c>
      <c r="T98" s="343">
        <v>41714</v>
      </c>
      <c r="U98" s="345" t="s">
        <v>966</v>
      </c>
      <c r="V98" s="343">
        <v>41790</v>
      </c>
      <c r="W98" s="345" t="s">
        <v>381</v>
      </c>
      <c r="X98" s="343">
        <v>41820</v>
      </c>
      <c r="Y98" s="345"/>
      <c r="Z98" s="343"/>
      <c r="AA98" s="350" t="s">
        <v>544</v>
      </c>
      <c r="AB98" s="1004">
        <f t="shared" si="8"/>
        <v>41820</v>
      </c>
      <c r="AC98" s="1082" t="str">
        <f t="shared" si="9"/>
        <v/>
      </c>
      <c r="AD98" s="1074"/>
      <c r="AE98" s="1074"/>
      <c r="AF98" s="1084" t="str">
        <f t="shared" si="10"/>
        <v/>
      </c>
      <c r="AG98" s="1082" t="str">
        <f t="shared" si="11"/>
        <v/>
      </c>
      <c r="AH98" s="1088"/>
      <c r="AI98" s="1087"/>
      <c r="AJ98" s="1084" t="str">
        <f t="shared" si="12"/>
        <v/>
      </c>
      <c r="AK98" s="1083" t="str">
        <f t="shared" si="13"/>
        <v/>
      </c>
      <c r="AL98" s="210">
        <v>32130758</v>
      </c>
      <c r="AM98" s="210">
        <v>35468772</v>
      </c>
      <c r="AN98" s="210">
        <v>37350240</v>
      </c>
      <c r="AO98" s="210">
        <v>37055598</v>
      </c>
      <c r="AP98" s="210">
        <v>36474757</v>
      </c>
      <c r="AQ98" s="210">
        <v>35630526</v>
      </c>
      <c r="AR98" s="210">
        <v>1530211</v>
      </c>
      <c r="AS98" s="210">
        <v>36432029</v>
      </c>
      <c r="AT98" s="210">
        <v>36100474</v>
      </c>
      <c r="AU98" s="210">
        <v>40177710</v>
      </c>
      <c r="AV98" s="210">
        <v>39429330</v>
      </c>
      <c r="AW98" s="210">
        <v>32563800</v>
      </c>
      <c r="AX98" s="210">
        <v>43866911</v>
      </c>
      <c r="AY98" s="210">
        <v>28922394</v>
      </c>
      <c r="AZ98" s="210"/>
      <c r="BA98" s="210"/>
      <c r="BB98" s="210"/>
      <c r="BC98" s="210"/>
      <c r="BD98" s="342">
        <v>0</v>
      </c>
      <c r="BE98" s="82">
        <f t="shared" si="15"/>
        <v>473133510</v>
      </c>
    </row>
    <row r="99" spans="1:57" ht="34.5" hidden="1" customHeight="1" x14ac:dyDescent="0.3">
      <c r="A99" s="80">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1">
        <v>41692</v>
      </c>
      <c r="I99" s="61"/>
      <c r="J99" s="162"/>
      <c r="K99" s="332"/>
      <c r="L99" s="162"/>
      <c r="M99" s="332"/>
      <c r="N99" s="162"/>
      <c r="O99" s="332"/>
      <c r="P99" s="162"/>
      <c r="Q99" s="332"/>
      <c r="R99" s="81">
        <f t="shared" si="14"/>
        <v>0</v>
      </c>
      <c r="S99" s="345"/>
      <c r="T99" s="343"/>
      <c r="U99" s="345"/>
      <c r="V99" s="343"/>
      <c r="W99" s="345"/>
      <c r="X99" s="343"/>
      <c r="Y99" s="345"/>
      <c r="Z99" s="343"/>
      <c r="AA99" s="165"/>
      <c r="AB99" s="1004" t="str">
        <f t="shared" si="8"/>
        <v/>
      </c>
      <c r="AC99" s="1082" t="str">
        <f t="shared" si="9"/>
        <v/>
      </c>
      <c r="AD99" s="1074"/>
      <c r="AE99" s="1074"/>
      <c r="AF99" s="1084" t="str">
        <f t="shared" si="10"/>
        <v/>
      </c>
      <c r="AG99" s="1082" t="str">
        <f t="shared" si="11"/>
        <v/>
      </c>
      <c r="AH99" s="1088"/>
      <c r="AI99" s="1087"/>
      <c r="AJ99" s="1084" t="str">
        <f t="shared" si="12"/>
        <v/>
      </c>
      <c r="AK99" s="1083" t="str">
        <f t="shared" si="13"/>
        <v/>
      </c>
      <c r="AL99" s="210">
        <v>143333</v>
      </c>
      <c r="AM99" s="210">
        <v>143333</v>
      </c>
      <c r="AN99" s="210">
        <v>143333</v>
      </c>
      <c r="AO99" s="210">
        <v>143333</v>
      </c>
      <c r="AP99" s="210">
        <v>143333</v>
      </c>
      <c r="AQ99" s="210">
        <v>143333</v>
      </c>
      <c r="AR99" s="210">
        <v>143333</v>
      </c>
      <c r="AS99" s="210">
        <v>806277</v>
      </c>
      <c r="AT99" s="210">
        <v>148064</v>
      </c>
      <c r="AU99" s="210">
        <v>129000</v>
      </c>
      <c r="AV99" s="210"/>
      <c r="AW99" s="210"/>
      <c r="AX99" s="210"/>
      <c r="AY99" s="210"/>
      <c r="AZ99" s="210"/>
      <c r="BA99" s="210"/>
      <c r="BB99" s="210"/>
      <c r="BC99" s="210"/>
      <c r="BD99" s="342">
        <v>0</v>
      </c>
      <c r="BE99" s="82">
        <f t="shared" si="15"/>
        <v>2086672</v>
      </c>
    </row>
    <row r="100" spans="1:57" ht="34.5" hidden="1" customHeight="1" x14ac:dyDescent="0.3">
      <c r="A100" s="80">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1">
        <v>41660</v>
      </c>
      <c r="I100" s="61"/>
      <c r="J100" s="162">
        <v>6150000</v>
      </c>
      <c r="K100" s="332">
        <v>41516</v>
      </c>
      <c r="L100" s="162"/>
      <c r="M100" s="332"/>
      <c r="N100" s="162"/>
      <c r="O100" s="332"/>
      <c r="P100" s="162"/>
      <c r="Q100" s="332"/>
      <c r="R100" s="81">
        <f t="shared" si="14"/>
        <v>6150000</v>
      </c>
      <c r="S100" s="345"/>
      <c r="T100" s="343"/>
      <c r="U100" s="345"/>
      <c r="V100" s="343"/>
      <c r="W100" s="345"/>
      <c r="X100" s="343"/>
      <c r="Y100" s="345"/>
      <c r="Z100" s="343"/>
      <c r="AA100" s="350"/>
      <c r="AB100" s="1004" t="str">
        <f t="shared" si="8"/>
        <v/>
      </c>
      <c r="AC100" s="1082" t="str">
        <f t="shared" si="9"/>
        <v/>
      </c>
      <c r="AD100" s="1074"/>
      <c r="AE100" s="1074"/>
      <c r="AF100" s="1084" t="str">
        <f t="shared" si="10"/>
        <v/>
      </c>
      <c r="AG100" s="1082" t="str">
        <f t="shared" si="11"/>
        <v/>
      </c>
      <c r="AH100" s="1088"/>
      <c r="AI100" s="1087"/>
      <c r="AJ100" s="1084" t="str">
        <f t="shared" si="12"/>
        <v/>
      </c>
      <c r="AK100" s="1083" t="str">
        <f t="shared" si="13"/>
        <v/>
      </c>
      <c r="AL100" s="210">
        <v>268746</v>
      </c>
      <c r="AM100" s="210">
        <v>11656493</v>
      </c>
      <c r="AN100" s="210">
        <v>568004</v>
      </c>
      <c r="AO100" s="210">
        <v>1246517</v>
      </c>
      <c r="AP100" s="210">
        <v>2957848</v>
      </c>
      <c r="AQ100" s="210">
        <v>369204</v>
      </c>
      <c r="AR100" s="210">
        <v>890498</v>
      </c>
      <c r="AS100" s="210">
        <v>329424</v>
      </c>
      <c r="AT100" s="210"/>
      <c r="AU100" s="210"/>
      <c r="AV100" s="210"/>
      <c r="AW100" s="210"/>
      <c r="AX100" s="210"/>
      <c r="AY100" s="210"/>
      <c r="AZ100" s="210"/>
      <c r="BA100" s="210"/>
      <c r="BB100" s="210"/>
      <c r="BC100" s="210"/>
      <c r="BD100" s="342">
        <v>0</v>
      </c>
      <c r="BE100" s="82">
        <f t="shared" si="15"/>
        <v>18286734</v>
      </c>
    </row>
    <row r="101" spans="1:57" ht="34.5" hidden="1" customHeight="1" x14ac:dyDescent="0.3">
      <c r="A101" s="80">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7">
        <v>7740000</v>
      </c>
      <c r="G101" s="6">
        <v>41410</v>
      </c>
      <c r="H101" s="61">
        <v>41774</v>
      </c>
      <c r="I101" s="61"/>
      <c r="J101" s="162"/>
      <c r="K101" s="332"/>
      <c r="L101" s="162"/>
      <c r="M101" s="332"/>
      <c r="N101" s="162"/>
      <c r="O101" s="332"/>
      <c r="P101" s="162"/>
      <c r="Q101" s="332"/>
      <c r="R101" s="81">
        <f t="shared" si="14"/>
        <v>0</v>
      </c>
      <c r="S101" s="345"/>
      <c r="T101" s="343"/>
      <c r="U101" s="345"/>
      <c r="V101" s="343"/>
      <c r="W101" s="345"/>
      <c r="X101" s="343"/>
      <c r="Y101" s="345"/>
      <c r="Z101" s="343"/>
      <c r="AA101" s="165"/>
      <c r="AB101" s="1004" t="str">
        <f t="shared" si="8"/>
        <v/>
      </c>
      <c r="AC101" s="1082" t="str">
        <f t="shared" si="9"/>
        <v/>
      </c>
      <c r="AD101" s="1074"/>
      <c r="AE101" s="1074"/>
      <c r="AF101" s="1084" t="str">
        <f t="shared" si="10"/>
        <v/>
      </c>
      <c r="AG101" s="1082" t="str">
        <f t="shared" si="11"/>
        <v/>
      </c>
      <c r="AH101" s="1088"/>
      <c r="AI101" s="1087"/>
      <c r="AJ101" s="1084" t="str">
        <f t="shared" si="12"/>
        <v/>
      </c>
      <c r="AK101" s="1083" t="str">
        <f t="shared" si="13"/>
        <v/>
      </c>
      <c r="AL101" s="210">
        <v>7740000</v>
      </c>
      <c r="AM101" s="210"/>
      <c r="AN101" s="210"/>
      <c r="AO101" s="210"/>
      <c r="AP101" s="210"/>
      <c r="AQ101" s="210"/>
      <c r="AR101" s="210"/>
      <c r="AS101" s="210"/>
      <c r="AT101" s="210"/>
      <c r="AU101" s="210"/>
      <c r="AV101" s="210"/>
      <c r="AW101" s="210"/>
      <c r="AX101" s="210"/>
      <c r="AY101" s="210"/>
      <c r="AZ101" s="210"/>
      <c r="BA101" s="210"/>
      <c r="BB101" s="210"/>
      <c r="BC101" s="210"/>
      <c r="BD101" s="342">
        <v>0</v>
      </c>
      <c r="BE101" s="82">
        <f t="shared" si="15"/>
        <v>7740000</v>
      </c>
    </row>
    <row r="102" spans="1:57" ht="34.5" hidden="1" customHeight="1" x14ac:dyDescent="0.3">
      <c r="A102" s="80">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3">
        <v>41713</v>
      </c>
      <c r="I102" s="63"/>
      <c r="J102" s="162"/>
      <c r="K102" s="332"/>
      <c r="L102" s="162"/>
      <c r="M102" s="332"/>
      <c r="N102" s="162"/>
      <c r="O102" s="332"/>
      <c r="P102" s="162"/>
      <c r="Q102" s="332"/>
      <c r="R102" s="81">
        <f t="shared" si="14"/>
        <v>0</v>
      </c>
      <c r="S102" s="345"/>
      <c r="T102" s="343"/>
      <c r="U102" s="345"/>
      <c r="V102" s="343"/>
      <c r="W102" s="345"/>
      <c r="X102" s="343"/>
      <c r="Y102" s="345"/>
      <c r="Z102" s="343"/>
      <c r="AA102" s="349"/>
      <c r="AB102" s="1004" t="str">
        <f t="shared" si="8"/>
        <v/>
      </c>
      <c r="AC102" s="1082" t="str">
        <f t="shared" si="9"/>
        <v/>
      </c>
      <c r="AD102" s="1074"/>
      <c r="AE102" s="1074"/>
      <c r="AF102" s="1084" t="str">
        <f t="shared" si="10"/>
        <v/>
      </c>
      <c r="AG102" s="1082" t="str">
        <f t="shared" si="11"/>
        <v/>
      </c>
      <c r="AH102" s="1088"/>
      <c r="AI102" s="1087"/>
      <c r="AJ102" s="1084" t="str">
        <f t="shared" si="12"/>
        <v/>
      </c>
      <c r="AK102" s="1083" t="str">
        <f t="shared" si="13"/>
        <v/>
      </c>
      <c r="AL102" s="210">
        <v>2500000</v>
      </c>
      <c r="AM102" s="210">
        <v>5000000</v>
      </c>
      <c r="AN102" s="210">
        <v>5000000</v>
      </c>
      <c r="AO102" s="210">
        <v>5000000</v>
      </c>
      <c r="AP102" s="210">
        <v>5000000</v>
      </c>
      <c r="AQ102" s="210">
        <v>5000000</v>
      </c>
      <c r="AR102" s="210"/>
      <c r="AS102" s="210"/>
      <c r="AT102" s="210"/>
      <c r="AU102" s="210"/>
      <c r="AV102" s="210"/>
      <c r="AW102" s="210"/>
      <c r="AX102" s="210"/>
      <c r="AY102" s="210"/>
      <c r="AZ102" s="210"/>
      <c r="BA102" s="210"/>
      <c r="BB102" s="210"/>
      <c r="BC102" s="210"/>
      <c r="BD102" s="342">
        <v>0</v>
      </c>
      <c r="BE102" s="82">
        <f t="shared" si="15"/>
        <v>27500000</v>
      </c>
    </row>
    <row r="103" spans="1:57" ht="34.5" hidden="1" customHeight="1" x14ac:dyDescent="0.3">
      <c r="A103" s="80">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1">
        <v>41698</v>
      </c>
      <c r="I103" s="61"/>
      <c r="J103" s="162"/>
      <c r="K103" s="332"/>
      <c r="L103" s="162"/>
      <c r="M103" s="332"/>
      <c r="N103" s="162"/>
      <c r="O103" s="332"/>
      <c r="P103" s="162"/>
      <c r="Q103" s="332"/>
      <c r="R103" s="81">
        <f t="shared" si="14"/>
        <v>0</v>
      </c>
      <c r="S103" s="345"/>
      <c r="T103" s="343"/>
      <c r="U103" s="345"/>
      <c r="V103" s="343"/>
      <c r="W103" s="345"/>
      <c r="X103" s="343"/>
      <c r="Y103" s="345"/>
      <c r="Z103" s="343"/>
      <c r="AA103" s="165"/>
      <c r="AB103" s="1004" t="str">
        <f t="shared" si="8"/>
        <v/>
      </c>
      <c r="AC103" s="1082" t="str">
        <f t="shared" si="9"/>
        <v/>
      </c>
      <c r="AD103" s="1074"/>
      <c r="AE103" s="1074"/>
      <c r="AF103" s="1084" t="str">
        <f t="shared" si="10"/>
        <v/>
      </c>
      <c r="AG103" s="1082" t="str">
        <f t="shared" si="11"/>
        <v/>
      </c>
      <c r="AH103" s="1088"/>
      <c r="AI103" s="1087"/>
      <c r="AJ103" s="1084" t="str">
        <f t="shared" si="12"/>
        <v/>
      </c>
      <c r="AK103" s="1083" t="str">
        <f t="shared" si="13"/>
        <v/>
      </c>
      <c r="AL103" s="210">
        <v>700000</v>
      </c>
      <c r="AM103" s="210">
        <v>1001600</v>
      </c>
      <c r="AN103" s="210">
        <v>984952</v>
      </c>
      <c r="AO103" s="210">
        <v>5097130</v>
      </c>
      <c r="AP103" s="210"/>
      <c r="AQ103" s="210"/>
      <c r="AR103" s="210"/>
      <c r="AS103" s="210"/>
      <c r="AT103" s="210"/>
      <c r="AU103" s="210"/>
      <c r="AV103" s="210"/>
      <c r="AW103" s="210"/>
      <c r="AX103" s="210"/>
      <c r="AY103" s="210"/>
      <c r="AZ103" s="210"/>
      <c r="BA103" s="210"/>
      <c r="BB103" s="210"/>
      <c r="BC103" s="210"/>
      <c r="BD103" s="342">
        <v>0</v>
      </c>
      <c r="BE103" s="82">
        <f t="shared" si="15"/>
        <v>7783682</v>
      </c>
    </row>
    <row r="104" spans="1:57" ht="34.5" hidden="1" customHeight="1" x14ac:dyDescent="0.3">
      <c r="A104" s="80">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1">
        <v>41623</v>
      </c>
      <c r="I104" s="61"/>
      <c r="J104" s="162">
        <v>2800000</v>
      </c>
      <c r="K104" s="332"/>
      <c r="L104" s="162">
        <v>3000000</v>
      </c>
      <c r="M104" s="332"/>
      <c r="N104" s="162">
        <v>5020000</v>
      </c>
      <c r="O104" s="332"/>
      <c r="P104" s="162"/>
      <c r="Q104" s="332"/>
      <c r="R104" s="81">
        <f t="shared" si="14"/>
        <v>10820000</v>
      </c>
      <c r="S104" s="345" t="s">
        <v>379</v>
      </c>
      <c r="T104" s="343">
        <v>41714</v>
      </c>
      <c r="U104" s="345" t="s">
        <v>381</v>
      </c>
      <c r="V104" s="343">
        <v>41745</v>
      </c>
      <c r="W104" s="345" t="s">
        <v>378</v>
      </c>
      <c r="X104" s="343">
        <v>41806</v>
      </c>
      <c r="Y104" s="345"/>
      <c r="Z104" s="343"/>
      <c r="AA104" s="165" t="s">
        <v>974</v>
      </c>
      <c r="AB104" s="1004">
        <f t="shared" si="8"/>
        <v>41806</v>
      </c>
      <c r="AC104" s="1082" t="str">
        <f t="shared" si="9"/>
        <v/>
      </c>
      <c r="AD104" s="1074"/>
      <c r="AE104" s="1074"/>
      <c r="AF104" s="1084" t="str">
        <f t="shared" si="10"/>
        <v/>
      </c>
      <c r="AG104" s="1082" t="str">
        <f t="shared" si="11"/>
        <v/>
      </c>
      <c r="AH104" s="1088"/>
      <c r="AI104" s="1087"/>
      <c r="AJ104" s="1084" t="str">
        <f t="shared" si="12"/>
        <v/>
      </c>
      <c r="AK104" s="1083" t="str">
        <f t="shared" si="13"/>
        <v/>
      </c>
      <c r="AL104" s="210">
        <v>2291750</v>
      </c>
      <c r="AM104" s="210">
        <v>2215800</v>
      </c>
      <c r="AN104" s="210">
        <v>2460700</v>
      </c>
      <c r="AO104" s="210">
        <v>2401150</v>
      </c>
      <c r="AP104" s="210">
        <v>2198450</v>
      </c>
      <c r="AQ104" s="210">
        <v>2562850</v>
      </c>
      <c r="AR104" s="210">
        <v>2994100</v>
      </c>
      <c r="AS104" s="210">
        <v>3606200</v>
      </c>
      <c r="AT104" s="210">
        <v>12101950</v>
      </c>
      <c r="AU104" s="210"/>
      <c r="AV104" s="210"/>
      <c r="AW104" s="210"/>
      <c r="AX104" s="210"/>
      <c r="AY104" s="210"/>
      <c r="AZ104" s="210"/>
      <c r="BA104" s="210"/>
      <c r="BB104" s="210"/>
      <c r="BC104" s="210"/>
      <c r="BD104" s="342">
        <v>0</v>
      </c>
      <c r="BE104" s="82">
        <f t="shared" si="15"/>
        <v>32832950</v>
      </c>
    </row>
    <row r="105" spans="1:57" ht="34.5" hidden="1" customHeight="1" x14ac:dyDescent="0.3">
      <c r="A105" s="80">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3">
        <v>41802</v>
      </c>
      <c r="I105" s="63"/>
      <c r="J105" s="162"/>
      <c r="K105" s="332"/>
      <c r="L105" s="162"/>
      <c r="M105" s="332"/>
      <c r="N105" s="162"/>
      <c r="O105" s="332"/>
      <c r="P105" s="162"/>
      <c r="Q105" s="332"/>
      <c r="R105" s="81">
        <f t="shared" si="14"/>
        <v>0</v>
      </c>
      <c r="S105" s="345"/>
      <c r="T105" s="343"/>
      <c r="U105" s="345"/>
      <c r="V105" s="343"/>
      <c r="W105" s="345"/>
      <c r="X105" s="343"/>
      <c r="Y105" s="345"/>
      <c r="Z105" s="343"/>
      <c r="AA105" s="167"/>
      <c r="AB105" s="1004" t="str">
        <f t="shared" si="8"/>
        <v/>
      </c>
      <c r="AC105" s="1082" t="str">
        <f t="shared" si="9"/>
        <v/>
      </c>
      <c r="AD105" s="1074"/>
      <c r="AE105" s="1074"/>
      <c r="AF105" s="1084" t="str">
        <f t="shared" si="10"/>
        <v/>
      </c>
      <c r="AG105" s="1082" t="str">
        <f t="shared" si="11"/>
        <v/>
      </c>
      <c r="AH105" s="1088"/>
      <c r="AI105" s="1087"/>
      <c r="AJ105" s="1084" t="str">
        <f t="shared" si="12"/>
        <v/>
      </c>
      <c r="AK105" s="1083" t="str">
        <f t="shared" si="13"/>
        <v/>
      </c>
      <c r="AL105" s="210">
        <v>1030000</v>
      </c>
      <c r="AM105" s="210"/>
      <c r="AN105" s="210"/>
      <c r="AO105" s="210"/>
      <c r="AP105" s="210"/>
      <c r="AQ105" s="210"/>
      <c r="AR105" s="210"/>
      <c r="AS105" s="210"/>
      <c r="AT105" s="210"/>
      <c r="AU105" s="210"/>
      <c r="AV105" s="210"/>
      <c r="AW105" s="210"/>
      <c r="AX105" s="210"/>
      <c r="AY105" s="210"/>
      <c r="AZ105" s="210"/>
      <c r="BA105" s="210"/>
      <c r="BB105" s="210"/>
      <c r="BC105" s="210"/>
      <c r="BD105" s="342">
        <v>0</v>
      </c>
      <c r="BE105" s="82">
        <f t="shared" si="15"/>
        <v>1030000</v>
      </c>
    </row>
    <row r="106" spans="1:57" ht="34.5" hidden="1" customHeight="1" x14ac:dyDescent="0.3">
      <c r="A106" s="80">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2">
        <v>41785</v>
      </c>
      <c r="I106" s="72"/>
      <c r="J106" s="162">
        <v>172492424</v>
      </c>
      <c r="K106" s="332"/>
      <c r="L106" s="162"/>
      <c r="M106" s="332"/>
      <c r="N106" s="162"/>
      <c r="O106" s="332"/>
      <c r="P106" s="162"/>
      <c r="Q106" s="332"/>
      <c r="R106" s="81">
        <f t="shared" si="14"/>
        <v>172492424</v>
      </c>
      <c r="S106" s="345" t="s">
        <v>988</v>
      </c>
      <c r="T106" s="343">
        <v>41817</v>
      </c>
      <c r="U106" s="345" t="s">
        <v>381</v>
      </c>
      <c r="V106" s="343">
        <v>41847</v>
      </c>
      <c r="W106" s="345" t="s">
        <v>989</v>
      </c>
      <c r="X106" s="343">
        <v>41897</v>
      </c>
      <c r="Y106" s="345"/>
      <c r="Z106" s="343"/>
      <c r="AA106" s="166" t="s">
        <v>1478</v>
      </c>
      <c r="AB106" s="1004">
        <f t="shared" si="8"/>
        <v>41897</v>
      </c>
      <c r="AC106" s="1082" t="str">
        <f t="shared" si="9"/>
        <v/>
      </c>
      <c r="AD106" s="1074"/>
      <c r="AE106" s="1074"/>
      <c r="AF106" s="1084" t="str">
        <f t="shared" si="10"/>
        <v/>
      </c>
      <c r="AG106" s="1082" t="str">
        <f t="shared" si="11"/>
        <v/>
      </c>
      <c r="AH106" s="1088"/>
      <c r="AI106" s="1087"/>
      <c r="AJ106" s="1084" t="str">
        <f t="shared" si="12"/>
        <v/>
      </c>
      <c r="AK106" s="1083" t="str">
        <f t="shared" si="13"/>
        <v/>
      </c>
      <c r="AL106" s="210">
        <v>291910256</v>
      </c>
      <c r="AM106" s="210">
        <v>152589452</v>
      </c>
      <c r="AN106" s="210">
        <v>139320804</v>
      </c>
      <c r="AO106" s="210">
        <v>139320804</v>
      </c>
      <c r="AP106" s="210">
        <v>126052156</v>
      </c>
      <c r="AQ106" s="210">
        <v>106149184</v>
      </c>
      <c r="AR106" s="210">
        <v>112783508</v>
      </c>
      <c r="AS106" s="210">
        <v>112783508</v>
      </c>
      <c r="AT106" s="210">
        <v>119417832</v>
      </c>
      <c r="AU106" s="210">
        <v>79611847</v>
      </c>
      <c r="AV106" s="210">
        <v>112783508</v>
      </c>
      <c r="AW106" s="210">
        <v>59708916</v>
      </c>
      <c r="AX106" s="210"/>
      <c r="AY106" s="210"/>
      <c r="AZ106" s="210"/>
      <c r="BA106" s="210"/>
      <c r="BB106" s="210"/>
      <c r="BC106" s="210"/>
      <c r="BD106" s="342">
        <v>0</v>
      </c>
      <c r="BE106" s="82">
        <f t="shared" si="15"/>
        <v>1552431775</v>
      </c>
    </row>
    <row r="107" spans="1:57" ht="34.5" hidden="1" customHeight="1" x14ac:dyDescent="0.3">
      <c r="A107" s="80">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1">
        <v>41969</v>
      </c>
      <c r="I107" s="61"/>
      <c r="J107" s="162"/>
      <c r="K107" s="332"/>
      <c r="L107" s="162"/>
      <c r="M107" s="332"/>
      <c r="N107" s="162"/>
      <c r="O107" s="332"/>
      <c r="P107" s="162"/>
      <c r="Q107" s="332"/>
      <c r="R107" s="81">
        <f t="shared" si="14"/>
        <v>0</v>
      </c>
      <c r="S107" s="345"/>
      <c r="T107" s="343"/>
      <c r="U107" s="345"/>
      <c r="V107" s="343"/>
      <c r="W107" s="345"/>
      <c r="X107" s="343"/>
      <c r="Y107" s="345"/>
      <c r="Z107" s="343"/>
      <c r="AA107" s="167"/>
      <c r="AB107" s="1004" t="str">
        <f t="shared" si="8"/>
        <v/>
      </c>
      <c r="AC107" s="1082" t="str">
        <f t="shared" si="9"/>
        <v/>
      </c>
      <c r="AD107" s="1074"/>
      <c r="AE107" s="1074"/>
      <c r="AF107" s="1084" t="str">
        <f t="shared" si="10"/>
        <v/>
      </c>
      <c r="AG107" s="1082" t="str">
        <f t="shared" si="11"/>
        <v/>
      </c>
      <c r="AH107" s="1088"/>
      <c r="AI107" s="1087"/>
      <c r="AJ107" s="1084" t="str">
        <f t="shared" si="12"/>
        <v/>
      </c>
      <c r="AK107" s="1083" t="str">
        <f t="shared" si="13"/>
        <v/>
      </c>
      <c r="AL107" s="210">
        <v>849000</v>
      </c>
      <c r="AM107" s="210"/>
      <c r="AN107" s="210"/>
      <c r="AO107" s="210"/>
      <c r="AP107" s="210"/>
      <c r="AQ107" s="210"/>
      <c r="AR107" s="210"/>
      <c r="AS107" s="210"/>
      <c r="AT107" s="210"/>
      <c r="AU107" s="210"/>
      <c r="AV107" s="210"/>
      <c r="AW107" s="210"/>
      <c r="AX107" s="210"/>
      <c r="AY107" s="210"/>
      <c r="AZ107" s="210"/>
      <c r="BA107" s="210"/>
      <c r="BB107" s="210"/>
      <c r="BC107" s="210"/>
      <c r="BD107" s="342">
        <v>0</v>
      </c>
      <c r="BE107" s="82">
        <f t="shared" si="15"/>
        <v>849000</v>
      </c>
    </row>
    <row r="108" spans="1:57" ht="34.5" hidden="1" customHeight="1" x14ac:dyDescent="0.3">
      <c r="A108" s="80">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1">
        <v>41823</v>
      </c>
      <c r="I108" s="61"/>
      <c r="J108" s="162"/>
      <c r="K108" s="332"/>
      <c r="L108" s="162"/>
      <c r="M108" s="332"/>
      <c r="N108" s="162"/>
      <c r="O108" s="332"/>
      <c r="P108" s="162"/>
      <c r="Q108" s="332"/>
      <c r="R108" s="81">
        <f t="shared" si="14"/>
        <v>0</v>
      </c>
      <c r="S108" s="345" t="s">
        <v>380</v>
      </c>
      <c r="T108" s="343">
        <v>41823</v>
      </c>
      <c r="U108" s="345"/>
      <c r="V108" s="343"/>
      <c r="W108" s="345"/>
      <c r="X108" s="343"/>
      <c r="Y108" s="345"/>
      <c r="Z108" s="343"/>
      <c r="AA108" s="167" t="s">
        <v>380</v>
      </c>
      <c r="AB108" s="1004">
        <f t="shared" si="8"/>
        <v>41823</v>
      </c>
      <c r="AC108" s="1082" t="str">
        <f t="shared" si="9"/>
        <v/>
      </c>
      <c r="AD108" s="1074"/>
      <c r="AE108" s="1074"/>
      <c r="AF108" s="1084" t="str">
        <f t="shared" si="10"/>
        <v/>
      </c>
      <c r="AG108" s="1082" t="str">
        <f t="shared" si="11"/>
        <v/>
      </c>
      <c r="AH108" s="1088"/>
      <c r="AI108" s="1087"/>
      <c r="AJ108" s="1084" t="str">
        <f t="shared" si="12"/>
        <v/>
      </c>
      <c r="AK108" s="1083" t="str">
        <f t="shared" si="13"/>
        <v/>
      </c>
      <c r="AL108" s="210">
        <v>1428000</v>
      </c>
      <c r="AM108" s="210">
        <v>235620</v>
      </c>
      <c r="AN108" s="210">
        <v>1312000</v>
      </c>
      <c r="AO108" s="210">
        <v>894000</v>
      </c>
      <c r="AP108" s="210">
        <v>1039000</v>
      </c>
      <c r="AQ108" s="210">
        <v>460000</v>
      </c>
      <c r="AR108" s="210"/>
      <c r="AS108" s="210"/>
      <c r="AT108" s="210"/>
      <c r="AU108" s="210"/>
      <c r="AV108" s="210"/>
      <c r="AW108" s="210"/>
      <c r="AX108" s="210"/>
      <c r="AY108" s="210"/>
      <c r="AZ108" s="210"/>
      <c r="BA108" s="210"/>
      <c r="BB108" s="210"/>
      <c r="BC108" s="210"/>
      <c r="BD108" s="342">
        <v>0</v>
      </c>
      <c r="BE108" s="82">
        <f t="shared" si="15"/>
        <v>5368620</v>
      </c>
    </row>
    <row r="109" spans="1:57" ht="34.5" hidden="1" customHeight="1" x14ac:dyDescent="0.3">
      <c r="A109" s="80">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24">
        <v>41729</v>
      </c>
      <c r="I109" s="124"/>
      <c r="J109" s="162">
        <v>1500000</v>
      </c>
      <c r="K109" s="332"/>
      <c r="L109" s="162">
        <v>2500000</v>
      </c>
      <c r="M109" s="332"/>
      <c r="N109" s="162"/>
      <c r="O109" s="332"/>
      <c r="P109" s="162"/>
      <c r="Q109" s="332"/>
      <c r="R109" s="81">
        <f t="shared" si="14"/>
        <v>4000000</v>
      </c>
      <c r="S109" s="345" t="s">
        <v>990</v>
      </c>
      <c r="T109" s="343">
        <v>41790</v>
      </c>
      <c r="U109" s="345" t="s">
        <v>381</v>
      </c>
      <c r="V109" s="343">
        <v>41820</v>
      </c>
      <c r="W109" s="345"/>
      <c r="X109" s="343"/>
      <c r="Y109" s="345"/>
      <c r="Z109" s="343"/>
      <c r="AA109" s="167" t="s">
        <v>379</v>
      </c>
      <c r="AB109" s="1004">
        <f t="shared" si="8"/>
        <v>41820</v>
      </c>
      <c r="AC109" s="1082" t="str">
        <f t="shared" si="9"/>
        <v/>
      </c>
      <c r="AD109" s="1074"/>
      <c r="AE109" s="1074"/>
      <c r="AF109" s="1084" t="str">
        <f t="shared" si="10"/>
        <v/>
      </c>
      <c r="AG109" s="1082" t="str">
        <f t="shared" si="11"/>
        <v/>
      </c>
      <c r="AH109" s="1088"/>
      <c r="AI109" s="1087"/>
      <c r="AJ109" s="1084" t="str">
        <f t="shared" si="12"/>
        <v/>
      </c>
      <c r="AK109" s="1083" t="str">
        <f t="shared" si="13"/>
        <v/>
      </c>
      <c r="AL109" s="210">
        <v>3103426</v>
      </c>
      <c r="AM109" s="210">
        <v>2334933</v>
      </c>
      <c r="AN109" s="210">
        <v>2401413</v>
      </c>
      <c r="AO109" s="210">
        <v>2604334</v>
      </c>
      <c r="AP109" s="210">
        <v>4423254</v>
      </c>
      <c r="AQ109" s="210">
        <v>2673234</v>
      </c>
      <c r="AR109" s="210">
        <v>2093048</v>
      </c>
      <c r="AS109" s="210">
        <v>2346733</v>
      </c>
      <c r="AT109" s="210">
        <v>3437235</v>
      </c>
      <c r="AU109" s="210">
        <v>2444272</v>
      </c>
      <c r="AV109" s="210">
        <v>2136181</v>
      </c>
      <c r="AW109" s="210">
        <v>3122035</v>
      </c>
      <c r="AX109" s="210">
        <v>2784747</v>
      </c>
      <c r="AY109" s="210"/>
      <c r="AZ109" s="210"/>
      <c r="BA109" s="210"/>
      <c r="BB109" s="210"/>
      <c r="BC109" s="210"/>
      <c r="BD109" s="342">
        <v>0</v>
      </c>
      <c r="BE109" s="82">
        <f t="shared" si="15"/>
        <v>35904845</v>
      </c>
    </row>
    <row r="110" spans="1:57" ht="34.5" hidden="1" customHeight="1" x14ac:dyDescent="0.3">
      <c r="A110" s="80">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3">
        <v>41660</v>
      </c>
      <c r="I110" s="63"/>
      <c r="J110" s="162"/>
      <c r="K110" s="332"/>
      <c r="L110" s="162"/>
      <c r="M110" s="332"/>
      <c r="N110" s="162"/>
      <c r="O110" s="332"/>
      <c r="P110" s="162"/>
      <c r="Q110" s="332"/>
      <c r="R110" s="81">
        <f t="shared" si="14"/>
        <v>0</v>
      </c>
      <c r="S110" s="345"/>
      <c r="T110" s="343"/>
      <c r="U110" s="345"/>
      <c r="V110" s="343"/>
      <c r="W110" s="345"/>
      <c r="X110" s="343"/>
      <c r="Y110" s="345"/>
      <c r="Z110" s="343"/>
      <c r="AA110" s="167"/>
      <c r="AB110" s="1004" t="str">
        <f t="shared" si="8"/>
        <v/>
      </c>
      <c r="AC110" s="1082" t="str">
        <f t="shared" si="9"/>
        <v/>
      </c>
      <c r="AD110" s="1074"/>
      <c r="AE110" s="1074"/>
      <c r="AF110" s="1084" t="str">
        <f t="shared" si="10"/>
        <v/>
      </c>
      <c r="AG110" s="1082" t="str">
        <f t="shared" si="11"/>
        <v/>
      </c>
      <c r="AH110" s="1088"/>
      <c r="AI110" s="1087"/>
      <c r="AJ110" s="1084" t="str">
        <f t="shared" si="12"/>
        <v/>
      </c>
      <c r="AK110" s="1083" t="str">
        <f t="shared" si="13"/>
        <v/>
      </c>
      <c r="AL110" s="210">
        <v>1667000</v>
      </c>
      <c r="AM110" s="210">
        <v>5000000</v>
      </c>
      <c r="AN110" s="210">
        <v>5000000</v>
      </c>
      <c r="AO110" s="210">
        <v>5000000</v>
      </c>
      <c r="AP110" s="210"/>
      <c r="AQ110" s="210"/>
      <c r="AR110" s="210"/>
      <c r="AS110" s="210"/>
      <c r="AT110" s="210"/>
      <c r="AU110" s="210"/>
      <c r="AV110" s="210"/>
      <c r="AW110" s="210"/>
      <c r="AX110" s="210"/>
      <c r="AY110" s="210"/>
      <c r="AZ110" s="210"/>
      <c r="BA110" s="210"/>
      <c r="BB110" s="210"/>
      <c r="BC110" s="210"/>
      <c r="BD110" s="342">
        <v>0</v>
      </c>
      <c r="BE110" s="82">
        <f t="shared" si="15"/>
        <v>16667000</v>
      </c>
    </row>
    <row r="111" spans="1:57" ht="34.5" hidden="1" customHeight="1" x14ac:dyDescent="0.3">
      <c r="A111" s="80">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7">
        <v>4524000</v>
      </c>
      <c r="G111" s="6">
        <v>41548</v>
      </c>
      <c r="H111" s="61">
        <v>41578</v>
      </c>
      <c r="I111" s="61"/>
      <c r="J111" s="162"/>
      <c r="K111" s="332"/>
      <c r="L111" s="162"/>
      <c r="M111" s="332"/>
      <c r="N111" s="162"/>
      <c r="O111" s="332"/>
      <c r="P111" s="162"/>
      <c r="Q111" s="332"/>
      <c r="R111" s="81">
        <f t="shared" si="14"/>
        <v>0</v>
      </c>
      <c r="S111" s="345"/>
      <c r="T111" s="343"/>
      <c r="U111" s="345"/>
      <c r="V111" s="343"/>
      <c r="W111" s="345"/>
      <c r="X111" s="343"/>
      <c r="Y111" s="345"/>
      <c r="Z111" s="343"/>
      <c r="AA111" s="167"/>
      <c r="AB111" s="1004" t="str">
        <f t="shared" si="8"/>
        <v/>
      </c>
      <c r="AC111" s="1082" t="str">
        <f t="shared" si="9"/>
        <v/>
      </c>
      <c r="AD111" s="1074"/>
      <c r="AE111" s="1074"/>
      <c r="AF111" s="1084" t="str">
        <f t="shared" si="10"/>
        <v/>
      </c>
      <c r="AG111" s="1082" t="str">
        <f t="shared" si="11"/>
        <v/>
      </c>
      <c r="AH111" s="1088"/>
      <c r="AI111" s="1087"/>
      <c r="AJ111" s="1084" t="str">
        <f t="shared" si="12"/>
        <v/>
      </c>
      <c r="AK111" s="1083" t="str">
        <f t="shared" si="13"/>
        <v/>
      </c>
      <c r="AL111" s="210">
        <v>4524000</v>
      </c>
      <c r="AM111" s="210"/>
      <c r="AN111" s="210"/>
      <c r="AO111" s="210"/>
      <c r="AP111" s="210"/>
      <c r="AQ111" s="210"/>
      <c r="AR111" s="210"/>
      <c r="AS111" s="210"/>
      <c r="AT111" s="210"/>
      <c r="AU111" s="210"/>
      <c r="AV111" s="210"/>
      <c r="AW111" s="210"/>
      <c r="AX111" s="210"/>
      <c r="AY111" s="210"/>
      <c r="AZ111" s="210"/>
      <c r="BA111" s="210"/>
      <c r="BB111" s="210"/>
      <c r="BC111" s="210"/>
      <c r="BD111" s="342">
        <v>0</v>
      </c>
      <c r="BE111" s="82">
        <f t="shared" si="15"/>
        <v>4524000</v>
      </c>
    </row>
    <row r="112" spans="1:57" ht="34.5" hidden="1" customHeight="1" x14ac:dyDescent="0.3">
      <c r="A112" s="80">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3">
        <v>41665</v>
      </c>
      <c r="I112" s="63"/>
      <c r="J112" s="162"/>
      <c r="K112" s="332"/>
      <c r="L112" s="162"/>
      <c r="M112" s="332"/>
      <c r="N112" s="162"/>
      <c r="O112" s="332"/>
      <c r="P112" s="162"/>
      <c r="Q112" s="332"/>
      <c r="R112" s="81">
        <f t="shared" si="14"/>
        <v>0</v>
      </c>
      <c r="S112" s="345"/>
      <c r="T112" s="343"/>
      <c r="U112" s="345"/>
      <c r="V112" s="343"/>
      <c r="W112" s="345"/>
      <c r="X112" s="343"/>
      <c r="Y112" s="345"/>
      <c r="Z112" s="343"/>
      <c r="AA112" s="167"/>
      <c r="AB112" s="1004" t="str">
        <f t="shared" si="8"/>
        <v/>
      </c>
      <c r="AC112" s="1082" t="str">
        <f t="shared" si="9"/>
        <v/>
      </c>
      <c r="AD112" s="1074"/>
      <c r="AE112" s="1074"/>
      <c r="AF112" s="1084" t="str">
        <f t="shared" si="10"/>
        <v/>
      </c>
      <c r="AG112" s="1082" t="str">
        <f t="shared" si="11"/>
        <v/>
      </c>
      <c r="AH112" s="1088"/>
      <c r="AI112" s="1087"/>
      <c r="AJ112" s="1084" t="str">
        <f t="shared" si="12"/>
        <v/>
      </c>
      <c r="AK112" s="1083" t="str">
        <f t="shared" si="13"/>
        <v/>
      </c>
      <c r="AL112" s="210">
        <v>20800000</v>
      </c>
      <c r="AM112" s="210"/>
      <c r="AN112" s="210"/>
      <c r="AO112" s="210"/>
      <c r="AP112" s="210"/>
      <c r="AQ112" s="210"/>
      <c r="AR112" s="210"/>
      <c r="AS112" s="210"/>
      <c r="AT112" s="210"/>
      <c r="AU112" s="210"/>
      <c r="AV112" s="210"/>
      <c r="AW112" s="210"/>
      <c r="AX112" s="210"/>
      <c r="AY112" s="210"/>
      <c r="AZ112" s="210"/>
      <c r="BA112" s="210"/>
      <c r="BB112" s="210"/>
      <c r="BC112" s="210"/>
      <c r="BD112" s="342">
        <v>0</v>
      </c>
      <c r="BE112" s="82">
        <f t="shared" si="15"/>
        <v>20800000</v>
      </c>
    </row>
    <row r="113" spans="1:57" ht="34.5" hidden="1" customHeight="1" x14ac:dyDescent="0.3">
      <c r="A113" s="80">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3">
        <v>41667</v>
      </c>
      <c r="I113" s="63"/>
      <c r="J113" s="162"/>
      <c r="K113" s="332"/>
      <c r="L113" s="162"/>
      <c r="M113" s="332"/>
      <c r="N113" s="162"/>
      <c r="O113" s="332"/>
      <c r="P113" s="162"/>
      <c r="Q113" s="332"/>
      <c r="R113" s="81">
        <f t="shared" si="14"/>
        <v>0</v>
      </c>
      <c r="S113" s="345"/>
      <c r="T113" s="343"/>
      <c r="U113" s="345"/>
      <c r="V113" s="343"/>
      <c r="W113" s="345"/>
      <c r="X113" s="343"/>
      <c r="Y113" s="345"/>
      <c r="Z113" s="343"/>
      <c r="AA113" s="167"/>
      <c r="AB113" s="1004" t="str">
        <f t="shared" si="8"/>
        <v/>
      </c>
      <c r="AC113" s="1082" t="str">
        <f t="shared" si="9"/>
        <v/>
      </c>
      <c r="AD113" s="1074"/>
      <c r="AE113" s="1074"/>
      <c r="AF113" s="1084" t="str">
        <f t="shared" si="10"/>
        <v/>
      </c>
      <c r="AG113" s="1082" t="str">
        <f t="shared" si="11"/>
        <v/>
      </c>
      <c r="AH113" s="1088"/>
      <c r="AI113" s="1087"/>
      <c r="AJ113" s="1084" t="str">
        <f t="shared" si="12"/>
        <v/>
      </c>
      <c r="AK113" s="1083" t="str">
        <f t="shared" si="13"/>
        <v/>
      </c>
      <c r="AL113" s="210">
        <v>28000000</v>
      </c>
      <c r="AM113" s="210"/>
      <c r="AN113" s="210"/>
      <c r="AO113" s="210"/>
      <c r="AP113" s="210"/>
      <c r="AQ113" s="210"/>
      <c r="AR113" s="210"/>
      <c r="AS113" s="210"/>
      <c r="AT113" s="210"/>
      <c r="AU113" s="210"/>
      <c r="AV113" s="210"/>
      <c r="AW113" s="210"/>
      <c r="AX113" s="210"/>
      <c r="AY113" s="210"/>
      <c r="AZ113" s="210"/>
      <c r="BA113" s="210"/>
      <c r="BB113" s="210"/>
      <c r="BC113" s="210"/>
      <c r="BD113" s="342">
        <v>0</v>
      </c>
      <c r="BE113" s="82">
        <f t="shared" si="15"/>
        <v>28000000</v>
      </c>
    </row>
    <row r="114" spans="1:57" ht="34.5" hidden="1" customHeight="1" x14ac:dyDescent="0.3">
      <c r="A114" s="80">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1">
        <v>41501</v>
      </c>
      <c r="I114" s="61"/>
      <c r="J114" s="162"/>
      <c r="K114" s="332"/>
      <c r="L114" s="162"/>
      <c r="M114" s="332"/>
      <c r="N114" s="162"/>
      <c r="O114" s="332"/>
      <c r="P114" s="162"/>
      <c r="Q114" s="332"/>
      <c r="R114" s="81">
        <f t="shared" si="14"/>
        <v>0</v>
      </c>
      <c r="S114" s="345"/>
      <c r="T114" s="343"/>
      <c r="U114" s="345"/>
      <c r="V114" s="343"/>
      <c r="W114" s="345"/>
      <c r="X114" s="343"/>
      <c r="Y114" s="345"/>
      <c r="Z114" s="343"/>
      <c r="AA114" s="167"/>
      <c r="AB114" s="1004" t="str">
        <f t="shared" si="8"/>
        <v/>
      </c>
      <c r="AC114" s="1082" t="str">
        <f t="shared" si="9"/>
        <v/>
      </c>
      <c r="AD114" s="1074"/>
      <c r="AE114" s="1074"/>
      <c r="AF114" s="1084" t="str">
        <f t="shared" si="10"/>
        <v/>
      </c>
      <c r="AG114" s="1082" t="str">
        <f t="shared" si="11"/>
        <v/>
      </c>
      <c r="AH114" s="1088"/>
      <c r="AI114" s="1087"/>
      <c r="AJ114" s="1084" t="str">
        <f t="shared" si="12"/>
        <v/>
      </c>
      <c r="AK114" s="1083" t="str">
        <f t="shared" si="13"/>
        <v/>
      </c>
      <c r="AL114" s="210">
        <v>266580829</v>
      </c>
      <c r="AM114" s="210"/>
      <c r="AN114" s="210"/>
      <c r="AO114" s="210"/>
      <c r="AP114" s="210"/>
      <c r="AQ114" s="210"/>
      <c r="AR114" s="210"/>
      <c r="AS114" s="210"/>
      <c r="AT114" s="210"/>
      <c r="AU114" s="210"/>
      <c r="AV114" s="210"/>
      <c r="AW114" s="210"/>
      <c r="AX114" s="210"/>
      <c r="AY114" s="210"/>
      <c r="AZ114" s="210"/>
      <c r="BA114" s="210"/>
      <c r="BB114" s="210"/>
      <c r="BC114" s="210"/>
      <c r="BD114" s="342">
        <v>0</v>
      </c>
      <c r="BE114" s="82">
        <f t="shared" si="15"/>
        <v>266580829</v>
      </c>
    </row>
    <row r="115" spans="1:57" ht="34.5" hidden="1" customHeight="1" x14ac:dyDescent="0.3">
      <c r="A115" s="80">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3">
        <v>41766</v>
      </c>
      <c r="I115" s="63"/>
      <c r="J115" s="162">
        <v>27985909</v>
      </c>
      <c r="K115" s="332"/>
      <c r="L115" s="162">
        <v>88911605</v>
      </c>
      <c r="M115" s="332"/>
      <c r="N115" s="162"/>
      <c r="O115" s="332"/>
      <c r="P115" s="162"/>
      <c r="Q115" s="332"/>
      <c r="R115" s="81">
        <f t="shared" si="14"/>
        <v>116897514</v>
      </c>
      <c r="S115" s="345" t="s">
        <v>975</v>
      </c>
      <c r="T115" s="343">
        <v>41849</v>
      </c>
      <c r="U115" s="345"/>
      <c r="V115" s="343"/>
      <c r="W115" s="345"/>
      <c r="X115" s="343"/>
      <c r="Y115" s="345"/>
      <c r="Z115" s="343"/>
      <c r="AA115" s="167" t="s">
        <v>975</v>
      </c>
      <c r="AB115" s="1004">
        <f t="shared" si="8"/>
        <v>41849</v>
      </c>
      <c r="AC115" s="1082" t="str">
        <f t="shared" si="9"/>
        <v/>
      </c>
      <c r="AD115" s="1074"/>
      <c r="AE115" s="1074"/>
      <c r="AF115" s="1084" t="str">
        <f t="shared" si="10"/>
        <v/>
      </c>
      <c r="AG115" s="1082" t="str">
        <f t="shared" si="11"/>
        <v/>
      </c>
      <c r="AH115" s="1088"/>
      <c r="AI115" s="1087"/>
      <c r="AJ115" s="1084" t="str">
        <f t="shared" si="12"/>
        <v/>
      </c>
      <c r="AK115" s="1083" t="str">
        <f t="shared" si="13"/>
        <v/>
      </c>
      <c r="AL115" s="210">
        <v>23200000</v>
      </c>
      <c r="AM115" s="210">
        <v>23200000</v>
      </c>
      <c r="AN115" s="210">
        <v>23200000</v>
      </c>
      <c r="AO115" s="210">
        <v>23200000</v>
      </c>
      <c r="AP115" s="210">
        <v>23200000</v>
      </c>
      <c r="AQ115" s="210">
        <v>23200000</v>
      </c>
      <c r="AR115" s="210">
        <v>23200000</v>
      </c>
      <c r="AS115" s="210">
        <v>23200000</v>
      </c>
      <c r="AT115" s="210">
        <v>9328636</v>
      </c>
      <c r="AU115" s="210">
        <v>32528636</v>
      </c>
      <c r="AV115" s="210">
        <v>32528636</v>
      </c>
      <c r="AW115" s="210">
        <v>32528636</v>
      </c>
      <c r="AX115" s="210">
        <v>32528636</v>
      </c>
      <c r="AY115" s="210">
        <v>23854334</v>
      </c>
      <c r="AZ115" s="210"/>
      <c r="BA115" s="210"/>
      <c r="BB115" s="210"/>
      <c r="BC115" s="210"/>
      <c r="BD115" s="342">
        <v>0</v>
      </c>
      <c r="BE115" s="82">
        <f t="shared" si="15"/>
        <v>348897514</v>
      </c>
    </row>
    <row r="116" spans="1:57" ht="34.5" hidden="1" customHeight="1" x14ac:dyDescent="0.3">
      <c r="A116" s="80">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1">
        <v>41646</v>
      </c>
      <c r="I116" s="61"/>
      <c r="J116" s="162"/>
      <c r="K116" s="332"/>
      <c r="L116" s="162"/>
      <c r="M116" s="332"/>
      <c r="N116" s="162"/>
      <c r="O116" s="332"/>
      <c r="P116" s="162"/>
      <c r="Q116" s="332"/>
      <c r="R116" s="81">
        <f t="shared" si="14"/>
        <v>0</v>
      </c>
      <c r="S116" s="345" t="s">
        <v>378</v>
      </c>
      <c r="T116" s="343">
        <v>41705</v>
      </c>
      <c r="U116" s="345" t="s">
        <v>381</v>
      </c>
      <c r="V116" s="343">
        <v>41736</v>
      </c>
      <c r="W116" s="345"/>
      <c r="X116" s="343"/>
      <c r="Y116" s="345"/>
      <c r="Z116" s="343"/>
      <c r="AA116" s="356" t="s">
        <v>379</v>
      </c>
      <c r="AB116" s="1004">
        <f t="shared" si="8"/>
        <v>41736</v>
      </c>
      <c r="AC116" s="1082" t="str">
        <f t="shared" si="9"/>
        <v/>
      </c>
      <c r="AD116" s="1074"/>
      <c r="AE116" s="1074"/>
      <c r="AF116" s="1084" t="str">
        <f t="shared" si="10"/>
        <v/>
      </c>
      <c r="AG116" s="1082" t="str">
        <f t="shared" si="11"/>
        <v/>
      </c>
      <c r="AH116" s="1088"/>
      <c r="AI116" s="1087"/>
      <c r="AJ116" s="1084" t="str">
        <f t="shared" si="12"/>
        <v/>
      </c>
      <c r="AK116" s="1083" t="str">
        <f t="shared" si="13"/>
        <v/>
      </c>
      <c r="AL116" s="210">
        <v>2574997</v>
      </c>
      <c r="AM116" s="210">
        <v>2018997</v>
      </c>
      <c r="AN116" s="210">
        <v>10536988</v>
      </c>
      <c r="AO116" s="210">
        <v>4641995</v>
      </c>
      <c r="AP116" s="210"/>
      <c r="AQ116" s="210"/>
      <c r="AR116" s="210"/>
      <c r="AS116" s="210"/>
      <c r="AT116" s="210"/>
      <c r="AU116" s="210"/>
      <c r="AV116" s="210"/>
      <c r="AW116" s="210"/>
      <c r="AX116" s="210"/>
      <c r="AY116" s="210"/>
      <c r="AZ116" s="210"/>
      <c r="BA116" s="210"/>
      <c r="BB116" s="210"/>
      <c r="BC116" s="210"/>
      <c r="BD116" s="342">
        <v>0</v>
      </c>
      <c r="BE116" s="82">
        <f t="shared" si="15"/>
        <v>19772977</v>
      </c>
    </row>
    <row r="117" spans="1:57" ht="34.5" hidden="1" customHeight="1" x14ac:dyDescent="0.3">
      <c r="A117" s="80">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1">
        <v>41718</v>
      </c>
      <c r="I117" s="61"/>
      <c r="J117" s="162">
        <v>20373359</v>
      </c>
      <c r="K117" s="332"/>
      <c r="L117" s="162"/>
      <c r="M117" s="332"/>
      <c r="N117" s="162"/>
      <c r="O117" s="332"/>
      <c r="P117" s="162"/>
      <c r="Q117" s="332"/>
      <c r="R117" s="81">
        <f t="shared" si="14"/>
        <v>20373359</v>
      </c>
      <c r="S117" s="345" t="s">
        <v>378</v>
      </c>
      <c r="T117" s="343">
        <v>41779</v>
      </c>
      <c r="U117" s="345" t="s">
        <v>381</v>
      </c>
      <c r="V117" s="343">
        <v>41810</v>
      </c>
      <c r="W117" s="345"/>
      <c r="X117" s="343"/>
      <c r="Y117" s="345"/>
      <c r="Z117" s="343"/>
      <c r="AA117" s="167" t="s">
        <v>379</v>
      </c>
      <c r="AB117" s="1004">
        <f t="shared" si="8"/>
        <v>41810</v>
      </c>
      <c r="AC117" s="1082" t="str">
        <f t="shared" si="9"/>
        <v/>
      </c>
      <c r="AD117" s="1074"/>
      <c r="AE117" s="1074"/>
      <c r="AF117" s="1084" t="str">
        <f t="shared" si="10"/>
        <v/>
      </c>
      <c r="AG117" s="1082" t="str">
        <f t="shared" si="11"/>
        <v/>
      </c>
      <c r="AH117" s="1088"/>
      <c r="AI117" s="1087"/>
      <c r="AJ117" s="1084" t="str">
        <f t="shared" si="12"/>
        <v/>
      </c>
      <c r="AK117" s="1083" t="str">
        <f t="shared" si="13"/>
        <v/>
      </c>
      <c r="AL117" s="210">
        <v>4525468</v>
      </c>
      <c r="AM117" s="210">
        <v>23695722</v>
      </c>
      <c r="AN117" s="210">
        <v>22678825</v>
      </c>
      <c r="AO117" s="210">
        <v>24631568</v>
      </c>
      <c r="AP117" s="210">
        <v>23090739</v>
      </c>
      <c r="AQ117" s="210">
        <v>25876960</v>
      </c>
      <c r="AR117" s="210">
        <v>26555803</v>
      </c>
      <c r="AS117" s="210">
        <v>26909456</v>
      </c>
      <c r="AT117" s="210">
        <v>24364975</v>
      </c>
      <c r="AU117" s="210">
        <v>28898434</v>
      </c>
      <c r="AV117" s="210">
        <v>35952259</v>
      </c>
      <c r="AW117" s="210">
        <v>26607375</v>
      </c>
      <c r="AX117" s="210">
        <v>23444434</v>
      </c>
      <c r="AY117" s="210"/>
      <c r="AZ117" s="210"/>
      <c r="BA117" s="210"/>
      <c r="BB117" s="210"/>
      <c r="BC117" s="210"/>
      <c r="BD117" s="342">
        <v>0</v>
      </c>
      <c r="BE117" s="82">
        <f t="shared" si="15"/>
        <v>317232018</v>
      </c>
    </row>
    <row r="118" spans="1:57" ht="34.5" hidden="1" customHeight="1" x14ac:dyDescent="0.3">
      <c r="A118" s="80">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1">
        <v>41737</v>
      </c>
      <c r="I118" s="61"/>
      <c r="J118" s="162">
        <v>4798634</v>
      </c>
      <c r="K118" s="332"/>
      <c r="L118" s="162">
        <v>1696087</v>
      </c>
      <c r="M118" s="332"/>
      <c r="N118" s="162"/>
      <c r="O118" s="332"/>
      <c r="P118" s="162"/>
      <c r="Q118" s="332"/>
      <c r="R118" s="81">
        <f t="shared" si="14"/>
        <v>6494721</v>
      </c>
      <c r="S118" s="345" t="s">
        <v>997</v>
      </c>
      <c r="T118" s="343">
        <v>41820</v>
      </c>
      <c r="U118" s="345" t="s">
        <v>381</v>
      </c>
      <c r="V118" s="343">
        <v>41851</v>
      </c>
      <c r="W118" s="345"/>
      <c r="X118" s="343"/>
      <c r="Y118" s="345"/>
      <c r="Z118" s="343"/>
      <c r="AA118" s="168" t="s">
        <v>1563</v>
      </c>
      <c r="AB118" s="1004">
        <f t="shared" si="8"/>
        <v>41851</v>
      </c>
      <c r="AC118" s="1082" t="str">
        <f t="shared" si="9"/>
        <v/>
      </c>
      <c r="AD118" s="1074"/>
      <c r="AE118" s="1074"/>
      <c r="AF118" s="1084" t="str">
        <f t="shared" si="10"/>
        <v/>
      </c>
      <c r="AG118" s="1082" t="str">
        <f t="shared" si="11"/>
        <v/>
      </c>
      <c r="AH118" s="1088"/>
      <c r="AI118" s="1087"/>
      <c r="AJ118" s="1084" t="str">
        <f t="shared" si="12"/>
        <v/>
      </c>
      <c r="AK118" s="1083" t="str">
        <f t="shared" si="13"/>
        <v/>
      </c>
      <c r="AL118" s="210">
        <v>1777272</v>
      </c>
      <c r="AM118" s="210">
        <v>1777272</v>
      </c>
      <c r="AN118" s="210">
        <v>1777272</v>
      </c>
      <c r="AO118" s="210">
        <v>1777272</v>
      </c>
      <c r="AP118" s="210">
        <v>1777272</v>
      </c>
      <c r="AQ118" s="210">
        <v>1777272</v>
      </c>
      <c r="AR118" s="210">
        <v>1777272</v>
      </c>
      <c r="AS118" s="210">
        <v>1777272</v>
      </c>
      <c r="AT118" s="210">
        <v>5845249</v>
      </c>
      <c r="AU118" s="210">
        <v>2229266</v>
      </c>
      <c r="AV118" s="210"/>
      <c r="AW118" s="210"/>
      <c r="AX118" s="210"/>
      <c r="AY118" s="210"/>
      <c r="AZ118" s="210"/>
      <c r="BA118" s="210"/>
      <c r="BB118" s="210"/>
      <c r="BC118" s="210"/>
      <c r="BD118" s="342">
        <v>42136</v>
      </c>
      <c r="BE118" s="82">
        <f t="shared" si="15"/>
        <v>22292691</v>
      </c>
    </row>
    <row r="119" spans="1:57" ht="34.5" hidden="1" customHeight="1" x14ac:dyDescent="0.3">
      <c r="A119" s="80">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7">
        <v>23989000</v>
      </c>
      <c r="G119" s="6">
        <v>41457</v>
      </c>
      <c r="H119" s="61">
        <v>41671</v>
      </c>
      <c r="I119" s="61"/>
      <c r="J119" s="162"/>
      <c r="K119" s="332"/>
      <c r="L119" s="162"/>
      <c r="M119" s="332"/>
      <c r="N119" s="162"/>
      <c r="O119" s="332"/>
      <c r="P119" s="162"/>
      <c r="Q119" s="332"/>
      <c r="R119" s="81">
        <f t="shared" si="14"/>
        <v>0</v>
      </c>
      <c r="S119" s="345"/>
      <c r="T119" s="343"/>
      <c r="U119" s="345"/>
      <c r="V119" s="343"/>
      <c r="W119" s="345"/>
      <c r="X119" s="343"/>
      <c r="Y119" s="345"/>
      <c r="Z119" s="343"/>
      <c r="AA119" s="167"/>
      <c r="AB119" s="1004" t="str">
        <f t="shared" si="8"/>
        <v/>
      </c>
      <c r="AC119" s="1082" t="str">
        <f t="shared" si="9"/>
        <v/>
      </c>
      <c r="AD119" s="1074"/>
      <c r="AE119" s="1074"/>
      <c r="AF119" s="1084" t="str">
        <f t="shared" si="10"/>
        <v/>
      </c>
      <c r="AG119" s="1082" t="str">
        <f t="shared" si="11"/>
        <v/>
      </c>
      <c r="AH119" s="1088"/>
      <c r="AI119" s="1087"/>
      <c r="AJ119" s="1084" t="str">
        <f t="shared" si="12"/>
        <v/>
      </c>
      <c r="AK119" s="1083" t="str">
        <f t="shared" si="13"/>
        <v/>
      </c>
      <c r="AL119" s="210">
        <v>3312766</v>
      </c>
      <c r="AM119" s="210">
        <v>3427000</v>
      </c>
      <c r="AN119" s="210">
        <v>3427000</v>
      </c>
      <c r="AO119" s="210">
        <v>3427000</v>
      </c>
      <c r="AP119" s="210">
        <v>3427000</v>
      </c>
      <c r="AQ119" s="210">
        <v>3427000</v>
      </c>
      <c r="AR119" s="210">
        <v>3427000</v>
      </c>
      <c r="AS119" s="210">
        <v>114234</v>
      </c>
      <c r="AT119" s="210"/>
      <c r="AU119" s="210"/>
      <c r="AV119" s="210"/>
      <c r="AW119" s="210"/>
      <c r="AX119" s="210"/>
      <c r="AY119" s="210"/>
      <c r="AZ119" s="210"/>
      <c r="BA119" s="210"/>
      <c r="BB119" s="210"/>
      <c r="BC119" s="210"/>
      <c r="BD119" s="342">
        <v>0</v>
      </c>
      <c r="BE119" s="82">
        <f t="shared" si="15"/>
        <v>23989000</v>
      </c>
    </row>
    <row r="120" spans="1:57" ht="34.5" hidden="1" customHeight="1" x14ac:dyDescent="0.3">
      <c r="A120" s="80">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1">
        <v>41712</v>
      </c>
      <c r="I120" s="61"/>
      <c r="J120" s="162">
        <v>6000000</v>
      </c>
      <c r="K120" s="332"/>
      <c r="L120" s="162"/>
      <c r="M120" s="332"/>
      <c r="N120" s="162"/>
      <c r="O120" s="332"/>
      <c r="P120" s="162"/>
      <c r="Q120" s="332"/>
      <c r="R120" s="81">
        <f t="shared" si="14"/>
        <v>6000000</v>
      </c>
      <c r="S120" s="345"/>
      <c r="T120" s="343"/>
      <c r="U120" s="345"/>
      <c r="V120" s="343"/>
      <c r="W120" s="345"/>
      <c r="X120" s="343"/>
      <c r="Y120" s="345"/>
      <c r="Z120" s="343"/>
      <c r="AA120" s="167"/>
      <c r="AB120" s="1004" t="str">
        <f t="shared" si="8"/>
        <v/>
      </c>
      <c r="AC120" s="1082" t="str">
        <f t="shared" si="9"/>
        <v/>
      </c>
      <c r="AD120" s="1074"/>
      <c r="AE120" s="1074"/>
      <c r="AF120" s="1084" t="str">
        <f t="shared" si="10"/>
        <v/>
      </c>
      <c r="AG120" s="1082" t="str">
        <f t="shared" si="11"/>
        <v/>
      </c>
      <c r="AH120" s="1088"/>
      <c r="AI120" s="1087"/>
      <c r="AJ120" s="1084" t="str">
        <f t="shared" si="12"/>
        <v/>
      </c>
      <c r="AK120" s="1083" t="str">
        <f t="shared" si="13"/>
        <v/>
      </c>
      <c r="AL120" s="210">
        <v>11415447</v>
      </c>
      <c r="AM120" s="210">
        <v>1484704</v>
      </c>
      <c r="AN120" s="210">
        <v>544181</v>
      </c>
      <c r="AO120" s="210">
        <v>4151273</v>
      </c>
      <c r="AP120" s="210">
        <v>1645488</v>
      </c>
      <c r="AQ120" s="210">
        <v>330277</v>
      </c>
      <c r="AR120" s="210"/>
      <c r="AS120" s="210"/>
      <c r="AT120" s="210"/>
      <c r="AU120" s="210"/>
      <c r="AV120" s="210"/>
      <c r="AW120" s="210"/>
      <c r="AX120" s="210"/>
      <c r="AY120" s="210"/>
      <c r="AZ120" s="210"/>
      <c r="BA120" s="210"/>
      <c r="BB120" s="210"/>
      <c r="BC120" s="210"/>
      <c r="BD120" s="342">
        <v>0</v>
      </c>
      <c r="BE120" s="82">
        <f t="shared" si="15"/>
        <v>19571370</v>
      </c>
    </row>
    <row r="121" spans="1:57" ht="34.5" hidden="1" customHeight="1" x14ac:dyDescent="0.3">
      <c r="A121" s="80">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1">
        <v>41562</v>
      </c>
      <c r="I121" s="61"/>
      <c r="J121" s="162"/>
      <c r="K121" s="332"/>
      <c r="L121" s="162"/>
      <c r="M121" s="332"/>
      <c r="N121" s="162"/>
      <c r="O121" s="332"/>
      <c r="P121" s="162"/>
      <c r="Q121" s="332"/>
      <c r="R121" s="81">
        <f t="shared" si="14"/>
        <v>0</v>
      </c>
      <c r="S121" s="345"/>
      <c r="T121" s="343"/>
      <c r="U121" s="345"/>
      <c r="V121" s="343"/>
      <c r="W121" s="345"/>
      <c r="X121" s="343"/>
      <c r="Y121" s="345"/>
      <c r="Z121" s="343"/>
      <c r="AA121" s="167"/>
      <c r="AB121" s="1004" t="str">
        <f t="shared" si="8"/>
        <v/>
      </c>
      <c r="AC121" s="1082" t="str">
        <f t="shared" si="9"/>
        <v/>
      </c>
      <c r="AD121" s="1074"/>
      <c r="AE121" s="1074"/>
      <c r="AF121" s="1084" t="str">
        <f t="shared" si="10"/>
        <v/>
      </c>
      <c r="AG121" s="1082" t="str">
        <f t="shared" si="11"/>
        <v/>
      </c>
      <c r="AH121" s="1088"/>
      <c r="AI121" s="1087"/>
      <c r="AJ121" s="1084" t="str">
        <f t="shared" si="12"/>
        <v/>
      </c>
      <c r="AK121" s="1083" t="str">
        <f t="shared" si="13"/>
        <v/>
      </c>
      <c r="AL121" s="210">
        <v>6499930</v>
      </c>
      <c r="AM121" s="210"/>
      <c r="AN121" s="210"/>
      <c r="AO121" s="210"/>
      <c r="AP121" s="210"/>
      <c r="AQ121" s="210"/>
      <c r="AR121" s="210"/>
      <c r="AS121" s="210"/>
      <c r="AT121" s="210"/>
      <c r="AU121" s="210"/>
      <c r="AV121" s="210"/>
      <c r="AW121" s="210"/>
      <c r="AX121" s="210"/>
      <c r="AY121" s="210"/>
      <c r="AZ121" s="210"/>
      <c r="BA121" s="210"/>
      <c r="BB121" s="210"/>
      <c r="BC121" s="210"/>
      <c r="BD121" s="342">
        <v>0</v>
      </c>
      <c r="BE121" s="82">
        <f t="shared" si="15"/>
        <v>6499930</v>
      </c>
    </row>
    <row r="122" spans="1:57" ht="34.5" hidden="1" customHeight="1" x14ac:dyDescent="0.3">
      <c r="A122" s="80">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1">
        <v>41533</v>
      </c>
      <c r="I122" s="61"/>
      <c r="J122" s="162"/>
      <c r="K122" s="332"/>
      <c r="L122" s="162"/>
      <c r="M122" s="332"/>
      <c r="N122" s="162"/>
      <c r="O122" s="332"/>
      <c r="P122" s="162"/>
      <c r="Q122" s="332"/>
      <c r="R122" s="81">
        <f t="shared" si="14"/>
        <v>0</v>
      </c>
      <c r="S122" s="345"/>
      <c r="T122" s="343"/>
      <c r="U122" s="345"/>
      <c r="V122" s="343"/>
      <c r="W122" s="345"/>
      <c r="X122" s="343"/>
      <c r="Y122" s="345"/>
      <c r="Z122" s="343"/>
      <c r="AA122" s="167"/>
      <c r="AB122" s="1004" t="str">
        <f t="shared" si="8"/>
        <v/>
      </c>
      <c r="AC122" s="1082" t="str">
        <f t="shared" si="9"/>
        <v/>
      </c>
      <c r="AD122" s="1074"/>
      <c r="AE122" s="1074"/>
      <c r="AF122" s="1084" t="str">
        <f t="shared" si="10"/>
        <v/>
      </c>
      <c r="AG122" s="1082" t="str">
        <f t="shared" si="11"/>
        <v/>
      </c>
      <c r="AH122" s="1088"/>
      <c r="AI122" s="1087"/>
      <c r="AJ122" s="1084" t="str">
        <f t="shared" si="12"/>
        <v/>
      </c>
      <c r="AK122" s="1083" t="str">
        <f t="shared" si="13"/>
        <v/>
      </c>
      <c r="AL122" s="210">
        <v>2367000</v>
      </c>
      <c r="AM122" s="210"/>
      <c r="AN122" s="210"/>
      <c r="AO122" s="210"/>
      <c r="AP122" s="210"/>
      <c r="AQ122" s="210"/>
      <c r="AR122" s="210"/>
      <c r="AS122" s="210"/>
      <c r="AT122" s="210"/>
      <c r="AU122" s="210"/>
      <c r="AV122" s="210"/>
      <c r="AW122" s="210"/>
      <c r="AX122" s="210"/>
      <c r="AY122" s="210"/>
      <c r="AZ122" s="210"/>
      <c r="BA122" s="210"/>
      <c r="BB122" s="210"/>
      <c r="BC122" s="210"/>
      <c r="BD122" s="342">
        <v>0</v>
      </c>
      <c r="BE122" s="82">
        <f t="shared" si="15"/>
        <v>2367000</v>
      </c>
    </row>
    <row r="123" spans="1:57" ht="34.5" hidden="1" customHeight="1" x14ac:dyDescent="0.3">
      <c r="A123" s="80">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1">
        <v>41706</v>
      </c>
      <c r="I123" s="61"/>
      <c r="J123" s="162"/>
      <c r="K123" s="332"/>
      <c r="L123" s="162"/>
      <c r="M123" s="332"/>
      <c r="N123" s="162"/>
      <c r="O123" s="332"/>
      <c r="P123" s="162"/>
      <c r="Q123" s="332"/>
      <c r="R123" s="81">
        <f t="shared" si="14"/>
        <v>0</v>
      </c>
      <c r="S123" s="345" t="s">
        <v>976</v>
      </c>
      <c r="T123" s="343">
        <v>41790</v>
      </c>
      <c r="U123" s="345" t="s">
        <v>381</v>
      </c>
      <c r="V123" s="343">
        <v>41820</v>
      </c>
      <c r="W123" s="345"/>
      <c r="X123" s="343"/>
      <c r="Y123" s="345"/>
      <c r="Z123" s="343"/>
      <c r="AA123" s="167" t="s">
        <v>998</v>
      </c>
      <c r="AB123" s="1004">
        <f t="shared" si="8"/>
        <v>41820</v>
      </c>
      <c r="AC123" s="1082" t="str">
        <f t="shared" si="9"/>
        <v/>
      </c>
      <c r="AD123" s="1074"/>
      <c r="AE123" s="1074"/>
      <c r="AF123" s="1084" t="str">
        <f t="shared" si="10"/>
        <v/>
      </c>
      <c r="AG123" s="1082" t="str">
        <f t="shared" si="11"/>
        <v/>
      </c>
      <c r="AH123" s="1088"/>
      <c r="AI123" s="1087"/>
      <c r="AJ123" s="1084" t="str">
        <f t="shared" si="12"/>
        <v/>
      </c>
      <c r="AK123" s="1083" t="str">
        <f t="shared" si="13"/>
        <v/>
      </c>
      <c r="AL123" s="210">
        <v>8960530</v>
      </c>
      <c r="AM123" s="210">
        <v>27524223</v>
      </c>
      <c r="AN123" s="210">
        <v>18295841</v>
      </c>
      <c r="AO123" s="210">
        <v>20838449</v>
      </c>
      <c r="AP123" s="210">
        <v>27674807</v>
      </c>
      <c r="AQ123" s="210">
        <v>22380261</v>
      </c>
      <c r="AR123" s="210">
        <v>14257643</v>
      </c>
      <c r="AS123" s="210">
        <v>20024831</v>
      </c>
      <c r="AT123" s="210">
        <v>18855716</v>
      </c>
      <c r="AU123" s="210">
        <v>13720744</v>
      </c>
      <c r="AV123" s="210">
        <v>11537845</v>
      </c>
      <c r="AW123" s="210">
        <v>61152776</v>
      </c>
      <c r="AX123" s="210"/>
      <c r="AY123" s="210"/>
      <c r="AZ123" s="210"/>
      <c r="BA123" s="210"/>
      <c r="BB123" s="210"/>
      <c r="BC123" s="210"/>
      <c r="BD123" s="342">
        <v>41991</v>
      </c>
      <c r="BE123" s="82">
        <f t="shared" si="15"/>
        <v>265223666</v>
      </c>
    </row>
    <row r="124" spans="1:57" ht="34.5" hidden="1" customHeight="1" x14ac:dyDescent="0.3">
      <c r="A124" s="80">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7">
        <v>840000</v>
      </c>
      <c r="G124" s="6">
        <v>41531</v>
      </c>
      <c r="H124" s="61">
        <v>41895</v>
      </c>
      <c r="I124" s="61"/>
      <c r="J124" s="162"/>
      <c r="K124" s="332"/>
      <c r="L124" s="162"/>
      <c r="M124" s="332"/>
      <c r="N124" s="162"/>
      <c r="O124" s="332"/>
      <c r="P124" s="162"/>
      <c r="Q124" s="332"/>
      <c r="R124" s="81">
        <f t="shared" si="14"/>
        <v>0</v>
      </c>
      <c r="S124" s="345"/>
      <c r="T124" s="343"/>
      <c r="U124" s="345"/>
      <c r="V124" s="343"/>
      <c r="W124" s="345"/>
      <c r="X124" s="343"/>
      <c r="Y124" s="345"/>
      <c r="Z124" s="343"/>
      <c r="AA124" s="167"/>
      <c r="AB124" s="1004" t="str">
        <f t="shared" si="8"/>
        <v/>
      </c>
      <c r="AC124" s="1082" t="str">
        <f t="shared" si="9"/>
        <v/>
      </c>
      <c r="AD124" s="1074"/>
      <c r="AE124" s="1074"/>
      <c r="AF124" s="1084" t="str">
        <f t="shared" si="10"/>
        <v/>
      </c>
      <c r="AG124" s="1082" t="str">
        <f t="shared" si="11"/>
        <v/>
      </c>
      <c r="AH124" s="1088"/>
      <c r="AI124" s="1087"/>
      <c r="AJ124" s="1084" t="str">
        <f t="shared" si="12"/>
        <v/>
      </c>
      <c r="AK124" s="1083" t="str">
        <f t="shared" si="13"/>
        <v/>
      </c>
      <c r="AL124" s="210">
        <v>840000</v>
      </c>
      <c r="AM124" s="210"/>
      <c r="AN124" s="210"/>
      <c r="AO124" s="210"/>
      <c r="AP124" s="210"/>
      <c r="AQ124" s="210"/>
      <c r="AR124" s="210"/>
      <c r="AS124" s="210"/>
      <c r="AT124" s="210"/>
      <c r="AU124" s="210"/>
      <c r="AV124" s="210"/>
      <c r="AW124" s="210"/>
      <c r="AX124" s="210"/>
      <c r="AY124" s="210"/>
      <c r="AZ124" s="210"/>
      <c r="BA124" s="210"/>
      <c r="BB124" s="210"/>
      <c r="BC124" s="210"/>
      <c r="BD124" s="342">
        <v>0</v>
      </c>
      <c r="BE124" s="82">
        <f t="shared" si="15"/>
        <v>840000</v>
      </c>
    </row>
    <row r="125" spans="1:57" ht="34.5" hidden="1" customHeight="1" x14ac:dyDescent="0.3">
      <c r="A125" s="80">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1">
        <v>41686</v>
      </c>
      <c r="I125" s="61"/>
      <c r="J125" s="162"/>
      <c r="K125" s="332"/>
      <c r="L125" s="162"/>
      <c r="M125" s="332"/>
      <c r="N125" s="162"/>
      <c r="O125" s="332"/>
      <c r="P125" s="162"/>
      <c r="Q125" s="332"/>
      <c r="R125" s="81">
        <f t="shared" si="14"/>
        <v>0</v>
      </c>
      <c r="S125" s="345" t="s">
        <v>381</v>
      </c>
      <c r="T125" s="343">
        <v>41714</v>
      </c>
      <c r="U125" s="345"/>
      <c r="V125" s="343"/>
      <c r="W125" s="345"/>
      <c r="X125" s="343"/>
      <c r="Y125" s="345"/>
      <c r="Z125" s="343"/>
      <c r="AA125" s="167" t="s">
        <v>381</v>
      </c>
      <c r="AB125" s="1004">
        <f t="shared" si="8"/>
        <v>41714</v>
      </c>
      <c r="AC125" s="1082" t="str">
        <f t="shared" si="9"/>
        <v/>
      </c>
      <c r="AD125" s="1074"/>
      <c r="AE125" s="1074"/>
      <c r="AF125" s="1084" t="str">
        <f t="shared" si="10"/>
        <v/>
      </c>
      <c r="AG125" s="1082" t="str">
        <f t="shared" si="11"/>
        <v/>
      </c>
      <c r="AH125" s="1088"/>
      <c r="AI125" s="1087"/>
      <c r="AJ125" s="1084" t="str">
        <f t="shared" si="12"/>
        <v/>
      </c>
      <c r="AK125" s="1083" t="str">
        <f t="shared" si="13"/>
        <v/>
      </c>
      <c r="AL125" s="210">
        <v>4337831</v>
      </c>
      <c r="AM125" s="210">
        <v>4524838</v>
      </c>
      <c r="AN125" s="210">
        <v>4221551</v>
      </c>
      <c r="AO125" s="210">
        <v>7335704</v>
      </c>
      <c r="AP125" s="210">
        <v>6450123</v>
      </c>
      <c r="AQ125" s="210">
        <v>6173926</v>
      </c>
      <c r="AR125" s="210">
        <v>5227027</v>
      </c>
      <c r="AS125" s="210"/>
      <c r="AT125" s="210"/>
      <c r="AU125" s="210"/>
      <c r="AV125" s="210"/>
      <c r="AW125" s="210"/>
      <c r="AX125" s="210"/>
      <c r="AY125" s="210"/>
      <c r="AZ125" s="210"/>
      <c r="BA125" s="210"/>
      <c r="BB125" s="210"/>
      <c r="BC125" s="210"/>
      <c r="BD125" s="342">
        <v>0</v>
      </c>
      <c r="BE125" s="82">
        <f t="shared" si="15"/>
        <v>38271000</v>
      </c>
    </row>
    <row r="126" spans="1:57" ht="34.5" hidden="1" customHeight="1" x14ac:dyDescent="0.3">
      <c r="A126" s="80">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7">
        <v>4001000</v>
      </c>
      <c r="G126" s="6">
        <v>41472</v>
      </c>
      <c r="H126" s="61">
        <v>42082</v>
      </c>
      <c r="I126" s="61"/>
      <c r="J126" s="162"/>
      <c r="K126" s="332"/>
      <c r="L126" s="162"/>
      <c r="M126" s="332"/>
      <c r="N126" s="162"/>
      <c r="O126" s="332"/>
      <c r="P126" s="162"/>
      <c r="Q126" s="332"/>
      <c r="R126" s="81">
        <f t="shared" si="14"/>
        <v>0</v>
      </c>
      <c r="S126" s="345" t="s">
        <v>381</v>
      </c>
      <c r="T126" s="343">
        <v>41714</v>
      </c>
      <c r="U126" s="345"/>
      <c r="V126" s="343"/>
      <c r="W126" s="345"/>
      <c r="X126" s="343"/>
      <c r="Y126" s="345"/>
      <c r="Z126" s="343"/>
      <c r="AA126" s="167" t="s">
        <v>381</v>
      </c>
      <c r="AB126" s="1004">
        <f t="shared" si="8"/>
        <v>41714</v>
      </c>
      <c r="AC126" s="1082" t="str">
        <f t="shared" si="9"/>
        <v/>
      </c>
      <c r="AD126" s="1074"/>
      <c r="AE126" s="1074"/>
      <c r="AF126" s="1084" t="str">
        <f t="shared" si="10"/>
        <v/>
      </c>
      <c r="AG126" s="1082" t="str">
        <f t="shared" si="11"/>
        <v/>
      </c>
      <c r="AH126" s="1088"/>
      <c r="AI126" s="1087"/>
      <c r="AJ126" s="1084" t="str">
        <f t="shared" si="12"/>
        <v/>
      </c>
      <c r="AK126" s="1083" t="str">
        <f t="shared" si="13"/>
        <v/>
      </c>
      <c r="AL126" s="210">
        <v>4001000</v>
      </c>
      <c r="AM126" s="210"/>
      <c r="AN126" s="210"/>
      <c r="AO126" s="210"/>
      <c r="AP126" s="210"/>
      <c r="AQ126" s="210"/>
      <c r="AR126" s="210"/>
      <c r="AS126" s="210"/>
      <c r="AT126" s="210"/>
      <c r="AU126" s="210"/>
      <c r="AV126" s="210"/>
      <c r="AW126" s="210"/>
      <c r="AX126" s="210"/>
      <c r="AY126" s="210"/>
      <c r="AZ126" s="210"/>
      <c r="BA126" s="210"/>
      <c r="BB126" s="210"/>
      <c r="BC126" s="210"/>
      <c r="BD126" s="342">
        <v>0</v>
      </c>
      <c r="BE126" s="82">
        <f t="shared" si="15"/>
        <v>4001000</v>
      </c>
    </row>
    <row r="127" spans="1:57" ht="34.5" hidden="1" customHeight="1" x14ac:dyDescent="0.3">
      <c r="A127" s="80">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7">
        <v>10222000</v>
      </c>
      <c r="G127" s="6">
        <v>41548</v>
      </c>
      <c r="H127" s="61">
        <v>41790</v>
      </c>
      <c r="I127" s="61"/>
      <c r="J127" s="162"/>
      <c r="K127" s="332"/>
      <c r="L127" s="162"/>
      <c r="M127" s="332"/>
      <c r="N127" s="162"/>
      <c r="O127" s="332"/>
      <c r="P127" s="162"/>
      <c r="Q127" s="332"/>
      <c r="R127" s="81">
        <f t="shared" si="14"/>
        <v>0</v>
      </c>
      <c r="S127" s="345"/>
      <c r="T127" s="343"/>
      <c r="U127" s="345"/>
      <c r="V127" s="343"/>
      <c r="W127" s="345"/>
      <c r="X127" s="343"/>
      <c r="Y127" s="345"/>
      <c r="Z127" s="343"/>
      <c r="AA127" s="167"/>
      <c r="AB127" s="1004" t="str">
        <f t="shared" si="8"/>
        <v/>
      </c>
      <c r="AC127" s="1082" t="str">
        <f t="shared" si="9"/>
        <v/>
      </c>
      <c r="AD127" s="1074"/>
      <c r="AE127" s="1074"/>
      <c r="AF127" s="1084" t="str">
        <f t="shared" si="10"/>
        <v/>
      </c>
      <c r="AG127" s="1082" t="str">
        <f t="shared" si="11"/>
        <v/>
      </c>
      <c r="AH127" s="1088"/>
      <c r="AI127" s="1087"/>
      <c r="AJ127" s="1084" t="str">
        <f t="shared" si="12"/>
        <v/>
      </c>
      <c r="AK127" s="1083" t="str">
        <f t="shared" si="13"/>
        <v/>
      </c>
      <c r="AL127" s="210">
        <v>520463</v>
      </c>
      <c r="AM127" s="210">
        <v>3618282</v>
      </c>
      <c r="AN127" s="210">
        <v>1853717</v>
      </c>
      <c r="AO127" s="210">
        <v>4215544</v>
      </c>
      <c r="AP127" s="210"/>
      <c r="AQ127" s="210"/>
      <c r="AR127" s="210"/>
      <c r="AS127" s="210"/>
      <c r="AT127" s="210"/>
      <c r="AU127" s="210"/>
      <c r="AV127" s="210"/>
      <c r="AW127" s="210"/>
      <c r="AX127" s="210"/>
      <c r="AY127" s="210"/>
      <c r="AZ127" s="210"/>
      <c r="BA127" s="210"/>
      <c r="BB127" s="210"/>
      <c r="BC127" s="210"/>
      <c r="BD127" s="342">
        <v>0</v>
      </c>
      <c r="BE127" s="82">
        <f t="shared" si="15"/>
        <v>10208006</v>
      </c>
    </row>
    <row r="128" spans="1:57" ht="34.5" hidden="1" customHeight="1" x14ac:dyDescent="0.3">
      <c r="A128" s="80">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1">
        <v>41691</v>
      </c>
      <c r="I128" s="61"/>
      <c r="J128" s="162"/>
      <c r="K128" s="332"/>
      <c r="L128" s="162"/>
      <c r="M128" s="332"/>
      <c r="N128" s="162"/>
      <c r="O128" s="332"/>
      <c r="P128" s="162"/>
      <c r="Q128" s="332"/>
      <c r="R128" s="81">
        <f t="shared" si="14"/>
        <v>0</v>
      </c>
      <c r="S128" s="345"/>
      <c r="T128" s="343"/>
      <c r="U128" s="345"/>
      <c r="V128" s="343"/>
      <c r="W128" s="345"/>
      <c r="X128" s="343"/>
      <c r="Y128" s="345"/>
      <c r="Z128" s="343"/>
      <c r="AA128" s="167"/>
      <c r="AB128" s="1004" t="str">
        <f t="shared" si="8"/>
        <v/>
      </c>
      <c r="AC128" s="1082" t="str">
        <f t="shared" si="9"/>
        <v/>
      </c>
      <c r="AD128" s="1074"/>
      <c r="AE128" s="1074"/>
      <c r="AF128" s="1084" t="str">
        <f t="shared" si="10"/>
        <v/>
      </c>
      <c r="AG128" s="1082" t="str">
        <f t="shared" si="11"/>
        <v/>
      </c>
      <c r="AH128" s="1088"/>
      <c r="AI128" s="1087"/>
      <c r="AJ128" s="1084" t="str">
        <f t="shared" si="12"/>
        <v/>
      </c>
      <c r="AK128" s="1083" t="str">
        <f t="shared" si="13"/>
        <v/>
      </c>
      <c r="AL128" s="210">
        <v>1028100</v>
      </c>
      <c r="AM128" s="210">
        <v>3427000</v>
      </c>
      <c r="AN128" s="210">
        <v>3427000</v>
      </c>
      <c r="AO128" s="210">
        <v>3427000</v>
      </c>
      <c r="AP128" s="210">
        <v>3427000</v>
      </c>
      <c r="AQ128" s="210">
        <v>3427000</v>
      </c>
      <c r="AR128" s="210">
        <v>3427000</v>
      </c>
      <c r="AS128" s="210">
        <v>2398900</v>
      </c>
      <c r="AT128" s="210"/>
      <c r="AU128" s="210"/>
      <c r="AV128" s="210"/>
      <c r="AW128" s="210"/>
      <c r="AX128" s="210"/>
      <c r="AY128" s="210"/>
      <c r="AZ128" s="210"/>
      <c r="BA128" s="210"/>
      <c r="BB128" s="210"/>
      <c r="BC128" s="210"/>
      <c r="BD128" s="342">
        <v>0</v>
      </c>
      <c r="BE128" s="82">
        <f t="shared" si="15"/>
        <v>23989000</v>
      </c>
    </row>
    <row r="129" spans="1:57" ht="34.5" hidden="1" customHeight="1" x14ac:dyDescent="0.3">
      <c r="A129" s="80">
        <v>123</v>
      </c>
      <c r="B129" s="2" t="str">
        <f>+'Base de Datos'!E129</f>
        <v>130227-0-2013</v>
      </c>
      <c r="C129" s="2" t="str">
        <f>+'Base de Datos'!F129</f>
        <v>PUBLICACIONES SEMANA S.A.</v>
      </c>
      <c r="D129" s="2">
        <f>+'Base de Datos'!G129</f>
        <v>860509265</v>
      </c>
      <c r="E129" s="2" t="str">
        <f>+'Base de Datos'!H129</f>
        <v>SUSCRIPCIÓN A LA REVISTA SEMANA, PARA EL CONCEJO DE BOGOTÁ</v>
      </c>
      <c r="F129" s="8">
        <v>795000</v>
      </c>
      <c r="G129" s="6">
        <v>41547</v>
      </c>
      <c r="H129" s="61">
        <v>41911</v>
      </c>
      <c r="I129" s="61"/>
      <c r="J129" s="162"/>
      <c r="K129" s="332"/>
      <c r="L129" s="162"/>
      <c r="M129" s="332"/>
      <c r="N129" s="162"/>
      <c r="O129" s="332"/>
      <c r="P129" s="162"/>
      <c r="Q129" s="332"/>
      <c r="R129" s="81">
        <f t="shared" si="14"/>
        <v>0</v>
      </c>
      <c r="S129" s="345"/>
      <c r="T129" s="343"/>
      <c r="U129" s="345"/>
      <c r="V129" s="343"/>
      <c r="W129" s="345"/>
      <c r="X129" s="343"/>
      <c r="Y129" s="345"/>
      <c r="Z129" s="343"/>
      <c r="AA129" s="167"/>
      <c r="AB129" s="1004" t="str">
        <f t="shared" si="8"/>
        <v/>
      </c>
      <c r="AC129" s="1082" t="str">
        <f t="shared" si="9"/>
        <v/>
      </c>
      <c r="AD129" s="1074"/>
      <c r="AE129" s="1074"/>
      <c r="AF129" s="1084" t="str">
        <f t="shared" si="10"/>
        <v/>
      </c>
      <c r="AG129" s="1082" t="str">
        <f t="shared" si="11"/>
        <v/>
      </c>
      <c r="AH129" s="1088"/>
      <c r="AI129" s="1087"/>
      <c r="AJ129" s="1084" t="str">
        <f t="shared" si="12"/>
        <v/>
      </c>
      <c r="AK129" s="1083" t="str">
        <f t="shared" si="13"/>
        <v/>
      </c>
      <c r="AL129" s="210">
        <v>795000</v>
      </c>
      <c r="AM129" s="210"/>
      <c r="AN129" s="210"/>
      <c r="AO129" s="210"/>
      <c r="AP129" s="210"/>
      <c r="AQ129" s="210"/>
      <c r="AR129" s="210"/>
      <c r="AS129" s="210"/>
      <c r="AT129" s="210"/>
      <c r="AU129" s="210"/>
      <c r="AV129" s="210"/>
      <c r="AW129" s="210"/>
      <c r="AX129" s="210"/>
      <c r="AY129" s="210"/>
      <c r="AZ129" s="210"/>
      <c r="BA129" s="210"/>
      <c r="BB129" s="210"/>
      <c r="BC129" s="210"/>
      <c r="BD129" s="342">
        <v>0</v>
      </c>
      <c r="BE129" s="82">
        <f t="shared" si="15"/>
        <v>795000</v>
      </c>
    </row>
    <row r="130" spans="1:57" ht="34.5" hidden="1" customHeight="1" x14ac:dyDescent="0.3">
      <c r="A130" s="80">
        <v>124</v>
      </c>
      <c r="B130" s="2" t="str">
        <f>+'Base de Datos'!E130</f>
        <v>130228-0-2013</v>
      </c>
      <c r="C130" s="2" t="str">
        <f>+'Base de Datos'!F130</f>
        <v>COMUNICAN S.A</v>
      </c>
      <c r="D130" s="2">
        <f>+'Base de Datos'!G130</f>
        <v>860007590</v>
      </c>
      <c r="E130" s="2" t="str">
        <f>+'Base de Datos'!H130</f>
        <v>SUSCRIPCIÓN AL DIARIO EL ESPECTADOR, PARA EL CONCEJO DE BOGOTÁ.</v>
      </c>
      <c r="F130" s="7">
        <v>936000</v>
      </c>
      <c r="G130" s="6">
        <v>41528</v>
      </c>
      <c r="H130" s="61">
        <v>41892</v>
      </c>
      <c r="I130" s="61"/>
      <c r="J130" s="162"/>
      <c r="K130" s="332"/>
      <c r="L130" s="162"/>
      <c r="M130" s="332"/>
      <c r="N130" s="162"/>
      <c r="O130" s="332"/>
      <c r="P130" s="162"/>
      <c r="Q130" s="332"/>
      <c r="R130" s="81">
        <f t="shared" si="14"/>
        <v>0</v>
      </c>
      <c r="S130" s="345"/>
      <c r="T130" s="343"/>
      <c r="U130" s="345"/>
      <c r="V130" s="343"/>
      <c r="W130" s="345"/>
      <c r="X130" s="343"/>
      <c r="Y130" s="345"/>
      <c r="Z130" s="343"/>
      <c r="AA130" s="167"/>
      <c r="AB130" s="1004" t="str">
        <f t="shared" si="8"/>
        <v/>
      </c>
      <c r="AC130" s="1082" t="str">
        <f t="shared" si="9"/>
        <v/>
      </c>
      <c r="AD130" s="1074"/>
      <c r="AE130" s="1074"/>
      <c r="AF130" s="1084" t="str">
        <f t="shared" si="10"/>
        <v/>
      </c>
      <c r="AG130" s="1082" t="str">
        <f t="shared" si="11"/>
        <v/>
      </c>
      <c r="AH130" s="1088"/>
      <c r="AI130" s="1087"/>
      <c r="AJ130" s="1084" t="str">
        <f t="shared" si="12"/>
        <v/>
      </c>
      <c r="AK130" s="1083" t="str">
        <f t="shared" si="13"/>
        <v/>
      </c>
      <c r="AL130" s="210">
        <v>936000</v>
      </c>
      <c r="AM130" s="210"/>
      <c r="AN130" s="210"/>
      <c r="AO130" s="210"/>
      <c r="AP130" s="210"/>
      <c r="AQ130" s="210"/>
      <c r="AR130" s="210"/>
      <c r="AS130" s="210"/>
      <c r="AT130" s="210"/>
      <c r="AU130" s="210"/>
      <c r="AV130" s="210"/>
      <c r="AW130" s="210"/>
      <c r="AX130" s="210"/>
      <c r="AY130" s="210"/>
      <c r="AZ130" s="210"/>
      <c r="BA130" s="210"/>
      <c r="BB130" s="210"/>
      <c r="BC130" s="210"/>
      <c r="BD130" s="342">
        <v>0</v>
      </c>
      <c r="BE130" s="82">
        <f t="shared" si="15"/>
        <v>936000</v>
      </c>
    </row>
    <row r="131" spans="1:57" ht="34.5" hidden="1" customHeight="1" x14ac:dyDescent="0.3">
      <c r="A131" s="80">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38">
        <v>3847300</v>
      </c>
      <c r="G131" s="6">
        <v>41494</v>
      </c>
      <c r="H131" s="61">
        <v>41766</v>
      </c>
      <c r="I131" s="61"/>
      <c r="J131" s="162"/>
      <c r="K131" s="332"/>
      <c r="L131" s="162"/>
      <c r="M131" s="332"/>
      <c r="N131" s="162"/>
      <c r="O131" s="332"/>
      <c r="P131" s="162"/>
      <c r="Q131" s="332"/>
      <c r="R131" s="81">
        <f t="shared" si="14"/>
        <v>0</v>
      </c>
      <c r="S131" s="345" t="s">
        <v>379</v>
      </c>
      <c r="T131" s="343">
        <v>41858</v>
      </c>
      <c r="U131" s="345"/>
      <c r="V131" s="343"/>
      <c r="W131" s="345"/>
      <c r="X131" s="343"/>
      <c r="Y131" s="345"/>
      <c r="Z131" s="343"/>
      <c r="AA131" s="167" t="s">
        <v>379</v>
      </c>
      <c r="AB131" s="1004">
        <f t="shared" si="8"/>
        <v>41858</v>
      </c>
      <c r="AC131" s="1082" t="str">
        <f t="shared" si="9"/>
        <v/>
      </c>
      <c r="AD131" s="1074"/>
      <c r="AE131" s="1074"/>
      <c r="AF131" s="1084" t="str">
        <f t="shared" si="10"/>
        <v/>
      </c>
      <c r="AG131" s="1082" t="str">
        <f t="shared" si="11"/>
        <v/>
      </c>
      <c r="AH131" s="1088"/>
      <c r="AI131" s="1087"/>
      <c r="AJ131" s="1084" t="str">
        <f t="shared" si="12"/>
        <v/>
      </c>
      <c r="AK131" s="1083" t="str">
        <f t="shared" si="13"/>
        <v/>
      </c>
      <c r="AL131" s="210">
        <v>3847300</v>
      </c>
      <c r="AM131" s="210"/>
      <c r="AN131" s="210"/>
      <c r="AO131" s="210"/>
      <c r="AP131" s="210"/>
      <c r="AQ131" s="210"/>
      <c r="AR131" s="210"/>
      <c r="AS131" s="210"/>
      <c r="AT131" s="210"/>
      <c r="AU131" s="210"/>
      <c r="AV131" s="210"/>
      <c r="AW131" s="210"/>
      <c r="AX131" s="210"/>
      <c r="AY131" s="210"/>
      <c r="AZ131" s="210"/>
      <c r="BA131" s="210"/>
      <c r="BB131" s="210"/>
      <c r="BC131" s="210"/>
      <c r="BD131" s="342">
        <v>0</v>
      </c>
      <c r="BE131" s="82">
        <f t="shared" si="15"/>
        <v>3847300</v>
      </c>
    </row>
    <row r="132" spans="1:57" ht="34.5" hidden="1" customHeight="1" x14ac:dyDescent="0.3">
      <c r="A132" s="80">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8">
        <v>46411000</v>
      </c>
      <c r="G132" s="6">
        <v>41500</v>
      </c>
      <c r="H132" s="61">
        <v>41803</v>
      </c>
      <c r="I132" s="61"/>
      <c r="J132" s="162">
        <v>5000000</v>
      </c>
      <c r="K132" s="332"/>
      <c r="L132" s="162">
        <v>9282200</v>
      </c>
      <c r="M132" s="332"/>
      <c r="N132" s="162"/>
      <c r="O132" s="332"/>
      <c r="P132" s="162"/>
      <c r="Q132" s="332"/>
      <c r="R132" s="81">
        <f t="shared" si="14"/>
        <v>14282200</v>
      </c>
      <c r="S132" s="345" t="s">
        <v>378</v>
      </c>
      <c r="T132" s="343">
        <v>41864</v>
      </c>
      <c r="U132" s="345"/>
      <c r="V132" s="343"/>
      <c r="W132" s="345"/>
      <c r="X132" s="343"/>
      <c r="Y132" s="345"/>
      <c r="Z132" s="343"/>
      <c r="AA132" s="167" t="s">
        <v>378</v>
      </c>
      <c r="AB132" s="1004">
        <f t="shared" si="8"/>
        <v>41864</v>
      </c>
      <c r="AC132" s="1082" t="str">
        <f t="shared" si="9"/>
        <v/>
      </c>
      <c r="AD132" s="1074"/>
      <c r="AE132" s="1074"/>
      <c r="AF132" s="1084" t="str">
        <f t="shared" si="10"/>
        <v/>
      </c>
      <c r="AG132" s="1082" t="str">
        <f t="shared" si="11"/>
        <v/>
      </c>
      <c r="AH132" s="1088"/>
      <c r="AI132" s="1087"/>
      <c r="AJ132" s="1084" t="str">
        <f t="shared" si="12"/>
        <v/>
      </c>
      <c r="AK132" s="1083" t="str">
        <f t="shared" si="13"/>
        <v/>
      </c>
      <c r="AL132" s="210">
        <v>59391828</v>
      </c>
      <c r="AM132" s="210"/>
      <c r="AN132" s="210"/>
      <c r="AO132" s="210"/>
      <c r="AP132" s="210"/>
      <c r="AQ132" s="210"/>
      <c r="AR132" s="210"/>
      <c r="AS132" s="210"/>
      <c r="AT132" s="210"/>
      <c r="AU132" s="210"/>
      <c r="AV132" s="210"/>
      <c r="AW132" s="210"/>
      <c r="AX132" s="210"/>
      <c r="AY132" s="210"/>
      <c r="AZ132" s="210"/>
      <c r="BA132" s="210"/>
      <c r="BB132" s="210"/>
      <c r="BC132" s="210"/>
      <c r="BD132" s="342">
        <v>0</v>
      </c>
      <c r="BE132" s="82">
        <f t="shared" si="15"/>
        <v>59391828</v>
      </c>
    </row>
    <row r="133" spans="1:57" ht="34.5" hidden="1" customHeight="1" x14ac:dyDescent="0.3">
      <c r="A133" s="80">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7">
        <v>4393120</v>
      </c>
      <c r="G133" s="6">
        <v>41512</v>
      </c>
      <c r="H133" s="61">
        <v>41784</v>
      </c>
      <c r="I133" s="61"/>
      <c r="J133" s="162"/>
      <c r="K133" s="332"/>
      <c r="L133" s="162"/>
      <c r="M133" s="332"/>
      <c r="N133" s="162"/>
      <c r="O133" s="332"/>
      <c r="P133" s="162"/>
      <c r="Q133" s="332"/>
      <c r="R133" s="81">
        <f t="shared" si="14"/>
        <v>0</v>
      </c>
      <c r="S133" s="345" t="s">
        <v>379</v>
      </c>
      <c r="T133" s="343">
        <v>41876</v>
      </c>
      <c r="U133" s="345"/>
      <c r="V133" s="343"/>
      <c r="W133" s="345"/>
      <c r="X133" s="343"/>
      <c r="Y133" s="345"/>
      <c r="Z133" s="343"/>
      <c r="AA133" s="167" t="s">
        <v>379</v>
      </c>
      <c r="AB133" s="1004">
        <f t="shared" si="8"/>
        <v>41876</v>
      </c>
      <c r="AC133" s="1082" t="str">
        <f t="shared" si="9"/>
        <v/>
      </c>
      <c r="AD133" s="1074"/>
      <c r="AE133" s="1074"/>
      <c r="AF133" s="1084" t="str">
        <f t="shared" si="10"/>
        <v/>
      </c>
      <c r="AG133" s="1082" t="str">
        <f t="shared" si="11"/>
        <v/>
      </c>
      <c r="AH133" s="1088"/>
      <c r="AI133" s="1087"/>
      <c r="AJ133" s="1084" t="str">
        <f t="shared" si="12"/>
        <v/>
      </c>
      <c r="AK133" s="1083" t="str">
        <f t="shared" si="13"/>
        <v/>
      </c>
      <c r="AL133" s="210">
        <v>2050000</v>
      </c>
      <c r="AM133" s="210">
        <v>528000</v>
      </c>
      <c r="AN133" s="210"/>
      <c r="AO133" s="210"/>
      <c r="AP133" s="210"/>
      <c r="AQ133" s="210"/>
      <c r="AR133" s="210"/>
      <c r="AS133" s="210"/>
      <c r="AT133" s="210"/>
      <c r="AU133" s="210"/>
      <c r="AV133" s="210"/>
      <c r="AW133" s="210"/>
      <c r="AX133" s="210"/>
      <c r="AY133" s="210"/>
      <c r="AZ133" s="210"/>
      <c r="BA133" s="210"/>
      <c r="BB133" s="210"/>
      <c r="BC133" s="210"/>
      <c r="BD133" s="342">
        <v>41970</v>
      </c>
      <c r="BE133" s="82">
        <f t="shared" si="15"/>
        <v>2578000</v>
      </c>
    </row>
    <row r="134" spans="1:57" ht="34.5" hidden="1" customHeight="1" x14ac:dyDescent="0.3">
      <c r="A134" s="80">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7">
        <v>16804000</v>
      </c>
      <c r="G134" s="6">
        <v>41523</v>
      </c>
      <c r="H134" s="61">
        <v>41764</v>
      </c>
      <c r="I134" s="61"/>
      <c r="J134" s="162">
        <v>8400000</v>
      </c>
      <c r="K134" s="332"/>
      <c r="L134" s="162"/>
      <c r="M134" s="332"/>
      <c r="N134" s="162"/>
      <c r="O134" s="332"/>
      <c r="P134" s="162"/>
      <c r="Q134" s="332"/>
      <c r="R134" s="81">
        <f t="shared" si="14"/>
        <v>8400000</v>
      </c>
      <c r="S134" s="345" t="s">
        <v>379</v>
      </c>
      <c r="T134" s="343">
        <v>41856</v>
      </c>
      <c r="U134" s="345" t="s">
        <v>977</v>
      </c>
      <c r="V134" s="343">
        <v>41917</v>
      </c>
      <c r="W134" s="345" t="s">
        <v>382</v>
      </c>
      <c r="X134" s="343">
        <v>42099</v>
      </c>
      <c r="Y134" s="345"/>
      <c r="Z134" s="343"/>
      <c r="AA134" s="167" t="s">
        <v>1108</v>
      </c>
      <c r="AB134" s="1004">
        <f t="shared" si="8"/>
        <v>42099</v>
      </c>
      <c r="AC134" s="1082" t="str">
        <f t="shared" si="9"/>
        <v/>
      </c>
      <c r="AD134" s="1074"/>
      <c r="AE134" s="1074"/>
      <c r="AF134" s="1084" t="str">
        <f t="shared" si="10"/>
        <v/>
      </c>
      <c r="AG134" s="1082" t="str">
        <f t="shared" si="11"/>
        <v/>
      </c>
      <c r="AH134" s="1088"/>
      <c r="AI134" s="1087"/>
      <c r="AJ134" s="1084" t="str">
        <f t="shared" si="12"/>
        <v/>
      </c>
      <c r="AK134" s="1083" t="str">
        <f t="shared" si="13"/>
        <v/>
      </c>
      <c r="AL134" s="210">
        <v>971581</v>
      </c>
      <c r="AM134" s="210">
        <v>1281867</v>
      </c>
      <c r="AN134" s="210">
        <v>1129422</v>
      </c>
      <c r="AO134" s="210">
        <v>858248</v>
      </c>
      <c r="AP134" s="210">
        <v>1213050</v>
      </c>
      <c r="AQ134" s="210">
        <v>1319450</v>
      </c>
      <c r="AR134" s="210">
        <v>1078602</v>
      </c>
      <c r="AS134" s="210">
        <v>1363250</v>
      </c>
      <c r="AT134" s="210">
        <v>1585662</v>
      </c>
      <c r="AU134" s="210">
        <v>1017234</v>
      </c>
      <c r="AV134" s="210">
        <v>1793926</v>
      </c>
      <c r="AW134" s="210">
        <v>1502200</v>
      </c>
      <c r="AX134" s="210">
        <v>2536080</v>
      </c>
      <c r="AY134" s="210">
        <v>1377962</v>
      </c>
      <c r="AZ134" s="210">
        <v>1692389</v>
      </c>
      <c r="BA134" s="210">
        <v>3702294</v>
      </c>
      <c r="BB134" s="210">
        <v>778233</v>
      </c>
      <c r="BC134" s="210"/>
      <c r="BD134" s="342">
        <v>42152</v>
      </c>
      <c r="BE134" s="82">
        <f t="shared" si="15"/>
        <v>25201450</v>
      </c>
    </row>
    <row r="135" spans="1:57" ht="34.5" hidden="1" customHeight="1" x14ac:dyDescent="0.3">
      <c r="A135" s="80">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7">
        <v>86923131</v>
      </c>
      <c r="G135" s="6">
        <v>41506</v>
      </c>
      <c r="H135" s="61">
        <v>41871</v>
      </c>
      <c r="I135" s="61"/>
      <c r="J135" s="162">
        <v>43461566</v>
      </c>
      <c r="K135" s="332"/>
      <c r="L135" s="162"/>
      <c r="M135" s="332"/>
      <c r="N135" s="162"/>
      <c r="O135" s="332"/>
      <c r="P135" s="162"/>
      <c r="Q135" s="332"/>
      <c r="R135" s="81">
        <f t="shared" si="14"/>
        <v>43461566</v>
      </c>
      <c r="S135" s="345" t="s">
        <v>544</v>
      </c>
      <c r="T135" s="343">
        <v>42055</v>
      </c>
      <c r="U135" s="345"/>
      <c r="V135" s="343"/>
      <c r="W135" s="345"/>
      <c r="X135" s="343"/>
      <c r="Y135" s="345"/>
      <c r="Z135" s="343"/>
      <c r="AA135" s="167" t="s">
        <v>544</v>
      </c>
      <c r="AB135" s="1004">
        <f t="shared" ref="AB135:AB198" si="16">IF(ISNUMBER(T135),MAX(T135,V135,X135,Z135),"")</f>
        <v>42055</v>
      </c>
      <c r="AC135" s="1082" t="str">
        <f t="shared" ref="AC135:AC198" si="17">IF(ISNUMBER(AD135),ABS(AD135-AE135)+1,"")</f>
        <v/>
      </c>
      <c r="AD135" s="1074"/>
      <c r="AE135" s="1074"/>
      <c r="AF135" s="1084" t="str">
        <f t="shared" ref="AF135:AF198" si="18">IFERROR(IF(MAX(H135,I135)&lt;AE135,MAX(H135,I135)-AE135+AC135+AE135,MAX(H135,I135)+AC135),"")</f>
        <v/>
      </c>
      <c r="AG135" s="1082" t="str">
        <f t="shared" ref="AG135:AG198" si="19">IF(ISNUMBER(AH135),ABS(AH135-AI135)+1,"")</f>
        <v/>
      </c>
      <c r="AH135" s="1088"/>
      <c r="AI135" s="1087"/>
      <c r="AJ135" s="1084" t="str">
        <f t="shared" ref="AJ135:AJ198" si="20">IFERROR(IF(AF135&lt;AI135,((AF135-AI135)+AG135)+(AI135),AF135+AG135),"")</f>
        <v/>
      </c>
      <c r="AK135" s="1083" t="str">
        <f t="shared" ref="AK135:AK198" si="21">IF(ISNUMBER(AF135),MAX(AB135,AF135,AJ135),"")</f>
        <v/>
      </c>
      <c r="AL135" s="210">
        <v>1012208</v>
      </c>
      <c r="AM135" s="210">
        <v>52788430</v>
      </c>
      <c r="AN135" s="210">
        <v>3323460</v>
      </c>
      <c r="AO135" s="210">
        <v>24987218</v>
      </c>
      <c r="AP135" s="210">
        <v>4800000</v>
      </c>
      <c r="AQ135" s="210">
        <v>8297990</v>
      </c>
      <c r="AR135" s="210">
        <v>1150329</v>
      </c>
      <c r="AS135" s="210"/>
      <c r="AT135" s="210"/>
      <c r="AU135" s="210"/>
      <c r="AV135" s="210"/>
      <c r="AW135" s="210"/>
      <c r="AX135" s="210"/>
      <c r="AY135" s="210"/>
      <c r="AZ135" s="210"/>
      <c r="BA135" s="210"/>
      <c r="BB135" s="210"/>
      <c r="BC135" s="210"/>
      <c r="BD135" s="342">
        <v>0</v>
      </c>
      <c r="BE135" s="82">
        <f t="shared" si="15"/>
        <v>96359635</v>
      </c>
    </row>
    <row r="136" spans="1:57" ht="34.5" hidden="1" customHeight="1" x14ac:dyDescent="0.3">
      <c r="A136" s="80">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7">
        <v>45056000</v>
      </c>
      <c r="G136" s="6">
        <v>41533</v>
      </c>
      <c r="H136" s="61">
        <v>41897</v>
      </c>
      <c r="I136" s="61"/>
      <c r="J136" s="162"/>
      <c r="K136" s="332"/>
      <c r="L136" s="162"/>
      <c r="M136" s="332"/>
      <c r="N136" s="162"/>
      <c r="O136" s="332"/>
      <c r="P136" s="162"/>
      <c r="Q136" s="332"/>
      <c r="R136" s="81">
        <f t="shared" ref="R136:R199" si="22">SUM(J136,L136,N136,P136)</f>
        <v>0</v>
      </c>
      <c r="S136" s="345"/>
      <c r="T136" s="343"/>
      <c r="U136" s="345"/>
      <c r="V136" s="343"/>
      <c r="W136" s="345"/>
      <c r="X136" s="343"/>
      <c r="Y136" s="345"/>
      <c r="Z136" s="343"/>
      <c r="AA136" s="167"/>
      <c r="AB136" s="1004" t="str">
        <f t="shared" si="16"/>
        <v/>
      </c>
      <c r="AC136" s="1082" t="str">
        <f t="shared" si="17"/>
        <v/>
      </c>
      <c r="AD136" s="1074"/>
      <c r="AE136" s="1074"/>
      <c r="AF136" s="1084" t="str">
        <f t="shared" si="18"/>
        <v/>
      </c>
      <c r="AG136" s="1082" t="str">
        <f t="shared" si="19"/>
        <v/>
      </c>
      <c r="AH136" s="1088"/>
      <c r="AI136" s="1087"/>
      <c r="AJ136" s="1084" t="str">
        <f t="shared" si="20"/>
        <v/>
      </c>
      <c r="AK136" s="1083" t="str">
        <f t="shared" si="21"/>
        <v/>
      </c>
      <c r="AL136" s="210">
        <v>7516800</v>
      </c>
      <c r="AM136" s="210">
        <v>7516800</v>
      </c>
      <c r="AN136" s="210">
        <v>10022400</v>
      </c>
      <c r="AO136" s="210"/>
      <c r="AP136" s="210"/>
      <c r="AQ136" s="210"/>
      <c r="AR136" s="210"/>
      <c r="AS136" s="210"/>
      <c r="AT136" s="210"/>
      <c r="AU136" s="210"/>
      <c r="AV136" s="210"/>
      <c r="AW136" s="210"/>
      <c r="AX136" s="210"/>
      <c r="AY136" s="210"/>
      <c r="AZ136" s="210"/>
      <c r="BA136" s="210"/>
      <c r="BB136" s="210"/>
      <c r="BC136" s="210"/>
      <c r="BD136" s="342">
        <v>41961</v>
      </c>
      <c r="BE136" s="82">
        <f t="shared" si="15"/>
        <v>25056000</v>
      </c>
    </row>
    <row r="137" spans="1:57" ht="34.5" hidden="1" customHeight="1" x14ac:dyDescent="0.3">
      <c r="A137" s="80">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7">
        <v>76223000</v>
      </c>
      <c r="G137" s="6">
        <v>41541</v>
      </c>
      <c r="H137" s="61">
        <v>41721</v>
      </c>
      <c r="I137" s="61"/>
      <c r="J137" s="162">
        <v>13000000</v>
      </c>
      <c r="K137" s="332"/>
      <c r="L137" s="162">
        <v>25002288</v>
      </c>
      <c r="M137" s="332"/>
      <c r="N137" s="162"/>
      <c r="O137" s="332"/>
      <c r="P137" s="162"/>
      <c r="Q137" s="332"/>
      <c r="R137" s="81">
        <f t="shared" si="22"/>
        <v>38002288</v>
      </c>
      <c r="S137" s="345" t="s">
        <v>378</v>
      </c>
      <c r="T137" s="343">
        <v>41782</v>
      </c>
      <c r="U137" s="345"/>
      <c r="V137" s="343"/>
      <c r="W137" s="345"/>
      <c r="X137" s="343"/>
      <c r="Y137" s="345"/>
      <c r="Z137" s="343"/>
      <c r="AA137" s="167" t="s">
        <v>378</v>
      </c>
      <c r="AB137" s="1004">
        <f t="shared" si="16"/>
        <v>41782</v>
      </c>
      <c r="AC137" s="1082" t="str">
        <f t="shared" si="17"/>
        <v/>
      </c>
      <c r="AD137" s="1074"/>
      <c r="AE137" s="1074"/>
      <c r="AF137" s="1084" t="str">
        <f t="shared" si="18"/>
        <v/>
      </c>
      <c r="AG137" s="1082" t="str">
        <f t="shared" si="19"/>
        <v/>
      </c>
      <c r="AH137" s="1088"/>
      <c r="AI137" s="1087"/>
      <c r="AJ137" s="1084" t="str">
        <f t="shared" si="20"/>
        <v/>
      </c>
      <c r="AK137" s="1083" t="str">
        <f t="shared" si="21"/>
        <v/>
      </c>
      <c r="AL137" s="210">
        <v>14315376</v>
      </c>
      <c r="AM137" s="210">
        <v>11847080</v>
      </c>
      <c r="AN137" s="210">
        <v>31668000</v>
      </c>
      <c r="AO137" s="210">
        <v>18355548</v>
      </c>
      <c r="AP137" s="210">
        <v>3999216</v>
      </c>
      <c r="AQ137" s="210">
        <v>1093068</v>
      </c>
      <c r="AR137" s="210">
        <v>7150240</v>
      </c>
      <c r="AS137" s="210">
        <v>786132</v>
      </c>
      <c r="AT137" s="210">
        <v>25002408</v>
      </c>
      <c r="AU137" s="210"/>
      <c r="AV137" s="210"/>
      <c r="AW137" s="210"/>
      <c r="AX137" s="210"/>
      <c r="AY137" s="210"/>
      <c r="AZ137" s="210"/>
      <c r="BA137" s="210"/>
      <c r="BB137" s="210"/>
      <c r="BC137" s="210"/>
      <c r="BD137" s="342">
        <v>0</v>
      </c>
      <c r="BE137" s="82">
        <f t="shared" si="15"/>
        <v>114217068</v>
      </c>
    </row>
    <row r="138" spans="1:57" ht="34.5" hidden="1" customHeight="1" x14ac:dyDescent="0.3">
      <c r="A138" s="80">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7">
        <v>4715000</v>
      </c>
      <c r="G138" s="6">
        <v>41555</v>
      </c>
      <c r="H138" s="61">
        <v>41615</v>
      </c>
      <c r="I138" s="61"/>
      <c r="J138" s="162"/>
      <c r="K138" s="332"/>
      <c r="L138" s="162"/>
      <c r="M138" s="332"/>
      <c r="N138" s="162"/>
      <c r="O138" s="332"/>
      <c r="P138" s="162"/>
      <c r="Q138" s="332"/>
      <c r="R138" s="81">
        <f t="shared" si="22"/>
        <v>0</v>
      </c>
      <c r="S138" s="345"/>
      <c r="T138" s="343"/>
      <c r="U138" s="345"/>
      <c r="V138" s="343"/>
      <c r="W138" s="345"/>
      <c r="X138" s="343"/>
      <c r="Y138" s="345"/>
      <c r="Z138" s="343"/>
      <c r="AA138" s="167"/>
      <c r="AB138" s="1004" t="str">
        <f t="shared" si="16"/>
        <v/>
      </c>
      <c r="AC138" s="1082" t="str">
        <f t="shared" si="17"/>
        <v/>
      </c>
      <c r="AD138" s="1074"/>
      <c r="AE138" s="1074"/>
      <c r="AF138" s="1084" t="str">
        <f t="shared" si="18"/>
        <v/>
      </c>
      <c r="AG138" s="1082" t="str">
        <f t="shared" si="19"/>
        <v/>
      </c>
      <c r="AH138" s="1088"/>
      <c r="AI138" s="1087"/>
      <c r="AJ138" s="1084" t="str">
        <f t="shared" si="20"/>
        <v/>
      </c>
      <c r="AK138" s="1083" t="str">
        <f t="shared" si="21"/>
        <v/>
      </c>
      <c r="AL138" s="210">
        <v>4715000</v>
      </c>
      <c r="AM138" s="210"/>
      <c r="AN138" s="210"/>
      <c r="AO138" s="210"/>
      <c r="AP138" s="210"/>
      <c r="AQ138" s="210"/>
      <c r="AR138" s="210"/>
      <c r="AS138" s="210"/>
      <c r="AT138" s="210"/>
      <c r="AU138" s="210"/>
      <c r="AV138" s="210"/>
      <c r="AW138" s="210"/>
      <c r="AX138" s="210"/>
      <c r="AY138" s="210"/>
      <c r="AZ138" s="210"/>
      <c r="BA138" s="210"/>
      <c r="BB138" s="210"/>
      <c r="BC138" s="210"/>
      <c r="BD138" s="342">
        <v>0</v>
      </c>
      <c r="BE138" s="82">
        <f t="shared" ref="BE138:BE201" si="23">SUM(AL138:BC138)</f>
        <v>4715000</v>
      </c>
    </row>
    <row r="139" spans="1:57" ht="34.5" hidden="1" customHeight="1" x14ac:dyDescent="0.3">
      <c r="A139" s="80">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7">
        <v>457000000</v>
      </c>
      <c r="G139" s="6">
        <v>41556</v>
      </c>
      <c r="H139" s="61">
        <v>41798</v>
      </c>
      <c r="I139" s="61"/>
      <c r="J139" s="162"/>
      <c r="K139" s="332"/>
      <c r="L139" s="162"/>
      <c r="M139" s="332"/>
      <c r="N139" s="162"/>
      <c r="O139" s="332"/>
      <c r="P139" s="162"/>
      <c r="Q139" s="332"/>
      <c r="R139" s="81">
        <f t="shared" si="22"/>
        <v>0</v>
      </c>
      <c r="S139" s="345" t="s">
        <v>381</v>
      </c>
      <c r="T139" s="343">
        <v>41828</v>
      </c>
      <c r="U139" s="345" t="s">
        <v>378</v>
      </c>
      <c r="V139" s="343">
        <v>41890</v>
      </c>
      <c r="W139" s="345"/>
      <c r="X139" s="343"/>
      <c r="Y139" s="345"/>
      <c r="Z139" s="343"/>
      <c r="AA139" s="167" t="s">
        <v>379</v>
      </c>
      <c r="AB139" s="1004">
        <f t="shared" si="16"/>
        <v>41890</v>
      </c>
      <c r="AC139" s="1082" t="str">
        <f t="shared" si="17"/>
        <v/>
      </c>
      <c r="AD139" s="1074"/>
      <c r="AE139" s="1074"/>
      <c r="AF139" s="1084" t="str">
        <f t="shared" si="18"/>
        <v/>
      </c>
      <c r="AG139" s="1082" t="str">
        <f t="shared" si="19"/>
        <v/>
      </c>
      <c r="AH139" s="1088"/>
      <c r="AI139" s="1087"/>
      <c r="AJ139" s="1084" t="str">
        <f t="shared" si="20"/>
        <v/>
      </c>
      <c r="AK139" s="1083" t="str">
        <f t="shared" si="21"/>
        <v/>
      </c>
      <c r="AL139" s="210">
        <v>182800000</v>
      </c>
      <c r="AM139" s="210">
        <v>114250000</v>
      </c>
      <c r="AN139" s="210">
        <v>114250000</v>
      </c>
      <c r="AO139" s="210">
        <v>4987285</v>
      </c>
      <c r="AP139" s="210"/>
      <c r="AQ139" s="210"/>
      <c r="AR139" s="210"/>
      <c r="AS139" s="210"/>
      <c r="AT139" s="210"/>
      <c r="AU139" s="210"/>
      <c r="AV139" s="210"/>
      <c r="AW139" s="210"/>
      <c r="AX139" s="210"/>
      <c r="AY139" s="210"/>
      <c r="AZ139" s="210"/>
      <c r="BA139" s="210"/>
      <c r="BB139" s="210"/>
      <c r="BC139" s="210"/>
      <c r="BD139" s="342">
        <v>41997</v>
      </c>
      <c r="BE139" s="82">
        <f t="shared" si="23"/>
        <v>416287285</v>
      </c>
    </row>
    <row r="140" spans="1:57" ht="34.5" hidden="1" customHeight="1" x14ac:dyDescent="0.3">
      <c r="A140" s="80">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8">
        <v>3356320</v>
      </c>
      <c r="G140" s="6">
        <v>41554</v>
      </c>
      <c r="H140" s="61">
        <v>41645</v>
      </c>
      <c r="I140" s="61"/>
      <c r="J140" s="162"/>
      <c r="K140" s="332"/>
      <c r="L140" s="162"/>
      <c r="M140" s="332"/>
      <c r="N140" s="162"/>
      <c r="O140" s="332"/>
      <c r="P140" s="162"/>
      <c r="Q140" s="332"/>
      <c r="R140" s="81">
        <f t="shared" si="22"/>
        <v>0</v>
      </c>
      <c r="S140" s="345"/>
      <c r="T140" s="343"/>
      <c r="U140" s="345"/>
      <c r="V140" s="343"/>
      <c r="W140" s="345"/>
      <c r="X140" s="343"/>
      <c r="Y140" s="345"/>
      <c r="Z140" s="343"/>
      <c r="AA140" s="167"/>
      <c r="AB140" s="1004" t="str">
        <f t="shared" si="16"/>
        <v/>
      </c>
      <c r="AC140" s="1082" t="str">
        <f t="shared" si="17"/>
        <v/>
      </c>
      <c r="AD140" s="1074"/>
      <c r="AE140" s="1074"/>
      <c r="AF140" s="1084" t="str">
        <f t="shared" si="18"/>
        <v/>
      </c>
      <c r="AG140" s="1082" t="str">
        <f t="shared" si="19"/>
        <v/>
      </c>
      <c r="AH140" s="1088"/>
      <c r="AI140" s="1087"/>
      <c r="AJ140" s="1084" t="str">
        <f t="shared" si="20"/>
        <v/>
      </c>
      <c r="AK140" s="1083" t="str">
        <f t="shared" si="21"/>
        <v/>
      </c>
      <c r="AL140" s="210">
        <v>3356320</v>
      </c>
      <c r="AM140" s="210"/>
      <c r="AN140" s="210"/>
      <c r="AO140" s="210"/>
      <c r="AP140" s="210"/>
      <c r="AQ140" s="210"/>
      <c r="AR140" s="210"/>
      <c r="AS140" s="210"/>
      <c r="AT140" s="210"/>
      <c r="AU140" s="210"/>
      <c r="AV140" s="210"/>
      <c r="AW140" s="210"/>
      <c r="AX140" s="210"/>
      <c r="AY140" s="210"/>
      <c r="AZ140" s="210"/>
      <c r="BA140" s="210"/>
      <c r="BB140" s="210"/>
      <c r="BC140" s="210"/>
      <c r="BD140" s="342">
        <v>0</v>
      </c>
      <c r="BE140" s="82">
        <f t="shared" si="23"/>
        <v>3356320</v>
      </c>
    </row>
    <row r="141" spans="1:57" ht="34.5" hidden="1" customHeight="1" x14ac:dyDescent="0.3">
      <c r="A141" s="80">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7">
        <v>19965572</v>
      </c>
      <c r="G141" s="6">
        <v>41555</v>
      </c>
      <c r="H141" s="61">
        <v>41935</v>
      </c>
      <c r="I141" s="61"/>
      <c r="J141" s="162"/>
      <c r="K141" s="332"/>
      <c r="L141" s="162"/>
      <c r="M141" s="332"/>
      <c r="N141" s="162"/>
      <c r="O141" s="332"/>
      <c r="P141" s="162"/>
      <c r="Q141" s="332"/>
      <c r="R141" s="81">
        <f t="shared" si="22"/>
        <v>0</v>
      </c>
      <c r="S141" s="345"/>
      <c r="T141" s="343"/>
      <c r="U141" s="345"/>
      <c r="V141" s="343"/>
      <c r="W141" s="345"/>
      <c r="X141" s="343"/>
      <c r="Y141" s="345"/>
      <c r="Z141" s="343"/>
      <c r="AA141" s="167"/>
      <c r="AB141" s="1004" t="str">
        <f t="shared" si="16"/>
        <v/>
      </c>
      <c r="AC141" s="1082" t="str">
        <f t="shared" si="17"/>
        <v/>
      </c>
      <c r="AD141" s="1074"/>
      <c r="AE141" s="1074"/>
      <c r="AF141" s="1084" t="str">
        <f t="shared" si="18"/>
        <v/>
      </c>
      <c r="AG141" s="1082" t="str">
        <f t="shared" si="19"/>
        <v/>
      </c>
      <c r="AH141" s="1088"/>
      <c r="AI141" s="1087"/>
      <c r="AJ141" s="1084" t="str">
        <f t="shared" si="20"/>
        <v/>
      </c>
      <c r="AK141" s="1083" t="str">
        <f t="shared" si="21"/>
        <v/>
      </c>
      <c r="AL141" s="210">
        <v>16137572</v>
      </c>
      <c r="AM141" s="210">
        <v>1276000</v>
      </c>
      <c r="AN141" s="210">
        <v>1276000</v>
      </c>
      <c r="AO141" s="210">
        <v>1276000</v>
      </c>
      <c r="AP141" s="210"/>
      <c r="AQ141" s="210"/>
      <c r="AR141" s="210"/>
      <c r="AS141" s="210"/>
      <c r="AT141" s="210"/>
      <c r="AU141" s="210"/>
      <c r="AV141" s="210"/>
      <c r="AW141" s="210"/>
      <c r="AX141" s="210"/>
      <c r="AY141" s="210"/>
      <c r="AZ141" s="210"/>
      <c r="BA141" s="210"/>
      <c r="BB141" s="210"/>
      <c r="BC141" s="210"/>
      <c r="BD141" s="342">
        <v>0</v>
      </c>
      <c r="BE141" s="82">
        <f t="shared" si="23"/>
        <v>19965572</v>
      </c>
    </row>
    <row r="142" spans="1:57" ht="34.5" hidden="1" customHeight="1" x14ac:dyDescent="0.3">
      <c r="A142" s="80">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7">
        <v>38280000</v>
      </c>
      <c r="G142" s="6">
        <v>41562</v>
      </c>
      <c r="H142" s="61">
        <v>41926</v>
      </c>
      <c r="I142" s="61"/>
      <c r="J142" s="162"/>
      <c r="K142" s="332"/>
      <c r="L142" s="162"/>
      <c r="M142" s="332"/>
      <c r="N142" s="162"/>
      <c r="O142" s="332"/>
      <c r="P142" s="162"/>
      <c r="Q142" s="332"/>
      <c r="R142" s="81">
        <f t="shared" si="22"/>
        <v>0</v>
      </c>
      <c r="S142" s="345"/>
      <c r="T142" s="343"/>
      <c r="U142" s="345"/>
      <c r="V142" s="343"/>
      <c r="W142" s="345"/>
      <c r="X142" s="343"/>
      <c r="Y142" s="345"/>
      <c r="Z142" s="343"/>
      <c r="AA142" s="167"/>
      <c r="AB142" s="1004" t="str">
        <f t="shared" si="16"/>
        <v/>
      </c>
      <c r="AC142" s="1082" t="str">
        <f t="shared" si="17"/>
        <v/>
      </c>
      <c r="AD142" s="1074"/>
      <c r="AE142" s="1074"/>
      <c r="AF142" s="1084" t="str">
        <f t="shared" si="18"/>
        <v/>
      </c>
      <c r="AG142" s="1082" t="str">
        <f t="shared" si="19"/>
        <v/>
      </c>
      <c r="AH142" s="1088"/>
      <c r="AI142" s="1087"/>
      <c r="AJ142" s="1084" t="str">
        <f t="shared" si="20"/>
        <v/>
      </c>
      <c r="AK142" s="1083" t="str">
        <f t="shared" si="21"/>
        <v/>
      </c>
      <c r="AL142" s="210">
        <v>3190000</v>
      </c>
      <c r="AM142" s="210">
        <v>3190000</v>
      </c>
      <c r="AN142" s="210">
        <v>3190000</v>
      </c>
      <c r="AO142" s="210">
        <v>3190000</v>
      </c>
      <c r="AP142" s="210">
        <v>3190000</v>
      </c>
      <c r="AQ142" s="210">
        <v>3190000</v>
      </c>
      <c r="AR142" s="210">
        <v>3190000</v>
      </c>
      <c r="AS142" s="210">
        <v>3190000</v>
      </c>
      <c r="AT142" s="210">
        <v>3190000</v>
      </c>
      <c r="AU142" s="210">
        <v>3190000</v>
      </c>
      <c r="AV142" s="210">
        <v>3190000</v>
      </c>
      <c r="AW142" s="210">
        <v>3190000</v>
      </c>
      <c r="AX142" s="210"/>
      <c r="AY142" s="210"/>
      <c r="AZ142" s="210"/>
      <c r="BA142" s="210"/>
      <c r="BB142" s="210"/>
      <c r="BC142" s="210"/>
      <c r="BD142" s="342">
        <v>41961</v>
      </c>
      <c r="BE142" s="82">
        <f t="shared" si="23"/>
        <v>38280000</v>
      </c>
    </row>
    <row r="143" spans="1:57" ht="34.5" hidden="1" customHeight="1" x14ac:dyDescent="0.3">
      <c r="A143" s="80">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7">
        <v>26073552</v>
      </c>
      <c r="G143" s="6">
        <v>41562</v>
      </c>
      <c r="H143" s="61">
        <v>41592</v>
      </c>
      <c r="I143" s="61"/>
      <c r="J143" s="162"/>
      <c r="K143" s="332"/>
      <c r="L143" s="162"/>
      <c r="M143" s="332"/>
      <c r="N143" s="162"/>
      <c r="O143" s="332"/>
      <c r="P143" s="162"/>
      <c r="Q143" s="332"/>
      <c r="R143" s="81">
        <f t="shared" si="22"/>
        <v>0</v>
      </c>
      <c r="S143" s="345"/>
      <c r="T143" s="343"/>
      <c r="U143" s="345"/>
      <c r="V143" s="343"/>
      <c r="W143" s="345"/>
      <c r="X143" s="343"/>
      <c r="Y143" s="345"/>
      <c r="Z143" s="343"/>
      <c r="AA143" s="167"/>
      <c r="AB143" s="1004" t="str">
        <f t="shared" si="16"/>
        <v/>
      </c>
      <c r="AC143" s="1082" t="str">
        <f t="shared" si="17"/>
        <v/>
      </c>
      <c r="AD143" s="1074"/>
      <c r="AE143" s="1074"/>
      <c r="AF143" s="1084" t="str">
        <f t="shared" si="18"/>
        <v/>
      </c>
      <c r="AG143" s="1082" t="str">
        <f t="shared" si="19"/>
        <v/>
      </c>
      <c r="AH143" s="1088"/>
      <c r="AI143" s="1087"/>
      <c r="AJ143" s="1084" t="str">
        <f t="shared" si="20"/>
        <v/>
      </c>
      <c r="AK143" s="1083" t="str">
        <f t="shared" si="21"/>
        <v/>
      </c>
      <c r="AL143" s="210">
        <v>6585552</v>
      </c>
      <c r="AM143" s="210">
        <v>19488000</v>
      </c>
      <c r="AN143" s="210"/>
      <c r="AO143" s="210"/>
      <c r="AP143" s="210"/>
      <c r="AQ143" s="210"/>
      <c r="AR143" s="210"/>
      <c r="AS143" s="210"/>
      <c r="AT143" s="210"/>
      <c r="AU143" s="210"/>
      <c r="AV143" s="210"/>
      <c r="AW143" s="210"/>
      <c r="AX143" s="210"/>
      <c r="AY143" s="210"/>
      <c r="AZ143" s="210"/>
      <c r="BA143" s="210"/>
      <c r="BB143" s="210"/>
      <c r="BC143" s="210"/>
      <c r="BD143" s="342">
        <v>0</v>
      </c>
      <c r="BE143" s="82">
        <f t="shared" si="23"/>
        <v>26073552</v>
      </c>
    </row>
    <row r="144" spans="1:57" ht="34.5" hidden="1" customHeight="1" x14ac:dyDescent="0.3">
      <c r="A144" s="80">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7">
        <v>17262940</v>
      </c>
      <c r="G144" s="6">
        <v>41570</v>
      </c>
      <c r="H144" s="61">
        <v>41692</v>
      </c>
      <c r="I144" s="61"/>
      <c r="J144" s="162"/>
      <c r="K144" s="332"/>
      <c r="L144" s="162"/>
      <c r="M144" s="332"/>
      <c r="N144" s="162"/>
      <c r="O144" s="332"/>
      <c r="P144" s="162"/>
      <c r="Q144" s="332"/>
      <c r="R144" s="81">
        <f t="shared" si="22"/>
        <v>0</v>
      </c>
      <c r="S144" s="345"/>
      <c r="T144" s="343"/>
      <c r="U144" s="345"/>
      <c r="V144" s="343"/>
      <c r="W144" s="345"/>
      <c r="X144" s="343"/>
      <c r="Y144" s="345"/>
      <c r="Z144" s="343"/>
      <c r="AA144" s="167"/>
      <c r="AB144" s="1004" t="str">
        <f t="shared" si="16"/>
        <v/>
      </c>
      <c r="AC144" s="1082" t="str">
        <f t="shared" si="17"/>
        <v/>
      </c>
      <c r="AD144" s="1074"/>
      <c r="AE144" s="1074"/>
      <c r="AF144" s="1084" t="str">
        <f t="shared" si="18"/>
        <v/>
      </c>
      <c r="AG144" s="1082" t="str">
        <f t="shared" si="19"/>
        <v/>
      </c>
      <c r="AH144" s="1088"/>
      <c r="AI144" s="1087"/>
      <c r="AJ144" s="1084" t="str">
        <f t="shared" si="20"/>
        <v/>
      </c>
      <c r="AK144" s="1083" t="str">
        <f t="shared" si="21"/>
        <v/>
      </c>
      <c r="AL144" s="210">
        <v>17262940</v>
      </c>
      <c r="AM144" s="210"/>
      <c r="AN144" s="210"/>
      <c r="AO144" s="210"/>
      <c r="AP144" s="210"/>
      <c r="AQ144" s="210"/>
      <c r="AR144" s="210"/>
      <c r="AS144" s="210"/>
      <c r="AT144" s="210"/>
      <c r="AU144" s="210"/>
      <c r="AV144" s="210"/>
      <c r="AW144" s="210"/>
      <c r="AX144" s="210"/>
      <c r="AY144" s="210"/>
      <c r="AZ144" s="210"/>
      <c r="BA144" s="210"/>
      <c r="BB144" s="210"/>
      <c r="BC144" s="210"/>
      <c r="BD144" s="342">
        <v>0</v>
      </c>
      <c r="BE144" s="82">
        <f t="shared" si="23"/>
        <v>17262940</v>
      </c>
    </row>
    <row r="145" spans="1:59" ht="34.5" hidden="1" customHeight="1" x14ac:dyDescent="0.3">
      <c r="A145" s="80">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7">
        <v>810000</v>
      </c>
      <c r="G145" s="6">
        <v>41575</v>
      </c>
      <c r="H145" s="61">
        <v>41939</v>
      </c>
      <c r="I145" s="61"/>
      <c r="J145" s="162"/>
      <c r="K145" s="332"/>
      <c r="L145" s="162"/>
      <c r="M145" s="332"/>
      <c r="N145" s="162"/>
      <c r="O145" s="332"/>
      <c r="P145" s="162"/>
      <c r="Q145" s="332"/>
      <c r="R145" s="81">
        <f t="shared" si="22"/>
        <v>0</v>
      </c>
      <c r="S145" s="345"/>
      <c r="T145" s="343"/>
      <c r="U145" s="345"/>
      <c r="V145" s="343"/>
      <c r="W145" s="345"/>
      <c r="X145" s="343"/>
      <c r="Y145" s="345"/>
      <c r="Z145" s="343"/>
      <c r="AA145" s="167"/>
      <c r="AB145" s="1004" t="str">
        <f t="shared" si="16"/>
        <v/>
      </c>
      <c r="AC145" s="1082" t="str">
        <f t="shared" si="17"/>
        <v/>
      </c>
      <c r="AD145" s="1074"/>
      <c r="AE145" s="1074"/>
      <c r="AF145" s="1084" t="str">
        <f t="shared" si="18"/>
        <v/>
      </c>
      <c r="AG145" s="1082" t="str">
        <f t="shared" si="19"/>
        <v/>
      </c>
      <c r="AH145" s="1088"/>
      <c r="AI145" s="1087"/>
      <c r="AJ145" s="1084" t="str">
        <f t="shared" si="20"/>
        <v/>
      </c>
      <c r="AK145" s="1083" t="str">
        <f t="shared" si="21"/>
        <v/>
      </c>
      <c r="AL145" s="210">
        <v>810000</v>
      </c>
      <c r="AM145" s="210"/>
      <c r="AN145" s="210"/>
      <c r="AO145" s="210"/>
      <c r="AP145" s="210"/>
      <c r="AQ145" s="210"/>
      <c r="AR145" s="210"/>
      <c r="AS145" s="210"/>
      <c r="AT145" s="210"/>
      <c r="AU145" s="210"/>
      <c r="AV145" s="210"/>
      <c r="AW145" s="210"/>
      <c r="AX145" s="210"/>
      <c r="AY145" s="210"/>
      <c r="AZ145" s="210"/>
      <c r="BA145" s="210"/>
      <c r="BB145" s="210"/>
      <c r="BC145" s="210"/>
      <c r="BD145" s="342">
        <v>0</v>
      </c>
      <c r="BE145" s="82">
        <f t="shared" si="23"/>
        <v>810000</v>
      </c>
    </row>
    <row r="146" spans="1:59" ht="34.5" hidden="1" customHeight="1" x14ac:dyDescent="0.3">
      <c r="A146" s="80">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7">
        <v>5545000</v>
      </c>
      <c r="G146" s="6">
        <v>41590</v>
      </c>
      <c r="H146" s="61">
        <v>41650</v>
      </c>
      <c r="I146" s="61"/>
      <c r="J146" s="162"/>
      <c r="K146" s="332"/>
      <c r="L146" s="162"/>
      <c r="M146" s="332"/>
      <c r="N146" s="162"/>
      <c r="O146" s="332"/>
      <c r="P146" s="162"/>
      <c r="Q146" s="332"/>
      <c r="R146" s="81">
        <f t="shared" si="22"/>
        <v>0</v>
      </c>
      <c r="S146" s="345"/>
      <c r="T146" s="343"/>
      <c r="U146" s="345"/>
      <c r="V146" s="343"/>
      <c r="W146" s="345"/>
      <c r="X146" s="343"/>
      <c r="Y146" s="345"/>
      <c r="Z146" s="343"/>
      <c r="AA146" s="167"/>
      <c r="AB146" s="1004" t="str">
        <f t="shared" si="16"/>
        <v/>
      </c>
      <c r="AC146" s="1082" t="str">
        <f t="shared" si="17"/>
        <v/>
      </c>
      <c r="AD146" s="1074"/>
      <c r="AE146" s="1074"/>
      <c r="AF146" s="1084" t="str">
        <f t="shared" si="18"/>
        <v/>
      </c>
      <c r="AG146" s="1082" t="str">
        <f t="shared" si="19"/>
        <v/>
      </c>
      <c r="AH146" s="1088"/>
      <c r="AI146" s="1087"/>
      <c r="AJ146" s="1084" t="str">
        <f t="shared" si="20"/>
        <v/>
      </c>
      <c r="AK146" s="1083" t="str">
        <f t="shared" si="21"/>
        <v/>
      </c>
      <c r="AL146" s="210">
        <v>5545000</v>
      </c>
      <c r="AM146" s="210"/>
      <c r="AN146" s="210"/>
      <c r="AO146" s="210"/>
      <c r="AP146" s="210"/>
      <c r="AQ146" s="210"/>
      <c r="AR146" s="210"/>
      <c r="AS146" s="210"/>
      <c r="AT146" s="210"/>
      <c r="AU146" s="210"/>
      <c r="AV146" s="210"/>
      <c r="AW146" s="210"/>
      <c r="AX146" s="210"/>
      <c r="AY146" s="210"/>
      <c r="AZ146" s="210"/>
      <c r="BA146" s="210"/>
      <c r="BB146" s="210"/>
      <c r="BC146" s="210"/>
      <c r="BD146" s="342">
        <v>0</v>
      </c>
      <c r="BE146" s="82">
        <f t="shared" si="23"/>
        <v>5545000</v>
      </c>
    </row>
    <row r="147" spans="1:59" ht="34.5" hidden="1" customHeight="1" x14ac:dyDescent="0.3">
      <c r="A147" s="80">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7">
        <v>19360400</v>
      </c>
      <c r="G147" s="6">
        <v>41590</v>
      </c>
      <c r="H147" s="61">
        <v>41650</v>
      </c>
      <c r="I147" s="61"/>
      <c r="J147" s="162"/>
      <c r="K147" s="332"/>
      <c r="L147" s="162"/>
      <c r="M147" s="332"/>
      <c r="N147" s="162"/>
      <c r="O147" s="332"/>
      <c r="P147" s="162"/>
      <c r="Q147" s="332"/>
      <c r="R147" s="81">
        <f t="shared" si="22"/>
        <v>0</v>
      </c>
      <c r="S147" s="345"/>
      <c r="T147" s="343"/>
      <c r="U147" s="345"/>
      <c r="V147" s="343"/>
      <c r="W147" s="345"/>
      <c r="X147" s="343"/>
      <c r="Y147" s="345"/>
      <c r="Z147" s="343"/>
      <c r="AA147" s="167"/>
      <c r="AB147" s="1004" t="str">
        <f t="shared" si="16"/>
        <v/>
      </c>
      <c r="AC147" s="1082" t="str">
        <f t="shared" si="17"/>
        <v/>
      </c>
      <c r="AD147" s="1074"/>
      <c r="AE147" s="1074"/>
      <c r="AF147" s="1084" t="str">
        <f t="shared" si="18"/>
        <v/>
      </c>
      <c r="AG147" s="1082" t="str">
        <f t="shared" si="19"/>
        <v/>
      </c>
      <c r="AH147" s="1088"/>
      <c r="AI147" s="1087"/>
      <c r="AJ147" s="1084" t="str">
        <f t="shared" si="20"/>
        <v/>
      </c>
      <c r="AK147" s="1083" t="str">
        <f t="shared" si="21"/>
        <v/>
      </c>
      <c r="AL147" s="210">
        <v>19360400</v>
      </c>
      <c r="AM147" s="210"/>
      <c r="AN147" s="210"/>
      <c r="AO147" s="210"/>
      <c r="AP147" s="210"/>
      <c r="AQ147" s="210"/>
      <c r="AR147" s="210"/>
      <c r="AS147" s="210"/>
      <c r="AT147" s="210"/>
      <c r="AU147" s="210"/>
      <c r="AV147" s="210"/>
      <c r="AW147" s="210"/>
      <c r="AX147" s="210"/>
      <c r="AY147" s="210"/>
      <c r="AZ147" s="210"/>
      <c r="BA147" s="210"/>
      <c r="BB147" s="210"/>
      <c r="BC147" s="210"/>
      <c r="BD147" s="342">
        <v>0</v>
      </c>
      <c r="BE147" s="82">
        <f t="shared" si="23"/>
        <v>19360400</v>
      </c>
    </row>
    <row r="148" spans="1:59" ht="34.5" hidden="1" customHeight="1" x14ac:dyDescent="0.3">
      <c r="A148" s="80">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7">
        <v>336560000</v>
      </c>
      <c r="G148" s="6">
        <v>41572</v>
      </c>
      <c r="H148" s="61">
        <v>41814</v>
      </c>
      <c r="I148" s="61"/>
      <c r="J148" s="162">
        <v>40000000</v>
      </c>
      <c r="K148" s="332"/>
      <c r="L148" s="162">
        <v>125720800</v>
      </c>
      <c r="M148" s="332"/>
      <c r="N148" s="162"/>
      <c r="O148" s="332"/>
      <c r="P148" s="162"/>
      <c r="Q148" s="332"/>
      <c r="R148" s="81">
        <f t="shared" si="22"/>
        <v>165720800</v>
      </c>
      <c r="S148" s="345"/>
      <c r="T148" s="343"/>
      <c r="U148" s="345"/>
      <c r="V148" s="343"/>
      <c r="W148" s="345"/>
      <c r="X148" s="343"/>
      <c r="Y148" s="345"/>
      <c r="Z148" s="343"/>
      <c r="AA148" s="167"/>
      <c r="AB148" s="1004" t="str">
        <f t="shared" si="16"/>
        <v/>
      </c>
      <c r="AC148" s="1082" t="str">
        <f t="shared" si="17"/>
        <v/>
      </c>
      <c r="AD148" s="1074"/>
      <c r="AE148" s="1074"/>
      <c r="AF148" s="1084" t="str">
        <f t="shared" si="18"/>
        <v/>
      </c>
      <c r="AG148" s="1082" t="str">
        <f t="shared" si="19"/>
        <v/>
      </c>
      <c r="AH148" s="1088"/>
      <c r="AI148" s="1087"/>
      <c r="AJ148" s="1084" t="str">
        <f t="shared" si="20"/>
        <v/>
      </c>
      <c r="AK148" s="1083" t="str">
        <f t="shared" si="21"/>
        <v/>
      </c>
      <c r="AL148" s="210">
        <v>77604000</v>
      </c>
      <c r="AM148" s="210">
        <v>9512000</v>
      </c>
      <c r="AN148" s="210">
        <v>229574788</v>
      </c>
      <c r="AO148" s="210">
        <v>19836000</v>
      </c>
      <c r="AP148" s="210">
        <v>40000000</v>
      </c>
      <c r="AQ148" s="210">
        <v>13641600</v>
      </c>
      <c r="AR148" s="210">
        <v>112079200</v>
      </c>
      <c r="AS148" s="210"/>
      <c r="AT148" s="210"/>
      <c r="AU148" s="210"/>
      <c r="AV148" s="210"/>
      <c r="AW148" s="210"/>
      <c r="AX148" s="210"/>
      <c r="AY148" s="210"/>
      <c r="AZ148" s="210"/>
      <c r="BA148" s="210"/>
      <c r="BB148" s="210"/>
      <c r="BC148" s="210"/>
      <c r="BD148" s="342">
        <v>0</v>
      </c>
      <c r="BE148" s="82">
        <f t="shared" si="23"/>
        <v>502247588</v>
      </c>
    </row>
    <row r="149" spans="1:59" ht="34.5" hidden="1" customHeight="1" x14ac:dyDescent="0.3">
      <c r="A149" s="80">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7">
        <v>533636000</v>
      </c>
      <c r="G149" s="6">
        <v>41580</v>
      </c>
      <c r="H149" s="61">
        <v>41944</v>
      </c>
      <c r="I149" s="61"/>
      <c r="J149" s="162">
        <v>159203272</v>
      </c>
      <c r="K149" s="332"/>
      <c r="L149" s="162"/>
      <c r="M149" s="332"/>
      <c r="N149" s="162"/>
      <c r="O149" s="332"/>
      <c r="P149" s="162"/>
      <c r="Q149" s="332"/>
      <c r="R149" s="81">
        <f t="shared" si="22"/>
        <v>159203272</v>
      </c>
      <c r="S149" s="345" t="s">
        <v>381</v>
      </c>
      <c r="T149" s="343">
        <v>41975</v>
      </c>
      <c r="U149" s="345"/>
      <c r="V149" s="343"/>
      <c r="W149" s="345"/>
      <c r="X149" s="343"/>
      <c r="Y149" s="345"/>
      <c r="Z149" s="343"/>
      <c r="AA149" s="167" t="s">
        <v>381</v>
      </c>
      <c r="AB149" s="1004">
        <f t="shared" si="16"/>
        <v>41975</v>
      </c>
      <c r="AC149" s="1082" t="str">
        <f t="shared" si="17"/>
        <v/>
      </c>
      <c r="AD149" s="1074"/>
      <c r="AE149" s="1074"/>
      <c r="AF149" s="1084" t="str">
        <f t="shared" si="18"/>
        <v/>
      </c>
      <c r="AG149" s="1082" t="str">
        <f t="shared" si="19"/>
        <v/>
      </c>
      <c r="AH149" s="1088"/>
      <c r="AI149" s="1087"/>
      <c r="AJ149" s="1084" t="str">
        <f t="shared" si="20"/>
        <v/>
      </c>
      <c r="AK149" s="1083" t="str">
        <f t="shared" si="21"/>
        <v/>
      </c>
      <c r="AL149" s="210">
        <v>48574416</v>
      </c>
      <c r="AM149" s="210">
        <v>103493075</v>
      </c>
      <c r="AN149" s="210">
        <v>52581920</v>
      </c>
      <c r="AO149" s="210">
        <v>105165007</v>
      </c>
      <c r="AP149" s="210">
        <v>61599252</v>
      </c>
      <c r="AQ149" s="210">
        <v>148305776</v>
      </c>
      <c r="AR149" s="210">
        <v>91583753</v>
      </c>
      <c r="AS149" s="210">
        <v>45842345</v>
      </c>
      <c r="AT149" s="210">
        <v>21018899</v>
      </c>
      <c r="AU149" s="210"/>
      <c r="AV149" s="210"/>
      <c r="AW149" s="210"/>
      <c r="AX149" s="210"/>
      <c r="AY149" s="210"/>
      <c r="AZ149" s="210"/>
      <c r="BA149" s="210"/>
      <c r="BB149" s="210"/>
      <c r="BC149" s="210"/>
      <c r="BD149" s="342">
        <v>42055</v>
      </c>
      <c r="BE149" s="82">
        <f t="shared" si="23"/>
        <v>678164443</v>
      </c>
    </row>
    <row r="150" spans="1:59" s="54" customFormat="1" ht="34.5" hidden="1" customHeight="1" x14ac:dyDescent="0.3">
      <c r="A150" s="80">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26">
        <v>150000000</v>
      </c>
      <c r="G150" s="124">
        <v>41610</v>
      </c>
      <c r="H150" s="124">
        <v>41975</v>
      </c>
      <c r="I150" s="124"/>
      <c r="J150" s="162"/>
      <c r="K150" s="332"/>
      <c r="L150" s="162"/>
      <c r="M150" s="332"/>
      <c r="N150" s="162"/>
      <c r="O150" s="332"/>
      <c r="P150" s="162"/>
      <c r="Q150" s="332"/>
      <c r="R150" s="81">
        <f t="shared" si="22"/>
        <v>0</v>
      </c>
      <c r="S150" s="345"/>
      <c r="T150" s="343"/>
      <c r="U150" s="345"/>
      <c r="V150" s="343"/>
      <c r="W150" s="345"/>
      <c r="X150" s="343"/>
      <c r="Y150" s="345"/>
      <c r="Z150" s="343"/>
      <c r="AA150" s="357"/>
      <c r="AB150" s="1004" t="str">
        <f t="shared" si="16"/>
        <v/>
      </c>
      <c r="AC150" s="1082" t="str">
        <f t="shared" si="17"/>
        <v/>
      </c>
      <c r="AD150" s="1074"/>
      <c r="AE150" s="1074"/>
      <c r="AF150" s="1084" t="str">
        <f t="shared" si="18"/>
        <v/>
      </c>
      <c r="AG150" s="1082" t="str">
        <f t="shared" si="19"/>
        <v/>
      </c>
      <c r="AH150" s="1088"/>
      <c r="AI150" s="1087"/>
      <c r="AJ150" s="1084" t="str">
        <f t="shared" si="20"/>
        <v/>
      </c>
      <c r="AK150" s="1083" t="str">
        <f t="shared" si="21"/>
        <v/>
      </c>
      <c r="AL150" s="210"/>
      <c r="AM150" s="210"/>
      <c r="AN150" s="210"/>
      <c r="AO150" s="210"/>
      <c r="AP150" s="210"/>
      <c r="AQ150" s="210"/>
      <c r="AR150" s="210"/>
      <c r="AS150" s="210"/>
      <c r="AT150" s="210"/>
      <c r="AU150" s="210"/>
      <c r="AV150" s="210"/>
      <c r="AW150" s="210"/>
      <c r="AX150" s="210"/>
      <c r="AY150" s="210"/>
      <c r="AZ150" s="210"/>
      <c r="BA150" s="210"/>
      <c r="BB150" s="210"/>
      <c r="BC150" s="210"/>
      <c r="BD150" s="342">
        <v>0</v>
      </c>
      <c r="BE150" s="82">
        <f t="shared" si="23"/>
        <v>0</v>
      </c>
      <c r="BF150" s="13"/>
      <c r="BG150" s="1"/>
    </row>
    <row r="151" spans="1:59" ht="34.5" hidden="1" customHeight="1" thickBot="1" x14ac:dyDescent="0.35">
      <c r="A151" s="80">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7"/>
      <c r="G151" s="6">
        <v>41696</v>
      </c>
      <c r="H151" s="61">
        <v>42425</v>
      </c>
      <c r="I151" s="61"/>
      <c r="J151" s="162"/>
      <c r="K151" s="332"/>
      <c r="L151" s="162"/>
      <c r="M151" s="332"/>
      <c r="N151" s="162"/>
      <c r="O151" s="332"/>
      <c r="P151" s="162"/>
      <c r="Q151" s="332"/>
      <c r="R151" s="81">
        <f t="shared" si="22"/>
        <v>0</v>
      </c>
      <c r="S151" s="345"/>
      <c r="T151" s="343"/>
      <c r="U151" s="345"/>
      <c r="V151" s="343"/>
      <c r="W151" s="345"/>
      <c r="X151" s="343"/>
      <c r="Y151" s="345"/>
      <c r="Z151" s="343"/>
      <c r="AA151" s="358"/>
      <c r="AB151" s="1004" t="str">
        <f t="shared" si="16"/>
        <v/>
      </c>
      <c r="AC151" s="1082" t="str">
        <f t="shared" si="17"/>
        <v/>
      </c>
      <c r="AD151" s="1074"/>
      <c r="AE151" s="1074"/>
      <c r="AF151" s="1084" t="str">
        <f t="shared" si="18"/>
        <v/>
      </c>
      <c r="AG151" s="1082" t="str">
        <f t="shared" si="19"/>
        <v/>
      </c>
      <c r="AH151" s="1088"/>
      <c r="AI151" s="1087"/>
      <c r="AJ151" s="1084" t="str">
        <f t="shared" si="20"/>
        <v/>
      </c>
      <c r="AK151" s="1083" t="str">
        <f t="shared" si="21"/>
        <v/>
      </c>
      <c r="AL151" s="210"/>
      <c r="AM151" s="210"/>
      <c r="AN151" s="210"/>
      <c r="AO151" s="210"/>
      <c r="AP151" s="210"/>
      <c r="AQ151" s="210"/>
      <c r="AR151" s="210"/>
      <c r="AS151" s="210"/>
      <c r="AT151" s="210"/>
      <c r="AU151" s="210"/>
      <c r="AV151" s="210"/>
      <c r="AW151" s="210"/>
      <c r="AX151" s="210"/>
      <c r="AY151" s="210"/>
      <c r="AZ151" s="210"/>
      <c r="BA151" s="210"/>
      <c r="BB151" s="210"/>
      <c r="BC151" s="210"/>
      <c r="BD151" s="342">
        <v>0</v>
      </c>
      <c r="BE151" s="82">
        <f t="shared" si="23"/>
        <v>0</v>
      </c>
    </row>
    <row r="152" spans="1:59" ht="34.5" hidden="1" customHeight="1" thickBot="1" x14ac:dyDescent="0.35">
      <c r="A152" s="80">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3">
        <v>41993</v>
      </c>
      <c r="I152" s="63"/>
      <c r="J152" s="162">
        <v>516934978</v>
      </c>
      <c r="K152" s="332">
        <v>41999</v>
      </c>
      <c r="L152" s="162">
        <v>14000000</v>
      </c>
      <c r="M152" s="332">
        <v>42361</v>
      </c>
      <c r="N152" s="162">
        <v>550000000</v>
      </c>
      <c r="O152" s="332">
        <v>42501</v>
      </c>
      <c r="P152" s="162">
        <v>130000000</v>
      </c>
      <c r="Q152" s="332">
        <v>42927</v>
      </c>
      <c r="R152" s="81">
        <f t="shared" si="22"/>
        <v>1210934978</v>
      </c>
      <c r="S152" s="345" t="s">
        <v>1320</v>
      </c>
      <c r="T152" s="343">
        <v>42267</v>
      </c>
      <c r="U152" s="345" t="s">
        <v>2222</v>
      </c>
      <c r="V152" s="343">
        <v>42551</v>
      </c>
      <c r="W152" s="345" t="s">
        <v>2839</v>
      </c>
      <c r="X152" s="343">
        <v>43099</v>
      </c>
      <c r="Y152" s="345" t="s">
        <v>382</v>
      </c>
      <c r="Z152" s="343">
        <v>43281</v>
      </c>
      <c r="AA152" s="359" t="s">
        <v>3712</v>
      </c>
      <c r="AB152" s="1004">
        <f t="shared" si="16"/>
        <v>43281</v>
      </c>
      <c r="AC152" s="1082" t="str">
        <f t="shared" si="17"/>
        <v/>
      </c>
      <c r="AD152" s="1074"/>
      <c r="AE152" s="1074"/>
      <c r="AF152" s="1084" t="str">
        <f t="shared" si="18"/>
        <v/>
      </c>
      <c r="AG152" s="1082" t="str">
        <f t="shared" si="19"/>
        <v/>
      </c>
      <c r="AH152" s="1088"/>
      <c r="AI152" s="1087"/>
      <c r="AJ152" s="1084" t="str">
        <f t="shared" si="20"/>
        <v/>
      </c>
      <c r="AK152" s="1083" t="str">
        <f t="shared" si="21"/>
        <v/>
      </c>
      <c r="AL152" s="210">
        <v>3244</v>
      </c>
      <c r="AM152" s="210">
        <v>550000000</v>
      </c>
      <c r="AN152" s="210"/>
      <c r="AO152" s="210"/>
      <c r="AP152" s="210">
        <v>130000000</v>
      </c>
      <c r="AQ152" s="210"/>
      <c r="AR152" s="210"/>
      <c r="AS152" s="210"/>
      <c r="AT152" s="210"/>
      <c r="AU152" s="210"/>
      <c r="AV152" s="210"/>
      <c r="AW152" s="210"/>
      <c r="AX152" s="210"/>
      <c r="AY152" s="210"/>
      <c r="AZ152" s="210"/>
      <c r="BA152" s="210"/>
      <c r="BB152" s="210"/>
      <c r="BC152" s="210"/>
      <c r="BD152" s="342">
        <v>42971</v>
      </c>
      <c r="BE152" s="82">
        <f t="shared" si="23"/>
        <v>680003244</v>
      </c>
    </row>
    <row r="153" spans="1:59" ht="34.5" hidden="1" customHeight="1" x14ac:dyDescent="0.3">
      <c r="A153" s="80">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7">
        <v>430036764</v>
      </c>
      <c r="G153" s="6">
        <v>41659</v>
      </c>
      <c r="H153" s="61">
        <v>41748</v>
      </c>
      <c r="I153" s="61"/>
      <c r="J153" s="162"/>
      <c r="K153" s="332"/>
      <c r="L153" s="162"/>
      <c r="M153" s="332"/>
      <c r="N153" s="162"/>
      <c r="O153" s="332"/>
      <c r="P153" s="162"/>
      <c r="Q153" s="332"/>
      <c r="R153" s="81">
        <f t="shared" si="22"/>
        <v>0</v>
      </c>
      <c r="S153" s="345"/>
      <c r="T153" s="343"/>
      <c r="U153" s="345"/>
      <c r="V153" s="343"/>
      <c r="W153" s="345"/>
      <c r="X153" s="343"/>
      <c r="Y153" s="345"/>
      <c r="Z153" s="343"/>
      <c r="AA153" s="360"/>
      <c r="AB153" s="1004" t="str">
        <f t="shared" si="16"/>
        <v/>
      </c>
      <c r="AC153" s="1082" t="str">
        <f t="shared" si="17"/>
        <v/>
      </c>
      <c r="AD153" s="1074"/>
      <c r="AE153" s="1074"/>
      <c r="AF153" s="1084" t="str">
        <f t="shared" si="18"/>
        <v/>
      </c>
      <c r="AG153" s="1082" t="str">
        <f t="shared" si="19"/>
        <v/>
      </c>
      <c r="AH153" s="1088"/>
      <c r="AI153" s="1087"/>
      <c r="AJ153" s="1084" t="str">
        <f t="shared" si="20"/>
        <v/>
      </c>
      <c r="AK153" s="1083" t="str">
        <f t="shared" si="21"/>
        <v/>
      </c>
      <c r="AL153" s="210">
        <v>430036600</v>
      </c>
      <c r="AM153" s="210"/>
      <c r="AN153" s="210"/>
      <c r="AO153" s="210"/>
      <c r="AP153" s="210"/>
      <c r="AQ153" s="210"/>
      <c r="AR153" s="210"/>
      <c r="AS153" s="210"/>
      <c r="AT153" s="210"/>
      <c r="AU153" s="210"/>
      <c r="AV153" s="210"/>
      <c r="AW153" s="210"/>
      <c r="AX153" s="210"/>
      <c r="AY153" s="210"/>
      <c r="AZ153" s="210"/>
      <c r="BA153" s="210"/>
      <c r="BB153" s="210"/>
      <c r="BC153" s="210"/>
      <c r="BD153" s="342">
        <v>0</v>
      </c>
      <c r="BE153" s="82">
        <f t="shared" si="23"/>
        <v>430036600</v>
      </c>
    </row>
    <row r="154" spans="1:59" ht="34.5" hidden="1" customHeight="1" x14ac:dyDescent="0.3">
      <c r="A154" s="80">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7">
        <v>6000000</v>
      </c>
      <c r="G154" s="6">
        <v>41620</v>
      </c>
      <c r="H154" s="61">
        <v>41681</v>
      </c>
      <c r="I154" s="61"/>
      <c r="J154" s="162"/>
      <c r="K154" s="332"/>
      <c r="L154" s="162"/>
      <c r="M154" s="332"/>
      <c r="N154" s="162"/>
      <c r="O154" s="332"/>
      <c r="P154" s="162"/>
      <c r="Q154" s="332"/>
      <c r="R154" s="81">
        <f t="shared" si="22"/>
        <v>0</v>
      </c>
      <c r="S154" s="345"/>
      <c r="T154" s="343"/>
      <c r="U154" s="345"/>
      <c r="V154" s="343"/>
      <c r="W154" s="345"/>
      <c r="X154" s="343"/>
      <c r="Y154" s="345"/>
      <c r="Z154" s="343"/>
      <c r="AA154" s="167"/>
      <c r="AB154" s="1004" t="str">
        <f t="shared" si="16"/>
        <v/>
      </c>
      <c r="AC154" s="1082" t="str">
        <f t="shared" si="17"/>
        <v/>
      </c>
      <c r="AD154" s="1074"/>
      <c r="AE154" s="1074"/>
      <c r="AF154" s="1084" t="str">
        <f t="shared" si="18"/>
        <v/>
      </c>
      <c r="AG154" s="1082" t="str">
        <f t="shared" si="19"/>
        <v/>
      </c>
      <c r="AH154" s="1088"/>
      <c r="AI154" s="1087"/>
      <c r="AJ154" s="1084" t="str">
        <f t="shared" si="20"/>
        <v/>
      </c>
      <c r="AK154" s="1083" t="str">
        <f t="shared" si="21"/>
        <v/>
      </c>
      <c r="AL154" s="210">
        <v>6000000</v>
      </c>
      <c r="AM154" s="210"/>
      <c r="AN154" s="210"/>
      <c r="AO154" s="210"/>
      <c r="AP154" s="210"/>
      <c r="AQ154" s="210"/>
      <c r="AR154" s="210"/>
      <c r="AS154" s="210"/>
      <c r="AT154" s="210"/>
      <c r="AU154" s="210"/>
      <c r="AV154" s="210"/>
      <c r="AW154" s="210"/>
      <c r="AX154" s="210"/>
      <c r="AY154" s="210"/>
      <c r="AZ154" s="210"/>
      <c r="BA154" s="210"/>
      <c r="BB154" s="210"/>
      <c r="BC154" s="210"/>
      <c r="BD154" s="342">
        <v>0</v>
      </c>
      <c r="BE154" s="82">
        <f t="shared" si="23"/>
        <v>6000000</v>
      </c>
    </row>
    <row r="155" spans="1:59" ht="34.5" hidden="1" customHeight="1" x14ac:dyDescent="0.3">
      <c r="A155" s="80">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7">
        <v>7937504</v>
      </c>
      <c r="G155" s="6">
        <v>41641</v>
      </c>
      <c r="H155" s="61">
        <v>42005</v>
      </c>
      <c r="I155" s="61"/>
      <c r="J155" s="162"/>
      <c r="K155" s="332"/>
      <c r="L155" s="162"/>
      <c r="M155" s="332"/>
      <c r="N155" s="162"/>
      <c r="O155" s="332"/>
      <c r="P155" s="162"/>
      <c r="Q155" s="332"/>
      <c r="R155" s="81">
        <f t="shared" si="22"/>
        <v>0</v>
      </c>
      <c r="S155" s="345"/>
      <c r="T155" s="343"/>
      <c r="U155" s="345"/>
      <c r="V155" s="343"/>
      <c r="W155" s="345"/>
      <c r="X155" s="343"/>
      <c r="Y155" s="345"/>
      <c r="Z155" s="343"/>
      <c r="AA155" s="167"/>
      <c r="AB155" s="1004" t="str">
        <f t="shared" si="16"/>
        <v/>
      </c>
      <c r="AC155" s="1082" t="str">
        <f t="shared" si="17"/>
        <v/>
      </c>
      <c r="AD155" s="1074"/>
      <c r="AE155" s="1074"/>
      <c r="AF155" s="1084" t="str">
        <f t="shared" si="18"/>
        <v/>
      </c>
      <c r="AG155" s="1082" t="str">
        <f t="shared" si="19"/>
        <v/>
      </c>
      <c r="AH155" s="1088"/>
      <c r="AI155" s="1087"/>
      <c r="AJ155" s="1084" t="str">
        <f t="shared" si="20"/>
        <v/>
      </c>
      <c r="AK155" s="1083" t="str">
        <f t="shared" si="21"/>
        <v/>
      </c>
      <c r="AL155" s="210">
        <v>5663584</v>
      </c>
      <c r="AM155" s="210">
        <v>328480</v>
      </c>
      <c r="AN155" s="210"/>
      <c r="AO155" s="210"/>
      <c r="AP155" s="210"/>
      <c r="AQ155" s="210"/>
      <c r="AR155" s="210"/>
      <c r="AS155" s="210"/>
      <c r="AT155" s="210"/>
      <c r="AU155" s="210"/>
      <c r="AV155" s="210"/>
      <c r="AW155" s="210"/>
      <c r="AX155" s="210"/>
      <c r="AY155" s="210"/>
      <c r="AZ155" s="210"/>
      <c r="BA155" s="210"/>
      <c r="BB155" s="210"/>
      <c r="BC155" s="210"/>
      <c r="BD155" s="342">
        <v>0</v>
      </c>
      <c r="BE155" s="82">
        <f t="shared" si="23"/>
        <v>5992064</v>
      </c>
    </row>
    <row r="156" spans="1:59" ht="34.5" hidden="1" customHeight="1" x14ac:dyDescent="0.3">
      <c r="A156" s="80">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7">
        <v>15000000</v>
      </c>
      <c r="G156" s="6">
        <v>41612</v>
      </c>
      <c r="H156" s="61">
        <v>41658</v>
      </c>
      <c r="I156" s="61"/>
      <c r="J156" s="162"/>
      <c r="K156" s="332"/>
      <c r="L156" s="162"/>
      <c r="M156" s="332"/>
      <c r="N156" s="162"/>
      <c r="O156" s="332"/>
      <c r="P156" s="162"/>
      <c r="Q156" s="332"/>
      <c r="R156" s="81">
        <f t="shared" si="22"/>
        <v>0</v>
      </c>
      <c r="S156" s="345"/>
      <c r="T156" s="343"/>
      <c r="U156" s="345"/>
      <c r="V156" s="343"/>
      <c r="W156" s="345"/>
      <c r="X156" s="343"/>
      <c r="Y156" s="345"/>
      <c r="Z156" s="343"/>
      <c r="AA156" s="167"/>
      <c r="AB156" s="1004" t="str">
        <f t="shared" si="16"/>
        <v/>
      </c>
      <c r="AC156" s="1082" t="str">
        <f t="shared" si="17"/>
        <v/>
      </c>
      <c r="AD156" s="1074"/>
      <c r="AE156" s="1074"/>
      <c r="AF156" s="1084" t="str">
        <f t="shared" si="18"/>
        <v/>
      </c>
      <c r="AG156" s="1082" t="str">
        <f t="shared" si="19"/>
        <v/>
      </c>
      <c r="AH156" s="1088"/>
      <c r="AI156" s="1087"/>
      <c r="AJ156" s="1084" t="str">
        <f t="shared" si="20"/>
        <v/>
      </c>
      <c r="AK156" s="1083" t="str">
        <f t="shared" si="21"/>
        <v/>
      </c>
      <c r="AL156" s="210">
        <v>12000000</v>
      </c>
      <c r="AM156" s="210">
        <v>3000000</v>
      </c>
      <c r="AN156" s="210"/>
      <c r="AO156" s="210"/>
      <c r="AP156" s="210"/>
      <c r="AQ156" s="210"/>
      <c r="AR156" s="210"/>
      <c r="AS156" s="210"/>
      <c r="AT156" s="210"/>
      <c r="AU156" s="210"/>
      <c r="AV156" s="210"/>
      <c r="AW156" s="210"/>
      <c r="AX156" s="210"/>
      <c r="AY156" s="210"/>
      <c r="AZ156" s="210"/>
      <c r="BA156" s="210"/>
      <c r="BB156" s="210"/>
      <c r="BC156" s="210"/>
      <c r="BD156" s="342">
        <v>0</v>
      </c>
      <c r="BE156" s="82">
        <f t="shared" si="23"/>
        <v>15000000</v>
      </c>
    </row>
    <row r="157" spans="1:59" ht="34.5" hidden="1" customHeight="1" x14ac:dyDescent="0.3">
      <c r="A157" s="80">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7">
        <v>452974000</v>
      </c>
      <c r="G157" s="6">
        <v>41621</v>
      </c>
      <c r="H157" s="61">
        <v>41985</v>
      </c>
      <c r="I157" s="61"/>
      <c r="J157" s="162"/>
      <c r="K157" s="332"/>
      <c r="L157" s="162"/>
      <c r="M157" s="332"/>
      <c r="N157" s="162"/>
      <c r="O157" s="332"/>
      <c r="P157" s="162"/>
      <c r="Q157" s="332"/>
      <c r="R157" s="81">
        <f t="shared" si="22"/>
        <v>0</v>
      </c>
      <c r="S157" s="345"/>
      <c r="T157" s="343"/>
      <c r="U157" s="345"/>
      <c r="V157" s="343"/>
      <c r="W157" s="345"/>
      <c r="X157" s="343"/>
      <c r="Y157" s="345"/>
      <c r="Z157" s="343"/>
      <c r="AA157" s="167"/>
      <c r="AB157" s="1004" t="str">
        <f t="shared" si="16"/>
        <v/>
      </c>
      <c r="AC157" s="1082" t="str">
        <f t="shared" si="17"/>
        <v/>
      </c>
      <c r="AD157" s="1074"/>
      <c r="AE157" s="1074"/>
      <c r="AF157" s="1084" t="str">
        <f t="shared" si="18"/>
        <v/>
      </c>
      <c r="AG157" s="1082" t="str">
        <f t="shared" si="19"/>
        <v/>
      </c>
      <c r="AH157" s="1088"/>
      <c r="AI157" s="1087"/>
      <c r="AJ157" s="1084" t="str">
        <f t="shared" si="20"/>
        <v/>
      </c>
      <c r="AK157" s="1083" t="str">
        <f t="shared" si="21"/>
        <v/>
      </c>
      <c r="AL157" s="210">
        <v>59271498</v>
      </c>
      <c r="AM157" s="210">
        <v>58379807</v>
      </c>
      <c r="AN157" s="210">
        <v>4688298</v>
      </c>
      <c r="AO157" s="210">
        <v>60017260</v>
      </c>
      <c r="AP157" s="210">
        <v>32949986</v>
      </c>
      <c r="AQ157" s="210">
        <v>42031856</v>
      </c>
      <c r="AR157" s="210">
        <v>62005446</v>
      </c>
      <c r="AS157" s="210">
        <v>8155112</v>
      </c>
      <c r="AT157" s="210">
        <v>12329913</v>
      </c>
      <c r="AU157" s="210">
        <v>5309066</v>
      </c>
      <c r="AV157" s="210">
        <v>9924315</v>
      </c>
      <c r="AW157" s="210">
        <v>97911441</v>
      </c>
      <c r="AX157" s="210"/>
      <c r="AY157" s="210"/>
      <c r="AZ157" s="210"/>
      <c r="BA157" s="210"/>
      <c r="BB157" s="210"/>
      <c r="BC157" s="210"/>
      <c r="BD157" s="342">
        <v>41997</v>
      </c>
      <c r="BE157" s="82">
        <f t="shared" si="23"/>
        <v>452973998</v>
      </c>
    </row>
    <row r="158" spans="1:59" ht="34.5" hidden="1" customHeight="1" x14ac:dyDescent="0.3">
      <c r="A158" s="80">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7">
        <v>95000000</v>
      </c>
      <c r="G158" s="6">
        <v>41621</v>
      </c>
      <c r="H158" s="61">
        <v>41889</v>
      </c>
      <c r="I158" s="61"/>
      <c r="J158" s="162"/>
      <c r="K158" s="332"/>
      <c r="L158" s="162"/>
      <c r="M158" s="332"/>
      <c r="N158" s="162"/>
      <c r="O158" s="332"/>
      <c r="P158" s="162"/>
      <c r="Q158" s="332"/>
      <c r="R158" s="81">
        <f t="shared" si="22"/>
        <v>0</v>
      </c>
      <c r="S158" s="345" t="s">
        <v>379</v>
      </c>
      <c r="T158" s="343">
        <v>41980</v>
      </c>
      <c r="U158" s="345"/>
      <c r="V158" s="343"/>
      <c r="W158" s="345"/>
      <c r="X158" s="343"/>
      <c r="Y158" s="345"/>
      <c r="Z158" s="343"/>
      <c r="AA158" s="167" t="s">
        <v>379</v>
      </c>
      <c r="AB158" s="1004">
        <f t="shared" si="16"/>
        <v>41980</v>
      </c>
      <c r="AC158" s="1082" t="str">
        <f t="shared" si="17"/>
        <v/>
      </c>
      <c r="AD158" s="1074"/>
      <c r="AE158" s="1074"/>
      <c r="AF158" s="1084" t="str">
        <f t="shared" si="18"/>
        <v/>
      </c>
      <c r="AG158" s="1082" t="str">
        <f t="shared" si="19"/>
        <v/>
      </c>
      <c r="AH158" s="1088"/>
      <c r="AI158" s="1087"/>
      <c r="AJ158" s="1084" t="str">
        <f t="shared" si="20"/>
        <v/>
      </c>
      <c r="AK158" s="1083" t="str">
        <f t="shared" si="21"/>
        <v/>
      </c>
      <c r="AL158" s="210">
        <v>20872849</v>
      </c>
      <c r="AM158" s="210">
        <v>6387295</v>
      </c>
      <c r="AN158" s="210">
        <v>6612498</v>
      </c>
      <c r="AO158" s="210">
        <v>8499165</v>
      </c>
      <c r="AP158" s="210">
        <v>4458015</v>
      </c>
      <c r="AQ158" s="210">
        <v>10072997</v>
      </c>
      <c r="AR158" s="210">
        <v>15752284</v>
      </c>
      <c r="AS158" s="210">
        <v>6895182</v>
      </c>
      <c r="AT158" s="210">
        <v>9433408</v>
      </c>
      <c r="AU158" s="210"/>
      <c r="AV158" s="210"/>
      <c r="AW158" s="210"/>
      <c r="AX158" s="210"/>
      <c r="AY158" s="210"/>
      <c r="AZ158" s="210"/>
      <c r="BA158" s="210"/>
      <c r="BB158" s="210"/>
      <c r="BC158" s="210"/>
      <c r="BD158" s="342">
        <v>41978</v>
      </c>
      <c r="BE158" s="82">
        <f t="shared" si="23"/>
        <v>88983693</v>
      </c>
    </row>
    <row r="159" spans="1:59" ht="34.5" hidden="1" customHeight="1" x14ac:dyDescent="0.3">
      <c r="A159" s="80">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7">
        <v>63128000</v>
      </c>
      <c r="G159" s="6">
        <v>41626</v>
      </c>
      <c r="H159" s="61">
        <v>41641</v>
      </c>
      <c r="I159" s="61"/>
      <c r="J159" s="162"/>
      <c r="K159" s="332"/>
      <c r="L159" s="162"/>
      <c r="M159" s="332"/>
      <c r="N159" s="162"/>
      <c r="O159" s="332"/>
      <c r="P159" s="162"/>
      <c r="Q159" s="332"/>
      <c r="R159" s="81">
        <f t="shared" si="22"/>
        <v>0</v>
      </c>
      <c r="S159" s="345"/>
      <c r="T159" s="343"/>
      <c r="U159" s="345"/>
      <c r="V159" s="343"/>
      <c r="W159" s="345"/>
      <c r="X159" s="343"/>
      <c r="Y159" s="345"/>
      <c r="Z159" s="343"/>
      <c r="AA159" s="167"/>
      <c r="AB159" s="1004" t="str">
        <f t="shared" si="16"/>
        <v/>
      </c>
      <c r="AC159" s="1082" t="str">
        <f t="shared" si="17"/>
        <v/>
      </c>
      <c r="AD159" s="1074"/>
      <c r="AE159" s="1074"/>
      <c r="AF159" s="1084" t="str">
        <f t="shared" si="18"/>
        <v/>
      </c>
      <c r="AG159" s="1082" t="str">
        <f t="shared" si="19"/>
        <v/>
      </c>
      <c r="AH159" s="1088"/>
      <c r="AI159" s="1087"/>
      <c r="AJ159" s="1084" t="str">
        <f t="shared" si="20"/>
        <v/>
      </c>
      <c r="AK159" s="1083" t="str">
        <f t="shared" si="21"/>
        <v/>
      </c>
      <c r="AL159" s="210">
        <v>63128000</v>
      </c>
      <c r="AM159" s="210"/>
      <c r="AN159" s="210"/>
      <c r="AO159" s="210"/>
      <c r="AP159" s="210"/>
      <c r="AQ159" s="210"/>
      <c r="AR159" s="210"/>
      <c r="AS159" s="210"/>
      <c r="AT159" s="210"/>
      <c r="AU159" s="210"/>
      <c r="AV159" s="210"/>
      <c r="AW159" s="210"/>
      <c r="AX159" s="210"/>
      <c r="AY159" s="210"/>
      <c r="AZ159" s="210"/>
      <c r="BA159" s="210"/>
      <c r="BB159" s="210"/>
      <c r="BC159" s="210"/>
      <c r="BD159" s="342">
        <v>0</v>
      </c>
      <c r="BE159" s="82">
        <f t="shared" si="23"/>
        <v>63128000</v>
      </c>
    </row>
    <row r="160" spans="1:59" ht="34.5" hidden="1" customHeight="1" x14ac:dyDescent="0.3">
      <c r="A160" s="80">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7">
        <v>5000000</v>
      </c>
      <c r="G160" s="6">
        <v>41628</v>
      </c>
      <c r="H160" s="61">
        <v>41658</v>
      </c>
      <c r="I160" s="61"/>
      <c r="J160" s="162"/>
      <c r="K160" s="332"/>
      <c r="L160" s="162"/>
      <c r="M160" s="332"/>
      <c r="N160" s="162"/>
      <c r="O160" s="332"/>
      <c r="P160" s="162"/>
      <c r="Q160" s="332"/>
      <c r="R160" s="81">
        <f t="shared" si="22"/>
        <v>0</v>
      </c>
      <c r="S160" s="345"/>
      <c r="T160" s="343"/>
      <c r="U160" s="345"/>
      <c r="V160" s="343"/>
      <c r="W160" s="345"/>
      <c r="X160" s="343"/>
      <c r="Y160" s="345"/>
      <c r="Z160" s="343"/>
      <c r="AA160" s="167"/>
      <c r="AB160" s="1004" t="str">
        <f t="shared" si="16"/>
        <v/>
      </c>
      <c r="AC160" s="1082" t="str">
        <f t="shared" si="17"/>
        <v/>
      </c>
      <c r="AD160" s="1074"/>
      <c r="AE160" s="1074"/>
      <c r="AF160" s="1084" t="str">
        <f t="shared" si="18"/>
        <v/>
      </c>
      <c r="AG160" s="1082" t="str">
        <f t="shared" si="19"/>
        <v/>
      </c>
      <c r="AH160" s="1088"/>
      <c r="AI160" s="1087"/>
      <c r="AJ160" s="1084" t="str">
        <f t="shared" si="20"/>
        <v/>
      </c>
      <c r="AK160" s="1083" t="str">
        <f t="shared" si="21"/>
        <v/>
      </c>
      <c r="AL160" s="210">
        <v>5000000</v>
      </c>
      <c r="AM160" s="210"/>
      <c r="AN160" s="210"/>
      <c r="AO160" s="210"/>
      <c r="AP160" s="210"/>
      <c r="AQ160" s="210"/>
      <c r="AR160" s="210"/>
      <c r="AS160" s="210"/>
      <c r="AT160" s="210"/>
      <c r="AU160" s="210"/>
      <c r="AV160" s="210"/>
      <c r="AW160" s="210"/>
      <c r="AX160" s="210"/>
      <c r="AY160" s="210"/>
      <c r="AZ160" s="210"/>
      <c r="BA160" s="210"/>
      <c r="BB160" s="210"/>
      <c r="BC160" s="210"/>
      <c r="BD160" s="342">
        <v>0</v>
      </c>
      <c r="BE160" s="82">
        <f t="shared" si="23"/>
        <v>5000000</v>
      </c>
    </row>
    <row r="161" spans="1:57" ht="34.5" hidden="1" customHeight="1" x14ac:dyDescent="0.3">
      <c r="A161" s="80">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7">
        <v>5000000</v>
      </c>
      <c r="G161" s="6">
        <v>41628</v>
      </c>
      <c r="H161" s="61">
        <v>41658</v>
      </c>
      <c r="I161" s="61"/>
      <c r="J161" s="162"/>
      <c r="K161" s="332"/>
      <c r="L161" s="162"/>
      <c r="M161" s="332"/>
      <c r="N161" s="162"/>
      <c r="O161" s="332"/>
      <c r="P161" s="162"/>
      <c r="Q161" s="332"/>
      <c r="R161" s="81">
        <f t="shared" si="22"/>
        <v>0</v>
      </c>
      <c r="S161" s="345"/>
      <c r="T161" s="343"/>
      <c r="U161" s="345"/>
      <c r="V161" s="343"/>
      <c r="W161" s="345"/>
      <c r="X161" s="343"/>
      <c r="Y161" s="345"/>
      <c r="Z161" s="343"/>
      <c r="AA161" s="167"/>
      <c r="AB161" s="1004" t="str">
        <f t="shared" si="16"/>
        <v/>
      </c>
      <c r="AC161" s="1082" t="str">
        <f t="shared" si="17"/>
        <v/>
      </c>
      <c r="AD161" s="1074"/>
      <c r="AE161" s="1074"/>
      <c r="AF161" s="1084" t="str">
        <f t="shared" si="18"/>
        <v/>
      </c>
      <c r="AG161" s="1082" t="str">
        <f t="shared" si="19"/>
        <v/>
      </c>
      <c r="AH161" s="1088"/>
      <c r="AI161" s="1087"/>
      <c r="AJ161" s="1084" t="str">
        <f t="shared" si="20"/>
        <v/>
      </c>
      <c r="AK161" s="1083" t="str">
        <f t="shared" si="21"/>
        <v/>
      </c>
      <c r="AL161" s="210">
        <v>5000000</v>
      </c>
      <c r="AM161" s="210"/>
      <c r="AN161" s="210"/>
      <c r="AO161" s="210"/>
      <c r="AP161" s="210"/>
      <c r="AQ161" s="210"/>
      <c r="AR161" s="210"/>
      <c r="AS161" s="210"/>
      <c r="AT161" s="210"/>
      <c r="AU161" s="210"/>
      <c r="AV161" s="210"/>
      <c r="AW161" s="210"/>
      <c r="AX161" s="210"/>
      <c r="AY161" s="210"/>
      <c r="AZ161" s="210"/>
      <c r="BA161" s="210"/>
      <c r="BB161" s="210"/>
      <c r="BC161" s="210"/>
      <c r="BD161" s="342">
        <v>0</v>
      </c>
      <c r="BE161" s="82">
        <f t="shared" si="23"/>
        <v>5000000</v>
      </c>
    </row>
    <row r="162" spans="1:57" ht="34.5" hidden="1" customHeight="1" x14ac:dyDescent="0.3">
      <c r="A162" s="80">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7">
        <v>70000000</v>
      </c>
      <c r="G162" s="6">
        <v>41647</v>
      </c>
      <c r="H162" s="61">
        <v>41705</v>
      </c>
      <c r="I162" s="61"/>
      <c r="J162" s="162"/>
      <c r="K162" s="332"/>
      <c r="L162" s="162"/>
      <c r="M162" s="332"/>
      <c r="N162" s="162"/>
      <c r="O162" s="332"/>
      <c r="P162" s="162"/>
      <c r="Q162" s="332"/>
      <c r="R162" s="81">
        <f t="shared" si="22"/>
        <v>0</v>
      </c>
      <c r="S162" s="345" t="s">
        <v>378</v>
      </c>
      <c r="T162" s="343">
        <v>41766</v>
      </c>
      <c r="U162" s="345" t="s">
        <v>381</v>
      </c>
      <c r="V162" s="343">
        <v>41797</v>
      </c>
      <c r="W162" s="345"/>
      <c r="X162" s="343"/>
      <c r="Y162" s="345"/>
      <c r="Z162" s="343"/>
      <c r="AA162" s="167" t="s">
        <v>379</v>
      </c>
      <c r="AB162" s="1004">
        <f t="shared" si="16"/>
        <v>41797</v>
      </c>
      <c r="AC162" s="1082" t="str">
        <f t="shared" si="17"/>
        <v/>
      </c>
      <c r="AD162" s="1074"/>
      <c r="AE162" s="1074"/>
      <c r="AF162" s="1084" t="str">
        <f t="shared" si="18"/>
        <v/>
      </c>
      <c r="AG162" s="1082" t="str">
        <f t="shared" si="19"/>
        <v/>
      </c>
      <c r="AH162" s="1088"/>
      <c r="AI162" s="1087"/>
      <c r="AJ162" s="1084" t="str">
        <f t="shared" si="20"/>
        <v/>
      </c>
      <c r="AK162" s="1083" t="str">
        <f t="shared" si="21"/>
        <v/>
      </c>
      <c r="AL162" s="210">
        <v>35419684</v>
      </c>
      <c r="AM162" s="210">
        <v>34239027</v>
      </c>
      <c r="AN162" s="210"/>
      <c r="AO162" s="210"/>
      <c r="AP162" s="210"/>
      <c r="AQ162" s="210"/>
      <c r="AR162" s="210"/>
      <c r="AS162" s="210"/>
      <c r="AT162" s="210"/>
      <c r="AU162" s="210"/>
      <c r="AV162" s="210"/>
      <c r="AW162" s="210"/>
      <c r="AX162" s="210"/>
      <c r="AY162" s="210"/>
      <c r="AZ162" s="210"/>
      <c r="BA162" s="210"/>
      <c r="BB162" s="210"/>
      <c r="BC162" s="210"/>
      <c r="BD162" s="342">
        <v>0</v>
      </c>
      <c r="BE162" s="82">
        <f t="shared" si="23"/>
        <v>69658711</v>
      </c>
    </row>
    <row r="163" spans="1:57" ht="34.5" hidden="1" customHeight="1" x14ac:dyDescent="0.3">
      <c r="A163" s="80">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7">
        <v>5000000</v>
      </c>
      <c r="G163" s="6">
        <v>41628</v>
      </c>
      <c r="H163" s="61">
        <v>41658</v>
      </c>
      <c r="I163" s="61"/>
      <c r="J163" s="162"/>
      <c r="K163" s="332"/>
      <c r="L163" s="162"/>
      <c r="M163" s="332"/>
      <c r="N163" s="162"/>
      <c r="O163" s="332"/>
      <c r="P163" s="162"/>
      <c r="Q163" s="332"/>
      <c r="R163" s="81">
        <f t="shared" si="22"/>
        <v>0</v>
      </c>
      <c r="S163" s="345"/>
      <c r="T163" s="343"/>
      <c r="U163" s="345"/>
      <c r="V163" s="343"/>
      <c r="W163" s="345"/>
      <c r="X163" s="343"/>
      <c r="Y163" s="345"/>
      <c r="Z163" s="343"/>
      <c r="AA163" s="167"/>
      <c r="AB163" s="1004" t="str">
        <f t="shared" si="16"/>
        <v/>
      </c>
      <c r="AC163" s="1082" t="str">
        <f t="shared" si="17"/>
        <v/>
      </c>
      <c r="AD163" s="1074"/>
      <c r="AE163" s="1074"/>
      <c r="AF163" s="1084" t="str">
        <f t="shared" si="18"/>
        <v/>
      </c>
      <c r="AG163" s="1082" t="str">
        <f t="shared" si="19"/>
        <v/>
      </c>
      <c r="AH163" s="1088"/>
      <c r="AI163" s="1087"/>
      <c r="AJ163" s="1084" t="str">
        <f t="shared" si="20"/>
        <v/>
      </c>
      <c r="AK163" s="1083" t="str">
        <f t="shared" si="21"/>
        <v/>
      </c>
      <c r="AL163" s="210">
        <v>5000000</v>
      </c>
      <c r="AM163" s="210"/>
      <c r="AN163" s="210"/>
      <c r="AO163" s="210"/>
      <c r="AP163" s="210"/>
      <c r="AQ163" s="210"/>
      <c r="AR163" s="210"/>
      <c r="AS163" s="210"/>
      <c r="AT163" s="210"/>
      <c r="AU163" s="210"/>
      <c r="AV163" s="210"/>
      <c r="AW163" s="210"/>
      <c r="AX163" s="210"/>
      <c r="AY163" s="210"/>
      <c r="AZ163" s="210"/>
      <c r="BA163" s="210"/>
      <c r="BB163" s="210"/>
      <c r="BC163" s="210"/>
      <c r="BD163" s="342">
        <v>0</v>
      </c>
      <c r="BE163" s="82">
        <f t="shared" si="23"/>
        <v>5000000</v>
      </c>
    </row>
    <row r="164" spans="1:57" ht="34.5" hidden="1" customHeight="1" x14ac:dyDescent="0.3">
      <c r="A164" s="80">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7">
        <v>5000000</v>
      </c>
      <c r="G164" s="6">
        <v>41628</v>
      </c>
      <c r="H164" s="61">
        <v>41658</v>
      </c>
      <c r="I164" s="61"/>
      <c r="J164" s="162"/>
      <c r="K164" s="332"/>
      <c r="L164" s="162"/>
      <c r="M164" s="332"/>
      <c r="N164" s="162"/>
      <c r="O164" s="332"/>
      <c r="P164" s="162"/>
      <c r="Q164" s="332"/>
      <c r="R164" s="81">
        <f t="shared" si="22"/>
        <v>0</v>
      </c>
      <c r="S164" s="345"/>
      <c r="T164" s="343"/>
      <c r="U164" s="345"/>
      <c r="V164" s="343"/>
      <c r="W164" s="345"/>
      <c r="X164" s="343"/>
      <c r="Y164" s="345"/>
      <c r="Z164" s="343"/>
      <c r="AA164" s="167"/>
      <c r="AB164" s="1004" t="str">
        <f t="shared" si="16"/>
        <v/>
      </c>
      <c r="AC164" s="1082" t="str">
        <f t="shared" si="17"/>
        <v/>
      </c>
      <c r="AD164" s="1074"/>
      <c r="AE164" s="1074"/>
      <c r="AF164" s="1084" t="str">
        <f t="shared" si="18"/>
        <v/>
      </c>
      <c r="AG164" s="1082" t="str">
        <f t="shared" si="19"/>
        <v/>
      </c>
      <c r="AH164" s="1088"/>
      <c r="AI164" s="1087"/>
      <c r="AJ164" s="1084" t="str">
        <f t="shared" si="20"/>
        <v/>
      </c>
      <c r="AK164" s="1083" t="str">
        <f t="shared" si="21"/>
        <v/>
      </c>
      <c r="AL164" s="210">
        <v>5000000</v>
      </c>
      <c r="AM164" s="210"/>
      <c r="AN164" s="210"/>
      <c r="AO164" s="210"/>
      <c r="AP164" s="210"/>
      <c r="AQ164" s="210"/>
      <c r="AR164" s="210"/>
      <c r="AS164" s="210"/>
      <c r="AT164" s="210"/>
      <c r="AU164" s="210"/>
      <c r="AV164" s="210"/>
      <c r="AW164" s="210"/>
      <c r="AX164" s="210"/>
      <c r="AY164" s="210"/>
      <c r="AZ164" s="210"/>
      <c r="BA164" s="210"/>
      <c r="BB164" s="210"/>
      <c r="BC164" s="210"/>
      <c r="BD164" s="342">
        <v>0</v>
      </c>
      <c r="BE164" s="82">
        <f t="shared" si="23"/>
        <v>5000000</v>
      </c>
    </row>
    <row r="165" spans="1:57" ht="34.5" hidden="1" customHeight="1" x14ac:dyDescent="0.3">
      <c r="A165" s="80">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7">
        <v>3017160</v>
      </c>
      <c r="G165" s="6">
        <v>41662</v>
      </c>
      <c r="H165" s="61">
        <v>41751</v>
      </c>
      <c r="I165" s="61"/>
      <c r="J165" s="162"/>
      <c r="K165" s="332"/>
      <c r="L165" s="162"/>
      <c r="M165" s="332"/>
      <c r="N165" s="162"/>
      <c r="O165" s="332"/>
      <c r="P165" s="162"/>
      <c r="Q165" s="332"/>
      <c r="R165" s="81">
        <f t="shared" si="22"/>
        <v>0</v>
      </c>
      <c r="S165" s="345"/>
      <c r="T165" s="343"/>
      <c r="U165" s="345"/>
      <c r="V165" s="343"/>
      <c r="W165" s="345"/>
      <c r="X165" s="343"/>
      <c r="Y165" s="345"/>
      <c r="Z165" s="343"/>
      <c r="AA165" s="167"/>
      <c r="AB165" s="1004" t="str">
        <f t="shared" si="16"/>
        <v/>
      </c>
      <c r="AC165" s="1082" t="str">
        <f t="shared" si="17"/>
        <v/>
      </c>
      <c r="AD165" s="1074"/>
      <c r="AE165" s="1074"/>
      <c r="AF165" s="1084" t="str">
        <f t="shared" si="18"/>
        <v/>
      </c>
      <c r="AG165" s="1082" t="str">
        <f t="shared" si="19"/>
        <v/>
      </c>
      <c r="AH165" s="1088"/>
      <c r="AI165" s="1087"/>
      <c r="AJ165" s="1084" t="str">
        <f t="shared" si="20"/>
        <v/>
      </c>
      <c r="AK165" s="1083" t="str">
        <f t="shared" si="21"/>
        <v/>
      </c>
      <c r="AL165" s="210">
        <v>3017160</v>
      </c>
      <c r="AM165" s="210"/>
      <c r="AN165" s="210"/>
      <c r="AO165" s="210"/>
      <c r="AP165" s="210"/>
      <c r="AQ165" s="210"/>
      <c r="AR165" s="210"/>
      <c r="AS165" s="210"/>
      <c r="AT165" s="210"/>
      <c r="AU165" s="210"/>
      <c r="AV165" s="210"/>
      <c r="AW165" s="210"/>
      <c r="AX165" s="210"/>
      <c r="AY165" s="210"/>
      <c r="AZ165" s="210"/>
      <c r="BA165" s="210"/>
      <c r="BB165" s="210"/>
      <c r="BC165" s="210"/>
      <c r="BD165" s="342">
        <v>0</v>
      </c>
      <c r="BE165" s="82">
        <f t="shared" si="23"/>
        <v>3017160</v>
      </c>
    </row>
    <row r="166" spans="1:57" ht="34.5" hidden="1" customHeight="1" x14ac:dyDescent="0.3">
      <c r="A166" s="80">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7">
        <v>60000000</v>
      </c>
      <c r="G166" s="6">
        <v>41655</v>
      </c>
      <c r="H166" s="61">
        <v>42019</v>
      </c>
      <c r="I166" s="61"/>
      <c r="J166" s="162">
        <v>30000000</v>
      </c>
      <c r="K166" s="332">
        <v>41982</v>
      </c>
      <c r="L166" s="162"/>
      <c r="M166" s="332"/>
      <c r="N166" s="162"/>
      <c r="O166" s="332"/>
      <c r="P166" s="162"/>
      <c r="Q166" s="332"/>
      <c r="R166" s="81">
        <f t="shared" si="22"/>
        <v>30000000</v>
      </c>
      <c r="S166" s="345"/>
      <c r="T166" s="343"/>
      <c r="U166" s="345"/>
      <c r="V166" s="343"/>
      <c r="W166" s="345"/>
      <c r="X166" s="343"/>
      <c r="Y166" s="345"/>
      <c r="Z166" s="343"/>
      <c r="AA166" s="167"/>
      <c r="AB166" s="1004" t="str">
        <f t="shared" si="16"/>
        <v/>
      </c>
      <c r="AC166" s="1082" t="str">
        <f t="shared" si="17"/>
        <v/>
      </c>
      <c r="AD166" s="1074"/>
      <c r="AE166" s="1074"/>
      <c r="AF166" s="1084" t="str">
        <f t="shared" si="18"/>
        <v/>
      </c>
      <c r="AG166" s="1082" t="str">
        <f t="shared" si="19"/>
        <v/>
      </c>
      <c r="AH166" s="1088"/>
      <c r="AI166" s="1087"/>
      <c r="AJ166" s="1084" t="str">
        <f t="shared" si="20"/>
        <v/>
      </c>
      <c r="AK166" s="1083" t="str">
        <f t="shared" si="21"/>
        <v/>
      </c>
      <c r="AL166" s="210">
        <v>14191626</v>
      </c>
      <c r="AM166" s="210">
        <v>8687008</v>
      </c>
      <c r="AN166" s="210">
        <v>8687008</v>
      </c>
      <c r="AO166" s="210">
        <v>11009235.199999999</v>
      </c>
      <c r="AP166" s="210"/>
      <c r="AQ166" s="210"/>
      <c r="AR166" s="210"/>
      <c r="AS166" s="210"/>
      <c r="AT166" s="210"/>
      <c r="AU166" s="210"/>
      <c r="AV166" s="210"/>
      <c r="AW166" s="210"/>
      <c r="AX166" s="210"/>
      <c r="AY166" s="210"/>
      <c r="AZ166" s="210"/>
      <c r="BA166" s="210"/>
      <c r="BB166" s="210"/>
      <c r="BC166" s="210"/>
      <c r="BD166" s="342">
        <v>0</v>
      </c>
      <c r="BE166" s="82">
        <f t="shared" si="23"/>
        <v>42574877.200000003</v>
      </c>
    </row>
    <row r="167" spans="1:57" ht="34.5" hidden="1" customHeight="1" x14ac:dyDescent="0.3">
      <c r="A167" s="80">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7">
        <v>5000000</v>
      </c>
      <c r="G167" s="6">
        <v>41634</v>
      </c>
      <c r="H167" s="61">
        <v>41664</v>
      </c>
      <c r="I167" s="61"/>
      <c r="J167" s="162"/>
      <c r="K167" s="332"/>
      <c r="L167" s="162"/>
      <c r="M167" s="332"/>
      <c r="N167" s="162"/>
      <c r="O167" s="332"/>
      <c r="P167" s="162"/>
      <c r="Q167" s="332"/>
      <c r="R167" s="81">
        <f t="shared" si="22"/>
        <v>0</v>
      </c>
      <c r="S167" s="345"/>
      <c r="T167" s="343"/>
      <c r="U167" s="345"/>
      <c r="V167" s="343"/>
      <c r="W167" s="345"/>
      <c r="X167" s="343"/>
      <c r="Y167" s="345"/>
      <c r="Z167" s="343"/>
      <c r="AA167" s="167"/>
      <c r="AB167" s="1004" t="str">
        <f t="shared" si="16"/>
        <v/>
      </c>
      <c r="AC167" s="1082" t="str">
        <f t="shared" si="17"/>
        <v/>
      </c>
      <c r="AD167" s="1074"/>
      <c r="AE167" s="1074"/>
      <c r="AF167" s="1084" t="str">
        <f t="shared" si="18"/>
        <v/>
      </c>
      <c r="AG167" s="1082" t="str">
        <f t="shared" si="19"/>
        <v/>
      </c>
      <c r="AH167" s="1088"/>
      <c r="AI167" s="1087"/>
      <c r="AJ167" s="1084" t="str">
        <f t="shared" si="20"/>
        <v/>
      </c>
      <c r="AK167" s="1083" t="str">
        <f t="shared" si="21"/>
        <v/>
      </c>
      <c r="AL167" s="210">
        <v>5000000</v>
      </c>
      <c r="AM167" s="210"/>
      <c r="AN167" s="210"/>
      <c r="AO167" s="210"/>
      <c r="AP167" s="210"/>
      <c r="AQ167" s="210"/>
      <c r="AR167" s="210"/>
      <c r="AS167" s="210"/>
      <c r="AT167" s="210"/>
      <c r="AU167" s="210"/>
      <c r="AV167" s="210"/>
      <c r="AW167" s="210"/>
      <c r="AX167" s="210"/>
      <c r="AY167" s="210"/>
      <c r="AZ167" s="210"/>
      <c r="BA167" s="210"/>
      <c r="BB167" s="210"/>
      <c r="BC167" s="210"/>
      <c r="BD167" s="342">
        <v>0</v>
      </c>
      <c r="BE167" s="82">
        <f t="shared" si="23"/>
        <v>5000000</v>
      </c>
    </row>
    <row r="168" spans="1:57" ht="34.5" hidden="1" customHeight="1" x14ac:dyDescent="0.3">
      <c r="A168" s="80">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7">
        <v>3743343</v>
      </c>
      <c r="G168" s="6">
        <v>41662</v>
      </c>
      <c r="H168" s="61">
        <v>41754</v>
      </c>
      <c r="I168" s="61"/>
      <c r="J168" s="162"/>
      <c r="K168" s="332"/>
      <c r="L168" s="162"/>
      <c r="M168" s="332"/>
      <c r="N168" s="162"/>
      <c r="O168" s="332"/>
      <c r="P168" s="162"/>
      <c r="Q168" s="332"/>
      <c r="R168" s="81">
        <f t="shared" si="22"/>
        <v>0</v>
      </c>
      <c r="S168" s="345"/>
      <c r="T168" s="343"/>
      <c r="U168" s="345"/>
      <c r="V168" s="343"/>
      <c r="W168" s="345"/>
      <c r="X168" s="343"/>
      <c r="Y168" s="345"/>
      <c r="Z168" s="343"/>
      <c r="AA168" s="167"/>
      <c r="AB168" s="1004" t="str">
        <f t="shared" si="16"/>
        <v/>
      </c>
      <c r="AC168" s="1082" t="str">
        <f t="shared" si="17"/>
        <v/>
      </c>
      <c r="AD168" s="1074"/>
      <c r="AE168" s="1074"/>
      <c r="AF168" s="1084" t="str">
        <f t="shared" si="18"/>
        <v/>
      </c>
      <c r="AG168" s="1082" t="str">
        <f t="shared" si="19"/>
        <v/>
      </c>
      <c r="AH168" s="1088"/>
      <c r="AI168" s="1087"/>
      <c r="AJ168" s="1084" t="str">
        <f t="shared" si="20"/>
        <v/>
      </c>
      <c r="AK168" s="1083" t="str">
        <f t="shared" si="21"/>
        <v/>
      </c>
      <c r="AL168" s="210">
        <v>3743343</v>
      </c>
      <c r="AM168" s="210"/>
      <c r="AN168" s="210"/>
      <c r="AO168" s="210"/>
      <c r="AP168" s="210"/>
      <c r="AQ168" s="210"/>
      <c r="AR168" s="210"/>
      <c r="AS168" s="210"/>
      <c r="AT168" s="210"/>
      <c r="AU168" s="210"/>
      <c r="AV168" s="210"/>
      <c r="AW168" s="210"/>
      <c r="AX168" s="210"/>
      <c r="AY168" s="210"/>
      <c r="AZ168" s="210"/>
      <c r="BA168" s="210"/>
      <c r="BB168" s="210"/>
      <c r="BC168" s="210"/>
      <c r="BD168" s="342">
        <v>0</v>
      </c>
      <c r="BE168" s="82">
        <f t="shared" si="23"/>
        <v>3743343</v>
      </c>
    </row>
    <row r="169" spans="1:57" ht="34.5" hidden="1" customHeight="1" x14ac:dyDescent="0.3">
      <c r="A169" s="80">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7">
        <v>1620000</v>
      </c>
      <c r="G169" s="6">
        <v>41662</v>
      </c>
      <c r="H169" s="61">
        <v>42026</v>
      </c>
      <c r="I169" s="61"/>
      <c r="J169" s="162"/>
      <c r="K169" s="332"/>
      <c r="L169" s="162"/>
      <c r="M169" s="332"/>
      <c r="N169" s="162"/>
      <c r="O169" s="332"/>
      <c r="P169" s="162"/>
      <c r="Q169" s="332"/>
      <c r="R169" s="81">
        <f t="shared" si="22"/>
        <v>0</v>
      </c>
      <c r="S169" s="345"/>
      <c r="T169" s="343"/>
      <c r="U169" s="345"/>
      <c r="V169" s="343"/>
      <c r="W169" s="345"/>
      <c r="X169" s="343"/>
      <c r="Y169" s="345"/>
      <c r="Z169" s="343"/>
      <c r="AA169" s="167"/>
      <c r="AB169" s="1004" t="str">
        <f t="shared" si="16"/>
        <v/>
      </c>
      <c r="AC169" s="1082" t="str">
        <f t="shared" si="17"/>
        <v/>
      </c>
      <c r="AD169" s="1074"/>
      <c r="AE169" s="1074"/>
      <c r="AF169" s="1084" t="str">
        <f t="shared" si="18"/>
        <v/>
      </c>
      <c r="AG169" s="1082" t="str">
        <f t="shared" si="19"/>
        <v/>
      </c>
      <c r="AH169" s="1088"/>
      <c r="AI169" s="1087"/>
      <c r="AJ169" s="1084" t="str">
        <f t="shared" si="20"/>
        <v/>
      </c>
      <c r="AK169" s="1083" t="str">
        <f t="shared" si="21"/>
        <v/>
      </c>
      <c r="AL169" s="210">
        <v>354000</v>
      </c>
      <c r="AM169" s="210"/>
      <c r="AN169" s="210"/>
      <c r="AO169" s="210"/>
      <c r="AP169" s="210"/>
      <c r="AQ169" s="210"/>
      <c r="AR169" s="210"/>
      <c r="AS169" s="210"/>
      <c r="AT169" s="210"/>
      <c r="AU169" s="210"/>
      <c r="AV169" s="210"/>
      <c r="AW169" s="210"/>
      <c r="AX169" s="210"/>
      <c r="AY169" s="210"/>
      <c r="AZ169" s="210"/>
      <c r="BA169" s="210"/>
      <c r="BB169" s="210"/>
      <c r="BC169" s="210"/>
      <c r="BD169" s="342">
        <v>0</v>
      </c>
      <c r="BE169" s="82">
        <f t="shared" si="23"/>
        <v>354000</v>
      </c>
    </row>
    <row r="170" spans="1:57" ht="34.5" hidden="1" customHeight="1" x14ac:dyDescent="0.3">
      <c r="A170" s="80">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7">
        <v>32048480</v>
      </c>
      <c r="G170" s="6">
        <v>41655</v>
      </c>
      <c r="H170" s="61">
        <v>41713</v>
      </c>
      <c r="I170" s="61"/>
      <c r="J170" s="162"/>
      <c r="K170" s="332"/>
      <c r="L170" s="162"/>
      <c r="M170" s="332"/>
      <c r="N170" s="162"/>
      <c r="O170" s="332"/>
      <c r="P170" s="162"/>
      <c r="Q170" s="332"/>
      <c r="R170" s="81">
        <f t="shared" si="22"/>
        <v>0</v>
      </c>
      <c r="S170" s="345"/>
      <c r="T170" s="343"/>
      <c r="U170" s="345"/>
      <c r="V170" s="343"/>
      <c r="W170" s="345"/>
      <c r="X170" s="343"/>
      <c r="Y170" s="345"/>
      <c r="Z170" s="343"/>
      <c r="AA170" s="167"/>
      <c r="AB170" s="1004" t="str">
        <f t="shared" si="16"/>
        <v/>
      </c>
      <c r="AC170" s="1082" t="str">
        <f t="shared" si="17"/>
        <v/>
      </c>
      <c r="AD170" s="1074"/>
      <c r="AE170" s="1074"/>
      <c r="AF170" s="1084" t="str">
        <f t="shared" si="18"/>
        <v/>
      </c>
      <c r="AG170" s="1082" t="str">
        <f t="shared" si="19"/>
        <v/>
      </c>
      <c r="AH170" s="1088"/>
      <c r="AI170" s="1087"/>
      <c r="AJ170" s="1084" t="str">
        <f t="shared" si="20"/>
        <v/>
      </c>
      <c r="AK170" s="1083" t="str">
        <f t="shared" si="21"/>
        <v/>
      </c>
      <c r="AL170" s="210">
        <v>32048480</v>
      </c>
      <c r="AM170" s="210"/>
      <c r="AN170" s="210"/>
      <c r="AO170" s="210"/>
      <c r="AP170" s="210"/>
      <c r="AQ170" s="210"/>
      <c r="AR170" s="210"/>
      <c r="AS170" s="210"/>
      <c r="AT170" s="210"/>
      <c r="AU170" s="210"/>
      <c r="AV170" s="210"/>
      <c r="AW170" s="210"/>
      <c r="AX170" s="210"/>
      <c r="AY170" s="210"/>
      <c r="AZ170" s="210"/>
      <c r="BA170" s="210"/>
      <c r="BB170" s="210"/>
      <c r="BC170" s="210"/>
      <c r="BD170" s="342">
        <v>0</v>
      </c>
      <c r="BE170" s="82">
        <f t="shared" si="23"/>
        <v>32048480</v>
      </c>
    </row>
    <row r="171" spans="1:57" ht="34.5" hidden="1" customHeight="1" x14ac:dyDescent="0.3">
      <c r="A171" s="80">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7">
        <v>3480000</v>
      </c>
      <c r="G171" s="6">
        <v>41662</v>
      </c>
      <c r="H171" s="61">
        <v>41720</v>
      </c>
      <c r="I171" s="61"/>
      <c r="J171" s="162"/>
      <c r="K171" s="332"/>
      <c r="L171" s="162"/>
      <c r="M171" s="332"/>
      <c r="N171" s="162"/>
      <c r="O171" s="332"/>
      <c r="P171" s="162"/>
      <c r="Q171" s="332"/>
      <c r="R171" s="81">
        <f t="shared" si="22"/>
        <v>0</v>
      </c>
      <c r="S171" s="345"/>
      <c r="T171" s="343"/>
      <c r="U171" s="345"/>
      <c r="V171" s="343"/>
      <c r="W171" s="345"/>
      <c r="X171" s="343"/>
      <c r="Y171" s="345"/>
      <c r="Z171" s="343"/>
      <c r="AA171" s="167"/>
      <c r="AB171" s="1004" t="str">
        <f t="shared" si="16"/>
        <v/>
      </c>
      <c r="AC171" s="1082" t="str">
        <f t="shared" si="17"/>
        <v/>
      </c>
      <c r="AD171" s="1074"/>
      <c r="AE171" s="1074"/>
      <c r="AF171" s="1084" t="str">
        <f t="shared" si="18"/>
        <v/>
      </c>
      <c r="AG171" s="1082" t="str">
        <f t="shared" si="19"/>
        <v/>
      </c>
      <c r="AH171" s="1088"/>
      <c r="AI171" s="1087"/>
      <c r="AJ171" s="1084" t="str">
        <f t="shared" si="20"/>
        <v/>
      </c>
      <c r="AK171" s="1083" t="str">
        <f t="shared" si="21"/>
        <v/>
      </c>
      <c r="AL171" s="210">
        <v>3480000</v>
      </c>
      <c r="AM171" s="210"/>
      <c r="AN171" s="210"/>
      <c r="AO171" s="210"/>
      <c r="AP171" s="210"/>
      <c r="AQ171" s="210"/>
      <c r="AR171" s="210"/>
      <c r="AS171" s="210"/>
      <c r="AT171" s="210"/>
      <c r="AU171" s="210"/>
      <c r="AV171" s="210"/>
      <c r="AW171" s="210"/>
      <c r="AX171" s="210"/>
      <c r="AY171" s="210"/>
      <c r="AZ171" s="210"/>
      <c r="BA171" s="210"/>
      <c r="BB171" s="210"/>
      <c r="BC171" s="210"/>
      <c r="BD171" s="342">
        <v>0</v>
      </c>
      <c r="BE171" s="82">
        <f t="shared" si="23"/>
        <v>3480000</v>
      </c>
    </row>
    <row r="172" spans="1:57" ht="34.5" hidden="1" customHeight="1" x14ac:dyDescent="0.3">
      <c r="A172" s="80">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7">
        <v>126308000</v>
      </c>
      <c r="G172" s="6">
        <v>41662</v>
      </c>
      <c r="H172" s="61">
        <v>41736</v>
      </c>
      <c r="I172" s="61"/>
      <c r="J172" s="162"/>
      <c r="K172" s="332"/>
      <c r="L172" s="162"/>
      <c r="M172" s="332"/>
      <c r="N172" s="162"/>
      <c r="O172" s="332"/>
      <c r="P172" s="162"/>
      <c r="Q172" s="332"/>
      <c r="R172" s="81">
        <f t="shared" si="22"/>
        <v>0</v>
      </c>
      <c r="S172" s="345"/>
      <c r="T172" s="343"/>
      <c r="U172" s="345"/>
      <c r="V172" s="343"/>
      <c r="W172" s="345"/>
      <c r="X172" s="343"/>
      <c r="Y172" s="345"/>
      <c r="Z172" s="343"/>
      <c r="AA172" s="167"/>
      <c r="AB172" s="1004" t="str">
        <f t="shared" si="16"/>
        <v/>
      </c>
      <c r="AC172" s="1082" t="str">
        <f t="shared" si="17"/>
        <v/>
      </c>
      <c r="AD172" s="1074"/>
      <c r="AE172" s="1074"/>
      <c r="AF172" s="1084" t="str">
        <f t="shared" si="18"/>
        <v/>
      </c>
      <c r="AG172" s="1082" t="str">
        <f t="shared" si="19"/>
        <v/>
      </c>
      <c r="AH172" s="1088"/>
      <c r="AI172" s="1087"/>
      <c r="AJ172" s="1084" t="str">
        <f t="shared" si="20"/>
        <v/>
      </c>
      <c r="AK172" s="1083" t="str">
        <f t="shared" si="21"/>
        <v/>
      </c>
      <c r="AL172" s="210">
        <v>37892400</v>
      </c>
      <c r="AM172" s="210">
        <v>88415600</v>
      </c>
      <c r="AN172" s="210"/>
      <c r="AO172" s="210"/>
      <c r="AP172" s="210"/>
      <c r="AQ172" s="210"/>
      <c r="AR172" s="210"/>
      <c r="AS172" s="210"/>
      <c r="AT172" s="210"/>
      <c r="AU172" s="210"/>
      <c r="AV172" s="210"/>
      <c r="AW172" s="210"/>
      <c r="AX172" s="210"/>
      <c r="AY172" s="210"/>
      <c r="AZ172" s="210"/>
      <c r="BA172" s="210"/>
      <c r="BB172" s="210"/>
      <c r="BC172" s="210"/>
      <c r="BD172" s="342">
        <v>0</v>
      </c>
      <c r="BE172" s="82">
        <f t="shared" si="23"/>
        <v>126308000</v>
      </c>
    </row>
    <row r="173" spans="1:57" ht="34.5" hidden="1" customHeight="1" x14ac:dyDescent="0.3">
      <c r="A173" s="80">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7">
        <v>3500000</v>
      </c>
      <c r="G173" s="6">
        <v>41638</v>
      </c>
      <c r="H173" s="61">
        <v>41668</v>
      </c>
      <c r="I173" s="61"/>
      <c r="J173" s="162"/>
      <c r="K173" s="332"/>
      <c r="L173" s="162"/>
      <c r="M173" s="332"/>
      <c r="N173" s="162"/>
      <c r="O173" s="332"/>
      <c r="P173" s="162"/>
      <c r="Q173" s="332"/>
      <c r="R173" s="81">
        <f t="shared" si="22"/>
        <v>0</v>
      </c>
      <c r="S173" s="345"/>
      <c r="T173" s="343"/>
      <c r="U173" s="345"/>
      <c r="V173" s="343"/>
      <c r="W173" s="345"/>
      <c r="X173" s="343"/>
      <c r="Y173" s="345"/>
      <c r="Z173" s="343"/>
      <c r="AA173" s="167"/>
      <c r="AB173" s="1004" t="str">
        <f t="shared" si="16"/>
        <v/>
      </c>
      <c r="AC173" s="1082" t="str">
        <f t="shared" si="17"/>
        <v/>
      </c>
      <c r="AD173" s="1074"/>
      <c r="AE173" s="1074"/>
      <c r="AF173" s="1084" t="str">
        <f t="shared" si="18"/>
        <v/>
      </c>
      <c r="AG173" s="1082" t="str">
        <f t="shared" si="19"/>
        <v/>
      </c>
      <c r="AH173" s="1088"/>
      <c r="AI173" s="1087"/>
      <c r="AJ173" s="1084" t="str">
        <f t="shared" si="20"/>
        <v/>
      </c>
      <c r="AK173" s="1083" t="str">
        <f t="shared" si="21"/>
        <v/>
      </c>
      <c r="AL173" s="210">
        <v>3500000</v>
      </c>
      <c r="AM173" s="210"/>
      <c r="AN173" s="210"/>
      <c r="AO173" s="210"/>
      <c r="AP173" s="210"/>
      <c r="AQ173" s="210"/>
      <c r="AR173" s="210"/>
      <c r="AS173" s="210"/>
      <c r="AT173" s="210"/>
      <c r="AU173" s="210"/>
      <c r="AV173" s="210"/>
      <c r="AW173" s="210"/>
      <c r="AX173" s="210"/>
      <c r="AY173" s="210"/>
      <c r="AZ173" s="210"/>
      <c r="BA173" s="210"/>
      <c r="BB173" s="210"/>
      <c r="BC173" s="210"/>
      <c r="BD173" s="342">
        <v>0</v>
      </c>
      <c r="BE173" s="82">
        <f t="shared" si="23"/>
        <v>3500000</v>
      </c>
    </row>
    <row r="174" spans="1:57" ht="34.5" hidden="1" customHeight="1" x14ac:dyDescent="0.3">
      <c r="A174" s="80">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7">
        <v>741115936</v>
      </c>
      <c r="G174" s="6">
        <v>41670</v>
      </c>
      <c r="H174" s="61">
        <v>41759</v>
      </c>
      <c r="I174" s="61"/>
      <c r="J174" s="162"/>
      <c r="K174" s="332"/>
      <c r="L174" s="162"/>
      <c r="M174" s="332"/>
      <c r="N174" s="162"/>
      <c r="O174" s="332"/>
      <c r="P174" s="162"/>
      <c r="Q174" s="332"/>
      <c r="R174" s="81">
        <f t="shared" si="22"/>
        <v>0</v>
      </c>
      <c r="S174" s="345" t="s">
        <v>1323</v>
      </c>
      <c r="T174" s="343">
        <v>41789</v>
      </c>
      <c r="U174" s="345"/>
      <c r="V174" s="343"/>
      <c r="W174" s="345"/>
      <c r="X174" s="343"/>
      <c r="Y174" s="345"/>
      <c r="Z174" s="343"/>
      <c r="AA174" s="167" t="s">
        <v>1323</v>
      </c>
      <c r="AB174" s="1004">
        <f t="shared" si="16"/>
        <v>41789</v>
      </c>
      <c r="AC174" s="1082" t="str">
        <f t="shared" si="17"/>
        <v/>
      </c>
      <c r="AD174" s="1074"/>
      <c r="AE174" s="1074"/>
      <c r="AF174" s="1084" t="str">
        <f t="shared" si="18"/>
        <v/>
      </c>
      <c r="AG174" s="1082" t="str">
        <f t="shared" si="19"/>
        <v/>
      </c>
      <c r="AH174" s="1088"/>
      <c r="AI174" s="1087"/>
      <c r="AJ174" s="1084" t="str">
        <f t="shared" si="20"/>
        <v/>
      </c>
      <c r="AK174" s="1083" t="str">
        <f t="shared" si="21"/>
        <v/>
      </c>
      <c r="AL174" s="210">
        <v>31158114</v>
      </c>
      <c r="AM174" s="210">
        <v>148640262</v>
      </c>
      <c r="AN174" s="210">
        <v>74320130</v>
      </c>
      <c r="AO174" s="210">
        <v>241761562</v>
      </c>
      <c r="AP174" s="210">
        <v>120880781</v>
      </c>
      <c r="AQ174" s="210">
        <v>28130000</v>
      </c>
      <c r="AR174" s="210">
        <v>40293593</v>
      </c>
      <c r="AS174" s="210">
        <v>31158115</v>
      </c>
      <c r="AT174" s="210">
        <v>24773378</v>
      </c>
      <c r="AU174" s="210"/>
      <c r="AV174" s="210"/>
      <c r="AW174" s="210"/>
      <c r="AX174" s="210"/>
      <c r="AY174" s="210"/>
      <c r="AZ174" s="210"/>
      <c r="BA174" s="210"/>
      <c r="BB174" s="210"/>
      <c r="BC174" s="210"/>
      <c r="BD174" s="342">
        <v>0</v>
      </c>
      <c r="BE174" s="82">
        <f t="shared" si="23"/>
        <v>741115935</v>
      </c>
    </row>
    <row r="175" spans="1:57" ht="34.5" hidden="1" customHeight="1" thickBot="1" x14ac:dyDescent="0.35">
      <c r="A175" s="80">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7">
        <v>30000000</v>
      </c>
      <c r="G175" s="6">
        <v>41703</v>
      </c>
      <c r="H175" s="61">
        <v>42067</v>
      </c>
      <c r="I175" s="61"/>
      <c r="J175" s="162"/>
      <c r="K175" s="332"/>
      <c r="L175" s="162"/>
      <c r="M175" s="332"/>
      <c r="N175" s="162"/>
      <c r="O175" s="332"/>
      <c r="P175" s="162"/>
      <c r="Q175" s="332"/>
      <c r="R175" s="81">
        <f t="shared" si="22"/>
        <v>0</v>
      </c>
      <c r="S175" s="345" t="s">
        <v>378</v>
      </c>
      <c r="T175" s="343">
        <v>42129</v>
      </c>
      <c r="U175" s="345"/>
      <c r="V175" s="343"/>
      <c r="W175" s="345"/>
      <c r="X175" s="343"/>
      <c r="Y175" s="345"/>
      <c r="Z175" s="343"/>
      <c r="AA175" s="358" t="s">
        <v>378</v>
      </c>
      <c r="AB175" s="1004">
        <f t="shared" si="16"/>
        <v>42129</v>
      </c>
      <c r="AC175" s="1082" t="str">
        <f t="shared" si="17"/>
        <v/>
      </c>
      <c r="AD175" s="1074"/>
      <c r="AE175" s="1074"/>
      <c r="AF175" s="1084" t="str">
        <f t="shared" si="18"/>
        <v/>
      </c>
      <c r="AG175" s="1082" t="str">
        <f t="shared" si="19"/>
        <v/>
      </c>
      <c r="AH175" s="1088"/>
      <c r="AI175" s="1087"/>
      <c r="AJ175" s="1084" t="str">
        <f t="shared" si="20"/>
        <v/>
      </c>
      <c r="AK175" s="1083" t="str">
        <f t="shared" si="21"/>
        <v/>
      </c>
      <c r="AL175" s="210">
        <v>11053642</v>
      </c>
      <c r="AM175" s="210">
        <v>1011137</v>
      </c>
      <c r="AN175" s="210">
        <v>3131511</v>
      </c>
      <c r="AO175" s="210">
        <v>2663217</v>
      </c>
      <c r="AP175" s="210">
        <v>905545</v>
      </c>
      <c r="AQ175" s="210">
        <v>661611</v>
      </c>
      <c r="AR175" s="210">
        <v>380058</v>
      </c>
      <c r="AS175" s="210">
        <v>404280</v>
      </c>
      <c r="AT175" s="210">
        <v>683395</v>
      </c>
      <c r="AU175" s="210">
        <v>321791</v>
      </c>
      <c r="AV175" s="210">
        <v>7113923</v>
      </c>
      <c r="AW175" s="210"/>
      <c r="AX175" s="210"/>
      <c r="AY175" s="210"/>
      <c r="AZ175" s="210"/>
      <c r="BA175" s="210"/>
      <c r="BB175" s="210"/>
      <c r="BC175" s="210"/>
      <c r="BD175" s="342">
        <v>42250</v>
      </c>
      <c r="BE175" s="82">
        <f t="shared" si="23"/>
        <v>28330110</v>
      </c>
    </row>
    <row r="176" spans="1:57" ht="34.5" hidden="1" customHeight="1" x14ac:dyDescent="0.3">
      <c r="A176" s="80">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7">
        <v>7740000</v>
      </c>
      <c r="G176" s="6">
        <v>41775</v>
      </c>
      <c r="H176" s="61">
        <v>42139</v>
      </c>
      <c r="I176" s="61"/>
      <c r="J176" s="162"/>
      <c r="K176" s="332"/>
      <c r="L176" s="162"/>
      <c r="M176" s="332"/>
      <c r="N176" s="162"/>
      <c r="O176" s="332"/>
      <c r="P176" s="162"/>
      <c r="Q176" s="332"/>
      <c r="R176" s="81">
        <f t="shared" si="22"/>
        <v>0</v>
      </c>
      <c r="S176" s="345"/>
      <c r="T176" s="343"/>
      <c r="U176" s="345"/>
      <c r="V176" s="343"/>
      <c r="W176" s="345"/>
      <c r="X176" s="343"/>
      <c r="Y176" s="345"/>
      <c r="Z176" s="343"/>
      <c r="AA176" s="361"/>
      <c r="AB176" s="1004" t="str">
        <f t="shared" si="16"/>
        <v/>
      </c>
      <c r="AC176" s="1082" t="str">
        <f t="shared" si="17"/>
        <v/>
      </c>
      <c r="AD176" s="1074"/>
      <c r="AE176" s="1074"/>
      <c r="AF176" s="1084" t="str">
        <f t="shared" si="18"/>
        <v/>
      </c>
      <c r="AG176" s="1082" t="str">
        <f t="shared" si="19"/>
        <v/>
      </c>
      <c r="AH176" s="1088"/>
      <c r="AI176" s="1087"/>
      <c r="AJ176" s="1084" t="str">
        <f t="shared" si="20"/>
        <v/>
      </c>
      <c r="AK176" s="1083" t="str">
        <f t="shared" si="21"/>
        <v/>
      </c>
      <c r="AL176" s="210">
        <v>7740000</v>
      </c>
      <c r="AM176" s="210"/>
      <c r="AN176" s="210"/>
      <c r="AO176" s="210"/>
      <c r="AP176" s="210"/>
      <c r="AQ176" s="210"/>
      <c r="AR176" s="210"/>
      <c r="AS176" s="210"/>
      <c r="AT176" s="210"/>
      <c r="AU176" s="210"/>
      <c r="AV176" s="210"/>
      <c r="AW176" s="210"/>
      <c r="AX176" s="210"/>
      <c r="AY176" s="210"/>
      <c r="AZ176" s="210"/>
      <c r="BA176" s="210"/>
      <c r="BB176" s="210"/>
      <c r="BC176" s="210"/>
      <c r="BD176" s="342">
        <v>0</v>
      </c>
      <c r="BE176" s="82">
        <f t="shared" si="23"/>
        <v>7740000</v>
      </c>
    </row>
    <row r="177" spans="1:57" ht="34.5" hidden="1" customHeight="1" x14ac:dyDescent="0.3">
      <c r="A177" s="80">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7">
        <v>29819999</v>
      </c>
      <c r="G177" s="6">
        <v>41675</v>
      </c>
      <c r="H177" s="61">
        <v>42008</v>
      </c>
      <c r="I177" s="61"/>
      <c r="J177" s="162"/>
      <c r="K177" s="332"/>
      <c r="L177" s="162"/>
      <c r="M177" s="332"/>
      <c r="N177" s="162"/>
      <c r="O177" s="332"/>
      <c r="P177" s="162"/>
      <c r="Q177" s="332"/>
      <c r="R177" s="81">
        <f t="shared" si="22"/>
        <v>0</v>
      </c>
      <c r="S177" s="345"/>
      <c r="T177" s="343"/>
      <c r="U177" s="345"/>
      <c r="V177" s="343"/>
      <c r="W177" s="345"/>
      <c r="X177" s="343"/>
      <c r="Y177" s="345"/>
      <c r="Z177" s="343"/>
      <c r="AA177" s="349"/>
      <c r="AB177" s="1004" t="str">
        <f t="shared" si="16"/>
        <v/>
      </c>
      <c r="AC177" s="1082" t="str">
        <f t="shared" si="17"/>
        <v/>
      </c>
      <c r="AD177" s="1074"/>
      <c r="AE177" s="1074"/>
      <c r="AF177" s="1084" t="str">
        <f t="shared" si="18"/>
        <v/>
      </c>
      <c r="AG177" s="1082" t="str">
        <f t="shared" si="19"/>
        <v/>
      </c>
      <c r="AH177" s="1088"/>
      <c r="AI177" s="1087"/>
      <c r="AJ177" s="1084" t="str">
        <f t="shared" si="20"/>
        <v/>
      </c>
      <c r="AK177" s="1083" t="str">
        <f t="shared" si="21"/>
        <v/>
      </c>
      <c r="AL177" s="210">
        <v>2349454</v>
      </c>
      <c r="AM177" s="210">
        <v>2710909</v>
      </c>
      <c r="AN177" s="210">
        <v>2710909</v>
      </c>
      <c r="AO177" s="210">
        <v>2710909</v>
      </c>
      <c r="AP177" s="210">
        <v>2710909</v>
      </c>
      <c r="AQ177" s="210">
        <v>2710909</v>
      </c>
      <c r="AR177" s="210">
        <v>2710909</v>
      </c>
      <c r="AS177" s="210">
        <v>2710909</v>
      </c>
      <c r="AT177" s="210">
        <v>2710909</v>
      </c>
      <c r="AU177" s="210">
        <v>2710909</v>
      </c>
      <c r="AV177" s="210">
        <v>2710909</v>
      </c>
      <c r="AW177" s="210">
        <v>361455</v>
      </c>
      <c r="AX177" s="210"/>
      <c r="AY177" s="210"/>
      <c r="AZ177" s="210"/>
      <c r="BA177" s="210"/>
      <c r="BB177" s="210"/>
      <c r="BC177" s="210"/>
      <c r="BD177" s="342">
        <v>42025</v>
      </c>
      <c r="BE177" s="82">
        <f t="shared" si="23"/>
        <v>29819999</v>
      </c>
    </row>
    <row r="178" spans="1:57" ht="34.5" hidden="1" customHeight="1" x14ac:dyDescent="0.3">
      <c r="A178" s="80">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7">
        <v>1197000</v>
      </c>
      <c r="G178" s="6">
        <v>41717</v>
      </c>
      <c r="H178" s="61">
        <v>42081</v>
      </c>
      <c r="I178" s="61"/>
      <c r="J178" s="162"/>
      <c r="K178" s="332"/>
      <c r="L178" s="162"/>
      <c r="M178" s="332"/>
      <c r="N178" s="162"/>
      <c r="O178" s="332"/>
      <c r="P178" s="162"/>
      <c r="Q178" s="332"/>
      <c r="R178" s="81">
        <f t="shared" si="22"/>
        <v>0</v>
      </c>
      <c r="S178" s="345"/>
      <c r="T178" s="343"/>
      <c r="U178" s="345"/>
      <c r="V178" s="343"/>
      <c r="W178" s="345"/>
      <c r="X178" s="343"/>
      <c r="Y178" s="345"/>
      <c r="Z178" s="343"/>
      <c r="AA178" s="349"/>
      <c r="AB178" s="1004" t="str">
        <f t="shared" si="16"/>
        <v/>
      </c>
      <c r="AC178" s="1082" t="str">
        <f t="shared" si="17"/>
        <v/>
      </c>
      <c r="AD178" s="1074"/>
      <c r="AE178" s="1074"/>
      <c r="AF178" s="1084" t="str">
        <f t="shared" si="18"/>
        <v/>
      </c>
      <c r="AG178" s="1082" t="str">
        <f t="shared" si="19"/>
        <v/>
      </c>
      <c r="AH178" s="1088"/>
      <c r="AI178" s="1087"/>
      <c r="AJ178" s="1084" t="str">
        <f t="shared" si="20"/>
        <v/>
      </c>
      <c r="AK178" s="1083" t="str">
        <f t="shared" si="21"/>
        <v/>
      </c>
      <c r="AL178" s="210">
        <v>1197000</v>
      </c>
      <c r="AM178" s="210"/>
      <c r="AN178" s="210"/>
      <c r="AO178" s="210"/>
      <c r="AP178" s="210"/>
      <c r="AQ178" s="210"/>
      <c r="AR178" s="210"/>
      <c r="AS178" s="210"/>
      <c r="AT178" s="210"/>
      <c r="AU178" s="210"/>
      <c r="AV178" s="210"/>
      <c r="AW178" s="210"/>
      <c r="AX178" s="210"/>
      <c r="AY178" s="210"/>
      <c r="AZ178" s="210"/>
      <c r="BA178" s="210"/>
      <c r="BB178" s="210"/>
      <c r="BC178" s="210"/>
      <c r="BD178" s="342">
        <v>0</v>
      </c>
      <c r="BE178" s="82">
        <f t="shared" si="23"/>
        <v>1197000</v>
      </c>
    </row>
    <row r="179" spans="1:57" ht="34.5" hidden="1" customHeight="1" x14ac:dyDescent="0.3">
      <c r="A179" s="80">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7">
        <v>4000000</v>
      </c>
      <c r="G179" s="6">
        <v>41739</v>
      </c>
      <c r="H179" s="61">
        <v>41891</v>
      </c>
      <c r="I179" s="61"/>
      <c r="J179" s="162"/>
      <c r="K179" s="332"/>
      <c r="L179" s="162"/>
      <c r="M179" s="332"/>
      <c r="N179" s="162"/>
      <c r="O179" s="332"/>
      <c r="P179" s="162"/>
      <c r="Q179" s="332"/>
      <c r="R179" s="81">
        <f t="shared" si="22"/>
        <v>0</v>
      </c>
      <c r="S179" s="345"/>
      <c r="T179" s="343"/>
      <c r="U179" s="345"/>
      <c r="V179" s="343"/>
      <c r="W179" s="345"/>
      <c r="X179" s="343"/>
      <c r="Y179" s="345"/>
      <c r="Z179" s="343"/>
      <c r="AA179" s="349"/>
      <c r="AB179" s="1004" t="str">
        <f t="shared" si="16"/>
        <v/>
      </c>
      <c r="AC179" s="1082" t="str">
        <f t="shared" si="17"/>
        <v/>
      </c>
      <c r="AD179" s="1074"/>
      <c r="AE179" s="1074"/>
      <c r="AF179" s="1084" t="str">
        <f t="shared" si="18"/>
        <v/>
      </c>
      <c r="AG179" s="1082" t="str">
        <f t="shared" si="19"/>
        <v/>
      </c>
      <c r="AH179" s="1088"/>
      <c r="AI179" s="1087"/>
      <c r="AJ179" s="1084" t="str">
        <f t="shared" si="20"/>
        <v/>
      </c>
      <c r="AK179" s="1083" t="str">
        <f t="shared" si="21"/>
        <v/>
      </c>
      <c r="AL179" s="210">
        <v>4000000</v>
      </c>
      <c r="AM179" s="210"/>
      <c r="AN179" s="210"/>
      <c r="AO179" s="210"/>
      <c r="AP179" s="210"/>
      <c r="AQ179" s="210"/>
      <c r="AR179" s="210"/>
      <c r="AS179" s="210"/>
      <c r="AT179" s="210"/>
      <c r="AU179" s="210"/>
      <c r="AV179" s="210"/>
      <c r="AW179" s="210"/>
      <c r="AX179" s="210"/>
      <c r="AY179" s="210"/>
      <c r="AZ179" s="210"/>
      <c r="BA179" s="210"/>
      <c r="BB179" s="210"/>
      <c r="BC179" s="210"/>
      <c r="BD179" s="342">
        <v>0</v>
      </c>
      <c r="BE179" s="82">
        <f t="shared" si="23"/>
        <v>4000000</v>
      </c>
    </row>
    <row r="180" spans="1:57" ht="34.5" hidden="1" customHeight="1" x14ac:dyDescent="0.3">
      <c r="A180" s="80">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7">
        <v>42800000</v>
      </c>
      <c r="G180" s="6">
        <v>41701</v>
      </c>
      <c r="H180" s="61">
        <v>42006</v>
      </c>
      <c r="I180" s="61"/>
      <c r="J180" s="162"/>
      <c r="K180" s="332"/>
      <c r="L180" s="162"/>
      <c r="M180" s="332"/>
      <c r="N180" s="162"/>
      <c r="O180" s="332"/>
      <c r="P180" s="162"/>
      <c r="Q180" s="332"/>
      <c r="R180" s="81">
        <f t="shared" si="22"/>
        <v>0</v>
      </c>
      <c r="S180" s="345"/>
      <c r="T180" s="343"/>
      <c r="U180" s="345"/>
      <c r="V180" s="343"/>
      <c r="W180" s="345"/>
      <c r="X180" s="343"/>
      <c r="Y180" s="345"/>
      <c r="Z180" s="343"/>
      <c r="AA180" s="349"/>
      <c r="AB180" s="1004" t="str">
        <f t="shared" si="16"/>
        <v/>
      </c>
      <c r="AC180" s="1082" t="str">
        <f t="shared" si="17"/>
        <v/>
      </c>
      <c r="AD180" s="1074"/>
      <c r="AE180" s="1074"/>
      <c r="AF180" s="1084" t="str">
        <f t="shared" si="18"/>
        <v/>
      </c>
      <c r="AG180" s="1082" t="str">
        <f t="shared" si="19"/>
        <v/>
      </c>
      <c r="AH180" s="1088"/>
      <c r="AI180" s="1087"/>
      <c r="AJ180" s="1084" t="str">
        <f t="shared" si="20"/>
        <v/>
      </c>
      <c r="AK180" s="1083" t="str">
        <f t="shared" si="21"/>
        <v/>
      </c>
      <c r="AL180" s="210">
        <v>3994667</v>
      </c>
      <c r="AM180" s="210">
        <v>4280000</v>
      </c>
      <c r="AN180" s="210">
        <v>4280000</v>
      </c>
      <c r="AO180" s="210">
        <v>4280000</v>
      </c>
      <c r="AP180" s="210">
        <v>4280000</v>
      </c>
      <c r="AQ180" s="210">
        <v>4280000</v>
      </c>
      <c r="AR180" s="210">
        <v>4280000</v>
      </c>
      <c r="AS180" s="210">
        <v>4280000</v>
      </c>
      <c r="AT180" s="210">
        <v>4280000</v>
      </c>
      <c r="AU180" s="210">
        <v>4280000</v>
      </c>
      <c r="AV180" s="210">
        <v>285333</v>
      </c>
      <c r="AW180" s="210"/>
      <c r="AX180" s="210"/>
      <c r="AY180" s="210"/>
      <c r="AZ180" s="210"/>
      <c r="BA180" s="210"/>
      <c r="BB180" s="210"/>
      <c r="BC180" s="210"/>
      <c r="BD180" s="342">
        <v>42031</v>
      </c>
      <c r="BE180" s="82">
        <f t="shared" si="23"/>
        <v>42800000</v>
      </c>
    </row>
    <row r="181" spans="1:57" ht="34.5" hidden="1" customHeight="1" x14ac:dyDescent="0.3">
      <c r="A181" s="80">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7">
        <v>38830000</v>
      </c>
      <c r="G181" s="6">
        <v>41708</v>
      </c>
      <c r="H181" s="61">
        <v>42013</v>
      </c>
      <c r="I181" s="61"/>
      <c r="J181" s="162"/>
      <c r="K181" s="332"/>
      <c r="L181" s="162"/>
      <c r="M181" s="332"/>
      <c r="N181" s="162"/>
      <c r="O181" s="332"/>
      <c r="P181" s="162"/>
      <c r="Q181" s="332"/>
      <c r="R181" s="81">
        <f t="shared" si="22"/>
        <v>0</v>
      </c>
      <c r="S181" s="345"/>
      <c r="T181" s="343"/>
      <c r="U181" s="345"/>
      <c r="V181" s="343"/>
      <c r="W181" s="345"/>
      <c r="X181" s="343"/>
      <c r="Y181" s="345"/>
      <c r="Z181" s="343"/>
      <c r="AA181" s="349"/>
      <c r="AB181" s="1004" t="str">
        <f t="shared" si="16"/>
        <v/>
      </c>
      <c r="AC181" s="1082" t="str">
        <f t="shared" si="17"/>
        <v/>
      </c>
      <c r="AD181" s="1074"/>
      <c r="AE181" s="1074"/>
      <c r="AF181" s="1084" t="str">
        <f t="shared" si="18"/>
        <v/>
      </c>
      <c r="AG181" s="1082" t="str">
        <f t="shared" si="19"/>
        <v/>
      </c>
      <c r="AH181" s="1088"/>
      <c r="AI181" s="1087"/>
      <c r="AJ181" s="1084" t="str">
        <f t="shared" si="20"/>
        <v/>
      </c>
      <c r="AK181" s="1083" t="str">
        <f t="shared" si="21"/>
        <v/>
      </c>
      <c r="AL181" s="210">
        <v>2718100</v>
      </c>
      <c r="AM181" s="210">
        <v>3883000</v>
      </c>
      <c r="AN181" s="210">
        <v>3883000</v>
      </c>
      <c r="AO181" s="210">
        <v>3883000</v>
      </c>
      <c r="AP181" s="210">
        <v>3883000</v>
      </c>
      <c r="AQ181" s="210">
        <v>3883000</v>
      </c>
      <c r="AR181" s="210">
        <v>3883000</v>
      </c>
      <c r="AS181" s="210">
        <v>3883000</v>
      </c>
      <c r="AT181" s="210">
        <v>3883000</v>
      </c>
      <c r="AU181" s="210">
        <v>3883000</v>
      </c>
      <c r="AV181" s="210">
        <v>1164900</v>
      </c>
      <c r="AW181" s="210"/>
      <c r="AX181" s="210"/>
      <c r="AY181" s="210"/>
      <c r="AZ181" s="210"/>
      <c r="BA181" s="210"/>
      <c r="BB181" s="210"/>
      <c r="BC181" s="210"/>
      <c r="BD181" s="342">
        <v>42025</v>
      </c>
      <c r="BE181" s="82">
        <f t="shared" si="23"/>
        <v>38830000</v>
      </c>
    </row>
    <row r="182" spans="1:57" ht="34.5" hidden="1" customHeight="1" x14ac:dyDescent="0.3">
      <c r="A182" s="80">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7">
        <v>40997000</v>
      </c>
      <c r="G182" s="6">
        <v>41675</v>
      </c>
      <c r="H182" s="61">
        <v>42008</v>
      </c>
      <c r="I182" s="61"/>
      <c r="J182" s="162"/>
      <c r="K182" s="332"/>
      <c r="L182" s="162"/>
      <c r="M182" s="332"/>
      <c r="N182" s="162"/>
      <c r="O182" s="332"/>
      <c r="P182" s="162"/>
      <c r="Q182" s="332"/>
      <c r="R182" s="81">
        <f t="shared" si="22"/>
        <v>0</v>
      </c>
      <c r="S182" s="345"/>
      <c r="T182" s="343"/>
      <c r="U182" s="345"/>
      <c r="V182" s="343"/>
      <c r="W182" s="345"/>
      <c r="X182" s="343"/>
      <c r="Y182" s="345"/>
      <c r="Z182" s="343"/>
      <c r="AA182" s="349"/>
      <c r="AB182" s="1004" t="str">
        <f t="shared" si="16"/>
        <v/>
      </c>
      <c r="AC182" s="1082" t="str">
        <f t="shared" si="17"/>
        <v/>
      </c>
      <c r="AD182" s="1074"/>
      <c r="AE182" s="1074"/>
      <c r="AF182" s="1084" t="str">
        <f t="shared" si="18"/>
        <v/>
      </c>
      <c r="AG182" s="1082" t="str">
        <f t="shared" si="19"/>
        <v/>
      </c>
      <c r="AH182" s="1088"/>
      <c r="AI182" s="1087"/>
      <c r="AJ182" s="1084" t="str">
        <f t="shared" si="20"/>
        <v/>
      </c>
      <c r="AK182" s="1083" t="str">
        <f t="shared" si="21"/>
        <v/>
      </c>
      <c r="AL182" s="210">
        <v>3230066</v>
      </c>
      <c r="AM182" s="210">
        <v>3727000</v>
      </c>
      <c r="AN182" s="210">
        <v>3727000</v>
      </c>
      <c r="AO182" s="210">
        <v>3727000</v>
      </c>
      <c r="AP182" s="210">
        <v>3727000</v>
      </c>
      <c r="AQ182" s="210">
        <v>3727000</v>
      </c>
      <c r="AR182" s="210">
        <v>3727000</v>
      </c>
      <c r="AS182" s="210">
        <v>3727000</v>
      </c>
      <c r="AT182" s="210">
        <v>3727002</v>
      </c>
      <c r="AU182" s="210">
        <v>3727000</v>
      </c>
      <c r="AV182" s="210">
        <v>3727000</v>
      </c>
      <c r="AW182" s="210">
        <v>496932</v>
      </c>
      <c r="AX182" s="210"/>
      <c r="AY182" s="210"/>
      <c r="AZ182" s="210"/>
      <c r="BA182" s="210"/>
      <c r="BB182" s="210"/>
      <c r="BC182" s="210"/>
      <c r="BD182" s="342">
        <v>42031</v>
      </c>
      <c r="BE182" s="82">
        <f t="shared" si="23"/>
        <v>40997000</v>
      </c>
    </row>
    <row r="183" spans="1:57" ht="34.5" hidden="1" customHeight="1" x14ac:dyDescent="0.3">
      <c r="A183" s="80">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7">
        <v>55000000</v>
      </c>
      <c r="G183" s="6">
        <v>41675</v>
      </c>
      <c r="H183" s="61">
        <v>42008</v>
      </c>
      <c r="I183" s="61"/>
      <c r="J183" s="162"/>
      <c r="K183" s="332"/>
      <c r="L183" s="162"/>
      <c r="M183" s="332"/>
      <c r="N183" s="162"/>
      <c r="O183" s="332"/>
      <c r="P183" s="162"/>
      <c r="Q183" s="332"/>
      <c r="R183" s="81">
        <f t="shared" si="22"/>
        <v>0</v>
      </c>
      <c r="S183" s="345"/>
      <c r="T183" s="343"/>
      <c r="U183" s="345"/>
      <c r="V183" s="343"/>
      <c r="W183" s="345"/>
      <c r="X183" s="343"/>
      <c r="Y183" s="345"/>
      <c r="Z183" s="343"/>
      <c r="AA183" s="349"/>
      <c r="AB183" s="1004" t="str">
        <f t="shared" si="16"/>
        <v/>
      </c>
      <c r="AC183" s="1082" t="str">
        <f t="shared" si="17"/>
        <v/>
      </c>
      <c r="AD183" s="1074"/>
      <c r="AE183" s="1074"/>
      <c r="AF183" s="1084" t="str">
        <f t="shared" si="18"/>
        <v/>
      </c>
      <c r="AG183" s="1082" t="str">
        <f t="shared" si="19"/>
        <v/>
      </c>
      <c r="AH183" s="1088"/>
      <c r="AI183" s="1087"/>
      <c r="AJ183" s="1084" t="str">
        <f t="shared" si="20"/>
        <v/>
      </c>
      <c r="AK183" s="1083" t="str">
        <f t="shared" si="21"/>
        <v/>
      </c>
      <c r="AL183" s="210">
        <v>4333333</v>
      </c>
      <c r="AM183" s="210">
        <v>20000000</v>
      </c>
      <c r="AN183" s="210">
        <v>15000000</v>
      </c>
      <c r="AO183" s="210">
        <v>15000000</v>
      </c>
      <c r="AP183" s="210"/>
      <c r="AQ183" s="210"/>
      <c r="AR183" s="210"/>
      <c r="AS183" s="210"/>
      <c r="AT183" s="210"/>
      <c r="AU183" s="210"/>
      <c r="AV183" s="210"/>
      <c r="AW183" s="210"/>
      <c r="AX183" s="210"/>
      <c r="AY183" s="210"/>
      <c r="AZ183" s="210"/>
      <c r="BA183" s="210"/>
      <c r="BB183" s="210"/>
      <c r="BC183" s="210"/>
      <c r="BD183" s="342">
        <v>42067</v>
      </c>
      <c r="BE183" s="82">
        <f t="shared" si="23"/>
        <v>54333333</v>
      </c>
    </row>
    <row r="184" spans="1:57" ht="34.5" hidden="1" customHeight="1" x14ac:dyDescent="0.3">
      <c r="A184" s="80">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7">
        <v>55000000</v>
      </c>
      <c r="G184" s="6">
        <v>41675</v>
      </c>
      <c r="H184" s="61">
        <v>42008</v>
      </c>
      <c r="I184" s="61"/>
      <c r="J184" s="162"/>
      <c r="K184" s="332"/>
      <c r="L184" s="162"/>
      <c r="M184" s="332"/>
      <c r="N184" s="162"/>
      <c r="O184" s="332"/>
      <c r="P184" s="162"/>
      <c r="Q184" s="332"/>
      <c r="R184" s="81">
        <f t="shared" si="22"/>
        <v>0</v>
      </c>
      <c r="S184" s="345"/>
      <c r="T184" s="343"/>
      <c r="U184" s="345"/>
      <c r="V184" s="343"/>
      <c r="W184" s="345"/>
      <c r="X184" s="343"/>
      <c r="Y184" s="345"/>
      <c r="Z184" s="343"/>
      <c r="AA184" s="349"/>
      <c r="AB184" s="1004" t="str">
        <f t="shared" si="16"/>
        <v/>
      </c>
      <c r="AC184" s="1082" t="str">
        <f t="shared" si="17"/>
        <v/>
      </c>
      <c r="AD184" s="1074"/>
      <c r="AE184" s="1074"/>
      <c r="AF184" s="1084" t="str">
        <f t="shared" si="18"/>
        <v/>
      </c>
      <c r="AG184" s="1082" t="str">
        <f t="shared" si="19"/>
        <v/>
      </c>
      <c r="AH184" s="1088"/>
      <c r="AI184" s="1087"/>
      <c r="AJ184" s="1084" t="str">
        <f t="shared" si="20"/>
        <v/>
      </c>
      <c r="AK184" s="1083" t="str">
        <f t="shared" si="21"/>
        <v/>
      </c>
      <c r="AL184" s="210">
        <v>4333333</v>
      </c>
      <c r="AM184" s="210">
        <v>5000000</v>
      </c>
      <c r="AN184" s="210">
        <v>5000000</v>
      </c>
      <c r="AO184" s="210">
        <v>5000000</v>
      </c>
      <c r="AP184" s="210">
        <v>5000000</v>
      </c>
      <c r="AQ184" s="210">
        <v>5000000</v>
      </c>
      <c r="AR184" s="210">
        <v>5000000</v>
      </c>
      <c r="AS184" s="210">
        <v>5000000</v>
      </c>
      <c r="AT184" s="210">
        <v>5000000</v>
      </c>
      <c r="AU184" s="210">
        <v>5000000</v>
      </c>
      <c r="AV184" s="210">
        <v>5000000</v>
      </c>
      <c r="AW184" s="210">
        <v>666667</v>
      </c>
      <c r="AX184" s="210"/>
      <c r="AY184" s="210"/>
      <c r="AZ184" s="210"/>
      <c r="BA184" s="210"/>
      <c r="BB184" s="210"/>
      <c r="BC184" s="210"/>
      <c r="BD184" s="342">
        <v>42093</v>
      </c>
      <c r="BE184" s="82">
        <f t="shared" si="23"/>
        <v>55000000</v>
      </c>
    </row>
    <row r="185" spans="1:57" ht="34.5" hidden="1" customHeight="1" x14ac:dyDescent="0.3">
      <c r="A185" s="80">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7">
        <v>55000000</v>
      </c>
      <c r="G185" s="6">
        <v>41675</v>
      </c>
      <c r="H185" s="61">
        <v>42008</v>
      </c>
      <c r="I185" s="61"/>
      <c r="J185" s="162"/>
      <c r="K185" s="332"/>
      <c r="L185" s="162"/>
      <c r="M185" s="332"/>
      <c r="N185" s="162"/>
      <c r="O185" s="332"/>
      <c r="P185" s="162"/>
      <c r="Q185" s="332"/>
      <c r="R185" s="81">
        <f t="shared" si="22"/>
        <v>0</v>
      </c>
      <c r="S185" s="345"/>
      <c r="T185" s="343"/>
      <c r="U185" s="345"/>
      <c r="V185" s="343"/>
      <c r="W185" s="345"/>
      <c r="X185" s="343"/>
      <c r="Y185" s="345"/>
      <c r="Z185" s="343"/>
      <c r="AA185" s="349"/>
      <c r="AB185" s="1004" t="str">
        <f t="shared" si="16"/>
        <v/>
      </c>
      <c r="AC185" s="1082" t="str">
        <f t="shared" si="17"/>
        <v/>
      </c>
      <c r="AD185" s="1074"/>
      <c r="AE185" s="1074"/>
      <c r="AF185" s="1084" t="str">
        <f t="shared" si="18"/>
        <v/>
      </c>
      <c r="AG185" s="1082" t="str">
        <f t="shared" si="19"/>
        <v/>
      </c>
      <c r="AH185" s="1088"/>
      <c r="AI185" s="1087"/>
      <c r="AJ185" s="1084" t="str">
        <f t="shared" si="20"/>
        <v/>
      </c>
      <c r="AK185" s="1083" t="str">
        <f t="shared" si="21"/>
        <v/>
      </c>
      <c r="AL185" s="210">
        <v>4333333</v>
      </c>
      <c r="AM185" s="210">
        <v>5000000</v>
      </c>
      <c r="AN185" s="210">
        <v>5000000</v>
      </c>
      <c r="AO185" s="210">
        <v>5000000</v>
      </c>
      <c r="AP185" s="210">
        <v>5000000</v>
      </c>
      <c r="AQ185" s="210">
        <v>5000000</v>
      </c>
      <c r="AR185" s="210">
        <v>5000000</v>
      </c>
      <c r="AS185" s="210">
        <v>5000000</v>
      </c>
      <c r="AT185" s="210">
        <v>4833333</v>
      </c>
      <c r="AU185" s="210">
        <v>5000000</v>
      </c>
      <c r="AV185" s="210">
        <v>5000000</v>
      </c>
      <c r="AW185" s="210">
        <v>500000</v>
      </c>
      <c r="AX185" s="210"/>
      <c r="AY185" s="210"/>
      <c r="AZ185" s="210"/>
      <c r="BA185" s="210"/>
      <c r="BB185" s="210"/>
      <c r="BC185" s="210"/>
      <c r="BD185" s="342">
        <v>42094</v>
      </c>
      <c r="BE185" s="82">
        <f t="shared" si="23"/>
        <v>54666666</v>
      </c>
    </row>
    <row r="186" spans="1:57" ht="34.5" hidden="1" customHeight="1" x14ac:dyDescent="0.3">
      <c r="A186" s="80">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7">
        <v>38500000</v>
      </c>
      <c r="G186" s="6">
        <v>41675</v>
      </c>
      <c r="H186" s="61">
        <v>42008</v>
      </c>
      <c r="I186" s="61"/>
      <c r="J186" s="162"/>
      <c r="K186" s="332"/>
      <c r="L186" s="162"/>
      <c r="M186" s="332"/>
      <c r="N186" s="162"/>
      <c r="O186" s="332"/>
      <c r="P186" s="162"/>
      <c r="Q186" s="332"/>
      <c r="R186" s="81">
        <f t="shared" si="22"/>
        <v>0</v>
      </c>
      <c r="S186" s="345"/>
      <c r="T186" s="343"/>
      <c r="U186" s="345"/>
      <c r="V186" s="343"/>
      <c r="W186" s="345"/>
      <c r="X186" s="343"/>
      <c r="Y186" s="345"/>
      <c r="Z186" s="343"/>
      <c r="AA186" s="349"/>
      <c r="AB186" s="1004" t="str">
        <f t="shared" si="16"/>
        <v/>
      </c>
      <c r="AC186" s="1082" t="str">
        <f t="shared" si="17"/>
        <v/>
      </c>
      <c r="AD186" s="1074"/>
      <c r="AE186" s="1074"/>
      <c r="AF186" s="1084" t="str">
        <f t="shared" si="18"/>
        <v/>
      </c>
      <c r="AG186" s="1082" t="str">
        <f t="shared" si="19"/>
        <v/>
      </c>
      <c r="AH186" s="1088"/>
      <c r="AI186" s="1087"/>
      <c r="AJ186" s="1084" t="str">
        <f t="shared" si="20"/>
        <v/>
      </c>
      <c r="AK186" s="1083" t="str">
        <f t="shared" si="21"/>
        <v/>
      </c>
      <c r="AL186" s="210">
        <v>3033333</v>
      </c>
      <c r="AM186" s="210">
        <v>3500000</v>
      </c>
      <c r="AN186" s="210">
        <v>3500000</v>
      </c>
      <c r="AO186" s="210">
        <v>3500000</v>
      </c>
      <c r="AP186" s="210">
        <v>3500000</v>
      </c>
      <c r="AQ186" s="210">
        <v>3500000</v>
      </c>
      <c r="AR186" s="210">
        <v>3500000</v>
      </c>
      <c r="AS186" s="210">
        <v>3500000</v>
      </c>
      <c r="AT186" s="210">
        <v>7000000</v>
      </c>
      <c r="AU186" s="210">
        <v>3500000</v>
      </c>
      <c r="AV186" s="210">
        <v>466667</v>
      </c>
      <c r="AW186" s="210"/>
      <c r="AX186" s="210"/>
      <c r="AY186" s="210"/>
      <c r="AZ186" s="210"/>
      <c r="BA186" s="210"/>
      <c r="BB186" s="210"/>
      <c r="BC186" s="210"/>
      <c r="BD186" s="342">
        <v>42235</v>
      </c>
      <c r="BE186" s="82">
        <f t="shared" si="23"/>
        <v>38500000</v>
      </c>
    </row>
    <row r="187" spans="1:57" ht="34.5" hidden="1" customHeight="1" x14ac:dyDescent="0.3">
      <c r="A187" s="80">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7">
        <v>55000000</v>
      </c>
      <c r="G187" s="6">
        <v>41675</v>
      </c>
      <c r="H187" s="61">
        <v>42008</v>
      </c>
      <c r="I187" s="61"/>
      <c r="J187" s="162"/>
      <c r="K187" s="332"/>
      <c r="L187" s="162"/>
      <c r="M187" s="332"/>
      <c r="N187" s="162"/>
      <c r="O187" s="332"/>
      <c r="P187" s="162"/>
      <c r="Q187" s="332"/>
      <c r="R187" s="81">
        <f t="shared" si="22"/>
        <v>0</v>
      </c>
      <c r="S187" s="345"/>
      <c r="T187" s="343"/>
      <c r="U187" s="345"/>
      <c r="V187" s="343"/>
      <c r="W187" s="345"/>
      <c r="X187" s="343"/>
      <c r="Y187" s="345"/>
      <c r="Z187" s="343"/>
      <c r="AA187" s="349"/>
      <c r="AB187" s="1004" t="str">
        <f t="shared" si="16"/>
        <v/>
      </c>
      <c r="AC187" s="1082" t="str">
        <f t="shared" si="17"/>
        <v/>
      </c>
      <c r="AD187" s="1074"/>
      <c r="AE187" s="1074"/>
      <c r="AF187" s="1084" t="str">
        <f t="shared" si="18"/>
        <v/>
      </c>
      <c r="AG187" s="1082" t="str">
        <f t="shared" si="19"/>
        <v/>
      </c>
      <c r="AH187" s="1088"/>
      <c r="AI187" s="1087"/>
      <c r="AJ187" s="1084" t="str">
        <f t="shared" si="20"/>
        <v/>
      </c>
      <c r="AK187" s="1083" t="str">
        <f t="shared" si="21"/>
        <v/>
      </c>
      <c r="AL187" s="210">
        <v>4333333</v>
      </c>
      <c r="AM187" s="210">
        <v>5000000</v>
      </c>
      <c r="AN187" s="210">
        <v>5000000</v>
      </c>
      <c r="AO187" s="210">
        <v>5000000</v>
      </c>
      <c r="AP187" s="210">
        <v>5000000</v>
      </c>
      <c r="AQ187" s="210">
        <v>5000000</v>
      </c>
      <c r="AR187" s="210">
        <v>5000000</v>
      </c>
      <c r="AS187" s="210">
        <v>5000000</v>
      </c>
      <c r="AT187" s="210">
        <v>5000000</v>
      </c>
      <c r="AU187" s="210">
        <v>5000000</v>
      </c>
      <c r="AV187" s="210">
        <v>5666667</v>
      </c>
      <c r="AW187" s="210"/>
      <c r="AX187" s="210"/>
      <c r="AY187" s="210"/>
      <c r="AZ187" s="210"/>
      <c r="BA187" s="210"/>
      <c r="BB187" s="210"/>
      <c r="BC187" s="210"/>
      <c r="BD187" s="342">
        <v>42088</v>
      </c>
      <c r="BE187" s="82">
        <f t="shared" si="23"/>
        <v>55000000</v>
      </c>
    </row>
    <row r="188" spans="1:57" ht="34.5" hidden="1" customHeight="1" x14ac:dyDescent="0.3">
      <c r="A188" s="80">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7">
        <v>55000000</v>
      </c>
      <c r="G188" s="6">
        <v>41675</v>
      </c>
      <c r="H188" s="61">
        <v>42008</v>
      </c>
      <c r="I188" s="61"/>
      <c r="J188" s="162"/>
      <c r="K188" s="332"/>
      <c r="L188" s="162"/>
      <c r="M188" s="332"/>
      <c r="N188" s="162"/>
      <c r="O188" s="332"/>
      <c r="P188" s="162"/>
      <c r="Q188" s="332"/>
      <c r="R188" s="81">
        <f t="shared" si="22"/>
        <v>0</v>
      </c>
      <c r="S188" s="345"/>
      <c r="T188" s="343"/>
      <c r="U188" s="345"/>
      <c r="V188" s="343"/>
      <c r="W188" s="345"/>
      <c r="X188" s="343"/>
      <c r="Y188" s="345"/>
      <c r="Z188" s="343"/>
      <c r="AA188" s="349"/>
      <c r="AB188" s="1004" t="str">
        <f t="shared" si="16"/>
        <v/>
      </c>
      <c r="AC188" s="1082" t="str">
        <f t="shared" si="17"/>
        <v/>
      </c>
      <c r="AD188" s="1074"/>
      <c r="AE188" s="1074"/>
      <c r="AF188" s="1084" t="str">
        <f t="shared" si="18"/>
        <v/>
      </c>
      <c r="AG188" s="1082" t="str">
        <f t="shared" si="19"/>
        <v/>
      </c>
      <c r="AH188" s="1088"/>
      <c r="AI188" s="1087"/>
      <c r="AJ188" s="1084" t="str">
        <f t="shared" si="20"/>
        <v/>
      </c>
      <c r="AK188" s="1083" t="str">
        <f t="shared" si="21"/>
        <v/>
      </c>
      <c r="AL188" s="210">
        <v>4333333</v>
      </c>
      <c r="AM188" s="210">
        <v>5000000</v>
      </c>
      <c r="AN188" s="210">
        <v>5000000</v>
      </c>
      <c r="AO188" s="210">
        <v>5000000</v>
      </c>
      <c r="AP188" s="210">
        <v>5000000</v>
      </c>
      <c r="AQ188" s="210">
        <v>5000000</v>
      </c>
      <c r="AR188" s="210">
        <v>5000000</v>
      </c>
      <c r="AS188" s="210">
        <v>20666667</v>
      </c>
      <c r="AT188" s="210"/>
      <c r="AU188" s="210"/>
      <c r="AV188" s="210"/>
      <c r="AW188" s="210"/>
      <c r="AX188" s="210"/>
      <c r="AY188" s="210"/>
      <c r="AZ188" s="210"/>
      <c r="BA188" s="210"/>
      <c r="BB188" s="210"/>
      <c r="BC188" s="210"/>
      <c r="BD188" s="342">
        <v>42122</v>
      </c>
      <c r="BE188" s="82">
        <f t="shared" si="23"/>
        <v>55000000</v>
      </c>
    </row>
    <row r="189" spans="1:57" ht="34.5" hidden="1" customHeight="1" x14ac:dyDescent="0.3">
      <c r="A189" s="80">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7">
        <v>16555000</v>
      </c>
      <c r="G189" s="6">
        <v>41732</v>
      </c>
      <c r="H189" s="61">
        <v>42096</v>
      </c>
      <c r="I189" s="61"/>
      <c r="J189" s="162"/>
      <c r="K189" s="332"/>
      <c r="L189" s="162"/>
      <c r="M189" s="332"/>
      <c r="N189" s="162"/>
      <c r="O189" s="332"/>
      <c r="P189" s="162"/>
      <c r="Q189" s="332"/>
      <c r="R189" s="81">
        <f t="shared" si="22"/>
        <v>0</v>
      </c>
      <c r="S189" s="345"/>
      <c r="T189" s="343"/>
      <c r="U189" s="345"/>
      <c r="V189" s="343"/>
      <c r="W189" s="345"/>
      <c r="X189" s="343"/>
      <c r="Y189" s="345"/>
      <c r="Z189" s="343"/>
      <c r="AA189" s="349"/>
      <c r="AB189" s="1004" t="str">
        <f t="shared" si="16"/>
        <v/>
      </c>
      <c r="AC189" s="1082" t="str">
        <f t="shared" si="17"/>
        <v/>
      </c>
      <c r="AD189" s="1074"/>
      <c r="AE189" s="1074"/>
      <c r="AF189" s="1084" t="str">
        <f t="shared" si="18"/>
        <v/>
      </c>
      <c r="AG189" s="1082" t="str">
        <f t="shared" si="19"/>
        <v/>
      </c>
      <c r="AH189" s="1088"/>
      <c r="AI189" s="1087"/>
      <c r="AJ189" s="1084" t="str">
        <f t="shared" si="20"/>
        <v/>
      </c>
      <c r="AK189" s="1083" t="str">
        <f t="shared" si="21"/>
        <v/>
      </c>
      <c r="AL189" s="210">
        <v>811197</v>
      </c>
      <c r="AM189" s="210">
        <v>4983824</v>
      </c>
      <c r="AN189" s="210">
        <v>1245956</v>
      </c>
      <c r="AO189" s="210">
        <v>1245956</v>
      </c>
      <c r="AP189" s="210">
        <v>1245956</v>
      </c>
      <c r="AQ189" s="210">
        <v>1245956</v>
      </c>
      <c r="AR189" s="210">
        <v>1245956</v>
      </c>
      <c r="AS189" s="210">
        <v>2491912</v>
      </c>
      <c r="AT189" s="210">
        <v>1245956</v>
      </c>
      <c r="AU189" s="210"/>
      <c r="AV189" s="210"/>
      <c r="AW189" s="210"/>
      <c r="AX189" s="210"/>
      <c r="AY189" s="210"/>
      <c r="AZ189" s="210"/>
      <c r="BA189" s="210"/>
      <c r="BB189" s="210"/>
      <c r="BC189" s="210"/>
      <c r="BD189" s="342">
        <v>42269</v>
      </c>
      <c r="BE189" s="82">
        <f t="shared" si="23"/>
        <v>15762669</v>
      </c>
    </row>
    <row r="190" spans="1:57" ht="34.5" hidden="1" customHeight="1" x14ac:dyDescent="0.3">
      <c r="A190" s="80">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7">
        <v>39600000</v>
      </c>
      <c r="G190" s="6">
        <v>41675</v>
      </c>
      <c r="H190" s="61">
        <v>42008</v>
      </c>
      <c r="I190" s="61"/>
      <c r="J190" s="162"/>
      <c r="K190" s="332"/>
      <c r="L190" s="162"/>
      <c r="M190" s="332"/>
      <c r="N190" s="162"/>
      <c r="O190" s="332"/>
      <c r="P190" s="162"/>
      <c r="Q190" s="332"/>
      <c r="R190" s="81">
        <f t="shared" si="22"/>
        <v>0</v>
      </c>
      <c r="S190" s="345"/>
      <c r="T190" s="343"/>
      <c r="U190" s="345"/>
      <c r="V190" s="343"/>
      <c r="W190" s="345"/>
      <c r="X190" s="343"/>
      <c r="Y190" s="345"/>
      <c r="Z190" s="343"/>
      <c r="AA190" s="349"/>
      <c r="AB190" s="1004" t="str">
        <f t="shared" si="16"/>
        <v/>
      </c>
      <c r="AC190" s="1082" t="str">
        <f t="shared" si="17"/>
        <v/>
      </c>
      <c r="AD190" s="1074"/>
      <c r="AE190" s="1074"/>
      <c r="AF190" s="1084" t="str">
        <f t="shared" si="18"/>
        <v/>
      </c>
      <c r="AG190" s="1082" t="str">
        <f t="shared" si="19"/>
        <v/>
      </c>
      <c r="AH190" s="1088"/>
      <c r="AI190" s="1087"/>
      <c r="AJ190" s="1084" t="str">
        <f t="shared" si="20"/>
        <v/>
      </c>
      <c r="AK190" s="1083" t="str">
        <f t="shared" si="21"/>
        <v/>
      </c>
      <c r="AL190" s="210">
        <v>3120000</v>
      </c>
      <c r="AM190" s="210">
        <v>3600000</v>
      </c>
      <c r="AN190" s="210">
        <v>3600000</v>
      </c>
      <c r="AO190" s="210">
        <v>3600000</v>
      </c>
      <c r="AP190" s="210">
        <v>3600000</v>
      </c>
      <c r="AQ190" s="210">
        <v>3600000</v>
      </c>
      <c r="AR190" s="210">
        <v>3600000</v>
      </c>
      <c r="AS190" s="210"/>
      <c r="AT190" s="210"/>
      <c r="AU190" s="210"/>
      <c r="AV190" s="210"/>
      <c r="AW190" s="210"/>
      <c r="AX190" s="210"/>
      <c r="AY190" s="210"/>
      <c r="AZ190" s="210"/>
      <c r="BA190" s="210"/>
      <c r="BB190" s="210"/>
      <c r="BC190" s="210"/>
      <c r="BD190" s="342">
        <v>0</v>
      </c>
      <c r="BE190" s="82">
        <f t="shared" si="23"/>
        <v>24720000</v>
      </c>
    </row>
    <row r="191" spans="1:57" ht="34.5" hidden="1" customHeight="1" x14ac:dyDescent="0.3">
      <c r="A191" s="80">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7">
        <v>51500000</v>
      </c>
      <c r="G191" s="6">
        <v>41694</v>
      </c>
      <c r="H191" s="61">
        <v>41996</v>
      </c>
      <c r="I191" s="61"/>
      <c r="J191" s="162"/>
      <c r="K191" s="332"/>
      <c r="L191" s="162"/>
      <c r="M191" s="332"/>
      <c r="N191" s="162"/>
      <c r="O191" s="332"/>
      <c r="P191" s="162"/>
      <c r="Q191" s="332"/>
      <c r="R191" s="81">
        <f t="shared" si="22"/>
        <v>0</v>
      </c>
      <c r="S191" s="345"/>
      <c r="T191" s="343">
        <v>41887</v>
      </c>
      <c r="U191" s="345"/>
      <c r="V191" s="343"/>
      <c r="W191" s="345"/>
      <c r="X191" s="343"/>
      <c r="Y191" s="345"/>
      <c r="Z191" s="343"/>
      <c r="AA191" s="349"/>
      <c r="AB191" s="1004">
        <f t="shared" si="16"/>
        <v>41887</v>
      </c>
      <c r="AC191" s="1082" t="str">
        <f t="shared" si="17"/>
        <v/>
      </c>
      <c r="AD191" s="1074"/>
      <c r="AE191" s="1074"/>
      <c r="AF191" s="1084" t="str">
        <f t="shared" si="18"/>
        <v/>
      </c>
      <c r="AG191" s="1082" t="str">
        <f t="shared" si="19"/>
        <v/>
      </c>
      <c r="AH191" s="1088"/>
      <c r="AI191" s="1087"/>
      <c r="AJ191" s="1084" t="str">
        <f t="shared" si="20"/>
        <v/>
      </c>
      <c r="AK191" s="1083" t="str">
        <f t="shared" si="21"/>
        <v/>
      </c>
      <c r="AL191" s="210">
        <v>1201666</v>
      </c>
      <c r="AM191" s="210">
        <v>5150000</v>
      </c>
      <c r="AN191" s="210">
        <v>5150000</v>
      </c>
      <c r="AO191" s="210">
        <v>5150000</v>
      </c>
      <c r="AP191" s="210">
        <v>5150000</v>
      </c>
      <c r="AQ191" s="210">
        <v>5150000</v>
      </c>
      <c r="AR191" s="210">
        <v>5150000</v>
      </c>
      <c r="AS191" s="210">
        <v>686667</v>
      </c>
      <c r="AT191" s="210"/>
      <c r="AU191" s="210"/>
      <c r="AV191" s="210"/>
      <c r="AW191" s="210"/>
      <c r="AX191" s="210"/>
      <c r="AY191" s="210"/>
      <c r="AZ191" s="210"/>
      <c r="BA191" s="210"/>
      <c r="BB191" s="210"/>
      <c r="BC191" s="210"/>
      <c r="BD191" s="342">
        <v>41968</v>
      </c>
      <c r="BE191" s="82">
        <f t="shared" si="23"/>
        <v>32788333</v>
      </c>
    </row>
    <row r="192" spans="1:57" ht="34.5" hidden="1" customHeight="1" x14ac:dyDescent="0.3">
      <c r="A192" s="80">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7">
        <v>16500000</v>
      </c>
      <c r="G192" s="6">
        <v>41675</v>
      </c>
      <c r="H192" s="61">
        <v>42008</v>
      </c>
      <c r="I192" s="61"/>
      <c r="J192" s="162"/>
      <c r="K192" s="332"/>
      <c r="L192" s="162"/>
      <c r="M192" s="332"/>
      <c r="N192" s="162"/>
      <c r="O192" s="332"/>
      <c r="P192" s="162"/>
      <c r="Q192" s="332"/>
      <c r="R192" s="81">
        <f t="shared" si="22"/>
        <v>0</v>
      </c>
      <c r="S192" s="345"/>
      <c r="T192" s="343"/>
      <c r="U192" s="345"/>
      <c r="V192" s="343"/>
      <c r="W192" s="345"/>
      <c r="X192" s="343"/>
      <c r="Y192" s="345"/>
      <c r="Z192" s="343"/>
      <c r="AA192" s="349"/>
      <c r="AB192" s="1004" t="str">
        <f t="shared" si="16"/>
        <v/>
      </c>
      <c r="AC192" s="1082" t="str">
        <f t="shared" si="17"/>
        <v/>
      </c>
      <c r="AD192" s="1074"/>
      <c r="AE192" s="1074"/>
      <c r="AF192" s="1084" t="str">
        <f t="shared" si="18"/>
        <v/>
      </c>
      <c r="AG192" s="1082" t="str">
        <f t="shared" si="19"/>
        <v/>
      </c>
      <c r="AH192" s="1088"/>
      <c r="AI192" s="1087"/>
      <c r="AJ192" s="1084" t="str">
        <f t="shared" si="20"/>
        <v/>
      </c>
      <c r="AK192" s="1083" t="str">
        <f t="shared" si="21"/>
        <v/>
      </c>
      <c r="AL192" s="210">
        <v>1300000</v>
      </c>
      <c r="AM192" s="210">
        <v>1500000</v>
      </c>
      <c r="AN192" s="210">
        <v>7500000</v>
      </c>
      <c r="AO192" s="210"/>
      <c r="AP192" s="210"/>
      <c r="AQ192" s="210"/>
      <c r="AR192" s="210"/>
      <c r="AS192" s="210"/>
      <c r="AT192" s="210"/>
      <c r="AU192" s="210"/>
      <c r="AV192" s="210"/>
      <c r="AW192" s="210"/>
      <c r="AX192" s="210"/>
      <c r="AY192" s="210"/>
      <c r="AZ192" s="210"/>
      <c r="BA192" s="210"/>
      <c r="BB192" s="210"/>
      <c r="BC192" s="210"/>
      <c r="BD192" s="342">
        <v>0</v>
      </c>
      <c r="BE192" s="82">
        <f t="shared" si="23"/>
        <v>10300000</v>
      </c>
    </row>
    <row r="193" spans="1:59" ht="34.5" hidden="1" customHeight="1" x14ac:dyDescent="0.3">
      <c r="A193" s="80">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7">
        <v>51500000</v>
      </c>
      <c r="G193" s="6">
        <v>41677</v>
      </c>
      <c r="H193" s="61">
        <v>41979</v>
      </c>
      <c r="I193" s="61"/>
      <c r="J193" s="162">
        <v>10300000</v>
      </c>
      <c r="K193" s="332">
        <v>41978</v>
      </c>
      <c r="L193" s="162"/>
      <c r="M193" s="332"/>
      <c r="N193" s="162"/>
      <c r="O193" s="332"/>
      <c r="P193" s="162"/>
      <c r="Q193" s="332"/>
      <c r="R193" s="81">
        <f t="shared" si="22"/>
        <v>10300000</v>
      </c>
      <c r="S193" s="345" t="s">
        <v>378</v>
      </c>
      <c r="T193" s="343">
        <v>42041</v>
      </c>
      <c r="U193" s="345"/>
      <c r="V193" s="343">
        <v>42006</v>
      </c>
      <c r="W193" s="345"/>
      <c r="X193" s="343"/>
      <c r="Y193" s="345"/>
      <c r="Z193" s="343"/>
      <c r="AA193" s="349" t="s">
        <v>378</v>
      </c>
      <c r="AB193" s="1004">
        <f t="shared" si="16"/>
        <v>42041</v>
      </c>
      <c r="AC193" s="1082" t="str">
        <f t="shared" si="17"/>
        <v/>
      </c>
      <c r="AD193" s="1074"/>
      <c r="AE193" s="1074"/>
      <c r="AF193" s="1084" t="str">
        <f t="shared" si="18"/>
        <v/>
      </c>
      <c r="AG193" s="1082" t="str">
        <f t="shared" si="19"/>
        <v/>
      </c>
      <c r="AH193" s="1088"/>
      <c r="AI193" s="1087"/>
      <c r="AJ193" s="1084" t="str">
        <f t="shared" si="20"/>
        <v/>
      </c>
      <c r="AK193" s="1083" t="str">
        <f t="shared" si="21"/>
        <v/>
      </c>
      <c r="AL193" s="210">
        <v>4120000</v>
      </c>
      <c r="AM193" s="210">
        <v>5150000</v>
      </c>
      <c r="AN193" s="210">
        <v>5150000</v>
      </c>
      <c r="AO193" s="210">
        <v>5150000</v>
      </c>
      <c r="AP193" s="210">
        <v>5150000</v>
      </c>
      <c r="AQ193" s="210">
        <v>5150000</v>
      </c>
      <c r="AR193" s="210">
        <v>4806667</v>
      </c>
      <c r="AS193" s="210">
        <v>4806666</v>
      </c>
      <c r="AT193" s="210">
        <v>5150000</v>
      </c>
      <c r="AU193" s="210">
        <v>5150000</v>
      </c>
      <c r="AV193" s="210">
        <v>5150000</v>
      </c>
      <c r="AW193" s="210"/>
      <c r="AX193" s="210"/>
      <c r="AY193" s="210"/>
      <c r="AZ193" s="210"/>
      <c r="BA193" s="210"/>
      <c r="BB193" s="210"/>
      <c r="BC193" s="210"/>
      <c r="BD193" s="342">
        <v>41982</v>
      </c>
      <c r="BE193" s="82">
        <f t="shared" si="23"/>
        <v>54933333</v>
      </c>
    </row>
    <row r="194" spans="1:59" ht="34.5" hidden="1" customHeight="1" x14ac:dyDescent="0.3">
      <c r="A194" s="80">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7">
        <v>340808000</v>
      </c>
      <c r="G194" s="6">
        <v>41704</v>
      </c>
      <c r="H194" s="61">
        <v>41748</v>
      </c>
      <c r="I194" s="61"/>
      <c r="J194" s="162"/>
      <c r="K194" s="332"/>
      <c r="L194" s="162"/>
      <c r="M194" s="332"/>
      <c r="N194" s="162"/>
      <c r="O194" s="332"/>
      <c r="P194" s="162"/>
      <c r="Q194" s="332"/>
      <c r="R194" s="81">
        <f t="shared" si="22"/>
        <v>0</v>
      </c>
      <c r="S194" s="345"/>
      <c r="T194" s="343"/>
      <c r="U194" s="345"/>
      <c r="V194" s="343"/>
      <c r="W194" s="345"/>
      <c r="X194" s="343"/>
      <c r="Y194" s="345"/>
      <c r="Z194" s="343"/>
      <c r="AA194" s="349"/>
      <c r="AB194" s="1004" t="str">
        <f t="shared" si="16"/>
        <v/>
      </c>
      <c r="AC194" s="1082" t="str">
        <f t="shared" si="17"/>
        <v/>
      </c>
      <c r="AD194" s="1074"/>
      <c r="AE194" s="1074"/>
      <c r="AF194" s="1084" t="str">
        <f t="shared" si="18"/>
        <v/>
      </c>
      <c r="AG194" s="1082" t="str">
        <f t="shared" si="19"/>
        <v/>
      </c>
      <c r="AH194" s="1088"/>
      <c r="AI194" s="1087"/>
      <c r="AJ194" s="1084" t="str">
        <f t="shared" si="20"/>
        <v/>
      </c>
      <c r="AK194" s="1083" t="str">
        <f t="shared" si="21"/>
        <v/>
      </c>
      <c r="AL194" s="210">
        <v>170404000</v>
      </c>
      <c r="AM194" s="210">
        <v>170404000</v>
      </c>
      <c r="AN194" s="210"/>
      <c r="AO194" s="210"/>
      <c r="AP194" s="210"/>
      <c r="AQ194" s="210"/>
      <c r="AR194" s="210"/>
      <c r="AS194" s="210"/>
      <c r="AT194" s="210"/>
      <c r="AU194" s="210"/>
      <c r="AV194" s="210"/>
      <c r="AW194" s="210"/>
      <c r="AX194" s="210"/>
      <c r="AY194" s="210"/>
      <c r="AZ194" s="210"/>
      <c r="BA194" s="210"/>
      <c r="BB194" s="210"/>
      <c r="BC194" s="210"/>
      <c r="BD194" s="342">
        <v>0</v>
      </c>
      <c r="BE194" s="82">
        <f t="shared" si="23"/>
        <v>340808000</v>
      </c>
    </row>
    <row r="195" spans="1:59" ht="34.5" hidden="1" customHeight="1" x14ac:dyDescent="0.3">
      <c r="A195" s="80">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7">
        <v>28900000</v>
      </c>
      <c r="G195" s="6">
        <v>41704</v>
      </c>
      <c r="H195" s="61">
        <v>41748</v>
      </c>
      <c r="I195" s="61"/>
      <c r="J195" s="162"/>
      <c r="K195" s="332"/>
      <c r="L195" s="162"/>
      <c r="M195" s="332"/>
      <c r="N195" s="162"/>
      <c r="O195" s="332"/>
      <c r="P195" s="162"/>
      <c r="Q195" s="332"/>
      <c r="R195" s="81">
        <f t="shared" si="22"/>
        <v>0</v>
      </c>
      <c r="S195" s="345"/>
      <c r="T195" s="343"/>
      <c r="U195" s="345"/>
      <c r="V195" s="343"/>
      <c r="W195" s="345"/>
      <c r="X195" s="343"/>
      <c r="Y195" s="345"/>
      <c r="Z195" s="343"/>
      <c r="AA195" s="349"/>
      <c r="AB195" s="1004" t="str">
        <f t="shared" si="16"/>
        <v/>
      </c>
      <c r="AC195" s="1082" t="str">
        <f t="shared" si="17"/>
        <v/>
      </c>
      <c r="AD195" s="1074"/>
      <c r="AE195" s="1074"/>
      <c r="AF195" s="1084" t="str">
        <f t="shared" si="18"/>
        <v/>
      </c>
      <c r="AG195" s="1082" t="str">
        <f t="shared" si="19"/>
        <v/>
      </c>
      <c r="AH195" s="1088"/>
      <c r="AI195" s="1087"/>
      <c r="AJ195" s="1084" t="str">
        <f t="shared" si="20"/>
        <v/>
      </c>
      <c r="AK195" s="1083" t="str">
        <f t="shared" si="21"/>
        <v/>
      </c>
      <c r="AL195" s="210">
        <v>28900000</v>
      </c>
      <c r="AM195" s="210"/>
      <c r="AN195" s="210"/>
      <c r="AO195" s="210"/>
      <c r="AP195" s="210"/>
      <c r="AQ195" s="210"/>
      <c r="AR195" s="210"/>
      <c r="AS195" s="210"/>
      <c r="AT195" s="210"/>
      <c r="AU195" s="210"/>
      <c r="AV195" s="210"/>
      <c r="AW195" s="210"/>
      <c r="AX195" s="210"/>
      <c r="AY195" s="210"/>
      <c r="AZ195" s="210"/>
      <c r="BA195" s="210"/>
      <c r="BB195" s="210"/>
      <c r="BC195" s="210"/>
      <c r="BD195" s="342">
        <v>0</v>
      </c>
      <c r="BE195" s="82">
        <f t="shared" si="23"/>
        <v>28900000</v>
      </c>
    </row>
    <row r="196" spans="1:59" ht="34.5" hidden="1" customHeight="1" x14ac:dyDescent="0.3">
      <c r="A196" s="80">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7">
        <v>248000000</v>
      </c>
      <c r="G196" s="6">
        <v>41708</v>
      </c>
      <c r="H196" s="61">
        <v>41738</v>
      </c>
      <c r="I196" s="61"/>
      <c r="J196" s="162">
        <v>77128875</v>
      </c>
      <c r="K196" s="332"/>
      <c r="L196" s="162"/>
      <c r="M196" s="332"/>
      <c r="N196" s="162"/>
      <c r="O196" s="332"/>
      <c r="P196" s="162"/>
      <c r="Q196" s="332"/>
      <c r="R196" s="81">
        <f t="shared" si="22"/>
        <v>77128875</v>
      </c>
      <c r="S196" s="345"/>
      <c r="T196" s="343"/>
      <c r="U196" s="345"/>
      <c r="V196" s="343"/>
      <c r="W196" s="345"/>
      <c r="X196" s="343"/>
      <c r="Y196" s="345"/>
      <c r="Z196" s="343"/>
      <c r="AA196" s="165"/>
      <c r="AB196" s="1004" t="str">
        <f t="shared" si="16"/>
        <v/>
      </c>
      <c r="AC196" s="1082" t="str">
        <f t="shared" si="17"/>
        <v/>
      </c>
      <c r="AD196" s="1074"/>
      <c r="AE196" s="1074"/>
      <c r="AF196" s="1084" t="str">
        <f t="shared" si="18"/>
        <v/>
      </c>
      <c r="AG196" s="1082" t="str">
        <f t="shared" si="19"/>
        <v/>
      </c>
      <c r="AH196" s="1088"/>
      <c r="AI196" s="1087"/>
      <c r="AJ196" s="1084" t="str">
        <f t="shared" si="20"/>
        <v/>
      </c>
      <c r="AK196" s="1083" t="str">
        <f t="shared" si="21"/>
        <v/>
      </c>
      <c r="AL196" s="210">
        <v>325028452</v>
      </c>
      <c r="AM196" s="210"/>
      <c r="AN196" s="210"/>
      <c r="AO196" s="210"/>
      <c r="AP196" s="210"/>
      <c r="AQ196" s="210"/>
      <c r="AR196" s="210"/>
      <c r="AS196" s="210"/>
      <c r="AT196" s="210"/>
      <c r="AU196" s="210"/>
      <c r="AV196" s="210"/>
      <c r="AW196" s="210"/>
      <c r="AX196" s="210"/>
      <c r="AY196" s="210"/>
      <c r="AZ196" s="210"/>
      <c r="BA196" s="210"/>
      <c r="BB196" s="210"/>
      <c r="BC196" s="210"/>
      <c r="BD196" s="342">
        <v>0</v>
      </c>
      <c r="BE196" s="82">
        <f t="shared" si="23"/>
        <v>325028452</v>
      </c>
    </row>
    <row r="197" spans="1:59" ht="34.5" hidden="1" customHeight="1" x14ac:dyDescent="0.3">
      <c r="A197" s="80">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7">
        <v>11000000</v>
      </c>
      <c r="G197" s="6">
        <v>41738</v>
      </c>
      <c r="H197" s="61">
        <v>42012</v>
      </c>
      <c r="I197" s="61"/>
      <c r="J197" s="162"/>
      <c r="K197" s="332"/>
      <c r="L197" s="162"/>
      <c r="M197" s="332"/>
      <c r="N197" s="162"/>
      <c r="O197" s="332"/>
      <c r="P197" s="162"/>
      <c r="Q197" s="332"/>
      <c r="R197" s="81">
        <f t="shared" si="22"/>
        <v>0</v>
      </c>
      <c r="S197" s="345"/>
      <c r="T197" s="343"/>
      <c r="U197" s="345"/>
      <c r="V197" s="343"/>
      <c r="W197" s="345"/>
      <c r="X197" s="343"/>
      <c r="Y197" s="345"/>
      <c r="Z197" s="343"/>
      <c r="AA197" s="349"/>
      <c r="AB197" s="1004" t="str">
        <f t="shared" si="16"/>
        <v/>
      </c>
      <c r="AC197" s="1082" t="str">
        <f t="shared" si="17"/>
        <v/>
      </c>
      <c r="AD197" s="1074"/>
      <c r="AE197" s="1074"/>
      <c r="AF197" s="1084" t="str">
        <f t="shared" si="18"/>
        <v/>
      </c>
      <c r="AG197" s="1082" t="str">
        <f t="shared" si="19"/>
        <v/>
      </c>
      <c r="AH197" s="1088"/>
      <c r="AI197" s="1087"/>
      <c r="AJ197" s="1084" t="str">
        <f t="shared" si="20"/>
        <v/>
      </c>
      <c r="AK197" s="1083" t="str">
        <f t="shared" si="21"/>
        <v/>
      </c>
      <c r="AL197" s="210">
        <v>890822</v>
      </c>
      <c r="AM197" s="210">
        <v>890822</v>
      </c>
      <c r="AN197" s="210">
        <v>890822</v>
      </c>
      <c r="AO197" s="210"/>
      <c r="AP197" s="210"/>
      <c r="AQ197" s="210"/>
      <c r="AR197" s="210"/>
      <c r="AS197" s="210"/>
      <c r="AT197" s="210"/>
      <c r="AU197" s="210"/>
      <c r="AV197" s="210"/>
      <c r="AW197" s="210"/>
      <c r="AX197" s="210"/>
      <c r="AY197" s="210"/>
      <c r="AZ197" s="210"/>
      <c r="BA197" s="210"/>
      <c r="BB197" s="210"/>
      <c r="BC197" s="210"/>
      <c r="BD197" s="342">
        <v>42093</v>
      </c>
      <c r="BE197" s="82">
        <f t="shared" si="23"/>
        <v>2672466</v>
      </c>
    </row>
    <row r="198" spans="1:59" ht="34.5" hidden="1" customHeight="1" x14ac:dyDescent="0.3">
      <c r="A198" s="80">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7">
        <v>1325400</v>
      </c>
      <c r="G198" s="6">
        <v>41738</v>
      </c>
      <c r="H198" s="61">
        <v>42102</v>
      </c>
      <c r="I198" s="61"/>
      <c r="J198" s="162">
        <v>282000</v>
      </c>
      <c r="K198" s="332"/>
      <c r="L198" s="162"/>
      <c r="M198" s="332"/>
      <c r="N198" s="162"/>
      <c r="O198" s="332"/>
      <c r="P198" s="162"/>
      <c r="Q198" s="332"/>
      <c r="R198" s="81">
        <f t="shared" si="22"/>
        <v>282000</v>
      </c>
      <c r="S198" s="345"/>
      <c r="T198" s="343"/>
      <c r="U198" s="345"/>
      <c r="V198" s="343"/>
      <c r="W198" s="345"/>
      <c r="X198" s="343"/>
      <c r="Y198" s="345"/>
      <c r="Z198" s="343"/>
      <c r="AA198" s="349"/>
      <c r="AB198" s="1004" t="str">
        <f t="shared" si="16"/>
        <v/>
      </c>
      <c r="AC198" s="1082" t="str">
        <f t="shared" si="17"/>
        <v/>
      </c>
      <c r="AD198" s="1074"/>
      <c r="AE198" s="1074"/>
      <c r="AF198" s="1084" t="str">
        <f t="shared" si="18"/>
        <v/>
      </c>
      <c r="AG198" s="1082" t="str">
        <f t="shared" si="19"/>
        <v/>
      </c>
      <c r="AH198" s="1088"/>
      <c r="AI198" s="1087"/>
      <c r="AJ198" s="1084" t="str">
        <f t="shared" si="20"/>
        <v/>
      </c>
      <c r="AK198" s="1083" t="str">
        <f t="shared" si="21"/>
        <v/>
      </c>
      <c r="AL198" s="210"/>
      <c r="AM198" s="210"/>
      <c r="AN198" s="210"/>
      <c r="AO198" s="210"/>
      <c r="AP198" s="210"/>
      <c r="AQ198" s="210"/>
      <c r="AR198" s="210"/>
      <c r="AS198" s="210"/>
      <c r="AT198" s="210"/>
      <c r="AU198" s="210"/>
      <c r="AV198" s="210"/>
      <c r="AW198" s="210"/>
      <c r="AX198" s="210"/>
      <c r="AY198" s="210"/>
      <c r="AZ198" s="210"/>
      <c r="BA198" s="210"/>
      <c r="BB198" s="210"/>
      <c r="BC198" s="210"/>
      <c r="BD198" s="342">
        <v>0</v>
      </c>
      <c r="BE198" s="82">
        <f t="shared" si="23"/>
        <v>0</v>
      </c>
    </row>
    <row r="199" spans="1:59" ht="34.5" hidden="1" customHeight="1" x14ac:dyDescent="0.3">
      <c r="A199" s="80">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7">
        <v>4982000</v>
      </c>
      <c r="G199" s="6">
        <v>41725</v>
      </c>
      <c r="H199" s="61">
        <v>41969</v>
      </c>
      <c r="I199" s="61"/>
      <c r="J199" s="162"/>
      <c r="K199" s="332"/>
      <c r="L199" s="162"/>
      <c r="M199" s="332"/>
      <c r="N199" s="162"/>
      <c r="O199" s="332"/>
      <c r="P199" s="162"/>
      <c r="Q199" s="332"/>
      <c r="R199" s="81">
        <f t="shared" si="22"/>
        <v>0</v>
      </c>
      <c r="S199" s="345"/>
      <c r="T199" s="343"/>
      <c r="U199" s="345"/>
      <c r="V199" s="343"/>
      <c r="W199" s="345"/>
      <c r="X199" s="343"/>
      <c r="Y199" s="345"/>
      <c r="Z199" s="343"/>
      <c r="AA199" s="349"/>
      <c r="AB199" s="1004" t="str">
        <f t="shared" ref="AB199:AB262" si="24">IF(ISNUMBER(T199),MAX(T199,V199,X199,Z199),"")</f>
        <v/>
      </c>
      <c r="AC199" s="1082" t="str">
        <f t="shared" ref="AC199:AC262" si="25">IF(ISNUMBER(AD199),ABS(AD199-AE199)+1,"")</f>
        <v/>
      </c>
      <c r="AD199" s="1074"/>
      <c r="AE199" s="1074"/>
      <c r="AF199" s="1084" t="str">
        <f t="shared" ref="AF199:AF262" si="26">IFERROR(IF(MAX(H199,I199)&lt;AE199,MAX(H199,I199)-AE199+AC199+AE199,MAX(H199,I199)+AC199),"")</f>
        <v/>
      </c>
      <c r="AG199" s="1082" t="str">
        <f t="shared" ref="AG199:AG262" si="27">IF(ISNUMBER(AH199),ABS(AH199-AI199)+1,"")</f>
        <v/>
      </c>
      <c r="AH199" s="1088"/>
      <c r="AI199" s="1087"/>
      <c r="AJ199" s="1084" t="str">
        <f t="shared" ref="AJ199:AJ262" si="28">IFERROR(IF(AF199&lt;AI199,((AF199-AI199)+AG199)+(AI199),AF199+AG199),"")</f>
        <v/>
      </c>
      <c r="AK199" s="1083" t="str">
        <f t="shared" ref="AK199:AK262" si="29">IF(ISNUMBER(AF199),MAX(AB199,AF199,AJ199),"")</f>
        <v/>
      </c>
      <c r="AL199" s="210">
        <v>708000</v>
      </c>
      <c r="AM199" s="210">
        <v>708000</v>
      </c>
      <c r="AN199" s="210">
        <v>708000</v>
      </c>
      <c r="AO199" s="210">
        <v>708000</v>
      </c>
      <c r="AP199" s="210"/>
      <c r="AQ199" s="210"/>
      <c r="AR199" s="210"/>
      <c r="AS199" s="210"/>
      <c r="AT199" s="210"/>
      <c r="AU199" s="210"/>
      <c r="AV199" s="210"/>
      <c r="AW199" s="210"/>
      <c r="AX199" s="210"/>
      <c r="AY199" s="210"/>
      <c r="AZ199" s="210"/>
      <c r="BA199" s="210"/>
      <c r="BB199" s="210"/>
      <c r="BC199" s="210"/>
      <c r="BD199" s="342">
        <v>41978</v>
      </c>
      <c r="BE199" s="82">
        <f t="shared" si="23"/>
        <v>2832000</v>
      </c>
    </row>
    <row r="200" spans="1:59" ht="34.5" hidden="1" customHeight="1" x14ac:dyDescent="0.3">
      <c r="A200" s="80">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7">
        <v>28000000</v>
      </c>
      <c r="G200" s="6">
        <v>41738</v>
      </c>
      <c r="H200" s="61">
        <v>41951</v>
      </c>
      <c r="I200" s="61"/>
      <c r="J200" s="162"/>
      <c r="K200" s="332"/>
      <c r="L200" s="162"/>
      <c r="M200" s="332"/>
      <c r="N200" s="162"/>
      <c r="O200" s="332"/>
      <c r="P200" s="162"/>
      <c r="Q200" s="332"/>
      <c r="R200" s="81">
        <f t="shared" ref="R200:R263" si="30">SUM(J200,L200,N200,P200)</f>
        <v>0</v>
      </c>
      <c r="S200" s="345"/>
      <c r="T200" s="343"/>
      <c r="U200" s="345"/>
      <c r="V200" s="343"/>
      <c r="W200" s="345"/>
      <c r="X200" s="343"/>
      <c r="Y200" s="345"/>
      <c r="Z200" s="343"/>
      <c r="AA200" s="349"/>
      <c r="AB200" s="1004" t="str">
        <f t="shared" si="24"/>
        <v/>
      </c>
      <c r="AC200" s="1082" t="str">
        <f t="shared" si="25"/>
        <v/>
      </c>
      <c r="AD200" s="1074"/>
      <c r="AE200" s="1074"/>
      <c r="AF200" s="1084" t="str">
        <f t="shared" si="26"/>
        <v/>
      </c>
      <c r="AG200" s="1082" t="str">
        <f t="shared" si="27"/>
        <v/>
      </c>
      <c r="AH200" s="1088"/>
      <c r="AI200" s="1087"/>
      <c r="AJ200" s="1084" t="str">
        <f t="shared" si="28"/>
        <v/>
      </c>
      <c r="AK200" s="1083" t="str">
        <f t="shared" si="29"/>
        <v/>
      </c>
      <c r="AL200" s="210">
        <v>1140280</v>
      </c>
      <c r="AM200" s="210">
        <v>1492920</v>
      </c>
      <c r="AN200" s="210">
        <v>1541060</v>
      </c>
      <c r="AO200" s="210">
        <v>4275760</v>
      </c>
      <c r="AP200" s="210">
        <v>2528220</v>
      </c>
      <c r="AQ200" s="210"/>
      <c r="AR200" s="210"/>
      <c r="AS200" s="210"/>
      <c r="AT200" s="210"/>
      <c r="AU200" s="210"/>
      <c r="AV200" s="210"/>
      <c r="AW200" s="210"/>
      <c r="AX200" s="210"/>
      <c r="AY200" s="210"/>
      <c r="AZ200" s="210"/>
      <c r="BA200" s="210"/>
      <c r="BB200" s="210"/>
      <c r="BC200" s="210"/>
      <c r="BD200" s="342">
        <v>42052</v>
      </c>
      <c r="BE200" s="82">
        <f t="shared" si="23"/>
        <v>10978240</v>
      </c>
    </row>
    <row r="201" spans="1:59" ht="34.5" hidden="1" customHeight="1" x14ac:dyDescent="0.3">
      <c r="A201" s="80">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7">
        <v>2122000</v>
      </c>
      <c r="G201" s="6">
        <v>41752</v>
      </c>
      <c r="H201" s="61">
        <v>42116</v>
      </c>
      <c r="I201" s="61"/>
      <c r="J201" s="162"/>
      <c r="K201" s="332"/>
      <c r="L201" s="162"/>
      <c r="M201" s="332"/>
      <c r="N201" s="162"/>
      <c r="O201" s="332"/>
      <c r="P201" s="162"/>
      <c r="Q201" s="332"/>
      <c r="R201" s="81">
        <f t="shared" si="30"/>
        <v>0</v>
      </c>
      <c r="S201" s="345"/>
      <c r="T201" s="343"/>
      <c r="U201" s="345"/>
      <c r="V201" s="343"/>
      <c r="W201" s="345"/>
      <c r="X201" s="343"/>
      <c r="Y201" s="345"/>
      <c r="Z201" s="343"/>
      <c r="AA201" s="349"/>
      <c r="AB201" s="1004" t="str">
        <f t="shared" si="24"/>
        <v/>
      </c>
      <c r="AC201" s="1082" t="str">
        <f t="shared" si="25"/>
        <v/>
      </c>
      <c r="AD201" s="1074"/>
      <c r="AE201" s="1074"/>
      <c r="AF201" s="1084" t="str">
        <f t="shared" si="26"/>
        <v/>
      </c>
      <c r="AG201" s="1082" t="str">
        <f t="shared" si="27"/>
        <v/>
      </c>
      <c r="AH201" s="1088"/>
      <c r="AI201" s="1087"/>
      <c r="AJ201" s="1084" t="str">
        <f t="shared" si="28"/>
        <v/>
      </c>
      <c r="AK201" s="1083" t="str">
        <f t="shared" si="29"/>
        <v/>
      </c>
      <c r="AL201" s="210">
        <v>725000</v>
      </c>
      <c r="AM201" s="210">
        <v>353800</v>
      </c>
      <c r="AN201" s="210">
        <v>847000</v>
      </c>
      <c r="AO201" s="210">
        <v>196200</v>
      </c>
      <c r="AP201" s="210"/>
      <c r="AQ201" s="210"/>
      <c r="AR201" s="210"/>
      <c r="AS201" s="210"/>
      <c r="AT201" s="210"/>
      <c r="AU201" s="210"/>
      <c r="AV201" s="210"/>
      <c r="AW201" s="210"/>
      <c r="AX201" s="210"/>
      <c r="AY201" s="210"/>
      <c r="AZ201" s="210"/>
      <c r="BA201" s="210"/>
      <c r="BB201" s="210"/>
      <c r="BC201" s="210"/>
      <c r="BD201" s="342">
        <v>42093</v>
      </c>
      <c r="BE201" s="82">
        <f t="shared" si="23"/>
        <v>2122000</v>
      </c>
    </row>
    <row r="202" spans="1:59" ht="34.5" hidden="1" customHeight="1" x14ac:dyDescent="0.3">
      <c r="A202" s="80">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7">
        <v>20872000</v>
      </c>
      <c r="G202" s="6">
        <v>41757</v>
      </c>
      <c r="H202" s="61">
        <v>42062</v>
      </c>
      <c r="I202" s="61"/>
      <c r="J202" s="162">
        <v>10346000</v>
      </c>
      <c r="K202" s="332">
        <v>42002</v>
      </c>
      <c r="L202" s="162"/>
      <c r="M202" s="332"/>
      <c r="N202" s="162"/>
      <c r="O202" s="332"/>
      <c r="P202" s="162"/>
      <c r="Q202" s="332"/>
      <c r="R202" s="81">
        <f t="shared" si="30"/>
        <v>10346000</v>
      </c>
      <c r="S202" s="345" t="s">
        <v>381</v>
      </c>
      <c r="T202" s="343">
        <v>42091</v>
      </c>
      <c r="U202" s="345"/>
      <c r="V202" s="343"/>
      <c r="W202" s="345"/>
      <c r="X202" s="343"/>
      <c r="Y202" s="345"/>
      <c r="Z202" s="343"/>
      <c r="AA202" s="349" t="s">
        <v>1594</v>
      </c>
      <c r="AB202" s="1004">
        <f t="shared" si="24"/>
        <v>42091</v>
      </c>
      <c r="AC202" s="1082" t="str">
        <f t="shared" si="25"/>
        <v/>
      </c>
      <c r="AD202" s="1074"/>
      <c r="AE202" s="1074"/>
      <c r="AF202" s="1084" t="str">
        <f t="shared" si="26"/>
        <v/>
      </c>
      <c r="AG202" s="1082" t="str">
        <f t="shared" si="27"/>
        <v/>
      </c>
      <c r="AH202" s="1088"/>
      <c r="AI202" s="1087"/>
      <c r="AJ202" s="1084" t="str">
        <f t="shared" si="28"/>
        <v/>
      </c>
      <c r="AK202" s="1083" t="str">
        <f t="shared" si="29"/>
        <v/>
      </c>
      <c r="AL202" s="210">
        <v>3156551</v>
      </c>
      <c r="AM202" s="210">
        <v>3448243</v>
      </c>
      <c r="AN202" s="210">
        <v>2224165</v>
      </c>
      <c r="AO202" s="210">
        <v>1857798</v>
      </c>
      <c r="AP202" s="210">
        <v>6957367</v>
      </c>
      <c r="AQ202" s="210">
        <v>2340699</v>
      </c>
      <c r="AR202" s="210">
        <v>9586604</v>
      </c>
      <c r="AS202" s="210"/>
      <c r="AT202" s="210"/>
      <c r="AU202" s="210"/>
      <c r="AV202" s="210"/>
      <c r="AW202" s="210"/>
      <c r="AX202" s="210"/>
      <c r="AY202" s="210"/>
      <c r="AZ202" s="210"/>
      <c r="BA202" s="210"/>
      <c r="BB202" s="210"/>
      <c r="BC202" s="210"/>
      <c r="BD202" s="342">
        <v>42131</v>
      </c>
      <c r="BE202" s="82">
        <f t="shared" ref="BE202:BE265" si="31">SUM(AL202:BC202)</f>
        <v>29571427</v>
      </c>
    </row>
    <row r="203" spans="1:59" ht="34.5" hidden="1" customHeight="1" x14ac:dyDescent="0.3">
      <c r="A203" s="80">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7">
        <v>12145200</v>
      </c>
      <c r="G203" s="6">
        <v>41764</v>
      </c>
      <c r="H203" s="61">
        <v>41855</v>
      </c>
      <c r="I203" s="61"/>
      <c r="J203" s="346">
        <v>6072600</v>
      </c>
      <c r="K203" s="332"/>
      <c r="L203" s="162"/>
      <c r="M203" s="332"/>
      <c r="N203" s="162"/>
      <c r="O203" s="332"/>
      <c r="P203" s="162"/>
      <c r="Q203" s="332"/>
      <c r="R203" s="81">
        <f t="shared" si="30"/>
        <v>6072600</v>
      </c>
      <c r="S203" s="345" t="s">
        <v>978</v>
      </c>
      <c r="T203" s="343">
        <v>41901</v>
      </c>
      <c r="U203" s="345"/>
      <c r="V203" s="343"/>
      <c r="W203" s="345"/>
      <c r="X203" s="343"/>
      <c r="Y203" s="345"/>
      <c r="Z203" s="343"/>
      <c r="AA203" s="349" t="s">
        <v>978</v>
      </c>
      <c r="AB203" s="1004">
        <f t="shared" si="24"/>
        <v>41901</v>
      </c>
      <c r="AC203" s="1082" t="str">
        <f t="shared" si="25"/>
        <v/>
      </c>
      <c r="AD203" s="1074"/>
      <c r="AE203" s="1074"/>
      <c r="AF203" s="1084" t="str">
        <f t="shared" si="26"/>
        <v/>
      </c>
      <c r="AG203" s="1082" t="str">
        <f t="shared" si="27"/>
        <v/>
      </c>
      <c r="AH203" s="1088"/>
      <c r="AI203" s="1087"/>
      <c r="AJ203" s="1084" t="str">
        <f t="shared" si="28"/>
        <v/>
      </c>
      <c r="AK203" s="1083" t="str">
        <f t="shared" si="29"/>
        <v/>
      </c>
      <c r="AL203" s="210">
        <v>4048400</v>
      </c>
      <c r="AM203" s="210">
        <v>4048400</v>
      </c>
      <c r="AN203" s="210">
        <v>4048400</v>
      </c>
      <c r="AO203" s="210">
        <v>6072600</v>
      </c>
      <c r="AP203" s="210"/>
      <c r="AQ203" s="210"/>
      <c r="AR203" s="210"/>
      <c r="AS203" s="210"/>
      <c r="AT203" s="210"/>
      <c r="AU203" s="210"/>
      <c r="AV203" s="210"/>
      <c r="AW203" s="210"/>
      <c r="AX203" s="210"/>
      <c r="AY203" s="210"/>
      <c r="AZ203" s="210"/>
      <c r="BA203" s="210"/>
      <c r="BB203" s="210"/>
      <c r="BC203" s="210"/>
      <c r="BD203" s="342">
        <v>0</v>
      </c>
      <c r="BE203" s="82">
        <f t="shared" si="31"/>
        <v>18217800</v>
      </c>
    </row>
    <row r="204" spans="1:59" ht="34.5" hidden="1" customHeight="1" x14ac:dyDescent="0.3">
      <c r="A204" s="80">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7">
        <v>1700007</v>
      </c>
      <c r="G204" s="6">
        <v>41757</v>
      </c>
      <c r="H204" s="61">
        <v>41817</v>
      </c>
      <c r="I204" s="61"/>
      <c r="J204" s="162"/>
      <c r="K204" s="332"/>
      <c r="L204" s="162"/>
      <c r="M204" s="332"/>
      <c r="N204" s="162"/>
      <c r="O204" s="332"/>
      <c r="P204" s="162"/>
      <c r="Q204" s="332"/>
      <c r="R204" s="81">
        <f t="shared" si="30"/>
        <v>0</v>
      </c>
      <c r="S204" s="345"/>
      <c r="T204" s="343"/>
      <c r="U204" s="345"/>
      <c r="V204" s="343"/>
      <c r="W204" s="345"/>
      <c r="X204" s="343"/>
      <c r="Y204" s="345"/>
      <c r="Z204" s="343"/>
      <c r="AA204" s="349"/>
      <c r="AB204" s="1004" t="str">
        <f t="shared" si="24"/>
        <v/>
      </c>
      <c r="AC204" s="1082" t="str">
        <f t="shared" si="25"/>
        <v/>
      </c>
      <c r="AD204" s="1074"/>
      <c r="AE204" s="1074"/>
      <c r="AF204" s="1084" t="str">
        <f t="shared" si="26"/>
        <v/>
      </c>
      <c r="AG204" s="1082" t="str">
        <f t="shared" si="27"/>
        <v/>
      </c>
      <c r="AH204" s="1088"/>
      <c r="AI204" s="1087"/>
      <c r="AJ204" s="1084" t="str">
        <f t="shared" si="28"/>
        <v/>
      </c>
      <c r="AK204" s="1083" t="str">
        <f t="shared" si="29"/>
        <v/>
      </c>
      <c r="AL204" s="210">
        <v>1700000</v>
      </c>
      <c r="AM204" s="210"/>
      <c r="AN204" s="210"/>
      <c r="AO204" s="210"/>
      <c r="AP204" s="210"/>
      <c r="AQ204" s="210"/>
      <c r="AR204" s="210"/>
      <c r="AS204" s="210"/>
      <c r="AT204" s="210"/>
      <c r="AU204" s="210"/>
      <c r="AV204" s="210"/>
      <c r="AW204" s="210"/>
      <c r="AX204" s="210"/>
      <c r="AY204" s="210"/>
      <c r="AZ204" s="210"/>
      <c r="BA204" s="210"/>
      <c r="BB204" s="210"/>
      <c r="BC204" s="210"/>
      <c r="BD204" s="342">
        <v>0</v>
      </c>
      <c r="BE204" s="82">
        <f t="shared" si="31"/>
        <v>1700000</v>
      </c>
    </row>
    <row r="205" spans="1:59" ht="34.5" hidden="1" customHeight="1" x14ac:dyDescent="0.3">
      <c r="A205" s="80">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7">
        <v>32631000</v>
      </c>
      <c r="G205" s="6">
        <v>41753</v>
      </c>
      <c r="H205" s="61">
        <v>42117</v>
      </c>
      <c r="I205" s="61"/>
      <c r="J205" s="162"/>
      <c r="K205" s="332"/>
      <c r="L205" s="162"/>
      <c r="M205" s="332"/>
      <c r="N205" s="162"/>
      <c r="O205" s="332"/>
      <c r="P205" s="162"/>
      <c r="Q205" s="332"/>
      <c r="R205" s="81">
        <f t="shared" si="30"/>
        <v>0</v>
      </c>
      <c r="S205" s="345"/>
      <c r="T205" s="343"/>
      <c r="U205" s="345"/>
      <c r="V205" s="343"/>
      <c r="W205" s="345"/>
      <c r="X205" s="343"/>
      <c r="Y205" s="345"/>
      <c r="Z205" s="343"/>
      <c r="AA205" s="349"/>
      <c r="AB205" s="1004" t="str">
        <f t="shared" si="24"/>
        <v/>
      </c>
      <c r="AC205" s="1082" t="str">
        <f t="shared" si="25"/>
        <v/>
      </c>
      <c r="AD205" s="1074"/>
      <c r="AE205" s="1074"/>
      <c r="AF205" s="1084" t="str">
        <f t="shared" si="26"/>
        <v/>
      </c>
      <c r="AG205" s="1082" t="str">
        <f t="shared" si="27"/>
        <v/>
      </c>
      <c r="AH205" s="1088"/>
      <c r="AI205" s="1087"/>
      <c r="AJ205" s="1084" t="str">
        <f t="shared" si="28"/>
        <v/>
      </c>
      <c r="AK205" s="1083" t="str">
        <f t="shared" si="29"/>
        <v/>
      </c>
      <c r="AL205" s="210">
        <v>10513943</v>
      </c>
      <c r="AM205" s="210">
        <v>2255957</v>
      </c>
      <c r="AN205" s="210">
        <v>3091983</v>
      </c>
      <c r="AO205" s="210">
        <v>16732748</v>
      </c>
      <c r="AP205" s="210"/>
      <c r="AQ205" s="210"/>
      <c r="AR205" s="210"/>
      <c r="AS205" s="210"/>
      <c r="AT205" s="210"/>
      <c r="AU205" s="210"/>
      <c r="AV205" s="210"/>
      <c r="AW205" s="210"/>
      <c r="AX205" s="210"/>
      <c r="AY205" s="210"/>
      <c r="AZ205" s="210"/>
      <c r="BA205" s="210"/>
      <c r="BB205" s="210"/>
      <c r="BC205" s="210"/>
      <c r="BD205" s="342">
        <v>42202</v>
      </c>
      <c r="BE205" s="82">
        <f t="shared" si="31"/>
        <v>32594631</v>
      </c>
    </row>
    <row r="206" spans="1:59" ht="34.5" hidden="1" customHeight="1" x14ac:dyDescent="0.3">
      <c r="A206" s="80">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7">
        <v>40000000</v>
      </c>
      <c r="G206" s="6">
        <v>41807</v>
      </c>
      <c r="H206" s="61">
        <v>42051</v>
      </c>
      <c r="I206" s="61"/>
      <c r="J206" s="162">
        <v>5100746</v>
      </c>
      <c r="K206" s="332">
        <v>42039</v>
      </c>
      <c r="L206" s="162"/>
      <c r="M206" s="332"/>
      <c r="N206" s="162"/>
      <c r="O206" s="332"/>
      <c r="P206" s="162"/>
      <c r="Q206" s="332"/>
      <c r="R206" s="81">
        <f t="shared" si="30"/>
        <v>5100746</v>
      </c>
      <c r="S206" s="345" t="s">
        <v>378</v>
      </c>
      <c r="T206" s="343">
        <v>42110</v>
      </c>
      <c r="U206" s="345" t="s">
        <v>1830</v>
      </c>
      <c r="V206" s="343">
        <v>42128</v>
      </c>
      <c r="W206" s="345"/>
      <c r="X206" s="343"/>
      <c r="Y206" s="345"/>
      <c r="Z206" s="343"/>
      <c r="AA206" s="349" t="s">
        <v>1831</v>
      </c>
      <c r="AB206" s="1004">
        <f t="shared" si="24"/>
        <v>42128</v>
      </c>
      <c r="AC206" s="1082" t="str">
        <f t="shared" si="25"/>
        <v/>
      </c>
      <c r="AD206" s="1074"/>
      <c r="AE206" s="1074"/>
      <c r="AF206" s="1084" t="str">
        <f t="shared" si="26"/>
        <v/>
      </c>
      <c r="AG206" s="1082" t="str">
        <f t="shared" si="27"/>
        <v/>
      </c>
      <c r="AH206" s="1088"/>
      <c r="AI206" s="1087"/>
      <c r="AJ206" s="1084" t="str">
        <f t="shared" si="28"/>
        <v/>
      </c>
      <c r="AK206" s="1083" t="str">
        <f t="shared" si="29"/>
        <v/>
      </c>
      <c r="AL206" s="210">
        <v>1923457</v>
      </c>
      <c r="AM206" s="210">
        <v>4140691</v>
      </c>
      <c r="AN206" s="210">
        <v>4156713</v>
      </c>
      <c r="AO206" s="210">
        <v>4268400</v>
      </c>
      <c r="AP206" s="210">
        <v>4254733</v>
      </c>
      <c r="AQ206" s="210">
        <v>4375845</v>
      </c>
      <c r="AR206" s="210">
        <v>4538426</v>
      </c>
      <c r="AS206" s="210">
        <v>4109588</v>
      </c>
      <c r="AT206" s="210">
        <v>8417580</v>
      </c>
      <c r="AU206" s="210">
        <v>4175272</v>
      </c>
      <c r="AV206" s="210">
        <v>684295</v>
      </c>
      <c r="AW206" s="210"/>
      <c r="AX206" s="210"/>
      <c r="AY206" s="210"/>
      <c r="AZ206" s="210"/>
      <c r="BA206" s="210"/>
      <c r="BB206" s="210"/>
      <c r="BC206" s="210"/>
      <c r="BD206" s="342">
        <v>42186</v>
      </c>
      <c r="BE206" s="82">
        <f t="shared" si="31"/>
        <v>45045000</v>
      </c>
    </row>
    <row r="207" spans="1:59" s="54" customFormat="1" ht="34.5" hidden="1" customHeight="1" x14ac:dyDescent="0.3">
      <c r="A207" s="80">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7">
        <v>0</v>
      </c>
      <c r="G207" s="124">
        <v>41782</v>
      </c>
      <c r="H207" s="124">
        <v>43607</v>
      </c>
      <c r="I207" s="124"/>
      <c r="J207" s="162"/>
      <c r="K207" s="332"/>
      <c r="L207" s="162"/>
      <c r="M207" s="332"/>
      <c r="N207" s="162"/>
      <c r="O207" s="332"/>
      <c r="P207" s="162"/>
      <c r="Q207" s="332"/>
      <c r="R207" s="81">
        <f t="shared" si="30"/>
        <v>0</v>
      </c>
      <c r="S207" s="345" t="s">
        <v>4938</v>
      </c>
      <c r="T207" s="343">
        <v>43890</v>
      </c>
      <c r="U207" s="345" t="s">
        <v>5550</v>
      </c>
      <c r="V207" s="343">
        <v>43921</v>
      </c>
      <c r="W207" s="345"/>
      <c r="X207" s="343"/>
      <c r="Y207" s="345"/>
      <c r="Z207" s="343"/>
      <c r="AA207" s="345" t="s">
        <v>5763</v>
      </c>
      <c r="AB207" s="1004">
        <f t="shared" si="24"/>
        <v>43921</v>
      </c>
      <c r="AC207" s="1082" t="str">
        <f t="shared" si="25"/>
        <v/>
      </c>
      <c r="AD207" s="1074"/>
      <c r="AE207" s="1074"/>
      <c r="AF207" s="1084" t="str">
        <f t="shared" si="26"/>
        <v/>
      </c>
      <c r="AG207" s="1082" t="str">
        <f t="shared" si="27"/>
        <v/>
      </c>
      <c r="AH207" s="1088"/>
      <c r="AI207" s="1087"/>
      <c r="AJ207" s="1084" t="str">
        <f t="shared" si="28"/>
        <v/>
      </c>
      <c r="AK207" s="1083" t="str">
        <f t="shared" si="29"/>
        <v/>
      </c>
      <c r="AL207" s="210"/>
      <c r="AM207" s="210"/>
      <c r="AN207" s="210"/>
      <c r="AO207" s="210"/>
      <c r="AP207" s="210"/>
      <c r="AQ207" s="210"/>
      <c r="AR207" s="210"/>
      <c r="AS207" s="210"/>
      <c r="AT207" s="210"/>
      <c r="AU207" s="210"/>
      <c r="AV207" s="210"/>
      <c r="AW207" s="210"/>
      <c r="AX207" s="210"/>
      <c r="AY207" s="210"/>
      <c r="AZ207" s="210"/>
      <c r="BA207" s="210"/>
      <c r="BB207" s="210"/>
      <c r="BC207" s="210"/>
      <c r="BD207" s="342">
        <v>0</v>
      </c>
      <c r="BE207" s="82">
        <f t="shared" si="31"/>
        <v>0</v>
      </c>
      <c r="BF207" s="13"/>
      <c r="BG207" s="1"/>
    </row>
    <row r="208" spans="1:59" ht="34.5" hidden="1" customHeight="1" x14ac:dyDescent="0.3">
      <c r="A208" s="80">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7">
        <v>9998117</v>
      </c>
      <c r="G208" s="6">
        <v>41794</v>
      </c>
      <c r="H208" s="61">
        <v>41855</v>
      </c>
      <c r="I208" s="61"/>
      <c r="J208" s="162"/>
      <c r="K208" s="332"/>
      <c r="L208" s="162"/>
      <c r="M208" s="332"/>
      <c r="N208" s="162"/>
      <c r="O208" s="332"/>
      <c r="P208" s="162"/>
      <c r="Q208" s="332"/>
      <c r="R208" s="81">
        <f t="shared" si="30"/>
        <v>0</v>
      </c>
      <c r="S208" s="345"/>
      <c r="T208" s="343"/>
      <c r="U208" s="345"/>
      <c r="V208" s="343"/>
      <c r="W208" s="345"/>
      <c r="X208" s="343"/>
      <c r="Y208" s="345"/>
      <c r="Z208" s="343"/>
      <c r="AA208" s="165"/>
      <c r="AB208" s="1004" t="str">
        <f t="shared" si="24"/>
        <v/>
      </c>
      <c r="AC208" s="1082" t="str">
        <f t="shared" si="25"/>
        <v/>
      </c>
      <c r="AD208" s="1074"/>
      <c r="AE208" s="1074"/>
      <c r="AF208" s="1084" t="str">
        <f t="shared" si="26"/>
        <v/>
      </c>
      <c r="AG208" s="1082" t="str">
        <f t="shared" si="27"/>
        <v/>
      </c>
      <c r="AH208" s="1088"/>
      <c r="AI208" s="1087"/>
      <c r="AJ208" s="1084" t="str">
        <f t="shared" si="28"/>
        <v/>
      </c>
      <c r="AK208" s="1083" t="str">
        <f t="shared" si="29"/>
        <v/>
      </c>
      <c r="AL208" s="210">
        <v>9998097</v>
      </c>
      <c r="AM208" s="210"/>
      <c r="AN208" s="210"/>
      <c r="AO208" s="210"/>
      <c r="AP208" s="210"/>
      <c r="AQ208" s="210"/>
      <c r="AR208" s="210"/>
      <c r="AS208" s="210"/>
      <c r="AT208" s="210"/>
      <c r="AU208" s="210"/>
      <c r="AV208" s="210"/>
      <c r="AW208" s="210"/>
      <c r="AX208" s="210"/>
      <c r="AY208" s="210"/>
      <c r="AZ208" s="210"/>
      <c r="BA208" s="210"/>
      <c r="BB208" s="210"/>
      <c r="BC208" s="210"/>
      <c r="BD208" s="342">
        <v>0</v>
      </c>
      <c r="BE208" s="82">
        <f t="shared" si="31"/>
        <v>9998097</v>
      </c>
    </row>
    <row r="209" spans="1:59" ht="34.5" hidden="1" customHeight="1" x14ac:dyDescent="0.3">
      <c r="A209" s="80">
        <v>203</v>
      </c>
      <c r="B209" s="2" t="str">
        <f>+'Base de Datos'!E209</f>
        <v>140260-0-2014</v>
      </c>
      <c r="C209" s="2" t="str">
        <f>+'Base de Datos'!F209</f>
        <v>IDENTICO SAS</v>
      </c>
      <c r="D209" s="2">
        <f>+'Base de Datos'!G209</f>
        <v>800199498</v>
      </c>
      <c r="E209" s="2" t="str">
        <f>+'Base de Datos'!H209</f>
        <v>Adquisición de impresoras de tarjetas para el Concejo de Bogotá, D.C.</v>
      </c>
      <c r="F209" s="7">
        <v>14975600</v>
      </c>
      <c r="G209" s="6">
        <v>41871</v>
      </c>
      <c r="H209" s="61">
        <v>41932</v>
      </c>
      <c r="I209" s="61"/>
      <c r="J209" s="162"/>
      <c r="K209" s="332"/>
      <c r="L209" s="162"/>
      <c r="M209" s="332"/>
      <c r="N209" s="162"/>
      <c r="O209" s="332"/>
      <c r="P209" s="162"/>
      <c r="Q209" s="332"/>
      <c r="R209" s="81">
        <f t="shared" si="30"/>
        <v>0</v>
      </c>
      <c r="S209" s="345"/>
      <c r="T209" s="343"/>
      <c r="U209" s="345"/>
      <c r="V209" s="343"/>
      <c r="W209" s="345"/>
      <c r="X209" s="343"/>
      <c r="Y209" s="345"/>
      <c r="Z209" s="343"/>
      <c r="AA209" s="349"/>
      <c r="AB209" s="1004" t="str">
        <f t="shared" si="24"/>
        <v/>
      </c>
      <c r="AC209" s="1082" t="str">
        <f t="shared" si="25"/>
        <v/>
      </c>
      <c r="AD209" s="1074"/>
      <c r="AE209" s="1074"/>
      <c r="AF209" s="1084" t="str">
        <f t="shared" si="26"/>
        <v/>
      </c>
      <c r="AG209" s="1082" t="str">
        <f t="shared" si="27"/>
        <v/>
      </c>
      <c r="AH209" s="1088"/>
      <c r="AI209" s="1087"/>
      <c r="AJ209" s="1084" t="str">
        <f t="shared" si="28"/>
        <v/>
      </c>
      <c r="AK209" s="1083" t="str">
        <f t="shared" si="29"/>
        <v/>
      </c>
      <c r="AL209" s="210">
        <v>14975600</v>
      </c>
      <c r="AM209" s="210"/>
      <c r="AN209" s="210"/>
      <c r="AO209" s="210"/>
      <c r="AP209" s="210"/>
      <c r="AQ209" s="210"/>
      <c r="AR209" s="210"/>
      <c r="AS209" s="210"/>
      <c r="AT209" s="210"/>
      <c r="AU209" s="210"/>
      <c r="AV209" s="210"/>
      <c r="AW209" s="210"/>
      <c r="AX209" s="210"/>
      <c r="AY209" s="210"/>
      <c r="AZ209" s="210"/>
      <c r="BA209" s="210"/>
      <c r="BB209" s="210"/>
      <c r="BC209" s="210"/>
      <c r="BD209" s="342">
        <v>41974</v>
      </c>
      <c r="BE209" s="82">
        <f t="shared" si="31"/>
        <v>14975600</v>
      </c>
    </row>
    <row r="210" spans="1:59" ht="34.5" hidden="1" customHeight="1" x14ac:dyDescent="0.3">
      <c r="A210" s="80">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7">
        <v>12000000</v>
      </c>
      <c r="G210" s="6">
        <v>41824</v>
      </c>
      <c r="H210" s="61">
        <v>42066</v>
      </c>
      <c r="I210" s="61"/>
      <c r="J210" s="162"/>
      <c r="K210" s="332"/>
      <c r="L210" s="162"/>
      <c r="M210" s="332"/>
      <c r="N210" s="162"/>
      <c r="O210" s="332"/>
      <c r="P210" s="162"/>
      <c r="Q210" s="332"/>
      <c r="R210" s="81">
        <f t="shared" si="30"/>
        <v>0</v>
      </c>
      <c r="S210" s="345" t="s">
        <v>378</v>
      </c>
      <c r="T210" s="343">
        <v>42128</v>
      </c>
      <c r="U210" s="345" t="s">
        <v>382</v>
      </c>
      <c r="V210" s="343">
        <v>42312</v>
      </c>
      <c r="W210" s="345"/>
      <c r="X210" s="343"/>
      <c r="Y210" s="345"/>
      <c r="Z210" s="343"/>
      <c r="AA210" s="349" t="s">
        <v>1854</v>
      </c>
      <c r="AB210" s="1004">
        <f t="shared" si="24"/>
        <v>42312</v>
      </c>
      <c r="AC210" s="1082" t="str">
        <f t="shared" si="25"/>
        <v/>
      </c>
      <c r="AD210" s="1074"/>
      <c r="AE210" s="1074"/>
      <c r="AF210" s="1084" t="str">
        <f t="shared" si="26"/>
        <v/>
      </c>
      <c r="AG210" s="1082" t="str">
        <f t="shared" si="27"/>
        <v/>
      </c>
      <c r="AH210" s="1088"/>
      <c r="AI210" s="1087"/>
      <c r="AJ210" s="1084" t="str">
        <f t="shared" si="28"/>
        <v/>
      </c>
      <c r="AK210" s="1083" t="str">
        <f t="shared" si="29"/>
        <v/>
      </c>
      <c r="AL210" s="210">
        <v>5250000</v>
      </c>
      <c r="AM210" s="210">
        <v>1800000</v>
      </c>
      <c r="AN210" s="210">
        <v>1500000</v>
      </c>
      <c r="AO210" s="210">
        <v>2250000</v>
      </c>
      <c r="AP210" s="210"/>
      <c r="AQ210" s="210"/>
      <c r="AR210" s="210"/>
      <c r="AS210" s="210"/>
      <c r="AT210" s="210"/>
      <c r="AU210" s="210"/>
      <c r="AV210" s="210"/>
      <c r="AW210" s="210"/>
      <c r="AX210" s="210"/>
      <c r="AY210" s="210"/>
      <c r="AZ210" s="210"/>
      <c r="BA210" s="210"/>
      <c r="BB210" s="210"/>
      <c r="BC210" s="210"/>
      <c r="BD210" s="342">
        <v>42347</v>
      </c>
      <c r="BE210" s="82">
        <f t="shared" si="31"/>
        <v>10800000</v>
      </c>
    </row>
    <row r="211" spans="1:59" ht="34.5" hidden="1" customHeight="1" x14ac:dyDescent="0.3">
      <c r="A211" s="80">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7">
        <v>5719790</v>
      </c>
      <c r="G211" s="6">
        <v>41807</v>
      </c>
      <c r="H211" s="61">
        <v>41867</v>
      </c>
      <c r="I211" s="61"/>
      <c r="J211" s="162"/>
      <c r="K211" s="332"/>
      <c r="L211" s="162"/>
      <c r="M211" s="332"/>
      <c r="N211" s="162"/>
      <c r="O211" s="332"/>
      <c r="P211" s="162"/>
      <c r="Q211" s="332"/>
      <c r="R211" s="81">
        <f t="shared" si="30"/>
        <v>0</v>
      </c>
      <c r="S211" s="345"/>
      <c r="T211" s="343"/>
      <c r="U211" s="345"/>
      <c r="V211" s="343"/>
      <c r="W211" s="345"/>
      <c r="X211" s="343"/>
      <c r="Y211" s="345"/>
      <c r="Z211" s="343"/>
      <c r="AA211" s="349"/>
      <c r="AB211" s="1004" t="str">
        <f t="shared" si="24"/>
        <v/>
      </c>
      <c r="AC211" s="1082" t="str">
        <f t="shared" si="25"/>
        <v/>
      </c>
      <c r="AD211" s="1074"/>
      <c r="AE211" s="1074"/>
      <c r="AF211" s="1084" t="str">
        <f t="shared" si="26"/>
        <v/>
      </c>
      <c r="AG211" s="1082" t="str">
        <f t="shared" si="27"/>
        <v/>
      </c>
      <c r="AH211" s="1088"/>
      <c r="AI211" s="1087"/>
      <c r="AJ211" s="1084" t="str">
        <f t="shared" si="28"/>
        <v/>
      </c>
      <c r="AK211" s="1083" t="str">
        <f t="shared" si="29"/>
        <v/>
      </c>
      <c r="AL211" s="210">
        <v>5719790</v>
      </c>
      <c r="AM211" s="210"/>
      <c r="AN211" s="210"/>
      <c r="AO211" s="210"/>
      <c r="AP211" s="210"/>
      <c r="AQ211" s="210"/>
      <c r="AR211" s="210"/>
      <c r="AS211" s="210"/>
      <c r="AT211" s="210"/>
      <c r="AU211" s="210"/>
      <c r="AV211" s="210"/>
      <c r="AW211" s="210"/>
      <c r="AX211" s="210"/>
      <c r="AY211" s="210"/>
      <c r="AZ211" s="210"/>
      <c r="BA211" s="210"/>
      <c r="BB211" s="210"/>
      <c r="BC211" s="210"/>
      <c r="BD211" s="342">
        <v>0</v>
      </c>
      <c r="BE211" s="82">
        <f t="shared" si="31"/>
        <v>5719790</v>
      </c>
    </row>
    <row r="212" spans="1:59" ht="34.5" hidden="1" customHeight="1" x14ac:dyDescent="0.3">
      <c r="A212" s="80">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7">
        <v>337487000</v>
      </c>
      <c r="G212" s="6">
        <v>41811</v>
      </c>
      <c r="H212" s="61">
        <v>42100</v>
      </c>
      <c r="I212" s="61"/>
      <c r="J212" s="162"/>
      <c r="K212" s="332"/>
      <c r="L212" s="162"/>
      <c r="M212" s="332"/>
      <c r="N212" s="162"/>
      <c r="O212" s="332"/>
      <c r="P212" s="162"/>
      <c r="Q212" s="332"/>
      <c r="R212" s="81">
        <f t="shared" si="30"/>
        <v>0</v>
      </c>
      <c r="S212" s="345" t="s">
        <v>1871</v>
      </c>
      <c r="T212" s="343">
        <v>42170</v>
      </c>
      <c r="U212" s="345" t="s">
        <v>2000</v>
      </c>
      <c r="V212" s="343">
        <v>42186</v>
      </c>
      <c r="W212" s="345"/>
      <c r="X212" s="343"/>
      <c r="Y212" s="345"/>
      <c r="Z212" s="343"/>
      <c r="AA212" s="349" t="s">
        <v>2001</v>
      </c>
      <c r="AB212" s="1004">
        <f t="shared" si="24"/>
        <v>42186</v>
      </c>
      <c r="AC212" s="1082" t="str">
        <f t="shared" si="25"/>
        <v/>
      </c>
      <c r="AD212" s="1074"/>
      <c r="AE212" s="1074"/>
      <c r="AF212" s="1084" t="str">
        <f t="shared" si="26"/>
        <v/>
      </c>
      <c r="AG212" s="1082" t="str">
        <f t="shared" si="27"/>
        <v/>
      </c>
      <c r="AH212" s="1088"/>
      <c r="AI212" s="1087"/>
      <c r="AJ212" s="1084" t="str">
        <f t="shared" si="28"/>
        <v/>
      </c>
      <c r="AK212" s="1083" t="str">
        <f t="shared" si="29"/>
        <v/>
      </c>
      <c r="AL212" s="210">
        <f>36075679+20547950</f>
        <v>56623629</v>
      </c>
      <c r="AM212" s="210">
        <v>27000234</v>
      </c>
      <c r="AN212" s="210">
        <v>29525003</v>
      </c>
      <c r="AO212" s="210">
        <v>27820759</v>
      </c>
      <c r="AP212" s="210">
        <v>30064104</v>
      </c>
      <c r="AQ212" s="210">
        <v>32042827</v>
      </c>
      <c r="AR212" s="210">
        <v>29899552</v>
      </c>
      <c r="AS212" s="210">
        <v>15669405</v>
      </c>
      <c r="AT212" s="210">
        <v>41063072</v>
      </c>
      <c r="AU212" s="210">
        <v>16587092</v>
      </c>
      <c r="AV212" s="210">
        <v>30675662</v>
      </c>
      <c r="AW212" s="210">
        <v>515659</v>
      </c>
      <c r="AX212" s="210"/>
      <c r="AY212" s="210"/>
      <c r="AZ212" s="210"/>
      <c r="BA212" s="210"/>
      <c r="BB212" s="210"/>
      <c r="BC212" s="210"/>
      <c r="BD212" s="342">
        <v>42894</v>
      </c>
      <c r="BE212" s="82">
        <f t="shared" si="31"/>
        <v>337486998</v>
      </c>
    </row>
    <row r="213" spans="1:59" ht="34.5" hidden="1" customHeight="1" x14ac:dyDescent="0.3">
      <c r="A213" s="80">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7">
        <v>2447846100</v>
      </c>
      <c r="G213" s="6">
        <v>41808</v>
      </c>
      <c r="H213" s="61">
        <v>42021</v>
      </c>
      <c r="I213" s="61"/>
      <c r="J213" s="162">
        <v>1015608000</v>
      </c>
      <c r="K213" s="332">
        <v>41989</v>
      </c>
      <c r="L213" s="162"/>
      <c r="M213" s="332"/>
      <c r="N213" s="162"/>
      <c r="O213" s="332"/>
      <c r="P213" s="162"/>
      <c r="Q213" s="332"/>
      <c r="R213" s="81">
        <f t="shared" si="30"/>
        <v>1015608000</v>
      </c>
      <c r="S213" s="345" t="s">
        <v>379</v>
      </c>
      <c r="T213" s="343">
        <v>42111</v>
      </c>
      <c r="U213" s="345" t="s">
        <v>1633</v>
      </c>
      <c r="V213" s="343">
        <v>42116</v>
      </c>
      <c r="W213" s="345"/>
      <c r="X213" s="343"/>
      <c r="Y213" s="345"/>
      <c r="Z213" s="343"/>
      <c r="AA213" s="349" t="s">
        <v>1634</v>
      </c>
      <c r="AB213" s="1004">
        <f t="shared" si="24"/>
        <v>42116</v>
      </c>
      <c r="AC213" s="1082" t="str">
        <f t="shared" si="25"/>
        <v/>
      </c>
      <c r="AD213" s="1074"/>
      <c r="AE213" s="1074"/>
      <c r="AF213" s="1084" t="str">
        <f t="shared" si="26"/>
        <v/>
      </c>
      <c r="AG213" s="1082" t="str">
        <f t="shared" si="27"/>
        <v/>
      </c>
      <c r="AH213" s="1088"/>
      <c r="AI213" s="1087"/>
      <c r="AJ213" s="1084" t="str">
        <f t="shared" si="28"/>
        <v/>
      </c>
      <c r="AK213" s="1083" t="str">
        <f t="shared" si="29"/>
        <v/>
      </c>
      <c r="AL213" s="210">
        <v>2203061490</v>
      </c>
      <c r="AM213" s="210">
        <v>1117202140</v>
      </c>
      <c r="AN213" s="210"/>
      <c r="AO213" s="210"/>
      <c r="AP213" s="210"/>
      <c r="AQ213" s="210"/>
      <c r="AR213" s="210"/>
      <c r="AS213" s="210"/>
      <c r="AT213" s="210"/>
      <c r="AU213" s="210"/>
      <c r="AV213" s="210"/>
      <c r="AW213" s="210"/>
      <c r="AX213" s="210"/>
      <c r="AY213" s="210"/>
      <c r="AZ213" s="210"/>
      <c r="BA213" s="210"/>
      <c r="BB213" s="210"/>
      <c r="BC213" s="210"/>
      <c r="BD213" s="342">
        <v>42200</v>
      </c>
      <c r="BE213" s="82">
        <f t="shared" si="31"/>
        <v>3320263630</v>
      </c>
    </row>
    <row r="214" spans="1:59" ht="34.5" hidden="1" customHeight="1" x14ac:dyDescent="0.3">
      <c r="A214" s="80">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7">
        <v>330000</v>
      </c>
      <c r="G214" s="6">
        <v>41841</v>
      </c>
      <c r="H214" s="61">
        <v>41872</v>
      </c>
      <c r="I214" s="61"/>
      <c r="J214" s="162"/>
      <c r="K214" s="332"/>
      <c r="L214" s="162"/>
      <c r="M214" s="332"/>
      <c r="N214" s="162"/>
      <c r="O214" s="332"/>
      <c r="P214" s="162"/>
      <c r="Q214" s="332"/>
      <c r="R214" s="81">
        <f t="shared" si="30"/>
        <v>0</v>
      </c>
      <c r="S214" s="345"/>
      <c r="T214" s="343"/>
      <c r="U214" s="345"/>
      <c r="V214" s="343"/>
      <c r="W214" s="345"/>
      <c r="X214" s="343"/>
      <c r="Y214" s="345"/>
      <c r="Z214" s="343"/>
      <c r="AA214" s="349"/>
      <c r="AB214" s="1004" t="str">
        <f t="shared" si="24"/>
        <v/>
      </c>
      <c r="AC214" s="1082" t="str">
        <f t="shared" si="25"/>
        <v/>
      </c>
      <c r="AD214" s="1074"/>
      <c r="AE214" s="1074"/>
      <c r="AF214" s="1084" t="str">
        <f t="shared" si="26"/>
        <v/>
      </c>
      <c r="AG214" s="1082" t="str">
        <f t="shared" si="27"/>
        <v/>
      </c>
      <c r="AH214" s="1088"/>
      <c r="AI214" s="1087"/>
      <c r="AJ214" s="1084" t="str">
        <f t="shared" si="28"/>
        <v/>
      </c>
      <c r="AK214" s="1083" t="str">
        <f t="shared" si="29"/>
        <v/>
      </c>
      <c r="AL214" s="210">
        <v>330000</v>
      </c>
      <c r="AM214" s="210"/>
      <c r="AN214" s="210"/>
      <c r="AO214" s="210"/>
      <c r="AP214" s="210"/>
      <c r="AQ214" s="210"/>
      <c r="AR214" s="210"/>
      <c r="AS214" s="210"/>
      <c r="AT214" s="210"/>
      <c r="AU214" s="210"/>
      <c r="AV214" s="210"/>
      <c r="AW214" s="210"/>
      <c r="AX214" s="210"/>
      <c r="AY214" s="210"/>
      <c r="AZ214" s="210"/>
      <c r="BA214" s="210"/>
      <c r="BB214" s="210"/>
      <c r="BC214" s="210"/>
      <c r="BD214" s="342">
        <v>0</v>
      </c>
      <c r="BE214" s="82">
        <f t="shared" si="31"/>
        <v>330000</v>
      </c>
    </row>
    <row r="215" spans="1:59" ht="34.5" hidden="1" customHeight="1" x14ac:dyDescent="0.3">
      <c r="A215" s="80">
        <v>209</v>
      </c>
      <c r="B215" s="2" t="str">
        <f>+'Base de Datos'!E215</f>
        <v>140220-0-2014</v>
      </c>
      <c r="C215" s="2" t="str">
        <f>+'Base de Datos'!F215</f>
        <v>ORGANIZACIÓN TERPEL S.A.</v>
      </c>
      <c r="D215" s="2">
        <f>+'Base de Datos'!G215</f>
        <v>830095213</v>
      </c>
      <c r="E215" s="2" t="str">
        <f>+'Base de Datos'!H215</f>
        <v>Suministro de combustible para el Concejo de Bogotá D.C.</v>
      </c>
      <c r="F215" s="7">
        <v>251750000</v>
      </c>
      <c r="G215" s="6">
        <v>41806</v>
      </c>
      <c r="H215" s="61">
        <v>41959</v>
      </c>
      <c r="I215" s="61"/>
      <c r="J215" s="162"/>
      <c r="K215" s="332"/>
      <c r="L215" s="162"/>
      <c r="M215" s="332"/>
      <c r="N215" s="162"/>
      <c r="O215" s="332"/>
      <c r="P215" s="162"/>
      <c r="Q215" s="332"/>
      <c r="R215" s="81">
        <f t="shared" si="30"/>
        <v>0</v>
      </c>
      <c r="S215" s="345"/>
      <c r="T215" s="343"/>
      <c r="U215" s="345"/>
      <c r="V215" s="343"/>
      <c r="W215" s="345"/>
      <c r="X215" s="343"/>
      <c r="Y215" s="345"/>
      <c r="Z215" s="343"/>
      <c r="AA215" s="349"/>
      <c r="AB215" s="1004" t="str">
        <f t="shared" si="24"/>
        <v/>
      </c>
      <c r="AC215" s="1082" t="str">
        <f t="shared" si="25"/>
        <v/>
      </c>
      <c r="AD215" s="1074"/>
      <c r="AE215" s="1074"/>
      <c r="AF215" s="1084" t="str">
        <f t="shared" si="26"/>
        <v/>
      </c>
      <c r="AG215" s="1082" t="str">
        <f t="shared" si="27"/>
        <v/>
      </c>
      <c r="AH215" s="1088"/>
      <c r="AI215" s="1087"/>
      <c r="AJ215" s="1084" t="str">
        <f t="shared" si="28"/>
        <v/>
      </c>
      <c r="AK215" s="1083" t="str">
        <f t="shared" si="29"/>
        <v/>
      </c>
      <c r="AL215" s="210">
        <v>23482811</v>
      </c>
      <c r="AM215" s="210">
        <v>20187835</v>
      </c>
      <c r="AN215" s="210">
        <v>19847211</v>
      </c>
      <c r="AO215" s="210">
        <v>18636522</v>
      </c>
      <c r="AP215" s="210">
        <v>20682732</v>
      </c>
      <c r="AQ215" s="210">
        <v>18155074</v>
      </c>
      <c r="AR215" s="210">
        <v>16788023</v>
      </c>
      <c r="AS215" s="210">
        <v>21612754</v>
      </c>
      <c r="AT215" s="210">
        <v>20158094</v>
      </c>
      <c r="AU215" s="210">
        <v>635625</v>
      </c>
      <c r="AV215" s="210"/>
      <c r="AW215" s="210"/>
      <c r="AX215" s="210"/>
      <c r="AY215" s="210"/>
      <c r="AZ215" s="210"/>
      <c r="BA215" s="210"/>
      <c r="BB215" s="210"/>
      <c r="BC215" s="210"/>
      <c r="BD215" s="342">
        <v>41999</v>
      </c>
      <c r="BE215" s="82">
        <f t="shared" si="31"/>
        <v>180186681</v>
      </c>
    </row>
    <row r="216" spans="1:59" s="54" customFormat="1" ht="34.5" hidden="1" customHeight="1" x14ac:dyDescent="0.3">
      <c r="A216" s="80">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26">
        <v>6252000</v>
      </c>
      <c r="G216" s="124">
        <v>39864</v>
      </c>
      <c r="H216" s="124">
        <v>41476</v>
      </c>
      <c r="I216" s="124"/>
      <c r="J216" s="162"/>
      <c r="K216" s="332"/>
      <c r="L216" s="162"/>
      <c r="M216" s="332"/>
      <c r="N216" s="162"/>
      <c r="O216" s="332"/>
      <c r="P216" s="162"/>
      <c r="Q216" s="332"/>
      <c r="R216" s="81">
        <f t="shared" si="30"/>
        <v>0</v>
      </c>
      <c r="S216" s="345"/>
      <c r="T216" s="343"/>
      <c r="U216" s="345"/>
      <c r="V216" s="343"/>
      <c r="W216" s="345"/>
      <c r="X216" s="343"/>
      <c r="Y216" s="345"/>
      <c r="Z216" s="343"/>
      <c r="AA216" s="349"/>
      <c r="AB216" s="1004" t="str">
        <f t="shared" si="24"/>
        <v/>
      </c>
      <c r="AC216" s="1082" t="str">
        <f t="shared" si="25"/>
        <v/>
      </c>
      <c r="AD216" s="1074"/>
      <c r="AE216" s="1074"/>
      <c r="AF216" s="1084" t="str">
        <f t="shared" si="26"/>
        <v/>
      </c>
      <c r="AG216" s="1082" t="str">
        <f t="shared" si="27"/>
        <v/>
      </c>
      <c r="AH216" s="1088"/>
      <c r="AI216" s="1087"/>
      <c r="AJ216" s="1084" t="str">
        <f t="shared" si="28"/>
        <v/>
      </c>
      <c r="AK216" s="1083" t="str">
        <f t="shared" si="29"/>
        <v/>
      </c>
      <c r="AL216" s="210">
        <v>800000</v>
      </c>
      <c r="AM216" s="210">
        <v>4865189</v>
      </c>
      <c r="AN216" s="210"/>
      <c r="AO216" s="210"/>
      <c r="AP216" s="210"/>
      <c r="AQ216" s="210"/>
      <c r="AR216" s="210"/>
      <c r="AS216" s="210"/>
      <c r="AT216" s="210"/>
      <c r="AU216" s="210"/>
      <c r="AV216" s="210"/>
      <c r="AW216" s="210"/>
      <c r="AX216" s="210"/>
      <c r="AY216" s="210"/>
      <c r="AZ216" s="210"/>
      <c r="BA216" s="210"/>
      <c r="BB216" s="210"/>
      <c r="BC216" s="210"/>
      <c r="BD216" s="342">
        <v>42251</v>
      </c>
      <c r="BE216" s="82">
        <f t="shared" si="31"/>
        <v>5665189</v>
      </c>
      <c r="BF216" s="13"/>
      <c r="BG216" s="1"/>
    </row>
    <row r="217" spans="1:59" ht="34.5" hidden="1" customHeight="1" x14ac:dyDescent="0.3">
      <c r="A217" s="80">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7">
        <v>2962640</v>
      </c>
      <c r="G217" s="6">
        <v>41838</v>
      </c>
      <c r="H217" s="61">
        <v>41852</v>
      </c>
      <c r="I217" s="61"/>
      <c r="J217" s="162"/>
      <c r="K217" s="332"/>
      <c r="L217" s="162"/>
      <c r="M217" s="332"/>
      <c r="N217" s="162"/>
      <c r="O217" s="332"/>
      <c r="P217" s="162"/>
      <c r="Q217" s="332"/>
      <c r="R217" s="81">
        <f t="shared" si="30"/>
        <v>0</v>
      </c>
      <c r="S217" s="345"/>
      <c r="T217" s="343"/>
      <c r="U217" s="345"/>
      <c r="V217" s="343"/>
      <c r="W217" s="345"/>
      <c r="X217" s="343"/>
      <c r="Y217" s="345"/>
      <c r="Z217" s="343"/>
      <c r="AA217" s="349"/>
      <c r="AB217" s="1004" t="str">
        <f t="shared" si="24"/>
        <v/>
      </c>
      <c r="AC217" s="1082" t="str">
        <f t="shared" si="25"/>
        <v/>
      </c>
      <c r="AD217" s="1074"/>
      <c r="AE217" s="1074"/>
      <c r="AF217" s="1084" t="str">
        <f t="shared" si="26"/>
        <v/>
      </c>
      <c r="AG217" s="1082" t="str">
        <f t="shared" si="27"/>
        <v/>
      </c>
      <c r="AH217" s="1088"/>
      <c r="AI217" s="1087"/>
      <c r="AJ217" s="1084" t="str">
        <f t="shared" si="28"/>
        <v/>
      </c>
      <c r="AK217" s="1083" t="str">
        <f t="shared" si="29"/>
        <v/>
      </c>
      <c r="AL217" s="210">
        <v>2962640</v>
      </c>
      <c r="AM217" s="210"/>
      <c r="AN217" s="210"/>
      <c r="AO217" s="210"/>
      <c r="AP217" s="210"/>
      <c r="AQ217" s="210"/>
      <c r="AR217" s="210"/>
      <c r="AS217" s="210"/>
      <c r="AT217" s="210"/>
      <c r="AU217" s="210"/>
      <c r="AV217" s="210"/>
      <c r="AW217" s="210"/>
      <c r="AX217" s="210"/>
      <c r="AY217" s="210"/>
      <c r="AZ217" s="210"/>
      <c r="BA217" s="210"/>
      <c r="BB217" s="210"/>
      <c r="BC217" s="210"/>
      <c r="BD217" s="342">
        <v>0</v>
      </c>
      <c r="BE217" s="82">
        <f t="shared" si="31"/>
        <v>2962640</v>
      </c>
    </row>
    <row r="218" spans="1:59" ht="34.5" hidden="1" customHeight="1" x14ac:dyDescent="0.3">
      <c r="A218" s="80">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7">
        <v>36581760</v>
      </c>
      <c r="G218" s="6">
        <v>41821</v>
      </c>
      <c r="H218" s="61">
        <v>42093</v>
      </c>
      <c r="I218" s="61"/>
      <c r="J218" s="162"/>
      <c r="K218" s="332"/>
      <c r="L218" s="162"/>
      <c r="M218" s="332"/>
      <c r="N218" s="162"/>
      <c r="O218" s="332"/>
      <c r="P218" s="162"/>
      <c r="Q218" s="332"/>
      <c r="R218" s="81">
        <f t="shared" si="30"/>
        <v>0</v>
      </c>
      <c r="S218" s="345" t="s">
        <v>379</v>
      </c>
      <c r="T218" s="343">
        <v>42186</v>
      </c>
      <c r="U218" s="345"/>
      <c r="V218" s="343"/>
      <c r="W218" s="345"/>
      <c r="X218" s="343"/>
      <c r="Y218" s="345"/>
      <c r="Z218" s="343"/>
      <c r="AA218" s="349" t="s">
        <v>379</v>
      </c>
      <c r="AB218" s="1004">
        <f t="shared" si="24"/>
        <v>42186</v>
      </c>
      <c r="AC218" s="1082" t="str">
        <f t="shared" si="25"/>
        <v/>
      </c>
      <c r="AD218" s="1074"/>
      <c r="AE218" s="1074"/>
      <c r="AF218" s="1084" t="str">
        <f t="shared" si="26"/>
        <v/>
      </c>
      <c r="AG218" s="1082" t="str">
        <f t="shared" si="27"/>
        <v/>
      </c>
      <c r="AH218" s="1088"/>
      <c r="AI218" s="1087"/>
      <c r="AJ218" s="1084" t="str">
        <f t="shared" si="28"/>
        <v/>
      </c>
      <c r="AK218" s="1083" t="str">
        <f t="shared" si="29"/>
        <v/>
      </c>
      <c r="AL218" s="210">
        <v>4296408</v>
      </c>
      <c r="AM218" s="210">
        <v>3176950</v>
      </c>
      <c r="AN218" s="210">
        <v>3581732</v>
      </c>
      <c r="AO218" s="210">
        <v>2806562</v>
      </c>
      <c r="AP218" s="210">
        <v>2691896</v>
      </c>
      <c r="AQ218" s="210">
        <v>2021706</v>
      </c>
      <c r="AR218" s="210">
        <v>2168910</v>
      </c>
      <c r="AS218" s="210">
        <v>2840318</v>
      </c>
      <c r="AT218" s="210">
        <v>3050684</v>
      </c>
      <c r="AU218" s="210">
        <v>2658778</v>
      </c>
      <c r="AV218" s="210">
        <v>2694854</v>
      </c>
      <c r="AW218" s="210">
        <v>2374520</v>
      </c>
      <c r="AX218" s="210"/>
      <c r="AY218" s="210"/>
      <c r="AZ218" s="210"/>
      <c r="BA218" s="210"/>
      <c r="BB218" s="210"/>
      <c r="BC218" s="210"/>
      <c r="BD218" s="342">
        <v>42201</v>
      </c>
      <c r="BE218" s="82">
        <f t="shared" si="31"/>
        <v>34363318</v>
      </c>
    </row>
    <row r="219" spans="1:59" ht="34.5" hidden="1" customHeight="1" x14ac:dyDescent="0.3">
      <c r="A219" s="80">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7">
        <v>16390000</v>
      </c>
      <c r="G219" s="6">
        <v>41799</v>
      </c>
      <c r="H219" s="61">
        <v>42193</v>
      </c>
      <c r="I219" s="61"/>
      <c r="J219" s="162">
        <v>2324400</v>
      </c>
      <c r="K219" s="332">
        <v>42194</v>
      </c>
      <c r="L219" s="162"/>
      <c r="M219" s="332"/>
      <c r="N219" s="162"/>
      <c r="O219" s="332"/>
      <c r="P219" s="162"/>
      <c r="Q219" s="332"/>
      <c r="R219" s="81">
        <f t="shared" si="30"/>
        <v>2324400</v>
      </c>
      <c r="S219" s="345" t="s">
        <v>2088</v>
      </c>
      <c r="T219" s="343">
        <v>42247</v>
      </c>
      <c r="U219" s="345"/>
      <c r="V219" s="343"/>
      <c r="W219" s="345"/>
      <c r="X219" s="343"/>
      <c r="Y219" s="345"/>
      <c r="Z219" s="343"/>
      <c r="AA219" s="349" t="s">
        <v>2088</v>
      </c>
      <c r="AB219" s="1004">
        <f t="shared" si="24"/>
        <v>42247</v>
      </c>
      <c r="AC219" s="1082" t="str">
        <f t="shared" si="25"/>
        <v/>
      </c>
      <c r="AD219" s="1074"/>
      <c r="AE219" s="1074"/>
      <c r="AF219" s="1084" t="str">
        <f t="shared" si="26"/>
        <v/>
      </c>
      <c r="AG219" s="1082" t="str">
        <f t="shared" si="27"/>
        <v/>
      </c>
      <c r="AH219" s="1088"/>
      <c r="AI219" s="1087"/>
      <c r="AJ219" s="1084" t="str">
        <f t="shared" si="28"/>
        <v/>
      </c>
      <c r="AK219" s="1083" t="str">
        <f t="shared" si="29"/>
        <v/>
      </c>
      <c r="AL219" s="210">
        <v>1341000</v>
      </c>
      <c r="AM219" s="210">
        <v>2682000</v>
      </c>
      <c r="AN219" s="210">
        <v>6705000</v>
      </c>
      <c r="AO219" s="210">
        <v>1341000</v>
      </c>
      <c r="AP219" s="210">
        <v>2682000</v>
      </c>
      <c r="AQ219" s="210">
        <v>1341000</v>
      </c>
      <c r="AR219" s="210">
        <v>983400</v>
      </c>
      <c r="AS219" s="210">
        <v>1639000</v>
      </c>
      <c r="AT219" s="210"/>
      <c r="AU219" s="210"/>
      <c r="AV219" s="210"/>
      <c r="AW219" s="210"/>
      <c r="AX219" s="210"/>
      <c r="AY219" s="210"/>
      <c r="AZ219" s="210"/>
      <c r="BA219" s="210"/>
      <c r="BB219" s="210"/>
      <c r="BC219" s="210"/>
      <c r="BD219" s="342">
        <v>42612</v>
      </c>
      <c r="BE219" s="82">
        <f t="shared" si="31"/>
        <v>18714400</v>
      </c>
    </row>
    <row r="220" spans="1:59" ht="34.5" hidden="1" customHeight="1" x14ac:dyDescent="0.3">
      <c r="A220" s="80">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7">
        <v>683000</v>
      </c>
      <c r="G220" s="6">
        <v>41838</v>
      </c>
      <c r="H220" s="61">
        <v>42203</v>
      </c>
      <c r="I220" s="61"/>
      <c r="J220" s="162"/>
      <c r="K220" s="332"/>
      <c r="L220" s="162"/>
      <c r="M220" s="332"/>
      <c r="N220" s="162"/>
      <c r="O220" s="332"/>
      <c r="P220" s="162"/>
      <c r="Q220" s="332"/>
      <c r="R220" s="81">
        <f t="shared" si="30"/>
        <v>0</v>
      </c>
      <c r="S220" s="345"/>
      <c r="T220" s="343"/>
      <c r="U220" s="345"/>
      <c r="V220" s="343"/>
      <c r="W220" s="345"/>
      <c r="X220" s="343"/>
      <c r="Y220" s="345"/>
      <c r="Z220" s="343"/>
      <c r="AA220" s="349"/>
      <c r="AB220" s="1004" t="str">
        <f t="shared" si="24"/>
        <v/>
      </c>
      <c r="AC220" s="1082" t="str">
        <f t="shared" si="25"/>
        <v/>
      </c>
      <c r="AD220" s="1074"/>
      <c r="AE220" s="1074"/>
      <c r="AF220" s="1084" t="str">
        <f t="shared" si="26"/>
        <v/>
      </c>
      <c r="AG220" s="1082" t="str">
        <f t="shared" si="27"/>
        <v/>
      </c>
      <c r="AH220" s="1088"/>
      <c r="AI220" s="1087"/>
      <c r="AJ220" s="1084" t="str">
        <f t="shared" si="28"/>
        <v/>
      </c>
      <c r="AK220" s="1083" t="str">
        <f t="shared" si="29"/>
        <v/>
      </c>
      <c r="AL220" s="210">
        <v>683000</v>
      </c>
      <c r="AM220" s="210"/>
      <c r="AN220" s="210"/>
      <c r="AO220" s="210"/>
      <c r="AP220" s="210"/>
      <c r="AQ220" s="210"/>
      <c r="AR220" s="210"/>
      <c r="AS220" s="210"/>
      <c r="AT220" s="210"/>
      <c r="AU220" s="210"/>
      <c r="AV220" s="210"/>
      <c r="AW220" s="210"/>
      <c r="AX220" s="210"/>
      <c r="AY220" s="210"/>
      <c r="AZ220" s="210"/>
      <c r="BA220" s="210"/>
      <c r="BB220" s="210"/>
      <c r="BC220" s="210"/>
      <c r="BD220" s="342">
        <v>0</v>
      </c>
      <c r="BE220" s="82">
        <f t="shared" si="31"/>
        <v>683000</v>
      </c>
    </row>
    <row r="221" spans="1:59" ht="34.5" hidden="1" customHeight="1" x14ac:dyDescent="0.3">
      <c r="A221" s="80">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7">
        <v>4672000</v>
      </c>
      <c r="G221" s="6">
        <v>41835</v>
      </c>
      <c r="H221" s="61">
        <v>42050</v>
      </c>
      <c r="I221" s="61"/>
      <c r="J221" s="162"/>
      <c r="K221" s="332"/>
      <c r="L221" s="162"/>
      <c r="M221" s="332"/>
      <c r="N221" s="162"/>
      <c r="O221" s="332"/>
      <c r="P221" s="162"/>
      <c r="Q221" s="332"/>
      <c r="R221" s="81">
        <f t="shared" si="30"/>
        <v>0</v>
      </c>
      <c r="S221" s="345"/>
      <c r="T221" s="343"/>
      <c r="U221" s="345"/>
      <c r="V221" s="343"/>
      <c r="W221" s="345"/>
      <c r="X221" s="343"/>
      <c r="Y221" s="345"/>
      <c r="Z221" s="343"/>
      <c r="AA221" s="349"/>
      <c r="AB221" s="1004" t="str">
        <f t="shared" si="24"/>
        <v/>
      </c>
      <c r="AC221" s="1082" t="str">
        <f t="shared" si="25"/>
        <v/>
      </c>
      <c r="AD221" s="1074"/>
      <c r="AE221" s="1074"/>
      <c r="AF221" s="1084" t="str">
        <f t="shared" si="26"/>
        <v/>
      </c>
      <c r="AG221" s="1082" t="str">
        <f t="shared" si="27"/>
        <v/>
      </c>
      <c r="AH221" s="1088"/>
      <c r="AI221" s="1087"/>
      <c r="AJ221" s="1084" t="str">
        <f t="shared" si="28"/>
        <v/>
      </c>
      <c r="AK221" s="1083" t="str">
        <f t="shared" si="29"/>
        <v/>
      </c>
      <c r="AL221" s="210">
        <v>804000</v>
      </c>
      <c r="AM221" s="210">
        <v>508200</v>
      </c>
      <c r="AN221" s="210">
        <v>494000</v>
      </c>
      <c r="AO221" s="210"/>
      <c r="AP221" s="210"/>
      <c r="AQ221" s="210"/>
      <c r="AR221" s="210"/>
      <c r="AS221" s="210"/>
      <c r="AT221" s="210"/>
      <c r="AU221" s="210"/>
      <c r="AV221" s="210"/>
      <c r="AW221" s="210"/>
      <c r="AX221" s="210"/>
      <c r="AY221" s="210"/>
      <c r="AZ221" s="210"/>
      <c r="BA221" s="210"/>
      <c r="BB221" s="210"/>
      <c r="BC221" s="210"/>
      <c r="BD221" s="342">
        <v>42087</v>
      </c>
      <c r="BE221" s="82">
        <f t="shared" si="31"/>
        <v>1806200</v>
      </c>
    </row>
    <row r="222" spans="1:59" ht="34.5" hidden="1" customHeight="1" x14ac:dyDescent="0.3">
      <c r="A222" s="80">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7">
        <v>65200000</v>
      </c>
      <c r="G222" s="6">
        <v>41835</v>
      </c>
      <c r="H222" s="61">
        <v>42078</v>
      </c>
      <c r="I222" s="61"/>
      <c r="J222" s="162"/>
      <c r="K222" s="332"/>
      <c r="L222" s="162"/>
      <c r="M222" s="332"/>
      <c r="N222" s="162"/>
      <c r="O222" s="332"/>
      <c r="P222" s="162"/>
      <c r="Q222" s="332"/>
      <c r="R222" s="81">
        <f t="shared" si="30"/>
        <v>0</v>
      </c>
      <c r="S222" s="345"/>
      <c r="T222" s="343"/>
      <c r="U222" s="345"/>
      <c r="V222" s="343"/>
      <c r="W222" s="345"/>
      <c r="X222" s="343"/>
      <c r="Y222" s="345"/>
      <c r="Z222" s="343"/>
      <c r="AA222" s="349"/>
      <c r="AB222" s="1004" t="str">
        <f t="shared" si="24"/>
        <v/>
      </c>
      <c r="AC222" s="1082" t="str">
        <f t="shared" si="25"/>
        <v/>
      </c>
      <c r="AD222" s="1074"/>
      <c r="AE222" s="1074"/>
      <c r="AF222" s="1084" t="str">
        <f t="shared" si="26"/>
        <v/>
      </c>
      <c r="AG222" s="1082" t="str">
        <f t="shared" si="27"/>
        <v/>
      </c>
      <c r="AH222" s="1088"/>
      <c r="AI222" s="1087"/>
      <c r="AJ222" s="1084" t="str">
        <f t="shared" si="28"/>
        <v/>
      </c>
      <c r="AK222" s="1083" t="str">
        <f t="shared" si="29"/>
        <v/>
      </c>
      <c r="AL222" s="210"/>
      <c r="AM222" s="210"/>
      <c r="AN222" s="210"/>
      <c r="AO222" s="210"/>
      <c r="AP222" s="210"/>
      <c r="AQ222" s="210"/>
      <c r="AR222" s="210"/>
      <c r="AS222" s="210"/>
      <c r="AT222" s="210"/>
      <c r="AU222" s="210"/>
      <c r="AV222" s="210"/>
      <c r="AW222" s="210"/>
      <c r="AX222" s="210"/>
      <c r="AY222" s="210"/>
      <c r="AZ222" s="210"/>
      <c r="BA222" s="210"/>
      <c r="BB222" s="210"/>
      <c r="BC222" s="210"/>
      <c r="BD222" s="342">
        <v>0</v>
      </c>
      <c r="BE222" s="82">
        <f t="shared" si="31"/>
        <v>0</v>
      </c>
    </row>
    <row r="223" spans="1:59" s="54" customFormat="1" ht="34.5" hidden="1" customHeight="1" x14ac:dyDescent="0.3">
      <c r="A223" s="80">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26">
        <v>3846133</v>
      </c>
      <c r="G223" s="124">
        <v>41837</v>
      </c>
      <c r="H223" s="124">
        <v>42202</v>
      </c>
      <c r="I223" s="124"/>
      <c r="J223" s="162"/>
      <c r="K223" s="332"/>
      <c r="L223" s="162"/>
      <c r="M223" s="332"/>
      <c r="N223" s="162"/>
      <c r="O223" s="332"/>
      <c r="P223" s="162"/>
      <c r="Q223" s="332"/>
      <c r="R223" s="81">
        <f t="shared" si="30"/>
        <v>0</v>
      </c>
      <c r="S223" s="345"/>
      <c r="T223" s="343"/>
      <c r="U223" s="345"/>
      <c r="V223" s="343"/>
      <c r="W223" s="345"/>
      <c r="X223" s="343"/>
      <c r="Y223" s="345"/>
      <c r="Z223" s="343"/>
      <c r="AA223" s="349"/>
      <c r="AB223" s="1004" t="str">
        <f t="shared" si="24"/>
        <v/>
      </c>
      <c r="AC223" s="1082" t="str">
        <f t="shared" si="25"/>
        <v/>
      </c>
      <c r="AD223" s="1074"/>
      <c r="AE223" s="1074"/>
      <c r="AF223" s="1084" t="str">
        <f t="shared" si="26"/>
        <v/>
      </c>
      <c r="AG223" s="1082" t="str">
        <f t="shared" si="27"/>
        <v/>
      </c>
      <c r="AH223" s="1088"/>
      <c r="AI223" s="1087"/>
      <c r="AJ223" s="1084" t="str">
        <f t="shared" si="28"/>
        <v/>
      </c>
      <c r="AK223" s="1083" t="str">
        <f t="shared" si="29"/>
        <v/>
      </c>
      <c r="AL223" s="210">
        <v>609000</v>
      </c>
      <c r="AM223" s="210">
        <v>1383434</v>
      </c>
      <c r="AN223" s="210">
        <v>1275090</v>
      </c>
      <c r="AO223" s="210">
        <v>3085238</v>
      </c>
      <c r="AP223" s="210">
        <v>3702395</v>
      </c>
      <c r="AQ223" s="210"/>
      <c r="AR223" s="210"/>
      <c r="AS223" s="210"/>
      <c r="AT223" s="210"/>
      <c r="AU223" s="210"/>
      <c r="AV223" s="210"/>
      <c r="AW223" s="210"/>
      <c r="AX223" s="210"/>
      <c r="AY223" s="210"/>
      <c r="AZ223" s="210"/>
      <c r="BA223" s="210"/>
      <c r="BB223" s="210"/>
      <c r="BC223" s="210"/>
      <c r="BD223" s="342">
        <v>42139</v>
      </c>
      <c r="BE223" s="82">
        <f t="shared" si="31"/>
        <v>10055157</v>
      </c>
      <c r="BF223" s="13"/>
      <c r="BG223" s="1"/>
    </row>
    <row r="224" spans="1:59" ht="34.5" hidden="1" customHeight="1" x14ac:dyDescent="0.3">
      <c r="A224" s="80">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7">
        <v>2228070</v>
      </c>
      <c r="G224" s="6">
        <v>41842</v>
      </c>
      <c r="H224" s="61">
        <v>41965</v>
      </c>
      <c r="I224" s="61"/>
      <c r="J224" s="162"/>
      <c r="K224" s="332"/>
      <c r="L224" s="162"/>
      <c r="M224" s="332"/>
      <c r="N224" s="162"/>
      <c r="O224" s="332"/>
      <c r="P224" s="162"/>
      <c r="Q224" s="332"/>
      <c r="R224" s="81">
        <f t="shared" si="30"/>
        <v>0</v>
      </c>
      <c r="S224" s="345" t="s">
        <v>964</v>
      </c>
      <c r="T224" s="343">
        <v>42216</v>
      </c>
      <c r="U224" s="345"/>
      <c r="V224" s="343"/>
      <c r="W224" s="345"/>
      <c r="X224" s="343"/>
      <c r="Y224" s="345"/>
      <c r="Z224" s="343"/>
      <c r="AA224" s="349" t="s">
        <v>964</v>
      </c>
      <c r="AB224" s="1004">
        <f t="shared" si="24"/>
        <v>42216</v>
      </c>
      <c r="AC224" s="1082" t="str">
        <f t="shared" si="25"/>
        <v/>
      </c>
      <c r="AD224" s="1074"/>
      <c r="AE224" s="1074"/>
      <c r="AF224" s="1084" t="str">
        <f t="shared" si="26"/>
        <v/>
      </c>
      <c r="AG224" s="1082" t="str">
        <f t="shared" si="27"/>
        <v/>
      </c>
      <c r="AH224" s="1088"/>
      <c r="AI224" s="1087"/>
      <c r="AJ224" s="1084" t="str">
        <f t="shared" si="28"/>
        <v/>
      </c>
      <c r="AK224" s="1083" t="str">
        <f t="shared" si="29"/>
        <v/>
      </c>
      <c r="AL224" s="210">
        <v>11935892</v>
      </c>
      <c r="AM224" s="210">
        <v>80426629</v>
      </c>
      <c r="AN224" s="210">
        <v>40643738</v>
      </c>
      <c r="AO224" s="210">
        <v>12118748</v>
      </c>
      <c r="AP224" s="210">
        <v>13599890</v>
      </c>
      <c r="AQ224" s="210">
        <v>33930173</v>
      </c>
      <c r="AR224" s="210">
        <v>31212588</v>
      </c>
      <c r="AS224" s="210">
        <v>24407748</v>
      </c>
      <c r="AT224" s="210"/>
      <c r="AU224" s="210"/>
      <c r="AV224" s="210"/>
      <c r="AW224" s="210"/>
      <c r="AX224" s="210"/>
      <c r="AY224" s="210"/>
      <c r="AZ224" s="210"/>
      <c r="BA224" s="210"/>
      <c r="BB224" s="210"/>
      <c r="BC224" s="210"/>
      <c r="BD224" s="342">
        <v>42354</v>
      </c>
      <c r="BE224" s="82">
        <f t="shared" si="31"/>
        <v>248275406</v>
      </c>
    </row>
    <row r="225" spans="1:59" ht="34.5" hidden="1" customHeight="1" x14ac:dyDescent="0.3">
      <c r="A225" s="80">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7">
        <v>2260000</v>
      </c>
      <c r="G225" s="6">
        <v>41862</v>
      </c>
      <c r="H225" s="61">
        <v>41923</v>
      </c>
      <c r="I225" s="61"/>
      <c r="J225" s="162"/>
      <c r="K225" s="332"/>
      <c r="L225" s="162"/>
      <c r="M225" s="332"/>
      <c r="N225" s="162"/>
      <c r="O225" s="332"/>
      <c r="P225" s="162"/>
      <c r="Q225" s="332"/>
      <c r="R225" s="81">
        <f t="shared" si="30"/>
        <v>0</v>
      </c>
      <c r="S225" s="345"/>
      <c r="T225" s="343"/>
      <c r="U225" s="345"/>
      <c r="V225" s="343"/>
      <c r="W225" s="345"/>
      <c r="X225" s="343"/>
      <c r="Y225" s="345"/>
      <c r="Z225" s="343"/>
      <c r="AA225" s="349"/>
      <c r="AB225" s="1004" t="str">
        <f t="shared" si="24"/>
        <v/>
      </c>
      <c r="AC225" s="1082" t="str">
        <f t="shared" si="25"/>
        <v/>
      </c>
      <c r="AD225" s="1074"/>
      <c r="AE225" s="1074"/>
      <c r="AF225" s="1084" t="str">
        <f t="shared" si="26"/>
        <v/>
      </c>
      <c r="AG225" s="1082" t="str">
        <f t="shared" si="27"/>
        <v/>
      </c>
      <c r="AH225" s="1088"/>
      <c r="AI225" s="1087"/>
      <c r="AJ225" s="1084" t="str">
        <f t="shared" si="28"/>
        <v/>
      </c>
      <c r="AK225" s="1083" t="str">
        <f t="shared" si="29"/>
        <v/>
      </c>
      <c r="AL225" s="210">
        <v>2251047</v>
      </c>
      <c r="AM225" s="210"/>
      <c r="AN225" s="210"/>
      <c r="AO225" s="210"/>
      <c r="AP225" s="210"/>
      <c r="AQ225" s="210"/>
      <c r="AR225" s="210"/>
      <c r="AS225" s="210"/>
      <c r="AT225" s="210"/>
      <c r="AU225" s="210"/>
      <c r="AV225" s="210"/>
      <c r="AW225" s="210"/>
      <c r="AX225" s="210"/>
      <c r="AY225" s="210"/>
      <c r="AZ225" s="210"/>
      <c r="BA225" s="210"/>
      <c r="BB225" s="210"/>
      <c r="BC225" s="210"/>
      <c r="BD225" s="342">
        <v>42542</v>
      </c>
      <c r="BE225" s="82">
        <f t="shared" si="31"/>
        <v>2251047</v>
      </c>
    </row>
    <row r="226" spans="1:59" s="54" customFormat="1" ht="34.5" hidden="1" customHeight="1" x14ac:dyDescent="0.3">
      <c r="A226" s="80">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45">
        <v>16592327</v>
      </c>
      <c r="G226" s="147">
        <v>41936</v>
      </c>
      <c r="H226" s="147">
        <v>42301</v>
      </c>
      <c r="I226" s="147"/>
      <c r="J226" s="162">
        <v>32600000</v>
      </c>
      <c r="K226" s="332">
        <v>42076</v>
      </c>
      <c r="L226" s="162"/>
      <c r="M226" s="332"/>
      <c r="N226" s="162"/>
      <c r="O226" s="332"/>
      <c r="P226" s="162"/>
      <c r="Q226" s="332"/>
      <c r="R226" s="81">
        <f t="shared" si="30"/>
        <v>32600000</v>
      </c>
      <c r="S226" s="345" t="s">
        <v>378</v>
      </c>
      <c r="T226" s="343">
        <v>42139</v>
      </c>
      <c r="U226" s="345"/>
      <c r="V226" s="343"/>
      <c r="W226" s="345"/>
      <c r="X226" s="343"/>
      <c r="Y226" s="345"/>
      <c r="Z226" s="343"/>
      <c r="AA226" s="326" t="s">
        <v>378</v>
      </c>
      <c r="AB226" s="1004">
        <f t="shared" si="24"/>
        <v>42139</v>
      </c>
      <c r="AC226" s="1082" t="str">
        <f t="shared" si="25"/>
        <v/>
      </c>
      <c r="AD226" s="1074"/>
      <c r="AE226" s="1074"/>
      <c r="AF226" s="1084" t="str">
        <f t="shared" si="26"/>
        <v/>
      </c>
      <c r="AG226" s="1082" t="str">
        <f t="shared" si="27"/>
        <v/>
      </c>
      <c r="AH226" s="1088"/>
      <c r="AI226" s="1087"/>
      <c r="AJ226" s="1084" t="str">
        <f t="shared" si="28"/>
        <v/>
      </c>
      <c r="AK226" s="1083" t="str">
        <f t="shared" si="29"/>
        <v/>
      </c>
      <c r="AL226" s="210">
        <v>6518167</v>
      </c>
      <c r="AM226" s="210">
        <v>1904892</v>
      </c>
      <c r="AN226" s="210">
        <v>5598894</v>
      </c>
      <c r="AO226" s="210">
        <v>7779980</v>
      </c>
      <c r="AP226" s="210">
        <v>5348780</v>
      </c>
      <c r="AQ226" s="210">
        <v>16375952</v>
      </c>
      <c r="AR226" s="210">
        <v>18841297</v>
      </c>
      <c r="AS226" s="210">
        <v>2083146</v>
      </c>
      <c r="AT226" s="210">
        <v>33343410</v>
      </c>
      <c r="AU226" s="210"/>
      <c r="AV226" s="210"/>
      <c r="AW226" s="210"/>
      <c r="AX226" s="210"/>
      <c r="AY226" s="210"/>
      <c r="AZ226" s="210"/>
      <c r="BA226" s="210"/>
      <c r="BB226" s="210"/>
      <c r="BC226" s="210"/>
      <c r="BD226" s="342">
        <v>42160</v>
      </c>
      <c r="BE226" s="82">
        <f t="shared" si="31"/>
        <v>97794518</v>
      </c>
      <c r="BF226" s="13"/>
      <c r="BG226" s="1"/>
    </row>
    <row r="227" spans="1:59" s="54" customFormat="1" ht="34.5" hidden="1" customHeight="1" x14ac:dyDescent="0.3">
      <c r="A227" s="80">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45">
        <v>807000</v>
      </c>
      <c r="G227" s="147">
        <v>41912</v>
      </c>
      <c r="H227" s="147">
        <v>42277</v>
      </c>
      <c r="I227" s="147"/>
      <c r="J227" s="162"/>
      <c r="K227" s="332"/>
      <c r="L227" s="162"/>
      <c r="M227" s="332"/>
      <c r="N227" s="162"/>
      <c r="O227" s="332"/>
      <c r="P227" s="162"/>
      <c r="Q227" s="332"/>
      <c r="R227" s="81">
        <f t="shared" si="30"/>
        <v>0</v>
      </c>
      <c r="S227" s="345"/>
      <c r="T227" s="343"/>
      <c r="U227" s="345"/>
      <c r="V227" s="343"/>
      <c r="W227" s="345"/>
      <c r="X227" s="343"/>
      <c r="Y227" s="345"/>
      <c r="Z227" s="343"/>
      <c r="AA227" s="326"/>
      <c r="AB227" s="1004" t="str">
        <f t="shared" si="24"/>
        <v/>
      </c>
      <c r="AC227" s="1082" t="str">
        <f t="shared" si="25"/>
        <v/>
      </c>
      <c r="AD227" s="1074"/>
      <c r="AE227" s="1074"/>
      <c r="AF227" s="1084" t="str">
        <f t="shared" si="26"/>
        <v/>
      </c>
      <c r="AG227" s="1082" t="str">
        <f t="shared" si="27"/>
        <v/>
      </c>
      <c r="AH227" s="1088"/>
      <c r="AI227" s="1087"/>
      <c r="AJ227" s="1084" t="str">
        <f t="shared" si="28"/>
        <v/>
      </c>
      <c r="AK227" s="1083" t="str">
        <f t="shared" si="29"/>
        <v/>
      </c>
      <c r="AL227" s="210">
        <v>2228070</v>
      </c>
      <c r="AM227" s="210"/>
      <c r="AN227" s="210"/>
      <c r="AO227" s="210"/>
      <c r="AP227" s="210"/>
      <c r="AQ227" s="210"/>
      <c r="AR227" s="210"/>
      <c r="AS227" s="210"/>
      <c r="AT227" s="210"/>
      <c r="AU227" s="210"/>
      <c r="AV227" s="210"/>
      <c r="AW227" s="210"/>
      <c r="AX227" s="210"/>
      <c r="AY227" s="210"/>
      <c r="AZ227" s="210"/>
      <c r="BA227" s="210"/>
      <c r="BB227" s="210"/>
      <c r="BC227" s="210"/>
      <c r="BD227" s="342">
        <v>42024</v>
      </c>
      <c r="BE227" s="82">
        <f t="shared" si="31"/>
        <v>2228070</v>
      </c>
      <c r="BF227" s="13"/>
      <c r="BG227" s="1"/>
    </row>
    <row r="228" spans="1:59" ht="34.5" hidden="1" customHeight="1" x14ac:dyDescent="0.3">
      <c r="A228" s="80">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7">
        <v>202978686</v>
      </c>
      <c r="G228" s="28">
        <v>41850</v>
      </c>
      <c r="H228" s="65">
        <v>42034</v>
      </c>
      <c r="I228" s="65"/>
      <c r="J228" s="162"/>
      <c r="K228" s="332"/>
      <c r="L228" s="162"/>
      <c r="M228" s="332"/>
      <c r="N228" s="162"/>
      <c r="O228" s="332"/>
      <c r="P228" s="162"/>
      <c r="Q228" s="332"/>
      <c r="R228" s="81">
        <f t="shared" si="30"/>
        <v>0</v>
      </c>
      <c r="S228" s="345"/>
      <c r="T228" s="343"/>
      <c r="U228" s="345"/>
      <c r="V228" s="343"/>
      <c r="W228" s="345"/>
      <c r="X228" s="343"/>
      <c r="Y228" s="345"/>
      <c r="Z228" s="343"/>
      <c r="AA228" s="326"/>
      <c r="AB228" s="1004" t="str">
        <f t="shared" si="24"/>
        <v/>
      </c>
      <c r="AC228" s="1082" t="str">
        <f t="shared" si="25"/>
        <v/>
      </c>
      <c r="AD228" s="1074"/>
      <c r="AE228" s="1074"/>
      <c r="AF228" s="1084" t="str">
        <f t="shared" si="26"/>
        <v/>
      </c>
      <c r="AG228" s="1082" t="str">
        <f t="shared" si="27"/>
        <v/>
      </c>
      <c r="AH228" s="1088"/>
      <c r="AI228" s="1087"/>
      <c r="AJ228" s="1084" t="str">
        <f t="shared" si="28"/>
        <v/>
      </c>
      <c r="AK228" s="1083" t="str">
        <f t="shared" si="29"/>
        <v/>
      </c>
      <c r="AL228" s="210">
        <v>1595000</v>
      </c>
      <c r="AM228" s="210"/>
      <c r="AN228" s="210"/>
      <c r="AO228" s="210"/>
      <c r="AP228" s="210"/>
      <c r="AQ228" s="210"/>
      <c r="AR228" s="210"/>
      <c r="AS228" s="210"/>
      <c r="AT228" s="210"/>
      <c r="AU228" s="210"/>
      <c r="AV228" s="210"/>
      <c r="AW228" s="210"/>
      <c r="AX228" s="210"/>
      <c r="AY228" s="210"/>
      <c r="AZ228" s="210"/>
      <c r="BA228" s="210"/>
      <c r="BB228" s="210"/>
      <c r="BC228" s="210"/>
      <c r="BD228" s="342">
        <v>41963</v>
      </c>
      <c r="BE228" s="82">
        <f t="shared" si="31"/>
        <v>1595000</v>
      </c>
    </row>
    <row r="229" spans="1:59" ht="34.5" hidden="1" customHeight="1" x14ac:dyDescent="0.3">
      <c r="A229" s="80">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7">
        <v>10564000</v>
      </c>
      <c r="G229" s="28">
        <v>41793</v>
      </c>
      <c r="H229" s="65">
        <v>42096</v>
      </c>
      <c r="I229" s="65"/>
      <c r="J229" s="162">
        <v>87669877</v>
      </c>
      <c r="K229" s="332">
        <v>42034</v>
      </c>
      <c r="L229" s="162"/>
      <c r="M229" s="332"/>
      <c r="N229" s="162"/>
      <c r="O229" s="332"/>
      <c r="P229" s="162"/>
      <c r="Q229" s="332"/>
      <c r="R229" s="81">
        <f t="shared" si="30"/>
        <v>87669877</v>
      </c>
      <c r="S229" s="345" t="s">
        <v>966</v>
      </c>
      <c r="T229" s="343">
        <v>42108</v>
      </c>
      <c r="U229" s="345"/>
      <c r="V229" s="343"/>
      <c r="W229" s="345"/>
      <c r="X229" s="343"/>
      <c r="Y229" s="345"/>
      <c r="Z229" s="343"/>
      <c r="AA229" s="326" t="s">
        <v>966</v>
      </c>
      <c r="AB229" s="1004">
        <f t="shared" si="24"/>
        <v>42108</v>
      </c>
      <c r="AC229" s="1082" t="str">
        <f t="shared" si="25"/>
        <v/>
      </c>
      <c r="AD229" s="1074"/>
      <c r="AE229" s="1074"/>
      <c r="AF229" s="1084" t="str">
        <f t="shared" si="26"/>
        <v/>
      </c>
      <c r="AG229" s="1082" t="str">
        <f t="shared" si="27"/>
        <v/>
      </c>
      <c r="AH229" s="1088"/>
      <c r="AI229" s="1087"/>
      <c r="AJ229" s="1084" t="str">
        <f t="shared" si="28"/>
        <v/>
      </c>
      <c r="AK229" s="1083" t="str">
        <f t="shared" si="29"/>
        <v/>
      </c>
      <c r="AL229" s="210">
        <v>34957440</v>
      </c>
      <c r="AM229" s="210">
        <v>33829781</v>
      </c>
      <c r="AN229" s="210">
        <v>33829781</v>
      </c>
      <c r="AO229" s="210">
        <v>33829781</v>
      </c>
      <c r="AP229" s="210">
        <v>33829781</v>
      </c>
      <c r="AQ229" s="210">
        <v>32702122</v>
      </c>
      <c r="AR229" s="210">
        <v>36236883</v>
      </c>
      <c r="AS229" s="210">
        <v>35067951</v>
      </c>
      <c r="AT229" s="210">
        <v>16365043</v>
      </c>
      <c r="AU229" s="210"/>
      <c r="AV229" s="210"/>
      <c r="AW229" s="210"/>
      <c r="AX229" s="210"/>
      <c r="AY229" s="210"/>
      <c r="AZ229" s="210"/>
      <c r="BA229" s="210"/>
      <c r="BB229" s="210"/>
      <c r="BC229" s="210"/>
      <c r="BD229" s="342">
        <v>42095</v>
      </c>
      <c r="BE229" s="82">
        <f t="shared" si="31"/>
        <v>290648563</v>
      </c>
    </row>
    <row r="230" spans="1:59" ht="34.5" hidden="1" customHeight="1" x14ac:dyDescent="0.3">
      <c r="A230" s="80">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7">
        <v>249991314</v>
      </c>
      <c r="G230" s="28">
        <v>41837</v>
      </c>
      <c r="H230" s="65">
        <v>42171</v>
      </c>
      <c r="I230" s="65"/>
      <c r="J230" s="162"/>
      <c r="K230" s="332"/>
      <c r="L230" s="162"/>
      <c r="M230" s="332"/>
      <c r="N230" s="162"/>
      <c r="O230" s="332"/>
      <c r="P230" s="162"/>
      <c r="Q230" s="332"/>
      <c r="R230" s="81">
        <f t="shared" si="30"/>
        <v>0</v>
      </c>
      <c r="S230" s="345"/>
      <c r="T230" s="343"/>
      <c r="U230" s="345"/>
      <c r="V230" s="343"/>
      <c r="W230" s="345"/>
      <c r="X230" s="343"/>
      <c r="Y230" s="345"/>
      <c r="Z230" s="343"/>
      <c r="AA230" s="326"/>
      <c r="AB230" s="1004" t="str">
        <f t="shared" si="24"/>
        <v/>
      </c>
      <c r="AC230" s="1082" t="str">
        <f t="shared" si="25"/>
        <v/>
      </c>
      <c r="AD230" s="1074"/>
      <c r="AE230" s="1074"/>
      <c r="AF230" s="1084" t="str">
        <f t="shared" si="26"/>
        <v/>
      </c>
      <c r="AG230" s="1082" t="str">
        <f t="shared" si="27"/>
        <v/>
      </c>
      <c r="AH230" s="1088"/>
      <c r="AI230" s="1087"/>
      <c r="AJ230" s="1084" t="str">
        <f t="shared" si="28"/>
        <v/>
      </c>
      <c r="AK230" s="1083" t="str">
        <f t="shared" si="29"/>
        <v/>
      </c>
      <c r="AL230" s="210">
        <v>11614629</v>
      </c>
      <c r="AM230" s="210">
        <v>1659233</v>
      </c>
      <c r="AN230" s="210">
        <v>1659233</v>
      </c>
      <c r="AO230" s="210"/>
      <c r="AP230" s="210"/>
      <c r="AQ230" s="210"/>
      <c r="AR230" s="210"/>
      <c r="AS230" s="210"/>
      <c r="AT230" s="210"/>
      <c r="AU230" s="210"/>
      <c r="AV230" s="210"/>
      <c r="AW230" s="210"/>
      <c r="AX230" s="210"/>
      <c r="AY230" s="210"/>
      <c r="AZ230" s="210"/>
      <c r="BA230" s="210"/>
      <c r="BB230" s="210"/>
      <c r="BC230" s="210"/>
      <c r="BD230" s="342">
        <v>42220</v>
      </c>
      <c r="BE230" s="82">
        <f t="shared" si="31"/>
        <v>14933095</v>
      </c>
    </row>
    <row r="231" spans="1:59" s="54" customFormat="1" ht="34.5" hidden="1" customHeight="1" x14ac:dyDescent="0.3">
      <c r="A231" s="80">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26">
        <v>4136000</v>
      </c>
      <c r="G231" s="124">
        <v>41935</v>
      </c>
      <c r="H231" s="124">
        <v>42027</v>
      </c>
      <c r="I231" s="124"/>
      <c r="J231" s="162"/>
      <c r="K231" s="332"/>
      <c r="L231" s="162"/>
      <c r="M231" s="332"/>
      <c r="N231" s="162"/>
      <c r="O231" s="332"/>
      <c r="P231" s="162"/>
      <c r="Q231" s="332"/>
      <c r="R231" s="81">
        <f t="shared" si="30"/>
        <v>0</v>
      </c>
      <c r="S231" s="345"/>
      <c r="T231" s="343"/>
      <c r="U231" s="345"/>
      <c r="V231" s="343"/>
      <c r="W231" s="345"/>
      <c r="X231" s="343"/>
      <c r="Y231" s="345"/>
      <c r="Z231" s="343"/>
      <c r="AA231" s="326"/>
      <c r="AB231" s="1004" t="str">
        <f t="shared" si="24"/>
        <v/>
      </c>
      <c r="AC231" s="1082" t="str">
        <f t="shared" si="25"/>
        <v/>
      </c>
      <c r="AD231" s="1074"/>
      <c r="AE231" s="1074"/>
      <c r="AF231" s="1084" t="str">
        <f t="shared" si="26"/>
        <v/>
      </c>
      <c r="AG231" s="1082" t="str">
        <f t="shared" si="27"/>
        <v/>
      </c>
      <c r="AH231" s="1088"/>
      <c r="AI231" s="1087"/>
      <c r="AJ231" s="1084" t="str">
        <f t="shared" si="28"/>
        <v/>
      </c>
      <c r="AK231" s="1083" t="str">
        <f t="shared" si="29"/>
        <v/>
      </c>
      <c r="AL231" s="210">
        <v>807000</v>
      </c>
      <c r="AM231" s="210"/>
      <c r="AN231" s="210"/>
      <c r="AO231" s="210"/>
      <c r="AP231" s="210"/>
      <c r="AQ231" s="210"/>
      <c r="AR231" s="210"/>
      <c r="AS231" s="210"/>
      <c r="AT231" s="210"/>
      <c r="AU231" s="210"/>
      <c r="AV231" s="210"/>
      <c r="AW231" s="210"/>
      <c r="AX231" s="210"/>
      <c r="AY231" s="210"/>
      <c r="AZ231" s="210"/>
      <c r="BA231" s="210"/>
      <c r="BB231" s="210"/>
      <c r="BC231" s="210"/>
      <c r="BD231" s="342">
        <v>40871</v>
      </c>
      <c r="BE231" s="82">
        <f t="shared" si="31"/>
        <v>807000</v>
      </c>
      <c r="BF231" s="13"/>
      <c r="BG231" s="1"/>
    </row>
    <row r="232" spans="1:59" ht="34.5" hidden="1" customHeight="1" x14ac:dyDescent="0.3">
      <c r="A232" s="80">
        <v>226</v>
      </c>
      <c r="B232" s="2" t="str">
        <f>+'Base de Datos'!E232</f>
        <v>140276-0-2014</v>
      </c>
      <c r="C232" s="2" t="str">
        <f>+'Base de Datos'!F232</f>
        <v>COMUNICAN S.A</v>
      </c>
      <c r="D232" s="2">
        <f>+'Base de Datos'!G232</f>
        <v>860007590</v>
      </c>
      <c r="E232" s="2" t="str">
        <f>+'Base de Datos'!H232</f>
        <v>Suscripción al Diario El Espectador, para el Concejo de Bogotá, D.C.</v>
      </c>
      <c r="F232" s="27">
        <v>936000</v>
      </c>
      <c r="G232" s="28">
        <v>41893</v>
      </c>
      <c r="H232" s="65">
        <v>42258</v>
      </c>
      <c r="I232" s="65"/>
      <c r="J232" s="162"/>
      <c r="K232" s="332"/>
      <c r="L232" s="162"/>
      <c r="M232" s="332"/>
      <c r="N232" s="162"/>
      <c r="O232" s="332"/>
      <c r="P232" s="162"/>
      <c r="Q232" s="332"/>
      <c r="R232" s="81">
        <f t="shared" si="30"/>
        <v>0</v>
      </c>
      <c r="S232" s="345"/>
      <c r="T232" s="343"/>
      <c r="U232" s="345"/>
      <c r="V232" s="343"/>
      <c r="W232" s="345"/>
      <c r="X232" s="343"/>
      <c r="Y232" s="345"/>
      <c r="Z232" s="343"/>
      <c r="AA232" s="326"/>
      <c r="AB232" s="1004" t="str">
        <f t="shared" si="24"/>
        <v/>
      </c>
      <c r="AC232" s="1082" t="str">
        <f t="shared" si="25"/>
        <v/>
      </c>
      <c r="AD232" s="1074"/>
      <c r="AE232" s="1074"/>
      <c r="AF232" s="1084" t="str">
        <f t="shared" si="26"/>
        <v/>
      </c>
      <c r="AG232" s="1082" t="str">
        <f t="shared" si="27"/>
        <v/>
      </c>
      <c r="AH232" s="1088"/>
      <c r="AI232" s="1087"/>
      <c r="AJ232" s="1084" t="str">
        <f t="shared" si="28"/>
        <v/>
      </c>
      <c r="AK232" s="1083" t="str">
        <f t="shared" si="29"/>
        <v/>
      </c>
      <c r="AL232" s="210">
        <v>936000</v>
      </c>
      <c r="AM232" s="210"/>
      <c r="AN232" s="210"/>
      <c r="AO232" s="210"/>
      <c r="AP232" s="210"/>
      <c r="AQ232" s="210"/>
      <c r="AR232" s="210"/>
      <c r="AS232" s="210"/>
      <c r="AT232" s="210"/>
      <c r="AU232" s="210"/>
      <c r="AV232" s="210"/>
      <c r="AW232" s="210"/>
      <c r="AX232" s="210"/>
      <c r="AY232" s="210"/>
      <c r="AZ232" s="210"/>
      <c r="BA232" s="210"/>
      <c r="BB232" s="210"/>
      <c r="BC232" s="210"/>
      <c r="BD232" s="342">
        <v>0</v>
      </c>
      <c r="BE232" s="82">
        <f t="shared" si="31"/>
        <v>936000</v>
      </c>
    </row>
    <row r="233" spans="1:59" ht="34.5" hidden="1" customHeight="1" x14ac:dyDescent="0.3">
      <c r="A233" s="80">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7">
        <v>855000</v>
      </c>
      <c r="G233" s="28">
        <v>41896</v>
      </c>
      <c r="H233" s="65">
        <v>42261</v>
      </c>
      <c r="I233" s="65"/>
      <c r="J233" s="162"/>
      <c r="K233" s="332"/>
      <c r="L233" s="162"/>
      <c r="M233" s="332"/>
      <c r="N233" s="162"/>
      <c r="O233" s="332"/>
      <c r="P233" s="162"/>
      <c r="Q233" s="332"/>
      <c r="R233" s="81">
        <f t="shared" si="30"/>
        <v>0</v>
      </c>
      <c r="S233" s="345"/>
      <c r="T233" s="343"/>
      <c r="U233" s="345"/>
      <c r="V233" s="343"/>
      <c r="W233" s="345"/>
      <c r="X233" s="343"/>
      <c r="Y233" s="345"/>
      <c r="Z233" s="343"/>
      <c r="AA233" s="326"/>
      <c r="AB233" s="1004" t="str">
        <f t="shared" si="24"/>
        <v/>
      </c>
      <c r="AC233" s="1082" t="str">
        <f t="shared" si="25"/>
        <v/>
      </c>
      <c r="AD233" s="1074"/>
      <c r="AE233" s="1074"/>
      <c r="AF233" s="1084" t="str">
        <f t="shared" si="26"/>
        <v/>
      </c>
      <c r="AG233" s="1082" t="str">
        <f t="shared" si="27"/>
        <v/>
      </c>
      <c r="AH233" s="1088"/>
      <c r="AI233" s="1087"/>
      <c r="AJ233" s="1084" t="str">
        <f t="shared" si="28"/>
        <v/>
      </c>
      <c r="AK233" s="1083" t="str">
        <f t="shared" si="29"/>
        <v/>
      </c>
      <c r="AL233" s="210">
        <v>855000</v>
      </c>
      <c r="AM233" s="210"/>
      <c r="AN233" s="210"/>
      <c r="AO233" s="210"/>
      <c r="AP233" s="210"/>
      <c r="AQ233" s="210"/>
      <c r="AR233" s="210"/>
      <c r="AS233" s="210"/>
      <c r="AT233" s="210"/>
      <c r="AU233" s="210"/>
      <c r="AV233" s="210"/>
      <c r="AW233" s="210"/>
      <c r="AX233" s="210"/>
      <c r="AY233" s="210"/>
      <c r="AZ233" s="210"/>
      <c r="BA233" s="210"/>
      <c r="BB233" s="210"/>
      <c r="BC233" s="210"/>
      <c r="BD233" s="342">
        <v>0</v>
      </c>
      <c r="BE233" s="82">
        <f t="shared" si="31"/>
        <v>855000</v>
      </c>
    </row>
    <row r="234" spans="1:59" ht="34.5" hidden="1" customHeight="1" x14ac:dyDescent="0.3">
      <c r="A234" s="80">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7">
        <v>19356282</v>
      </c>
      <c r="G234" s="28">
        <v>41887</v>
      </c>
      <c r="H234" s="65">
        <v>42009</v>
      </c>
      <c r="I234" s="65"/>
      <c r="J234" s="162"/>
      <c r="K234" s="332"/>
      <c r="L234" s="162"/>
      <c r="M234" s="332"/>
      <c r="N234" s="162"/>
      <c r="O234" s="332"/>
      <c r="P234" s="162"/>
      <c r="Q234" s="332"/>
      <c r="R234" s="81">
        <f t="shared" si="30"/>
        <v>0</v>
      </c>
      <c r="S234" s="345"/>
      <c r="T234" s="343"/>
      <c r="U234" s="345"/>
      <c r="V234" s="343"/>
      <c r="W234" s="345"/>
      <c r="X234" s="343"/>
      <c r="Y234" s="345"/>
      <c r="Z234" s="343"/>
      <c r="AA234" s="326"/>
      <c r="AB234" s="1004" t="str">
        <f t="shared" si="24"/>
        <v/>
      </c>
      <c r="AC234" s="1082" t="str">
        <f t="shared" si="25"/>
        <v/>
      </c>
      <c r="AD234" s="1074"/>
      <c r="AE234" s="1074"/>
      <c r="AF234" s="1084" t="str">
        <f t="shared" si="26"/>
        <v/>
      </c>
      <c r="AG234" s="1082" t="str">
        <f t="shared" si="27"/>
        <v/>
      </c>
      <c r="AH234" s="1088"/>
      <c r="AI234" s="1087"/>
      <c r="AJ234" s="1084" t="str">
        <f t="shared" si="28"/>
        <v/>
      </c>
      <c r="AK234" s="1083" t="str">
        <f t="shared" si="29"/>
        <v/>
      </c>
      <c r="AL234" s="210">
        <v>19356282</v>
      </c>
      <c r="AM234" s="210"/>
      <c r="AN234" s="210"/>
      <c r="AO234" s="210"/>
      <c r="AP234" s="210"/>
      <c r="AQ234" s="210"/>
      <c r="AR234" s="210"/>
      <c r="AS234" s="210"/>
      <c r="AT234" s="210"/>
      <c r="AU234" s="210"/>
      <c r="AV234" s="210"/>
      <c r="AW234" s="210"/>
      <c r="AX234" s="210"/>
      <c r="AY234" s="210"/>
      <c r="AZ234" s="210"/>
      <c r="BA234" s="210"/>
      <c r="BB234" s="210"/>
      <c r="BC234" s="210"/>
      <c r="BD234" s="342">
        <v>42046</v>
      </c>
      <c r="BE234" s="82">
        <f t="shared" si="31"/>
        <v>19356282</v>
      </c>
    </row>
    <row r="235" spans="1:59" s="54" customFormat="1" ht="34.5" hidden="1" customHeight="1" x14ac:dyDescent="0.3">
      <c r="A235" s="80">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45">
        <v>810000</v>
      </c>
      <c r="G235" s="147">
        <v>41940</v>
      </c>
      <c r="H235" s="147">
        <v>42305</v>
      </c>
      <c r="I235" s="147"/>
      <c r="J235" s="162"/>
      <c r="K235" s="332"/>
      <c r="L235" s="162"/>
      <c r="M235" s="332"/>
      <c r="N235" s="162"/>
      <c r="O235" s="332"/>
      <c r="P235" s="162"/>
      <c r="Q235" s="332"/>
      <c r="R235" s="81">
        <f t="shared" si="30"/>
        <v>0</v>
      </c>
      <c r="S235" s="345"/>
      <c r="T235" s="343"/>
      <c r="U235" s="345"/>
      <c r="V235" s="343"/>
      <c r="W235" s="345"/>
      <c r="X235" s="343"/>
      <c r="Y235" s="345"/>
      <c r="Z235" s="343"/>
      <c r="AA235" s="326"/>
      <c r="AB235" s="1004" t="str">
        <f t="shared" si="24"/>
        <v/>
      </c>
      <c r="AC235" s="1082" t="str">
        <f t="shared" si="25"/>
        <v/>
      </c>
      <c r="AD235" s="1074"/>
      <c r="AE235" s="1074"/>
      <c r="AF235" s="1084" t="str">
        <f t="shared" si="26"/>
        <v/>
      </c>
      <c r="AG235" s="1082" t="str">
        <f t="shared" si="27"/>
        <v/>
      </c>
      <c r="AH235" s="1088"/>
      <c r="AI235" s="1087"/>
      <c r="AJ235" s="1084" t="str">
        <f t="shared" si="28"/>
        <v/>
      </c>
      <c r="AK235" s="1083" t="str">
        <f t="shared" si="29"/>
        <v/>
      </c>
      <c r="AL235" s="210">
        <v>810000</v>
      </c>
      <c r="AM235" s="210"/>
      <c r="AN235" s="210"/>
      <c r="AO235" s="210"/>
      <c r="AP235" s="210"/>
      <c r="AQ235" s="210"/>
      <c r="AR235" s="210"/>
      <c r="AS235" s="210"/>
      <c r="AT235" s="210"/>
      <c r="AU235" s="210"/>
      <c r="AV235" s="210"/>
      <c r="AW235" s="210"/>
      <c r="AX235" s="210"/>
      <c r="AY235" s="210"/>
      <c r="AZ235" s="210"/>
      <c r="BA235" s="210"/>
      <c r="BB235" s="210"/>
      <c r="BC235" s="210"/>
      <c r="BD235" s="342">
        <v>0</v>
      </c>
      <c r="BE235" s="82">
        <f t="shared" si="31"/>
        <v>810000</v>
      </c>
      <c r="BF235" s="13"/>
      <c r="BG235" s="1"/>
    </row>
    <row r="236" spans="1:59" s="54" customFormat="1" ht="34.5" hidden="1" customHeight="1" x14ac:dyDescent="0.3">
      <c r="A236" s="80">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45">
        <v>4621000</v>
      </c>
      <c r="G236" s="147">
        <v>41934</v>
      </c>
      <c r="H236" s="147">
        <v>42085</v>
      </c>
      <c r="I236" s="147"/>
      <c r="J236" s="162"/>
      <c r="K236" s="332"/>
      <c r="L236" s="162"/>
      <c r="M236" s="332"/>
      <c r="N236" s="162"/>
      <c r="O236" s="332"/>
      <c r="P236" s="162"/>
      <c r="Q236" s="332"/>
      <c r="R236" s="81">
        <f t="shared" si="30"/>
        <v>0</v>
      </c>
      <c r="S236" s="345"/>
      <c r="T236" s="343"/>
      <c r="U236" s="345"/>
      <c r="V236" s="343"/>
      <c r="W236" s="345"/>
      <c r="X236" s="343"/>
      <c r="Y236" s="345"/>
      <c r="Z236" s="343"/>
      <c r="AA236" s="326"/>
      <c r="AB236" s="1004" t="str">
        <f t="shared" si="24"/>
        <v/>
      </c>
      <c r="AC236" s="1082" t="str">
        <f t="shared" si="25"/>
        <v/>
      </c>
      <c r="AD236" s="1074"/>
      <c r="AE236" s="1074"/>
      <c r="AF236" s="1084" t="str">
        <f t="shared" si="26"/>
        <v/>
      </c>
      <c r="AG236" s="1082" t="str">
        <f t="shared" si="27"/>
        <v/>
      </c>
      <c r="AH236" s="1088"/>
      <c r="AI236" s="1087"/>
      <c r="AJ236" s="1084" t="str">
        <f t="shared" si="28"/>
        <v/>
      </c>
      <c r="AK236" s="1083" t="str">
        <f t="shared" si="29"/>
        <v/>
      </c>
      <c r="AL236" s="210">
        <v>4621440</v>
      </c>
      <c r="AM236" s="210"/>
      <c r="AN236" s="210"/>
      <c r="AO236" s="210"/>
      <c r="AP236" s="210"/>
      <c r="AQ236" s="210"/>
      <c r="AR236" s="210"/>
      <c r="AS236" s="210"/>
      <c r="AT236" s="210"/>
      <c r="AU236" s="210"/>
      <c r="AV236" s="210"/>
      <c r="AW236" s="210"/>
      <c r="AX236" s="210"/>
      <c r="AY236" s="210"/>
      <c r="AZ236" s="210"/>
      <c r="BA236" s="210"/>
      <c r="BB236" s="210"/>
      <c r="BC236" s="210"/>
      <c r="BD236" s="342">
        <v>42034</v>
      </c>
      <c r="BE236" s="82">
        <f t="shared" si="31"/>
        <v>4621440</v>
      </c>
      <c r="BF236" s="13"/>
      <c r="BG236" s="1"/>
    </row>
    <row r="237" spans="1:59" s="54" customFormat="1" ht="34.5" hidden="1" customHeight="1" x14ac:dyDescent="0.3">
      <c r="A237" s="80">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7">
        <v>41850000</v>
      </c>
      <c r="G237" s="28">
        <v>41926</v>
      </c>
      <c r="H237" s="65">
        <v>42138</v>
      </c>
      <c r="I237" s="65"/>
      <c r="J237" s="162"/>
      <c r="K237" s="332"/>
      <c r="L237" s="162"/>
      <c r="M237" s="332"/>
      <c r="N237" s="162"/>
      <c r="O237" s="332"/>
      <c r="P237" s="162"/>
      <c r="Q237" s="332"/>
      <c r="R237" s="81">
        <f t="shared" si="30"/>
        <v>0</v>
      </c>
      <c r="S237" s="345"/>
      <c r="T237" s="343"/>
      <c r="U237" s="345"/>
      <c r="V237" s="343"/>
      <c r="W237" s="345"/>
      <c r="X237" s="343"/>
      <c r="Y237" s="345"/>
      <c r="Z237" s="343"/>
      <c r="AA237" s="326"/>
      <c r="AB237" s="1004" t="str">
        <f t="shared" si="24"/>
        <v/>
      </c>
      <c r="AC237" s="1082" t="str">
        <f t="shared" si="25"/>
        <v/>
      </c>
      <c r="AD237" s="1074"/>
      <c r="AE237" s="1074"/>
      <c r="AF237" s="1084" t="str">
        <f t="shared" si="26"/>
        <v/>
      </c>
      <c r="AG237" s="1082" t="str">
        <f t="shared" si="27"/>
        <v/>
      </c>
      <c r="AH237" s="1088"/>
      <c r="AI237" s="1087"/>
      <c r="AJ237" s="1084" t="str">
        <f t="shared" si="28"/>
        <v/>
      </c>
      <c r="AK237" s="1083" t="str">
        <f t="shared" si="29"/>
        <v/>
      </c>
      <c r="AL237" s="210">
        <v>1960000</v>
      </c>
      <c r="AM237" s="210">
        <v>120000</v>
      </c>
      <c r="AN237" s="210">
        <v>180000</v>
      </c>
      <c r="AO237" s="210">
        <v>240000</v>
      </c>
      <c r="AP237" s="210">
        <v>690000</v>
      </c>
      <c r="AQ237" s="210">
        <v>585000</v>
      </c>
      <c r="AR237" s="210">
        <v>10305000</v>
      </c>
      <c r="AS237" s="210">
        <v>12283000</v>
      </c>
      <c r="AT237" s="210"/>
      <c r="AU237" s="210"/>
      <c r="AV237" s="210"/>
      <c r="AW237" s="210"/>
      <c r="AX237" s="210"/>
      <c r="AY237" s="210"/>
      <c r="AZ237" s="210"/>
      <c r="BA237" s="210"/>
      <c r="BB237" s="210"/>
      <c r="BC237" s="210"/>
      <c r="BD237" s="342">
        <v>42275</v>
      </c>
      <c r="BE237" s="82">
        <f t="shared" si="31"/>
        <v>26363000</v>
      </c>
      <c r="BF237" s="13"/>
      <c r="BG237" s="1"/>
    </row>
    <row r="238" spans="1:59" ht="34.5" hidden="1" customHeight="1" x14ac:dyDescent="0.3">
      <c r="A238" s="80">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7">
        <v>25000000</v>
      </c>
      <c r="G238" s="28">
        <v>41891</v>
      </c>
      <c r="H238" s="65">
        <v>42013</v>
      </c>
      <c r="I238" s="65"/>
      <c r="J238" s="162"/>
      <c r="K238" s="332"/>
      <c r="L238" s="162"/>
      <c r="M238" s="332"/>
      <c r="N238" s="162"/>
      <c r="O238" s="332"/>
      <c r="P238" s="162"/>
      <c r="Q238" s="332"/>
      <c r="R238" s="81">
        <f t="shared" si="30"/>
        <v>0</v>
      </c>
      <c r="S238" s="345"/>
      <c r="T238" s="343"/>
      <c r="U238" s="345"/>
      <c r="V238" s="343"/>
      <c r="W238" s="345"/>
      <c r="X238" s="343"/>
      <c r="Y238" s="345"/>
      <c r="Z238" s="343"/>
      <c r="AA238" s="326"/>
      <c r="AB238" s="1004" t="str">
        <f t="shared" si="24"/>
        <v/>
      </c>
      <c r="AC238" s="1082" t="str">
        <f t="shared" si="25"/>
        <v/>
      </c>
      <c r="AD238" s="1074"/>
      <c r="AE238" s="1074"/>
      <c r="AF238" s="1084" t="str">
        <f t="shared" si="26"/>
        <v/>
      </c>
      <c r="AG238" s="1082" t="str">
        <f t="shared" si="27"/>
        <v/>
      </c>
      <c r="AH238" s="1088"/>
      <c r="AI238" s="1087"/>
      <c r="AJ238" s="1084" t="str">
        <f t="shared" si="28"/>
        <v/>
      </c>
      <c r="AK238" s="1083" t="str">
        <f t="shared" si="29"/>
        <v/>
      </c>
      <c r="AL238" s="210">
        <v>4583333</v>
      </c>
      <c r="AM238" s="210">
        <v>6250000</v>
      </c>
      <c r="AN238" s="210">
        <v>6250000</v>
      </c>
      <c r="AO238" s="210">
        <v>7916667</v>
      </c>
      <c r="AP238" s="210"/>
      <c r="AQ238" s="210"/>
      <c r="AR238" s="210"/>
      <c r="AS238" s="210"/>
      <c r="AT238" s="210"/>
      <c r="AU238" s="210"/>
      <c r="AV238" s="210"/>
      <c r="AW238" s="210"/>
      <c r="AX238" s="210"/>
      <c r="AY238" s="210"/>
      <c r="AZ238" s="210"/>
      <c r="BA238" s="210"/>
      <c r="BB238" s="210"/>
      <c r="BC238" s="210"/>
      <c r="BD238" s="342">
        <v>42027</v>
      </c>
      <c r="BE238" s="82">
        <f t="shared" si="31"/>
        <v>25000000</v>
      </c>
    </row>
    <row r="239" spans="1:59" ht="34.5" hidden="1" customHeight="1" x14ac:dyDescent="0.3">
      <c r="A239" s="80">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7">
        <v>25000000</v>
      </c>
      <c r="G239" s="28">
        <v>41893</v>
      </c>
      <c r="H239" s="28">
        <v>42046</v>
      </c>
      <c r="I239" s="28"/>
      <c r="J239" s="162"/>
      <c r="K239" s="332"/>
      <c r="L239" s="162"/>
      <c r="M239" s="332"/>
      <c r="N239" s="162"/>
      <c r="O239" s="332"/>
      <c r="P239" s="162"/>
      <c r="Q239" s="332"/>
      <c r="R239" s="81">
        <f t="shared" si="30"/>
        <v>0</v>
      </c>
      <c r="S239" s="345"/>
      <c r="T239" s="343"/>
      <c r="U239" s="345"/>
      <c r="V239" s="343"/>
      <c r="W239" s="345"/>
      <c r="X239" s="343"/>
      <c r="Y239" s="345"/>
      <c r="Z239" s="343"/>
      <c r="AA239" s="326"/>
      <c r="AB239" s="1004" t="str">
        <f t="shared" si="24"/>
        <v/>
      </c>
      <c r="AC239" s="1082" t="str">
        <f t="shared" si="25"/>
        <v/>
      </c>
      <c r="AD239" s="1074"/>
      <c r="AE239" s="1074"/>
      <c r="AF239" s="1084" t="str">
        <f t="shared" si="26"/>
        <v/>
      </c>
      <c r="AG239" s="1082" t="str">
        <f t="shared" si="27"/>
        <v/>
      </c>
      <c r="AH239" s="1088"/>
      <c r="AI239" s="1087"/>
      <c r="AJ239" s="1084" t="str">
        <f t="shared" si="28"/>
        <v/>
      </c>
      <c r="AK239" s="1083" t="str">
        <f t="shared" si="29"/>
        <v/>
      </c>
      <c r="AL239" s="210">
        <v>3333333</v>
      </c>
      <c r="AM239" s="210">
        <v>5000000</v>
      </c>
      <c r="AN239" s="210">
        <v>5000000</v>
      </c>
      <c r="AO239" s="210">
        <v>5000000</v>
      </c>
      <c r="AP239" s="210">
        <v>6666667</v>
      </c>
      <c r="AQ239" s="210"/>
      <c r="AR239" s="210"/>
      <c r="AS239" s="210"/>
      <c r="AT239" s="210"/>
      <c r="AU239" s="210"/>
      <c r="AV239" s="210"/>
      <c r="AW239" s="210"/>
      <c r="AX239" s="210"/>
      <c r="AY239" s="210"/>
      <c r="AZ239" s="210"/>
      <c r="BA239" s="210"/>
      <c r="BB239" s="210"/>
      <c r="BC239" s="210"/>
      <c r="BD239" s="342">
        <v>42052</v>
      </c>
      <c r="BE239" s="82">
        <f t="shared" si="31"/>
        <v>25000000</v>
      </c>
    </row>
    <row r="240" spans="1:59" s="54" customFormat="1" ht="34.5" hidden="1" customHeight="1" x14ac:dyDescent="0.3">
      <c r="A240" s="80">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7">
        <v>311460000</v>
      </c>
      <c r="G240" s="28">
        <v>41907</v>
      </c>
      <c r="H240" s="28">
        <v>41996</v>
      </c>
      <c r="I240" s="28"/>
      <c r="J240" s="162"/>
      <c r="K240" s="332"/>
      <c r="L240" s="162"/>
      <c r="M240" s="332"/>
      <c r="N240" s="162"/>
      <c r="O240" s="332"/>
      <c r="P240" s="162"/>
      <c r="Q240" s="332"/>
      <c r="R240" s="81">
        <f t="shared" si="30"/>
        <v>0</v>
      </c>
      <c r="S240" s="345"/>
      <c r="T240" s="343"/>
      <c r="U240" s="345"/>
      <c r="V240" s="343"/>
      <c r="W240" s="345"/>
      <c r="X240" s="343"/>
      <c r="Y240" s="345"/>
      <c r="Z240" s="343"/>
      <c r="AA240" s="326"/>
      <c r="AB240" s="1004" t="str">
        <f t="shared" si="24"/>
        <v/>
      </c>
      <c r="AC240" s="1082" t="str">
        <f t="shared" si="25"/>
        <v/>
      </c>
      <c r="AD240" s="1074"/>
      <c r="AE240" s="1074"/>
      <c r="AF240" s="1084" t="str">
        <f t="shared" si="26"/>
        <v/>
      </c>
      <c r="AG240" s="1082" t="str">
        <f t="shared" si="27"/>
        <v/>
      </c>
      <c r="AH240" s="1088"/>
      <c r="AI240" s="1087"/>
      <c r="AJ240" s="1084" t="str">
        <f t="shared" si="28"/>
        <v/>
      </c>
      <c r="AK240" s="1083" t="str">
        <f t="shared" si="29"/>
        <v/>
      </c>
      <c r="AL240" s="210">
        <v>93438000</v>
      </c>
      <c r="AM240" s="210">
        <v>218022000</v>
      </c>
      <c r="AN240" s="210"/>
      <c r="AO240" s="210"/>
      <c r="AP240" s="210"/>
      <c r="AQ240" s="210"/>
      <c r="AR240" s="210"/>
      <c r="AS240" s="210"/>
      <c r="AT240" s="210"/>
      <c r="AU240" s="210"/>
      <c r="AV240" s="210"/>
      <c r="AW240" s="210"/>
      <c r="AX240" s="210"/>
      <c r="AY240" s="210"/>
      <c r="AZ240" s="210"/>
      <c r="BA240" s="210"/>
      <c r="BB240" s="210"/>
      <c r="BC240" s="210"/>
      <c r="BD240" s="342">
        <v>41961</v>
      </c>
      <c r="BE240" s="82">
        <f t="shared" si="31"/>
        <v>311460000</v>
      </c>
      <c r="BF240" s="13"/>
      <c r="BG240" s="1"/>
    </row>
    <row r="241" spans="1:59" ht="38.25" hidden="1" customHeight="1" x14ac:dyDescent="0.3">
      <c r="A241" s="80">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195">
        <f>+'Base de Datos'!I241</f>
        <v>17500000</v>
      </c>
      <c r="G241" s="196">
        <f>+'Base de Datos'!M241</f>
        <v>41900</v>
      </c>
      <c r="H241" s="196">
        <f>+'Base de Datos'!N241</f>
        <v>42053</v>
      </c>
      <c r="I241" s="196"/>
      <c r="J241" s="162"/>
      <c r="K241" s="332"/>
      <c r="L241" s="162"/>
      <c r="M241" s="332"/>
      <c r="N241" s="162"/>
      <c r="O241" s="332"/>
      <c r="P241" s="162"/>
      <c r="Q241" s="332"/>
      <c r="R241" s="81">
        <f t="shared" si="30"/>
        <v>0</v>
      </c>
      <c r="S241" s="345"/>
      <c r="T241" s="343"/>
      <c r="U241" s="345"/>
      <c r="V241" s="343"/>
      <c r="W241" s="345"/>
      <c r="X241" s="343"/>
      <c r="Y241" s="345"/>
      <c r="Z241" s="343"/>
      <c r="AA241" s="326"/>
      <c r="AB241" s="1004" t="str">
        <f t="shared" si="24"/>
        <v/>
      </c>
      <c r="AC241" s="1082" t="str">
        <f t="shared" si="25"/>
        <v/>
      </c>
      <c r="AD241" s="1075"/>
      <c r="AE241" s="1075"/>
      <c r="AF241" s="1084" t="str">
        <f t="shared" si="26"/>
        <v/>
      </c>
      <c r="AG241" s="1082" t="str">
        <f t="shared" si="27"/>
        <v/>
      </c>
      <c r="AH241" s="1089"/>
      <c r="AI241" s="1087"/>
      <c r="AJ241" s="1084" t="str">
        <f t="shared" si="28"/>
        <v/>
      </c>
      <c r="AK241" s="1083" t="str">
        <f t="shared" si="29"/>
        <v/>
      </c>
      <c r="AL241" s="211">
        <v>1516667</v>
      </c>
      <c r="AM241" s="211">
        <v>3500000</v>
      </c>
      <c r="AN241" s="211">
        <v>3500000</v>
      </c>
      <c r="AO241" s="211">
        <v>3500000</v>
      </c>
      <c r="AP241" s="211">
        <v>3500000</v>
      </c>
      <c r="AQ241" s="210">
        <v>1983333</v>
      </c>
      <c r="AR241" s="210"/>
      <c r="AS241" s="210"/>
      <c r="AT241" s="210"/>
      <c r="AU241" s="210"/>
      <c r="AV241" s="210"/>
      <c r="AW241" s="210"/>
      <c r="AX241" s="210"/>
      <c r="AY241" s="210"/>
      <c r="AZ241" s="210"/>
      <c r="BA241" s="210"/>
      <c r="BB241" s="210"/>
      <c r="BC241" s="210"/>
      <c r="BD241" s="342">
        <v>42061</v>
      </c>
      <c r="BE241" s="82">
        <f t="shared" si="31"/>
        <v>17500000</v>
      </c>
    </row>
    <row r="242" spans="1:59" s="54" customFormat="1" ht="38.25" hidden="1" customHeight="1" x14ac:dyDescent="0.3">
      <c r="A242" s="80">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195">
        <f>+'Base de Datos'!I242</f>
        <v>14153603</v>
      </c>
      <c r="G242" s="196">
        <f>+'Base de Datos'!M242</f>
        <v>41929</v>
      </c>
      <c r="H242" s="196">
        <f>+'Base de Datos'!N242</f>
        <v>42021</v>
      </c>
      <c r="I242" s="196"/>
      <c r="J242" s="162"/>
      <c r="K242" s="332"/>
      <c r="L242" s="162"/>
      <c r="M242" s="332"/>
      <c r="N242" s="162"/>
      <c r="O242" s="332"/>
      <c r="P242" s="162"/>
      <c r="Q242" s="332"/>
      <c r="R242" s="81">
        <f t="shared" si="30"/>
        <v>0</v>
      </c>
      <c r="S242" s="345"/>
      <c r="T242" s="343"/>
      <c r="U242" s="345"/>
      <c r="V242" s="343"/>
      <c r="W242" s="345"/>
      <c r="X242" s="343"/>
      <c r="Y242" s="345"/>
      <c r="Z242" s="343"/>
      <c r="AA242" s="326"/>
      <c r="AB242" s="1004" t="str">
        <f t="shared" si="24"/>
        <v/>
      </c>
      <c r="AC242" s="1082" t="str">
        <f t="shared" si="25"/>
        <v/>
      </c>
      <c r="AD242" s="1074"/>
      <c r="AE242" s="1074"/>
      <c r="AF242" s="1084" t="str">
        <f t="shared" si="26"/>
        <v/>
      </c>
      <c r="AG242" s="1082" t="str">
        <f t="shared" si="27"/>
        <v/>
      </c>
      <c r="AH242" s="1088"/>
      <c r="AI242" s="1087"/>
      <c r="AJ242" s="1084" t="str">
        <f t="shared" si="28"/>
        <v/>
      </c>
      <c r="AK242" s="1083" t="str">
        <f t="shared" si="29"/>
        <v/>
      </c>
      <c r="AL242" s="210">
        <v>14153603</v>
      </c>
      <c r="AM242" s="210"/>
      <c r="AN242" s="210"/>
      <c r="AO242" s="210"/>
      <c r="AP242" s="210"/>
      <c r="AQ242" s="210"/>
      <c r="AR242" s="210"/>
      <c r="AS242" s="210"/>
      <c r="AT242" s="210"/>
      <c r="AU242" s="210"/>
      <c r="AV242" s="210"/>
      <c r="AW242" s="210"/>
      <c r="AX242" s="210"/>
      <c r="AY242" s="210"/>
      <c r="AZ242" s="210"/>
      <c r="BA242" s="210"/>
      <c r="BB242" s="210"/>
      <c r="BC242" s="210"/>
      <c r="BD242" s="342"/>
      <c r="BE242" s="82">
        <f t="shared" si="31"/>
        <v>14153603</v>
      </c>
      <c r="BF242" s="13"/>
      <c r="BG242" s="1"/>
    </row>
    <row r="243" spans="1:59" ht="38.25" hidden="1" customHeight="1" x14ac:dyDescent="0.3">
      <c r="A243" s="80">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195">
        <f>+'Base de Datos'!I243</f>
        <v>10000000</v>
      </c>
      <c r="G243" s="196">
        <f>+'Base de Datos'!M243</f>
        <v>41911</v>
      </c>
      <c r="H243" s="196">
        <f>+'Base de Datos'!N243</f>
        <v>42033</v>
      </c>
      <c r="I243" s="196"/>
      <c r="J243" s="162"/>
      <c r="K243" s="332"/>
      <c r="L243" s="162"/>
      <c r="M243" s="332"/>
      <c r="N243" s="162"/>
      <c r="O243" s="332"/>
      <c r="P243" s="162"/>
      <c r="Q243" s="332"/>
      <c r="R243" s="81">
        <f t="shared" si="30"/>
        <v>0</v>
      </c>
      <c r="S243" s="345"/>
      <c r="T243" s="343"/>
      <c r="U243" s="345"/>
      <c r="V243" s="343"/>
      <c r="W243" s="345"/>
      <c r="X243" s="343"/>
      <c r="Y243" s="345"/>
      <c r="Z243" s="343"/>
      <c r="AA243" s="326"/>
      <c r="AB243" s="1004" t="str">
        <f t="shared" si="24"/>
        <v/>
      </c>
      <c r="AC243" s="1082" t="str">
        <f t="shared" si="25"/>
        <v/>
      </c>
      <c r="AD243" s="1075"/>
      <c r="AE243" s="1075"/>
      <c r="AF243" s="1084" t="str">
        <f t="shared" si="26"/>
        <v/>
      </c>
      <c r="AG243" s="1082" t="str">
        <f t="shared" si="27"/>
        <v/>
      </c>
      <c r="AH243" s="1089"/>
      <c r="AI243" s="1087"/>
      <c r="AJ243" s="1084" t="str">
        <f t="shared" si="28"/>
        <v/>
      </c>
      <c r="AK243" s="1083" t="str">
        <f t="shared" si="29"/>
        <v/>
      </c>
      <c r="AL243" s="211">
        <v>2666667</v>
      </c>
      <c r="AM243" s="211">
        <v>2500000</v>
      </c>
      <c r="AN243" s="211">
        <v>2500000</v>
      </c>
      <c r="AO243" s="210">
        <v>2333333</v>
      </c>
      <c r="AP243" s="210"/>
      <c r="AQ243" s="210"/>
      <c r="AR243" s="210"/>
      <c r="AS243" s="210"/>
      <c r="AT243" s="210"/>
      <c r="AU243" s="210"/>
      <c r="AV243" s="210"/>
      <c r="AW243" s="210"/>
      <c r="AX243" s="210"/>
      <c r="AY243" s="210"/>
      <c r="AZ243" s="210"/>
      <c r="BA243" s="210"/>
      <c r="BB243" s="210"/>
      <c r="BC243" s="210"/>
      <c r="BD243" s="342">
        <v>42051</v>
      </c>
      <c r="BE243" s="82">
        <f t="shared" si="31"/>
        <v>10000000</v>
      </c>
    </row>
    <row r="244" spans="1:59" ht="38.25" hidden="1" customHeight="1" x14ac:dyDescent="0.3">
      <c r="A244" s="80">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197">
        <f>+'Base de Datos'!I244</f>
        <v>812500</v>
      </c>
      <c r="G244" s="196">
        <f>+'Base de Datos'!M244</f>
        <v>41928</v>
      </c>
      <c r="H244" s="196">
        <f>+'Base de Datos'!N244</f>
        <v>42004</v>
      </c>
      <c r="I244" s="196"/>
      <c r="J244" s="162"/>
      <c r="K244" s="332"/>
      <c r="L244" s="162"/>
      <c r="M244" s="332"/>
      <c r="N244" s="162"/>
      <c r="O244" s="332"/>
      <c r="P244" s="162"/>
      <c r="Q244" s="332"/>
      <c r="R244" s="81">
        <f t="shared" si="30"/>
        <v>0</v>
      </c>
      <c r="S244" s="345"/>
      <c r="T244" s="343"/>
      <c r="U244" s="345"/>
      <c r="V244" s="343"/>
      <c r="W244" s="345"/>
      <c r="X244" s="343"/>
      <c r="Y244" s="345"/>
      <c r="Z244" s="343"/>
      <c r="AA244" s="326"/>
      <c r="AB244" s="1004" t="str">
        <f t="shared" si="24"/>
        <v/>
      </c>
      <c r="AC244" s="1082" t="str">
        <f t="shared" si="25"/>
        <v/>
      </c>
      <c r="AD244" s="1074"/>
      <c r="AE244" s="1074"/>
      <c r="AF244" s="1084" t="str">
        <f t="shared" si="26"/>
        <v/>
      </c>
      <c r="AG244" s="1082" t="str">
        <f t="shared" si="27"/>
        <v/>
      </c>
      <c r="AH244" s="1088"/>
      <c r="AI244" s="1087"/>
      <c r="AJ244" s="1084" t="str">
        <f t="shared" si="28"/>
        <v/>
      </c>
      <c r="AK244" s="1083" t="str">
        <f t="shared" si="29"/>
        <v/>
      </c>
      <c r="AL244" s="210">
        <v>812500</v>
      </c>
      <c r="AM244" s="210"/>
      <c r="AN244" s="210"/>
      <c r="AO244" s="210"/>
      <c r="AP244" s="210"/>
      <c r="AQ244" s="210"/>
      <c r="AR244" s="210"/>
      <c r="AS244" s="210"/>
      <c r="AT244" s="210"/>
      <c r="AU244" s="210"/>
      <c r="AV244" s="210"/>
      <c r="AW244" s="210"/>
      <c r="AX244" s="210"/>
      <c r="AY244" s="210"/>
      <c r="AZ244" s="210"/>
      <c r="BA244" s="210"/>
      <c r="BB244" s="210"/>
      <c r="BC244" s="210"/>
      <c r="BD244" s="342">
        <v>42052</v>
      </c>
      <c r="BE244" s="82">
        <f t="shared" si="31"/>
        <v>812500</v>
      </c>
    </row>
    <row r="245" spans="1:59" s="54" customFormat="1" ht="38.25" hidden="1" customHeight="1" x14ac:dyDescent="0.3">
      <c r="A245" s="80">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197">
        <v>44544000</v>
      </c>
      <c r="G245" s="196">
        <v>41929</v>
      </c>
      <c r="H245" s="196">
        <v>42294</v>
      </c>
      <c r="I245" s="196"/>
      <c r="J245" s="162">
        <v>22272000</v>
      </c>
      <c r="K245" s="332">
        <v>42291</v>
      </c>
      <c r="L245" s="162"/>
      <c r="M245" s="332"/>
      <c r="N245" s="162"/>
      <c r="O245" s="332"/>
      <c r="P245" s="162"/>
      <c r="Q245" s="332"/>
      <c r="R245" s="81">
        <f t="shared" si="30"/>
        <v>22272000</v>
      </c>
      <c r="S245" s="345" t="s">
        <v>382</v>
      </c>
      <c r="T245" s="343">
        <v>42477</v>
      </c>
      <c r="U245" s="345"/>
      <c r="V245" s="343"/>
      <c r="W245" s="345"/>
      <c r="X245" s="343"/>
      <c r="Y245" s="345"/>
      <c r="Z245" s="343"/>
      <c r="AA245" s="326" t="s">
        <v>382</v>
      </c>
      <c r="AB245" s="1004">
        <f t="shared" si="24"/>
        <v>42477</v>
      </c>
      <c r="AC245" s="1082" t="str">
        <f t="shared" si="25"/>
        <v/>
      </c>
      <c r="AD245" s="1074"/>
      <c r="AE245" s="1074"/>
      <c r="AF245" s="1084" t="str">
        <f t="shared" si="26"/>
        <v/>
      </c>
      <c r="AG245" s="1082" t="str">
        <f t="shared" si="27"/>
        <v/>
      </c>
      <c r="AH245" s="1088"/>
      <c r="AI245" s="1087"/>
      <c r="AJ245" s="1084" t="str">
        <f t="shared" si="28"/>
        <v/>
      </c>
      <c r="AK245" s="1083" t="str">
        <f t="shared" si="29"/>
        <v/>
      </c>
      <c r="AL245" s="210">
        <v>4176000</v>
      </c>
      <c r="AM245" s="210">
        <v>3364000</v>
      </c>
      <c r="AN245" s="210">
        <v>3364000</v>
      </c>
      <c r="AO245" s="210">
        <v>3364000</v>
      </c>
      <c r="AP245" s="210">
        <v>3364000</v>
      </c>
      <c r="AQ245" s="210">
        <v>10092000</v>
      </c>
      <c r="AR245" s="210">
        <v>16820000</v>
      </c>
      <c r="AS245" s="210">
        <v>2088000</v>
      </c>
      <c r="AT245" s="210">
        <v>3364000</v>
      </c>
      <c r="AU245" s="210">
        <v>16820000</v>
      </c>
      <c r="AV245" s="210"/>
      <c r="AW245" s="210"/>
      <c r="AX245" s="210"/>
      <c r="AY245" s="210"/>
      <c r="AZ245" s="210"/>
      <c r="BA245" s="210"/>
      <c r="BB245" s="210"/>
      <c r="BC245" s="210"/>
      <c r="BD245" s="342">
        <v>42514</v>
      </c>
      <c r="BE245" s="82">
        <f t="shared" si="31"/>
        <v>66816000</v>
      </c>
      <c r="BF245" s="13"/>
      <c r="BG245" s="1"/>
    </row>
    <row r="246" spans="1:59" ht="38.25" hidden="1" customHeight="1" x14ac:dyDescent="0.3">
      <c r="A246" s="80">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197">
        <f>+'Base de Datos'!I246</f>
        <v>818527824</v>
      </c>
      <c r="G246" s="196">
        <f>+'Base de Datos'!M246</f>
        <v>41921</v>
      </c>
      <c r="H246" s="196">
        <f>+'Base de Datos'!N246</f>
        <v>42102</v>
      </c>
      <c r="I246" s="196"/>
      <c r="J246" s="162"/>
      <c r="K246" s="332"/>
      <c r="L246" s="162"/>
      <c r="M246" s="332"/>
      <c r="N246" s="162"/>
      <c r="O246" s="332"/>
      <c r="P246" s="162"/>
      <c r="Q246" s="332"/>
      <c r="R246" s="81">
        <f t="shared" si="30"/>
        <v>0</v>
      </c>
      <c r="S246" s="345" t="s">
        <v>1613</v>
      </c>
      <c r="T246" s="343">
        <v>42116</v>
      </c>
      <c r="U246" s="345"/>
      <c r="V246" s="343"/>
      <c r="W246" s="345"/>
      <c r="X246" s="343"/>
      <c r="Y246" s="345"/>
      <c r="Z246" s="343"/>
      <c r="AA246" s="326" t="s">
        <v>1326</v>
      </c>
      <c r="AB246" s="1004">
        <f t="shared" si="24"/>
        <v>42116</v>
      </c>
      <c r="AC246" s="1082" t="str">
        <f t="shared" si="25"/>
        <v/>
      </c>
      <c r="AD246" s="1075"/>
      <c r="AE246" s="1075"/>
      <c r="AF246" s="1084" t="str">
        <f t="shared" si="26"/>
        <v/>
      </c>
      <c r="AG246" s="1082" t="str">
        <f t="shared" si="27"/>
        <v/>
      </c>
      <c r="AH246" s="1089"/>
      <c r="AI246" s="1087"/>
      <c r="AJ246" s="1084" t="str">
        <f t="shared" si="28"/>
        <v/>
      </c>
      <c r="AK246" s="1083" t="str">
        <f t="shared" si="29"/>
        <v/>
      </c>
      <c r="AL246" s="211">
        <v>52636618</v>
      </c>
      <c r="AM246" s="210">
        <v>136421304</v>
      </c>
      <c r="AN246" s="210">
        <v>155249340</v>
      </c>
      <c r="AO246" s="210">
        <v>124199472</v>
      </c>
      <c r="AP246" s="210">
        <v>124199472</v>
      </c>
      <c r="AQ246" s="210">
        <v>142730764</v>
      </c>
      <c r="AR246" s="210">
        <v>65353738</v>
      </c>
      <c r="AS246" s="210"/>
      <c r="AT246" s="210"/>
      <c r="AU246" s="210"/>
      <c r="AV246" s="210"/>
      <c r="AW246" s="210"/>
      <c r="AX246" s="210"/>
      <c r="AY246" s="210"/>
      <c r="AZ246" s="210"/>
      <c r="BA246" s="210"/>
      <c r="BB246" s="210"/>
      <c r="BC246" s="210"/>
      <c r="BD246" s="342">
        <v>42139</v>
      </c>
      <c r="BE246" s="82">
        <f t="shared" si="31"/>
        <v>800790708</v>
      </c>
    </row>
    <row r="247" spans="1:59" ht="38.25" hidden="1" customHeight="1" x14ac:dyDescent="0.3">
      <c r="A247" s="80">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197">
        <f>+'Base de Datos'!I247</f>
        <v>75520000</v>
      </c>
      <c r="G247" s="196">
        <f>+'Base de Datos'!M247</f>
        <v>41929</v>
      </c>
      <c r="H247" s="196">
        <f>+'Base de Datos'!N247</f>
        <v>42294</v>
      </c>
      <c r="I247" s="196"/>
      <c r="J247" s="162"/>
      <c r="K247" s="332"/>
      <c r="L247" s="162"/>
      <c r="M247" s="332"/>
      <c r="N247" s="162"/>
      <c r="O247" s="332"/>
      <c r="P247" s="162"/>
      <c r="Q247" s="332"/>
      <c r="R247" s="81">
        <f t="shared" si="30"/>
        <v>0</v>
      </c>
      <c r="S247" s="345" t="s">
        <v>378</v>
      </c>
      <c r="T247" s="343"/>
      <c r="U247" s="345"/>
      <c r="V247" s="343"/>
      <c r="W247" s="345"/>
      <c r="X247" s="343"/>
      <c r="Y247" s="345"/>
      <c r="Z247" s="343"/>
      <c r="AA247" s="326" t="s">
        <v>378</v>
      </c>
      <c r="AB247" s="1004" t="str">
        <f t="shared" si="24"/>
        <v/>
      </c>
      <c r="AC247" s="1082" t="str">
        <f t="shared" si="25"/>
        <v/>
      </c>
      <c r="AD247" s="1074"/>
      <c r="AE247" s="1074"/>
      <c r="AF247" s="1084" t="str">
        <f t="shared" si="26"/>
        <v/>
      </c>
      <c r="AG247" s="1082" t="str">
        <f t="shared" si="27"/>
        <v/>
      </c>
      <c r="AH247" s="1088"/>
      <c r="AI247" s="1087"/>
      <c r="AJ247" s="1084" t="str">
        <f t="shared" si="28"/>
        <v/>
      </c>
      <c r="AK247" s="1083" t="str">
        <f t="shared" si="29"/>
        <v/>
      </c>
      <c r="AL247" s="210">
        <v>62268670</v>
      </c>
      <c r="AM247" s="210">
        <v>6625664</v>
      </c>
      <c r="AN247" s="210">
        <v>6625665</v>
      </c>
      <c r="AO247" s="210"/>
      <c r="AP247" s="210"/>
      <c r="AQ247" s="210"/>
      <c r="AR247" s="210"/>
      <c r="AS247" s="210"/>
      <c r="AT247" s="210"/>
      <c r="AU247" s="210"/>
      <c r="AV247" s="210"/>
      <c r="AW247" s="210"/>
      <c r="AX247" s="210"/>
      <c r="AY247" s="210"/>
      <c r="AZ247" s="210"/>
      <c r="BA247" s="210"/>
      <c r="BB247" s="210"/>
      <c r="BC247" s="210"/>
      <c r="BD247" s="342">
        <v>42265</v>
      </c>
      <c r="BE247" s="82">
        <f t="shared" si="31"/>
        <v>75519999</v>
      </c>
    </row>
    <row r="248" spans="1:59" ht="38.25" hidden="1" customHeight="1" x14ac:dyDescent="0.3">
      <c r="A248" s="80">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197">
        <f>+'Base de Datos'!I248</f>
        <v>324800</v>
      </c>
      <c r="G248" s="196">
        <f>+'Base de Datos'!M248</f>
        <v>41939</v>
      </c>
      <c r="H248" s="196">
        <f>+'Base de Datos'!N248</f>
        <v>41970</v>
      </c>
      <c r="I248" s="196"/>
      <c r="J248" s="162"/>
      <c r="K248" s="332"/>
      <c r="L248" s="162"/>
      <c r="M248" s="332"/>
      <c r="N248" s="162"/>
      <c r="O248" s="332"/>
      <c r="P248" s="162"/>
      <c r="Q248" s="332"/>
      <c r="R248" s="81">
        <f t="shared" si="30"/>
        <v>0</v>
      </c>
      <c r="S248" s="345"/>
      <c r="T248" s="343"/>
      <c r="U248" s="345"/>
      <c r="V248" s="343"/>
      <c r="W248" s="345"/>
      <c r="X248" s="343"/>
      <c r="Y248" s="345"/>
      <c r="Z248" s="343"/>
      <c r="AA248" s="326"/>
      <c r="AB248" s="1004" t="str">
        <f t="shared" si="24"/>
        <v/>
      </c>
      <c r="AC248" s="1082" t="str">
        <f t="shared" si="25"/>
        <v/>
      </c>
      <c r="AD248" s="1075"/>
      <c r="AE248" s="1075"/>
      <c r="AF248" s="1084" t="str">
        <f t="shared" si="26"/>
        <v/>
      </c>
      <c r="AG248" s="1082" t="str">
        <f t="shared" si="27"/>
        <v/>
      </c>
      <c r="AH248" s="1089"/>
      <c r="AI248" s="1087"/>
      <c r="AJ248" s="1084" t="str">
        <f t="shared" si="28"/>
        <v/>
      </c>
      <c r="AK248" s="1083" t="str">
        <f t="shared" si="29"/>
        <v/>
      </c>
      <c r="AL248" s="211">
        <v>324800</v>
      </c>
      <c r="AM248" s="210"/>
      <c r="AN248" s="210"/>
      <c r="AO248" s="210"/>
      <c r="AP248" s="210"/>
      <c r="AQ248" s="210"/>
      <c r="AR248" s="210"/>
      <c r="AS248" s="210"/>
      <c r="AT248" s="210"/>
      <c r="AU248" s="210"/>
      <c r="AV248" s="210"/>
      <c r="AW248" s="210"/>
      <c r="AX248" s="210"/>
      <c r="AY248" s="210"/>
      <c r="AZ248" s="210"/>
      <c r="BA248" s="210"/>
      <c r="BB248" s="210"/>
      <c r="BC248" s="210"/>
      <c r="BD248" s="342">
        <v>41992</v>
      </c>
      <c r="BE248" s="82">
        <f t="shared" si="31"/>
        <v>324800</v>
      </c>
    </row>
    <row r="249" spans="1:59" ht="42.75" hidden="1" customHeight="1" x14ac:dyDescent="0.3">
      <c r="A249" s="80">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197">
        <f>+'Base de Datos'!I249</f>
        <v>1659960</v>
      </c>
      <c r="G249" s="196">
        <f>+'Base de Datos'!M249</f>
        <v>41968</v>
      </c>
      <c r="H249" s="196">
        <f>+'Base de Datos'!N249</f>
        <v>42241</v>
      </c>
      <c r="I249" s="196"/>
      <c r="J249" s="162">
        <v>800000</v>
      </c>
      <c r="K249" s="332">
        <v>42088</v>
      </c>
      <c r="L249" s="162"/>
      <c r="M249" s="332"/>
      <c r="N249" s="162"/>
      <c r="O249" s="332"/>
      <c r="P249" s="162"/>
      <c r="Q249" s="332"/>
      <c r="R249" s="81">
        <f t="shared" si="30"/>
        <v>800000</v>
      </c>
      <c r="S249" s="345"/>
      <c r="T249" s="343"/>
      <c r="U249" s="345"/>
      <c r="V249" s="343"/>
      <c r="W249" s="345"/>
      <c r="X249" s="343"/>
      <c r="Y249" s="345"/>
      <c r="Z249" s="343"/>
      <c r="AA249" s="326"/>
      <c r="AB249" s="1004" t="str">
        <f t="shared" si="24"/>
        <v/>
      </c>
      <c r="AC249" s="1082" t="str">
        <f t="shared" si="25"/>
        <v/>
      </c>
      <c r="AD249" s="1074"/>
      <c r="AE249" s="1074"/>
      <c r="AF249" s="1084" t="str">
        <f t="shared" si="26"/>
        <v/>
      </c>
      <c r="AG249" s="1082" t="str">
        <f t="shared" si="27"/>
        <v/>
      </c>
      <c r="AH249" s="1088"/>
      <c r="AI249" s="1087"/>
      <c r="AJ249" s="1084" t="str">
        <f t="shared" si="28"/>
        <v/>
      </c>
      <c r="AK249" s="1083" t="str">
        <f t="shared" si="29"/>
        <v/>
      </c>
      <c r="AL249" s="210">
        <v>184400</v>
      </c>
      <c r="AM249" s="210">
        <v>2273484</v>
      </c>
      <c r="AN249" s="210"/>
      <c r="AO249" s="210"/>
      <c r="AP249" s="210"/>
      <c r="AQ249" s="210"/>
      <c r="AR249" s="210"/>
      <c r="AS249" s="210"/>
      <c r="AT249" s="210"/>
      <c r="AU249" s="210"/>
      <c r="AV249" s="210"/>
      <c r="AW249" s="210"/>
      <c r="AX249" s="210"/>
      <c r="AY249" s="210"/>
      <c r="AZ249" s="210"/>
      <c r="BA249" s="210"/>
      <c r="BB249" s="210"/>
      <c r="BC249" s="210"/>
      <c r="BD249" s="342">
        <v>42094</v>
      </c>
      <c r="BE249" s="82">
        <f t="shared" si="31"/>
        <v>2457884</v>
      </c>
    </row>
    <row r="250" spans="1:59" s="54" customFormat="1" ht="38.25" hidden="1" customHeight="1" x14ac:dyDescent="0.3">
      <c r="A250" s="80">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197">
        <f>+'Base de Datos'!I250</f>
        <v>20188000</v>
      </c>
      <c r="G250" s="196">
        <f>+'Base de Datos'!M250</f>
        <v>41957</v>
      </c>
      <c r="H250" s="196">
        <f>+'Base de Datos'!N250</f>
        <v>42077</v>
      </c>
      <c r="I250" s="196"/>
      <c r="J250" s="162"/>
      <c r="K250" s="332"/>
      <c r="L250" s="162"/>
      <c r="M250" s="332"/>
      <c r="N250" s="162"/>
      <c r="O250" s="332"/>
      <c r="P250" s="162"/>
      <c r="Q250" s="332"/>
      <c r="R250" s="81">
        <f t="shared" si="30"/>
        <v>0</v>
      </c>
      <c r="S250" s="345"/>
      <c r="T250" s="343"/>
      <c r="U250" s="345"/>
      <c r="V250" s="343"/>
      <c r="W250" s="345"/>
      <c r="X250" s="343"/>
      <c r="Y250" s="345"/>
      <c r="Z250" s="343"/>
      <c r="AA250" s="326"/>
      <c r="AB250" s="1004" t="str">
        <f t="shared" si="24"/>
        <v/>
      </c>
      <c r="AC250" s="1082" t="str">
        <f t="shared" si="25"/>
        <v/>
      </c>
      <c r="AD250" s="1074"/>
      <c r="AE250" s="1074"/>
      <c r="AF250" s="1084" t="str">
        <f t="shared" si="26"/>
        <v/>
      </c>
      <c r="AG250" s="1082" t="str">
        <f t="shared" si="27"/>
        <v/>
      </c>
      <c r="AH250" s="1088"/>
      <c r="AI250" s="1087"/>
      <c r="AJ250" s="1084" t="str">
        <f t="shared" si="28"/>
        <v/>
      </c>
      <c r="AK250" s="1083" t="str">
        <f t="shared" si="29"/>
        <v/>
      </c>
      <c r="AL250" s="210">
        <v>20188000</v>
      </c>
      <c r="AM250" s="210"/>
      <c r="AN250" s="210"/>
      <c r="AO250" s="210"/>
      <c r="AP250" s="210"/>
      <c r="AQ250" s="210"/>
      <c r="AR250" s="210"/>
      <c r="AS250" s="210"/>
      <c r="AT250" s="210"/>
      <c r="AU250" s="210"/>
      <c r="AV250" s="210"/>
      <c r="AW250" s="210"/>
      <c r="AX250" s="210"/>
      <c r="AY250" s="210"/>
      <c r="AZ250" s="210"/>
      <c r="BA250" s="210"/>
      <c r="BB250" s="210"/>
      <c r="BC250" s="210"/>
      <c r="BD250" s="342">
        <v>0</v>
      </c>
      <c r="BE250" s="82">
        <f t="shared" si="31"/>
        <v>20188000</v>
      </c>
      <c r="BF250" s="13"/>
      <c r="BG250" s="1"/>
    </row>
    <row r="251" spans="1:59" ht="38.25" hidden="1" customHeight="1" x14ac:dyDescent="0.3">
      <c r="A251" s="80">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197">
        <f>+'Base de Datos'!I251</f>
        <v>59383678</v>
      </c>
      <c r="G251" s="196">
        <f>+'Base de Datos'!M251</f>
        <v>41941</v>
      </c>
      <c r="H251" s="196">
        <f>+'Base de Datos'!N251</f>
        <v>42033</v>
      </c>
      <c r="I251" s="196"/>
      <c r="J251" s="162"/>
      <c r="K251" s="332"/>
      <c r="L251" s="162"/>
      <c r="M251" s="332"/>
      <c r="N251" s="162"/>
      <c r="O251" s="332"/>
      <c r="P251" s="162"/>
      <c r="Q251" s="332"/>
      <c r="R251" s="81">
        <f t="shared" si="30"/>
        <v>0</v>
      </c>
      <c r="S251" s="258" t="s">
        <v>378</v>
      </c>
      <c r="T251" s="325">
        <v>42092</v>
      </c>
      <c r="U251" s="345" t="s">
        <v>378</v>
      </c>
      <c r="V251" s="343">
        <v>42153</v>
      </c>
      <c r="W251" s="345" t="s">
        <v>381</v>
      </c>
      <c r="X251" s="343">
        <v>42184</v>
      </c>
      <c r="Y251" s="345"/>
      <c r="Z251" s="343"/>
      <c r="AA251" s="326" t="s">
        <v>544</v>
      </c>
      <c r="AB251" s="1004">
        <f t="shared" si="24"/>
        <v>42184</v>
      </c>
      <c r="AC251" s="1082" t="str">
        <f t="shared" si="25"/>
        <v/>
      </c>
      <c r="AD251" s="1074"/>
      <c r="AE251" s="1074"/>
      <c r="AF251" s="1084" t="str">
        <f t="shared" si="26"/>
        <v/>
      </c>
      <c r="AG251" s="1082" t="str">
        <f t="shared" si="27"/>
        <v/>
      </c>
      <c r="AH251" s="1088"/>
      <c r="AI251" s="1087"/>
      <c r="AJ251" s="1084" t="str">
        <f t="shared" si="28"/>
        <v/>
      </c>
      <c r="AK251" s="1083" t="str">
        <f t="shared" si="29"/>
        <v/>
      </c>
      <c r="AL251" s="210">
        <v>27770152</v>
      </c>
      <c r="AM251" s="210"/>
      <c r="AN251" s="210"/>
      <c r="AO251" s="210"/>
      <c r="AP251" s="210"/>
      <c r="AQ251" s="210"/>
      <c r="AR251" s="210"/>
      <c r="AS251" s="210"/>
      <c r="AT251" s="210"/>
      <c r="AU251" s="210"/>
      <c r="AV251" s="210"/>
      <c r="AW251" s="210"/>
      <c r="AX251" s="210"/>
      <c r="AY251" s="210"/>
      <c r="AZ251" s="210"/>
      <c r="BA251" s="210"/>
      <c r="BB251" s="210"/>
      <c r="BC251" s="210"/>
      <c r="BD251" s="342">
        <v>42334</v>
      </c>
      <c r="BE251" s="82">
        <f t="shared" si="31"/>
        <v>27770152</v>
      </c>
    </row>
    <row r="252" spans="1:59" ht="38.25" hidden="1" customHeight="1" x14ac:dyDescent="0.3">
      <c r="A252" s="80">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197">
        <f>+'Base de Datos'!I252</f>
        <v>764100</v>
      </c>
      <c r="G252" s="196">
        <f>+'Base de Datos'!M252</f>
        <v>41970</v>
      </c>
      <c r="H252" s="196">
        <f>+'Base de Datos'!N252</f>
        <v>42335</v>
      </c>
      <c r="I252" s="196"/>
      <c r="J252" s="162"/>
      <c r="K252" s="332"/>
      <c r="L252" s="162"/>
      <c r="M252" s="332"/>
      <c r="N252" s="162"/>
      <c r="O252" s="332"/>
      <c r="P252" s="162"/>
      <c r="Q252" s="332"/>
      <c r="R252" s="81">
        <f t="shared" si="30"/>
        <v>0</v>
      </c>
      <c r="S252" s="345"/>
      <c r="T252" s="343"/>
      <c r="U252" s="345"/>
      <c r="V252" s="343"/>
      <c r="W252" s="345"/>
      <c r="X252" s="343"/>
      <c r="Y252" s="345"/>
      <c r="Z252" s="343"/>
      <c r="AA252" s="326"/>
      <c r="AB252" s="1004" t="str">
        <f t="shared" si="24"/>
        <v/>
      </c>
      <c r="AC252" s="1082" t="str">
        <f t="shared" si="25"/>
        <v/>
      </c>
      <c r="AD252" s="1076"/>
      <c r="AE252" s="1076"/>
      <c r="AF252" s="1084" t="str">
        <f t="shared" si="26"/>
        <v/>
      </c>
      <c r="AG252" s="1082" t="str">
        <f t="shared" si="27"/>
        <v/>
      </c>
      <c r="AH252" s="1090"/>
      <c r="AI252" s="1087"/>
      <c r="AJ252" s="1084" t="str">
        <f t="shared" si="28"/>
        <v/>
      </c>
      <c r="AK252" s="1083" t="str">
        <f t="shared" si="29"/>
        <v/>
      </c>
      <c r="AL252" s="210">
        <v>764100</v>
      </c>
      <c r="AM252" s="210"/>
      <c r="AN252" s="210"/>
      <c r="AO252" s="210"/>
      <c r="AP252" s="210"/>
      <c r="AQ252" s="210"/>
      <c r="AR252" s="210"/>
      <c r="AS252" s="210"/>
      <c r="AT252" s="210"/>
      <c r="AU252" s="210"/>
      <c r="AV252" s="210"/>
      <c r="AW252" s="210"/>
      <c r="AX252" s="210"/>
      <c r="AY252" s="210"/>
      <c r="AZ252" s="210"/>
      <c r="BA252" s="210"/>
      <c r="BB252" s="210"/>
      <c r="BC252" s="210"/>
      <c r="BD252" s="342">
        <v>41989</v>
      </c>
      <c r="BE252" s="82">
        <f t="shared" si="31"/>
        <v>764100</v>
      </c>
    </row>
    <row r="253" spans="1:59" ht="38.25" hidden="1" customHeight="1" x14ac:dyDescent="0.3">
      <c r="A253" s="80">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197">
        <f>+'Base de Datos'!I253</f>
        <v>108570688</v>
      </c>
      <c r="G253" s="196">
        <f>+'Base de Datos'!M253</f>
        <v>41935</v>
      </c>
      <c r="H253" s="196">
        <f>+'Base de Datos'!N253</f>
        <v>42117</v>
      </c>
      <c r="I253" s="196"/>
      <c r="J253" s="162">
        <v>54285345</v>
      </c>
      <c r="K253" s="332">
        <v>42117</v>
      </c>
      <c r="L253" s="162"/>
      <c r="M253" s="332"/>
      <c r="N253" s="162"/>
      <c r="O253" s="332"/>
      <c r="P253" s="162"/>
      <c r="Q253" s="332"/>
      <c r="R253" s="81">
        <f t="shared" si="30"/>
        <v>54285345</v>
      </c>
      <c r="S253" s="345" t="s">
        <v>379</v>
      </c>
      <c r="T253" s="343">
        <v>42208</v>
      </c>
      <c r="U253" s="345"/>
      <c r="V253" s="343"/>
      <c r="W253" s="345"/>
      <c r="X253" s="343"/>
      <c r="Y253" s="345"/>
      <c r="Z253" s="343"/>
      <c r="AA253" s="326" t="s">
        <v>379</v>
      </c>
      <c r="AB253" s="1004">
        <f t="shared" si="24"/>
        <v>42208</v>
      </c>
      <c r="AC253" s="1082" t="str">
        <f t="shared" si="25"/>
        <v/>
      </c>
      <c r="AD253" s="1076"/>
      <c r="AE253" s="1076"/>
      <c r="AF253" s="1084" t="str">
        <f t="shared" si="26"/>
        <v/>
      </c>
      <c r="AG253" s="1082" t="str">
        <f t="shared" si="27"/>
        <v/>
      </c>
      <c r="AH253" s="1090"/>
      <c r="AI253" s="1087"/>
      <c r="AJ253" s="1084" t="str">
        <f t="shared" si="28"/>
        <v/>
      </c>
      <c r="AK253" s="1083" t="str">
        <f t="shared" si="29"/>
        <v/>
      </c>
      <c r="AL253" s="210"/>
      <c r="AM253" s="210"/>
      <c r="AN253" s="210"/>
      <c r="AO253" s="210">
        <v>5203928</v>
      </c>
      <c r="AP253" s="210">
        <v>15595114</v>
      </c>
      <c r="AQ253" s="210">
        <v>134866529</v>
      </c>
      <c r="AR253" s="210"/>
      <c r="AS253" s="210"/>
      <c r="AT253" s="210"/>
      <c r="AU253" s="210"/>
      <c r="AV253" s="210"/>
      <c r="AW253" s="210"/>
      <c r="AX253" s="210"/>
      <c r="AY253" s="210"/>
      <c r="AZ253" s="210"/>
      <c r="BA253" s="210"/>
      <c r="BB253" s="210"/>
      <c r="BC253" s="210"/>
      <c r="BD253" s="342">
        <v>42150</v>
      </c>
      <c r="BE253" s="82">
        <f t="shared" si="31"/>
        <v>155665571</v>
      </c>
    </row>
    <row r="254" spans="1:59" ht="38.25" hidden="1" customHeight="1" x14ac:dyDescent="0.3">
      <c r="A254" s="80">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197">
        <f>+'Base de Datos'!I254</f>
        <v>27235640</v>
      </c>
      <c r="G254" s="196">
        <f>+'Base de Datos'!M254</f>
        <v>41969</v>
      </c>
      <c r="H254" s="196">
        <f>+'Base de Datos'!N254</f>
        <v>42334</v>
      </c>
      <c r="I254" s="196"/>
      <c r="J254" s="162"/>
      <c r="K254" s="332"/>
      <c r="L254" s="162"/>
      <c r="M254" s="332"/>
      <c r="N254" s="162"/>
      <c r="O254" s="332"/>
      <c r="P254" s="162"/>
      <c r="Q254" s="332"/>
      <c r="R254" s="81">
        <f t="shared" si="30"/>
        <v>0</v>
      </c>
      <c r="S254" s="345"/>
      <c r="T254" s="343"/>
      <c r="U254" s="345"/>
      <c r="V254" s="343"/>
      <c r="W254" s="345"/>
      <c r="X254" s="343"/>
      <c r="Y254" s="345"/>
      <c r="Z254" s="343"/>
      <c r="AA254" s="326"/>
      <c r="AB254" s="1004" t="str">
        <f t="shared" si="24"/>
        <v/>
      </c>
      <c r="AC254" s="1082" t="str">
        <f t="shared" si="25"/>
        <v/>
      </c>
      <c r="AD254" s="1076"/>
      <c r="AE254" s="1076"/>
      <c r="AF254" s="1084" t="str">
        <f t="shared" si="26"/>
        <v/>
      </c>
      <c r="AG254" s="1082" t="str">
        <f t="shared" si="27"/>
        <v/>
      </c>
      <c r="AH254" s="1090"/>
      <c r="AI254" s="1087"/>
      <c r="AJ254" s="1084" t="str">
        <f t="shared" si="28"/>
        <v/>
      </c>
      <c r="AK254" s="1083" t="str">
        <f t="shared" si="29"/>
        <v/>
      </c>
      <c r="AL254" s="210">
        <v>14265929</v>
      </c>
      <c r="AM254" s="210">
        <v>1711911</v>
      </c>
      <c r="AN254" s="210">
        <v>1392000</v>
      </c>
      <c r="AO254" s="210">
        <v>9865800</v>
      </c>
      <c r="AP254" s="210"/>
      <c r="AQ254" s="210"/>
      <c r="AR254" s="210"/>
      <c r="AS254" s="210"/>
      <c r="AT254" s="210"/>
      <c r="AU254" s="210"/>
      <c r="AV254" s="210"/>
      <c r="AW254" s="210"/>
      <c r="AX254" s="210"/>
      <c r="AY254" s="210"/>
      <c r="AZ254" s="210"/>
      <c r="BA254" s="210"/>
      <c r="BB254" s="210"/>
      <c r="BC254" s="210"/>
      <c r="BD254" s="342">
        <v>42304</v>
      </c>
      <c r="BE254" s="82">
        <f t="shared" si="31"/>
        <v>27235640</v>
      </c>
    </row>
    <row r="255" spans="1:59" ht="38.25" hidden="1" customHeight="1" x14ac:dyDescent="0.3">
      <c r="A255" s="80">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197">
        <f>+'Base de Datos'!I255</f>
        <v>39999999</v>
      </c>
      <c r="G255" s="196">
        <f>+'Base de Datos'!M255</f>
        <v>41957</v>
      </c>
      <c r="H255" s="196">
        <f>+'Base de Datos'!N255</f>
        <v>42504</v>
      </c>
      <c r="I255" s="196"/>
      <c r="J255" s="162"/>
      <c r="K255" s="332"/>
      <c r="L255" s="162"/>
      <c r="M255" s="332"/>
      <c r="N255" s="162"/>
      <c r="O255" s="332"/>
      <c r="P255" s="162"/>
      <c r="Q255" s="332"/>
      <c r="R255" s="81">
        <f t="shared" si="30"/>
        <v>0</v>
      </c>
      <c r="S255" s="345"/>
      <c r="T255" s="343"/>
      <c r="U255" s="345"/>
      <c r="V255" s="343"/>
      <c r="W255" s="345"/>
      <c r="X255" s="343"/>
      <c r="Y255" s="345"/>
      <c r="Z255" s="343"/>
      <c r="AA255" s="326"/>
      <c r="AB255" s="1004" t="str">
        <f t="shared" si="24"/>
        <v/>
      </c>
      <c r="AC255" s="1082" t="str">
        <f t="shared" si="25"/>
        <v/>
      </c>
      <c r="AD255" s="1076"/>
      <c r="AE255" s="1076"/>
      <c r="AF255" s="1084" t="str">
        <f t="shared" si="26"/>
        <v/>
      </c>
      <c r="AG255" s="1082" t="str">
        <f t="shared" si="27"/>
        <v/>
      </c>
      <c r="AH255" s="1090"/>
      <c r="AI255" s="1087"/>
      <c r="AJ255" s="1084" t="str">
        <f t="shared" si="28"/>
        <v/>
      </c>
      <c r="AK255" s="1083" t="str">
        <f t="shared" si="29"/>
        <v/>
      </c>
      <c r="AL255" s="210">
        <v>13999999</v>
      </c>
      <c r="AM255" s="210">
        <v>13999999</v>
      </c>
      <c r="AN255" s="210">
        <v>12000000</v>
      </c>
      <c r="AO255" s="210"/>
      <c r="AP255" s="210"/>
      <c r="AQ255" s="210"/>
      <c r="AR255" s="210"/>
      <c r="AS255" s="210"/>
      <c r="AT255" s="210"/>
      <c r="AU255" s="210"/>
      <c r="AV255" s="210"/>
      <c r="AW255" s="210"/>
      <c r="AX255" s="210"/>
      <c r="AY255" s="210"/>
      <c r="AZ255" s="210"/>
      <c r="BA255" s="210"/>
      <c r="BB255" s="210"/>
      <c r="BC255" s="210"/>
      <c r="BD255" s="342">
        <v>42355</v>
      </c>
      <c r="BE255" s="82">
        <f t="shared" si="31"/>
        <v>39999998</v>
      </c>
    </row>
    <row r="256" spans="1:59" ht="38.25" hidden="1" customHeight="1" x14ac:dyDescent="0.3">
      <c r="A256" s="80">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197">
        <f>+'Base de Datos'!I256</f>
        <v>17664500</v>
      </c>
      <c r="G256" s="196">
        <f>+'Base de Datos'!M256</f>
        <v>41956</v>
      </c>
      <c r="H256" s="196">
        <f>+'Base de Datos'!N256</f>
        <v>42063</v>
      </c>
      <c r="I256" s="196"/>
      <c r="J256" s="162"/>
      <c r="K256" s="332"/>
      <c r="L256" s="162"/>
      <c r="M256" s="332"/>
      <c r="N256" s="162"/>
      <c r="O256" s="332"/>
      <c r="P256" s="162"/>
      <c r="Q256" s="332"/>
      <c r="R256" s="81">
        <f t="shared" si="30"/>
        <v>0</v>
      </c>
      <c r="S256" s="345"/>
      <c r="T256" s="343"/>
      <c r="U256" s="345"/>
      <c r="V256" s="343"/>
      <c r="W256" s="345"/>
      <c r="X256" s="343"/>
      <c r="Y256" s="345"/>
      <c r="Z256" s="343"/>
      <c r="AA256" s="326"/>
      <c r="AB256" s="1004" t="str">
        <f t="shared" si="24"/>
        <v/>
      </c>
      <c r="AC256" s="1082" t="str">
        <f t="shared" si="25"/>
        <v/>
      </c>
      <c r="AD256" s="1076"/>
      <c r="AE256" s="1076"/>
      <c r="AF256" s="1084" t="str">
        <f t="shared" si="26"/>
        <v/>
      </c>
      <c r="AG256" s="1082" t="str">
        <f t="shared" si="27"/>
        <v/>
      </c>
      <c r="AH256" s="1090"/>
      <c r="AI256" s="1087"/>
      <c r="AJ256" s="1084" t="str">
        <f t="shared" si="28"/>
        <v/>
      </c>
      <c r="AK256" s="1083" t="str">
        <f t="shared" si="29"/>
        <v/>
      </c>
      <c r="AL256" s="210">
        <v>17664500</v>
      </c>
      <c r="AM256" s="210"/>
      <c r="AN256" s="210"/>
      <c r="AO256" s="210"/>
      <c r="AP256" s="210"/>
      <c r="AQ256" s="210"/>
      <c r="AR256" s="210"/>
      <c r="AS256" s="210"/>
      <c r="AT256" s="210"/>
      <c r="AU256" s="210"/>
      <c r="AV256" s="210"/>
      <c r="AW256" s="210"/>
      <c r="AX256" s="210"/>
      <c r="AY256" s="210"/>
      <c r="AZ256" s="210"/>
      <c r="BA256" s="210"/>
      <c r="BB256" s="210"/>
      <c r="BC256" s="210"/>
      <c r="BD256" s="342">
        <v>0</v>
      </c>
      <c r="BE256" s="82">
        <f t="shared" si="31"/>
        <v>17664500</v>
      </c>
    </row>
    <row r="257" spans="1:57" ht="38.25" hidden="1" customHeight="1" x14ac:dyDescent="0.3">
      <c r="A257" s="80">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197">
        <f>+'Base de Datos'!I257</f>
        <v>4750000</v>
      </c>
      <c r="G257" s="196">
        <f>+'Base de Datos'!M257</f>
        <v>41968</v>
      </c>
      <c r="H257" s="196">
        <f>+'Base de Datos'!N257</f>
        <v>42060</v>
      </c>
      <c r="I257" s="196"/>
      <c r="J257" s="162"/>
      <c r="K257" s="332"/>
      <c r="L257" s="162"/>
      <c r="M257" s="332"/>
      <c r="N257" s="162"/>
      <c r="O257" s="332"/>
      <c r="P257" s="162"/>
      <c r="Q257" s="332"/>
      <c r="R257" s="81">
        <f t="shared" si="30"/>
        <v>0</v>
      </c>
      <c r="S257" s="345"/>
      <c r="T257" s="343"/>
      <c r="U257" s="345"/>
      <c r="V257" s="343"/>
      <c r="W257" s="345"/>
      <c r="X257" s="343"/>
      <c r="Y257" s="345"/>
      <c r="Z257" s="343"/>
      <c r="AA257" s="326"/>
      <c r="AB257" s="1004" t="str">
        <f t="shared" si="24"/>
        <v/>
      </c>
      <c r="AC257" s="1082" t="str">
        <f t="shared" si="25"/>
        <v/>
      </c>
      <c r="AD257" s="1076"/>
      <c r="AE257" s="1076"/>
      <c r="AF257" s="1084" t="str">
        <f t="shared" si="26"/>
        <v/>
      </c>
      <c r="AG257" s="1082" t="str">
        <f t="shared" si="27"/>
        <v/>
      </c>
      <c r="AH257" s="1090"/>
      <c r="AI257" s="1087"/>
      <c r="AJ257" s="1084" t="str">
        <f t="shared" si="28"/>
        <v/>
      </c>
      <c r="AK257" s="1083" t="str">
        <f t="shared" si="29"/>
        <v/>
      </c>
      <c r="AL257" s="210">
        <v>3978684</v>
      </c>
      <c r="AM257" s="210"/>
      <c r="AN257" s="210"/>
      <c r="AO257" s="210"/>
      <c r="AP257" s="210"/>
      <c r="AQ257" s="210"/>
      <c r="AR257" s="210"/>
      <c r="AS257" s="210"/>
      <c r="AT257" s="210"/>
      <c r="AU257" s="210"/>
      <c r="AV257" s="210"/>
      <c r="AW257" s="210"/>
      <c r="AX257" s="210"/>
      <c r="AY257" s="210"/>
      <c r="AZ257" s="210"/>
      <c r="BA257" s="210"/>
      <c r="BB257" s="210"/>
      <c r="BC257" s="210"/>
      <c r="BD257" s="342">
        <v>42088</v>
      </c>
      <c r="BE257" s="82">
        <f t="shared" si="31"/>
        <v>3978684</v>
      </c>
    </row>
    <row r="258" spans="1:57" ht="38.25" hidden="1" customHeight="1" x14ac:dyDescent="0.3">
      <c r="A258" s="80">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197">
        <f>+'Base de Datos'!I258</f>
        <v>506601000</v>
      </c>
      <c r="G258" s="196">
        <f>+'Base de Datos'!M258</f>
        <v>41963</v>
      </c>
      <c r="H258" s="196">
        <f>+'Base de Datos'!N258</f>
        <v>42205</v>
      </c>
      <c r="I258" s="196"/>
      <c r="J258" s="162">
        <v>15868800</v>
      </c>
      <c r="K258" s="332">
        <v>42123</v>
      </c>
      <c r="L258" s="162">
        <v>146237869</v>
      </c>
      <c r="M258" s="332">
        <v>42179</v>
      </c>
      <c r="N258" s="162"/>
      <c r="O258" s="332"/>
      <c r="P258" s="162"/>
      <c r="Q258" s="332"/>
      <c r="R258" s="81">
        <f t="shared" si="30"/>
        <v>162106669</v>
      </c>
      <c r="S258" s="345"/>
      <c r="T258" s="343"/>
      <c r="U258" s="345"/>
      <c r="V258" s="343"/>
      <c r="W258" s="345"/>
      <c r="X258" s="343"/>
      <c r="Y258" s="345"/>
      <c r="Z258" s="343"/>
      <c r="AA258" s="326"/>
      <c r="AB258" s="1004" t="str">
        <f t="shared" si="24"/>
        <v/>
      </c>
      <c r="AC258" s="1082" t="str">
        <f t="shared" si="25"/>
        <v/>
      </c>
      <c r="AD258" s="1077"/>
      <c r="AE258" s="1077"/>
      <c r="AF258" s="1084" t="str">
        <f t="shared" si="26"/>
        <v/>
      </c>
      <c r="AG258" s="1082" t="str">
        <f t="shared" si="27"/>
        <v/>
      </c>
      <c r="AH258" s="1091"/>
      <c r="AI258" s="1087"/>
      <c r="AJ258" s="1084" t="str">
        <f t="shared" si="28"/>
        <v/>
      </c>
      <c r="AK258" s="1083" t="str">
        <f t="shared" si="29"/>
        <v/>
      </c>
      <c r="AL258" s="211">
        <v>352056250</v>
      </c>
      <c r="AM258" s="210">
        <v>33425000</v>
      </c>
      <c r="AN258" s="210">
        <v>32270933</v>
      </c>
      <c r="AO258" s="210">
        <v>40144000</v>
      </c>
      <c r="AP258" s="210">
        <v>20188779</v>
      </c>
      <c r="AQ258" s="210">
        <v>7700000</v>
      </c>
      <c r="AR258" s="210">
        <v>168742868</v>
      </c>
      <c r="AS258" s="210">
        <v>10810000</v>
      </c>
      <c r="AT258" s="210"/>
      <c r="AU258" s="210"/>
      <c r="AV258" s="210"/>
      <c r="AW258" s="210"/>
      <c r="AX258" s="210"/>
      <c r="AY258" s="210"/>
      <c r="AZ258" s="210"/>
      <c r="BA258" s="210"/>
      <c r="BB258" s="210"/>
      <c r="BC258" s="210"/>
      <c r="BD258" s="342">
        <v>42243</v>
      </c>
      <c r="BE258" s="82">
        <f t="shared" si="31"/>
        <v>665337830</v>
      </c>
    </row>
    <row r="259" spans="1:57" ht="38.25" hidden="1" customHeight="1" x14ac:dyDescent="0.3">
      <c r="A259" s="80">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197">
        <f>+'Base de Datos'!I259</f>
        <v>401058400</v>
      </c>
      <c r="G259" s="196">
        <f>+'Base de Datos'!M259</f>
        <v>42031</v>
      </c>
      <c r="H259" s="196">
        <f>+'Base de Datos'!N259</f>
        <v>42274</v>
      </c>
      <c r="I259" s="196"/>
      <c r="J259" s="162"/>
      <c r="K259" s="332"/>
      <c r="L259" s="162"/>
      <c r="M259" s="332"/>
      <c r="N259" s="162"/>
      <c r="O259" s="332"/>
      <c r="P259" s="162"/>
      <c r="Q259" s="332"/>
      <c r="R259" s="81">
        <f t="shared" si="30"/>
        <v>0</v>
      </c>
      <c r="S259" s="345" t="s">
        <v>378</v>
      </c>
      <c r="T259" s="343">
        <v>42335</v>
      </c>
      <c r="U259" s="345"/>
      <c r="V259" s="343"/>
      <c r="W259" s="345"/>
      <c r="X259" s="343"/>
      <c r="Y259" s="345"/>
      <c r="Z259" s="343"/>
      <c r="AA259" s="326" t="s">
        <v>378</v>
      </c>
      <c r="AB259" s="1004">
        <f t="shared" si="24"/>
        <v>42335</v>
      </c>
      <c r="AC259" s="1082" t="str">
        <f t="shared" si="25"/>
        <v/>
      </c>
      <c r="AD259" s="1076"/>
      <c r="AE259" s="1076"/>
      <c r="AF259" s="1084" t="str">
        <f t="shared" si="26"/>
        <v/>
      </c>
      <c r="AG259" s="1082" t="str">
        <f t="shared" si="27"/>
        <v/>
      </c>
      <c r="AH259" s="1090"/>
      <c r="AI259" s="1087"/>
      <c r="AJ259" s="1084" t="str">
        <f t="shared" si="28"/>
        <v/>
      </c>
      <c r="AK259" s="1083" t="str">
        <f t="shared" si="29"/>
        <v/>
      </c>
      <c r="AL259" s="210">
        <v>90683000</v>
      </c>
      <c r="AM259" s="210">
        <v>42775000</v>
      </c>
      <c r="AN259" s="210">
        <v>56120800</v>
      </c>
      <c r="AO259" s="210">
        <v>23269600</v>
      </c>
      <c r="AP259" s="210">
        <v>60227200</v>
      </c>
      <c r="AQ259" s="210">
        <v>46881400</v>
      </c>
      <c r="AR259" s="210">
        <v>25665000</v>
      </c>
      <c r="AS259" s="210">
        <v>32166800</v>
      </c>
      <c r="AT259" s="210">
        <v>23269600</v>
      </c>
      <c r="AU259" s="210"/>
      <c r="AV259" s="210"/>
      <c r="AW259" s="210"/>
      <c r="AX259" s="210"/>
      <c r="AY259" s="210"/>
      <c r="AZ259" s="210"/>
      <c r="BA259" s="210"/>
      <c r="BB259" s="210"/>
      <c r="BC259" s="210"/>
      <c r="BD259" s="342">
        <v>42468</v>
      </c>
      <c r="BE259" s="82">
        <f t="shared" si="31"/>
        <v>401058400</v>
      </c>
    </row>
    <row r="260" spans="1:57" ht="38.25" hidden="1" customHeight="1" x14ac:dyDescent="0.3">
      <c r="A260" s="80">
        <v>254</v>
      </c>
      <c r="B260" s="2" t="str">
        <f>+'Base de Datos'!E260</f>
        <v>140358-0-2014</v>
      </c>
      <c r="C260" s="2" t="str">
        <f>+'Base de Datos'!F260</f>
        <v>ORGANIZACIÓN TERPEL S.A.</v>
      </c>
      <c r="D260" s="2">
        <f>+'Base de Datos'!G260</f>
        <v>830095213</v>
      </c>
      <c r="E260" s="2" t="str">
        <f>+'Base de Datos'!H260</f>
        <v>Suministro de combustible para el Concejo de Bogotá D.C.</v>
      </c>
      <c r="F260" s="197">
        <f>+'Base de Datos'!I260</f>
        <v>171253333</v>
      </c>
      <c r="G260" s="196">
        <f>+'Base de Datos'!M260</f>
        <v>41961</v>
      </c>
      <c r="H260" s="196">
        <f>+'Base de Datos'!N260</f>
        <v>42063</v>
      </c>
      <c r="I260" s="196"/>
      <c r="J260" s="162"/>
      <c r="K260" s="332"/>
      <c r="L260" s="162"/>
      <c r="M260" s="332"/>
      <c r="N260" s="162"/>
      <c r="O260" s="332"/>
      <c r="P260" s="162"/>
      <c r="Q260" s="332"/>
      <c r="R260" s="81">
        <f t="shared" si="30"/>
        <v>0</v>
      </c>
      <c r="S260" s="345"/>
      <c r="T260" s="343"/>
      <c r="U260" s="345"/>
      <c r="V260" s="343"/>
      <c r="W260" s="345"/>
      <c r="X260" s="343"/>
      <c r="Y260" s="345"/>
      <c r="Z260" s="343"/>
      <c r="AA260" s="326"/>
      <c r="AB260" s="1004" t="str">
        <f t="shared" si="24"/>
        <v/>
      </c>
      <c r="AC260" s="1082" t="str">
        <f t="shared" si="25"/>
        <v/>
      </c>
      <c r="AD260" s="1076"/>
      <c r="AE260" s="1076"/>
      <c r="AF260" s="1084" t="str">
        <f t="shared" si="26"/>
        <v/>
      </c>
      <c r="AG260" s="1082" t="str">
        <f t="shared" si="27"/>
        <v/>
      </c>
      <c r="AH260" s="1090"/>
      <c r="AI260" s="1087"/>
      <c r="AJ260" s="1084" t="str">
        <f t="shared" si="28"/>
        <v/>
      </c>
      <c r="AK260" s="1083" t="str">
        <f t="shared" si="29"/>
        <v/>
      </c>
      <c r="AL260" s="210">
        <v>16700721</v>
      </c>
      <c r="AM260" s="210">
        <v>1158828</v>
      </c>
      <c r="AN260" s="210">
        <v>21069639</v>
      </c>
      <c r="AO260" s="210">
        <v>15500480</v>
      </c>
      <c r="AP260" s="210">
        <v>11998603</v>
      </c>
      <c r="AQ260" s="210">
        <v>22049282</v>
      </c>
      <c r="AR260" s="210">
        <v>17506179</v>
      </c>
      <c r="AS260" s="210">
        <v>17553377</v>
      </c>
      <c r="AT260" s="210"/>
      <c r="AU260" s="210"/>
      <c r="AV260" s="210"/>
      <c r="AW260" s="210"/>
      <c r="AX260" s="210"/>
      <c r="AY260" s="210"/>
      <c r="AZ260" s="210"/>
      <c r="BA260" s="210"/>
      <c r="BB260" s="210"/>
      <c r="BC260" s="210"/>
      <c r="BD260" s="342">
        <v>42081</v>
      </c>
      <c r="BE260" s="82">
        <f t="shared" si="31"/>
        <v>123537109</v>
      </c>
    </row>
    <row r="261" spans="1:57" ht="38.25" hidden="1" customHeight="1" x14ac:dyDescent="0.3">
      <c r="A261" s="80">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197">
        <f>+'Base de Datos'!I261</f>
        <v>12700000</v>
      </c>
      <c r="G261" s="196">
        <f>+'Base de Datos'!M261</f>
        <v>41982</v>
      </c>
      <c r="H261" s="196">
        <f>+'Base de Datos'!N261</f>
        <v>42044</v>
      </c>
      <c r="I261" s="196"/>
      <c r="J261" s="162"/>
      <c r="K261" s="332"/>
      <c r="L261" s="162"/>
      <c r="M261" s="332"/>
      <c r="N261" s="162"/>
      <c r="O261" s="332"/>
      <c r="P261" s="162"/>
      <c r="Q261" s="332"/>
      <c r="R261" s="81">
        <f t="shared" si="30"/>
        <v>0</v>
      </c>
      <c r="S261" s="345"/>
      <c r="T261" s="343"/>
      <c r="U261" s="345"/>
      <c r="V261" s="343"/>
      <c r="W261" s="345"/>
      <c r="X261" s="343"/>
      <c r="Y261" s="345"/>
      <c r="Z261" s="343"/>
      <c r="AA261" s="326"/>
      <c r="AB261" s="1004" t="str">
        <f t="shared" si="24"/>
        <v/>
      </c>
      <c r="AC261" s="1082" t="str">
        <f t="shared" si="25"/>
        <v/>
      </c>
      <c r="AD261" s="1076"/>
      <c r="AE261" s="1076"/>
      <c r="AF261" s="1084" t="str">
        <f t="shared" si="26"/>
        <v/>
      </c>
      <c r="AG261" s="1082" t="str">
        <f t="shared" si="27"/>
        <v/>
      </c>
      <c r="AH261" s="1090"/>
      <c r="AI261" s="1087"/>
      <c r="AJ261" s="1084" t="str">
        <f t="shared" si="28"/>
        <v/>
      </c>
      <c r="AK261" s="1083" t="str">
        <f t="shared" si="29"/>
        <v/>
      </c>
      <c r="AL261" s="210">
        <v>11878400</v>
      </c>
      <c r="AM261" s="210">
        <v>580000</v>
      </c>
      <c r="AN261" s="210"/>
      <c r="AO261" s="210"/>
      <c r="AP261" s="210"/>
      <c r="AQ261" s="210"/>
      <c r="AR261" s="210"/>
      <c r="AS261" s="210"/>
      <c r="AT261" s="210"/>
      <c r="AU261" s="210"/>
      <c r="AV261" s="210"/>
      <c r="AW261" s="210"/>
      <c r="AX261" s="210"/>
      <c r="AY261" s="210"/>
      <c r="AZ261" s="210"/>
      <c r="BA261" s="210"/>
      <c r="BB261" s="210"/>
      <c r="BC261" s="210"/>
      <c r="BD261" s="342">
        <v>42044</v>
      </c>
      <c r="BE261" s="82">
        <f t="shared" si="31"/>
        <v>12458400</v>
      </c>
    </row>
    <row r="262" spans="1:57" ht="38.25" hidden="1" customHeight="1" x14ac:dyDescent="0.3">
      <c r="A262" s="80">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197">
        <f>+'Base de Datos'!I262</f>
        <v>39424000</v>
      </c>
      <c r="G262" s="196">
        <f>+'Base de Datos'!M262</f>
        <v>41982</v>
      </c>
      <c r="H262" s="196">
        <f>+'Base de Datos'!N262</f>
        <v>42013</v>
      </c>
      <c r="I262" s="196"/>
      <c r="J262" s="162"/>
      <c r="K262" s="332"/>
      <c r="L262" s="162"/>
      <c r="M262" s="332"/>
      <c r="N262" s="162"/>
      <c r="O262" s="332"/>
      <c r="P262" s="162"/>
      <c r="Q262" s="332"/>
      <c r="R262" s="81">
        <f t="shared" si="30"/>
        <v>0</v>
      </c>
      <c r="S262" s="345"/>
      <c r="T262" s="343"/>
      <c r="U262" s="345"/>
      <c r="V262" s="343"/>
      <c r="W262" s="345"/>
      <c r="X262" s="343"/>
      <c r="Y262" s="345"/>
      <c r="Z262" s="343"/>
      <c r="AA262" s="326"/>
      <c r="AB262" s="1004" t="str">
        <f t="shared" si="24"/>
        <v/>
      </c>
      <c r="AC262" s="1082" t="str">
        <f t="shared" si="25"/>
        <v/>
      </c>
      <c r="AD262" s="1077"/>
      <c r="AE262" s="1077"/>
      <c r="AF262" s="1084" t="str">
        <f t="shared" si="26"/>
        <v/>
      </c>
      <c r="AG262" s="1082" t="str">
        <f t="shared" si="27"/>
        <v/>
      </c>
      <c r="AH262" s="1091"/>
      <c r="AI262" s="1087"/>
      <c r="AJ262" s="1084" t="str">
        <f t="shared" si="28"/>
        <v/>
      </c>
      <c r="AK262" s="1083" t="str">
        <f t="shared" si="29"/>
        <v/>
      </c>
      <c r="AL262" s="211">
        <v>39424000</v>
      </c>
      <c r="AM262" s="210"/>
      <c r="AN262" s="210"/>
      <c r="AO262" s="210"/>
      <c r="AP262" s="210"/>
      <c r="AQ262" s="210"/>
      <c r="AR262" s="210"/>
      <c r="AS262" s="210"/>
      <c r="AT262" s="210"/>
      <c r="AU262" s="210"/>
      <c r="AV262" s="210"/>
      <c r="AW262" s="210"/>
      <c r="AX262" s="210"/>
      <c r="AY262" s="210"/>
      <c r="AZ262" s="210"/>
      <c r="BA262" s="210"/>
      <c r="BB262" s="210"/>
      <c r="BC262" s="210"/>
      <c r="BD262" s="342">
        <v>42030</v>
      </c>
      <c r="BE262" s="82">
        <f t="shared" si="31"/>
        <v>39424000</v>
      </c>
    </row>
    <row r="263" spans="1:57" ht="38.25" hidden="1" customHeight="1" x14ac:dyDescent="0.3">
      <c r="A263" s="80">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197">
        <f>+'Base de Datos'!I263</f>
        <v>187940000</v>
      </c>
      <c r="G263" s="196">
        <f>+'Base de Datos'!M263</f>
        <v>42023</v>
      </c>
      <c r="H263" s="196">
        <f>+'Base de Datos'!N263</f>
        <v>42102</v>
      </c>
      <c r="I263" s="196"/>
      <c r="J263" s="162"/>
      <c r="K263" s="332"/>
      <c r="L263" s="162"/>
      <c r="M263" s="332"/>
      <c r="N263" s="162"/>
      <c r="O263" s="332"/>
      <c r="P263" s="162"/>
      <c r="Q263" s="332"/>
      <c r="R263" s="81">
        <f t="shared" si="30"/>
        <v>0</v>
      </c>
      <c r="S263" s="345"/>
      <c r="T263" s="343"/>
      <c r="U263" s="345"/>
      <c r="V263" s="343"/>
      <c r="W263" s="345"/>
      <c r="X263" s="343"/>
      <c r="Y263" s="345"/>
      <c r="Z263" s="343"/>
      <c r="AA263" s="326"/>
      <c r="AB263" s="1004" t="str">
        <f t="shared" ref="AB263:AB326" si="32">IF(ISNUMBER(T263),MAX(T263,V263,X263,Z263),"")</f>
        <v/>
      </c>
      <c r="AC263" s="1082" t="str">
        <f t="shared" ref="AC263:AC326" si="33">IF(ISNUMBER(AD263),ABS(AD263-AE263)+1,"")</f>
        <v/>
      </c>
      <c r="AD263" s="1076"/>
      <c r="AE263" s="1076"/>
      <c r="AF263" s="1084" t="str">
        <f t="shared" ref="AF263:AF326" si="34">IFERROR(IF(MAX(H263,I263)&lt;AE263,MAX(H263,I263)-AE263+AC263+AE263,MAX(H263,I263)+AC263),"")</f>
        <v/>
      </c>
      <c r="AG263" s="1082" t="str">
        <f t="shared" ref="AG263:AG326" si="35">IF(ISNUMBER(AH263),ABS(AH263-AI263)+1,"")</f>
        <v/>
      </c>
      <c r="AH263" s="1090"/>
      <c r="AI263" s="1087"/>
      <c r="AJ263" s="1084" t="str">
        <f t="shared" ref="AJ263:AJ326" si="36">IFERROR(IF(AF263&lt;AI263,((AF263-AI263)+AG263)+(AI263),AF263+AG263),"")</f>
        <v/>
      </c>
      <c r="AK263" s="1083" t="str">
        <f t="shared" ref="AK263:AK326" si="37">IF(ISNUMBER(AF263),MAX(AB263,AF263,AJ263),"")</f>
        <v/>
      </c>
      <c r="AL263" s="210">
        <v>187940000</v>
      </c>
      <c r="AM263" s="210"/>
      <c r="AN263" s="210"/>
      <c r="AO263" s="210"/>
      <c r="AP263" s="210"/>
      <c r="AQ263" s="210"/>
      <c r="AR263" s="210"/>
      <c r="AS263" s="210"/>
      <c r="AT263" s="210"/>
      <c r="AU263" s="210"/>
      <c r="AV263" s="210"/>
      <c r="AW263" s="210"/>
      <c r="AX263" s="210"/>
      <c r="AY263" s="210"/>
      <c r="AZ263" s="210"/>
      <c r="BA263" s="210"/>
      <c r="BB263" s="210"/>
      <c r="BC263" s="210"/>
      <c r="BD263" s="342">
        <v>42240</v>
      </c>
      <c r="BE263" s="82">
        <f t="shared" si="31"/>
        <v>187940000</v>
      </c>
    </row>
    <row r="264" spans="1:57" ht="38.25" hidden="1" customHeight="1" x14ac:dyDescent="0.3">
      <c r="A264" s="80">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197">
        <f>+'Base de Datos'!I264</f>
        <v>300000000</v>
      </c>
      <c r="G264" s="196">
        <f>+'Base de Datos'!M264</f>
        <v>41989</v>
      </c>
      <c r="H264" s="196">
        <f>+'Base de Datos'!N264</f>
        <v>42140</v>
      </c>
      <c r="I264" s="196"/>
      <c r="J264" s="162"/>
      <c r="K264" s="332"/>
      <c r="L264" s="162"/>
      <c r="M264" s="332"/>
      <c r="N264" s="162"/>
      <c r="O264" s="332"/>
      <c r="P264" s="162"/>
      <c r="Q264" s="332"/>
      <c r="R264" s="81">
        <f t="shared" ref="R264:R279" si="38">SUM(J264,L264,N264,P264)</f>
        <v>0</v>
      </c>
      <c r="S264" s="345"/>
      <c r="T264" s="343"/>
      <c r="U264" s="345"/>
      <c r="V264" s="343"/>
      <c r="W264" s="345"/>
      <c r="X264" s="343"/>
      <c r="Y264" s="345"/>
      <c r="Z264" s="343"/>
      <c r="AA264" s="326"/>
      <c r="AB264" s="1004" t="str">
        <f t="shared" si="32"/>
        <v/>
      </c>
      <c r="AC264" s="1082" t="str">
        <f t="shared" si="33"/>
        <v/>
      </c>
      <c r="AD264" s="1076"/>
      <c r="AE264" s="1076"/>
      <c r="AF264" s="1084" t="str">
        <f t="shared" si="34"/>
        <v/>
      </c>
      <c r="AG264" s="1082" t="str">
        <f t="shared" si="35"/>
        <v/>
      </c>
      <c r="AH264" s="1090"/>
      <c r="AI264" s="1087"/>
      <c r="AJ264" s="1084" t="str">
        <f t="shared" si="36"/>
        <v/>
      </c>
      <c r="AK264" s="1083" t="str">
        <f t="shared" si="37"/>
        <v/>
      </c>
      <c r="AL264" s="210">
        <v>72622433</v>
      </c>
      <c r="AM264" s="210">
        <v>93914425</v>
      </c>
      <c r="AN264" s="210">
        <v>47241819</v>
      </c>
      <c r="AO264" s="210">
        <v>24847807</v>
      </c>
      <c r="AP264" s="210"/>
      <c r="AQ264" s="210"/>
      <c r="AR264" s="210"/>
      <c r="AS264" s="210"/>
      <c r="AT264" s="210"/>
      <c r="AU264" s="210"/>
      <c r="AV264" s="210"/>
      <c r="AW264" s="210"/>
      <c r="AX264" s="210"/>
      <c r="AY264" s="210"/>
      <c r="AZ264" s="210"/>
      <c r="BA264" s="210"/>
      <c r="BB264" s="210"/>
      <c r="BC264" s="210"/>
      <c r="BD264" s="342">
        <v>42199</v>
      </c>
      <c r="BE264" s="82">
        <f t="shared" si="31"/>
        <v>238626484</v>
      </c>
    </row>
    <row r="265" spans="1:57" ht="38.25" hidden="1" customHeight="1" x14ac:dyDescent="0.3">
      <c r="A265" s="80">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197">
        <f>+'Base de Datos'!I265</f>
        <v>29997466</v>
      </c>
      <c r="G265" s="196">
        <f>+'Base de Datos'!M265</f>
        <v>41988</v>
      </c>
      <c r="H265" s="196">
        <f>+'Base de Datos'!N265</f>
        <v>42109</v>
      </c>
      <c r="I265" s="196"/>
      <c r="J265" s="162"/>
      <c r="K265" s="332"/>
      <c r="L265" s="162"/>
      <c r="M265" s="332"/>
      <c r="N265" s="162"/>
      <c r="O265" s="332"/>
      <c r="P265" s="162"/>
      <c r="Q265" s="332"/>
      <c r="R265" s="81">
        <f t="shared" si="38"/>
        <v>0</v>
      </c>
      <c r="S265" s="345"/>
      <c r="T265" s="343"/>
      <c r="U265" s="345"/>
      <c r="V265" s="343"/>
      <c r="W265" s="345"/>
      <c r="X265" s="343"/>
      <c r="Y265" s="345"/>
      <c r="Z265" s="343"/>
      <c r="AA265" s="326"/>
      <c r="AB265" s="1004" t="str">
        <f t="shared" si="32"/>
        <v/>
      </c>
      <c r="AC265" s="1082" t="str">
        <f t="shared" si="33"/>
        <v/>
      </c>
      <c r="AD265" s="1076"/>
      <c r="AE265" s="1076"/>
      <c r="AF265" s="1084" t="str">
        <f t="shared" si="34"/>
        <v/>
      </c>
      <c r="AG265" s="1082" t="str">
        <f t="shared" si="35"/>
        <v/>
      </c>
      <c r="AH265" s="1090"/>
      <c r="AI265" s="1087"/>
      <c r="AJ265" s="1084" t="str">
        <f t="shared" si="36"/>
        <v/>
      </c>
      <c r="AK265" s="1083" t="str">
        <f t="shared" si="37"/>
        <v/>
      </c>
      <c r="AL265" s="210">
        <v>29997466</v>
      </c>
      <c r="AM265" s="210"/>
      <c r="AN265" s="210"/>
      <c r="AO265" s="210"/>
      <c r="AP265" s="210"/>
      <c r="AQ265" s="210"/>
      <c r="AR265" s="210"/>
      <c r="AS265" s="210"/>
      <c r="AT265" s="210"/>
      <c r="AU265" s="210"/>
      <c r="AV265" s="210"/>
      <c r="AW265" s="210"/>
      <c r="AX265" s="210"/>
      <c r="AY265" s="210"/>
      <c r="AZ265" s="210"/>
      <c r="BA265" s="210"/>
      <c r="BB265" s="210"/>
      <c r="BC265" s="210"/>
      <c r="BD265" s="342">
        <v>42074</v>
      </c>
      <c r="BE265" s="82">
        <f t="shared" si="31"/>
        <v>29997466</v>
      </c>
    </row>
    <row r="266" spans="1:57" ht="38.25" hidden="1" customHeight="1" x14ac:dyDescent="0.3">
      <c r="A266" s="80">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197">
        <f>+'Base de Datos'!I266</f>
        <v>1624000</v>
      </c>
      <c r="G266" s="196">
        <f>+'Base de Datos'!M266</f>
        <v>42037</v>
      </c>
      <c r="H266" s="196">
        <f>+'Base de Datos'!N266</f>
        <v>42279</v>
      </c>
      <c r="I266" s="196"/>
      <c r="J266" s="162"/>
      <c r="K266" s="332"/>
      <c r="L266" s="162"/>
      <c r="M266" s="332"/>
      <c r="N266" s="162"/>
      <c r="O266" s="332"/>
      <c r="P266" s="162"/>
      <c r="Q266" s="332"/>
      <c r="R266" s="81">
        <f t="shared" si="38"/>
        <v>0</v>
      </c>
      <c r="S266" s="345"/>
      <c r="T266" s="343"/>
      <c r="U266" s="345"/>
      <c r="V266" s="343"/>
      <c r="W266" s="345"/>
      <c r="X266" s="343"/>
      <c r="Y266" s="345"/>
      <c r="Z266" s="343"/>
      <c r="AA266" s="326"/>
      <c r="AB266" s="1004" t="str">
        <f t="shared" si="32"/>
        <v/>
      </c>
      <c r="AC266" s="1082" t="str">
        <f t="shared" si="33"/>
        <v/>
      </c>
      <c r="AD266" s="1076"/>
      <c r="AE266" s="1076"/>
      <c r="AF266" s="1084" t="str">
        <f t="shared" si="34"/>
        <v/>
      </c>
      <c r="AG266" s="1082" t="str">
        <f t="shared" si="35"/>
        <v/>
      </c>
      <c r="AH266" s="1090"/>
      <c r="AI266" s="1087"/>
      <c r="AJ266" s="1084" t="str">
        <f t="shared" si="36"/>
        <v/>
      </c>
      <c r="AK266" s="1083" t="str">
        <f t="shared" si="37"/>
        <v/>
      </c>
      <c r="AL266" s="210"/>
      <c r="AM266" s="210"/>
      <c r="AN266" s="210"/>
      <c r="AO266" s="210"/>
      <c r="AP266" s="210"/>
      <c r="AQ266" s="210"/>
      <c r="AR266" s="210"/>
      <c r="AS266" s="210"/>
      <c r="AT266" s="210"/>
      <c r="AU266" s="210"/>
      <c r="AV266" s="210"/>
      <c r="AW266" s="210"/>
      <c r="AX266" s="210"/>
      <c r="AY266" s="210"/>
      <c r="AZ266" s="210"/>
      <c r="BA266" s="210"/>
      <c r="BB266" s="210"/>
      <c r="BC266" s="210"/>
      <c r="BD266" s="342">
        <v>0</v>
      </c>
      <c r="BE266" s="82">
        <f t="shared" ref="BE266:BE329" si="39">SUM(AL266:BC266)</f>
        <v>0</v>
      </c>
    </row>
    <row r="267" spans="1:57" ht="38.25" hidden="1" customHeight="1" x14ac:dyDescent="0.3">
      <c r="A267" s="80">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197">
        <f>+'Base de Datos'!I267</f>
        <v>64621280</v>
      </c>
      <c r="G267" s="196">
        <f>+'Base de Datos'!M267</f>
        <v>42045</v>
      </c>
      <c r="H267" s="196">
        <f>+'Base de Datos'!N267</f>
        <v>42165</v>
      </c>
      <c r="I267" s="196"/>
      <c r="J267" s="162"/>
      <c r="K267" s="332"/>
      <c r="L267" s="162"/>
      <c r="M267" s="332"/>
      <c r="N267" s="162"/>
      <c r="O267" s="332"/>
      <c r="P267" s="162"/>
      <c r="Q267" s="332"/>
      <c r="R267" s="81">
        <f t="shared" si="38"/>
        <v>0</v>
      </c>
      <c r="S267" s="345" t="s">
        <v>378</v>
      </c>
      <c r="T267" s="343">
        <v>42226</v>
      </c>
      <c r="U267" s="345" t="s">
        <v>378</v>
      </c>
      <c r="V267" s="343">
        <v>42287</v>
      </c>
      <c r="W267" s="345" t="s">
        <v>378</v>
      </c>
      <c r="X267" s="343">
        <v>42348</v>
      </c>
      <c r="Y267" s="345"/>
      <c r="Z267" s="343"/>
      <c r="AA267" s="326" t="s">
        <v>382</v>
      </c>
      <c r="AB267" s="1004">
        <f t="shared" si="32"/>
        <v>42348</v>
      </c>
      <c r="AC267" s="1082" t="str">
        <f t="shared" si="33"/>
        <v/>
      </c>
      <c r="AD267" s="1076"/>
      <c r="AE267" s="1076"/>
      <c r="AF267" s="1084" t="str">
        <f t="shared" si="34"/>
        <v/>
      </c>
      <c r="AG267" s="1082" t="str">
        <f t="shared" si="35"/>
        <v/>
      </c>
      <c r="AH267" s="1090"/>
      <c r="AI267" s="1087"/>
      <c r="AJ267" s="1084" t="str">
        <f t="shared" si="36"/>
        <v/>
      </c>
      <c r="AK267" s="1083" t="str">
        <f t="shared" si="37"/>
        <v/>
      </c>
      <c r="AL267" s="210">
        <v>12924256</v>
      </c>
      <c r="AM267" s="210">
        <v>22617448</v>
      </c>
      <c r="AN267" s="210">
        <v>22617448</v>
      </c>
      <c r="AO267" s="210">
        <v>6462128</v>
      </c>
      <c r="AP267" s="210"/>
      <c r="AQ267" s="210"/>
      <c r="AR267" s="210"/>
      <c r="AS267" s="210"/>
      <c r="AT267" s="210"/>
      <c r="AU267" s="210"/>
      <c r="AV267" s="210"/>
      <c r="AW267" s="210"/>
      <c r="AX267" s="210"/>
      <c r="AY267" s="210"/>
      <c r="AZ267" s="210"/>
      <c r="BA267" s="210"/>
      <c r="BB267" s="210"/>
      <c r="BC267" s="210"/>
      <c r="BD267" s="342">
        <v>42243</v>
      </c>
      <c r="BE267" s="82">
        <f t="shared" si="39"/>
        <v>64621280</v>
      </c>
    </row>
    <row r="268" spans="1:57" ht="38.25" hidden="1" customHeight="1" x14ac:dyDescent="0.3">
      <c r="A268" s="80">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197">
        <f>+'Base de Datos'!I268</f>
        <v>300000000</v>
      </c>
      <c r="G268" s="196">
        <f>+'Base de Datos'!M268</f>
        <v>42002</v>
      </c>
      <c r="H268" s="196">
        <f>+'Base de Datos'!N268</f>
        <v>43828</v>
      </c>
      <c r="I268" s="196"/>
      <c r="J268" s="162">
        <v>300000000</v>
      </c>
      <c r="K268" s="332">
        <v>42724</v>
      </c>
      <c r="L268" s="162">
        <v>600000000</v>
      </c>
      <c r="M268" s="332"/>
      <c r="N268" s="162">
        <v>300000000</v>
      </c>
      <c r="O268" s="332">
        <v>43663</v>
      </c>
      <c r="P268" s="162"/>
      <c r="Q268" s="332"/>
      <c r="R268" s="81">
        <f t="shared" si="38"/>
        <v>1200000000</v>
      </c>
      <c r="S268" s="345" t="s">
        <v>5561</v>
      </c>
      <c r="T268" s="343">
        <v>45654</v>
      </c>
      <c r="U268" s="345"/>
      <c r="V268" s="343"/>
      <c r="W268" s="345"/>
      <c r="X268" s="343"/>
      <c r="Y268" s="345"/>
      <c r="Z268" s="343"/>
      <c r="AA268" s="345" t="s">
        <v>5561</v>
      </c>
      <c r="AB268" s="1004">
        <f t="shared" si="32"/>
        <v>45654</v>
      </c>
      <c r="AC268" s="1082" t="str">
        <f t="shared" si="33"/>
        <v/>
      </c>
      <c r="AD268" s="1076"/>
      <c r="AE268" s="1076"/>
      <c r="AF268" s="1084" t="str">
        <f t="shared" si="34"/>
        <v/>
      </c>
      <c r="AG268" s="1082" t="str">
        <f t="shared" si="35"/>
        <v/>
      </c>
      <c r="AH268" s="1090"/>
      <c r="AI268" s="1087"/>
      <c r="AJ268" s="1084" t="str">
        <f t="shared" si="36"/>
        <v/>
      </c>
      <c r="AK268" s="1083" t="str">
        <f t="shared" si="37"/>
        <v/>
      </c>
      <c r="AL268" s="210">
        <v>300000000</v>
      </c>
      <c r="AM268" s="210">
        <v>300000000</v>
      </c>
      <c r="AN268" s="210">
        <v>600000000</v>
      </c>
      <c r="AO268" s="210">
        <v>300000000</v>
      </c>
      <c r="AP268" s="210"/>
      <c r="AQ268" s="210"/>
      <c r="AR268" s="210"/>
      <c r="AS268" s="210"/>
      <c r="AT268" s="210"/>
      <c r="AU268" s="210"/>
      <c r="AV268" s="210"/>
      <c r="AW268" s="210"/>
      <c r="AX268" s="210"/>
      <c r="AY268" s="210"/>
      <c r="AZ268" s="210"/>
      <c r="BA268" s="210"/>
      <c r="BB268" s="210"/>
      <c r="BC268" s="210"/>
      <c r="BD268" s="342">
        <v>43782</v>
      </c>
      <c r="BE268" s="82">
        <f t="shared" si="39"/>
        <v>1500000000</v>
      </c>
    </row>
    <row r="269" spans="1:57" ht="38.25" hidden="1" customHeight="1" x14ac:dyDescent="0.3">
      <c r="A269" s="80">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197">
        <f>+'Base de Datos'!I269</f>
        <v>137450000</v>
      </c>
      <c r="G269" s="196">
        <f>+'Base de Datos'!M269</f>
        <v>42018</v>
      </c>
      <c r="H269" s="196">
        <f>+'Base de Datos'!N269</f>
        <v>42383</v>
      </c>
      <c r="I269" s="196"/>
      <c r="J269" s="162"/>
      <c r="K269" s="332"/>
      <c r="L269" s="162"/>
      <c r="M269" s="332"/>
      <c r="N269" s="162"/>
      <c r="O269" s="332"/>
      <c r="P269" s="162"/>
      <c r="Q269" s="332"/>
      <c r="R269" s="81">
        <f t="shared" si="38"/>
        <v>0</v>
      </c>
      <c r="S269" s="345"/>
      <c r="T269" s="343"/>
      <c r="U269" s="345"/>
      <c r="V269" s="343"/>
      <c r="W269" s="345"/>
      <c r="X269" s="343"/>
      <c r="Y269" s="345"/>
      <c r="Z269" s="343"/>
      <c r="AA269" s="326"/>
      <c r="AB269" s="1004" t="str">
        <f t="shared" si="32"/>
        <v/>
      </c>
      <c r="AC269" s="1082" t="str">
        <f t="shared" si="33"/>
        <v/>
      </c>
      <c r="AD269" s="1076"/>
      <c r="AE269" s="1076"/>
      <c r="AF269" s="1084" t="str">
        <f t="shared" si="34"/>
        <v/>
      </c>
      <c r="AG269" s="1082" t="str">
        <f t="shared" si="35"/>
        <v/>
      </c>
      <c r="AH269" s="1090"/>
      <c r="AI269" s="1087"/>
      <c r="AJ269" s="1084" t="str">
        <f t="shared" si="36"/>
        <v/>
      </c>
      <c r="AK269" s="1083" t="str">
        <f t="shared" si="37"/>
        <v/>
      </c>
      <c r="AL269" s="210">
        <v>86799206</v>
      </c>
      <c r="AM269" s="210">
        <v>33396127</v>
      </c>
      <c r="AN269" s="210">
        <v>2783011</v>
      </c>
      <c r="AO269" s="210">
        <v>2783011</v>
      </c>
      <c r="AP269" s="210">
        <v>6679225</v>
      </c>
      <c r="AQ269" s="210">
        <v>5009419</v>
      </c>
      <c r="AR269" s="210"/>
      <c r="AS269" s="210"/>
      <c r="AT269" s="210"/>
      <c r="AU269" s="210"/>
      <c r="AV269" s="210"/>
      <c r="AW269" s="210"/>
      <c r="AX269" s="210"/>
      <c r="AY269" s="210"/>
      <c r="AZ269" s="210"/>
      <c r="BA269" s="210"/>
      <c r="BB269" s="210"/>
      <c r="BC269" s="210"/>
      <c r="BD269" s="342">
        <v>42508</v>
      </c>
      <c r="BE269" s="82">
        <f t="shared" si="39"/>
        <v>137449999</v>
      </c>
    </row>
    <row r="270" spans="1:57" ht="38.25" hidden="1" customHeight="1" x14ac:dyDescent="0.3">
      <c r="A270" s="80">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197">
        <f>+'Base de Datos'!I270</f>
        <v>249210000</v>
      </c>
      <c r="G270" s="196">
        <f>+'Base de Datos'!M270</f>
        <v>42017</v>
      </c>
      <c r="H270" s="196">
        <f>+'Base de Datos'!N270</f>
        <v>42198</v>
      </c>
      <c r="I270" s="196"/>
      <c r="J270" s="162">
        <v>60000000</v>
      </c>
      <c r="K270" s="332">
        <v>42198</v>
      </c>
      <c r="L270" s="162"/>
      <c r="M270" s="332"/>
      <c r="N270" s="162"/>
      <c r="O270" s="332"/>
      <c r="P270" s="162"/>
      <c r="Q270" s="332"/>
      <c r="R270" s="81">
        <f t="shared" si="38"/>
        <v>60000000</v>
      </c>
      <c r="S270" s="345" t="s">
        <v>2087</v>
      </c>
      <c r="T270" s="343">
        <v>42247</v>
      </c>
      <c r="U270" s="345" t="s">
        <v>379</v>
      </c>
      <c r="V270" s="343">
        <v>42338</v>
      </c>
      <c r="W270" s="345"/>
      <c r="X270" s="343"/>
      <c r="Y270" s="345"/>
      <c r="Z270" s="343"/>
      <c r="AA270" s="352" t="s">
        <v>2206</v>
      </c>
      <c r="AB270" s="1004">
        <f t="shared" si="32"/>
        <v>42338</v>
      </c>
      <c r="AC270" s="1082" t="str">
        <f t="shared" si="33"/>
        <v/>
      </c>
      <c r="AD270" s="1076"/>
      <c r="AE270" s="1076"/>
      <c r="AF270" s="1084" t="str">
        <f t="shared" si="34"/>
        <v/>
      </c>
      <c r="AG270" s="1082" t="str">
        <f t="shared" si="35"/>
        <v/>
      </c>
      <c r="AH270" s="1090"/>
      <c r="AI270" s="1087"/>
      <c r="AJ270" s="1084" t="str">
        <f t="shared" si="36"/>
        <v/>
      </c>
      <c r="AK270" s="1083" t="str">
        <f t="shared" si="37"/>
        <v/>
      </c>
      <c r="AL270" s="210">
        <v>71728029</v>
      </c>
      <c r="AM270" s="210">
        <v>13988127</v>
      </c>
      <c r="AN270" s="210">
        <v>51788266</v>
      </c>
      <c r="AO270" s="210">
        <v>88969954</v>
      </c>
      <c r="AP270" s="210">
        <v>52659658</v>
      </c>
      <c r="AQ270" s="210">
        <v>24220616</v>
      </c>
      <c r="AR270" s="210">
        <v>5855350</v>
      </c>
      <c r="AS270" s="210"/>
      <c r="AT270" s="210"/>
      <c r="AU270" s="210"/>
      <c r="AV270" s="210"/>
      <c r="AW270" s="210"/>
      <c r="AX270" s="210"/>
      <c r="AY270" s="210"/>
      <c r="AZ270" s="210"/>
      <c r="BA270" s="210"/>
      <c r="BB270" s="210"/>
      <c r="BC270" s="210"/>
      <c r="BD270" s="342">
        <v>42397</v>
      </c>
      <c r="BE270" s="82">
        <f t="shared" si="39"/>
        <v>309210000</v>
      </c>
    </row>
    <row r="271" spans="1:57" ht="38.25" hidden="1" customHeight="1" x14ac:dyDescent="0.3">
      <c r="A271" s="80">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197">
        <f>+'Base de Datos'!I271</f>
        <v>84000000</v>
      </c>
      <c r="G271" s="196">
        <f>+'Base de Datos'!M271</f>
        <v>42031</v>
      </c>
      <c r="H271" s="196">
        <f>+'Base de Datos'!N271</f>
        <v>42396</v>
      </c>
      <c r="I271" s="196"/>
      <c r="J271" s="162"/>
      <c r="K271" s="332"/>
      <c r="L271" s="162"/>
      <c r="M271" s="332"/>
      <c r="N271" s="162"/>
      <c r="O271" s="332"/>
      <c r="P271" s="162"/>
      <c r="Q271" s="332"/>
      <c r="R271" s="81">
        <f t="shared" si="38"/>
        <v>0</v>
      </c>
      <c r="S271" s="345"/>
      <c r="T271" s="343"/>
      <c r="U271" s="345"/>
      <c r="V271" s="343"/>
      <c r="W271" s="345"/>
      <c r="X271" s="343"/>
      <c r="Y271" s="345"/>
      <c r="Z271" s="343"/>
      <c r="AA271" s="326"/>
      <c r="AB271" s="1004" t="str">
        <f t="shared" si="32"/>
        <v/>
      </c>
      <c r="AC271" s="1082" t="str">
        <f t="shared" si="33"/>
        <v/>
      </c>
      <c r="AD271" s="1076"/>
      <c r="AE271" s="1076"/>
      <c r="AF271" s="1084" t="str">
        <f t="shared" si="34"/>
        <v/>
      </c>
      <c r="AG271" s="1082" t="str">
        <f t="shared" si="35"/>
        <v/>
      </c>
      <c r="AH271" s="1090"/>
      <c r="AI271" s="1087"/>
      <c r="AJ271" s="1084" t="str">
        <f t="shared" si="36"/>
        <v/>
      </c>
      <c r="AK271" s="1083" t="str">
        <f t="shared" si="37"/>
        <v/>
      </c>
      <c r="AL271" s="210">
        <v>7933333</v>
      </c>
      <c r="AM271" s="210">
        <v>7000000</v>
      </c>
      <c r="AN271" s="210">
        <v>7000000</v>
      </c>
      <c r="AO271" s="210">
        <v>7000000</v>
      </c>
      <c r="AP271" s="210">
        <v>5600000</v>
      </c>
      <c r="AQ271" s="210">
        <v>8166666</v>
      </c>
      <c r="AR271" s="210">
        <v>7000000</v>
      </c>
      <c r="AS271" s="210">
        <v>7000000</v>
      </c>
      <c r="AT271" s="210">
        <v>7000000</v>
      </c>
      <c r="AU271" s="210">
        <v>7000000</v>
      </c>
      <c r="AV271" s="210">
        <v>7000000</v>
      </c>
      <c r="AW271" s="210">
        <v>6300001</v>
      </c>
      <c r="AX271" s="210"/>
      <c r="AY271" s="210"/>
      <c r="AZ271" s="210"/>
      <c r="BA271" s="210"/>
      <c r="BB271" s="210"/>
      <c r="BC271" s="210"/>
      <c r="BD271" s="342">
        <v>42401</v>
      </c>
      <c r="BE271" s="82">
        <f t="shared" si="39"/>
        <v>84000000</v>
      </c>
    </row>
    <row r="272" spans="1:57" ht="38.25" hidden="1" customHeight="1" x14ac:dyDescent="0.3">
      <c r="A272" s="80">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197">
        <f>+'Base de Datos'!I272</f>
        <v>4961088</v>
      </c>
      <c r="G272" s="196">
        <f>+'Base de Datos'!M272</f>
        <v>42178</v>
      </c>
      <c r="H272" s="196">
        <f>+'Base de Datos'!N272</f>
        <v>42423</v>
      </c>
      <c r="I272" s="196"/>
      <c r="J272" s="162"/>
      <c r="K272" s="332"/>
      <c r="L272" s="162"/>
      <c r="M272" s="332"/>
      <c r="N272" s="162"/>
      <c r="O272" s="332"/>
      <c r="P272" s="162"/>
      <c r="Q272" s="332"/>
      <c r="R272" s="81">
        <f t="shared" si="38"/>
        <v>0</v>
      </c>
      <c r="S272" s="345"/>
      <c r="T272" s="343"/>
      <c r="U272" s="345"/>
      <c r="V272" s="343"/>
      <c r="W272" s="345"/>
      <c r="X272" s="343"/>
      <c r="Y272" s="345"/>
      <c r="Z272" s="343"/>
      <c r="AA272" s="326"/>
      <c r="AB272" s="1004" t="str">
        <f t="shared" si="32"/>
        <v/>
      </c>
      <c r="AC272" s="1082" t="str">
        <f t="shared" si="33"/>
        <v/>
      </c>
      <c r="AD272" s="1076"/>
      <c r="AE272" s="1076"/>
      <c r="AF272" s="1084" t="str">
        <f t="shared" si="34"/>
        <v/>
      </c>
      <c r="AG272" s="1082" t="str">
        <f t="shared" si="35"/>
        <v/>
      </c>
      <c r="AH272" s="1090"/>
      <c r="AI272" s="1087"/>
      <c r="AJ272" s="1084" t="str">
        <f t="shared" si="36"/>
        <v/>
      </c>
      <c r="AK272" s="1083" t="str">
        <f t="shared" si="37"/>
        <v/>
      </c>
      <c r="AL272" s="210">
        <v>4961088</v>
      </c>
      <c r="AM272" s="210"/>
      <c r="AN272" s="210"/>
      <c r="AO272" s="210"/>
      <c r="AP272" s="210"/>
      <c r="AQ272" s="210"/>
      <c r="AR272" s="210"/>
      <c r="AS272" s="210"/>
      <c r="AT272" s="210"/>
      <c r="AU272" s="210"/>
      <c r="AV272" s="210"/>
      <c r="AW272" s="210"/>
      <c r="AX272" s="210"/>
      <c r="AY272" s="210"/>
      <c r="AZ272" s="210"/>
      <c r="BA272" s="210"/>
      <c r="BB272" s="210"/>
      <c r="BC272" s="210"/>
      <c r="BD272" s="342">
        <v>42600</v>
      </c>
      <c r="BE272" s="82">
        <f t="shared" si="39"/>
        <v>4961088</v>
      </c>
    </row>
    <row r="273" spans="1:57" ht="38.25" hidden="1" customHeight="1" x14ac:dyDescent="0.3">
      <c r="A273" s="80">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197">
        <f>+'Base de Datos'!I273</f>
        <v>10075000</v>
      </c>
      <c r="G273" s="196">
        <f>+'Base de Datos'!M273</f>
        <v>42020</v>
      </c>
      <c r="H273" s="196">
        <f>+'Base de Datos'!N273</f>
        <v>42079</v>
      </c>
      <c r="I273" s="196"/>
      <c r="J273" s="162"/>
      <c r="K273" s="332"/>
      <c r="L273" s="162"/>
      <c r="M273" s="332"/>
      <c r="N273" s="162"/>
      <c r="O273" s="332"/>
      <c r="P273" s="162"/>
      <c r="Q273" s="332"/>
      <c r="R273" s="81">
        <f t="shared" si="38"/>
        <v>0</v>
      </c>
      <c r="S273" s="345"/>
      <c r="T273" s="343"/>
      <c r="U273" s="345"/>
      <c r="V273" s="343"/>
      <c r="W273" s="345"/>
      <c r="X273" s="343"/>
      <c r="Y273" s="345"/>
      <c r="Z273" s="343"/>
      <c r="AA273" s="326"/>
      <c r="AB273" s="1004" t="str">
        <f t="shared" si="32"/>
        <v/>
      </c>
      <c r="AC273" s="1082" t="str">
        <f t="shared" si="33"/>
        <v/>
      </c>
      <c r="AD273" s="1076"/>
      <c r="AE273" s="1076"/>
      <c r="AF273" s="1084" t="str">
        <f t="shared" si="34"/>
        <v/>
      </c>
      <c r="AG273" s="1082" t="str">
        <f t="shared" si="35"/>
        <v/>
      </c>
      <c r="AH273" s="1090"/>
      <c r="AI273" s="1087"/>
      <c r="AJ273" s="1084" t="str">
        <f t="shared" si="36"/>
        <v/>
      </c>
      <c r="AK273" s="1083" t="str">
        <f t="shared" si="37"/>
        <v/>
      </c>
      <c r="AL273" s="210">
        <v>10075000</v>
      </c>
      <c r="AM273" s="210"/>
      <c r="AN273" s="210"/>
      <c r="AO273" s="210"/>
      <c r="AP273" s="210"/>
      <c r="AQ273" s="210"/>
      <c r="AR273" s="210"/>
      <c r="AS273" s="210"/>
      <c r="AT273" s="210"/>
      <c r="AU273" s="210"/>
      <c r="AV273" s="210"/>
      <c r="AW273" s="210"/>
      <c r="AX273" s="210"/>
      <c r="AY273" s="210"/>
      <c r="AZ273" s="210"/>
      <c r="BA273" s="210"/>
      <c r="BB273" s="210"/>
      <c r="BC273" s="210"/>
      <c r="BD273" s="342">
        <v>42123</v>
      </c>
      <c r="BE273" s="82">
        <f t="shared" si="39"/>
        <v>10075000</v>
      </c>
    </row>
    <row r="274" spans="1:57" ht="38.25" hidden="1" customHeight="1" x14ac:dyDescent="0.3">
      <c r="A274" s="80">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197">
        <f>+'Base de Datos'!I274</f>
        <v>46068000</v>
      </c>
      <c r="G274" s="196">
        <f>+'Base de Datos'!M274</f>
        <v>42037</v>
      </c>
      <c r="H274" s="196">
        <f>+'Base de Datos'!N274</f>
        <v>42402</v>
      </c>
      <c r="I274" s="196"/>
      <c r="J274" s="162"/>
      <c r="K274" s="332"/>
      <c r="L274" s="162"/>
      <c r="M274" s="332"/>
      <c r="N274" s="162"/>
      <c r="O274" s="332"/>
      <c r="P274" s="162"/>
      <c r="Q274" s="332"/>
      <c r="R274" s="81">
        <f t="shared" si="38"/>
        <v>0</v>
      </c>
      <c r="S274" s="345"/>
      <c r="T274" s="343"/>
      <c r="U274" s="345"/>
      <c r="V274" s="343"/>
      <c r="W274" s="345"/>
      <c r="X274" s="343"/>
      <c r="Y274" s="345"/>
      <c r="Z274" s="343"/>
      <c r="AA274" s="326"/>
      <c r="AB274" s="1004" t="str">
        <f t="shared" si="32"/>
        <v/>
      </c>
      <c r="AC274" s="1082" t="str">
        <f t="shared" si="33"/>
        <v/>
      </c>
      <c r="AD274" s="1076"/>
      <c r="AE274" s="1076"/>
      <c r="AF274" s="1084" t="str">
        <f t="shared" si="34"/>
        <v/>
      </c>
      <c r="AG274" s="1082" t="str">
        <f t="shared" si="35"/>
        <v/>
      </c>
      <c r="AH274" s="1090"/>
      <c r="AI274" s="1087"/>
      <c r="AJ274" s="1084" t="str">
        <f t="shared" si="36"/>
        <v/>
      </c>
      <c r="AK274" s="1083" t="str">
        <f t="shared" si="37"/>
        <v/>
      </c>
      <c r="AL274" s="210">
        <v>3711033</v>
      </c>
      <c r="AM274" s="210">
        <v>3839000</v>
      </c>
      <c r="AN274" s="210">
        <v>3839000</v>
      </c>
      <c r="AO274" s="210">
        <v>3839000</v>
      </c>
      <c r="AP274" s="210">
        <v>3839000</v>
      </c>
      <c r="AQ274" s="210">
        <v>3839000</v>
      </c>
      <c r="AR274" s="210">
        <v>3839000</v>
      </c>
      <c r="AS274" s="210">
        <v>3839000</v>
      </c>
      <c r="AT274" s="210">
        <v>3839000</v>
      </c>
      <c r="AU274" s="210">
        <v>3839000</v>
      </c>
      <c r="AV274" s="210">
        <v>3839000</v>
      </c>
      <c r="AW274" s="210">
        <v>3839000</v>
      </c>
      <c r="AX274" s="210">
        <v>127967</v>
      </c>
      <c r="AY274" s="210"/>
      <c r="AZ274" s="210"/>
      <c r="BA274" s="210"/>
      <c r="BB274" s="210"/>
      <c r="BC274" s="210"/>
      <c r="BD274" s="342">
        <v>42401</v>
      </c>
      <c r="BE274" s="82">
        <f t="shared" si="39"/>
        <v>46068000</v>
      </c>
    </row>
    <row r="275" spans="1:57" ht="38.25" hidden="1" customHeight="1" x14ac:dyDescent="0.3">
      <c r="A275" s="80">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197">
        <f>+'Base de Datos'!I275</f>
        <v>0</v>
      </c>
      <c r="G275" s="196">
        <f>+'Base de Datos'!M275</f>
        <v>41984</v>
      </c>
      <c r="H275" s="196">
        <f>+'Base de Datos'!N275</f>
        <v>42046</v>
      </c>
      <c r="I275" s="196"/>
      <c r="J275" s="162"/>
      <c r="K275" s="332"/>
      <c r="L275" s="162"/>
      <c r="M275" s="332"/>
      <c r="N275" s="162"/>
      <c r="O275" s="332"/>
      <c r="P275" s="162"/>
      <c r="Q275" s="332"/>
      <c r="R275" s="81">
        <f t="shared" si="38"/>
        <v>0</v>
      </c>
      <c r="S275" s="345"/>
      <c r="T275" s="343"/>
      <c r="U275" s="345"/>
      <c r="V275" s="343"/>
      <c r="W275" s="345"/>
      <c r="X275" s="343"/>
      <c r="Y275" s="345"/>
      <c r="Z275" s="343"/>
      <c r="AA275" s="326"/>
      <c r="AB275" s="1004" t="str">
        <f t="shared" si="32"/>
        <v/>
      </c>
      <c r="AC275" s="1082" t="str">
        <f t="shared" si="33"/>
        <v/>
      </c>
      <c r="AD275" s="1076"/>
      <c r="AE275" s="1076"/>
      <c r="AF275" s="1084" t="str">
        <f t="shared" si="34"/>
        <v/>
      </c>
      <c r="AG275" s="1082" t="str">
        <f t="shared" si="35"/>
        <v/>
      </c>
      <c r="AH275" s="1090"/>
      <c r="AI275" s="1087"/>
      <c r="AJ275" s="1084" t="str">
        <f t="shared" si="36"/>
        <v/>
      </c>
      <c r="AK275" s="1083" t="str">
        <f t="shared" si="37"/>
        <v/>
      </c>
      <c r="AL275" s="210"/>
      <c r="AM275" s="210"/>
      <c r="AN275" s="210"/>
      <c r="AO275" s="210"/>
      <c r="AP275" s="210"/>
      <c r="AQ275" s="210"/>
      <c r="AR275" s="210"/>
      <c r="AS275" s="210"/>
      <c r="AT275" s="210"/>
      <c r="AU275" s="210"/>
      <c r="AV275" s="210"/>
      <c r="AW275" s="210"/>
      <c r="AX275" s="210"/>
      <c r="AY275" s="210"/>
      <c r="AZ275" s="210"/>
      <c r="BA275" s="210"/>
      <c r="BB275" s="210"/>
      <c r="BC275" s="210"/>
      <c r="BD275" s="342">
        <v>0</v>
      </c>
      <c r="BE275" s="82">
        <f t="shared" si="39"/>
        <v>0</v>
      </c>
    </row>
    <row r="276" spans="1:57" ht="38.25" hidden="1" customHeight="1" x14ac:dyDescent="0.3">
      <c r="A276" s="80">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197">
        <f>+'Base de Datos'!I276</f>
        <v>60000000</v>
      </c>
      <c r="G276" s="196">
        <f>+'Base de Datos'!M276</f>
        <v>42045</v>
      </c>
      <c r="H276" s="196">
        <f>+'Base de Datos'!N276</f>
        <v>42410</v>
      </c>
      <c r="I276" s="196"/>
      <c r="J276" s="162"/>
      <c r="K276" s="332"/>
      <c r="L276" s="162"/>
      <c r="M276" s="332"/>
      <c r="N276" s="162"/>
      <c r="O276" s="332"/>
      <c r="P276" s="162"/>
      <c r="Q276" s="332"/>
      <c r="R276" s="81">
        <f t="shared" si="38"/>
        <v>0</v>
      </c>
      <c r="S276" s="345"/>
      <c r="T276" s="343"/>
      <c r="U276" s="345"/>
      <c r="V276" s="343"/>
      <c r="W276" s="345"/>
      <c r="X276" s="343"/>
      <c r="Y276" s="345"/>
      <c r="Z276" s="343"/>
      <c r="AA276" s="326"/>
      <c r="AB276" s="1004" t="str">
        <f t="shared" si="32"/>
        <v/>
      </c>
      <c r="AC276" s="1082" t="str">
        <f t="shared" si="33"/>
        <v/>
      </c>
      <c r="AD276" s="1076"/>
      <c r="AE276" s="1076"/>
      <c r="AF276" s="1084" t="str">
        <f t="shared" si="34"/>
        <v/>
      </c>
      <c r="AG276" s="1082" t="str">
        <f t="shared" si="35"/>
        <v/>
      </c>
      <c r="AH276" s="1090"/>
      <c r="AI276" s="1087"/>
      <c r="AJ276" s="1084" t="str">
        <f t="shared" si="36"/>
        <v/>
      </c>
      <c r="AK276" s="1083" t="str">
        <f t="shared" si="37"/>
        <v/>
      </c>
      <c r="AL276" s="210">
        <v>3500000</v>
      </c>
      <c r="AM276" s="210">
        <v>5000000</v>
      </c>
      <c r="AN276" s="210">
        <v>5000000</v>
      </c>
      <c r="AO276" s="210">
        <v>5000000</v>
      </c>
      <c r="AP276" s="210">
        <v>5000000</v>
      </c>
      <c r="AQ276" s="210">
        <v>5000000</v>
      </c>
      <c r="AR276" s="210">
        <v>5000000</v>
      </c>
      <c r="AS276" s="210">
        <v>5000000</v>
      </c>
      <c r="AT276" s="210">
        <v>5000000</v>
      </c>
      <c r="AU276" s="210">
        <v>5000000</v>
      </c>
      <c r="AV276" s="210">
        <v>5000000</v>
      </c>
      <c r="AW276" s="210">
        <v>5000000</v>
      </c>
      <c r="AX276" s="210">
        <v>1500000</v>
      </c>
      <c r="AY276" s="210"/>
      <c r="AZ276" s="210"/>
      <c r="BA276" s="210"/>
      <c r="BB276" s="210"/>
      <c r="BC276" s="210"/>
      <c r="BD276" s="342">
        <v>42464</v>
      </c>
      <c r="BE276" s="82">
        <f t="shared" si="39"/>
        <v>60000000</v>
      </c>
    </row>
    <row r="277" spans="1:57" ht="38.25" hidden="1" customHeight="1" x14ac:dyDescent="0.3">
      <c r="A277" s="80">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197">
        <f>+'Base de Datos'!I277</f>
        <v>63654000</v>
      </c>
      <c r="G277" s="196">
        <f>+'Base de Datos'!M277</f>
        <v>42045</v>
      </c>
      <c r="H277" s="196">
        <f>+'Base de Datos'!N277</f>
        <v>42379</v>
      </c>
      <c r="I277" s="196"/>
      <c r="J277" s="162"/>
      <c r="K277" s="332"/>
      <c r="L277" s="162"/>
      <c r="M277" s="332"/>
      <c r="N277" s="162"/>
      <c r="O277" s="332"/>
      <c r="P277" s="162"/>
      <c r="Q277" s="332"/>
      <c r="R277" s="81">
        <f t="shared" si="38"/>
        <v>0</v>
      </c>
      <c r="S277" s="345" t="s">
        <v>381</v>
      </c>
      <c r="T277" s="343">
        <v>42410</v>
      </c>
      <c r="U277" s="345"/>
      <c r="V277" s="343"/>
      <c r="W277" s="345"/>
      <c r="X277" s="343"/>
      <c r="Y277" s="345"/>
      <c r="Z277" s="343"/>
      <c r="AA277" s="326" t="s">
        <v>381</v>
      </c>
      <c r="AB277" s="1004">
        <f t="shared" si="32"/>
        <v>42410</v>
      </c>
      <c r="AC277" s="1082" t="str">
        <f t="shared" si="33"/>
        <v/>
      </c>
      <c r="AD277" s="1076"/>
      <c r="AE277" s="1076"/>
      <c r="AF277" s="1084" t="str">
        <f t="shared" si="34"/>
        <v/>
      </c>
      <c r="AG277" s="1082" t="str">
        <f t="shared" si="35"/>
        <v/>
      </c>
      <c r="AH277" s="1090"/>
      <c r="AI277" s="1087"/>
      <c r="AJ277" s="1084" t="str">
        <f t="shared" si="36"/>
        <v/>
      </c>
      <c r="AK277" s="1083" t="str">
        <f t="shared" si="37"/>
        <v/>
      </c>
      <c r="AL277" s="210">
        <v>3713136</v>
      </c>
      <c r="AM277" s="210">
        <v>5304500</v>
      </c>
      <c r="AN277" s="210">
        <v>5304500</v>
      </c>
      <c r="AO277" s="210">
        <v>5304500</v>
      </c>
      <c r="AP277" s="210">
        <v>5304500</v>
      </c>
      <c r="AQ277" s="210">
        <v>5304500</v>
      </c>
      <c r="AR277" s="210">
        <v>5304500</v>
      </c>
      <c r="AS277" s="210">
        <v>5304500</v>
      </c>
      <c r="AT277" s="210">
        <v>5304500</v>
      </c>
      <c r="AU277" s="210">
        <v>5304500</v>
      </c>
      <c r="AV277" s="210">
        <v>5304500</v>
      </c>
      <c r="AW277" s="210">
        <v>5304500</v>
      </c>
      <c r="AX277" s="210">
        <v>1591364</v>
      </c>
      <c r="AY277" s="210"/>
      <c r="AZ277" s="210"/>
      <c r="BA277" s="210"/>
      <c r="BB277" s="210"/>
      <c r="BC277" s="210"/>
      <c r="BD277" s="342">
        <v>42230</v>
      </c>
      <c r="BE277" s="82">
        <f t="shared" si="39"/>
        <v>63654000</v>
      </c>
    </row>
    <row r="278" spans="1:57" ht="38.25" hidden="1" customHeight="1" x14ac:dyDescent="0.3">
      <c r="A278" s="80">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197">
        <f>+'Base de Datos'!I278</f>
        <v>48000000</v>
      </c>
      <c r="G278" s="196">
        <f>+'Base de Datos'!M278</f>
        <v>42053</v>
      </c>
      <c r="H278" s="196">
        <f>+'Base de Datos'!N278</f>
        <v>42418</v>
      </c>
      <c r="I278" s="196"/>
      <c r="J278" s="162"/>
      <c r="K278" s="332"/>
      <c r="L278" s="162"/>
      <c r="M278" s="332"/>
      <c r="N278" s="162"/>
      <c r="O278" s="332"/>
      <c r="P278" s="162"/>
      <c r="Q278" s="332"/>
      <c r="R278" s="81">
        <f t="shared" si="38"/>
        <v>0</v>
      </c>
      <c r="S278" s="345"/>
      <c r="T278" s="343"/>
      <c r="U278" s="345"/>
      <c r="V278" s="343"/>
      <c r="W278" s="345"/>
      <c r="X278" s="343"/>
      <c r="Y278" s="345"/>
      <c r="Z278" s="343"/>
      <c r="AA278" s="326"/>
      <c r="AB278" s="1004" t="str">
        <f t="shared" si="32"/>
        <v/>
      </c>
      <c r="AC278" s="1082" t="str">
        <f t="shared" si="33"/>
        <v/>
      </c>
      <c r="AD278" s="1076"/>
      <c r="AE278" s="1076"/>
      <c r="AF278" s="1084" t="str">
        <f t="shared" si="34"/>
        <v/>
      </c>
      <c r="AG278" s="1082" t="str">
        <f t="shared" si="35"/>
        <v/>
      </c>
      <c r="AH278" s="1090"/>
      <c r="AI278" s="1087"/>
      <c r="AJ278" s="1084" t="str">
        <f t="shared" si="36"/>
        <v/>
      </c>
      <c r="AK278" s="1083" t="str">
        <f t="shared" si="37"/>
        <v/>
      </c>
      <c r="AL278" s="210">
        <v>1733333</v>
      </c>
      <c r="AM278" s="210">
        <v>4000000</v>
      </c>
      <c r="AN278" s="210">
        <v>4000000</v>
      </c>
      <c r="AO278" s="210">
        <v>4000000</v>
      </c>
      <c r="AP278" s="210">
        <v>4000000</v>
      </c>
      <c r="AQ278" s="210">
        <v>4000000</v>
      </c>
      <c r="AR278" s="210">
        <v>4000000</v>
      </c>
      <c r="AS278" s="210">
        <v>4000000</v>
      </c>
      <c r="AT278" s="210">
        <v>4000000</v>
      </c>
      <c r="AU278" s="210">
        <v>4000000</v>
      </c>
      <c r="AV278" s="210">
        <v>4000000</v>
      </c>
      <c r="AW278" s="210">
        <v>4000000</v>
      </c>
      <c r="AX278" s="210">
        <v>2266667</v>
      </c>
      <c r="AY278" s="210"/>
      <c r="AZ278" s="210"/>
      <c r="BA278" s="210"/>
      <c r="BB278" s="210"/>
      <c r="BC278" s="210"/>
      <c r="BD278" s="342">
        <v>42136</v>
      </c>
      <c r="BE278" s="82">
        <f t="shared" si="39"/>
        <v>48000000</v>
      </c>
    </row>
    <row r="279" spans="1:57" ht="38.25" hidden="1" customHeight="1" x14ac:dyDescent="0.3">
      <c r="A279" s="80">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197">
        <f>+'Base de Datos'!I279</f>
        <v>63654000</v>
      </c>
      <c r="G279" s="196">
        <f>+'Base de Datos'!M279</f>
        <v>42054</v>
      </c>
      <c r="H279" s="196">
        <f>+'Base de Datos'!N279</f>
        <v>42419</v>
      </c>
      <c r="I279" s="196"/>
      <c r="J279" s="162"/>
      <c r="K279" s="332"/>
      <c r="L279" s="162"/>
      <c r="M279" s="332"/>
      <c r="N279" s="162"/>
      <c r="O279" s="332"/>
      <c r="P279" s="162"/>
      <c r="Q279" s="332"/>
      <c r="R279" s="81">
        <f t="shared" si="38"/>
        <v>0</v>
      </c>
      <c r="S279" s="345"/>
      <c r="T279" s="343"/>
      <c r="U279" s="345"/>
      <c r="V279" s="343"/>
      <c r="W279" s="345"/>
      <c r="X279" s="343"/>
      <c r="Y279" s="345"/>
      <c r="Z279" s="343"/>
      <c r="AA279" s="326"/>
      <c r="AB279" s="1004" t="str">
        <f t="shared" si="32"/>
        <v/>
      </c>
      <c r="AC279" s="1082" t="str">
        <f t="shared" si="33"/>
        <v/>
      </c>
      <c r="AD279" s="1076"/>
      <c r="AE279" s="1076"/>
      <c r="AF279" s="1084" t="str">
        <f t="shared" si="34"/>
        <v/>
      </c>
      <c r="AG279" s="1082" t="str">
        <f t="shared" si="35"/>
        <v/>
      </c>
      <c r="AH279" s="1090"/>
      <c r="AI279" s="1087"/>
      <c r="AJ279" s="1084" t="str">
        <f t="shared" si="36"/>
        <v/>
      </c>
      <c r="AK279" s="1083" t="str">
        <f t="shared" si="37"/>
        <v/>
      </c>
      <c r="AL279" s="210">
        <v>2121800</v>
      </c>
      <c r="AM279" s="210">
        <v>5304500</v>
      </c>
      <c r="AN279" s="210">
        <v>10609000</v>
      </c>
      <c r="AO279" s="210">
        <v>5304500</v>
      </c>
      <c r="AP279" s="210">
        <v>5304500</v>
      </c>
      <c r="AQ279" s="210">
        <v>5304500</v>
      </c>
      <c r="AR279" s="210">
        <v>5304500</v>
      </c>
      <c r="AS279" s="210">
        <v>5304500</v>
      </c>
      <c r="AT279" s="210">
        <v>5304500</v>
      </c>
      <c r="AU279" s="210">
        <v>5304500</v>
      </c>
      <c r="AV279" s="210">
        <v>5304500</v>
      </c>
      <c r="AW279" s="210">
        <v>3182700</v>
      </c>
      <c r="AX279" s="210"/>
      <c r="AY279" s="210"/>
      <c r="AZ279" s="210"/>
      <c r="BA279" s="210"/>
      <c r="BB279" s="210"/>
      <c r="BC279" s="210"/>
      <c r="BD279" s="342">
        <v>42412</v>
      </c>
      <c r="BE279" s="82">
        <f t="shared" si="39"/>
        <v>63654000</v>
      </c>
    </row>
    <row r="280" spans="1:57" ht="38.25" hidden="1" customHeight="1" x14ac:dyDescent="0.3">
      <c r="A280" s="80">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197">
        <f>+'Base de Datos'!I280</f>
        <v>60000000</v>
      </c>
      <c r="G280" s="196">
        <f>+'Base de Datos'!M280</f>
        <v>42054</v>
      </c>
      <c r="H280" s="196">
        <f>+'Base de Datos'!N280</f>
        <v>42419</v>
      </c>
      <c r="I280" s="196"/>
      <c r="J280" s="162"/>
      <c r="K280" s="332"/>
      <c r="L280" s="162"/>
      <c r="M280" s="332"/>
      <c r="N280" s="162"/>
      <c r="O280" s="332"/>
      <c r="P280" s="162"/>
      <c r="Q280" s="332"/>
      <c r="R280" s="81">
        <f t="shared" ref="R280:R299" si="40">SUM(J280,L280,N280,P280)</f>
        <v>0</v>
      </c>
      <c r="S280" s="345"/>
      <c r="T280" s="343"/>
      <c r="U280" s="345"/>
      <c r="V280" s="343"/>
      <c r="W280" s="345"/>
      <c r="X280" s="343"/>
      <c r="Y280" s="345"/>
      <c r="Z280" s="343"/>
      <c r="AA280" s="326"/>
      <c r="AB280" s="1004" t="str">
        <f t="shared" si="32"/>
        <v/>
      </c>
      <c r="AC280" s="1082" t="str">
        <f t="shared" si="33"/>
        <v/>
      </c>
      <c r="AD280" s="1076"/>
      <c r="AE280" s="1076"/>
      <c r="AF280" s="1084" t="str">
        <f t="shared" si="34"/>
        <v/>
      </c>
      <c r="AG280" s="1082" t="str">
        <f t="shared" si="35"/>
        <v/>
      </c>
      <c r="AH280" s="1090"/>
      <c r="AI280" s="1087"/>
      <c r="AJ280" s="1084" t="str">
        <f t="shared" si="36"/>
        <v/>
      </c>
      <c r="AK280" s="1083" t="str">
        <f t="shared" si="37"/>
        <v/>
      </c>
      <c r="AL280" s="210">
        <v>2000000</v>
      </c>
      <c r="AM280" s="210">
        <v>5000000</v>
      </c>
      <c r="AN280" s="210">
        <v>5000000</v>
      </c>
      <c r="AO280" s="210">
        <v>5000000</v>
      </c>
      <c r="AP280" s="210">
        <v>5000000</v>
      </c>
      <c r="AQ280" s="210">
        <v>5000000</v>
      </c>
      <c r="AR280" s="210">
        <v>5000000</v>
      </c>
      <c r="AS280" s="210">
        <v>5000000</v>
      </c>
      <c r="AT280" s="210">
        <v>5000000</v>
      </c>
      <c r="AU280" s="210">
        <v>5000000</v>
      </c>
      <c r="AV280" s="210">
        <v>5000000</v>
      </c>
      <c r="AW280" s="210">
        <v>5000000</v>
      </c>
      <c r="AX280" s="210">
        <v>3000000</v>
      </c>
      <c r="AY280" s="210"/>
      <c r="AZ280" s="210"/>
      <c r="BA280" s="210"/>
      <c r="BB280" s="210"/>
      <c r="BC280" s="210"/>
      <c r="BD280" s="342">
        <v>42432</v>
      </c>
      <c r="BE280" s="82">
        <f t="shared" si="39"/>
        <v>60000000</v>
      </c>
    </row>
    <row r="281" spans="1:57" ht="40.799999999999997" hidden="1" x14ac:dyDescent="0.3">
      <c r="A281" s="80">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197">
        <f>+'Base de Datos'!I281</f>
        <v>43260000</v>
      </c>
      <c r="G281" s="196">
        <f>+'Base de Datos'!M281</f>
        <v>42060</v>
      </c>
      <c r="H281" s="196">
        <f>+'Base de Datos'!N281</f>
        <v>42425</v>
      </c>
      <c r="I281" s="196"/>
      <c r="J281" s="162"/>
      <c r="K281" s="332"/>
      <c r="L281" s="162"/>
      <c r="M281" s="332"/>
      <c r="N281" s="162"/>
      <c r="O281" s="332"/>
      <c r="P281" s="162"/>
      <c r="Q281" s="332"/>
      <c r="R281" s="81">
        <f t="shared" si="40"/>
        <v>0</v>
      </c>
      <c r="S281" s="345"/>
      <c r="T281" s="343"/>
      <c r="U281" s="345"/>
      <c r="V281" s="343"/>
      <c r="W281" s="345"/>
      <c r="X281" s="343"/>
      <c r="Y281" s="345"/>
      <c r="Z281" s="343"/>
      <c r="AA281" s="326"/>
      <c r="AB281" s="1004" t="str">
        <f t="shared" si="32"/>
        <v/>
      </c>
      <c r="AC281" s="1082" t="str">
        <f t="shared" si="33"/>
        <v/>
      </c>
      <c r="AD281" s="1076"/>
      <c r="AE281" s="1076"/>
      <c r="AF281" s="1084" t="str">
        <f t="shared" si="34"/>
        <v/>
      </c>
      <c r="AG281" s="1082" t="str">
        <f t="shared" si="35"/>
        <v/>
      </c>
      <c r="AH281" s="1090"/>
      <c r="AI281" s="1087"/>
      <c r="AJ281" s="1084" t="str">
        <f t="shared" si="36"/>
        <v/>
      </c>
      <c r="AK281" s="1083" t="str">
        <f t="shared" si="37"/>
        <v/>
      </c>
      <c r="AL281" s="210">
        <v>721000</v>
      </c>
      <c r="AM281" s="210">
        <v>3605000</v>
      </c>
      <c r="AN281" s="210">
        <v>3605000</v>
      </c>
      <c r="AO281" s="210">
        <v>3605000</v>
      </c>
      <c r="AP281" s="210">
        <v>3605000</v>
      </c>
      <c r="AQ281" s="210">
        <v>3605000</v>
      </c>
      <c r="AR281" s="210">
        <v>3605000</v>
      </c>
      <c r="AS281" s="210">
        <v>3605000</v>
      </c>
      <c r="AT281" s="210">
        <v>3605000</v>
      </c>
      <c r="AU281" s="210">
        <v>3605000</v>
      </c>
      <c r="AV281" s="210">
        <v>3605000</v>
      </c>
      <c r="AW281" s="210">
        <v>3605000</v>
      </c>
      <c r="AX281" s="210">
        <v>2884000</v>
      </c>
      <c r="AY281" s="210"/>
      <c r="AZ281" s="210"/>
      <c r="BA281" s="210"/>
      <c r="BB281" s="210"/>
      <c r="BC281" s="210"/>
      <c r="BD281" s="342">
        <v>42432</v>
      </c>
      <c r="BE281" s="82">
        <f t="shared" si="39"/>
        <v>43260000</v>
      </c>
    </row>
    <row r="282" spans="1:57" ht="45" hidden="1" customHeight="1" x14ac:dyDescent="0.3">
      <c r="A282" s="80">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197">
        <f>+'Base de Datos'!I282</f>
        <v>63654000</v>
      </c>
      <c r="G282" s="196">
        <f>+'Base de Datos'!M282</f>
        <v>42060</v>
      </c>
      <c r="H282" s="196">
        <f>+'Base de Datos'!N282</f>
        <v>42425</v>
      </c>
      <c r="I282" s="196"/>
      <c r="J282" s="162"/>
      <c r="K282" s="332"/>
      <c r="L282" s="162"/>
      <c r="M282" s="332"/>
      <c r="N282" s="162"/>
      <c r="O282" s="332"/>
      <c r="P282" s="162"/>
      <c r="Q282" s="332"/>
      <c r="R282" s="81">
        <f t="shared" si="40"/>
        <v>0</v>
      </c>
      <c r="S282" s="345" t="s">
        <v>379</v>
      </c>
      <c r="T282" s="343">
        <v>42515</v>
      </c>
      <c r="U282" s="345" t="s">
        <v>2240</v>
      </c>
      <c r="V282" s="343">
        <v>42530</v>
      </c>
      <c r="W282" s="345"/>
      <c r="X282" s="343"/>
      <c r="Y282" s="345"/>
      <c r="Z282" s="343"/>
      <c r="AA282" s="326" t="s">
        <v>2241</v>
      </c>
      <c r="AB282" s="1004">
        <f t="shared" si="32"/>
        <v>42530</v>
      </c>
      <c r="AC282" s="1082" t="str">
        <f t="shared" si="33"/>
        <v/>
      </c>
      <c r="AD282" s="1076"/>
      <c r="AE282" s="1076"/>
      <c r="AF282" s="1084" t="str">
        <f t="shared" si="34"/>
        <v/>
      </c>
      <c r="AG282" s="1082" t="str">
        <f t="shared" si="35"/>
        <v/>
      </c>
      <c r="AH282" s="1090"/>
      <c r="AI282" s="1087"/>
      <c r="AJ282" s="1084" t="str">
        <f t="shared" si="36"/>
        <v/>
      </c>
      <c r="AK282" s="1083" t="str">
        <f t="shared" si="37"/>
        <v/>
      </c>
      <c r="AL282" s="210">
        <v>1060900</v>
      </c>
      <c r="AM282" s="210">
        <v>5304500</v>
      </c>
      <c r="AN282" s="210">
        <v>5304500</v>
      </c>
      <c r="AO282" s="210">
        <v>5304500</v>
      </c>
      <c r="AP282" s="210">
        <v>5304500</v>
      </c>
      <c r="AQ282" s="210">
        <v>2829067</v>
      </c>
      <c r="AR282" s="210">
        <v>5304500</v>
      </c>
      <c r="AS282" s="210">
        <v>5304500</v>
      </c>
      <c r="AT282" s="210">
        <v>5304500</v>
      </c>
      <c r="AU282" s="210">
        <v>5304500</v>
      </c>
      <c r="AV282" s="210">
        <v>1591350</v>
      </c>
      <c r="AW282" s="210">
        <v>2652250</v>
      </c>
      <c r="AX282" s="210">
        <v>5304500</v>
      </c>
      <c r="AY282" s="210">
        <v>5304500</v>
      </c>
      <c r="AZ282" s="210">
        <v>1591350</v>
      </c>
      <c r="BA282" s="210"/>
      <c r="BB282" s="210"/>
      <c r="BC282" s="210"/>
      <c r="BD282" s="342">
        <v>42542</v>
      </c>
      <c r="BE282" s="82">
        <f t="shared" si="39"/>
        <v>62769917</v>
      </c>
    </row>
    <row r="283" spans="1:57" ht="30.6" hidden="1" x14ac:dyDescent="0.3">
      <c r="A283" s="80">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197">
        <f>+'Base de Datos'!I283</f>
        <v>30900000</v>
      </c>
      <c r="G283" s="196">
        <f>+'Base de Datos'!M283</f>
        <v>42065</v>
      </c>
      <c r="H283" s="196">
        <f>+'Base de Datos'!N283</f>
        <v>42431</v>
      </c>
      <c r="I283" s="196"/>
      <c r="J283" s="158"/>
      <c r="K283" s="333"/>
      <c r="L283" s="211"/>
      <c r="M283" s="336"/>
      <c r="N283" s="158"/>
      <c r="O283" s="333"/>
      <c r="P283" s="158"/>
      <c r="Q283" s="338"/>
      <c r="R283" s="81">
        <f t="shared" si="40"/>
        <v>0</v>
      </c>
      <c r="S283" s="314"/>
      <c r="T283" s="344"/>
      <c r="U283" s="290"/>
      <c r="V283" s="344"/>
      <c r="W283" s="290"/>
      <c r="X283" s="344"/>
      <c r="Y283" s="290"/>
      <c r="Z283" s="344"/>
      <c r="AA283" s="326"/>
      <c r="AB283" s="1004" t="str">
        <f t="shared" si="32"/>
        <v/>
      </c>
      <c r="AC283" s="1082" t="str">
        <f t="shared" si="33"/>
        <v/>
      </c>
      <c r="AD283" s="1077"/>
      <c r="AE283" s="1077"/>
      <c r="AF283" s="1084" t="str">
        <f t="shared" si="34"/>
        <v/>
      </c>
      <c r="AG283" s="1082" t="str">
        <f t="shared" si="35"/>
        <v/>
      </c>
      <c r="AH283" s="1091"/>
      <c r="AI283" s="1087"/>
      <c r="AJ283" s="1084" t="str">
        <f t="shared" si="36"/>
        <v/>
      </c>
      <c r="AK283" s="1083" t="str">
        <f t="shared" si="37"/>
        <v/>
      </c>
      <c r="AL283" s="211">
        <v>2489167</v>
      </c>
      <c r="AM283" s="211">
        <v>2575000</v>
      </c>
      <c r="AN283" s="211">
        <v>2575000</v>
      </c>
      <c r="AO283" s="211">
        <v>2575000</v>
      </c>
      <c r="AP283" s="211">
        <v>2575000</v>
      </c>
      <c r="AQ283" s="211">
        <v>2575000</v>
      </c>
      <c r="AR283" s="211">
        <v>2575000</v>
      </c>
      <c r="AS283" s="211">
        <v>2575000</v>
      </c>
      <c r="AT283" s="211">
        <v>2575000</v>
      </c>
      <c r="AU283" s="211">
        <v>2575000</v>
      </c>
      <c r="AV283" s="211">
        <v>2575000</v>
      </c>
      <c r="AW283" s="211">
        <v>2575000</v>
      </c>
      <c r="AX283" s="211">
        <v>85833</v>
      </c>
      <c r="AY283" s="211"/>
      <c r="AZ283" s="211"/>
      <c r="BA283" s="211"/>
      <c r="BB283" s="211"/>
      <c r="BC283" s="211"/>
      <c r="BD283" s="333">
        <v>42647</v>
      </c>
      <c r="BE283" s="82">
        <f t="shared" si="39"/>
        <v>30900000</v>
      </c>
    </row>
    <row r="284" spans="1:57" hidden="1" x14ac:dyDescent="0.3">
      <c r="A284" s="80">
        <v>278</v>
      </c>
      <c r="B284" s="2" t="str">
        <f>+'Base de Datos'!E284</f>
        <v>150097-0-2015</v>
      </c>
      <c r="C284" s="2" t="str">
        <f>+'Base de Datos'!F284</f>
        <v>ORGANIZACIÓN TERPEL S.A.</v>
      </c>
      <c r="D284" s="2">
        <f>+'Base de Datos'!G284</f>
        <v>830095213</v>
      </c>
      <c r="E284" s="2" t="str">
        <f>+'Base de Datos'!H284</f>
        <v>Suministro de combustible para el Concejo de Bogotá D.C.</v>
      </c>
      <c r="F284" s="197">
        <f>+'Base de Datos'!I284</f>
        <v>444600000</v>
      </c>
      <c r="G284" s="196">
        <f>+'Base de Datos'!M284</f>
        <v>42064</v>
      </c>
      <c r="H284" s="196">
        <f>+'Base de Datos'!N284</f>
        <v>42339</v>
      </c>
      <c r="I284" s="196"/>
      <c r="J284" s="158"/>
      <c r="K284" s="333"/>
      <c r="L284" s="211"/>
      <c r="M284" s="336"/>
      <c r="N284" s="158"/>
      <c r="O284" s="333"/>
      <c r="P284" s="158"/>
      <c r="Q284" s="338"/>
      <c r="R284" s="81">
        <f t="shared" si="40"/>
        <v>0</v>
      </c>
      <c r="S284" s="314"/>
      <c r="T284" s="344"/>
      <c r="U284" s="290"/>
      <c r="V284" s="344"/>
      <c r="W284" s="290"/>
      <c r="X284" s="344"/>
      <c r="Y284" s="290"/>
      <c r="Z284" s="344"/>
      <c r="AA284" s="326"/>
      <c r="AB284" s="1004" t="str">
        <f t="shared" si="32"/>
        <v/>
      </c>
      <c r="AC284" s="1082" t="str">
        <f t="shared" si="33"/>
        <v/>
      </c>
      <c r="AD284" s="1077"/>
      <c r="AE284" s="1077"/>
      <c r="AF284" s="1084" t="str">
        <f t="shared" si="34"/>
        <v/>
      </c>
      <c r="AG284" s="1082" t="str">
        <f t="shared" si="35"/>
        <v/>
      </c>
      <c r="AH284" s="1091"/>
      <c r="AI284" s="1087"/>
      <c r="AJ284" s="1084" t="str">
        <f t="shared" si="36"/>
        <v/>
      </c>
      <c r="AK284" s="1083" t="str">
        <f t="shared" si="37"/>
        <v/>
      </c>
      <c r="AL284" s="211">
        <v>20015228</v>
      </c>
      <c r="AM284" s="211">
        <v>16719747</v>
      </c>
      <c r="AN284" s="211">
        <v>15879446</v>
      </c>
      <c r="AO284" s="211">
        <v>19965908</v>
      </c>
      <c r="AP284" s="211">
        <v>18325676</v>
      </c>
      <c r="AQ284" s="211">
        <v>19592394</v>
      </c>
      <c r="AR284" s="211">
        <v>19433859</v>
      </c>
      <c r="AS284" s="211">
        <v>16820441</v>
      </c>
      <c r="AT284" s="211">
        <v>18397691</v>
      </c>
      <c r="AU284" s="211">
        <v>20663385</v>
      </c>
      <c r="AV284" s="211">
        <v>20312058</v>
      </c>
      <c r="AW284" s="211">
        <v>44703913</v>
      </c>
      <c r="AX284" s="211">
        <v>61490735</v>
      </c>
      <c r="AY284" s="211">
        <v>18019228</v>
      </c>
      <c r="AZ284" s="211">
        <v>34997443</v>
      </c>
      <c r="BA284" s="211"/>
      <c r="BB284" s="211"/>
      <c r="BC284" s="211"/>
      <c r="BD284" s="333">
        <v>42391</v>
      </c>
      <c r="BE284" s="82">
        <f t="shared" si="39"/>
        <v>365337152</v>
      </c>
    </row>
    <row r="285" spans="1:57" ht="30.6" hidden="1" x14ac:dyDescent="0.3">
      <c r="A285" s="80">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197">
        <f>+'Base de Datos'!I285</f>
        <v>38400000</v>
      </c>
      <c r="G285" s="196">
        <f>+'Base de Datos'!M285</f>
        <v>42073</v>
      </c>
      <c r="H285" s="196">
        <f>+'Base de Datos'!N285</f>
        <v>42439</v>
      </c>
      <c r="I285" s="196"/>
      <c r="J285" s="158"/>
      <c r="K285" s="333"/>
      <c r="L285" s="211"/>
      <c r="M285" s="336"/>
      <c r="N285" s="158"/>
      <c r="O285" s="333"/>
      <c r="P285" s="158"/>
      <c r="Q285" s="338"/>
      <c r="R285" s="81">
        <f t="shared" si="40"/>
        <v>0</v>
      </c>
      <c r="S285" s="314"/>
      <c r="T285" s="344"/>
      <c r="U285" s="290"/>
      <c r="V285" s="344"/>
      <c r="W285" s="290"/>
      <c r="X285" s="344"/>
      <c r="Y285" s="290"/>
      <c r="Z285" s="344"/>
      <c r="AA285" s="326"/>
      <c r="AB285" s="1004" t="str">
        <f t="shared" si="32"/>
        <v/>
      </c>
      <c r="AC285" s="1082" t="str">
        <f t="shared" si="33"/>
        <v/>
      </c>
      <c r="AD285" s="1077"/>
      <c r="AE285" s="1077"/>
      <c r="AF285" s="1084" t="str">
        <f t="shared" si="34"/>
        <v/>
      </c>
      <c r="AG285" s="1082" t="str">
        <f t="shared" si="35"/>
        <v/>
      </c>
      <c r="AH285" s="1091"/>
      <c r="AI285" s="1087"/>
      <c r="AJ285" s="1084" t="str">
        <f t="shared" si="36"/>
        <v/>
      </c>
      <c r="AK285" s="1083" t="str">
        <f t="shared" si="37"/>
        <v/>
      </c>
      <c r="AL285" s="211">
        <v>2240000</v>
      </c>
      <c r="AM285" s="211">
        <v>3200000</v>
      </c>
      <c r="AN285" s="211">
        <v>3200000</v>
      </c>
      <c r="AO285" s="211">
        <v>3200000</v>
      </c>
      <c r="AP285" s="211">
        <v>3200000</v>
      </c>
      <c r="AQ285" s="211">
        <v>3200000</v>
      </c>
      <c r="AR285" s="211">
        <v>3200000</v>
      </c>
      <c r="AS285" s="211">
        <v>3200000</v>
      </c>
      <c r="AT285" s="211">
        <v>3200000</v>
      </c>
      <c r="AU285" s="211">
        <v>3200000</v>
      </c>
      <c r="AV285" s="211">
        <v>3200000</v>
      </c>
      <c r="AW285" s="211">
        <v>3200000</v>
      </c>
      <c r="AX285" s="211">
        <v>960000</v>
      </c>
      <c r="AY285" s="211"/>
      <c r="AZ285" s="211"/>
      <c r="BA285" s="211"/>
      <c r="BB285" s="211"/>
      <c r="BC285" s="211"/>
      <c r="BD285" s="333">
        <v>42409</v>
      </c>
      <c r="BE285" s="82">
        <f t="shared" si="39"/>
        <v>38400000</v>
      </c>
    </row>
    <row r="286" spans="1:57" ht="30.6" hidden="1" x14ac:dyDescent="0.3">
      <c r="A286" s="80">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197">
        <f>+'Base de Datos'!I286</f>
        <v>78000000</v>
      </c>
      <c r="G286" s="196">
        <f>+'Base de Datos'!M286</f>
        <v>42066</v>
      </c>
      <c r="H286" s="196">
        <f>+'Base de Datos'!N286</f>
        <v>42432</v>
      </c>
      <c r="I286" s="196"/>
      <c r="J286" s="158"/>
      <c r="K286" s="333"/>
      <c r="L286" s="211"/>
      <c r="M286" s="336"/>
      <c r="N286" s="158"/>
      <c r="O286" s="333"/>
      <c r="P286" s="158"/>
      <c r="Q286" s="338"/>
      <c r="R286" s="81">
        <f t="shared" si="40"/>
        <v>0</v>
      </c>
      <c r="S286" s="314"/>
      <c r="T286" s="344"/>
      <c r="U286" s="290"/>
      <c r="V286" s="344"/>
      <c r="W286" s="290"/>
      <c r="X286" s="344"/>
      <c r="Y286" s="290"/>
      <c r="Z286" s="344"/>
      <c r="AA286" s="326"/>
      <c r="AB286" s="1004" t="str">
        <f t="shared" si="32"/>
        <v/>
      </c>
      <c r="AC286" s="1082" t="str">
        <f t="shared" si="33"/>
        <v/>
      </c>
      <c r="AD286" s="1077"/>
      <c r="AE286" s="1077"/>
      <c r="AF286" s="1084" t="str">
        <f t="shared" si="34"/>
        <v/>
      </c>
      <c r="AG286" s="1082" t="str">
        <f t="shared" si="35"/>
        <v/>
      </c>
      <c r="AH286" s="1091"/>
      <c r="AI286" s="1087"/>
      <c r="AJ286" s="1084" t="str">
        <f t="shared" si="36"/>
        <v/>
      </c>
      <c r="AK286" s="1083" t="str">
        <f t="shared" si="37"/>
        <v/>
      </c>
      <c r="AL286" s="211">
        <v>6066667</v>
      </c>
      <c r="AM286" s="211">
        <v>6500000</v>
      </c>
      <c r="AN286" s="211">
        <v>6500000</v>
      </c>
      <c r="AO286" s="211">
        <v>6500000</v>
      </c>
      <c r="AP286" s="211">
        <v>6500000</v>
      </c>
      <c r="AQ286" s="211">
        <v>6500000</v>
      </c>
      <c r="AR286" s="211">
        <v>6500000</v>
      </c>
      <c r="AS286" s="211">
        <v>6500000</v>
      </c>
      <c r="AT286" s="211">
        <v>6500000</v>
      </c>
      <c r="AU286" s="211">
        <v>6500000</v>
      </c>
      <c r="AV286" s="211">
        <v>6500000</v>
      </c>
      <c r="AW286" s="211">
        <v>6933333</v>
      </c>
      <c r="AX286" s="211"/>
      <c r="AY286" s="211"/>
      <c r="AZ286" s="211"/>
      <c r="BA286" s="211"/>
      <c r="BB286" s="211"/>
      <c r="BC286" s="211"/>
      <c r="BD286" s="333">
        <v>42585</v>
      </c>
      <c r="BE286" s="82">
        <f t="shared" si="39"/>
        <v>78000000</v>
      </c>
    </row>
    <row r="287" spans="1:57" ht="40.799999999999997" hidden="1" x14ac:dyDescent="0.3">
      <c r="A287" s="80">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197">
        <f>+'Base de Datos'!I287</f>
        <v>30900000</v>
      </c>
      <c r="G287" s="196">
        <f>+'Base de Datos'!M287</f>
        <v>42073</v>
      </c>
      <c r="H287" s="196">
        <f>+'Base de Datos'!N287</f>
        <v>42439</v>
      </c>
      <c r="I287" s="196"/>
      <c r="J287" s="158"/>
      <c r="K287" s="333"/>
      <c r="L287" s="211"/>
      <c r="M287" s="336"/>
      <c r="N287" s="158"/>
      <c r="O287" s="333"/>
      <c r="P287" s="158"/>
      <c r="Q287" s="338"/>
      <c r="R287" s="81">
        <f t="shared" si="40"/>
        <v>0</v>
      </c>
      <c r="S287" s="314"/>
      <c r="T287" s="344"/>
      <c r="U287" s="290"/>
      <c r="V287" s="344"/>
      <c r="W287" s="290"/>
      <c r="X287" s="344"/>
      <c r="Y287" s="290"/>
      <c r="Z287" s="344"/>
      <c r="AA287" s="326"/>
      <c r="AB287" s="1004" t="str">
        <f t="shared" si="32"/>
        <v/>
      </c>
      <c r="AC287" s="1082" t="str">
        <f t="shared" si="33"/>
        <v/>
      </c>
      <c r="AD287" s="1077"/>
      <c r="AE287" s="1077"/>
      <c r="AF287" s="1084" t="str">
        <f t="shared" si="34"/>
        <v/>
      </c>
      <c r="AG287" s="1082" t="str">
        <f t="shared" si="35"/>
        <v/>
      </c>
      <c r="AH287" s="1091"/>
      <c r="AI287" s="1087"/>
      <c r="AJ287" s="1084" t="str">
        <f t="shared" si="36"/>
        <v/>
      </c>
      <c r="AK287" s="1083" t="str">
        <f t="shared" si="37"/>
        <v/>
      </c>
      <c r="AL287" s="211">
        <v>1802500</v>
      </c>
      <c r="AM287" s="211">
        <v>2575000</v>
      </c>
      <c r="AN287" s="211">
        <v>2575000</v>
      </c>
      <c r="AO287" s="211">
        <v>2575000</v>
      </c>
      <c r="AP287" s="211">
        <v>2575000</v>
      </c>
      <c r="AQ287" s="211">
        <v>2575000</v>
      </c>
      <c r="AR287" s="211">
        <v>2575000</v>
      </c>
      <c r="AS287" s="211">
        <v>2575000</v>
      </c>
      <c r="AT287" s="211">
        <v>2575000</v>
      </c>
      <c r="AU287" s="211">
        <v>2575000</v>
      </c>
      <c r="AV287" s="211">
        <v>2575000</v>
      </c>
      <c r="AW287" s="211">
        <v>2575000</v>
      </c>
      <c r="AX287" s="211">
        <v>772500</v>
      </c>
      <c r="AY287" s="211"/>
      <c r="AZ287" s="211"/>
      <c r="BA287" s="211"/>
      <c r="BB287" s="211"/>
      <c r="BC287" s="211"/>
      <c r="BD287" s="333">
        <v>42464</v>
      </c>
      <c r="BE287" s="82">
        <f t="shared" si="39"/>
        <v>30900000</v>
      </c>
    </row>
    <row r="288" spans="1:57" ht="51" hidden="1" x14ac:dyDescent="0.3">
      <c r="A288" s="80">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197">
        <f>+'Base de Datos'!I288</f>
        <v>150000000</v>
      </c>
      <c r="G288" s="196">
        <f>+'Base de Datos'!M288</f>
        <v>42090</v>
      </c>
      <c r="H288" s="196">
        <f>+'Base de Datos'!N288</f>
        <v>42456</v>
      </c>
      <c r="I288" s="196"/>
      <c r="J288" s="158"/>
      <c r="K288" s="333"/>
      <c r="L288" s="211"/>
      <c r="M288" s="336"/>
      <c r="N288" s="158"/>
      <c r="O288" s="333"/>
      <c r="P288" s="158"/>
      <c r="Q288" s="338"/>
      <c r="R288" s="81">
        <f t="shared" si="40"/>
        <v>0</v>
      </c>
      <c r="S288" s="314"/>
      <c r="T288" s="344"/>
      <c r="U288" s="290"/>
      <c r="V288" s="344"/>
      <c r="W288" s="290"/>
      <c r="X288" s="344"/>
      <c r="Y288" s="290"/>
      <c r="Z288" s="344"/>
      <c r="AA288" s="326"/>
      <c r="AB288" s="1004" t="str">
        <f t="shared" si="32"/>
        <v/>
      </c>
      <c r="AC288" s="1082" t="str">
        <f t="shared" si="33"/>
        <v/>
      </c>
      <c r="AD288" s="1077"/>
      <c r="AE288" s="1077"/>
      <c r="AF288" s="1084" t="str">
        <f t="shared" si="34"/>
        <v/>
      </c>
      <c r="AG288" s="1082" t="str">
        <f t="shared" si="35"/>
        <v/>
      </c>
      <c r="AH288" s="1091"/>
      <c r="AI288" s="1087"/>
      <c r="AJ288" s="1084" t="str">
        <f t="shared" si="36"/>
        <v/>
      </c>
      <c r="AK288" s="1083" t="str">
        <f t="shared" si="37"/>
        <v/>
      </c>
      <c r="AL288" s="211">
        <v>150000000</v>
      </c>
      <c r="AM288" s="211"/>
      <c r="AN288" s="211"/>
      <c r="AO288" s="211"/>
      <c r="AP288" s="211"/>
      <c r="AQ288" s="211"/>
      <c r="AR288" s="211"/>
      <c r="AS288" s="211"/>
      <c r="AT288" s="211"/>
      <c r="AU288" s="211"/>
      <c r="AV288" s="211"/>
      <c r="AW288" s="211"/>
      <c r="AX288" s="211"/>
      <c r="AY288" s="211"/>
      <c r="AZ288" s="211"/>
      <c r="BA288" s="211"/>
      <c r="BB288" s="211"/>
      <c r="BC288" s="211"/>
      <c r="BD288" s="333">
        <v>42510</v>
      </c>
      <c r="BE288" s="82">
        <f t="shared" si="39"/>
        <v>150000000</v>
      </c>
    </row>
    <row r="289" spans="1:58" ht="61.2" hidden="1" x14ac:dyDescent="0.3">
      <c r="A289" s="80">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197">
        <f>+'Base de Datos'!I289</f>
        <v>0</v>
      </c>
      <c r="G289" s="196">
        <f>+'Base de Datos'!M289</f>
        <v>0</v>
      </c>
      <c r="H289" s="196">
        <f>+'Base de Datos'!N289</f>
        <v>0</v>
      </c>
      <c r="I289" s="196"/>
      <c r="J289" s="158"/>
      <c r="K289" s="333"/>
      <c r="L289" s="211"/>
      <c r="M289" s="336"/>
      <c r="N289" s="158"/>
      <c r="O289" s="333"/>
      <c r="P289" s="158"/>
      <c r="Q289" s="338"/>
      <c r="R289" s="81">
        <f t="shared" si="40"/>
        <v>0</v>
      </c>
      <c r="S289" s="314"/>
      <c r="T289" s="344"/>
      <c r="U289" s="290"/>
      <c r="V289" s="344"/>
      <c r="W289" s="290"/>
      <c r="X289" s="344"/>
      <c r="Y289" s="290"/>
      <c r="Z289" s="344"/>
      <c r="AA289" s="326"/>
      <c r="AB289" s="1004" t="str">
        <f t="shared" si="32"/>
        <v/>
      </c>
      <c r="AC289" s="1082" t="str">
        <f t="shared" si="33"/>
        <v/>
      </c>
      <c r="AD289" s="1077"/>
      <c r="AE289" s="1077"/>
      <c r="AF289" s="1084" t="str">
        <f t="shared" si="34"/>
        <v/>
      </c>
      <c r="AG289" s="1082" t="str">
        <f t="shared" si="35"/>
        <v/>
      </c>
      <c r="AH289" s="1091"/>
      <c r="AI289" s="1087"/>
      <c r="AJ289" s="1084" t="str">
        <f t="shared" si="36"/>
        <v/>
      </c>
      <c r="AK289" s="1083" t="str">
        <f t="shared" si="37"/>
        <v/>
      </c>
      <c r="AL289" s="211"/>
      <c r="AM289" s="211"/>
      <c r="AN289" s="211"/>
      <c r="AO289" s="211"/>
      <c r="AP289" s="211"/>
      <c r="AQ289" s="211"/>
      <c r="AR289" s="211"/>
      <c r="AS289" s="211"/>
      <c r="AT289" s="211"/>
      <c r="AU289" s="211"/>
      <c r="AV289" s="211"/>
      <c r="AW289" s="211"/>
      <c r="AX289" s="211"/>
      <c r="AY289" s="211"/>
      <c r="AZ289" s="211"/>
      <c r="BA289" s="211"/>
      <c r="BB289" s="211"/>
      <c r="BC289" s="211"/>
      <c r="BD289" s="333"/>
      <c r="BE289" s="82">
        <f t="shared" si="39"/>
        <v>0</v>
      </c>
    </row>
    <row r="290" spans="1:58" ht="30.6" hidden="1" x14ac:dyDescent="0.3">
      <c r="A290" s="80">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197">
        <f>+'Base de Datos'!I290</f>
        <v>4100000</v>
      </c>
      <c r="G290" s="196">
        <f>+'Base de Datos'!M290</f>
        <v>42088</v>
      </c>
      <c r="H290" s="196">
        <f>+'Base de Datos'!N290</f>
        <v>42241</v>
      </c>
      <c r="I290" s="196"/>
      <c r="J290" s="158"/>
      <c r="K290" s="333"/>
      <c r="L290" s="211"/>
      <c r="M290" s="336"/>
      <c r="N290" s="158"/>
      <c r="O290" s="333"/>
      <c r="P290" s="158"/>
      <c r="Q290" s="338"/>
      <c r="R290" s="81">
        <f t="shared" si="40"/>
        <v>0</v>
      </c>
      <c r="S290" s="314"/>
      <c r="T290" s="344"/>
      <c r="U290" s="290"/>
      <c r="V290" s="344"/>
      <c r="W290" s="290"/>
      <c r="X290" s="344"/>
      <c r="Y290" s="290"/>
      <c r="Z290" s="344"/>
      <c r="AA290" s="326"/>
      <c r="AB290" s="1004" t="str">
        <f t="shared" si="32"/>
        <v/>
      </c>
      <c r="AC290" s="1082" t="str">
        <f t="shared" si="33"/>
        <v/>
      </c>
      <c r="AD290" s="1077"/>
      <c r="AE290" s="1077"/>
      <c r="AF290" s="1084" t="str">
        <f t="shared" si="34"/>
        <v/>
      </c>
      <c r="AG290" s="1082" t="str">
        <f t="shared" si="35"/>
        <v/>
      </c>
      <c r="AH290" s="1091"/>
      <c r="AI290" s="1087"/>
      <c r="AJ290" s="1084" t="str">
        <f t="shared" si="36"/>
        <v/>
      </c>
      <c r="AK290" s="1083" t="str">
        <f t="shared" si="37"/>
        <v/>
      </c>
      <c r="AL290" s="211">
        <v>4100000</v>
      </c>
      <c r="AM290" s="211"/>
      <c r="AN290" s="211"/>
      <c r="AO290" s="211"/>
      <c r="AP290" s="211"/>
      <c r="AQ290" s="211"/>
      <c r="AR290" s="211"/>
      <c r="AS290" s="211"/>
      <c r="AT290" s="211"/>
      <c r="AU290" s="211"/>
      <c r="AV290" s="211"/>
      <c r="AW290" s="211"/>
      <c r="AX290" s="211"/>
      <c r="AY290" s="211"/>
      <c r="AZ290" s="211"/>
      <c r="BA290" s="211"/>
      <c r="BB290" s="211"/>
      <c r="BC290" s="211"/>
      <c r="BD290" s="333">
        <v>42219</v>
      </c>
      <c r="BE290" s="82">
        <f t="shared" si="39"/>
        <v>4100000</v>
      </c>
    </row>
    <row r="291" spans="1:58" ht="20.399999999999999" hidden="1" x14ac:dyDescent="0.3">
      <c r="A291" s="80">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197">
        <f>+'Base de Datos'!I291</f>
        <v>1226994</v>
      </c>
      <c r="G291" s="196">
        <f>+'Base de Datos'!M291</f>
        <v>42082</v>
      </c>
      <c r="H291" s="196">
        <f>+'Base de Datos'!N291</f>
        <v>42447</v>
      </c>
      <c r="I291" s="196"/>
      <c r="J291" s="158"/>
      <c r="K291" s="333"/>
      <c r="L291" s="211"/>
      <c r="M291" s="336"/>
      <c r="N291" s="158"/>
      <c r="O291" s="333"/>
      <c r="P291" s="158"/>
      <c r="Q291" s="338"/>
      <c r="R291" s="81">
        <f t="shared" si="40"/>
        <v>0</v>
      </c>
      <c r="S291" s="314"/>
      <c r="T291" s="344"/>
      <c r="U291" s="290"/>
      <c r="V291" s="344"/>
      <c r="W291" s="290"/>
      <c r="X291" s="344"/>
      <c r="Y291" s="290"/>
      <c r="Z291" s="344"/>
      <c r="AA291" s="326"/>
      <c r="AB291" s="1004" t="str">
        <f t="shared" si="32"/>
        <v/>
      </c>
      <c r="AC291" s="1082" t="str">
        <f t="shared" si="33"/>
        <v/>
      </c>
      <c r="AD291" s="1077"/>
      <c r="AE291" s="1077"/>
      <c r="AF291" s="1084" t="str">
        <f t="shared" si="34"/>
        <v/>
      </c>
      <c r="AG291" s="1082" t="str">
        <f t="shared" si="35"/>
        <v/>
      </c>
      <c r="AH291" s="1091"/>
      <c r="AI291" s="1087"/>
      <c r="AJ291" s="1084" t="str">
        <f t="shared" si="36"/>
        <v/>
      </c>
      <c r="AK291" s="1083" t="str">
        <f t="shared" si="37"/>
        <v/>
      </c>
      <c r="AL291" s="211">
        <v>1226994</v>
      </c>
      <c r="AM291" s="211"/>
      <c r="AN291" s="211"/>
      <c r="AO291" s="211"/>
      <c r="AP291" s="211"/>
      <c r="AQ291" s="211"/>
      <c r="AR291" s="211"/>
      <c r="AS291" s="211"/>
      <c r="AT291" s="211"/>
      <c r="AU291" s="211"/>
      <c r="AV291" s="211"/>
      <c r="AW291" s="211"/>
      <c r="AX291" s="211"/>
      <c r="AY291" s="211"/>
      <c r="AZ291" s="211"/>
      <c r="BA291" s="211"/>
      <c r="BB291" s="211"/>
      <c r="BC291" s="211"/>
      <c r="BD291" s="333">
        <v>42123</v>
      </c>
      <c r="BE291" s="82">
        <f t="shared" si="39"/>
        <v>1226994</v>
      </c>
    </row>
    <row r="292" spans="1:58" ht="61.2" hidden="1" x14ac:dyDescent="0.3">
      <c r="A292" s="80">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197">
        <f>+'Base de Datos'!I292</f>
        <v>334080000</v>
      </c>
      <c r="G292" s="196">
        <f>+'Base de Datos'!M292</f>
        <v>42104</v>
      </c>
      <c r="H292" s="196">
        <f>+'Base de Datos'!N292</f>
        <v>42287</v>
      </c>
      <c r="I292" s="196"/>
      <c r="J292" s="158"/>
      <c r="K292" s="333"/>
      <c r="L292" s="211"/>
      <c r="M292" s="336"/>
      <c r="N292" s="158"/>
      <c r="O292" s="333"/>
      <c r="P292" s="158"/>
      <c r="Q292" s="338"/>
      <c r="R292" s="81">
        <f t="shared" si="40"/>
        <v>0</v>
      </c>
      <c r="S292" s="258" t="s">
        <v>378</v>
      </c>
      <c r="T292" s="333">
        <v>42348</v>
      </c>
      <c r="U292" s="158"/>
      <c r="V292" s="333"/>
      <c r="W292" s="158"/>
      <c r="X292" s="333"/>
      <c r="Y292" s="158"/>
      <c r="Z292" s="333"/>
      <c r="AA292" s="326" t="s">
        <v>378</v>
      </c>
      <c r="AB292" s="1004">
        <f t="shared" si="32"/>
        <v>42348</v>
      </c>
      <c r="AC292" s="1082" t="str">
        <f t="shared" si="33"/>
        <v/>
      </c>
      <c r="AD292" s="1077"/>
      <c r="AE292" s="1077"/>
      <c r="AF292" s="1084" t="str">
        <f t="shared" si="34"/>
        <v/>
      </c>
      <c r="AG292" s="1082" t="str">
        <f t="shared" si="35"/>
        <v/>
      </c>
      <c r="AH292" s="1091"/>
      <c r="AI292" s="1087"/>
      <c r="AJ292" s="1084" t="str">
        <f t="shared" si="36"/>
        <v/>
      </c>
      <c r="AK292" s="1083" t="str">
        <f t="shared" si="37"/>
        <v/>
      </c>
      <c r="AL292" s="211">
        <v>77720000</v>
      </c>
      <c r="AM292" s="211">
        <v>186760000</v>
      </c>
      <c r="AN292" s="211">
        <v>69600000</v>
      </c>
      <c r="AO292" s="211"/>
      <c r="AP292" s="211"/>
      <c r="AQ292" s="211"/>
      <c r="AR292" s="211"/>
      <c r="AS292" s="211"/>
      <c r="AT292" s="211"/>
      <c r="AU292" s="211"/>
      <c r="AV292" s="211"/>
      <c r="AW292" s="211"/>
      <c r="AX292" s="211"/>
      <c r="AY292" s="211"/>
      <c r="AZ292" s="211"/>
      <c r="BA292" s="211"/>
      <c r="BB292" s="211"/>
      <c r="BC292" s="211"/>
      <c r="BD292" s="333">
        <v>42355</v>
      </c>
      <c r="BE292" s="82">
        <f t="shared" si="39"/>
        <v>334080000</v>
      </c>
    </row>
    <row r="293" spans="1:58" ht="30.6" hidden="1" x14ac:dyDescent="0.3">
      <c r="A293" s="80">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197">
        <f>+'Base de Datos'!I293</f>
        <v>7442000</v>
      </c>
      <c r="G293" s="196">
        <f>+'Base de Datos'!M293</f>
        <v>42111</v>
      </c>
      <c r="H293" s="196">
        <f>+'Base de Datos'!N293</f>
        <v>42477</v>
      </c>
      <c r="I293" s="196"/>
      <c r="J293" s="158"/>
      <c r="K293" s="333"/>
      <c r="L293" s="211"/>
      <c r="M293" s="336"/>
      <c r="N293" s="158"/>
      <c r="O293" s="333"/>
      <c r="P293" s="158"/>
      <c r="Q293" s="338"/>
      <c r="R293" s="81">
        <f t="shared" si="40"/>
        <v>0</v>
      </c>
      <c r="S293" s="258"/>
      <c r="T293" s="333"/>
      <c r="U293" s="158"/>
      <c r="V293" s="333"/>
      <c r="W293" s="158"/>
      <c r="X293" s="333"/>
      <c r="Y293" s="158"/>
      <c r="Z293" s="333"/>
      <c r="AA293" s="326"/>
      <c r="AB293" s="1004" t="str">
        <f t="shared" si="32"/>
        <v/>
      </c>
      <c r="AC293" s="1082" t="str">
        <f t="shared" si="33"/>
        <v/>
      </c>
      <c r="AD293" s="1077"/>
      <c r="AE293" s="1077"/>
      <c r="AF293" s="1084" t="str">
        <f t="shared" si="34"/>
        <v/>
      </c>
      <c r="AG293" s="1082" t="str">
        <f t="shared" si="35"/>
        <v/>
      </c>
      <c r="AH293" s="1091"/>
      <c r="AI293" s="1087"/>
      <c r="AJ293" s="1084" t="str">
        <f t="shared" si="36"/>
        <v/>
      </c>
      <c r="AK293" s="1083" t="str">
        <f t="shared" si="37"/>
        <v/>
      </c>
      <c r="AL293" s="211">
        <v>1600000</v>
      </c>
      <c r="AM293" s="211">
        <v>1188000</v>
      </c>
      <c r="AN293" s="211">
        <v>2461000</v>
      </c>
      <c r="AO293" s="211"/>
      <c r="AP293" s="211"/>
      <c r="AQ293" s="211"/>
      <c r="AR293" s="211"/>
      <c r="AS293" s="211"/>
      <c r="AT293" s="211"/>
      <c r="AU293" s="211"/>
      <c r="AV293" s="211"/>
      <c r="AW293" s="211"/>
      <c r="AX293" s="211"/>
      <c r="AY293" s="211"/>
      <c r="AZ293" s="211"/>
      <c r="BA293" s="211"/>
      <c r="BB293" s="211"/>
      <c r="BC293" s="211"/>
      <c r="BD293" s="333">
        <v>42606</v>
      </c>
      <c r="BE293" s="82">
        <f t="shared" si="39"/>
        <v>5249000</v>
      </c>
    </row>
    <row r="294" spans="1:58" ht="40.799999999999997" hidden="1" x14ac:dyDescent="0.3">
      <c r="A294" s="80">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197">
        <f>+'Base de Datos'!I294</f>
        <v>379200000</v>
      </c>
      <c r="G294" s="196">
        <f>+'Base de Datos'!M294</f>
        <v>42109</v>
      </c>
      <c r="H294" s="196">
        <f>+'Base de Datos'!N294</f>
        <v>42429</v>
      </c>
      <c r="I294" s="196"/>
      <c r="J294" s="158">
        <v>180000000</v>
      </c>
      <c r="K294" s="333"/>
      <c r="L294" s="211"/>
      <c r="M294" s="336"/>
      <c r="N294" s="158"/>
      <c r="O294" s="333"/>
      <c r="P294" s="158"/>
      <c r="Q294" s="338">
        <v>42423</v>
      </c>
      <c r="R294" s="81">
        <f t="shared" si="40"/>
        <v>180000000</v>
      </c>
      <c r="S294" s="258" t="s">
        <v>2410</v>
      </c>
      <c r="T294" s="333">
        <v>42582</v>
      </c>
      <c r="U294" s="158"/>
      <c r="V294" s="333"/>
      <c r="W294" s="158"/>
      <c r="X294" s="333"/>
      <c r="Y294" s="158"/>
      <c r="Z294" s="333"/>
      <c r="AA294" s="326" t="s">
        <v>2410</v>
      </c>
      <c r="AB294" s="1004">
        <f t="shared" si="32"/>
        <v>42582</v>
      </c>
      <c r="AC294" s="1082" t="str">
        <f t="shared" si="33"/>
        <v/>
      </c>
      <c r="AD294" s="1077"/>
      <c r="AE294" s="1077"/>
      <c r="AF294" s="1084" t="str">
        <f t="shared" si="34"/>
        <v/>
      </c>
      <c r="AG294" s="1082" t="str">
        <f t="shared" si="35"/>
        <v/>
      </c>
      <c r="AH294" s="1091"/>
      <c r="AI294" s="1087"/>
      <c r="AJ294" s="1084" t="str">
        <f t="shared" si="36"/>
        <v/>
      </c>
      <c r="AK294" s="1083" t="str">
        <f t="shared" si="37"/>
        <v/>
      </c>
      <c r="AL294" s="211">
        <v>55200000</v>
      </c>
      <c r="AM294" s="211">
        <v>36000000</v>
      </c>
      <c r="AN294" s="211">
        <v>36000000</v>
      </c>
      <c r="AO294" s="211">
        <v>36000000</v>
      </c>
      <c r="AP294" s="211">
        <v>36000000</v>
      </c>
      <c r="AQ294" s="211">
        <v>36000000</v>
      </c>
      <c r="AR294" s="211">
        <v>36000000</v>
      </c>
      <c r="AS294" s="211">
        <v>36000000</v>
      </c>
      <c r="AT294" s="211">
        <v>36000000</v>
      </c>
      <c r="AU294" s="211">
        <v>36000000</v>
      </c>
      <c r="AV294" s="211">
        <v>36000000</v>
      </c>
      <c r="AW294" s="211">
        <v>36000000</v>
      </c>
      <c r="AX294" s="211">
        <v>36000000</v>
      </c>
      <c r="AY294" s="211">
        <v>36000000</v>
      </c>
      <c r="AZ294" s="211">
        <v>36000000</v>
      </c>
      <c r="BA294" s="211"/>
      <c r="BB294" s="211"/>
      <c r="BC294" s="211"/>
      <c r="BD294" s="333">
        <v>42557</v>
      </c>
      <c r="BE294" s="82">
        <f t="shared" si="39"/>
        <v>559200000</v>
      </c>
    </row>
    <row r="295" spans="1:58" ht="20.399999999999999" hidden="1" x14ac:dyDescent="0.3">
      <c r="A295" s="80">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197">
        <f>+'Base de Datos'!I295</f>
        <v>3035520</v>
      </c>
      <c r="G295" s="196">
        <f>+'Base de Datos'!M295</f>
        <v>42121</v>
      </c>
      <c r="H295" s="196">
        <f>+'Base de Datos'!N295</f>
        <v>42487</v>
      </c>
      <c r="I295" s="196"/>
      <c r="J295" s="158"/>
      <c r="K295" s="333"/>
      <c r="L295" s="211"/>
      <c r="M295" s="336"/>
      <c r="N295" s="158"/>
      <c r="O295" s="333"/>
      <c r="P295" s="158"/>
      <c r="Q295" s="338"/>
      <c r="R295" s="81">
        <f t="shared" si="40"/>
        <v>0</v>
      </c>
      <c r="S295" s="258"/>
      <c r="T295" s="333"/>
      <c r="U295" s="158"/>
      <c r="V295" s="333"/>
      <c r="W295" s="158"/>
      <c r="X295" s="333"/>
      <c r="Y295" s="158"/>
      <c r="Z295" s="333"/>
      <c r="AA295" s="326"/>
      <c r="AB295" s="1004" t="str">
        <f t="shared" si="32"/>
        <v/>
      </c>
      <c r="AC295" s="1082" t="str">
        <f t="shared" si="33"/>
        <v/>
      </c>
      <c r="AD295" s="1077"/>
      <c r="AE295" s="1077"/>
      <c r="AF295" s="1084" t="str">
        <f t="shared" si="34"/>
        <v/>
      </c>
      <c r="AG295" s="1082" t="str">
        <f t="shared" si="35"/>
        <v/>
      </c>
      <c r="AH295" s="1091"/>
      <c r="AI295" s="1087"/>
      <c r="AJ295" s="1084" t="str">
        <f t="shared" si="36"/>
        <v/>
      </c>
      <c r="AK295" s="1083" t="str">
        <f t="shared" si="37"/>
        <v/>
      </c>
      <c r="AL295" s="211">
        <v>757425</v>
      </c>
      <c r="AM295" s="211">
        <v>434361</v>
      </c>
      <c r="AN295" s="211">
        <v>817225</v>
      </c>
      <c r="AO295" s="211"/>
      <c r="AP295" s="211"/>
      <c r="AQ295" s="211"/>
      <c r="AR295" s="211"/>
      <c r="AS295" s="211"/>
      <c r="AT295" s="211"/>
      <c r="AU295" s="211"/>
      <c r="AV295" s="211"/>
      <c r="AW295" s="211"/>
      <c r="AX295" s="211"/>
      <c r="AY295" s="211"/>
      <c r="AZ295" s="211"/>
      <c r="BA295" s="211"/>
      <c r="BB295" s="211"/>
      <c r="BC295" s="211"/>
      <c r="BD295" s="333">
        <v>42557</v>
      </c>
      <c r="BE295" s="82">
        <f t="shared" si="39"/>
        <v>2009011</v>
      </c>
    </row>
    <row r="296" spans="1:58" ht="51" hidden="1" x14ac:dyDescent="0.3">
      <c r="A296" s="80">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197">
        <f>+'Base de Datos'!I296</f>
        <v>4721200</v>
      </c>
      <c r="G296" s="196">
        <f>+'Base de Datos'!M296</f>
        <v>42116</v>
      </c>
      <c r="H296" s="196">
        <f>+'Base de Datos'!N296</f>
        <v>42451</v>
      </c>
      <c r="I296" s="196"/>
      <c r="J296" s="158"/>
      <c r="K296" s="333"/>
      <c r="L296" s="211"/>
      <c r="M296" s="336"/>
      <c r="N296" s="158"/>
      <c r="O296" s="333"/>
      <c r="P296" s="158"/>
      <c r="Q296" s="338"/>
      <c r="R296" s="81">
        <f t="shared" si="40"/>
        <v>0</v>
      </c>
      <c r="S296" s="258"/>
      <c r="T296" s="333"/>
      <c r="U296" s="158"/>
      <c r="V296" s="333"/>
      <c r="W296" s="158"/>
      <c r="X296" s="333"/>
      <c r="Y296" s="158"/>
      <c r="Z296" s="333"/>
      <c r="AA296" s="326"/>
      <c r="AB296" s="1004" t="str">
        <f t="shared" si="32"/>
        <v/>
      </c>
      <c r="AC296" s="1082" t="str">
        <f t="shared" si="33"/>
        <v/>
      </c>
      <c r="AD296" s="1077"/>
      <c r="AE296" s="1077"/>
      <c r="AF296" s="1084" t="str">
        <f t="shared" si="34"/>
        <v/>
      </c>
      <c r="AG296" s="1082" t="str">
        <f t="shared" si="35"/>
        <v/>
      </c>
      <c r="AH296" s="1091"/>
      <c r="AI296" s="1087"/>
      <c r="AJ296" s="1084" t="str">
        <f t="shared" si="36"/>
        <v/>
      </c>
      <c r="AK296" s="1083" t="str">
        <f t="shared" si="37"/>
        <v/>
      </c>
      <c r="AL296" s="211">
        <v>661200</v>
      </c>
      <c r="AM296" s="211">
        <v>661200</v>
      </c>
      <c r="AN296" s="211">
        <v>661200</v>
      </c>
      <c r="AO296" s="211">
        <v>661200</v>
      </c>
      <c r="AP296" s="211">
        <f>661200+1415200</f>
        <v>2076400</v>
      </c>
      <c r="AQ296" s="211"/>
      <c r="AR296" s="211"/>
      <c r="AS296" s="211"/>
      <c r="AT296" s="211"/>
      <c r="AU296" s="211"/>
      <c r="AV296" s="211"/>
      <c r="AW296" s="211"/>
      <c r="AX296" s="211"/>
      <c r="AY296" s="211"/>
      <c r="AZ296" s="211"/>
      <c r="BA296" s="211"/>
      <c r="BB296" s="211"/>
      <c r="BC296" s="211"/>
      <c r="BD296" s="333">
        <v>42513</v>
      </c>
      <c r="BE296" s="82">
        <f t="shared" si="39"/>
        <v>4721200</v>
      </c>
    </row>
    <row r="297" spans="1:58" ht="30.6" hidden="1" x14ac:dyDescent="0.3">
      <c r="A297" s="80">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197">
        <f>+'Base de Datos'!I297</f>
        <v>28000000</v>
      </c>
      <c r="G297" s="196">
        <f>+'Base de Datos'!M297</f>
        <v>42116</v>
      </c>
      <c r="H297" s="196">
        <f>+'Base de Datos'!N297</f>
        <v>42482</v>
      </c>
      <c r="I297" s="196"/>
      <c r="J297" s="158"/>
      <c r="K297" s="333"/>
      <c r="L297" s="211"/>
      <c r="M297" s="336"/>
      <c r="N297" s="158"/>
      <c r="O297" s="333"/>
      <c r="P297" s="158"/>
      <c r="Q297" s="338"/>
      <c r="R297" s="81">
        <f t="shared" si="40"/>
        <v>0</v>
      </c>
      <c r="S297" s="258"/>
      <c r="T297" s="333"/>
      <c r="U297" s="158"/>
      <c r="V297" s="333"/>
      <c r="W297" s="158"/>
      <c r="X297" s="333"/>
      <c r="Y297" s="158"/>
      <c r="Z297" s="333"/>
      <c r="AA297" s="326"/>
      <c r="AB297" s="1004" t="str">
        <f t="shared" si="32"/>
        <v/>
      </c>
      <c r="AC297" s="1082" t="str">
        <f t="shared" si="33"/>
        <v/>
      </c>
      <c r="AD297" s="1077"/>
      <c r="AE297" s="1077"/>
      <c r="AF297" s="1084" t="str">
        <f t="shared" si="34"/>
        <v/>
      </c>
      <c r="AG297" s="1082" t="str">
        <f t="shared" si="35"/>
        <v/>
      </c>
      <c r="AH297" s="1091"/>
      <c r="AI297" s="1087"/>
      <c r="AJ297" s="1084" t="str">
        <f t="shared" si="36"/>
        <v/>
      </c>
      <c r="AK297" s="1083" t="str">
        <f t="shared" si="37"/>
        <v/>
      </c>
      <c r="AL297" s="211">
        <v>2038321</v>
      </c>
      <c r="AM297" s="211">
        <v>3124729</v>
      </c>
      <c r="AN297" s="211">
        <v>4101731</v>
      </c>
      <c r="AO297" s="211">
        <v>4140301</v>
      </c>
      <c r="AP297" s="211">
        <v>3827699</v>
      </c>
      <c r="AQ297" s="211">
        <v>3524544</v>
      </c>
      <c r="AR297" s="211">
        <f>3514800+2797503</f>
        <v>6312303</v>
      </c>
      <c r="AS297" s="211">
        <v>646004</v>
      </c>
      <c r="AT297" s="211">
        <v>238264</v>
      </c>
      <c r="AU297" s="211">
        <v>45762</v>
      </c>
      <c r="AV297" s="211"/>
      <c r="AW297" s="211"/>
      <c r="AX297" s="211"/>
      <c r="AY297" s="211"/>
      <c r="AZ297" s="211"/>
      <c r="BA297" s="211"/>
      <c r="BB297" s="211"/>
      <c r="BC297" s="211"/>
      <c r="BD297" s="333">
        <v>42525</v>
      </c>
      <c r="BE297" s="82">
        <f t="shared" si="39"/>
        <v>27999658</v>
      </c>
    </row>
    <row r="298" spans="1:58" ht="51" hidden="1" x14ac:dyDescent="0.3">
      <c r="A298" s="80">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197">
        <f>+'Base de Datos'!I298</f>
        <v>4174276985</v>
      </c>
      <c r="G298" s="196">
        <f>+'Base de Datos'!M298</f>
        <v>42117</v>
      </c>
      <c r="H298" s="196">
        <f>+'Base de Datos'!N298</f>
        <v>42468</v>
      </c>
      <c r="I298" s="196"/>
      <c r="J298" s="158"/>
      <c r="K298" s="333"/>
      <c r="L298" s="211"/>
      <c r="M298" s="336"/>
      <c r="N298" s="158"/>
      <c r="O298" s="333"/>
      <c r="P298" s="158"/>
      <c r="Q298" s="338"/>
      <c r="R298" s="81">
        <f t="shared" si="40"/>
        <v>0</v>
      </c>
      <c r="S298" s="258"/>
      <c r="T298" s="333"/>
      <c r="U298" s="158"/>
      <c r="V298" s="333"/>
      <c r="W298" s="158"/>
      <c r="X298" s="333"/>
      <c r="Y298" s="158"/>
      <c r="Z298" s="333"/>
      <c r="AA298" s="326"/>
      <c r="AB298" s="1004" t="str">
        <f t="shared" si="32"/>
        <v/>
      </c>
      <c r="AC298" s="1082" t="str">
        <f t="shared" si="33"/>
        <v/>
      </c>
      <c r="AD298" s="1077"/>
      <c r="AE298" s="1077"/>
      <c r="AF298" s="1084" t="str">
        <f t="shared" si="34"/>
        <v/>
      </c>
      <c r="AG298" s="1082" t="str">
        <f t="shared" si="35"/>
        <v/>
      </c>
      <c r="AH298" s="1091"/>
      <c r="AI298" s="1087"/>
      <c r="AJ298" s="1084" t="str">
        <f t="shared" si="36"/>
        <v/>
      </c>
      <c r="AK298" s="1083" t="str">
        <f t="shared" si="37"/>
        <v/>
      </c>
      <c r="AL298" s="211">
        <v>1252283096</v>
      </c>
      <c r="AM298" s="211">
        <v>1252283096</v>
      </c>
      <c r="AN298" s="211">
        <v>1252283096</v>
      </c>
      <c r="AO298" s="211"/>
      <c r="AP298" s="211"/>
      <c r="AQ298" s="211"/>
      <c r="AR298" s="211"/>
      <c r="AS298" s="211"/>
      <c r="AT298" s="211"/>
      <c r="AU298" s="211"/>
      <c r="AV298" s="211"/>
      <c r="AW298" s="211"/>
      <c r="AX298" s="211"/>
      <c r="AY298" s="211"/>
      <c r="AZ298" s="211"/>
      <c r="BA298" s="211"/>
      <c r="BB298" s="211"/>
      <c r="BC298" s="211"/>
      <c r="BD298" s="333">
        <v>42353</v>
      </c>
      <c r="BE298" s="82">
        <f t="shared" si="39"/>
        <v>3756849288</v>
      </c>
    </row>
    <row r="299" spans="1:58" ht="51" hidden="1" x14ac:dyDescent="0.3">
      <c r="A299" s="80">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197">
        <f>+'Base de Datos'!I299</f>
        <v>27620000</v>
      </c>
      <c r="G299" s="196">
        <f>+'Base de Datos'!M299</f>
        <v>42137</v>
      </c>
      <c r="H299" s="196">
        <f>+'Base de Datos'!N299</f>
        <v>42503</v>
      </c>
      <c r="I299" s="196"/>
      <c r="J299" s="158">
        <v>14000000</v>
      </c>
      <c r="K299" s="333">
        <v>42496</v>
      </c>
      <c r="L299" s="211"/>
      <c r="M299" s="336"/>
      <c r="N299" s="158"/>
      <c r="O299" s="333"/>
      <c r="P299" s="158"/>
      <c r="Q299" s="338"/>
      <c r="R299" s="81">
        <f t="shared" si="40"/>
        <v>14000000</v>
      </c>
      <c r="S299" s="820" t="s">
        <v>2444</v>
      </c>
      <c r="T299" s="333">
        <v>42531</v>
      </c>
      <c r="U299" s="158"/>
      <c r="V299" s="333"/>
      <c r="W299" s="158"/>
      <c r="X299" s="333"/>
      <c r="Y299" s="158"/>
      <c r="Z299" s="333"/>
      <c r="AA299" s="326" t="s">
        <v>2444</v>
      </c>
      <c r="AB299" s="1004">
        <f t="shared" si="32"/>
        <v>42531</v>
      </c>
      <c r="AC299" s="1082" t="str">
        <f t="shared" si="33"/>
        <v/>
      </c>
      <c r="AD299" s="1077"/>
      <c r="AE299" s="1077"/>
      <c r="AF299" s="1084" t="str">
        <f t="shared" si="34"/>
        <v/>
      </c>
      <c r="AG299" s="1082" t="str">
        <f t="shared" si="35"/>
        <v/>
      </c>
      <c r="AH299" s="1091"/>
      <c r="AI299" s="1087"/>
      <c r="AJ299" s="1084" t="str">
        <f t="shared" si="36"/>
        <v/>
      </c>
      <c r="AK299" s="1083" t="str">
        <f t="shared" si="37"/>
        <v/>
      </c>
      <c r="AL299" s="211">
        <v>27025268</v>
      </c>
      <c r="AM299" s="211">
        <v>8139877</v>
      </c>
      <c r="AN299" s="211">
        <v>5308654</v>
      </c>
      <c r="AO299" s="211"/>
      <c r="AP299" s="211"/>
      <c r="AQ299" s="211"/>
      <c r="AR299" s="211"/>
      <c r="AS299" s="211"/>
      <c r="AT299" s="211"/>
      <c r="AU299" s="211"/>
      <c r="AV299" s="211"/>
      <c r="AW299" s="211"/>
      <c r="AX299" s="211"/>
      <c r="AY299" s="211"/>
      <c r="AZ299" s="211"/>
      <c r="BA299" s="211"/>
      <c r="BB299" s="211"/>
      <c r="BC299" s="211"/>
      <c r="BD299" s="333">
        <v>42622</v>
      </c>
      <c r="BE299" s="82">
        <f t="shared" si="39"/>
        <v>40473799</v>
      </c>
    </row>
    <row r="300" spans="1:58" ht="51" hidden="1" x14ac:dyDescent="0.3">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197">
        <f>+'Base de Datos'!I300</f>
        <v>33500000</v>
      </c>
      <c r="G300" s="196">
        <f>+'Base de Datos'!M300</f>
        <v>42130</v>
      </c>
      <c r="H300" s="196">
        <f>+'Base de Datos'!N300</f>
        <v>42496</v>
      </c>
      <c r="I300" s="196"/>
      <c r="J300" s="158"/>
      <c r="K300" s="333"/>
      <c r="L300" s="211"/>
      <c r="M300" s="336"/>
      <c r="N300" s="158"/>
      <c r="O300" s="333"/>
      <c r="P300" s="158"/>
      <c r="Q300" s="338"/>
      <c r="R300" s="81">
        <f t="shared" ref="R300:R322" si="41">SUM(J300,L300,N300,P300)</f>
        <v>0</v>
      </c>
      <c r="S300" s="258" t="s">
        <v>2438</v>
      </c>
      <c r="T300" s="333">
        <v>42510</v>
      </c>
      <c r="U300" s="158"/>
      <c r="V300" s="333"/>
      <c r="W300" s="158"/>
      <c r="X300" s="333"/>
      <c r="Y300" s="158"/>
      <c r="Z300" s="333"/>
      <c r="AA300" s="326" t="s">
        <v>2438</v>
      </c>
      <c r="AB300" s="1004">
        <f t="shared" si="32"/>
        <v>42510</v>
      </c>
      <c r="AC300" s="1094" t="str">
        <f t="shared" si="33"/>
        <v/>
      </c>
      <c r="AD300" s="1077"/>
      <c r="AE300" s="1077"/>
      <c r="AF300" s="1095" t="str">
        <f t="shared" si="34"/>
        <v/>
      </c>
      <c r="AG300" s="1094" t="str">
        <f t="shared" si="35"/>
        <v/>
      </c>
      <c r="AH300" s="1091"/>
      <c r="AI300" s="1087"/>
      <c r="AJ300" s="1095" t="str">
        <f t="shared" si="36"/>
        <v/>
      </c>
      <c r="AK300" s="1096" t="str">
        <f t="shared" si="37"/>
        <v/>
      </c>
      <c r="AL300" s="211">
        <v>1745921</v>
      </c>
      <c r="AM300" s="211">
        <v>2181199</v>
      </c>
      <c r="AN300" s="211">
        <v>2233950</v>
      </c>
      <c r="AO300" s="211">
        <v>2152112</v>
      </c>
      <c r="AP300" s="211">
        <v>2351259</v>
      </c>
      <c r="AQ300" s="211">
        <v>2238387</v>
      </c>
      <c r="AR300" s="814">
        <v>2165916</v>
      </c>
      <c r="AS300" s="211">
        <v>2708709</v>
      </c>
      <c r="AT300" s="211">
        <v>2067622</v>
      </c>
      <c r="AU300" s="211">
        <v>2139821</v>
      </c>
      <c r="AV300" s="211">
        <v>2319528</v>
      </c>
      <c r="AW300" s="211">
        <v>2263666</v>
      </c>
      <c r="AX300" s="211">
        <v>2112539</v>
      </c>
      <c r="AY300" s="211"/>
      <c r="AZ300" s="211"/>
      <c r="BA300" s="211"/>
      <c r="BB300" s="211"/>
      <c r="BC300" s="211"/>
      <c r="BD300" s="333">
        <v>42564</v>
      </c>
      <c r="BE300" s="82">
        <f t="shared" si="39"/>
        <v>28680629</v>
      </c>
    </row>
    <row r="301" spans="1:58" ht="30.6" hidden="1" x14ac:dyDescent="0.3">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197">
        <f>+'Base de Datos'!I301</f>
        <v>12975945</v>
      </c>
      <c r="G301" s="196">
        <f>+'Base de Datos'!M301</f>
        <v>42135</v>
      </c>
      <c r="H301" s="196">
        <f>+'Base de Datos'!N301</f>
        <v>42258</v>
      </c>
      <c r="I301" s="196"/>
      <c r="J301" s="158"/>
      <c r="K301" s="333"/>
      <c r="L301" s="211"/>
      <c r="M301" s="336"/>
      <c r="N301" s="158"/>
      <c r="O301" s="333"/>
      <c r="P301" s="158"/>
      <c r="Q301" s="338"/>
      <c r="R301" s="81">
        <f t="shared" si="41"/>
        <v>0</v>
      </c>
      <c r="S301" s="258"/>
      <c r="T301" s="333"/>
      <c r="U301" s="158"/>
      <c r="V301" s="333"/>
      <c r="W301" s="158"/>
      <c r="X301" s="333"/>
      <c r="Y301" s="158"/>
      <c r="Z301" s="333"/>
      <c r="AA301" s="326"/>
      <c r="AB301" s="1004" t="str">
        <f t="shared" si="32"/>
        <v/>
      </c>
      <c r="AC301" s="1082" t="str">
        <f t="shared" si="33"/>
        <v/>
      </c>
      <c r="AD301" s="1077"/>
      <c r="AE301" s="1077"/>
      <c r="AF301" s="1084" t="str">
        <f t="shared" si="34"/>
        <v/>
      </c>
      <c r="AG301" s="1082" t="str">
        <f t="shared" si="35"/>
        <v/>
      </c>
      <c r="AH301" s="1091"/>
      <c r="AI301" s="1087"/>
      <c r="AJ301" s="1084" t="str">
        <f t="shared" si="36"/>
        <v/>
      </c>
      <c r="AK301" s="1083" t="str">
        <f t="shared" si="37"/>
        <v/>
      </c>
      <c r="AL301" s="211">
        <v>12975945</v>
      </c>
      <c r="AM301" s="211"/>
      <c r="AN301" s="211"/>
      <c r="AO301" s="211"/>
      <c r="AP301" s="211"/>
      <c r="AQ301" s="211"/>
      <c r="AR301" s="211"/>
      <c r="AS301" s="211"/>
      <c r="AT301" s="211"/>
      <c r="AU301" s="211"/>
      <c r="AV301" s="211"/>
      <c r="AW301" s="211"/>
      <c r="AX301" s="211"/>
      <c r="AY301" s="211"/>
      <c r="AZ301" s="211"/>
      <c r="BA301" s="211"/>
      <c r="BB301" s="211"/>
      <c r="BC301" s="211"/>
      <c r="BD301" s="333"/>
      <c r="BE301" s="82">
        <f t="shared" si="39"/>
        <v>12975945</v>
      </c>
      <c r="BF301" s="13" t="s">
        <v>2273</v>
      </c>
    </row>
    <row r="302" spans="1:58" ht="51" hidden="1" x14ac:dyDescent="0.3">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197">
        <f>+'Base de Datos'!I302</f>
        <v>11000000</v>
      </c>
      <c r="G302" s="196">
        <f>+'Base de Datos'!M302</f>
        <v>42135</v>
      </c>
      <c r="H302" s="196">
        <f>+'Base de Datos'!N302</f>
        <v>42501</v>
      </c>
      <c r="I302" s="196"/>
      <c r="J302" s="158"/>
      <c r="K302" s="333"/>
      <c r="L302" s="211"/>
      <c r="M302" s="336"/>
      <c r="N302" s="158"/>
      <c r="O302" s="333"/>
      <c r="P302" s="158"/>
      <c r="Q302" s="338"/>
      <c r="R302" s="81">
        <f t="shared" si="41"/>
        <v>0</v>
      </c>
      <c r="S302" s="258" t="s">
        <v>381</v>
      </c>
      <c r="T302" s="333">
        <v>42532</v>
      </c>
      <c r="U302" s="158"/>
      <c r="V302" s="333"/>
      <c r="W302" s="158"/>
      <c r="X302" s="333"/>
      <c r="Y302" s="158"/>
      <c r="Z302" s="333"/>
      <c r="AA302" s="326" t="s">
        <v>381</v>
      </c>
      <c r="AB302" s="1004">
        <f t="shared" si="32"/>
        <v>42532</v>
      </c>
      <c r="AC302" s="1082" t="str">
        <f t="shared" si="33"/>
        <v/>
      </c>
      <c r="AD302" s="1077"/>
      <c r="AE302" s="1077"/>
      <c r="AF302" s="1084" t="str">
        <f t="shared" si="34"/>
        <v/>
      </c>
      <c r="AG302" s="1082" t="str">
        <f t="shared" si="35"/>
        <v/>
      </c>
      <c r="AH302" s="1091"/>
      <c r="AI302" s="1087"/>
      <c r="AJ302" s="1084" t="str">
        <f t="shared" si="36"/>
        <v/>
      </c>
      <c r="AK302" s="1083" t="str">
        <f t="shared" si="37"/>
        <v/>
      </c>
      <c r="AL302" s="211">
        <v>1177400</v>
      </c>
      <c r="AM302" s="211">
        <v>3002137</v>
      </c>
      <c r="AN302" s="211">
        <f>3306357+180</f>
        <v>3306537</v>
      </c>
      <c r="AO302" s="211"/>
      <c r="AP302" s="211"/>
      <c r="AQ302" s="211"/>
      <c r="AR302" s="211"/>
      <c r="AS302" s="211"/>
      <c r="AT302" s="211"/>
      <c r="AU302" s="211"/>
      <c r="AV302" s="211"/>
      <c r="AW302" s="211"/>
      <c r="AX302" s="211"/>
      <c r="AY302" s="211"/>
      <c r="AZ302" s="211"/>
      <c r="BA302" s="211"/>
      <c r="BB302" s="211"/>
      <c r="BC302" s="211"/>
      <c r="BD302" s="333">
        <v>42695</v>
      </c>
      <c r="BE302" s="82">
        <f t="shared" si="39"/>
        <v>7486074</v>
      </c>
    </row>
    <row r="303" spans="1:58" ht="20.399999999999999" hidden="1" x14ac:dyDescent="0.3">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197">
        <f>+'Base de Datos'!I303</f>
        <v>10514762</v>
      </c>
      <c r="G303" s="196">
        <f>+'Base de Datos'!M303</f>
        <v>42117</v>
      </c>
      <c r="H303" s="196">
        <f>+'Base de Datos'!N303</f>
        <v>42147</v>
      </c>
      <c r="I303" s="196"/>
      <c r="J303" s="158"/>
      <c r="K303" s="333"/>
      <c r="L303" s="211"/>
      <c r="M303" s="336"/>
      <c r="N303" s="158"/>
      <c r="O303" s="333"/>
      <c r="P303" s="158"/>
      <c r="Q303" s="338"/>
      <c r="R303" s="81">
        <f t="shared" si="41"/>
        <v>0</v>
      </c>
      <c r="S303" s="258"/>
      <c r="T303" s="333"/>
      <c r="U303" s="158"/>
      <c r="V303" s="333"/>
      <c r="W303" s="158"/>
      <c r="X303" s="333"/>
      <c r="Y303" s="158"/>
      <c r="Z303" s="333"/>
      <c r="AA303" s="326"/>
      <c r="AB303" s="1004" t="str">
        <f t="shared" si="32"/>
        <v/>
      </c>
      <c r="AC303" s="1082" t="str">
        <f t="shared" si="33"/>
        <v/>
      </c>
      <c r="AD303" s="1077"/>
      <c r="AE303" s="1077"/>
      <c r="AF303" s="1084" t="str">
        <f t="shared" si="34"/>
        <v/>
      </c>
      <c r="AG303" s="1082" t="str">
        <f t="shared" si="35"/>
        <v/>
      </c>
      <c r="AH303" s="1091"/>
      <c r="AI303" s="1087"/>
      <c r="AJ303" s="1084" t="str">
        <f t="shared" si="36"/>
        <v/>
      </c>
      <c r="AK303" s="1083" t="str">
        <f t="shared" si="37"/>
        <v/>
      </c>
      <c r="AL303" s="211">
        <v>10514762</v>
      </c>
      <c r="AM303" s="211"/>
      <c r="AN303" s="211"/>
      <c r="AO303" s="211"/>
      <c r="AP303" s="211"/>
      <c r="AQ303" s="211"/>
      <c r="AR303" s="211"/>
      <c r="AS303" s="211"/>
      <c r="AT303" s="211"/>
      <c r="AU303" s="211"/>
      <c r="AV303" s="211"/>
      <c r="AW303" s="211"/>
      <c r="AX303" s="211"/>
      <c r="AY303" s="211"/>
      <c r="AZ303" s="211"/>
      <c r="BA303" s="211"/>
      <c r="BB303" s="211"/>
      <c r="BC303" s="211"/>
      <c r="BD303" s="333">
        <v>42227</v>
      </c>
      <c r="BE303" s="82">
        <f t="shared" si="39"/>
        <v>10514762</v>
      </c>
    </row>
    <row r="304" spans="1:58" ht="40.799999999999997" hidden="1" x14ac:dyDescent="0.3">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197">
        <f>+'Base de Datos'!I304</f>
        <v>5874000</v>
      </c>
      <c r="G304" s="196">
        <f>+'Base de Datos'!M304</f>
        <v>42149</v>
      </c>
      <c r="H304" s="196">
        <f>+'Base de Datos'!N304</f>
        <v>42515</v>
      </c>
      <c r="I304" s="196"/>
      <c r="J304" s="158"/>
      <c r="K304" s="333"/>
      <c r="L304" s="211"/>
      <c r="M304" s="336"/>
      <c r="N304" s="158"/>
      <c r="O304" s="333"/>
      <c r="P304" s="158"/>
      <c r="Q304" s="338"/>
      <c r="R304" s="81">
        <f t="shared" si="41"/>
        <v>0</v>
      </c>
      <c r="S304" s="258"/>
      <c r="T304" s="333"/>
      <c r="U304" s="158"/>
      <c r="V304" s="333"/>
      <c r="W304" s="158"/>
      <c r="X304" s="333"/>
      <c r="Y304" s="158"/>
      <c r="Z304" s="333"/>
      <c r="AA304" s="326"/>
      <c r="AB304" s="1004" t="str">
        <f t="shared" si="32"/>
        <v/>
      </c>
      <c r="AC304" s="1082" t="str">
        <f t="shared" si="33"/>
        <v/>
      </c>
      <c r="AD304" s="1077"/>
      <c r="AE304" s="1077"/>
      <c r="AF304" s="1084" t="str">
        <f t="shared" si="34"/>
        <v/>
      </c>
      <c r="AG304" s="1082" t="str">
        <f t="shared" si="35"/>
        <v/>
      </c>
      <c r="AH304" s="1091"/>
      <c r="AI304" s="1087"/>
      <c r="AJ304" s="1084" t="str">
        <f t="shared" si="36"/>
        <v/>
      </c>
      <c r="AK304" s="1083" t="str">
        <f t="shared" si="37"/>
        <v/>
      </c>
      <c r="AL304" s="211">
        <v>4940614</v>
      </c>
      <c r="AM304" s="211"/>
      <c r="AN304" s="211"/>
      <c r="AO304" s="211"/>
      <c r="AP304" s="211"/>
      <c r="AQ304" s="211"/>
      <c r="AR304" s="211"/>
      <c r="AS304" s="211"/>
      <c r="AT304" s="211"/>
      <c r="AU304" s="211"/>
      <c r="AV304" s="211"/>
      <c r="AW304" s="211"/>
      <c r="AX304" s="211"/>
      <c r="AY304" s="211"/>
      <c r="AZ304" s="211"/>
      <c r="BA304" s="211"/>
      <c r="BB304" s="211"/>
      <c r="BC304" s="211"/>
      <c r="BD304" s="333"/>
      <c r="BE304" s="82">
        <f t="shared" si="39"/>
        <v>4940614</v>
      </c>
    </row>
    <row r="305" spans="2:57" ht="40.799999999999997" hidden="1" x14ac:dyDescent="0.3">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197">
        <f>+'Base de Datos'!I305</f>
        <v>14210000</v>
      </c>
      <c r="G305" s="196">
        <f>+'Base de Datos'!M305</f>
        <v>42149</v>
      </c>
      <c r="H305" s="196">
        <f>+'Base de Datos'!N305</f>
        <v>42454</v>
      </c>
      <c r="I305" s="196"/>
      <c r="J305" s="158">
        <v>4626508</v>
      </c>
      <c r="K305" s="333"/>
      <c r="L305" s="211"/>
      <c r="M305" s="336"/>
      <c r="N305" s="158"/>
      <c r="O305" s="333"/>
      <c r="P305" s="158"/>
      <c r="Q305" s="338">
        <v>42443</v>
      </c>
      <c r="R305" s="81">
        <f t="shared" si="41"/>
        <v>4626508</v>
      </c>
      <c r="S305" s="258"/>
      <c r="T305" s="333"/>
      <c r="U305" s="158"/>
      <c r="V305" s="333"/>
      <c r="W305" s="158"/>
      <c r="X305" s="333"/>
      <c r="Y305" s="158"/>
      <c r="Z305" s="333"/>
      <c r="AA305" s="326"/>
      <c r="AB305" s="1004" t="str">
        <f t="shared" si="32"/>
        <v/>
      </c>
      <c r="AC305" s="1082" t="str">
        <f t="shared" si="33"/>
        <v/>
      </c>
      <c r="AD305" s="1077"/>
      <c r="AE305" s="1077"/>
      <c r="AF305" s="1084" t="str">
        <f t="shared" si="34"/>
        <v/>
      </c>
      <c r="AG305" s="1082" t="str">
        <f t="shared" si="35"/>
        <v/>
      </c>
      <c r="AH305" s="1091"/>
      <c r="AI305" s="1087"/>
      <c r="AJ305" s="1084" t="str">
        <f t="shared" si="36"/>
        <v/>
      </c>
      <c r="AK305" s="1083" t="str">
        <f t="shared" si="37"/>
        <v/>
      </c>
      <c r="AL305" s="211">
        <v>4859938</v>
      </c>
      <c r="AM305" s="211">
        <v>1793865</v>
      </c>
      <c r="AN305" s="211">
        <v>1302025</v>
      </c>
      <c r="AO305" s="211">
        <v>2604050</v>
      </c>
      <c r="AP305" s="211">
        <v>1302025</v>
      </c>
      <c r="AQ305" s="211">
        <v>1302025</v>
      </c>
      <c r="AR305" s="211">
        <v>5127705</v>
      </c>
      <c r="AS305" s="211"/>
      <c r="AT305" s="211"/>
      <c r="AU305" s="211"/>
      <c r="AV305" s="211"/>
      <c r="AW305" s="211"/>
      <c r="AX305" s="211"/>
      <c r="AY305" s="211"/>
      <c r="AZ305" s="211"/>
      <c r="BA305" s="211"/>
      <c r="BB305" s="211"/>
      <c r="BC305" s="211"/>
      <c r="BD305" s="333">
        <v>42511</v>
      </c>
      <c r="BE305" s="82">
        <f t="shared" si="39"/>
        <v>18291633</v>
      </c>
    </row>
    <row r="306" spans="2:57" ht="20.399999999999999" hidden="1" x14ac:dyDescent="0.3">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197">
        <f>+'Base de Datos'!I306</f>
        <v>7714000</v>
      </c>
      <c r="G306" s="196">
        <f>+'Base de Datos'!M306</f>
        <v>42144</v>
      </c>
      <c r="H306" s="196">
        <f>+'Base de Datos'!N306</f>
        <v>42236</v>
      </c>
      <c r="I306" s="196"/>
      <c r="J306" s="158"/>
      <c r="K306" s="333"/>
      <c r="L306" s="211"/>
      <c r="M306" s="336"/>
      <c r="N306" s="158"/>
      <c r="O306" s="333"/>
      <c r="P306" s="158"/>
      <c r="Q306" s="338"/>
      <c r="R306" s="81">
        <f t="shared" si="41"/>
        <v>0</v>
      </c>
      <c r="S306" s="258"/>
      <c r="T306" s="333"/>
      <c r="U306" s="158"/>
      <c r="V306" s="333"/>
      <c r="W306" s="158"/>
      <c r="X306" s="333"/>
      <c r="Y306" s="158"/>
      <c r="Z306" s="333"/>
      <c r="AA306" s="326"/>
      <c r="AB306" s="1004" t="str">
        <f t="shared" si="32"/>
        <v/>
      </c>
      <c r="AC306" s="1082" t="str">
        <f t="shared" si="33"/>
        <v/>
      </c>
      <c r="AD306" s="1077"/>
      <c r="AE306" s="1077"/>
      <c r="AF306" s="1084" t="str">
        <f t="shared" si="34"/>
        <v/>
      </c>
      <c r="AG306" s="1082" t="str">
        <f t="shared" si="35"/>
        <v/>
      </c>
      <c r="AH306" s="1091"/>
      <c r="AI306" s="1087"/>
      <c r="AJ306" s="1084" t="str">
        <f t="shared" si="36"/>
        <v/>
      </c>
      <c r="AK306" s="1083" t="str">
        <f t="shared" si="37"/>
        <v/>
      </c>
      <c r="AL306" s="211">
        <v>7714000</v>
      </c>
      <c r="AM306" s="211"/>
      <c r="AN306" s="211"/>
      <c r="AO306" s="211"/>
      <c r="AP306" s="211"/>
      <c r="AQ306" s="211"/>
      <c r="AR306" s="211"/>
      <c r="AS306" s="211"/>
      <c r="AT306" s="211"/>
      <c r="AU306" s="211"/>
      <c r="AV306" s="211"/>
      <c r="AW306" s="211"/>
      <c r="AX306" s="211"/>
      <c r="AY306" s="211"/>
      <c r="AZ306" s="211"/>
      <c r="BA306" s="211"/>
      <c r="BB306" s="211"/>
      <c r="BC306" s="211"/>
      <c r="BD306" s="333">
        <v>42201</v>
      </c>
      <c r="BE306" s="82">
        <f t="shared" si="39"/>
        <v>7714000</v>
      </c>
    </row>
    <row r="307" spans="2:57" ht="51" hidden="1" x14ac:dyDescent="0.3">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197">
        <f>+'Base de Datos'!I307</f>
        <v>60000000</v>
      </c>
      <c r="G307" s="196">
        <f>+'Base de Datos'!M307</f>
        <v>42156</v>
      </c>
      <c r="H307" s="196">
        <f>+'Base de Datos'!N307</f>
        <v>42522</v>
      </c>
      <c r="I307" s="196"/>
      <c r="J307" s="158">
        <v>8000000</v>
      </c>
      <c r="K307" s="333">
        <v>42522</v>
      </c>
      <c r="L307" s="211"/>
      <c r="M307" s="336"/>
      <c r="N307" s="158"/>
      <c r="O307" s="333"/>
      <c r="P307" s="158"/>
      <c r="Q307" s="338"/>
      <c r="R307" s="81">
        <f t="shared" si="41"/>
        <v>8000000</v>
      </c>
      <c r="S307" s="258" t="s">
        <v>380</v>
      </c>
      <c r="T307" s="333">
        <v>42644</v>
      </c>
      <c r="U307" s="158"/>
      <c r="V307" s="333"/>
      <c r="W307" s="158"/>
      <c r="X307" s="333"/>
      <c r="Y307" s="158"/>
      <c r="Z307" s="333"/>
      <c r="AA307" s="326" t="s">
        <v>380</v>
      </c>
      <c r="AB307" s="1004">
        <f t="shared" si="32"/>
        <v>42644</v>
      </c>
      <c r="AC307" s="1082" t="str">
        <f t="shared" si="33"/>
        <v/>
      </c>
      <c r="AD307" s="1077"/>
      <c r="AE307" s="1077"/>
      <c r="AF307" s="1084" t="str">
        <f t="shared" si="34"/>
        <v/>
      </c>
      <c r="AG307" s="1082" t="str">
        <f t="shared" si="35"/>
        <v/>
      </c>
      <c r="AH307" s="1091"/>
      <c r="AI307" s="1087"/>
      <c r="AJ307" s="1084" t="str">
        <f t="shared" si="36"/>
        <v/>
      </c>
      <c r="AK307" s="1083" t="str">
        <f t="shared" si="37"/>
        <v/>
      </c>
      <c r="AL307" s="211">
        <v>36030850</v>
      </c>
      <c r="AM307" s="211">
        <v>14027265</v>
      </c>
      <c r="AN307" s="211">
        <v>3238113</v>
      </c>
      <c r="AO307" s="211">
        <v>937957</v>
      </c>
      <c r="AP307" s="211">
        <v>2427722</v>
      </c>
      <c r="AQ307" s="211">
        <v>553696</v>
      </c>
      <c r="AR307" s="211">
        <v>1298755</v>
      </c>
      <c r="AS307" s="211">
        <v>1814015</v>
      </c>
      <c r="AT307" s="211">
        <v>1918025</v>
      </c>
      <c r="AU307" s="211"/>
      <c r="AV307" s="211">
        <v>1197826</v>
      </c>
      <c r="AW307" s="211">
        <v>1127464</v>
      </c>
      <c r="AX307" s="211">
        <v>2972967</v>
      </c>
      <c r="AY307" s="211"/>
      <c r="AZ307" s="211"/>
      <c r="BA307" s="211"/>
      <c r="BB307" s="211"/>
      <c r="BC307" s="211"/>
      <c r="BD307" s="333">
        <v>42706</v>
      </c>
      <c r="BE307" s="82">
        <f t="shared" si="39"/>
        <v>67544655</v>
      </c>
    </row>
    <row r="308" spans="2:57" ht="40.799999999999997" hidden="1" x14ac:dyDescent="0.3">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197">
        <f>+'Base de Datos'!I308</f>
        <v>2000000</v>
      </c>
      <c r="G308" s="196">
        <f>+'Base de Datos'!M308</f>
        <v>42150</v>
      </c>
      <c r="H308" s="196">
        <f>+'Base de Datos'!N308</f>
        <v>42455</v>
      </c>
      <c r="I308" s="196"/>
      <c r="J308" s="158"/>
      <c r="K308" s="333"/>
      <c r="L308" s="211"/>
      <c r="M308" s="336"/>
      <c r="N308" s="158"/>
      <c r="O308" s="333"/>
      <c r="P308" s="158"/>
      <c r="Q308" s="338"/>
      <c r="R308" s="81">
        <f t="shared" si="41"/>
        <v>0</v>
      </c>
      <c r="S308" s="258"/>
      <c r="T308" s="333"/>
      <c r="U308" s="158"/>
      <c r="V308" s="333"/>
      <c r="W308" s="158"/>
      <c r="X308" s="333"/>
      <c r="Y308" s="158"/>
      <c r="Z308" s="333"/>
      <c r="AA308" s="326"/>
      <c r="AB308" s="1004" t="str">
        <f t="shared" si="32"/>
        <v/>
      </c>
      <c r="AC308" s="1082" t="str">
        <f t="shared" si="33"/>
        <v/>
      </c>
      <c r="AD308" s="1077"/>
      <c r="AE308" s="1077"/>
      <c r="AF308" s="1084" t="str">
        <f t="shared" si="34"/>
        <v/>
      </c>
      <c r="AG308" s="1082" t="str">
        <f t="shared" si="35"/>
        <v/>
      </c>
      <c r="AH308" s="1091"/>
      <c r="AI308" s="1087"/>
      <c r="AJ308" s="1084" t="str">
        <f t="shared" si="36"/>
        <v/>
      </c>
      <c r="AK308" s="1083" t="str">
        <f t="shared" si="37"/>
        <v/>
      </c>
      <c r="AL308" s="211">
        <v>549840</v>
      </c>
      <c r="AM308" s="211">
        <v>274920</v>
      </c>
      <c r="AN308" s="211"/>
      <c r="AO308" s="211"/>
      <c r="AP308" s="211"/>
      <c r="AQ308" s="211"/>
      <c r="AR308" s="211"/>
      <c r="AS308" s="211"/>
      <c r="AT308" s="211"/>
      <c r="AU308" s="211"/>
      <c r="AV308" s="211"/>
      <c r="AW308" s="211"/>
      <c r="AX308" s="211"/>
      <c r="AY308" s="211"/>
      <c r="AZ308" s="211"/>
      <c r="BA308" s="211"/>
      <c r="BB308" s="211"/>
      <c r="BC308" s="211"/>
      <c r="BD308" s="333">
        <v>42544</v>
      </c>
      <c r="BE308" s="82">
        <f t="shared" si="39"/>
        <v>824760</v>
      </c>
    </row>
    <row r="309" spans="2:57" ht="61.2" hidden="1" x14ac:dyDescent="0.3">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197">
        <f>+'Base de Datos'!I309</f>
        <v>566000000</v>
      </c>
      <c r="G309" s="196">
        <f>+'Base de Datos'!M309</f>
        <v>42141</v>
      </c>
      <c r="H309" s="196">
        <f>+'Base de Datos'!N309</f>
        <v>42507</v>
      </c>
      <c r="I309" s="196"/>
      <c r="J309" s="158"/>
      <c r="K309" s="333"/>
      <c r="L309" s="211"/>
      <c r="M309" s="336"/>
      <c r="N309" s="158"/>
      <c r="O309" s="333"/>
      <c r="P309" s="158"/>
      <c r="Q309" s="338"/>
      <c r="R309" s="81">
        <f t="shared" si="41"/>
        <v>0</v>
      </c>
      <c r="S309" s="820" t="s">
        <v>2458</v>
      </c>
      <c r="T309" s="333"/>
      <c r="U309" s="158"/>
      <c r="V309" s="333"/>
      <c r="W309" s="158"/>
      <c r="X309" s="333"/>
      <c r="Y309" s="158"/>
      <c r="Z309" s="333"/>
      <c r="AA309" s="326" t="s">
        <v>2458</v>
      </c>
      <c r="AB309" s="1004" t="str">
        <f t="shared" si="32"/>
        <v/>
      </c>
      <c r="AC309" s="1082" t="str">
        <f t="shared" si="33"/>
        <v/>
      </c>
      <c r="AD309" s="1077"/>
      <c r="AE309" s="1077"/>
      <c r="AF309" s="1084" t="str">
        <f t="shared" si="34"/>
        <v/>
      </c>
      <c r="AG309" s="1082" t="str">
        <f t="shared" si="35"/>
        <v/>
      </c>
      <c r="AH309" s="1091"/>
      <c r="AI309" s="1087"/>
      <c r="AJ309" s="1084" t="str">
        <f t="shared" si="36"/>
        <v/>
      </c>
      <c r="AK309" s="1083" t="str">
        <f t="shared" si="37"/>
        <v/>
      </c>
      <c r="AL309" s="211">
        <v>15281877</v>
      </c>
      <c r="AM309" s="211">
        <v>40184409</v>
      </c>
      <c r="AN309" s="211">
        <v>37242070</v>
      </c>
      <c r="AO309" s="211">
        <v>36184478</v>
      </c>
      <c r="AP309" s="211">
        <v>35997038</v>
      </c>
      <c r="AQ309" s="211">
        <v>35997035</v>
      </c>
      <c r="AR309" s="211">
        <v>36559367</v>
      </c>
      <c r="AS309" s="211">
        <v>36746811</v>
      </c>
      <c r="AT309" s="211">
        <v>38982652</v>
      </c>
      <c r="AU309" s="211">
        <v>77633791</v>
      </c>
      <c r="AV309" s="211">
        <v>38649601</v>
      </c>
      <c r="AW309" s="211">
        <v>80403586</v>
      </c>
      <c r="AX309" s="211">
        <v>39851159</v>
      </c>
      <c r="AY309" s="211"/>
      <c r="AZ309" s="211"/>
      <c r="BA309" s="211"/>
      <c r="BB309" s="211"/>
      <c r="BC309" s="211"/>
      <c r="BD309" s="333">
        <v>42600</v>
      </c>
      <c r="BE309" s="82">
        <f t="shared" si="39"/>
        <v>549713874</v>
      </c>
    </row>
    <row r="310" spans="2:57" ht="30.6" hidden="1" x14ac:dyDescent="0.3">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197">
        <f>+'Base de Datos'!I310</f>
        <v>18000000</v>
      </c>
      <c r="G310" s="196">
        <f>+'Base de Datos'!M310</f>
        <v>42137</v>
      </c>
      <c r="H310" s="196">
        <f>+'Base de Datos'!N310</f>
        <v>42413</v>
      </c>
      <c r="I310" s="196"/>
      <c r="J310" s="158"/>
      <c r="K310" s="333"/>
      <c r="L310" s="211"/>
      <c r="M310" s="336"/>
      <c r="N310" s="158"/>
      <c r="O310" s="333"/>
      <c r="P310" s="158"/>
      <c r="Q310" s="338"/>
      <c r="R310" s="81">
        <f t="shared" si="41"/>
        <v>0</v>
      </c>
      <c r="S310" s="258"/>
      <c r="T310" s="333"/>
      <c r="U310" s="158"/>
      <c r="V310" s="333"/>
      <c r="W310" s="158"/>
      <c r="X310" s="333"/>
      <c r="Y310" s="158"/>
      <c r="Z310" s="333"/>
      <c r="AA310" s="326"/>
      <c r="AB310" s="1004" t="str">
        <f t="shared" si="32"/>
        <v/>
      </c>
      <c r="AC310" s="1082" t="str">
        <f t="shared" si="33"/>
        <v/>
      </c>
      <c r="AD310" s="1077"/>
      <c r="AE310" s="1077"/>
      <c r="AF310" s="1084" t="str">
        <f t="shared" si="34"/>
        <v/>
      </c>
      <c r="AG310" s="1082" t="str">
        <f t="shared" si="35"/>
        <v/>
      </c>
      <c r="AH310" s="1091"/>
      <c r="AI310" s="1087"/>
      <c r="AJ310" s="1084" t="str">
        <f t="shared" si="36"/>
        <v/>
      </c>
      <c r="AK310" s="1083" t="str">
        <f t="shared" si="37"/>
        <v/>
      </c>
      <c r="AL310" s="211">
        <v>1200000</v>
      </c>
      <c r="AM310" s="211">
        <v>2000000</v>
      </c>
      <c r="AN310" s="211">
        <v>2000000</v>
      </c>
      <c r="AO310" s="211">
        <v>2000000</v>
      </c>
      <c r="AP310" s="211">
        <v>2000000</v>
      </c>
      <c r="AQ310" s="211">
        <v>6000000</v>
      </c>
      <c r="AR310" s="211">
        <v>2800000</v>
      </c>
      <c r="AS310" s="211"/>
      <c r="AT310" s="211"/>
      <c r="AU310" s="211"/>
      <c r="AV310" s="211"/>
      <c r="AW310" s="211"/>
      <c r="AX310" s="211"/>
      <c r="AY310" s="211"/>
      <c r="AZ310" s="211"/>
      <c r="BA310" s="211"/>
      <c r="BB310" s="211"/>
      <c r="BC310" s="211"/>
      <c r="BD310" s="333">
        <v>42543</v>
      </c>
      <c r="BE310" s="82">
        <f t="shared" si="39"/>
        <v>18000000</v>
      </c>
    </row>
    <row r="311" spans="2:57" ht="30.6" hidden="1" x14ac:dyDescent="0.3">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197">
        <f>+'Base de Datos'!I311</f>
        <v>1291938453</v>
      </c>
      <c r="G311" s="196">
        <f>+'Base de Datos'!M311</f>
        <v>42139</v>
      </c>
      <c r="H311" s="196">
        <f>+'Base de Datos'!N311</f>
        <v>42421</v>
      </c>
      <c r="I311" s="196"/>
      <c r="J311" s="158">
        <v>141414324</v>
      </c>
      <c r="K311" s="333">
        <v>42419</v>
      </c>
      <c r="L311" s="211"/>
      <c r="M311" s="336"/>
      <c r="N311" s="158"/>
      <c r="O311" s="333"/>
      <c r="P311" s="158"/>
      <c r="Q311" s="338"/>
      <c r="R311" s="81">
        <f t="shared" si="41"/>
        <v>141414324</v>
      </c>
      <c r="S311" s="258" t="s">
        <v>381</v>
      </c>
      <c r="T311" s="333">
        <v>42450</v>
      </c>
      <c r="U311" s="158"/>
      <c r="V311" s="333"/>
      <c r="W311" s="158"/>
      <c r="X311" s="333"/>
      <c r="Y311" s="158"/>
      <c r="Z311" s="333"/>
      <c r="AA311" s="326" t="s">
        <v>378</v>
      </c>
      <c r="AB311" s="1004">
        <f t="shared" si="32"/>
        <v>42450</v>
      </c>
      <c r="AC311" s="1082" t="str">
        <f t="shared" si="33"/>
        <v/>
      </c>
      <c r="AD311" s="1077"/>
      <c r="AE311" s="1077"/>
      <c r="AF311" s="1084" t="str">
        <f t="shared" si="34"/>
        <v/>
      </c>
      <c r="AG311" s="1082" t="str">
        <f t="shared" si="35"/>
        <v/>
      </c>
      <c r="AH311" s="1091"/>
      <c r="AI311" s="1087"/>
      <c r="AJ311" s="1084" t="str">
        <f t="shared" si="36"/>
        <v/>
      </c>
      <c r="AK311" s="1083" t="str">
        <f t="shared" si="37"/>
        <v/>
      </c>
      <c r="AL311" s="211">
        <v>115768416</v>
      </c>
      <c r="AM311" s="211">
        <v>141721928</v>
      </c>
      <c r="AN311" s="211">
        <v>128745171</v>
      </c>
      <c r="AO311" s="211">
        <v>147954709</v>
      </c>
      <c r="AP311" s="211">
        <v>128745171</v>
      </c>
      <c r="AQ311" s="211">
        <v>128745171</v>
      </c>
      <c r="AR311" s="211">
        <v>160931464</v>
      </c>
      <c r="AS311" s="211">
        <v>137921696</v>
      </c>
      <c r="AT311" s="211">
        <v>249478540</v>
      </c>
      <c r="AU311" s="211">
        <v>93340511</v>
      </c>
      <c r="AV311" s="211"/>
      <c r="AW311" s="211"/>
      <c r="AX311" s="211"/>
      <c r="AY311" s="211"/>
      <c r="AZ311" s="211"/>
      <c r="BA311" s="211"/>
      <c r="BB311" s="211"/>
      <c r="BC311" s="211"/>
      <c r="BD311" s="333">
        <v>42534</v>
      </c>
      <c r="BE311" s="82">
        <f t="shared" si="39"/>
        <v>1433352777</v>
      </c>
    </row>
    <row r="312" spans="2:57" ht="20.399999999999999" hidden="1" x14ac:dyDescent="0.3">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197">
        <f>+'Base de Datos'!I312</f>
        <v>7800000</v>
      </c>
      <c r="G312" s="196">
        <f>+'Base de Datos'!M312</f>
        <v>42145</v>
      </c>
      <c r="H312" s="196">
        <f>+'Base de Datos'!N312</f>
        <v>42511</v>
      </c>
      <c r="I312" s="196"/>
      <c r="J312" s="158"/>
      <c r="K312" s="333"/>
      <c r="L312" s="211"/>
      <c r="M312" s="336"/>
      <c r="N312" s="158"/>
      <c r="O312" s="333"/>
      <c r="P312" s="158"/>
      <c r="Q312" s="338"/>
      <c r="R312" s="81">
        <f t="shared" si="41"/>
        <v>0</v>
      </c>
      <c r="S312" s="258"/>
      <c r="T312" s="333"/>
      <c r="U312" s="158"/>
      <c r="V312" s="333"/>
      <c r="W312" s="158"/>
      <c r="X312" s="333"/>
      <c r="Y312" s="158"/>
      <c r="Z312" s="333"/>
      <c r="AA312" s="326"/>
      <c r="AB312" s="1004" t="str">
        <f t="shared" si="32"/>
        <v/>
      </c>
      <c r="AC312" s="1082" t="str">
        <f t="shared" si="33"/>
        <v/>
      </c>
      <c r="AD312" s="1077"/>
      <c r="AE312" s="1077"/>
      <c r="AF312" s="1084" t="str">
        <f t="shared" si="34"/>
        <v/>
      </c>
      <c r="AG312" s="1082" t="str">
        <f t="shared" si="35"/>
        <v/>
      </c>
      <c r="AH312" s="1091"/>
      <c r="AI312" s="1087"/>
      <c r="AJ312" s="1084" t="str">
        <f t="shared" si="36"/>
        <v/>
      </c>
      <c r="AK312" s="1083" t="str">
        <f t="shared" si="37"/>
        <v/>
      </c>
      <c r="AL312" s="211">
        <v>7800000</v>
      </c>
      <c r="AM312" s="211"/>
      <c r="AN312" s="211"/>
      <c r="AO312" s="211"/>
      <c r="AP312" s="211"/>
      <c r="AQ312" s="211"/>
      <c r="AR312" s="211"/>
      <c r="AS312" s="211"/>
      <c r="AT312" s="211"/>
      <c r="AU312" s="211"/>
      <c r="AV312" s="211"/>
      <c r="AW312" s="211"/>
      <c r="AX312" s="211"/>
      <c r="AY312" s="211"/>
      <c r="AZ312" s="211"/>
      <c r="BA312" s="211"/>
      <c r="BB312" s="211"/>
      <c r="BC312" s="211"/>
      <c r="BD312" s="333">
        <v>42177</v>
      </c>
      <c r="BE312" s="82">
        <f t="shared" si="39"/>
        <v>7800000</v>
      </c>
    </row>
    <row r="313" spans="2:57" ht="40.799999999999997" hidden="1" x14ac:dyDescent="0.3">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197">
        <f>+'Base de Datos'!I313</f>
        <v>28000000</v>
      </c>
      <c r="G313" s="196">
        <f>+'Base de Datos'!M313</f>
        <v>42180</v>
      </c>
      <c r="H313" s="196">
        <f>+'Base de Datos'!N313</f>
        <v>42546</v>
      </c>
      <c r="I313" s="196"/>
      <c r="J313" s="158"/>
      <c r="K313" s="333"/>
      <c r="L313" s="211"/>
      <c r="M313" s="336"/>
      <c r="N313" s="158"/>
      <c r="O313" s="333"/>
      <c r="P313" s="158"/>
      <c r="Q313" s="338"/>
      <c r="R313" s="81">
        <f t="shared" si="41"/>
        <v>0</v>
      </c>
      <c r="S313" s="258"/>
      <c r="T313" s="333"/>
      <c r="U313" s="158"/>
      <c r="V313" s="333"/>
      <c r="W313" s="158"/>
      <c r="X313" s="333"/>
      <c r="Y313" s="158"/>
      <c r="Z313" s="333"/>
      <c r="AA313" s="326"/>
      <c r="AB313" s="1004" t="str">
        <f t="shared" si="32"/>
        <v/>
      </c>
      <c r="AC313" s="1082" t="str">
        <f t="shared" si="33"/>
        <v/>
      </c>
      <c r="AD313" s="1077"/>
      <c r="AE313" s="1077"/>
      <c r="AF313" s="1084" t="str">
        <f t="shared" si="34"/>
        <v/>
      </c>
      <c r="AG313" s="1082" t="str">
        <f t="shared" si="35"/>
        <v/>
      </c>
      <c r="AH313" s="1091"/>
      <c r="AI313" s="1087"/>
      <c r="AJ313" s="1084" t="str">
        <f t="shared" si="36"/>
        <v/>
      </c>
      <c r="AK313" s="1083" t="str">
        <f t="shared" si="37"/>
        <v/>
      </c>
      <c r="AL313" s="211">
        <v>1968484</v>
      </c>
      <c r="AM313" s="211">
        <v>11376014</v>
      </c>
      <c r="AN313" s="211">
        <v>6146980</v>
      </c>
      <c r="AO313" s="211">
        <v>2569336</v>
      </c>
      <c r="AP313" s="211">
        <v>4092639</v>
      </c>
      <c r="AQ313" s="211">
        <v>443324</v>
      </c>
      <c r="AR313" s="211"/>
      <c r="AS313" s="211"/>
      <c r="AT313" s="211"/>
      <c r="AU313" s="211"/>
      <c r="AV313" s="211"/>
      <c r="AW313" s="211"/>
      <c r="AX313" s="211"/>
      <c r="AY313" s="211"/>
      <c r="AZ313" s="211"/>
      <c r="BA313" s="211"/>
      <c r="BB313" s="211"/>
      <c r="BC313" s="211"/>
      <c r="BD313" s="333">
        <v>42528</v>
      </c>
      <c r="BE313" s="82">
        <f t="shared" si="39"/>
        <v>26596777</v>
      </c>
    </row>
    <row r="314" spans="2:57" ht="20.399999999999999" hidden="1" x14ac:dyDescent="0.3">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197">
        <f>+'Base de Datos'!I314</f>
        <v>8086410</v>
      </c>
      <c r="G314" s="196">
        <f>+'Base de Datos'!M314</f>
        <v>42165</v>
      </c>
      <c r="H314" s="196">
        <f>+'Base de Datos'!N314</f>
        <v>42226</v>
      </c>
      <c r="I314" s="196"/>
      <c r="J314" s="158"/>
      <c r="K314" s="333"/>
      <c r="L314" s="211"/>
      <c r="M314" s="336"/>
      <c r="N314" s="158"/>
      <c r="O314" s="333"/>
      <c r="P314" s="158"/>
      <c r="Q314" s="338"/>
      <c r="R314" s="81">
        <f t="shared" si="41"/>
        <v>0</v>
      </c>
      <c r="S314" s="258"/>
      <c r="T314" s="333"/>
      <c r="U314" s="158"/>
      <c r="V314" s="333"/>
      <c r="W314" s="158"/>
      <c r="X314" s="333"/>
      <c r="Y314" s="158"/>
      <c r="Z314" s="333"/>
      <c r="AA314" s="326"/>
      <c r="AB314" s="1004" t="str">
        <f t="shared" si="32"/>
        <v/>
      </c>
      <c r="AC314" s="1082" t="str">
        <f t="shared" si="33"/>
        <v/>
      </c>
      <c r="AD314" s="1077"/>
      <c r="AE314" s="1077"/>
      <c r="AF314" s="1084" t="str">
        <f t="shared" si="34"/>
        <v/>
      </c>
      <c r="AG314" s="1082" t="str">
        <f t="shared" si="35"/>
        <v/>
      </c>
      <c r="AH314" s="1091"/>
      <c r="AI314" s="1087"/>
      <c r="AJ314" s="1084" t="str">
        <f t="shared" si="36"/>
        <v/>
      </c>
      <c r="AK314" s="1083" t="str">
        <f t="shared" si="37"/>
        <v/>
      </c>
      <c r="AL314" s="211">
        <v>8086406</v>
      </c>
      <c r="AM314" s="211"/>
      <c r="AN314" s="211"/>
      <c r="AO314" s="211"/>
      <c r="AP314" s="211"/>
      <c r="AQ314" s="211"/>
      <c r="AR314" s="211"/>
      <c r="AS314" s="211"/>
      <c r="AT314" s="211"/>
      <c r="AU314" s="211"/>
      <c r="AV314" s="211"/>
      <c r="AW314" s="211"/>
      <c r="AX314" s="211"/>
      <c r="AY314" s="211"/>
      <c r="AZ314" s="211"/>
      <c r="BA314" s="211"/>
      <c r="BB314" s="211"/>
      <c r="BC314" s="211"/>
      <c r="BD314" s="333">
        <v>42216</v>
      </c>
      <c r="BE314" s="82">
        <f t="shared" si="39"/>
        <v>8086406</v>
      </c>
    </row>
    <row r="315" spans="2:57" ht="40.799999999999997" hidden="1" x14ac:dyDescent="0.3">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197">
        <f>+'Base de Datos'!I315</f>
        <v>5000000</v>
      </c>
      <c r="G315" s="196">
        <f>+'Base de Datos'!M315</f>
        <v>42160</v>
      </c>
      <c r="H315" s="196">
        <f>+'Base de Datos'!N315</f>
        <v>42252</v>
      </c>
      <c r="I315" s="196"/>
      <c r="J315" s="158"/>
      <c r="K315" s="333"/>
      <c r="L315" s="211"/>
      <c r="M315" s="336"/>
      <c r="N315" s="158"/>
      <c r="O315" s="333"/>
      <c r="P315" s="158"/>
      <c r="Q315" s="338"/>
      <c r="R315" s="81">
        <f t="shared" si="41"/>
        <v>0</v>
      </c>
      <c r="S315" s="258"/>
      <c r="T315" s="333"/>
      <c r="U315" s="158"/>
      <c r="V315" s="333"/>
      <c r="W315" s="158"/>
      <c r="X315" s="333"/>
      <c r="Y315" s="158"/>
      <c r="Z315" s="333"/>
      <c r="AA315" s="326"/>
      <c r="AB315" s="1004" t="str">
        <f t="shared" si="32"/>
        <v/>
      </c>
      <c r="AC315" s="1082" t="str">
        <f t="shared" si="33"/>
        <v/>
      </c>
      <c r="AD315" s="1077"/>
      <c r="AE315" s="1077"/>
      <c r="AF315" s="1084" t="str">
        <f t="shared" si="34"/>
        <v/>
      </c>
      <c r="AG315" s="1082" t="str">
        <f t="shared" si="35"/>
        <v/>
      </c>
      <c r="AH315" s="1091"/>
      <c r="AI315" s="1087"/>
      <c r="AJ315" s="1084" t="str">
        <f t="shared" si="36"/>
        <v/>
      </c>
      <c r="AK315" s="1083" t="str">
        <f t="shared" si="37"/>
        <v/>
      </c>
      <c r="AL315" s="211">
        <v>3489976</v>
      </c>
      <c r="AM315" s="211"/>
      <c r="AN315" s="211"/>
      <c r="AO315" s="211"/>
      <c r="AP315" s="211"/>
      <c r="AQ315" s="211"/>
      <c r="AR315" s="211"/>
      <c r="AS315" s="211"/>
      <c r="AT315" s="211"/>
      <c r="AU315" s="211"/>
      <c r="AV315" s="211"/>
      <c r="AW315" s="211"/>
      <c r="AX315" s="211"/>
      <c r="AY315" s="211"/>
      <c r="AZ315" s="211"/>
      <c r="BA315" s="211"/>
      <c r="BB315" s="211"/>
      <c r="BC315" s="211"/>
      <c r="BD315" s="333">
        <v>42244</v>
      </c>
      <c r="BE315" s="82">
        <f t="shared" si="39"/>
        <v>3489976</v>
      </c>
    </row>
    <row r="316" spans="2:57" ht="40.799999999999997" hidden="1" x14ac:dyDescent="0.3">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197">
        <f>+'Base de Datos'!I316</f>
        <v>30552000</v>
      </c>
      <c r="G316" s="196">
        <f>+'Base de Datos'!M316</f>
        <v>42187</v>
      </c>
      <c r="H316" s="196">
        <f>+'Base de Datos'!N316</f>
        <v>42431</v>
      </c>
      <c r="I316" s="196"/>
      <c r="J316" s="808">
        <v>11000000</v>
      </c>
      <c r="K316" s="333"/>
      <c r="L316" s="211"/>
      <c r="M316" s="336"/>
      <c r="N316" s="158"/>
      <c r="O316" s="333"/>
      <c r="P316" s="158"/>
      <c r="Q316" s="338"/>
      <c r="R316" s="81">
        <f t="shared" si="41"/>
        <v>11000000</v>
      </c>
      <c r="S316" s="258" t="s">
        <v>378</v>
      </c>
      <c r="T316" s="333">
        <v>42492</v>
      </c>
      <c r="U316" s="158" t="s">
        <v>2439</v>
      </c>
      <c r="V316" s="333">
        <v>42507</v>
      </c>
      <c r="W316" s="157" t="s">
        <v>2453</v>
      </c>
      <c r="X316" s="333">
        <v>42582</v>
      </c>
      <c r="Y316" s="158"/>
      <c r="Z316" s="333"/>
      <c r="AA316" s="326" t="s">
        <v>2454</v>
      </c>
      <c r="AB316" s="1004">
        <f t="shared" si="32"/>
        <v>42582</v>
      </c>
      <c r="AC316" s="1082" t="str">
        <f t="shared" si="33"/>
        <v/>
      </c>
      <c r="AD316" s="1077"/>
      <c r="AE316" s="1077"/>
      <c r="AF316" s="1084" t="str">
        <f t="shared" si="34"/>
        <v/>
      </c>
      <c r="AG316" s="1082" t="str">
        <f t="shared" si="35"/>
        <v/>
      </c>
      <c r="AH316" s="1091"/>
      <c r="AI316" s="1087"/>
      <c r="AJ316" s="1084" t="str">
        <f t="shared" si="36"/>
        <v/>
      </c>
      <c r="AK316" s="1083" t="str">
        <f t="shared" si="37"/>
        <v/>
      </c>
      <c r="AL316" s="211">
        <v>4679332</v>
      </c>
      <c r="AM316" s="211">
        <v>2915334</v>
      </c>
      <c r="AN316" s="211">
        <v>8408751</v>
      </c>
      <c r="AO316" s="211">
        <v>3220726</v>
      </c>
      <c r="AP316" s="211">
        <v>1632982</v>
      </c>
      <c r="AQ316" s="211">
        <v>4343427</v>
      </c>
      <c r="AR316" s="211"/>
      <c r="AS316" s="211">
        <v>2785491</v>
      </c>
      <c r="AT316" s="211">
        <f>2565957+3998825</f>
        <v>6564782</v>
      </c>
      <c r="AU316" s="211">
        <v>2297157</v>
      </c>
      <c r="AV316" s="211">
        <v>2617629</v>
      </c>
      <c r="AW316" s="211"/>
      <c r="AX316" s="211"/>
      <c r="AY316" s="211"/>
      <c r="AZ316" s="211"/>
      <c r="BA316" s="211"/>
      <c r="BB316" s="211"/>
      <c r="BC316" s="211"/>
      <c r="BD316" s="333">
        <v>42620</v>
      </c>
      <c r="BE316" s="82">
        <f t="shared" si="39"/>
        <v>39465611</v>
      </c>
    </row>
    <row r="317" spans="2:57" ht="40.799999999999997" hidden="1" x14ac:dyDescent="0.3">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197">
        <f>+'Base de Datos'!I317</f>
        <v>40800000</v>
      </c>
      <c r="G317" s="196">
        <f>+'Base de Datos'!M317</f>
        <v>42160</v>
      </c>
      <c r="H317" s="196">
        <f>+'Base de Datos'!N317</f>
        <v>42343</v>
      </c>
      <c r="I317" s="196"/>
      <c r="J317" s="808">
        <v>20400000</v>
      </c>
      <c r="K317" s="333">
        <v>42352</v>
      </c>
      <c r="L317" s="211"/>
      <c r="M317" s="336"/>
      <c r="N317" s="158"/>
      <c r="O317" s="333"/>
      <c r="P317" s="158"/>
      <c r="Q317" s="338"/>
      <c r="R317" s="81">
        <f t="shared" si="41"/>
        <v>20400000</v>
      </c>
      <c r="S317" s="258" t="s">
        <v>1321</v>
      </c>
      <c r="T317" s="333">
        <v>42352</v>
      </c>
      <c r="U317" s="158" t="s">
        <v>379</v>
      </c>
      <c r="V317" s="333">
        <v>42443</v>
      </c>
      <c r="W317" s="158"/>
      <c r="X317" s="333"/>
      <c r="Y317" s="158"/>
      <c r="Z317" s="333"/>
      <c r="AA317" s="326" t="s">
        <v>2370</v>
      </c>
      <c r="AB317" s="1004">
        <f t="shared" si="32"/>
        <v>42443</v>
      </c>
      <c r="AC317" s="1082" t="str">
        <f t="shared" si="33"/>
        <v/>
      </c>
      <c r="AD317" s="1077"/>
      <c r="AE317" s="1077"/>
      <c r="AF317" s="1084" t="str">
        <f t="shared" si="34"/>
        <v/>
      </c>
      <c r="AG317" s="1082" t="str">
        <f t="shared" si="35"/>
        <v/>
      </c>
      <c r="AH317" s="1091"/>
      <c r="AI317" s="1087"/>
      <c r="AJ317" s="1084" t="str">
        <f t="shared" si="36"/>
        <v/>
      </c>
      <c r="AK317" s="1083" t="str">
        <f t="shared" si="37"/>
        <v/>
      </c>
      <c r="AL317" s="211">
        <v>5893333</v>
      </c>
      <c r="AM317" s="211">
        <v>6800000</v>
      </c>
      <c r="AN317" s="211">
        <v>6800000</v>
      </c>
      <c r="AO317" s="211">
        <v>6800000</v>
      </c>
      <c r="AP317" s="211">
        <v>6800000</v>
      </c>
      <c r="AQ317" s="211">
        <v>6800000</v>
      </c>
      <c r="AR317" s="211">
        <v>4760000</v>
      </c>
      <c r="AS317" s="211">
        <v>6800000</v>
      </c>
      <c r="AT317" s="211">
        <v>6800000</v>
      </c>
      <c r="AU317" s="211">
        <v>2946667</v>
      </c>
      <c r="AV317" s="211"/>
      <c r="AW317" s="211"/>
      <c r="AX317" s="211"/>
      <c r="AY317" s="211"/>
      <c r="AZ317" s="211"/>
      <c r="BA317" s="211"/>
      <c r="BB317" s="211"/>
      <c r="BC317" s="211"/>
      <c r="BD317" s="333">
        <v>42479</v>
      </c>
      <c r="BE317" s="82">
        <f t="shared" si="39"/>
        <v>61200000</v>
      </c>
    </row>
    <row r="318" spans="2:57" ht="40.799999999999997" hidden="1" x14ac:dyDescent="0.3">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197">
        <f>+'Base de Datos'!I318</f>
        <v>2365972</v>
      </c>
      <c r="G318" s="196">
        <f>+'Base de Datos'!M318</f>
        <v>42174</v>
      </c>
      <c r="H318" s="196">
        <f>+'Base de Datos'!N318</f>
        <v>42296</v>
      </c>
      <c r="I318" s="196"/>
      <c r="J318" s="158"/>
      <c r="K318" s="333"/>
      <c r="L318" s="211"/>
      <c r="M318" s="336"/>
      <c r="N318" s="158"/>
      <c r="O318" s="333"/>
      <c r="P318" s="158"/>
      <c r="Q318" s="338"/>
      <c r="R318" s="81">
        <f t="shared" si="41"/>
        <v>0</v>
      </c>
      <c r="S318" s="258"/>
      <c r="T318" s="333"/>
      <c r="U318" s="158"/>
      <c r="V318" s="333"/>
      <c r="W318" s="158"/>
      <c r="X318" s="333"/>
      <c r="Y318" s="158"/>
      <c r="Z318" s="333"/>
      <c r="AA318" s="326"/>
      <c r="AB318" s="1004" t="str">
        <f t="shared" si="32"/>
        <v/>
      </c>
      <c r="AC318" s="1082" t="str">
        <f t="shared" si="33"/>
        <v/>
      </c>
      <c r="AD318" s="1077"/>
      <c r="AE318" s="1077"/>
      <c r="AF318" s="1084" t="str">
        <f t="shared" si="34"/>
        <v/>
      </c>
      <c r="AG318" s="1082" t="str">
        <f t="shared" si="35"/>
        <v/>
      </c>
      <c r="AH318" s="1091"/>
      <c r="AI318" s="1087"/>
      <c r="AJ318" s="1084" t="str">
        <f t="shared" si="36"/>
        <v/>
      </c>
      <c r="AK318" s="1083" t="str">
        <f t="shared" si="37"/>
        <v/>
      </c>
      <c r="AL318" s="211">
        <v>2365972</v>
      </c>
      <c r="AM318" s="211"/>
      <c r="AN318" s="211"/>
      <c r="AO318" s="211"/>
      <c r="AP318" s="211"/>
      <c r="AQ318" s="211"/>
      <c r="AR318" s="211"/>
      <c r="AS318" s="211"/>
      <c r="AT318" s="211"/>
      <c r="AU318" s="211"/>
      <c r="AV318" s="211"/>
      <c r="AW318" s="211"/>
      <c r="AX318" s="211"/>
      <c r="AY318" s="211"/>
      <c r="AZ318" s="211"/>
      <c r="BA318" s="211"/>
      <c r="BB318" s="211"/>
      <c r="BC318" s="211"/>
      <c r="BD318" s="333">
        <v>42544</v>
      </c>
      <c r="BE318" s="82">
        <f t="shared" si="39"/>
        <v>2365972</v>
      </c>
    </row>
    <row r="319" spans="2:57" ht="30.6" hidden="1" x14ac:dyDescent="0.3">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197">
        <f>+'Base de Datos'!I319</f>
        <v>12000000</v>
      </c>
      <c r="G319" s="196">
        <f>+'Base de Datos'!M319</f>
        <v>42173</v>
      </c>
      <c r="H319" s="196">
        <f>+'Base de Datos'!N319</f>
        <v>42356</v>
      </c>
      <c r="I319" s="196"/>
      <c r="J319" s="808">
        <v>6000000</v>
      </c>
      <c r="K319" s="333">
        <v>42356</v>
      </c>
      <c r="L319" s="211"/>
      <c r="M319" s="336"/>
      <c r="N319" s="158"/>
      <c r="O319" s="333"/>
      <c r="P319" s="158"/>
      <c r="Q319" s="338"/>
      <c r="R319" s="81">
        <f t="shared" si="41"/>
        <v>6000000</v>
      </c>
      <c r="S319" s="258" t="s">
        <v>379</v>
      </c>
      <c r="T319" s="333">
        <v>42447</v>
      </c>
      <c r="U319" s="158"/>
      <c r="V319" s="333"/>
      <c r="W319" s="158"/>
      <c r="X319" s="333"/>
      <c r="Y319" s="158"/>
      <c r="Z319" s="333"/>
      <c r="AA319" s="326" t="s">
        <v>379</v>
      </c>
      <c r="AB319" s="1004">
        <f t="shared" si="32"/>
        <v>42447</v>
      </c>
      <c r="AC319" s="1082" t="str">
        <f t="shared" si="33"/>
        <v/>
      </c>
      <c r="AD319" s="1077"/>
      <c r="AE319" s="1077"/>
      <c r="AF319" s="1084" t="str">
        <f t="shared" si="34"/>
        <v/>
      </c>
      <c r="AG319" s="1082" t="str">
        <f t="shared" si="35"/>
        <v/>
      </c>
      <c r="AH319" s="1091"/>
      <c r="AI319" s="1087"/>
      <c r="AJ319" s="1084" t="str">
        <f t="shared" si="36"/>
        <v/>
      </c>
      <c r="AK319" s="1083" t="str">
        <f t="shared" si="37"/>
        <v/>
      </c>
      <c r="AL319" s="211">
        <v>866666</v>
      </c>
      <c r="AM319" s="211">
        <v>2000000</v>
      </c>
      <c r="AN319" s="211">
        <v>2000000</v>
      </c>
      <c r="AO319" s="211">
        <v>2000000</v>
      </c>
      <c r="AP319" s="211">
        <v>2000000</v>
      </c>
      <c r="AQ319" s="211">
        <v>2000000</v>
      </c>
      <c r="AR319" s="211">
        <v>2000000</v>
      </c>
      <c r="AS319" s="211">
        <v>2000000</v>
      </c>
      <c r="AT319" s="211">
        <v>2000000</v>
      </c>
      <c r="AU319" s="211">
        <v>1133334</v>
      </c>
      <c r="AV319" s="211"/>
      <c r="AW319" s="211"/>
      <c r="AX319" s="211"/>
      <c r="AY319" s="211"/>
      <c r="AZ319" s="211"/>
      <c r="BA319" s="211"/>
      <c r="BB319" s="211"/>
      <c r="BC319" s="211"/>
      <c r="BD319" s="333">
        <v>42479</v>
      </c>
      <c r="BE319" s="82">
        <f t="shared" si="39"/>
        <v>18000000</v>
      </c>
    </row>
    <row r="320" spans="2:57" ht="30.6" hidden="1" x14ac:dyDescent="0.3">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197">
        <f>+'Base de Datos'!I320</f>
        <v>11167296</v>
      </c>
      <c r="G320" s="196">
        <f>+'Base de Datos'!M320</f>
        <v>42188</v>
      </c>
      <c r="H320" s="196">
        <f>+'Base de Datos'!N320</f>
        <v>42250</v>
      </c>
      <c r="I320" s="196"/>
      <c r="J320" s="158"/>
      <c r="K320" s="333"/>
      <c r="L320" s="211"/>
      <c r="M320" s="336"/>
      <c r="N320" s="158"/>
      <c r="O320" s="333"/>
      <c r="P320" s="158"/>
      <c r="Q320" s="338"/>
      <c r="R320" s="81">
        <f t="shared" si="41"/>
        <v>0</v>
      </c>
      <c r="S320" s="258"/>
      <c r="T320" s="333"/>
      <c r="U320" s="158"/>
      <c r="V320" s="333"/>
      <c r="W320" s="158"/>
      <c r="X320" s="333"/>
      <c r="Y320" s="158"/>
      <c r="Z320" s="333"/>
      <c r="AA320" s="326"/>
      <c r="AB320" s="1004" t="str">
        <f t="shared" si="32"/>
        <v/>
      </c>
      <c r="AC320" s="1082" t="str">
        <f t="shared" si="33"/>
        <v/>
      </c>
      <c r="AD320" s="1077"/>
      <c r="AE320" s="1077"/>
      <c r="AF320" s="1084" t="str">
        <f t="shared" si="34"/>
        <v/>
      </c>
      <c r="AG320" s="1082" t="str">
        <f t="shared" si="35"/>
        <v/>
      </c>
      <c r="AH320" s="1091"/>
      <c r="AI320" s="1087"/>
      <c r="AJ320" s="1084" t="str">
        <f t="shared" si="36"/>
        <v/>
      </c>
      <c r="AK320" s="1083" t="str">
        <f t="shared" si="37"/>
        <v/>
      </c>
      <c r="AL320" s="211">
        <v>11167296</v>
      </c>
      <c r="AM320" s="211"/>
      <c r="AN320" s="211"/>
      <c r="AO320" s="211"/>
      <c r="AP320" s="211"/>
      <c r="AQ320" s="211"/>
      <c r="AR320" s="211"/>
      <c r="AS320" s="211"/>
      <c r="AT320" s="211"/>
      <c r="AU320" s="211"/>
      <c r="AV320" s="211"/>
      <c r="AW320" s="211"/>
      <c r="AX320" s="211"/>
      <c r="AY320" s="211"/>
      <c r="AZ320" s="211"/>
      <c r="BA320" s="211"/>
      <c r="BB320" s="211"/>
      <c r="BC320" s="211"/>
      <c r="BD320" s="333"/>
      <c r="BE320" s="82">
        <f t="shared" si="39"/>
        <v>11167296</v>
      </c>
    </row>
    <row r="321" spans="2:57" ht="30.6" hidden="1" x14ac:dyDescent="0.3">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197">
        <f>+'Base de Datos'!I321</f>
        <v>29000000</v>
      </c>
      <c r="G321" s="196">
        <f>+'Base de Datos'!M321</f>
        <v>42179</v>
      </c>
      <c r="H321" s="196">
        <f>+'Base de Datos'!N321</f>
        <v>42484</v>
      </c>
      <c r="I321" s="196"/>
      <c r="J321" s="158">
        <v>14417333</v>
      </c>
      <c r="K321" s="333">
        <v>42433</v>
      </c>
      <c r="L321" s="211"/>
      <c r="M321" s="336"/>
      <c r="N321" s="158"/>
      <c r="O321" s="333"/>
      <c r="P321" s="158"/>
      <c r="Q321" s="338">
        <v>42433</v>
      </c>
      <c r="R321" s="81">
        <f t="shared" si="41"/>
        <v>14417333</v>
      </c>
      <c r="S321" s="258" t="s">
        <v>2411</v>
      </c>
      <c r="T321" s="333">
        <v>42514</v>
      </c>
      <c r="U321" s="158" t="s">
        <v>381</v>
      </c>
      <c r="V321" s="333">
        <v>42545</v>
      </c>
      <c r="W321" s="158"/>
      <c r="X321" s="333"/>
      <c r="Y321" s="158"/>
      <c r="Z321" s="333"/>
      <c r="AA321" s="326" t="s">
        <v>378</v>
      </c>
      <c r="AB321" s="1004">
        <f t="shared" si="32"/>
        <v>42545</v>
      </c>
      <c r="AC321" s="1082" t="str">
        <f t="shared" si="33"/>
        <v/>
      </c>
      <c r="AD321" s="1077"/>
      <c r="AE321" s="1077"/>
      <c r="AF321" s="1084" t="str">
        <f t="shared" si="34"/>
        <v/>
      </c>
      <c r="AG321" s="1082" t="str">
        <f t="shared" si="35"/>
        <v/>
      </c>
      <c r="AH321" s="1091"/>
      <c r="AI321" s="1087"/>
      <c r="AJ321" s="1084" t="str">
        <f t="shared" si="36"/>
        <v/>
      </c>
      <c r="AK321" s="1083" t="str">
        <f t="shared" si="37"/>
        <v/>
      </c>
      <c r="AL321" s="211">
        <v>18170365</v>
      </c>
      <c r="AM321" s="211">
        <v>6456937</v>
      </c>
      <c r="AN321" s="211">
        <v>9280000</v>
      </c>
      <c r="AO321" s="211">
        <v>5759985</v>
      </c>
      <c r="AP321" s="211">
        <v>3709391</v>
      </c>
      <c r="AQ321" s="211"/>
      <c r="AR321" s="211"/>
      <c r="AS321" s="211"/>
      <c r="AT321" s="211"/>
      <c r="AU321" s="211"/>
      <c r="AV321" s="211"/>
      <c r="AW321" s="211"/>
      <c r="AX321" s="211"/>
      <c r="AY321" s="211"/>
      <c r="AZ321" s="211"/>
      <c r="BA321" s="211"/>
      <c r="BB321" s="211"/>
      <c r="BC321" s="211"/>
      <c r="BD321" s="333">
        <v>42576</v>
      </c>
      <c r="BE321" s="82">
        <f t="shared" si="39"/>
        <v>43376678</v>
      </c>
    </row>
    <row r="322" spans="2:57" ht="30.6" hidden="1" x14ac:dyDescent="0.3">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197">
        <f>+'Base de Datos'!I322</f>
        <v>12000000</v>
      </c>
      <c r="G322" s="196">
        <f>+'Base de Datos'!M322</f>
        <v>42174</v>
      </c>
      <c r="H322" s="196">
        <f>+'Base de Datos'!N322</f>
        <v>42357</v>
      </c>
      <c r="I322" s="196"/>
      <c r="J322" s="158"/>
      <c r="K322" s="333"/>
      <c r="L322" s="211"/>
      <c r="M322" s="336"/>
      <c r="N322" s="158"/>
      <c r="O322" s="333"/>
      <c r="P322" s="158"/>
      <c r="Q322" s="338"/>
      <c r="R322" s="81">
        <f t="shared" si="41"/>
        <v>0</v>
      </c>
      <c r="S322" s="258"/>
      <c r="T322" s="333"/>
      <c r="U322" s="158"/>
      <c r="V322" s="333"/>
      <c r="W322" s="158"/>
      <c r="X322" s="333"/>
      <c r="Y322" s="158"/>
      <c r="Z322" s="333"/>
      <c r="AA322" s="326"/>
      <c r="AB322" s="1004" t="str">
        <f t="shared" si="32"/>
        <v/>
      </c>
      <c r="AC322" s="1082" t="str">
        <f t="shared" si="33"/>
        <v/>
      </c>
      <c r="AD322" s="1077"/>
      <c r="AE322" s="1077"/>
      <c r="AF322" s="1084" t="str">
        <f t="shared" si="34"/>
        <v/>
      </c>
      <c r="AG322" s="1082" t="str">
        <f t="shared" si="35"/>
        <v/>
      </c>
      <c r="AH322" s="1091"/>
      <c r="AI322" s="1087"/>
      <c r="AJ322" s="1084" t="str">
        <f t="shared" si="36"/>
        <v/>
      </c>
      <c r="AK322" s="1083" t="str">
        <f t="shared" si="37"/>
        <v/>
      </c>
      <c r="AL322" s="211">
        <v>800000</v>
      </c>
      <c r="AM322" s="211">
        <v>2000000</v>
      </c>
      <c r="AN322" s="211">
        <v>2000000</v>
      </c>
      <c r="AO322" s="211">
        <v>2000000</v>
      </c>
      <c r="AP322" s="211">
        <v>2000000</v>
      </c>
      <c r="AQ322" s="211">
        <v>2000000</v>
      </c>
      <c r="AR322" s="211">
        <v>1200000</v>
      </c>
      <c r="AS322" s="211"/>
      <c r="AT322" s="211"/>
      <c r="AU322" s="211"/>
      <c r="AV322" s="211"/>
      <c r="AW322" s="211"/>
      <c r="AX322" s="211"/>
      <c r="AY322" s="211"/>
      <c r="AZ322" s="211"/>
      <c r="BA322" s="211"/>
      <c r="BB322" s="211"/>
      <c r="BC322" s="211"/>
      <c r="BD322" s="333">
        <v>42366</v>
      </c>
      <c r="BE322" s="82">
        <f t="shared" si="39"/>
        <v>12000000</v>
      </c>
    </row>
    <row r="323" spans="2:57" ht="20.399999999999999" hidden="1" x14ac:dyDescent="0.3">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197">
        <f>+'Base de Datos'!I323</f>
        <v>69400000</v>
      </c>
      <c r="G323" s="196">
        <f>+'Base de Datos'!M323</f>
        <v>42186</v>
      </c>
      <c r="H323" s="196">
        <f>+'Base de Datos'!N323</f>
        <v>42491</v>
      </c>
      <c r="I323" s="196"/>
      <c r="J323" s="158"/>
      <c r="K323" s="333"/>
      <c r="L323" s="211"/>
      <c r="M323" s="336"/>
      <c r="N323" s="158"/>
      <c r="O323" s="333"/>
      <c r="P323" s="158"/>
      <c r="Q323" s="338"/>
      <c r="R323" s="81">
        <f t="shared" ref="R323:R368" si="42">SUM(J323,L323,N323,P323)</f>
        <v>0</v>
      </c>
      <c r="S323" s="258" t="s">
        <v>379</v>
      </c>
      <c r="T323" s="333">
        <v>42583</v>
      </c>
      <c r="U323" s="158" t="s">
        <v>978</v>
      </c>
      <c r="V323" s="333">
        <v>42629</v>
      </c>
      <c r="W323" s="158"/>
      <c r="X323" s="333"/>
      <c r="Y323" s="158"/>
      <c r="Z323" s="333"/>
      <c r="AA323" s="326" t="s">
        <v>2585</v>
      </c>
      <c r="AB323" s="1004">
        <f t="shared" si="32"/>
        <v>42629</v>
      </c>
      <c r="AC323" s="1082" t="str">
        <f t="shared" si="33"/>
        <v/>
      </c>
      <c r="AD323" s="1077"/>
      <c r="AE323" s="1077"/>
      <c r="AF323" s="1084" t="str">
        <f t="shared" si="34"/>
        <v/>
      </c>
      <c r="AG323" s="1082" t="str">
        <f t="shared" si="35"/>
        <v/>
      </c>
      <c r="AH323" s="1091"/>
      <c r="AI323" s="1087"/>
      <c r="AJ323" s="1084" t="str">
        <f t="shared" si="36"/>
        <v/>
      </c>
      <c r="AK323" s="1083" t="str">
        <f t="shared" si="37"/>
        <v/>
      </c>
      <c r="AL323" s="211">
        <v>8235064</v>
      </c>
      <c r="AM323" s="211">
        <v>55249744</v>
      </c>
      <c r="AN323" s="211">
        <v>4637552</v>
      </c>
      <c r="AO323" s="211">
        <v>1277538</v>
      </c>
      <c r="AP323" s="211"/>
      <c r="AQ323" s="211"/>
      <c r="AR323" s="211"/>
      <c r="AS323" s="211"/>
      <c r="AT323" s="211"/>
      <c r="AU323" s="211"/>
      <c r="AV323" s="211"/>
      <c r="AW323" s="211"/>
      <c r="AX323" s="211"/>
      <c r="AY323" s="211"/>
      <c r="AZ323" s="211"/>
      <c r="BA323" s="211"/>
      <c r="BB323" s="211"/>
      <c r="BC323" s="211"/>
      <c r="BD323" s="333">
        <v>42650</v>
      </c>
      <c r="BE323" s="82">
        <f t="shared" si="39"/>
        <v>69399898</v>
      </c>
    </row>
    <row r="324" spans="2:57" ht="20.399999999999999" hidden="1" x14ac:dyDescent="0.3">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197">
        <f>+'Base de Datos'!I324</f>
        <v>1607400</v>
      </c>
      <c r="G324" s="196">
        <f>+'Base de Datos'!M324</f>
        <v>42202</v>
      </c>
      <c r="H324" s="196">
        <f>+'Base de Datos'!N324</f>
        <v>42567</v>
      </c>
      <c r="I324" s="196"/>
      <c r="J324" s="158"/>
      <c r="K324" s="333"/>
      <c r="L324" s="211"/>
      <c r="M324" s="336"/>
      <c r="N324" s="158"/>
      <c r="O324" s="333"/>
      <c r="P324" s="158"/>
      <c r="Q324" s="338"/>
      <c r="R324" s="81">
        <f t="shared" si="42"/>
        <v>0</v>
      </c>
      <c r="S324" s="258"/>
      <c r="T324" s="333"/>
      <c r="U324" s="158"/>
      <c r="V324" s="333"/>
      <c r="W324" s="158"/>
      <c r="X324" s="333"/>
      <c r="Y324" s="158"/>
      <c r="Z324" s="333"/>
      <c r="AA324" s="326"/>
      <c r="AB324" s="1004" t="str">
        <f t="shared" si="32"/>
        <v/>
      </c>
      <c r="AC324" s="1082" t="str">
        <f t="shared" si="33"/>
        <v/>
      </c>
      <c r="AD324" s="1077"/>
      <c r="AE324" s="1077"/>
      <c r="AF324" s="1084" t="str">
        <f t="shared" si="34"/>
        <v/>
      </c>
      <c r="AG324" s="1082" t="str">
        <f t="shared" si="35"/>
        <v/>
      </c>
      <c r="AH324" s="1091"/>
      <c r="AI324" s="1087"/>
      <c r="AJ324" s="1084" t="str">
        <f t="shared" si="36"/>
        <v/>
      </c>
      <c r="AK324" s="1083" t="str">
        <f t="shared" si="37"/>
        <v/>
      </c>
      <c r="AL324" s="211">
        <v>1586586</v>
      </c>
      <c r="AM324" s="211"/>
      <c r="AN324" s="211"/>
      <c r="AO324" s="211"/>
      <c r="AP324" s="211"/>
      <c r="AQ324" s="211"/>
      <c r="AR324" s="211"/>
      <c r="AS324" s="211"/>
      <c r="AT324" s="211"/>
      <c r="AU324" s="211"/>
      <c r="AV324" s="211"/>
      <c r="AW324" s="211"/>
      <c r="AX324" s="211"/>
      <c r="AY324" s="211"/>
      <c r="AZ324" s="211"/>
      <c r="BA324" s="211"/>
      <c r="BB324" s="211"/>
      <c r="BC324" s="211"/>
      <c r="BD324" s="333">
        <v>42237</v>
      </c>
      <c r="BE324" s="82">
        <f t="shared" si="39"/>
        <v>1586586</v>
      </c>
    </row>
    <row r="325" spans="2:57" ht="71.400000000000006" hidden="1" x14ac:dyDescent="0.3">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197">
        <f>+'Base de Datos'!I325</f>
        <v>102000000</v>
      </c>
      <c r="G325" s="196">
        <f>+'Base de Datos'!M325</f>
        <v>42186</v>
      </c>
      <c r="H325" s="196">
        <f>+'Base de Datos'!N325</f>
        <v>42519</v>
      </c>
      <c r="I325" s="196"/>
      <c r="J325" s="158">
        <v>22930204</v>
      </c>
      <c r="K325" s="333">
        <v>42489</v>
      </c>
      <c r="L325" s="211"/>
      <c r="M325" s="336"/>
      <c r="N325" s="158"/>
      <c r="O325" s="333"/>
      <c r="P325" s="158"/>
      <c r="Q325" s="338"/>
      <c r="R325" s="81">
        <f t="shared" si="42"/>
        <v>22930204</v>
      </c>
      <c r="S325" s="258" t="s">
        <v>381</v>
      </c>
      <c r="T325" s="333">
        <v>42522</v>
      </c>
      <c r="U325" s="158"/>
      <c r="V325" s="333"/>
      <c r="W325" s="158"/>
      <c r="X325" s="333"/>
      <c r="Y325" s="158"/>
      <c r="Z325" s="333"/>
      <c r="AA325" s="326" t="s">
        <v>381</v>
      </c>
      <c r="AB325" s="1004">
        <f t="shared" si="32"/>
        <v>42522</v>
      </c>
      <c r="AC325" s="1082" t="str">
        <f t="shared" si="33"/>
        <v/>
      </c>
      <c r="AD325" s="1077"/>
      <c r="AE325" s="1077"/>
      <c r="AF325" s="1084" t="str">
        <f t="shared" si="34"/>
        <v/>
      </c>
      <c r="AG325" s="1082" t="str">
        <f t="shared" si="35"/>
        <v/>
      </c>
      <c r="AH325" s="1091"/>
      <c r="AI325" s="1087"/>
      <c r="AJ325" s="1084" t="str">
        <f t="shared" si="36"/>
        <v/>
      </c>
      <c r="AK325" s="1083" t="str">
        <f t="shared" si="37"/>
        <v/>
      </c>
      <c r="AL325" s="211">
        <v>4848245</v>
      </c>
      <c r="AM325" s="211">
        <v>2761608</v>
      </c>
      <c r="AN325" s="211">
        <v>1279230</v>
      </c>
      <c r="AO325" s="211">
        <v>8062636</v>
      </c>
      <c r="AP325" s="211">
        <v>55940830</v>
      </c>
      <c r="AQ325" s="211">
        <v>8132625</v>
      </c>
      <c r="AR325" s="211">
        <v>10152022</v>
      </c>
      <c r="AS325" s="211">
        <v>4330660</v>
      </c>
      <c r="AT325" s="211">
        <v>29366331</v>
      </c>
      <c r="AU325" s="211"/>
      <c r="AV325" s="211"/>
      <c r="AW325" s="211"/>
      <c r="AX325" s="211"/>
      <c r="AY325" s="211"/>
      <c r="AZ325" s="211"/>
      <c r="BA325" s="211"/>
      <c r="BB325" s="211"/>
      <c r="BC325" s="211"/>
      <c r="BD325" s="333">
        <v>42528</v>
      </c>
      <c r="BE325" s="82">
        <f t="shared" si="39"/>
        <v>124874187</v>
      </c>
    </row>
    <row r="326" spans="2:57" ht="71.400000000000006" hidden="1" x14ac:dyDescent="0.3">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197">
        <f>+'Base de Datos'!I326</f>
        <v>342000000</v>
      </c>
      <c r="G326" s="196">
        <f>+'Base de Datos'!M326</f>
        <v>42187</v>
      </c>
      <c r="H326" s="196">
        <f>+'Base de Datos'!N326</f>
        <v>42492</v>
      </c>
      <c r="I326" s="196"/>
      <c r="J326" s="158">
        <v>72000000</v>
      </c>
      <c r="K326" s="333">
        <v>42552</v>
      </c>
      <c r="L326" s="211">
        <v>20000000</v>
      </c>
      <c r="M326" s="336">
        <v>42705</v>
      </c>
      <c r="N326" s="158"/>
      <c r="O326" s="333"/>
      <c r="P326" s="158"/>
      <c r="Q326" s="338"/>
      <c r="R326" s="81">
        <f t="shared" si="42"/>
        <v>92000000</v>
      </c>
      <c r="S326" s="258" t="s">
        <v>2442</v>
      </c>
      <c r="T326" s="333">
        <v>42552</v>
      </c>
      <c r="U326" s="158" t="s">
        <v>2516</v>
      </c>
      <c r="V326" s="333">
        <v>42675</v>
      </c>
      <c r="W326" s="158" t="s">
        <v>381</v>
      </c>
      <c r="X326" s="333">
        <v>42705</v>
      </c>
      <c r="Y326" s="158" t="s">
        <v>2737</v>
      </c>
      <c r="Z326" s="333">
        <v>42728</v>
      </c>
      <c r="AA326" s="326" t="s">
        <v>2738</v>
      </c>
      <c r="AB326" s="1004">
        <f t="shared" si="32"/>
        <v>42728</v>
      </c>
      <c r="AC326" s="1082" t="str">
        <f t="shared" si="33"/>
        <v/>
      </c>
      <c r="AD326" s="1077"/>
      <c r="AE326" s="1077"/>
      <c r="AF326" s="1084" t="str">
        <f t="shared" si="34"/>
        <v/>
      </c>
      <c r="AG326" s="1082" t="str">
        <f t="shared" si="35"/>
        <v/>
      </c>
      <c r="AH326" s="1091"/>
      <c r="AI326" s="1087"/>
      <c r="AJ326" s="1084" t="str">
        <f t="shared" si="36"/>
        <v/>
      </c>
      <c r="AK326" s="1083" t="str">
        <f t="shared" si="37"/>
        <v/>
      </c>
      <c r="AL326" s="211">
        <v>72926363</v>
      </c>
      <c r="AM326" s="211">
        <v>20283598</v>
      </c>
      <c r="AN326" s="211">
        <v>17141670</v>
      </c>
      <c r="AO326" s="211">
        <v>19004971</v>
      </c>
      <c r="AP326" s="211">
        <v>20276584</v>
      </c>
      <c r="AQ326" s="211">
        <v>23811584</v>
      </c>
      <c r="AR326" s="211">
        <v>21283281</v>
      </c>
      <c r="AS326" s="211">
        <f>38081132+9870748</f>
        <v>47951880</v>
      </c>
      <c r="AT326" s="211">
        <v>21669976</v>
      </c>
      <c r="AU326" s="211">
        <v>11340862</v>
      </c>
      <c r="AV326" s="211">
        <v>9549339</v>
      </c>
      <c r="AW326" s="211">
        <v>19625984</v>
      </c>
      <c r="AX326" s="211">
        <v>4439636</v>
      </c>
      <c r="AY326" s="211">
        <v>3946280</v>
      </c>
      <c r="AZ326" s="211">
        <v>17481631</v>
      </c>
      <c r="BA326" s="211">
        <v>4500275</v>
      </c>
      <c r="BB326" s="211">
        <v>17655917</v>
      </c>
      <c r="BC326" s="211">
        <f>7392671+14442346</f>
        <v>21835017</v>
      </c>
      <c r="BD326" s="333">
        <v>42795</v>
      </c>
      <c r="BE326" s="82">
        <f t="shared" si="39"/>
        <v>374724848</v>
      </c>
    </row>
    <row r="327" spans="2:57" ht="51" hidden="1" x14ac:dyDescent="0.3">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197">
        <f>+'Base de Datos'!I327</f>
        <v>180000000</v>
      </c>
      <c r="G327" s="196">
        <f>+'Base de Datos'!M327</f>
        <v>42219</v>
      </c>
      <c r="H327" s="196">
        <f>+'Base de Datos'!N327</f>
        <v>42492</v>
      </c>
      <c r="I327" s="196"/>
      <c r="J327" s="158"/>
      <c r="K327" s="333"/>
      <c r="L327" s="211"/>
      <c r="M327" s="336"/>
      <c r="N327" s="158"/>
      <c r="O327" s="333"/>
      <c r="P327" s="158"/>
      <c r="Q327" s="338"/>
      <c r="R327" s="81">
        <f t="shared" si="42"/>
        <v>0</v>
      </c>
      <c r="S327" s="258" t="s">
        <v>1854</v>
      </c>
      <c r="T327" s="333">
        <v>42737</v>
      </c>
      <c r="U327" s="158" t="s">
        <v>1377</v>
      </c>
      <c r="V327" s="333">
        <v>42949</v>
      </c>
      <c r="W327" s="158"/>
      <c r="X327" s="333"/>
      <c r="Y327" s="158"/>
      <c r="Z327" s="333"/>
      <c r="AA327" s="326" t="s">
        <v>1320</v>
      </c>
      <c r="AB327" s="1004">
        <f t="shared" ref="AB327:AB390" si="43">IF(ISNUMBER(T327),MAX(T327,V327,X327,Z327),"")</f>
        <v>42949</v>
      </c>
      <c r="AC327" s="1082" t="str">
        <f t="shared" ref="AC327:AC390" si="44">IF(ISNUMBER(AD327),ABS(AD327-AE327)+1,"")</f>
        <v/>
      </c>
      <c r="AD327" s="1077"/>
      <c r="AE327" s="1077"/>
      <c r="AF327" s="1084" t="str">
        <f t="shared" ref="AF327:AF390" si="45">IFERROR(IF(MAX(H327,I327)&lt;AE327,MAX(H327,I327)-AE327+AC327+AE327,MAX(H327,I327)+AC327),"")</f>
        <v/>
      </c>
      <c r="AG327" s="1082" t="str">
        <f t="shared" ref="AG327:AG390" si="46">IF(ISNUMBER(AH327),ABS(AH327-AI327)+1,"")</f>
        <v/>
      </c>
      <c r="AH327" s="1091"/>
      <c r="AI327" s="1087"/>
      <c r="AJ327" s="1084" t="str">
        <f t="shared" ref="AJ327:AJ390" si="47">IFERROR(IF(AF327&lt;AI327,((AF327-AI327)+AG327)+(AI327),AF327+AG327),"")</f>
        <v/>
      </c>
      <c r="AK327" s="1083" t="str">
        <f t="shared" ref="AK327:AK390" si="48">IF(ISNUMBER(AF327),MAX(AB327,AF327,AJ327),"")</f>
        <v/>
      </c>
      <c r="AL327" s="211">
        <v>180000000</v>
      </c>
      <c r="AM327" s="211"/>
      <c r="AN327" s="211"/>
      <c r="AO327" s="211"/>
      <c r="AP327" s="211"/>
      <c r="AQ327" s="211"/>
      <c r="AR327" s="211"/>
      <c r="AS327" s="211"/>
      <c r="AT327" s="211"/>
      <c r="AU327" s="211"/>
      <c r="AV327" s="211"/>
      <c r="AW327" s="211"/>
      <c r="AX327" s="211"/>
      <c r="AY327" s="211"/>
      <c r="AZ327" s="211"/>
      <c r="BA327" s="211"/>
      <c r="BB327" s="211"/>
      <c r="BC327" s="211"/>
      <c r="BD327" s="333">
        <v>42299</v>
      </c>
      <c r="BE327" s="82">
        <f t="shared" si="39"/>
        <v>180000000</v>
      </c>
    </row>
    <row r="328" spans="2:57" ht="40.799999999999997" hidden="1" x14ac:dyDescent="0.3">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197">
        <f>+'Base de Datos'!I328</f>
        <v>213397762</v>
      </c>
      <c r="G328" s="196">
        <f>+'Base de Datos'!M328</f>
        <v>42181</v>
      </c>
      <c r="H328" s="196">
        <f>+'Base de Datos'!N328</f>
        <v>42537</v>
      </c>
      <c r="I328" s="196"/>
      <c r="J328" s="158"/>
      <c r="K328" s="333"/>
      <c r="L328" s="211"/>
      <c r="M328" s="336"/>
      <c r="N328" s="158"/>
      <c r="O328" s="333"/>
      <c r="P328" s="158"/>
      <c r="Q328" s="338"/>
      <c r="R328" s="81">
        <f t="shared" si="42"/>
        <v>0</v>
      </c>
      <c r="S328" s="258"/>
      <c r="T328" s="333"/>
      <c r="U328" s="158"/>
      <c r="V328" s="333"/>
      <c r="W328" s="158"/>
      <c r="X328" s="333"/>
      <c r="Y328" s="158"/>
      <c r="Z328" s="333"/>
      <c r="AA328" s="326"/>
      <c r="AB328" s="1004" t="str">
        <f t="shared" si="43"/>
        <v/>
      </c>
      <c r="AC328" s="1082" t="str">
        <f t="shared" si="44"/>
        <v/>
      </c>
      <c r="AD328" s="1077"/>
      <c r="AE328" s="1077"/>
      <c r="AF328" s="1084" t="str">
        <f t="shared" si="45"/>
        <v/>
      </c>
      <c r="AG328" s="1082" t="str">
        <f t="shared" si="46"/>
        <v/>
      </c>
      <c r="AH328" s="1091"/>
      <c r="AI328" s="1087"/>
      <c r="AJ328" s="1084" t="str">
        <f t="shared" si="47"/>
        <v/>
      </c>
      <c r="AK328" s="1083" t="str">
        <f t="shared" si="48"/>
        <v/>
      </c>
      <c r="AL328" s="211">
        <v>35566293</v>
      </c>
      <c r="AM328" s="211">
        <v>35566293</v>
      </c>
      <c r="AN328" s="211">
        <v>35566293</v>
      </c>
      <c r="AO328" s="211">
        <v>35566293</v>
      </c>
      <c r="AP328" s="211">
        <v>35566293</v>
      </c>
      <c r="AQ328" s="211">
        <v>35566293</v>
      </c>
      <c r="AR328" s="211"/>
      <c r="AS328" s="211"/>
      <c r="AT328" s="211"/>
      <c r="AU328" s="211"/>
      <c r="AV328" s="211"/>
      <c r="AW328" s="211"/>
      <c r="AX328" s="211"/>
      <c r="AY328" s="211"/>
      <c r="AZ328" s="211"/>
      <c r="BA328" s="211"/>
      <c r="BB328" s="211"/>
      <c r="BC328" s="211"/>
      <c r="BD328" s="333">
        <v>42558</v>
      </c>
      <c r="BE328" s="82">
        <f t="shared" si="39"/>
        <v>213397758</v>
      </c>
    </row>
    <row r="329" spans="2:57" ht="40.799999999999997" hidden="1" x14ac:dyDescent="0.3">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197">
        <f>+'Base de Datos'!I329</f>
        <v>10800000</v>
      </c>
      <c r="G329" s="196">
        <f>+'Base de Datos'!M329</f>
        <v>42186</v>
      </c>
      <c r="H329" s="196">
        <f>+'Base de Datos'!N329</f>
        <v>42370</v>
      </c>
      <c r="I329" s="196"/>
      <c r="J329" s="158"/>
      <c r="K329" s="333"/>
      <c r="L329" s="211"/>
      <c r="M329" s="336"/>
      <c r="N329" s="158"/>
      <c r="O329" s="333"/>
      <c r="P329" s="158"/>
      <c r="Q329" s="338"/>
      <c r="R329" s="81">
        <f t="shared" si="42"/>
        <v>0</v>
      </c>
      <c r="S329" s="258"/>
      <c r="T329" s="333"/>
      <c r="U329" s="158"/>
      <c r="V329" s="333"/>
      <c r="W329" s="158"/>
      <c r="X329" s="333"/>
      <c r="Y329" s="158"/>
      <c r="Z329" s="333"/>
      <c r="AA329" s="326"/>
      <c r="AB329" s="1004" t="str">
        <f t="shared" si="43"/>
        <v/>
      </c>
      <c r="AC329" s="1082" t="str">
        <f t="shared" si="44"/>
        <v/>
      </c>
      <c r="AD329" s="1077"/>
      <c r="AE329" s="1077"/>
      <c r="AF329" s="1084" t="str">
        <f t="shared" si="45"/>
        <v/>
      </c>
      <c r="AG329" s="1082" t="str">
        <f t="shared" si="46"/>
        <v/>
      </c>
      <c r="AH329" s="1091"/>
      <c r="AI329" s="1087"/>
      <c r="AJ329" s="1084" t="str">
        <f t="shared" si="47"/>
        <v/>
      </c>
      <c r="AK329" s="1083" t="str">
        <f t="shared" si="48"/>
        <v/>
      </c>
      <c r="AL329" s="211">
        <v>1800000</v>
      </c>
      <c r="AM329" s="211">
        <v>3600000</v>
      </c>
      <c r="AN329" s="211">
        <v>1800000</v>
      </c>
      <c r="AO329" s="211">
        <v>3600000</v>
      </c>
      <c r="AP329" s="211"/>
      <c r="AQ329" s="211"/>
      <c r="AR329" s="211"/>
      <c r="AS329" s="211"/>
      <c r="AT329" s="211"/>
      <c r="AU329" s="211"/>
      <c r="AV329" s="211"/>
      <c r="AW329" s="211"/>
      <c r="AX329" s="211"/>
      <c r="AY329" s="211"/>
      <c r="AZ329" s="211"/>
      <c r="BA329" s="211"/>
      <c r="BB329" s="211"/>
      <c r="BC329" s="211"/>
      <c r="BD329" s="333">
        <v>42598</v>
      </c>
      <c r="BE329" s="82">
        <f t="shared" si="39"/>
        <v>10800000</v>
      </c>
    </row>
    <row r="330" spans="2:57" ht="30.6" hidden="1" x14ac:dyDescent="0.3">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197">
        <f>+'Base de Datos'!I330</f>
        <v>21600000</v>
      </c>
      <c r="G330" s="196">
        <f>+'Base de Datos'!M330</f>
        <v>42186</v>
      </c>
      <c r="H330" s="196">
        <f>+'Base de Datos'!N330</f>
        <v>42370</v>
      </c>
      <c r="I330" s="196"/>
      <c r="J330" s="811">
        <v>10800000</v>
      </c>
      <c r="K330" s="333">
        <v>42368</v>
      </c>
      <c r="L330" s="211"/>
      <c r="M330" s="336"/>
      <c r="N330" s="158"/>
      <c r="O330" s="333"/>
      <c r="P330" s="158"/>
      <c r="Q330" s="338"/>
      <c r="R330" s="81">
        <f t="shared" si="42"/>
        <v>10800000</v>
      </c>
      <c r="S330" s="258" t="s">
        <v>379</v>
      </c>
      <c r="T330" s="333">
        <v>42461</v>
      </c>
      <c r="U330" s="158"/>
      <c r="V330" s="333"/>
      <c r="W330" s="158"/>
      <c r="X330" s="333"/>
      <c r="Y330" s="158"/>
      <c r="Z330" s="333"/>
      <c r="AA330" s="326"/>
      <c r="AB330" s="1004">
        <f t="shared" si="43"/>
        <v>42461</v>
      </c>
      <c r="AC330" s="1082" t="str">
        <f t="shared" si="44"/>
        <v/>
      </c>
      <c r="AD330" s="1077"/>
      <c r="AE330" s="1077"/>
      <c r="AF330" s="1084" t="str">
        <f t="shared" si="45"/>
        <v/>
      </c>
      <c r="AG330" s="1082" t="str">
        <f t="shared" si="46"/>
        <v/>
      </c>
      <c r="AH330" s="1091"/>
      <c r="AI330" s="1087"/>
      <c r="AJ330" s="1084" t="str">
        <f t="shared" si="47"/>
        <v/>
      </c>
      <c r="AK330" s="1083" t="str">
        <f t="shared" si="48"/>
        <v/>
      </c>
      <c r="AL330" s="211">
        <v>3600000</v>
      </c>
      <c r="AM330" s="211">
        <v>3600000</v>
      </c>
      <c r="AN330" s="211">
        <v>3600000</v>
      </c>
      <c r="AO330" s="211">
        <v>3600000</v>
      </c>
      <c r="AP330" s="211">
        <v>3600000</v>
      </c>
      <c r="AQ330" s="211">
        <v>3600000</v>
      </c>
      <c r="AR330" s="211"/>
      <c r="AS330" s="211">
        <v>3600000</v>
      </c>
      <c r="AT330" s="211">
        <v>3600000</v>
      </c>
      <c r="AU330" s="211">
        <v>3600000</v>
      </c>
      <c r="AV330" s="211"/>
      <c r="AW330" s="211"/>
      <c r="AX330" s="211"/>
      <c r="AY330" s="211"/>
      <c r="AZ330" s="211"/>
      <c r="BA330" s="211"/>
      <c r="BB330" s="211"/>
      <c r="BC330" s="211"/>
      <c r="BD330" s="333">
        <v>42471</v>
      </c>
      <c r="BE330" s="82">
        <f t="shared" ref="BE330:BE393" si="49">SUM(AL330:BC330)</f>
        <v>32400000</v>
      </c>
    </row>
    <row r="331" spans="2:57" ht="40.799999999999997" hidden="1" x14ac:dyDescent="0.3">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197">
        <f>+'Base de Datos'!I331</f>
        <v>10800000</v>
      </c>
      <c r="G331" s="196">
        <f>+'Base de Datos'!M331</f>
        <v>42186</v>
      </c>
      <c r="H331" s="196">
        <f>+'Base de Datos'!N331</f>
        <v>42370</v>
      </c>
      <c r="I331" s="196"/>
      <c r="J331" s="158"/>
      <c r="K331" s="333"/>
      <c r="L331" s="211"/>
      <c r="M331" s="336"/>
      <c r="N331" s="158"/>
      <c r="O331" s="333"/>
      <c r="P331" s="158"/>
      <c r="Q331" s="338"/>
      <c r="R331" s="81">
        <f t="shared" si="42"/>
        <v>0</v>
      </c>
      <c r="S331" s="258"/>
      <c r="T331" s="333"/>
      <c r="U331" s="158"/>
      <c r="V331" s="333"/>
      <c r="W331" s="158"/>
      <c r="X331" s="333"/>
      <c r="Y331" s="158"/>
      <c r="Z331" s="333"/>
      <c r="AA331" s="326"/>
      <c r="AB331" s="1004" t="str">
        <f t="shared" si="43"/>
        <v/>
      </c>
      <c r="AC331" s="1082" t="str">
        <f t="shared" si="44"/>
        <v/>
      </c>
      <c r="AD331" s="1077"/>
      <c r="AE331" s="1077"/>
      <c r="AF331" s="1084" t="str">
        <f t="shared" si="45"/>
        <v/>
      </c>
      <c r="AG331" s="1082" t="str">
        <f t="shared" si="46"/>
        <v/>
      </c>
      <c r="AH331" s="1091"/>
      <c r="AI331" s="1087"/>
      <c r="AJ331" s="1084" t="str">
        <f t="shared" si="47"/>
        <v/>
      </c>
      <c r="AK331" s="1083" t="str">
        <f t="shared" si="48"/>
        <v/>
      </c>
      <c r="AL331" s="211">
        <v>1800000</v>
      </c>
      <c r="AM331" s="211">
        <v>1800000</v>
      </c>
      <c r="AN331" s="211">
        <v>1800000</v>
      </c>
      <c r="AO331" s="211">
        <v>3600000</v>
      </c>
      <c r="AP331" s="211"/>
      <c r="AQ331" s="211"/>
      <c r="AR331" s="211"/>
      <c r="AS331" s="211"/>
      <c r="AT331" s="211"/>
      <c r="AU331" s="211"/>
      <c r="AV331" s="211"/>
      <c r="AW331" s="211"/>
      <c r="AX331" s="211"/>
      <c r="AY331" s="211"/>
      <c r="AZ331" s="211"/>
      <c r="BA331" s="211"/>
      <c r="BB331" s="211"/>
      <c r="BC331" s="211"/>
      <c r="BD331" s="333">
        <v>42390</v>
      </c>
      <c r="BE331" s="82">
        <f t="shared" si="49"/>
        <v>9000000</v>
      </c>
    </row>
    <row r="332" spans="2:57" ht="40.799999999999997" hidden="1" x14ac:dyDescent="0.3">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197">
        <f>+'Base de Datos'!I332</f>
        <v>10800000</v>
      </c>
      <c r="G332" s="196">
        <f>+'Base de Datos'!M332</f>
        <v>42186</v>
      </c>
      <c r="H332" s="196">
        <f>+'Base de Datos'!N332</f>
        <v>42370</v>
      </c>
      <c r="I332" s="196"/>
      <c r="J332" s="158"/>
      <c r="K332" s="333"/>
      <c r="L332" s="211"/>
      <c r="M332" s="336"/>
      <c r="N332" s="158"/>
      <c r="O332" s="333"/>
      <c r="P332" s="158"/>
      <c r="Q332" s="338"/>
      <c r="R332" s="81">
        <f t="shared" si="42"/>
        <v>0</v>
      </c>
      <c r="S332" s="258"/>
      <c r="T332" s="333"/>
      <c r="U332" s="158"/>
      <c r="V332" s="333"/>
      <c r="W332" s="158"/>
      <c r="X332" s="333"/>
      <c r="Y332" s="158"/>
      <c r="Z332" s="333"/>
      <c r="AA332" s="326"/>
      <c r="AB332" s="1004" t="str">
        <f t="shared" si="43"/>
        <v/>
      </c>
      <c r="AC332" s="1082" t="str">
        <f t="shared" si="44"/>
        <v/>
      </c>
      <c r="AD332" s="1077"/>
      <c r="AE332" s="1077"/>
      <c r="AF332" s="1084" t="str">
        <f t="shared" si="45"/>
        <v/>
      </c>
      <c r="AG332" s="1082" t="str">
        <f t="shared" si="46"/>
        <v/>
      </c>
      <c r="AH332" s="1091"/>
      <c r="AI332" s="1087"/>
      <c r="AJ332" s="1084" t="str">
        <f t="shared" si="47"/>
        <v/>
      </c>
      <c r="AK332" s="1083" t="str">
        <f t="shared" si="48"/>
        <v/>
      </c>
      <c r="AL332" s="211">
        <v>1800000</v>
      </c>
      <c r="AM332" s="211">
        <v>1800000</v>
      </c>
      <c r="AN332" s="211">
        <v>1800000</v>
      </c>
      <c r="AO332" s="211">
        <v>1800000</v>
      </c>
      <c r="AP332" s="211">
        <v>1800000</v>
      </c>
      <c r="AQ332" s="211">
        <v>1800000</v>
      </c>
      <c r="AR332" s="211"/>
      <c r="AS332" s="211"/>
      <c r="AT332" s="211"/>
      <c r="AU332" s="211"/>
      <c r="AV332" s="211"/>
      <c r="AW332" s="211"/>
      <c r="AX332" s="211"/>
      <c r="AY332" s="211"/>
      <c r="AZ332" s="211"/>
      <c r="BA332" s="211"/>
      <c r="BB332" s="211"/>
      <c r="BC332" s="211"/>
      <c r="BD332" s="333">
        <v>42390</v>
      </c>
      <c r="BE332" s="82">
        <f t="shared" si="49"/>
        <v>10800000</v>
      </c>
    </row>
    <row r="333" spans="2:57" ht="40.799999999999997" hidden="1" x14ac:dyDescent="0.3">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197">
        <f>+'Base de Datos'!I333</f>
        <v>10800000</v>
      </c>
      <c r="G333" s="196">
        <f>+'Base de Datos'!M333</f>
        <v>42186</v>
      </c>
      <c r="H333" s="196">
        <f>+'Base de Datos'!N333</f>
        <v>42370</v>
      </c>
      <c r="I333" s="196"/>
      <c r="J333" s="158"/>
      <c r="K333" s="333"/>
      <c r="L333" s="211"/>
      <c r="M333" s="336"/>
      <c r="N333" s="158"/>
      <c r="O333" s="333"/>
      <c r="P333" s="158"/>
      <c r="Q333" s="338"/>
      <c r="R333" s="81">
        <f t="shared" si="42"/>
        <v>0</v>
      </c>
      <c r="S333" s="258"/>
      <c r="T333" s="333"/>
      <c r="U333" s="158"/>
      <c r="V333" s="333"/>
      <c r="W333" s="158"/>
      <c r="X333" s="333"/>
      <c r="Y333" s="158"/>
      <c r="Z333" s="333"/>
      <c r="AA333" s="326"/>
      <c r="AB333" s="1004" t="str">
        <f t="shared" si="43"/>
        <v/>
      </c>
      <c r="AC333" s="1082" t="str">
        <f t="shared" si="44"/>
        <v/>
      </c>
      <c r="AD333" s="1077"/>
      <c r="AE333" s="1077"/>
      <c r="AF333" s="1084" t="str">
        <f t="shared" si="45"/>
        <v/>
      </c>
      <c r="AG333" s="1082" t="str">
        <f t="shared" si="46"/>
        <v/>
      </c>
      <c r="AH333" s="1091"/>
      <c r="AI333" s="1087"/>
      <c r="AJ333" s="1084" t="str">
        <f t="shared" si="47"/>
        <v/>
      </c>
      <c r="AK333" s="1083" t="str">
        <f t="shared" si="48"/>
        <v/>
      </c>
      <c r="AL333" s="211">
        <v>1800000</v>
      </c>
      <c r="AM333" s="211">
        <v>1800000</v>
      </c>
      <c r="AN333" s="211">
        <v>1800000</v>
      </c>
      <c r="AO333" s="211">
        <v>1800000</v>
      </c>
      <c r="AP333" s="211">
        <v>1800000</v>
      </c>
      <c r="AQ333" s="211">
        <v>1800000</v>
      </c>
      <c r="AR333" s="211"/>
      <c r="AS333" s="211"/>
      <c r="AT333" s="211"/>
      <c r="AU333" s="211"/>
      <c r="AV333" s="211"/>
      <c r="AW333" s="211"/>
      <c r="AX333" s="211"/>
      <c r="AY333" s="211"/>
      <c r="AZ333" s="211"/>
      <c r="BA333" s="211"/>
      <c r="BB333" s="211"/>
      <c r="BC333" s="211"/>
      <c r="BD333" s="333">
        <v>42422</v>
      </c>
      <c r="BE333" s="82">
        <f t="shared" si="49"/>
        <v>10800000</v>
      </c>
    </row>
    <row r="334" spans="2:57" ht="40.799999999999997" hidden="1" x14ac:dyDescent="0.3">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197">
        <f>+'Base de Datos'!I334</f>
        <v>10800000</v>
      </c>
      <c r="G334" s="196">
        <f>+'Base de Datos'!M334</f>
        <v>42186</v>
      </c>
      <c r="H334" s="196">
        <f>+'Base de Datos'!N334</f>
        <v>42370</v>
      </c>
      <c r="I334" s="196"/>
      <c r="J334" s="158"/>
      <c r="K334" s="333"/>
      <c r="L334" s="211"/>
      <c r="M334" s="336"/>
      <c r="N334" s="158"/>
      <c r="O334" s="333"/>
      <c r="P334" s="158"/>
      <c r="Q334" s="338"/>
      <c r="R334" s="81">
        <f t="shared" si="42"/>
        <v>0</v>
      </c>
      <c r="S334" s="258"/>
      <c r="T334" s="333"/>
      <c r="U334" s="158"/>
      <c r="V334" s="333"/>
      <c r="W334" s="158"/>
      <c r="X334" s="333"/>
      <c r="Y334" s="158"/>
      <c r="Z334" s="333"/>
      <c r="AA334" s="326"/>
      <c r="AB334" s="1004" t="str">
        <f t="shared" si="43"/>
        <v/>
      </c>
      <c r="AC334" s="1082" t="str">
        <f t="shared" si="44"/>
        <v/>
      </c>
      <c r="AD334" s="1077"/>
      <c r="AE334" s="1077"/>
      <c r="AF334" s="1084" t="str">
        <f t="shared" si="45"/>
        <v/>
      </c>
      <c r="AG334" s="1082" t="str">
        <f t="shared" si="46"/>
        <v/>
      </c>
      <c r="AH334" s="1091"/>
      <c r="AI334" s="1087"/>
      <c r="AJ334" s="1084" t="str">
        <f t="shared" si="47"/>
        <v/>
      </c>
      <c r="AK334" s="1083" t="str">
        <f t="shared" si="48"/>
        <v/>
      </c>
      <c r="AL334" s="211">
        <v>1800000</v>
      </c>
      <c r="AM334" s="211">
        <v>1800000</v>
      </c>
      <c r="AN334" s="211">
        <v>1800000</v>
      </c>
      <c r="AO334" s="211">
        <v>1800000</v>
      </c>
      <c r="AP334" s="211">
        <v>1800000</v>
      </c>
      <c r="AQ334" s="211">
        <v>1800000</v>
      </c>
      <c r="AR334" s="211"/>
      <c r="AS334" s="211"/>
      <c r="AT334" s="211"/>
      <c r="AU334" s="211"/>
      <c r="AV334" s="211"/>
      <c r="AW334" s="211"/>
      <c r="AX334" s="211"/>
      <c r="AY334" s="211"/>
      <c r="AZ334" s="211"/>
      <c r="BA334" s="211"/>
      <c r="BB334" s="211"/>
      <c r="BC334" s="211"/>
      <c r="BD334" s="333">
        <v>42422</v>
      </c>
      <c r="BE334" s="82">
        <f t="shared" si="49"/>
        <v>10800000</v>
      </c>
    </row>
    <row r="335" spans="2:57" ht="40.799999999999997" hidden="1" x14ac:dyDescent="0.3">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197">
        <f>+'Base de Datos'!I335</f>
        <v>31800000</v>
      </c>
      <c r="G335" s="196">
        <f>+'Base de Datos'!M335</f>
        <v>42186</v>
      </c>
      <c r="H335" s="196">
        <f>+'Base de Datos'!N335</f>
        <v>42370</v>
      </c>
      <c r="I335" s="196"/>
      <c r="J335" s="808">
        <v>15900000</v>
      </c>
      <c r="K335" s="333">
        <v>42368</v>
      </c>
      <c r="L335" s="211"/>
      <c r="M335" s="336"/>
      <c r="N335" s="158"/>
      <c r="O335" s="333"/>
      <c r="P335" s="158"/>
      <c r="Q335" s="338"/>
      <c r="R335" s="81">
        <f t="shared" si="42"/>
        <v>15900000</v>
      </c>
      <c r="S335" s="258" t="s">
        <v>379</v>
      </c>
      <c r="T335" s="333">
        <v>42461</v>
      </c>
      <c r="U335" s="158"/>
      <c r="V335" s="333"/>
      <c r="W335" s="158"/>
      <c r="X335" s="333"/>
      <c r="Y335" s="158"/>
      <c r="Z335" s="333"/>
      <c r="AA335" s="326"/>
      <c r="AB335" s="1004">
        <f t="shared" si="43"/>
        <v>42461</v>
      </c>
      <c r="AC335" s="1082" t="str">
        <f t="shared" si="44"/>
        <v/>
      </c>
      <c r="AD335" s="1077"/>
      <c r="AE335" s="1077"/>
      <c r="AF335" s="1084" t="str">
        <f t="shared" si="45"/>
        <v/>
      </c>
      <c r="AG335" s="1082" t="str">
        <f t="shared" si="46"/>
        <v/>
      </c>
      <c r="AH335" s="1091"/>
      <c r="AI335" s="1087"/>
      <c r="AJ335" s="1084" t="str">
        <f t="shared" si="47"/>
        <v/>
      </c>
      <c r="AK335" s="1083" t="str">
        <f t="shared" si="48"/>
        <v/>
      </c>
      <c r="AL335" s="211">
        <v>5300000</v>
      </c>
      <c r="AM335" s="211">
        <v>5300000</v>
      </c>
      <c r="AN335" s="211">
        <v>5300000</v>
      </c>
      <c r="AO335" s="211">
        <v>5300000</v>
      </c>
      <c r="AP335" s="211">
        <v>5300000</v>
      </c>
      <c r="AQ335" s="211">
        <v>5300000</v>
      </c>
      <c r="AR335" s="211">
        <v>5300000</v>
      </c>
      <c r="AS335" s="211">
        <v>5300000</v>
      </c>
      <c r="AT335" s="211">
        <v>5300000</v>
      </c>
      <c r="AU335" s="211"/>
      <c r="AV335" s="211"/>
      <c r="AW335" s="211"/>
      <c r="AX335" s="211"/>
      <c r="AY335" s="211"/>
      <c r="AZ335" s="211"/>
      <c r="BA335" s="211"/>
      <c r="BB335" s="211"/>
      <c r="BC335" s="211"/>
      <c r="BD335" s="333">
        <v>42487</v>
      </c>
      <c r="BE335" s="82">
        <f t="shared" si="49"/>
        <v>47700000</v>
      </c>
    </row>
    <row r="336" spans="2:57" ht="40.799999999999997" hidden="1" x14ac:dyDescent="0.3">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197">
        <f>+'Base de Datos'!I336</f>
        <v>10800000</v>
      </c>
      <c r="G336" s="196">
        <f>+'Base de Datos'!M336</f>
        <v>42186</v>
      </c>
      <c r="H336" s="196">
        <f>+'Base de Datos'!N336</f>
        <v>42370</v>
      </c>
      <c r="I336" s="196"/>
      <c r="J336" s="158"/>
      <c r="K336" s="333"/>
      <c r="L336" s="211"/>
      <c r="M336" s="336"/>
      <c r="N336" s="158"/>
      <c r="O336" s="333"/>
      <c r="P336" s="158"/>
      <c r="Q336" s="338"/>
      <c r="R336" s="81">
        <f t="shared" si="42"/>
        <v>0</v>
      </c>
      <c r="S336" s="258"/>
      <c r="T336" s="333"/>
      <c r="U336" s="158"/>
      <c r="V336" s="333"/>
      <c r="W336" s="158"/>
      <c r="X336" s="333"/>
      <c r="Y336" s="158"/>
      <c r="Z336" s="333"/>
      <c r="AA336" s="326"/>
      <c r="AB336" s="1004" t="str">
        <f t="shared" si="43"/>
        <v/>
      </c>
      <c r="AC336" s="1082" t="str">
        <f t="shared" si="44"/>
        <v/>
      </c>
      <c r="AD336" s="1077"/>
      <c r="AE336" s="1077"/>
      <c r="AF336" s="1084" t="str">
        <f t="shared" si="45"/>
        <v/>
      </c>
      <c r="AG336" s="1082" t="str">
        <f t="shared" si="46"/>
        <v/>
      </c>
      <c r="AH336" s="1091"/>
      <c r="AI336" s="1087"/>
      <c r="AJ336" s="1084" t="str">
        <f t="shared" si="47"/>
        <v/>
      </c>
      <c r="AK336" s="1083" t="str">
        <f t="shared" si="48"/>
        <v/>
      </c>
      <c r="AL336" s="211">
        <v>1800000</v>
      </c>
      <c r="AM336" s="211">
        <v>1800000</v>
      </c>
      <c r="AN336" s="211">
        <v>1800000</v>
      </c>
      <c r="AO336" s="211">
        <v>3600000</v>
      </c>
      <c r="AP336" s="211">
        <v>1800000</v>
      </c>
      <c r="AQ336" s="211"/>
      <c r="AR336" s="211"/>
      <c r="AS336" s="211"/>
      <c r="AT336" s="211"/>
      <c r="AU336" s="211"/>
      <c r="AV336" s="211"/>
      <c r="AW336" s="211"/>
      <c r="AX336" s="211"/>
      <c r="AY336" s="211"/>
      <c r="AZ336" s="211"/>
      <c r="BA336" s="211"/>
      <c r="BB336" s="211"/>
      <c r="BC336" s="211"/>
      <c r="BD336" s="333">
        <v>42360</v>
      </c>
      <c r="BE336" s="82">
        <f t="shared" si="49"/>
        <v>10800000</v>
      </c>
    </row>
    <row r="337" spans="2:57" ht="40.799999999999997" hidden="1" x14ac:dyDescent="0.3">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197">
        <f>+'Base de Datos'!I337</f>
        <v>31800000</v>
      </c>
      <c r="G337" s="196">
        <f>+'Base de Datos'!M337</f>
        <v>42186</v>
      </c>
      <c r="H337" s="196">
        <f>+'Base de Datos'!N337</f>
        <v>42370</v>
      </c>
      <c r="I337" s="196"/>
      <c r="J337" s="158"/>
      <c r="K337" s="333"/>
      <c r="L337" s="211"/>
      <c r="M337" s="336"/>
      <c r="N337" s="158"/>
      <c r="O337" s="333"/>
      <c r="P337" s="158"/>
      <c r="Q337" s="338"/>
      <c r="R337" s="81">
        <f t="shared" si="42"/>
        <v>0</v>
      </c>
      <c r="S337" s="258"/>
      <c r="T337" s="333"/>
      <c r="U337" s="158"/>
      <c r="V337" s="333"/>
      <c r="W337" s="158"/>
      <c r="X337" s="333"/>
      <c r="Y337" s="158"/>
      <c r="Z337" s="333"/>
      <c r="AA337" s="326"/>
      <c r="AB337" s="1004" t="str">
        <f t="shared" si="43"/>
        <v/>
      </c>
      <c r="AC337" s="1082" t="str">
        <f t="shared" si="44"/>
        <v/>
      </c>
      <c r="AD337" s="1077"/>
      <c r="AE337" s="1077"/>
      <c r="AF337" s="1084" t="str">
        <f t="shared" si="45"/>
        <v/>
      </c>
      <c r="AG337" s="1082" t="str">
        <f t="shared" si="46"/>
        <v/>
      </c>
      <c r="AH337" s="1091"/>
      <c r="AI337" s="1087"/>
      <c r="AJ337" s="1084" t="str">
        <f t="shared" si="47"/>
        <v/>
      </c>
      <c r="AK337" s="1083" t="str">
        <f t="shared" si="48"/>
        <v/>
      </c>
      <c r="AL337" s="211">
        <v>5300000</v>
      </c>
      <c r="AM337" s="211">
        <v>5300000</v>
      </c>
      <c r="AN337" s="211">
        <v>5300000</v>
      </c>
      <c r="AO337" s="211">
        <v>5300000</v>
      </c>
      <c r="AP337" s="211">
        <v>5300000</v>
      </c>
      <c r="AQ337" s="211">
        <v>5300000</v>
      </c>
      <c r="AR337" s="211"/>
      <c r="AS337" s="211"/>
      <c r="AT337" s="211"/>
      <c r="AU337" s="211"/>
      <c r="AV337" s="211"/>
      <c r="AW337" s="211"/>
      <c r="AX337" s="211"/>
      <c r="AY337" s="211"/>
      <c r="AZ337" s="211"/>
      <c r="BA337" s="211"/>
      <c r="BB337" s="211"/>
      <c r="BC337" s="211"/>
      <c r="BD337" s="333">
        <v>42585</v>
      </c>
      <c r="BE337" s="82">
        <f t="shared" si="49"/>
        <v>31800000</v>
      </c>
    </row>
    <row r="338" spans="2:57" ht="61.2" hidden="1" x14ac:dyDescent="0.3">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197">
        <f>+'Base de Datos'!I338</f>
        <v>52390000</v>
      </c>
      <c r="G338" s="196">
        <f>+'Base de Datos'!M338</f>
        <v>42200</v>
      </c>
      <c r="H338" s="196">
        <f>+'Base de Datos'!N338</f>
        <v>42475</v>
      </c>
      <c r="I338" s="196"/>
      <c r="J338" s="158"/>
      <c r="K338" s="333"/>
      <c r="L338" s="211"/>
      <c r="M338" s="336"/>
      <c r="N338" s="158"/>
      <c r="O338" s="333"/>
      <c r="P338" s="158"/>
      <c r="Q338" s="338"/>
      <c r="R338" s="81">
        <f t="shared" si="42"/>
        <v>0</v>
      </c>
      <c r="S338" s="258"/>
      <c r="T338" s="333"/>
      <c r="U338" s="158"/>
      <c r="V338" s="333"/>
      <c r="W338" s="158"/>
      <c r="X338" s="333"/>
      <c r="Y338" s="158"/>
      <c r="Z338" s="333"/>
      <c r="AA338" s="326"/>
      <c r="AB338" s="1004" t="str">
        <f t="shared" si="43"/>
        <v/>
      </c>
      <c r="AC338" s="1082" t="str">
        <f t="shared" si="44"/>
        <v/>
      </c>
      <c r="AD338" s="1077"/>
      <c r="AE338" s="1077"/>
      <c r="AF338" s="1084" t="str">
        <f t="shared" si="45"/>
        <v/>
      </c>
      <c r="AG338" s="1082" t="str">
        <f t="shared" si="46"/>
        <v/>
      </c>
      <c r="AH338" s="1091"/>
      <c r="AI338" s="1087"/>
      <c r="AJ338" s="1084" t="str">
        <f t="shared" si="47"/>
        <v/>
      </c>
      <c r="AK338" s="1083" t="str">
        <f t="shared" si="48"/>
        <v/>
      </c>
      <c r="AL338" s="211">
        <v>7660000</v>
      </c>
      <c r="AM338" s="211"/>
      <c r="AN338" s="211">
        <v>6774000</v>
      </c>
      <c r="AO338" s="211">
        <v>34732000</v>
      </c>
      <c r="AP338" s="211"/>
      <c r="AQ338" s="211"/>
      <c r="AR338" s="211"/>
      <c r="AS338" s="211"/>
      <c r="AT338" s="211"/>
      <c r="AU338" s="211"/>
      <c r="AV338" s="211"/>
      <c r="AW338" s="211"/>
      <c r="AX338" s="211"/>
      <c r="AY338" s="211"/>
      <c r="AZ338" s="211"/>
      <c r="BA338" s="211"/>
      <c r="BB338" s="211"/>
      <c r="BC338" s="211"/>
      <c r="BD338" s="333">
        <v>42528</v>
      </c>
      <c r="BE338" s="82">
        <f t="shared" si="49"/>
        <v>49166000</v>
      </c>
    </row>
    <row r="339" spans="2:57" ht="51" hidden="1" customHeight="1" x14ac:dyDescent="0.3">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197">
        <f>+'Base de Datos'!I339</f>
        <v>10800000</v>
      </c>
      <c r="G339" s="196">
        <f>+'Base de Datos'!M339</f>
        <v>42198</v>
      </c>
      <c r="H339" s="196">
        <f>+'Base de Datos'!N339</f>
        <v>42382</v>
      </c>
      <c r="I339" s="196"/>
      <c r="J339" s="158"/>
      <c r="K339" s="333"/>
      <c r="L339" s="211"/>
      <c r="M339" s="336"/>
      <c r="N339" s="158"/>
      <c r="O339" s="333"/>
      <c r="P339" s="158"/>
      <c r="Q339" s="338"/>
      <c r="R339" s="81">
        <f t="shared" si="42"/>
        <v>0</v>
      </c>
      <c r="S339" s="258"/>
      <c r="T339" s="333"/>
      <c r="U339" s="158"/>
      <c r="V339" s="333"/>
      <c r="W339" s="158"/>
      <c r="X339" s="333"/>
      <c r="Y339" s="158"/>
      <c r="Z339" s="333"/>
      <c r="AA339" s="326"/>
      <c r="AB339" s="1004" t="str">
        <f t="shared" si="43"/>
        <v/>
      </c>
      <c r="AC339" s="1082" t="str">
        <f t="shared" si="44"/>
        <v/>
      </c>
      <c r="AD339" s="1077"/>
      <c r="AE339" s="1077"/>
      <c r="AF339" s="1084" t="str">
        <f t="shared" si="45"/>
        <v/>
      </c>
      <c r="AG339" s="1082" t="str">
        <f t="shared" si="46"/>
        <v/>
      </c>
      <c r="AH339" s="1091"/>
      <c r="AI339" s="1087"/>
      <c r="AJ339" s="1084" t="str">
        <f t="shared" si="47"/>
        <v/>
      </c>
      <c r="AK339" s="1083" t="str">
        <f t="shared" si="48"/>
        <v/>
      </c>
      <c r="AL339" s="211">
        <v>1080000</v>
      </c>
      <c r="AM339" s="211">
        <v>1800000</v>
      </c>
      <c r="AN339" s="211">
        <v>1800000</v>
      </c>
      <c r="AO339" s="211"/>
      <c r="AP339" s="211"/>
      <c r="AQ339" s="211"/>
      <c r="AR339" s="211"/>
      <c r="AS339" s="211"/>
      <c r="AT339" s="211"/>
      <c r="AU339" s="211"/>
      <c r="AV339" s="211"/>
      <c r="AW339" s="211"/>
      <c r="AX339" s="211"/>
      <c r="AY339" s="211"/>
      <c r="AZ339" s="211"/>
      <c r="BA339" s="211"/>
      <c r="BB339" s="211"/>
      <c r="BC339" s="211"/>
      <c r="BD339" s="333">
        <v>42409</v>
      </c>
      <c r="BE339" s="82">
        <f t="shared" si="49"/>
        <v>4680000</v>
      </c>
    </row>
    <row r="340" spans="2:57" ht="20.399999999999999" hidden="1" x14ac:dyDescent="0.3">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197">
        <f>+'Base de Datos'!I340</f>
        <v>450880</v>
      </c>
      <c r="G340" s="196">
        <f>+'Base de Datos'!M340</f>
        <v>42219</v>
      </c>
      <c r="H340" s="196">
        <f>+'Base de Datos'!N340</f>
        <v>42311</v>
      </c>
      <c r="I340" s="196"/>
      <c r="J340" s="158"/>
      <c r="K340" s="333"/>
      <c r="L340" s="211"/>
      <c r="M340" s="336"/>
      <c r="N340" s="158"/>
      <c r="O340" s="333"/>
      <c r="P340" s="158"/>
      <c r="Q340" s="338"/>
      <c r="R340" s="81">
        <f t="shared" si="42"/>
        <v>0</v>
      </c>
      <c r="S340" s="258"/>
      <c r="T340" s="333"/>
      <c r="U340" s="158"/>
      <c r="V340" s="333"/>
      <c r="W340" s="158"/>
      <c r="X340" s="333"/>
      <c r="Y340" s="158"/>
      <c r="Z340" s="333"/>
      <c r="AA340" s="326"/>
      <c r="AB340" s="1004" t="str">
        <f t="shared" si="43"/>
        <v/>
      </c>
      <c r="AC340" s="1082" t="str">
        <f t="shared" si="44"/>
        <v/>
      </c>
      <c r="AD340" s="1077"/>
      <c r="AE340" s="1077"/>
      <c r="AF340" s="1084" t="str">
        <f t="shared" si="45"/>
        <v/>
      </c>
      <c r="AG340" s="1082" t="str">
        <f t="shared" si="46"/>
        <v/>
      </c>
      <c r="AH340" s="1091"/>
      <c r="AI340" s="1087"/>
      <c r="AJ340" s="1084" t="str">
        <f t="shared" si="47"/>
        <v/>
      </c>
      <c r="AK340" s="1083" t="str">
        <f t="shared" si="48"/>
        <v/>
      </c>
      <c r="AL340" s="211">
        <v>450880</v>
      </c>
      <c r="AM340" s="211"/>
      <c r="AN340" s="211"/>
      <c r="AO340" s="211"/>
      <c r="AP340" s="211"/>
      <c r="AQ340" s="211"/>
      <c r="AR340" s="211"/>
      <c r="AS340" s="211"/>
      <c r="AT340" s="211"/>
      <c r="AU340" s="211"/>
      <c r="AV340" s="211"/>
      <c r="AW340" s="211"/>
      <c r="AX340" s="211"/>
      <c r="AY340" s="211"/>
      <c r="AZ340" s="211"/>
      <c r="BA340" s="211"/>
      <c r="BB340" s="211"/>
      <c r="BC340" s="211"/>
      <c r="BD340" s="333">
        <v>42296</v>
      </c>
      <c r="BE340" s="82">
        <f t="shared" si="49"/>
        <v>450880</v>
      </c>
    </row>
    <row r="341" spans="2:57" ht="51" hidden="1" x14ac:dyDescent="0.3">
      <c r="B341" s="2" t="str">
        <f>+'Base de Datos'!E341</f>
        <v>150302-0-2015</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197">
        <f>+'Base de Datos'!I341</f>
        <v>186482674</v>
      </c>
      <c r="G341" s="196">
        <f>+'Base de Datos'!M341</f>
        <v>0</v>
      </c>
      <c r="H341" s="196">
        <f>+'Base de Datos'!N341</f>
        <v>0</v>
      </c>
      <c r="I341" s="196"/>
      <c r="J341" s="158">
        <v>18223304</v>
      </c>
      <c r="K341" s="333"/>
      <c r="L341" s="211"/>
      <c r="M341" s="336"/>
      <c r="N341" s="158"/>
      <c r="O341" s="333"/>
      <c r="P341" s="158"/>
      <c r="Q341" s="338"/>
      <c r="R341" s="81">
        <f t="shared" si="42"/>
        <v>18223304</v>
      </c>
      <c r="S341" s="258"/>
      <c r="T341" s="333"/>
      <c r="U341" s="158"/>
      <c r="V341" s="333"/>
      <c r="W341" s="158"/>
      <c r="X341" s="333"/>
      <c r="Y341" s="158"/>
      <c r="Z341" s="333"/>
      <c r="AA341" s="326"/>
      <c r="AB341" s="1004" t="str">
        <f t="shared" si="43"/>
        <v/>
      </c>
      <c r="AC341" s="1082" t="str">
        <f t="shared" si="44"/>
        <v/>
      </c>
      <c r="AD341" s="1077"/>
      <c r="AE341" s="1077"/>
      <c r="AF341" s="1084" t="str">
        <f t="shared" si="45"/>
        <v/>
      </c>
      <c r="AG341" s="1082" t="str">
        <f t="shared" si="46"/>
        <v/>
      </c>
      <c r="AH341" s="1091"/>
      <c r="AI341" s="1087"/>
      <c r="AJ341" s="1084" t="str">
        <f t="shared" si="47"/>
        <v/>
      </c>
      <c r="AK341" s="1083" t="str">
        <f t="shared" si="48"/>
        <v/>
      </c>
      <c r="AL341" s="211">
        <v>204705978</v>
      </c>
      <c r="AM341" s="211"/>
      <c r="AN341" s="211"/>
      <c r="AO341" s="211"/>
      <c r="AP341" s="211"/>
      <c r="AQ341" s="211"/>
      <c r="AR341" s="211"/>
      <c r="AS341" s="211"/>
      <c r="AT341" s="211"/>
      <c r="AU341" s="211"/>
      <c r="AV341" s="211"/>
      <c r="AW341" s="211"/>
      <c r="AX341" s="211"/>
      <c r="AY341" s="211"/>
      <c r="AZ341" s="211"/>
      <c r="BA341" s="211"/>
      <c r="BB341" s="211"/>
      <c r="BC341" s="211"/>
      <c r="BD341" s="333"/>
      <c r="BE341" s="82">
        <f t="shared" si="49"/>
        <v>204705978</v>
      </c>
    </row>
    <row r="342" spans="2:57" ht="71.400000000000006" hidden="1" x14ac:dyDescent="0.3">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197">
        <f>+'Base de Datos'!I342</f>
        <v>85933385</v>
      </c>
      <c r="G342" s="196">
        <f>+'Base de Datos'!M342</f>
        <v>42209</v>
      </c>
      <c r="H342" s="196">
        <f>+'Base de Datos'!N342</f>
        <v>42575</v>
      </c>
      <c r="I342" s="196"/>
      <c r="J342" s="158"/>
      <c r="K342" s="333"/>
      <c r="L342" s="211"/>
      <c r="M342" s="336"/>
      <c r="N342" s="158"/>
      <c r="O342" s="333"/>
      <c r="P342" s="158"/>
      <c r="Q342" s="338"/>
      <c r="R342" s="81">
        <f t="shared" si="42"/>
        <v>0</v>
      </c>
      <c r="S342" s="258"/>
      <c r="T342" s="333"/>
      <c r="U342" s="158"/>
      <c r="V342" s="333"/>
      <c r="W342" s="158"/>
      <c r="X342" s="333"/>
      <c r="Y342" s="158"/>
      <c r="Z342" s="333"/>
      <c r="AA342" s="326"/>
      <c r="AB342" s="1004" t="str">
        <f t="shared" si="43"/>
        <v/>
      </c>
      <c r="AC342" s="1082" t="str">
        <f t="shared" si="44"/>
        <v/>
      </c>
      <c r="AD342" s="1077"/>
      <c r="AE342" s="1077"/>
      <c r="AF342" s="1084" t="str">
        <f t="shared" si="45"/>
        <v/>
      </c>
      <c r="AG342" s="1082" t="str">
        <f t="shared" si="46"/>
        <v/>
      </c>
      <c r="AH342" s="1091"/>
      <c r="AI342" s="1087"/>
      <c r="AJ342" s="1084" t="str">
        <f t="shared" si="47"/>
        <v/>
      </c>
      <c r="AK342" s="1083" t="str">
        <f t="shared" si="48"/>
        <v/>
      </c>
      <c r="AL342" s="211">
        <v>18252496</v>
      </c>
      <c r="AM342" s="211">
        <v>18252496</v>
      </c>
      <c r="AN342" s="211">
        <v>24336661</v>
      </c>
      <c r="AO342" s="211">
        <v>19995579</v>
      </c>
      <c r="AP342" s="211"/>
      <c r="AQ342" s="211"/>
      <c r="AR342" s="211"/>
      <c r="AS342" s="211"/>
      <c r="AT342" s="211"/>
      <c r="AU342" s="211"/>
      <c r="AV342" s="211"/>
      <c r="AW342" s="211"/>
      <c r="AX342" s="211"/>
      <c r="AY342" s="211"/>
      <c r="AZ342" s="211"/>
      <c r="BA342" s="211"/>
      <c r="BB342" s="211"/>
      <c r="BC342" s="211"/>
      <c r="BD342" s="333">
        <v>42622</v>
      </c>
      <c r="BE342" s="82">
        <f t="shared" si="49"/>
        <v>80837232</v>
      </c>
    </row>
    <row r="343" spans="2:57" ht="40.799999999999997" hidden="1" x14ac:dyDescent="0.3">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197">
        <f>+'Base de Datos'!I343</f>
        <v>3608000</v>
      </c>
      <c r="G343" s="196">
        <f>+'Base de Datos'!M343</f>
        <v>42295</v>
      </c>
      <c r="H343" s="196">
        <f>+'Base de Datos'!N343</f>
        <v>42387</v>
      </c>
      <c r="I343" s="196"/>
      <c r="J343" s="158"/>
      <c r="K343" s="333"/>
      <c r="L343" s="211"/>
      <c r="M343" s="336"/>
      <c r="N343" s="158"/>
      <c r="O343" s="333"/>
      <c r="P343" s="158"/>
      <c r="Q343" s="338"/>
      <c r="R343" s="81">
        <f t="shared" si="42"/>
        <v>0</v>
      </c>
      <c r="S343" s="258"/>
      <c r="T343" s="333"/>
      <c r="U343" s="158"/>
      <c r="V343" s="333"/>
      <c r="W343" s="158"/>
      <c r="X343" s="333"/>
      <c r="Y343" s="158"/>
      <c r="Z343" s="333"/>
      <c r="AA343" s="326"/>
      <c r="AB343" s="1004" t="str">
        <f t="shared" si="43"/>
        <v/>
      </c>
      <c r="AC343" s="1082" t="str">
        <f t="shared" si="44"/>
        <v/>
      </c>
      <c r="AD343" s="1077"/>
      <c r="AE343" s="1077"/>
      <c r="AF343" s="1084" t="str">
        <f t="shared" si="45"/>
        <v/>
      </c>
      <c r="AG343" s="1082" t="str">
        <f t="shared" si="46"/>
        <v/>
      </c>
      <c r="AH343" s="1091"/>
      <c r="AI343" s="1087"/>
      <c r="AJ343" s="1084" t="str">
        <f t="shared" si="47"/>
        <v/>
      </c>
      <c r="AK343" s="1083" t="str">
        <f t="shared" si="48"/>
        <v/>
      </c>
      <c r="AL343" s="211">
        <v>3608000</v>
      </c>
      <c r="AM343" s="211"/>
      <c r="AN343" s="211"/>
      <c r="AO343" s="211"/>
      <c r="AP343" s="211"/>
      <c r="AQ343" s="211"/>
      <c r="AR343" s="211"/>
      <c r="AS343" s="211"/>
      <c r="AT343" s="211"/>
      <c r="AU343" s="211"/>
      <c r="AV343" s="211"/>
      <c r="AW343" s="211"/>
      <c r="AX343" s="211"/>
      <c r="AY343" s="211"/>
      <c r="AZ343" s="211"/>
      <c r="BA343" s="211"/>
      <c r="BB343" s="211"/>
      <c r="BC343" s="211"/>
      <c r="BD343" s="333"/>
      <c r="BE343" s="82">
        <f t="shared" si="49"/>
        <v>3608000</v>
      </c>
    </row>
    <row r="344" spans="2:57" ht="40.799999999999997" hidden="1" x14ac:dyDescent="0.3">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197">
        <f>+'Base de Datos'!I344</f>
        <v>715000</v>
      </c>
      <c r="G344" s="196">
        <f>+'Base de Datos'!M344</f>
        <v>42221</v>
      </c>
      <c r="H344" s="196">
        <f>+'Base de Datos'!N344</f>
        <v>42587</v>
      </c>
      <c r="I344" s="196"/>
      <c r="J344" s="158"/>
      <c r="K344" s="333"/>
      <c r="L344" s="211"/>
      <c r="M344" s="336"/>
      <c r="N344" s="158"/>
      <c r="O344" s="333"/>
      <c r="P344" s="158"/>
      <c r="Q344" s="338"/>
      <c r="R344" s="81">
        <f t="shared" si="42"/>
        <v>0</v>
      </c>
      <c r="S344" s="258"/>
      <c r="T344" s="333"/>
      <c r="U344" s="158"/>
      <c r="V344" s="333"/>
      <c r="W344" s="158"/>
      <c r="X344" s="333"/>
      <c r="Y344" s="158"/>
      <c r="Z344" s="333"/>
      <c r="AA344" s="326"/>
      <c r="AB344" s="1004" t="str">
        <f t="shared" si="43"/>
        <v/>
      </c>
      <c r="AC344" s="1082" t="str">
        <f t="shared" si="44"/>
        <v/>
      </c>
      <c r="AD344" s="1077"/>
      <c r="AE344" s="1077"/>
      <c r="AF344" s="1084" t="str">
        <f t="shared" si="45"/>
        <v/>
      </c>
      <c r="AG344" s="1082" t="str">
        <f t="shared" si="46"/>
        <v/>
      </c>
      <c r="AH344" s="1091"/>
      <c r="AI344" s="1087"/>
      <c r="AJ344" s="1084" t="str">
        <f t="shared" si="47"/>
        <v/>
      </c>
      <c r="AK344" s="1083" t="str">
        <f t="shared" si="48"/>
        <v/>
      </c>
      <c r="AL344" s="211">
        <v>715000</v>
      </c>
      <c r="AM344" s="211"/>
      <c r="AN344" s="211"/>
      <c r="AO344" s="211"/>
      <c r="AP344" s="211"/>
      <c r="AQ344" s="211"/>
      <c r="AR344" s="211"/>
      <c r="AS344" s="211"/>
      <c r="AT344" s="211"/>
      <c r="AU344" s="211"/>
      <c r="AV344" s="211"/>
      <c r="AW344" s="211"/>
      <c r="AX344" s="211"/>
      <c r="AY344" s="211"/>
      <c r="AZ344" s="211"/>
      <c r="BA344" s="211"/>
      <c r="BB344" s="211"/>
      <c r="BC344" s="211"/>
      <c r="BD344" s="333">
        <v>42293</v>
      </c>
      <c r="BE344" s="82">
        <f t="shared" si="49"/>
        <v>715000</v>
      </c>
    </row>
    <row r="345" spans="2:57" ht="20.399999999999999" hidden="1" x14ac:dyDescent="0.3">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197">
        <f>+'Base de Datos'!I345</f>
        <v>80041097</v>
      </c>
      <c r="G345" s="196">
        <f>+'Base de Datos'!M345</f>
        <v>42199</v>
      </c>
      <c r="H345" s="196">
        <f>+'Base de Datos'!N345</f>
        <v>42565</v>
      </c>
      <c r="I345" s="196"/>
      <c r="J345" s="158"/>
      <c r="K345" s="333"/>
      <c r="L345" s="211"/>
      <c r="M345" s="336"/>
      <c r="N345" s="158"/>
      <c r="O345" s="333"/>
      <c r="P345" s="158"/>
      <c r="Q345" s="338"/>
      <c r="R345" s="81">
        <f t="shared" si="42"/>
        <v>0</v>
      </c>
      <c r="S345" s="258"/>
      <c r="T345" s="333"/>
      <c r="U345" s="158"/>
      <c r="V345" s="333"/>
      <c r="W345" s="158"/>
      <c r="X345" s="333"/>
      <c r="Y345" s="158"/>
      <c r="Z345" s="333"/>
      <c r="AA345" s="326"/>
      <c r="AB345" s="1004" t="str">
        <f t="shared" si="43"/>
        <v/>
      </c>
      <c r="AC345" s="1082" t="str">
        <f t="shared" si="44"/>
        <v/>
      </c>
      <c r="AD345" s="1077"/>
      <c r="AE345" s="1077"/>
      <c r="AF345" s="1084" t="str">
        <f t="shared" si="45"/>
        <v/>
      </c>
      <c r="AG345" s="1082" t="str">
        <f t="shared" si="46"/>
        <v/>
      </c>
      <c r="AH345" s="1091"/>
      <c r="AI345" s="1087"/>
      <c r="AJ345" s="1084" t="str">
        <f t="shared" si="47"/>
        <v/>
      </c>
      <c r="AK345" s="1083" t="str">
        <f t="shared" si="48"/>
        <v/>
      </c>
      <c r="AL345" s="211">
        <v>40169576</v>
      </c>
      <c r="AM345" s="211">
        <v>5378534</v>
      </c>
      <c r="AN345" s="211">
        <v>5378534</v>
      </c>
      <c r="AO345" s="211">
        <v>5378534</v>
      </c>
      <c r="AP345" s="211">
        <v>5378534</v>
      </c>
      <c r="AQ345" s="211">
        <v>5378534</v>
      </c>
      <c r="AR345" s="211">
        <v>5378534</v>
      </c>
      <c r="AS345" s="211">
        <v>7600317</v>
      </c>
      <c r="AT345" s="211"/>
      <c r="AU345" s="211"/>
      <c r="AV345" s="211"/>
      <c r="AW345" s="211"/>
      <c r="AX345" s="211"/>
      <c r="AY345" s="211"/>
      <c r="AZ345" s="211"/>
      <c r="BA345" s="211"/>
      <c r="BB345" s="211"/>
      <c r="BC345" s="211"/>
      <c r="BD345" s="333">
        <v>42592</v>
      </c>
      <c r="BE345" s="82">
        <f t="shared" si="49"/>
        <v>80041097</v>
      </c>
    </row>
    <row r="346" spans="2:57" ht="30.6" hidden="1" x14ac:dyDescent="0.3">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197">
        <f>+'Base de Datos'!I346</f>
        <v>20136071</v>
      </c>
      <c r="G346" s="196">
        <f>+'Base de Datos'!M346</f>
        <v>42221</v>
      </c>
      <c r="H346" s="196">
        <f>+'Base de Datos'!N346</f>
        <v>42587</v>
      </c>
      <c r="I346" s="196"/>
      <c r="J346" s="158"/>
      <c r="K346" s="333"/>
      <c r="L346" s="211"/>
      <c r="M346" s="336"/>
      <c r="N346" s="158"/>
      <c r="O346" s="333"/>
      <c r="P346" s="158"/>
      <c r="Q346" s="338"/>
      <c r="R346" s="81">
        <f t="shared" si="42"/>
        <v>0</v>
      </c>
      <c r="S346" s="258"/>
      <c r="T346" s="333"/>
      <c r="U346" s="158"/>
      <c r="V346" s="333"/>
      <c r="W346" s="158"/>
      <c r="X346" s="333"/>
      <c r="Y346" s="158"/>
      <c r="Z346" s="333"/>
      <c r="AA346" s="326"/>
      <c r="AB346" s="1004" t="str">
        <f t="shared" si="43"/>
        <v/>
      </c>
      <c r="AC346" s="1082" t="str">
        <f t="shared" si="44"/>
        <v/>
      </c>
      <c r="AD346" s="1077"/>
      <c r="AE346" s="1077"/>
      <c r="AF346" s="1084" t="str">
        <f t="shared" si="45"/>
        <v/>
      </c>
      <c r="AG346" s="1082" t="str">
        <f t="shared" si="46"/>
        <v/>
      </c>
      <c r="AH346" s="1091"/>
      <c r="AI346" s="1087"/>
      <c r="AJ346" s="1084" t="str">
        <f t="shared" si="47"/>
        <v/>
      </c>
      <c r="AK346" s="1083" t="str">
        <f t="shared" si="48"/>
        <v/>
      </c>
      <c r="AL346" s="211">
        <v>8952790</v>
      </c>
      <c r="AM346" s="211">
        <v>1153272</v>
      </c>
      <c r="AN346" s="211">
        <v>833867</v>
      </c>
      <c r="AO346" s="211"/>
      <c r="AP346" s="211"/>
      <c r="AQ346" s="211"/>
      <c r="AR346" s="211"/>
      <c r="AS346" s="211"/>
      <c r="AT346" s="211"/>
      <c r="AU346" s="211"/>
      <c r="AV346" s="211"/>
      <c r="AW346" s="211"/>
      <c r="AX346" s="211"/>
      <c r="AY346" s="211"/>
      <c r="AZ346" s="211"/>
      <c r="BA346" s="211"/>
      <c r="BB346" s="211"/>
      <c r="BC346" s="211"/>
      <c r="BD346" s="333">
        <v>42711</v>
      </c>
      <c r="BE346" s="82">
        <f t="shared" si="49"/>
        <v>10939929</v>
      </c>
    </row>
    <row r="347" spans="2:57" ht="61.2" hidden="1" x14ac:dyDescent="0.3">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197">
        <f>+'Base de Datos'!I347</f>
        <v>213921490</v>
      </c>
      <c r="G347" s="196">
        <f>+'Base de Datos'!M347</f>
        <v>42250</v>
      </c>
      <c r="H347" s="196">
        <f>+'Base de Datos'!N347</f>
        <v>42524</v>
      </c>
      <c r="I347" s="196"/>
      <c r="J347" s="808">
        <v>41500000</v>
      </c>
      <c r="K347" s="333">
        <v>42368</v>
      </c>
      <c r="L347" s="211"/>
      <c r="M347" s="336"/>
      <c r="N347" s="158"/>
      <c r="O347" s="333"/>
      <c r="P347" s="158"/>
      <c r="Q347" s="338"/>
      <c r="R347" s="81">
        <f t="shared" si="42"/>
        <v>41500000</v>
      </c>
      <c r="S347" s="258"/>
      <c r="T347" s="333"/>
      <c r="U347" s="158"/>
      <c r="V347" s="333"/>
      <c r="W347" s="158"/>
      <c r="X347" s="333"/>
      <c r="Y347" s="158"/>
      <c r="Z347" s="333"/>
      <c r="AA347" s="326"/>
      <c r="AB347" s="1004" t="str">
        <f t="shared" si="43"/>
        <v/>
      </c>
      <c r="AC347" s="1082" t="str">
        <f t="shared" si="44"/>
        <v/>
      </c>
      <c r="AD347" s="1077"/>
      <c r="AE347" s="1077"/>
      <c r="AF347" s="1084" t="str">
        <f t="shared" si="45"/>
        <v/>
      </c>
      <c r="AG347" s="1082" t="str">
        <f t="shared" si="46"/>
        <v/>
      </c>
      <c r="AH347" s="1091"/>
      <c r="AI347" s="1087"/>
      <c r="AJ347" s="1084" t="str">
        <f t="shared" si="47"/>
        <v/>
      </c>
      <c r="AK347" s="1083" t="str">
        <f t="shared" si="48"/>
        <v/>
      </c>
      <c r="AL347" s="211">
        <v>16661195</v>
      </c>
      <c r="AM347" s="211">
        <v>77092479</v>
      </c>
      <c r="AN347" s="211">
        <v>47833328</v>
      </c>
      <c r="AO347" s="211">
        <v>24855590</v>
      </c>
      <c r="AP347" s="211">
        <v>15576095</v>
      </c>
      <c r="AQ347" s="211">
        <v>43975343</v>
      </c>
      <c r="AR347" s="211"/>
      <c r="AS347" s="211"/>
      <c r="AT347" s="211"/>
      <c r="AU347" s="211"/>
      <c r="AV347" s="211"/>
      <c r="AW347" s="211"/>
      <c r="AX347" s="211"/>
      <c r="AY347" s="211"/>
      <c r="AZ347" s="211"/>
      <c r="BA347" s="211"/>
      <c r="BB347" s="211"/>
      <c r="BC347" s="211"/>
      <c r="BD347" s="333">
        <v>42430</v>
      </c>
      <c r="BE347" s="82">
        <f t="shared" si="49"/>
        <v>225994030</v>
      </c>
    </row>
    <row r="348" spans="2:57" ht="20.399999999999999" hidden="1" x14ac:dyDescent="0.3">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197">
        <f>+'Base de Datos'!I348</f>
        <v>20880000</v>
      </c>
      <c r="G348" s="196">
        <f>+'Base de Datos'!M348</f>
        <v>42226</v>
      </c>
      <c r="H348" s="196">
        <f>+'Base de Datos'!N348</f>
        <v>42592</v>
      </c>
      <c r="I348" s="196"/>
      <c r="J348" s="158"/>
      <c r="K348" s="333"/>
      <c r="L348" s="211"/>
      <c r="M348" s="336"/>
      <c r="N348" s="158"/>
      <c r="O348" s="333"/>
      <c r="P348" s="158"/>
      <c r="Q348" s="338"/>
      <c r="R348" s="81">
        <f t="shared" si="42"/>
        <v>0</v>
      </c>
      <c r="S348" s="258"/>
      <c r="T348" s="333"/>
      <c r="U348" s="158"/>
      <c r="V348" s="333"/>
      <c r="W348" s="158"/>
      <c r="X348" s="333"/>
      <c r="Y348" s="158"/>
      <c r="Z348" s="333"/>
      <c r="AA348" s="326"/>
      <c r="AB348" s="1004" t="str">
        <f t="shared" si="43"/>
        <v/>
      </c>
      <c r="AC348" s="1082" t="str">
        <f t="shared" si="44"/>
        <v/>
      </c>
      <c r="AD348" s="1077"/>
      <c r="AE348" s="1077"/>
      <c r="AF348" s="1084" t="str">
        <f t="shared" si="45"/>
        <v/>
      </c>
      <c r="AG348" s="1082" t="str">
        <f t="shared" si="46"/>
        <v/>
      </c>
      <c r="AH348" s="1091"/>
      <c r="AI348" s="1087"/>
      <c r="AJ348" s="1084" t="str">
        <f t="shared" si="47"/>
        <v/>
      </c>
      <c r="AK348" s="1083" t="str">
        <f t="shared" si="48"/>
        <v/>
      </c>
      <c r="AL348" s="211">
        <v>20880000</v>
      </c>
      <c r="AM348" s="211"/>
      <c r="AN348" s="211"/>
      <c r="AO348" s="211"/>
      <c r="AP348" s="211"/>
      <c r="AQ348" s="211"/>
      <c r="AR348" s="211"/>
      <c r="AS348" s="211"/>
      <c r="AT348" s="211"/>
      <c r="AU348" s="211"/>
      <c r="AV348" s="211"/>
      <c r="AW348" s="211"/>
      <c r="AX348" s="211"/>
      <c r="AY348" s="211"/>
      <c r="AZ348" s="211"/>
      <c r="BA348" s="211"/>
      <c r="BB348" s="211"/>
      <c r="BC348" s="211"/>
      <c r="BD348" s="333">
        <v>42562</v>
      </c>
      <c r="BE348" s="82">
        <f t="shared" si="49"/>
        <v>20880000</v>
      </c>
    </row>
    <row r="349" spans="2:57" ht="20.399999999999999" hidden="1" x14ac:dyDescent="0.3">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197">
        <f>+'Base de Datos'!I349</f>
        <v>812000</v>
      </c>
      <c r="G349" s="196">
        <f>+'Base de Datos'!M349</f>
        <v>42235</v>
      </c>
      <c r="H349" s="196">
        <f>+'Base de Datos'!N349</f>
        <v>42265</v>
      </c>
      <c r="I349" s="196"/>
      <c r="J349" s="158"/>
      <c r="K349" s="333"/>
      <c r="L349" s="211"/>
      <c r="M349" s="336"/>
      <c r="N349" s="158"/>
      <c r="O349" s="333"/>
      <c r="P349" s="158"/>
      <c r="Q349" s="338"/>
      <c r="R349" s="81">
        <f t="shared" si="42"/>
        <v>0</v>
      </c>
      <c r="S349" s="258"/>
      <c r="T349" s="333"/>
      <c r="U349" s="158"/>
      <c r="V349" s="333"/>
      <c r="W349" s="158"/>
      <c r="X349" s="333"/>
      <c r="Y349" s="158"/>
      <c r="Z349" s="333"/>
      <c r="AA349" s="326"/>
      <c r="AB349" s="1004" t="str">
        <f t="shared" si="43"/>
        <v/>
      </c>
      <c r="AC349" s="1082" t="str">
        <f t="shared" si="44"/>
        <v/>
      </c>
      <c r="AD349" s="1077"/>
      <c r="AE349" s="1077"/>
      <c r="AF349" s="1084" t="str">
        <f t="shared" si="45"/>
        <v/>
      </c>
      <c r="AG349" s="1082" t="str">
        <f t="shared" si="46"/>
        <v/>
      </c>
      <c r="AH349" s="1091"/>
      <c r="AI349" s="1087"/>
      <c r="AJ349" s="1084" t="str">
        <f t="shared" si="47"/>
        <v/>
      </c>
      <c r="AK349" s="1083" t="str">
        <f t="shared" si="48"/>
        <v/>
      </c>
      <c r="AL349" s="211">
        <v>812000</v>
      </c>
      <c r="AM349" s="211"/>
      <c r="AN349" s="211"/>
      <c r="AO349" s="211"/>
      <c r="AP349" s="211"/>
      <c r="AQ349" s="211"/>
      <c r="AR349" s="211"/>
      <c r="AS349" s="211"/>
      <c r="AT349" s="211"/>
      <c r="AU349" s="211"/>
      <c r="AV349" s="211"/>
      <c r="AW349" s="211"/>
      <c r="AX349" s="211"/>
      <c r="AY349" s="211"/>
      <c r="AZ349" s="211"/>
      <c r="BA349" s="211"/>
      <c r="BB349" s="211"/>
      <c r="BC349" s="211"/>
      <c r="BD349" s="333">
        <v>42290</v>
      </c>
      <c r="BE349" s="82">
        <f t="shared" si="49"/>
        <v>812000</v>
      </c>
    </row>
    <row r="350" spans="2:57" ht="20.399999999999999" hidden="1" x14ac:dyDescent="0.3">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197">
        <f>+'Base de Datos'!I350</f>
        <v>936000</v>
      </c>
      <c r="G350" s="196">
        <f>+'Base de Datos'!M350</f>
        <v>42261</v>
      </c>
      <c r="H350" s="196">
        <f>+'Base de Datos'!N350</f>
        <v>42627</v>
      </c>
      <c r="I350" s="196"/>
      <c r="J350" s="158"/>
      <c r="K350" s="333"/>
      <c r="L350" s="211"/>
      <c r="M350" s="336"/>
      <c r="N350" s="158"/>
      <c r="O350" s="333"/>
      <c r="P350" s="158"/>
      <c r="Q350" s="338"/>
      <c r="R350" s="81">
        <f t="shared" si="42"/>
        <v>0</v>
      </c>
      <c r="S350" s="258"/>
      <c r="T350" s="333"/>
      <c r="U350" s="158"/>
      <c r="V350" s="333"/>
      <c r="W350" s="158"/>
      <c r="X350" s="333"/>
      <c r="Y350" s="158"/>
      <c r="Z350" s="333"/>
      <c r="AA350" s="326"/>
      <c r="AB350" s="1004" t="str">
        <f t="shared" si="43"/>
        <v/>
      </c>
      <c r="AC350" s="1082" t="str">
        <f t="shared" si="44"/>
        <v/>
      </c>
      <c r="AD350" s="1077"/>
      <c r="AE350" s="1077"/>
      <c r="AF350" s="1084" t="str">
        <f t="shared" si="45"/>
        <v/>
      </c>
      <c r="AG350" s="1082" t="str">
        <f t="shared" si="46"/>
        <v/>
      </c>
      <c r="AH350" s="1091"/>
      <c r="AI350" s="1087"/>
      <c r="AJ350" s="1084" t="str">
        <f t="shared" si="47"/>
        <v/>
      </c>
      <c r="AK350" s="1083" t="str">
        <f t="shared" si="48"/>
        <v/>
      </c>
      <c r="AL350" s="211">
        <v>936000</v>
      </c>
      <c r="AM350" s="211"/>
      <c r="AN350" s="211"/>
      <c r="AO350" s="211"/>
      <c r="AP350" s="211"/>
      <c r="AQ350" s="211"/>
      <c r="AR350" s="211"/>
      <c r="AS350" s="211"/>
      <c r="AT350" s="211"/>
      <c r="AU350" s="211"/>
      <c r="AV350" s="211"/>
      <c r="AW350" s="211"/>
      <c r="AX350" s="211"/>
      <c r="AY350" s="211"/>
      <c r="AZ350" s="211"/>
      <c r="BA350" s="211"/>
      <c r="BB350" s="211"/>
      <c r="BC350" s="211"/>
      <c r="BD350" s="333">
        <v>42293</v>
      </c>
      <c r="BE350" s="82">
        <f t="shared" si="49"/>
        <v>936000</v>
      </c>
    </row>
    <row r="351" spans="2:57" hidden="1" x14ac:dyDescent="0.3">
      <c r="B351" s="2" t="str">
        <f>+'Base de Datos'!E351</f>
        <v>150321-0-2015</v>
      </c>
      <c r="C351" s="2" t="str">
        <f>+'Base de Datos'!F351</f>
        <v>BUSINESSMIND COLOMBIA SA</v>
      </c>
      <c r="D351" s="2" t="str">
        <f>+'Base de Datos'!G351</f>
        <v>900105979-1</v>
      </c>
      <c r="E351" s="2" t="str">
        <f>+'Base de Datos'!H351</f>
        <v>Adquisión de la licencia TOAD para el Concejo de Bogotá.</v>
      </c>
      <c r="F351" s="197">
        <f>+'Base de Datos'!I351</f>
        <v>31577404</v>
      </c>
      <c r="G351" s="196">
        <f>+'Base de Datos'!M351</f>
        <v>42221</v>
      </c>
      <c r="H351" s="196">
        <f>+'Base de Datos'!N351</f>
        <v>42282</v>
      </c>
      <c r="I351" s="196"/>
      <c r="J351" s="158"/>
      <c r="K351" s="333"/>
      <c r="L351" s="211"/>
      <c r="M351" s="336"/>
      <c r="N351" s="158"/>
      <c r="O351" s="333"/>
      <c r="P351" s="158"/>
      <c r="Q351" s="338"/>
      <c r="R351" s="81">
        <f t="shared" si="42"/>
        <v>0</v>
      </c>
      <c r="S351" s="258"/>
      <c r="T351" s="333"/>
      <c r="U351" s="158"/>
      <c r="V351" s="333"/>
      <c r="W351" s="158"/>
      <c r="X351" s="333"/>
      <c r="Y351" s="158"/>
      <c r="Z351" s="333"/>
      <c r="AA351" s="326"/>
      <c r="AB351" s="1004" t="str">
        <f t="shared" si="43"/>
        <v/>
      </c>
      <c r="AC351" s="1082" t="str">
        <f t="shared" si="44"/>
        <v/>
      </c>
      <c r="AD351" s="1077"/>
      <c r="AE351" s="1077"/>
      <c r="AF351" s="1084" t="str">
        <f t="shared" si="45"/>
        <v/>
      </c>
      <c r="AG351" s="1082" t="str">
        <f t="shared" si="46"/>
        <v/>
      </c>
      <c r="AH351" s="1091"/>
      <c r="AI351" s="1087"/>
      <c r="AJ351" s="1084" t="str">
        <f t="shared" si="47"/>
        <v/>
      </c>
      <c r="AK351" s="1083" t="str">
        <f t="shared" si="48"/>
        <v/>
      </c>
      <c r="AL351" s="211">
        <v>31577404</v>
      </c>
      <c r="AM351" s="211"/>
      <c r="AN351" s="211"/>
      <c r="AO351" s="211"/>
      <c r="AP351" s="211"/>
      <c r="AQ351" s="211"/>
      <c r="AR351" s="211"/>
      <c r="AS351" s="211"/>
      <c r="AT351" s="211"/>
      <c r="AU351" s="211"/>
      <c r="AV351" s="211"/>
      <c r="AW351" s="211"/>
      <c r="AX351" s="211"/>
      <c r="AY351" s="211"/>
      <c r="AZ351" s="211"/>
      <c r="BA351" s="211"/>
      <c r="BB351" s="211"/>
      <c r="BC351" s="211"/>
      <c r="BD351" s="333"/>
      <c r="BE351" s="82">
        <f t="shared" si="49"/>
        <v>31577404</v>
      </c>
    </row>
    <row r="352" spans="2:57" ht="51" hidden="1" x14ac:dyDescent="0.3">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197">
        <f>+'Base de Datos'!I352</f>
        <v>14917500</v>
      </c>
      <c r="G352" s="196">
        <f>+'Base de Datos'!M352</f>
        <v>42247</v>
      </c>
      <c r="H352" s="196">
        <f>+'Base de Datos'!N352</f>
        <v>42551</v>
      </c>
      <c r="I352" s="196"/>
      <c r="J352" s="158"/>
      <c r="K352" s="333"/>
      <c r="L352" s="211"/>
      <c r="M352" s="336"/>
      <c r="N352" s="158"/>
      <c r="O352" s="333"/>
      <c r="P352" s="158"/>
      <c r="Q352" s="338"/>
      <c r="R352" s="81">
        <f t="shared" si="42"/>
        <v>0</v>
      </c>
      <c r="S352" s="258" t="s">
        <v>381</v>
      </c>
      <c r="T352" s="333">
        <v>42582</v>
      </c>
      <c r="U352" s="158" t="s">
        <v>381</v>
      </c>
      <c r="V352" s="333">
        <v>42613</v>
      </c>
      <c r="W352" s="158" t="s">
        <v>381</v>
      </c>
      <c r="X352" s="333">
        <v>42643</v>
      </c>
      <c r="Y352" s="158" t="s">
        <v>2710</v>
      </c>
      <c r="Z352" s="333">
        <v>42689</v>
      </c>
      <c r="AA352" s="326" t="s">
        <v>2868</v>
      </c>
      <c r="AB352" s="1004">
        <f t="shared" si="43"/>
        <v>42689</v>
      </c>
      <c r="AC352" s="1082" t="str">
        <f t="shared" si="44"/>
        <v/>
      </c>
      <c r="AD352" s="1077"/>
      <c r="AE352" s="1077"/>
      <c r="AF352" s="1084" t="str">
        <f t="shared" si="45"/>
        <v/>
      </c>
      <c r="AG352" s="1082" t="str">
        <f t="shared" si="46"/>
        <v/>
      </c>
      <c r="AH352" s="1091"/>
      <c r="AI352" s="1087"/>
      <c r="AJ352" s="1084" t="str">
        <f t="shared" si="47"/>
        <v/>
      </c>
      <c r="AK352" s="1083" t="str">
        <f t="shared" si="48"/>
        <v/>
      </c>
      <c r="AL352" s="211">
        <v>2983500</v>
      </c>
      <c r="AM352" s="211">
        <v>1491750</v>
      </c>
      <c r="AN352" s="211">
        <v>2983499</v>
      </c>
      <c r="AO352" s="211">
        <v>1491750</v>
      </c>
      <c r="AP352" s="211">
        <v>4475249</v>
      </c>
      <c r="AQ352" s="211">
        <v>1491752</v>
      </c>
      <c r="AR352" s="211"/>
      <c r="AS352" s="211"/>
      <c r="AT352" s="211"/>
      <c r="AU352" s="211"/>
      <c r="AV352" s="211"/>
      <c r="AW352" s="211"/>
      <c r="AX352" s="211"/>
      <c r="AY352" s="211"/>
      <c r="AZ352" s="211"/>
      <c r="BA352" s="211"/>
      <c r="BB352" s="211"/>
      <c r="BC352" s="211"/>
      <c r="BD352" s="333">
        <v>43307</v>
      </c>
      <c r="BE352" s="82">
        <f t="shared" si="49"/>
        <v>14917500</v>
      </c>
    </row>
    <row r="353" spans="2:57" ht="30.6" hidden="1" x14ac:dyDescent="0.3">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197">
        <f>+'Base de Datos'!I353</f>
        <v>880500</v>
      </c>
      <c r="G353" s="196">
        <f>+'Base de Datos'!M353</f>
        <v>42262</v>
      </c>
      <c r="H353" s="196">
        <f>+'Base de Datos'!N353</f>
        <v>42628</v>
      </c>
      <c r="I353" s="196"/>
      <c r="J353" s="158"/>
      <c r="K353" s="333"/>
      <c r="L353" s="211"/>
      <c r="M353" s="336"/>
      <c r="N353" s="158"/>
      <c r="O353" s="333"/>
      <c r="P353" s="158"/>
      <c r="Q353" s="338"/>
      <c r="R353" s="81">
        <f t="shared" si="42"/>
        <v>0</v>
      </c>
      <c r="S353" s="258"/>
      <c r="T353" s="333"/>
      <c r="U353" s="158"/>
      <c r="V353" s="333"/>
      <c r="W353" s="158"/>
      <c r="X353" s="333"/>
      <c r="Y353" s="158"/>
      <c r="Z353" s="333"/>
      <c r="AA353" s="326"/>
      <c r="AB353" s="1004" t="str">
        <f t="shared" si="43"/>
        <v/>
      </c>
      <c r="AC353" s="1082" t="str">
        <f t="shared" si="44"/>
        <v/>
      </c>
      <c r="AD353" s="1077"/>
      <c r="AE353" s="1077"/>
      <c r="AF353" s="1084" t="str">
        <f t="shared" si="45"/>
        <v/>
      </c>
      <c r="AG353" s="1082" t="str">
        <f t="shared" si="46"/>
        <v/>
      </c>
      <c r="AH353" s="1091"/>
      <c r="AI353" s="1087"/>
      <c r="AJ353" s="1084" t="str">
        <f t="shared" si="47"/>
        <v/>
      </c>
      <c r="AK353" s="1083" t="str">
        <f t="shared" si="48"/>
        <v/>
      </c>
      <c r="AL353" s="211">
        <v>880500</v>
      </c>
      <c r="AM353" s="211"/>
      <c r="AN353" s="211"/>
      <c r="AO353" s="211"/>
      <c r="AP353" s="211"/>
      <c r="AQ353" s="211"/>
      <c r="AR353" s="211"/>
      <c r="AS353" s="211"/>
      <c r="AT353" s="211"/>
      <c r="AU353" s="211"/>
      <c r="AV353" s="211"/>
      <c r="AW353" s="211"/>
      <c r="AX353" s="211"/>
      <c r="AY353" s="211"/>
      <c r="AZ353" s="211"/>
      <c r="BA353" s="211"/>
      <c r="BB353" s="211"/>
      <c r="BC353" s="211"/>
      <c r="BD353" s="333">
        <v>42303</v>
      </c>
      <c r="BE353" s="82">
        <f t="shared" si="49"/>
        <v>880500</v>
      </c>
    </row>
    <row r="354" spans="2:57" ht="35.25" hidden="1" customHeight="1" x14ac:dyDescent="0.3">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197">
        <f>+'Base de Datos'!I354</f>
        <v>5000000</v>
      </c>
      <c r="G354" s="196">
        <f>+'Base de Datos'!M354</f>
        <v>42244</v>
      </c>
      <c r="H354" s="196">
        <f>+'Base de Datos'!N354</f>
        <v>42549</v>
      </c>
      <c r="I354" s="196"/>
      <c r="J354" s="158"/>
      <c r="K354" s="333"/>
      <c r="L354" s="211"/>
      <c r="M354" s="336"/>
      <c r="N354" s="158"/>
      <c r="O354" s="333"/>
      <c r="P354" s="158"/>
      <c r="Q354" s="338"/>
      <c r="R354" s="81">
        <f t="shared" si="42"/>
        <v>0</v>
      </c>
      <c r="S354" s="258" t="s">
        <v>378</v>
      </c>
      <c r="T354" s="333">
        <v>42610</v>
      </c>
      <c r="U354" s="158"/>
      <c r="V354" s="333"/>
      <c r="W354" s="158"/>
      <c r="X354" s="333"/>
      <c r="Y354" s="158"/>
      <c r="Z354" s="333"/>
      <c r="AA354" s="326" t="s">
        <v>378</v>
      </c>
      <c r="AB354" s="1004">
        <f t="shared" si="43"/>
        <v>42610</v>
      </c>
      <c r="AC354" s="1082" t="str">
        <f t="shared" si="44"/>
        <v/>
      </c>
      <c r="AD354" s="1077"/>
      <c r="AE354" s="1077"/>
      <c r="AF354" s="1084" t="str">
        <f t="shared" si="45"/>
        <v/>
      </c>
      <c r="AG354" s="1082" t="str">
        <f t="shared" si="46"/>
        <v/>
      </c>
      <c r="AH354" s="1091"/>
      <c r="AI354" s="1087"/>
      <c r="AJ354" s="1084" t="str">
        <f t="shared" si="47"/>
        <v/>
      </c>
      <c r="AK354" s="1083" t="str">
        <f t="shared" si="48"/>
        <v/>
      </c>
      <c r="AL354" s="211">
        <v>3448399</v>
      </c>
      <c r="AM354" s="211"/>
      <c r="AN354" s="211"/>
      <c r="AO354" s="211"/>
      <c r="AP354" s="211"/>
      <c r="AQ354" s="211"/>
      <c r="AR354" s="211"/>
      <c r="AS354" s="211"/>
      <c r="AT354" s="211"/>
      <c r="AU354" s="211"/>
      <c r="AV354" s="211"/>
      <c r="AW354" s="211"/>
      <c r="AX354" s="211"/>
      <c r="AY354" s="211"/>
      <c r="AZ354" s="211"/>
      <c r="BA354" s="211"/>
      <c r="BB354" s="211"/>
      <c r="BC354" s="211"/>
      <c r="BD354" s="333">
        <v>42906</v>
      </c>
      <c r="BE354" s="82">
        <f t="shared" si="49"/>
        <v>3448399</v>
      </c>
    </row>
    <row r="355" spans="2:57" ht="20.399999999999999" hidden="1" x14ac:dyDescent="0.3">
      <c r="B355" s="2" t="str">
        <f>+'Base de Datos'!E355</f>
        <v>150342-0-2015</v>
      </c>
      <c r="C355" s="2" t="str">
        <f>+'Base de Datos'!F355</f>
        <v>PUBLICACIONES SEMANA S.A.</v>
      </c>
      <c r="D355" s="2">
        <f>+'Base de Datos'!G355</f>
        <v>860509265</v>
      </c>
      <c r="E355" s="2" t="str">
        <f>+'Base de Datos'!H355</f>
        <v>Suscripción  a LA REVISTA SEMANA, para el Concejo de Bogotá D.C.</v>
      </c>
      <c r="F355" s="197">
        <f>+'Base de Datos'!I355</f>
        <v>825000</v>
      </c>
      <c r="G355" s="196">
        <f>+'Base de Datos'!M355</f>
        <v>42278</v>
      </c>
      <c r="H355" s="196">
        <f>+'Base de Datos'!N355</f>
        <v>42644</v>
      </c>
      <c r="I355" s="196"/>
      <c r="J355" s="158"/>
      <c r="K355" s="333"/>
      <c r="L355" s="211"/>
      <c r="M355" s="336"/>
      <c r="N355" s="158"/>
      <c r="O355" s="333"/>
      <c r="P355" s="158"/>
      <c r="Q355" s="338"/>
      <c r="R355" s="81">
        <f t="shared" si="42"/>
        <v>0</v>
      </c>
      <c r="S355" s="258"/>
      <c r="T355" s="333"/>
      <c r="U355" s="158"/>
      <c r="V355" s="333"/>
      <c r="W355" s="158"/>
      <c r="X355" s="333"/>
      <c r="Y355" s="158"/>
      <c r="Z355" s="333"/>
      <c r="AA355" s="326"/>
      <c r="AB355" s="1004" t="str">
        <f t="shared" si="43"/>
        <v/>
      </c>
      <c r="AC355" s="1082" t="str">
        <f t="shared" si="44"/>
        <v/>
      </c>
      <c r="AD355" s="1077"/>
      <c r="AE355" s="1077"/>
      <c r="AF355" s="1084" t="str">
        <f t="shared" si="45"/>
        <v/>
      </c>
      <c r="AG355" s="1082" t="str">
        <f t="shared" si="46"/>
        <v/>
      </c>
      <c r="AH355" s="1091"/>
      <c r="AI355" s="1087"/>
      <c r="AJ355" s="1084" t="str">
        <f t="shared" si="47"/>
        <v/>
      </c>
      <c r="AK355" s="1083" t="str">
        <f t="shared" si="48"/>
        <v/>
      </c>
      <c r="AL355" s="211">
        <v>825000</v>
      </c>
      <c r="AM355" s="211"/>
      <c r="AN355" s="211"/>
      <c r="AO355" s="211"/>
      <c r="AP355" s="211"/>
      <c r="AQ355" s="211"/>
      <c r="AR355" s="211"/>
      <c r="AS355" s="211"/>
      <c r="AT355" s="211"/>
      <c r="AU355" s="211"/>
      <c r="AV355" s="211"/>
      <c r="AW355" s="211"/>
      <c r="AX355" s="211"/>
      <c r="AY355" s="211"/>
      <c r="AZ355" s="211"/>
      <c r="BA355" s="211"/>
      <c r="BB355" s="211"/>
      <c r="BC355" s="211"/>
      <c r="BD355" s="333">
        <v>42338</v>
      </c>
      <c r="BE355" s="82">
        <f t="shared" si="49"/>
        <v>825000</v>
      </c>
    </row>
    <row r="356" spans="2:57" ht="70.5" hidden="1" customHeight="1" x14ac:dyDescent="0.3">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197">
        <f>+'Base de Datos'!I356</f>
        <v>382091582</v>
      </c>
      <c r="G356" s="196">
        <f>+'Base de Datos'!M356</f>
        <v>42261</v>
      </c>
      <c r="H356" s="196">
        <f>+'Base de Datos'!N356</f>
        <v>42565</v>
      </c>
      <c r="I356" s="196"/>
      <c r="J356" s="158">
        <v>103612275</v>
      </c>
      <c r="K356" s="333">
        <v>42565</v>
      </c>
      <c r="L356" s="211">
        <v>32870759</v>
      </c>
      <c r="M356" s="336">
        <v>42657</v>
      </c>
      <c r="N356" s="158"/>
      <c r="O356" s="333"/>
      <c r="P356" s="158"/>
      <c r="Q356" s="338"/>
      <c r="R356" s="81">
        <f t="shared" si="42"/>
        <v>136483034</v>
      </c>
      <c r="S356" s="258" t="s">
        <v>379</v>
      </c>
      <c r="T356" s="333">
        <v>42657</v>
      </c>
      <c r="U356" s="158" t="s">
        <v>381</v>
      </c>
      <c r="V356" s="333">
        <v>42688</v>
      </c>
      <c r="W356" s="158"/>
      <c r="X356" s="333"/>
      <c r="Y356" s="158"/>
      <c r="Z356" s="333"/>
      <c r="AA356" s="326" t="s">
        <v>380</v>
      </c>
      <c r="AB356" s="1004">
        <f t="shared" si="43"/>
        <v>42688</v>
      </c>
      <c r="AC356" s="1082" t="str">
        <f t="shared" si="44"/>
        <v/>
      </c>
      <c r="AD356" s="1077"/>
      <c r="AE356" s="1077"/>
      <c r="AF356" s="1084" t="str">
        <f t="shared" si="45"/>
        <v/>
      </c>
      <c r="AG356" s="1082" t="str">
        <f t="shared" si="46"/>
        <v/>
      </c>
      <c r="AH356" s="1091"/>
      <c r="AI356" s="1087"/>
      <c r="AJ356" s="1084" t="str">
        <f t="shared" si="47"/>
        <v/>
      </c>
      <c r="AK356" s="1083" t="str">
        <f t="shared" si="48"/>
        <v/>
      </c>
      <c r="AL356" s="815">
        <v>21214654</v>
      </c>
      <c r="AM356" s="815">
        <v>318900</v>
      </c>
      <c r="AN356" s="815">
        <v>23785858</v>
      </c>
      <c r="AO356" s="815">
        <v>26280465</v>
      </c>
      <c r="AP356" s="815">
        <v>187198</v>
      </c>
      <c r="AQ356" s="211">
        <v>21616961</v>
      </c>
      <c r="AR356" s="211">
        <v>24394714</v>
      </c>
      <c r="AS356" s="211">
        <v>208800</v>
      </c>
      <c r="AT356" s="211">
        <v>27319793</v>
      </c>
      <c r="AU356" s="211">
        <v>39606916</v>
      </c>
      <c r="AV356" s="211">
        <v>26191770</v>
      </c>
      <c r="AW356" s="211">
        <v>494856</v>
      </c>
      <c r="AX356" s="211">
        <v>521722</v>
      </c>
      <c r="AY356" s="211">
        <v>29144780</v>
      </c>
      <c r="AZ356" s="211">
        <v>70326212</v>
      </c>
      <c r="BA356" s="211">
        <v>307632</v>
      </c>
      <c r="BB356" s="211">
        <v>2850294</v>
      </c>
      <c r="BC356" s="211">
        <f>509472+29305521+29072545+3211593+7993092+18732853+439427+4744204+39651313</f>
        <v>133660020</v>
      </c>
      <c r="BD356" s="333">
        <v>42684</v>
      </c>
      <c r="BE356" s="82">
        <f t="shared" si="49"/>
        <v>448431545</v>
      </c>
    </row>
    <row r="357" spans="2:57" ht="40.799999999999997" hidden="1" x14ac:dyDescent="0.3">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197">
        <f>+'Base de Datos'!I357</f>
        <v>33000000</v>
      </c>
      <c r="G357" s="196">
        <f>+'Base de Datos'!M357</f>
        <v>42249</v>
      </c>
      <c r="H357" s="196">
        <f>+'Base de Datos'!N357</f>
        <v>42431</v>
      </c>
      <c r="I357" s="196"/>
      <c r="J357" s="158"/>
      <c r="K357" s="333"/>
      <c r="L357" s="211"/>
      <c r="M357" s="336"/>
      <c r="N357" s="158"/>
      <c r="O357" s="333"/>
      <c r="P357" s="158"/>
      <c r="Q357" s="338"/>
      <c r="R357" s="81">
        <f t="shared" si="42"/>
        <v>0</v>
      </c>
      <c r="S357" s="258"/>
      <c r="T357" s="333"/>
      <c r="U357" s="158"/>
      <c r="V357" s="333"/>
      <c r="W357" s="158"/>
      <c r="X357" s="333"/>
      <c r="Y357" s="158"/>
      <c r="Z357" s="333"/>
      <c r="AA357" s="326"/>
      <c r="AB357" s="1004" t="str">
        <f t="shared" si="43"/>
        <v/>
      </c>
      <c r="AC357" s="1082" t="str">
        <f t="shared" si="44"/>
        <v/>
      </c>
      <c r="AD357" s="1077"/>
      <c r="AE357" s="1077"/>
      <c r="AF357" s="1084" t="str">
        <f t="shared" si="45"/>
        <v/>
      </c>
      <c r="AG357" s="1082" t="str">
        <f t="shared" si="46"/>
        <v/>
      </c>
      <c r="AH357" s="1091"/>
      <c r="AI357" s="1087"/>
      <c r="AJ357" s="1084" t="str">
        <f t="shared" si="47"/>
        <v/>
      </c>
      <c r="AK357" s="1083" t="str">
        <f t="shared" si="48"/>
        <v/>
      </c>
      <c r="AL357" s="211">
        <v>5316666</v>
      </c>
      <c r="AM357" s="211">
        <v>5500000</v>
      </c>
      <c r="AN357" s="211">
        <v>5500000</v>
      </c>
      <c r="AO357" s="211">
        <v>5500000</v>
      </c>
      <c r="AP357" s="211">
        <v>5500000</v>
      </c>
      <c r="AQ357" s="211">
        <v>5500000</v>
      </c>
      <c r="AR357" s="211">
        <v>183334</v>
      </c>
      <c r="AS357" s="211"/>
      <c r="AT357" s="211"/>
      <c r="AU357" s="211"/>
      <c r="AV357" s="211"/>
      <c r="AW357" s="211"/>
      <c r="AX357" s="211"/>
      <c r="AY357" s="211"/>
      <c r="AZ357" s="211"/>
      <c r="BA357" s="211"/>
      <c r="BB357" s="211"/>
      <c r="BC357" s="211"/>
      <c r="BD357" s="333">
        <v>42440</v>
      </c>
      <c r="BE357" s="82">
        <f t="shared" si="49"/>
        <v>33000000</v>
      </c>
    </row>
    <row r="358" spans="2:57" ht="30.6" hidden="1" x14ac:dyDescent="0.3">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197">
        <f>+'Base de Datos'!I358</f>
        <v>19141000</v>
      </c>
      <c r="G358" s="196">
        <f>+'Base de Datos'!M358</f>
        <v>42262</v>
      </c>
      <c r="H358" s="196">
        <f>+'Base de Datos'!N358</f>
        <v>42384</v>
      </c>
      <c r="I358" s="196"/>
      <c r="J358" s="158"/>
      <c r="K358" s="333"/>
      <c r="L358" s="211"/>
      <c r="M358" s="336"/>
      <c r="N358" s="158"/>
      <c r="O358" s="333"/>
      <c r="P358" s="158"/>
      <c r="Q358" s="338"/>
      <c r="R358" s="81">
        <f t="shared" si="42"/>
        <v>0</v>
      </c>
      <c r="S358" s="258"/>
      <c r="T358" s="333"/>
      <c r="U358" s="158"/>
      <c r="V358" s="333"/>
      <c r="W358" s="158"/>
      <c r="X358" s="333"/>
      <c r="Y358" s="158"/>
      <c r="Z358" s="333"/>
      <c r="AA358" s="326"/>
      <c r="AB358" s="1004" t="str">
        <f t="shared" si="43"/>
        <v/>
      </c>
      <c r="AC358" s="1082" t="str">
        <f t="shared" si="44"/>
        <v/>
      </c>
      <c r="AD358" s="1077"/>
      <c r="AE358" s="1077"/>
      <c r="AF358" s="1084" t="str">
        <f t="shared" si="45"/>
        <v/>
      </c>
      <c r="AG358" s="1082" t="str">
        <f t="shared" si="46"/>
        <v/>
      </c>
      <c r="AH358" s="1091"/>
      <c r="AI358" s="1087"/>
      <c r="AJ358" s="1084" t="str">
        <f t="shared" si="47"/>
        <v/>
      </c>
      <c r="AK358" s="1083" t="str">
        <f t="shared" si="48"/>
        <v/>
      </c>
      <c r="AL358" s="211">
        <v>19140398</v>
      </c>
      <c r="AM358" s="211"/>
      <c r="AN358" s="211"/>
      <c r="AO358" s="211"/>
      <c r="AP358" s="211"/>
      <c r="AQ358" s="211"/>
      <c r="AR358" s="211"/>
      <c r="AS358" s="211"/>
      <c r="AT358" s="211"/>
      <c r="AU358" s="211"/>
      <c r="AV358" s="211"/>
      <c r="AW358" s="211"/>
      <c r="AX358" s="211"/>
      <c r="AY358" s="211"/>
      <c r="AZ358" s="211"/>
      <c r="BA358" s="211"/>
      <c r="BB358" s="211"/>
      <c r="BC358" s="211"/>
      <c r="BD358" s="333"/>
      <c r="BE358" s="82">
        <f t="shared" si="49"/>
        <v>19140398</v>
      </c>
    </row>
    <row r="359" spans="2:57" hidden="1" x14ac:dyDescent="0.3">
      <c r="B359" s="2" t="str">
        <f>+'Base de Datos'!E359</f>
        <v>150340-0-2015</v>
      </c>
      <c r="C359" s="2" t="str">
        <f>+'Base de Datos'!F359</f>
        <v>RICOH COLOMBIA S.A.</v>
      </c>
      <c r="D359" s="2">
        <f>+'Base de Datos'!G359</f>
        <v>800026212</v>
      </c>
      <c r="E359" s="2" t="str">
        <f>+'Base de Datos'!H359</f>
        <v>Adquirir el software Equitrac, para el Concejo de Bogotá.</v>
      </c>
      <c r="F359" s="197">
        <f>+'Base de Datos'!I359</f>
        <v>72727824</v>
      </c>
      <c r="G359" s="196">
        <f>+'Base de Datos'!M359</f>
        <v>42244</v>
      </c>
      <c r="H359" s="196">
        <f>+'Base de Datos'!N359</f>
        <v>42305</v>
      </c>
      <c r="I359" s="196"/>
      <c r="J359" s="158"/>
      <c r="K359" s="333"/>
      <c r="L359" s="211"/>
      <c r="M359" s="336"/>
      <c r="N359" s="158"/>
      <c r="O359" s="333"/>
      <c r="P359" s="158"/>
      <c r="Q359" s="338"/>
      <c r="R359" s="81">
        <f t="shared" si="42"/>
        <v>0</v>
      </c>
      <c r="S359" s="258"/>
      <c r="T359" s="333"/>
      <c r="U359" s="158"/>
      <c r="V359" s="333"/>
      <c r="W359" s="158"/>
      <c r="X359" s="333"/>
      <c r="Y359" s="158"/>
      <c r="Z359" s="333"/>
      <c r="AA359" s="326"/>
      <c r="AB359" s="1004" t="str">
        <f t="shared" si="43"/>
        <v/>
      </c>
      <c r="AC359" s="1082" t="str">
        <f t="shared" si="44"/>
        <v/>
      </c>
      <c r="AD359" s="1077"/>
      <c r="AE359" s="1077"/>
      <c r="AF359" s="1084" t="str">
        <f t="shared" si="45"/>
        <v/>
      </c>
      <c r="AG359" s="1082" t="str">
        <f t="shared" si="46"/>
        <v/>
      </c>
      <c r="AH359" s="1091"/>
      <c r="AI359" s="1087"/>
      <c r="AJ359" s="1084" t="str">
        <f t="shared" si="47"/>
        <v/>
      </c>
      <c r="AK359" s="1083" t="str">
        <f t="shared" si="48"/>
        <v/>
      </c>
      <c r="AL359" s="211">
        <v>72727824</v>
      </c>
      <c r="AM359" s="211"/>
      <c r="AN359" s="211"/>
      <c r="AO359" s="211"/>
      <c r="AP359" s="211"/>
      <c r="AQ359" s="211"/>
      <c r="AR359" s="211"/>
      <c r="AS359" s="211"/>
      <c r="AT359" s="211"/>
      <c r="AU359" s="211"/>
      <c r="AV359" s="211"/>
      <c r="AW359" s="211"/>
      <c r="AX359" s="211"/>
      <c r="AY359" s="211"/>
      <c r="AZ359" s="211"/>
      <c r="BA359" s="211"/>
      <c r="BB359" s="211"/>
      <c r="BC359" s="211"/>
      <c r="BD359" s="333"/>
      <c r="BE359" s="82">
        <f t="shared" si="49"/>
        <v>72727824</v>
      </c>
    </row>
    <row r="360" spans="2:57" ht="61.2" hidden="1" x14ac:dyDescent="0.3">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197">
        <f>+'Base de Datos'!I360</f>
        <v>154954934</v>
      </c>
      <c r="G360" s="196">
        <f>+'Base de Datos'!M360</f>
        <v>42293</v>
      </c>
      <c r="H360" s="196">
        <f>+'Base de Datos'!N360</f>
        <v>42659</v>
      </c>
      <c r="I360" s="196"/>
      <c r="J360" s="158">
        <v>77477467</v>
      </c>
      <c r="K360" s="333">
        <v>42635</v>
      </c>
      <c r="L360" s="211"/>
      <c r="M360" s="336"/>
      <c r="N360" s="158"/>
      <c r="O360" s="333"/>
      <c r="P360" s="158"/>
      <c r="Q360" s="338"/>
      <c r="R360" s="81">
        <f t="shared" si="42"/>
        <v>77477467</v>
      </c>
      <c r="S360" s="258" t="s">
        <v>382</v>
      </c>
      <c r="T360" s="333">
        <v>42841</v>
      </c>
      <c r="U360" s="158"/>
      <c r="V360" s="333"/>
      <c r="W360" s="158"/>
      <c r="X360" s="333"/>
      <c r="Y360" s="158"/>
      <c r="Z360" s="333"/>
      <c r="AA360" s="326" t="s">
        <v>382</v>
      </c>
      <c r="AB360" s="1004">
        <f t="shared" si="43"/>
        <v>42841</v>
      </c>
      <c r="AC360" s="1082" t="str">
        <f t="shared" si="44"/>
        <v/>
      </c>
      <c r="AD360" s="1077"/>
      <c r="AE360" s="1077"/>
      <c r="AF360" s="1084" t="str">
        <f t="shared" si="45"/>
        <v/>
      </c>
      <c r="AG360" s="1082" t="str">
        <f t="shared" si="46"/>
        <v/>
      </c>
      <c r="AH360" s="1091"/>
      <c r="AI360" s="1087"/>
      <c r="AJ360" s="1084" t="str">
        <f t="shared" si="47"/>
        <v/>
      </c>
      <c r="AK360" s="1083" t="str">
        <f t="shared" si="48"/>
        <v/>
      </c>
      <c r="AL360" s="211">
        <v>25825822</v>
      </c>
      <c r="AM360" s="211"/>
      <c r="AN360" s="211">
        <v>25825822</v>
      </c>
      <c r="AO360" s="211">
        <v>25825822</v>
      </c>
      <c r="AP360" s="211">
        <v>25825822</v>
      </c>
      <c r="AQ360" s="211">
        <v>25825822</v>
      </c>
      <c r="AR360" s="211">
        <v>25825822</v>
      </c>
      <c r="AS360" s="211">
        <v>25825822</v>
      </c>
      <c r="AT360" s="211">
        <v>25825822</v>
      </c>
      <c r="AU360" s="211">
        <v>25825822</v>
      </c>
      <c r="AV360" s="211"/>
      <c r="AW360" s="211"/>
      <c r="AX360" s="211"/>
      <c r="AY360" s="211"/>
      <c r="AZ360" s="211"/>
      <c r="BA360" s="211"/>
      <c r="BB360" s="211"/>
      <c r="BC360" s="211"/>
      <c r="BD360" s="333">
        <v>42940</v>
      </c>
      <c r="BE360" s="82">
        <f t="shared" si="49"/>
        <v>232432398</v>
      </c>
    </row>
    <row r="361" spans="2:57" ht="40.799999999999997" hidden="1" x14ac:dyDescent="0.3">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197">
        <f>+'Base de Datos'!I361</f>
        <v>28805000</v>
      </c>
      <c r="G361" s="196">
        <f>+'Base de Datos'!M361</f>
        <v>42296</v>
      </c>
      <c r="H361" s="196">
        <f>+'Base de Datos'!N361</f>
        <v>42662</v>
      </c>
      <c r="I361" s="196"/>
      <c r="J361" s="158"/>
      <c r="K361" s="333"/>
      <c r="L361" s="211"/>
      <c r="M361" s="336"/>
      <c r="N361" s="158"/>
      <c r="O361" s="333"/>
      <c r="P361" s="158"/>
      <c r="Q361" s="338"/>
      <c r="R361" s="81">
        <f t="shared" si="42"/>
        <v>0</v>
      </c>
      <c r="S361" s="820" t="s">
        <v>2730</v>
      </c>
      <c r="T361" s="333">
        <v>42735</v>
      </c>
      <c r="U361" s="158"/>
      <c r="V361" s="333"/>
      <c r="W361" s="158"/>
      <c r="X361" s="333"/>
      <c r="Y361" s="158"/>
      <c r="Z361" s="333"/>
      <c r="AA361" s="326" t="s">
        <v>2731</v>
      </c>
      <c r="AB361" s="1004">
        <f t="shared" si="43"/>
        <v>42735</v>
      </c>
      <c r="AC361" s="1082" t="str">
        <f t="shared" si="44"/>
        <v/>
      </c>
      <c r="AD361" s="1077"/>
      <c r="AE361" s="1077"/>
      <c r="AF361" s="1084" t="str">
        <f t="shared" si="45"/>
        <v/>
      </c>
      <c r="AG361" s="1082" t="str">
        <f t="shared" si="46"/>
        <v/>
      </c>
      <c r="AH361" s="1091"/>
      <c r="AI361" s="1087"/>
      <c r="AJ361" s="1084" t="str">
        <f t="shared" si="47"/>
        <v/>
      </c>
      <c r="AK361" s="1083" t="str">
        <f t="shared" si="48"/>
        <v/>
      </c>
      <c r="AL361" s="211">
        <v>1275001</v>
      </c>
      <c r="AM361" s="211">
        <v>534501</v>
      </c>
      <c r="AN361" s="211">
        <v>1533685</v>
      </c>
      <c r="AO361" s="211">
        <v>887564</v>
      </c>
      <c r="AP361" s="211">
        <f>930001+212500</f>
        <v>1142501</v>
      </c>
      <c r="AQ361" s="211">
        <v>932500</v>
      </c>
      <c r="AR361" s="211">
        <v>754548</v>
      </c>
      <c r="AS361" s="211">
        <v>1131502</v>
      </c>
      <c r="AT361" s="211">
        <v>1340582</v>
      </c>
      <c r="AU361" s="211">
        <v>1264481</v>
      </c>
      <c r="AV361" s="211">
        <v>1497884</v>
      </c>
      <c r="AW361" s="211"/>
      <c r="AX361" s="211"/>
      <c r="AY361" s="211"/>
      <c r="AZ361" s="211"/>
      <c r="BA361" s="211"/>
      <c r="BB361" s="211"/>
      <c r="BC361" s="211"/>
      <c r="BD361" s="333">
        <v>42794</v>
      </c>
      <c r="BE361" s="82">
        <f t="shared" si="49"/>
        <v>12294749</v>
      </c>
    </row>
    <row r="362" spans="2:57" ht="30.6" hidden="1" x14ac:dyDescent="0.3">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197">
        <f>+'Base de Datos'!I362</f>
        <v>6000000</v>
      </c>
      <c r="G362" s="196">
        <f>+'Base de Datos'!M362</f>
        <v>42291</v>
      </c>
      <c r="H362" s="196">
        <f>+'Base de Datos'!N362</f>
        <v>42352</v>
      </c>
      <c r="I362" s="196"/>
      <c r="J362" s="158"/>
      <c r="K362" s="333"/>
      <c r="L362" s="211"/>
      <c r="M362" s="336"/>
      <c r="N362" s="158"/>
      <c r="O362" s="333"/>
      <c r="P362" s="158"/>
      <c r="Q362" s="338"/>
      <c r="R362" s="81">
        <f t="shared" si="42"/>
        <v>0</v>
      </c>
      <c r="S362" s="258"/>
      <c r="T362" s="333"/>
      <c r="U362" s="158"/>
      <c r="V362" s="333"/>
      <c r="W362" s="158"/>
      <c r="X362" s="333"/>
      <c r="Y362" s="158"/>
      <c r="Z362" s="333"/>
      <c r="AA362" s="326"/>
      <c r="AB362" s="1004" t="str">
        <f t="shared" si="43"/>
        <v/>
      </c>
      <c r="AC362" s="1082" t="str">
        <f t="shared" si="44"/>
        <v/>
      </c>
      <c r="AD362" s="1077"/>
      <c r="AE362" s="1077"/>
      <c r="AF362" s="1084" t="str">
        <f t="shared" si="45"/>
        <v/>
      </c>
      <c r="AG362" s="1082" t="str">
        <f t="shared" si="46"/>
        <v/>
      </c>
      <c r="AH362" s="1091"/>
      <c r="AI362" s="1087"/>
      <c r="AJ362" s="1084" t="str">
        <f t="shared" si="47"/>
        <v/>
      </c>
      <c r="AK362" s="1083" t="str">
        <f t="shared" si="48"/>
        <v/>
      </c>
      <c r="AL362" s="211">
        <v>5999890</v>
      </c>
      <c r="AM362" s="211"/>
      <c r="AN362" s="211"/>
      <c r="AO362" s="211"/>
      <c r="AP362" s="211"/>
      <c r="AQ362" s="211"/>
      <c r="AR362" s="211"/>
      <c r="AS362" s="211"/>
      <c r="AT362" s="211"/>
      <c r="AU362" s="211"/>
      <c r="AV362" s="211"/>
      <c r="AW362" s="211"/>
      <c r="AX362" s="211"/>
      <c r="AY362" s="211"/>
      <c r="AZ362" s="211"/>
      <c r="BA362" s="211"/>
      <c r="BB362" s="211"/>
      <c r="BC362" s="211"/>
      <c r="BD362" s="333"/>
      <c r="BE362" s="82">
        <f t="shared" si="49"/>
        <v>5999890</v>
      </c>
    </row>
    <row r="363" spans="2:57" ht="20.399999999999999" hidden="1" x14ac:dyDescent="0.3">
      <c r="B363" s="2" t="str">
        <f>+'Base de Datos'!E363</f>
        <v>150363-0-2015</v>
      </c>
      <c r="C363" s="2" t="str">
        <f>+'Base de Datos'!F363</f>
        <v>EDITORIAL EL GLOBO S.A.</v>
      </c>
      <c r="D363" s="2">
        <f>+'Base de Datos'!G363</f>
        <v>860009759</v>
      </c>
      <c r="E363" s="2" t="str">
        <f>+'Base de Datos'!H363</f>
        <v>Suscripción al diario La República para el Concejo de Bogotá D.C.</v>
      </c>
      <c r="F363" s="197">
        <f>+'Base de Datos'!I363</f>
        <v>764100</v>
      </c>
      <c r="G363" s="196">
        <f>+'Base de Datos'!M363</f>
        <v>42336</v>
      </c>
      <c r="H363" s="196">
        <f>+'Base de Datos'!N363</f>
        <v>42702</v>
      </c>
      <c r="I363" s="196"/>
      <c r="J363" s="158"/>
      <c r="K363" s="333"/>
      <c r="L363" s="211"/>
      <c r="M363" s="336"/>
      <c r="N363" s="158"/>
      <c r="O363" s="333"/>
      <c r="P363" s="158"/>
      <c r="Q363" s="338"/>
      <c r="R363" s="81">
        <f t="shared" si="42"/>
        <v>0</v>
      </c>
      <c r="S363" s="258"/>
      <c r="T363" s="333"/>
      <c r="U363" s="158"/>
      <c r="V363" s="333"/>
      <c r="W363" s="158"/>
      <c r="X363" s="333"/>
      <c r="Y363" s="158"/>
      <c r="Z363" s="333"/>
      <c r="AA363" s="326"/>
      <c r="AB363" s="1004" t="str">
        <f t="shared" si="43"/>
        <v/>
      </c>
      <c r="AC363" s="1082" t="str">
        <f t="shared" si="44"/>
        <v/>
      </c>
      <c r="AD363" s="1077"/>
      <c r="AE363" s="1077"/>
      <c r="AF363" s="1084" t="str">
        <f t="shared" si="45"/>
        <v/>
      </c>
      <c r="AG363" s="1082" t="str">
        <f t="shared" si="46"/>
        <v/>
      </c>
      <c r="AH363" s="1091"/>
      <c r="AI363" s="1087"/>
      <c r="AJ363" s="1084" t="str">
        <f t="shared" si="47"/>
        <v/>
      </c>
      <c r="AK363" s="1083" t="str">
        <f t="shared" si="48"/>
        <v/>
      </c>
      <c r="AL363" s="211">
        <v>764100</v>
      </c>
      <c r="AM363" s="211"/>
      <c r="AN363" s="211"/>
      <c r="AO363" s="211"/>
      <c r="AP363" s="211"/>
      <c r="AQ363" s="211"/>
      <c r="AR363" s="211"/>
      <c r="AS363" s="211"/>
      <c r="AT363" s="211"/>
      <c r="AU363" s="211"/>
      <c r="AV363" s="211"/>
      <c r="AW363" s="211"/>
      <c r="AX363" s="211"/>
      <c r="AY363" s="211"/>
      <c r="AZ363" s="211"/>
      <c r="BA363" s="211"/>
      <c r="BB363" s="211"/>
      <c r="BC363" s="211"/>
      <c r="BD363" s="333">
        <v>42356</v>
      </c>
      <c r="BE363" s="82">
        <f t="shared" si="49"/>
        <v>764100</v>
      </c>
    </row>
    <row r="364" spans="2:57" ht="30.6" hidden="1" x14ac:dyDescent="0.3">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197">
        <f>+'Base de Datos'!I364</f>
        <v>6660000</v>
      </c>
      <c r="G364" s="196">
        <f>+'Base de Datos'!M364</f>
        <v>42303</v>
      </c>
      <c r="H364" s="196">
        <f>+'Base de Datos'!N364</f>
        <v>42364</v>
      </c>
      <c r="I364" s="196"/>
      <c r="J364" s="158"/>
      <c r="K364" s="333"/>
      <c r="L364" s="211"/>
      <c r="M364" s="336"/>
      <c r="N364" s="158"/>
      <c r="O364" s="333"/>
      <c r="P364" s="158"/>
      <c r="Q364" s="338"/>
      <c r="R364" s="81">
        <f t="shared" si="42"/>
        <v>0</v>
      </c>
      <c r="S364" s="258"/>
      <c r="T364" s="333"/>
      <c r="U364" s="158"/>
      <c r="V364" s="333"/>
      <c r="W364" s="158"/>
      <c r="X364" s="333"/>
      <c r="Y364" s="158"/>
      <c r="Z364" s="333"/>
      <c r="AA364" s="326"/>
      <c r="AB364" s="1004" t="str">
        <f t="shared" si="43"/>
        <v/>
      </c>
      <c r="AC364" s="1082" t="str">
        <f t="shared" si="44"/>
        <v/>
      </c>
      <c r="AD364" s="1077"/>
      <c r="AE364" s="1077"/>
      <c r="AF364" s="1084" t="str">
        <f t="shared" si="45"/>
        <v/>
      </c>
      <c r="AG364" s="1082" t="str">
        <f t="shared" si="46"/>
        <v/>
      </c>
      <c r="AH364" s="1091"/>
      <c r="AI364" s="1087"/>
      <c r="AJ364" s="1084" t="str">
        <f t="shared" si="47"/>
        <v/>
      </c>
      <c r="AK364" s="1083" t="str">
        <f t="shared" si="48"/>
        <v/>
      </c>
      <c r="AL364" s="211">
        <v>6600000</v>
      </c>
      <c r="AM364" s="211"/>
      <c r="AN364" s="211"/>
      <c r="AO364" s="211"/>
      <c r="AP364" s="211"/>
      <c r="AQ364" s="211"/>
      <c r="AR364" s="211"/>
      <c r="AS364" s="211"/>
      <c r="AT364" s="211"/>
      <c r="AU364" s="211"/>
      <c r="AV364" s="211"/>
      <c r="AW364" s="211"/>
      <c r="AX364" s="211"/>
      <c r="AY364" s="211"/>
      <c r="AZ364" s="211"/>
      <c r="BA364" s="211"/>
      <c r="BB364" s="211"/>
      <c r="BC364" s="211"/>
      <c r="BD364" s="333">
        <v>42408</v>
      </c>
      <c r="BE364" s="82">
        <f t="shared" si="49"/>
        <v>6600000</v>
      </c>
    </row>
    <row r="365" spans="2:57" ht="40.799999999999997" hidden="1" x14ac:dyDescent="0.3">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197">
        <f>+'Base de Datos'!I365</f>
        <v>436914000</v>
      </c>
      <c r="G365" s="196">
        <f>+'Base de Datos'!M365</f>
        <v>42362</v>
      </c>
      <c r="H365" s="196">
        <f>+'Base de Datos'!N365</f>
        <v>42605</v>
      </c>
      <c r="I365" s="196"/>
      <c r="J365" s="158"/>
      <c r="K365" s="333"/>
      <c r="L365" s="211"/>
      <c r="M365" s="336"/>
      <c r="N365" s="158"/>
      <c r="O365" s="333"/>
      <c r="P365" s="158"/>
      <c r="Q365" s="338"/>
      <c r="R365" s="81">
        <f t="shared" si="42"/>
        <v>0</v>
      </c>
      <c r="S365" s="258" t="s">
        <v>378</v>
      </c>
      <c r="T365" s="333">
        <v>42666</v>
      </c>
      <c r="U365" s="158" t="s">
        <v>2699</v>
      </c>
      <c r="V365" s="333">
        <v>42704</v>
      </c>
      <c r="W365" s="158"/>
      <c r="X365" s="333"/>
      <c r="Y365" s="158"/>
      <c r="Z365" s="333"/>
      <c r="AA365" s="326" t="s">
        <v>2700</v>
      </c>
      <c r="AB365" s="1004">
        <f t="shared" si="43"/>
        <v>42704</v>
      </c>
      <c r="AC365" s="1082" t="str">
        <f t="shared" si="44"/>
        <v/>
      </c>
      <c r="AD365" s="1077"/>
      <c r="AE365" s="1077"/>
      <c r="AF365" s="1084" t="str">
        <f t="shared" si="45"/>
        <v/>
      </c>
      <c r="AG365" s="1082" t="str">
        <f t="shared" si="46"/>
        <v/>
      </c>
      <c r="AH365" s="1091"/>
      <c r="AI365" s="1087"/>
      <c r="AJ365" s="1084" t="str">
        <f t="shared" si="47"/>
        <v/>
      </c>
      <c r="AK365" s="1083" t="str">
        <f t="shared" si="48"/>
        <v/>
      </c>
      <c r="AL365" s="211">
        <v>93855600</v>
      </c>
      <c r="AM365" s="211">
        <v>61851200</v>
      </c>
      <c r="AN365" s="211">
        <v>59693600</v>
      </c>
      <c r="AO365" s="211"/>
      <c r="AP365" s="211">
        <v>54659200</v>
      </c>
      <c r="AQ365" s="211">
        <v>32364000</v>
      </c>
      <c r="AR365" s="211">
        <v>44950000</v>
      </c>
      <c r="AS365" s="211">
        <v>43871200</v>
      </c>
      <c r="AT365" s="211">
        <v>15822400</v>
      </c>
      <c r="AU365" s="211">
        <v>29846800</v>
      </c>
      <c r="AV365" s="211"/>
      <c r="AW365" s="211"/>
      <c r="AX365" s="211"/>
      <c r="AY365" s="211"/>
      <c r="AZ365" s="211"/>
      <c r="BA365" s="211"/>
      <c r="BB365" s="211"/>
      <c r="BC365" s="211"/>
      <c r="BD365" s="333">
        <v>42716</v>
      </c>
      <c r="BE365" s="82">
        <f t="shared" si="49"/>
        <v>436914000</v>
      </c>
    </row>
    <row r="366" spans="2:57" ht="61.2" hidden="1" x14ac:dyDescent="0.3">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197">
        <f>+'Base de Datos'!I366</f>
        <v>550762000</v>
      </c>
      <c r="G366" s="196">
        <f>+'Base de Datos'!M366</f>
        <v>42305</v>
      </c>
      <c r="H366" s="196">
        <f>+'Base de Datos'!N366</f>
        <v>42579</v>
      </c>
      <c r="I366" s="196"/>
      <c r="J366" s="158">
        <v>170000000</v>
      </c>
      <c r="K366" s="333">
        <v>42541</v>
      </c>
      <c r="L366" s="211">
        <v>86744000</v>
      </c>
      <c r="M366" s="336">
        <v>42593</v>
      </c>
      <c r="N366" s="158"/>
      <c r="O366" s="333"/>
      <c r="P366" s="158"/>
      <c r="Q366" s="338"/>
      <c r="R366" s="81">
        <f t="shared" si="42"/>
        <v>256744000</v>
      </c>
      <c r="S366" s="258" t="s">
        <v>2544</v>
      </c>
      <c r="T366" s="333">
        <v>42613</v>
      </c>
      <c r="U366" s="158" t="s">
        <v>1324</v>
      </c>
      <c r="V366" s="333">
        <v>42633</v>
      </c>
      <c r="W366" s="158"/>
      <c r="X366" s="333"/>
      <c r="Y366" s="158"/>
      <c r="Z366" s="333"/>
      <c r="AA366" s="326" t="s">
        <v>2610</v>
      </c>
      <c r="AB366" s="1004">
        <f t="shared" si="43"/>
        <v>42633</v>
      </c>
      <c r="AC366" s="1082" t="str">
        <f t="shared" si="44"/>
        <v/>
      </c>
      <c r="AD366" s="1077"/>
      <c r="AE366" s="1077"/>
      <c r="AF366" s="1084" t="str">
        <f t="shared" si="45"/>
        <v/>
      </c>
      <c r="AG366" s="1082" t="str">
        <f t="shared" si="46"/>
        <v/>
      </c>
      <c r="AH366" s="1091"/>
      <c r="AI366" s="1087"/>
      <c r="AJ366" s="1084" t="str">
        <f t="shared" si="47"/>
        <v/>
      </c>
      <c r="AK366" s="1083" t="str">
        <f t="shared" si="48"/>
        <v/>
      </c>
      <c r="AL366" s="211">
        <v>366402740</v>
      </c>
      <c r="AM366" s="211">
        <v>27000000</v>
      </c>
      <c r="AN366" s="211">
        <v>46988000</v>
      </c>
      <c r="AO366" s="211">
        <v>14400000</v>
      </c>
      <c r="AP366" s="211">
        <v>42000000</v>
      </c>
      <c r="AQ366" s="211">
        <v>7300260</v>
      </c>
      <c r="AR366" s="211">
        <v>24000000</v>
      </c>
      <c r="AS366" s="211">
        <v>22671000</v>
      </c>
      <c r="AT366" s="211">
        <v>70500200</v>
      </c>
      <c r="AU366" s="211">
        <v>7133304</v>
      </c>
      <c r="AV366" s="211">
        <v>33935488</v>
      </c>
      <c r="AW366" s="211">
        <v>63391000</v>
      </c>
      <c r="AX366" s="211">
        <v>29456721</v>
      </c>
      <c r="AY366" s="211"/>
      <c r="AZ366" s="211"/>
      <c r="BA366" s="211"/>
      <c r="BB366" s="211"/>
      <c r="BC366" s="211"/>
      <c r="BD366" s="333">
        <v>42707</v>
      </c>
      <c r="BE366" s="82">
        <f t="shared" si="49"/>
        <v>755178713</v>
      </c>
    </row>
    <row r="367" spans="2:57" ht="20.399999999999999" hidden="1" x14ac:dyDescent="0.3">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197">
        <f>+'Base de Datos'!I367</f>
        <v>2742000</v>
      </c>
      <c r="G367" s="196">
        <f>+'Base de Datos'!M367</f>
        <v>42321</v>
      </c>
      <c r="H367" s="196">
        <f>+'Base de Datos'!N367</f>
        <v>42534</v>
      </c>
      <c r="I367" s="196"/>
      <c r="J367" s="158"/>
      <c r="K367" s="333"/>
      <c r="L367" s="211"/>
      <c r="M367" s="336"/>
      <c r="N367" s="158"/>
      <c r="O367" s="333"/>
      <c r="P367" s="158"/>
      <c r="Q367" s="338"/>
      <c r="R367" s="81">
        <f t="shared" si="42"/>
        <v>0</v>
      </c>
      <c r="S367" s="258"/>
      <c r="T367" s="333"/>
      <c r="U367" s="158"/>
      <c r="V367" s="333"/>
      <c r="W367" s="158"/>
      <c r="X367" s="333"/>
      <c r="Y367" s="158"/>
      <c r="Z367" s="333"/>
      <c r="AA367" s="326"/>
      <c r="AB367" s="1004" t="str">
        <f t="shared" si="43"/>
        <v/>
      </c>
      <c r="AC367" s="1082" t="str">
        <f t="shared" si="44"/>
        <v/>
      </c>
      <c r="AD367" s="1077"/>
      <c r="AE367" s="1077"/>
      <c r="AF367" s="1084" t="str">
        <f t="shared" si="45"/>
        <v/>
      </c>
      <c r="AG367" s="1082" t="str">
        <f t="shared" si="46"/>
        <v/>
      </c>
      <c r="AH367" s="1091"/>
      <c r="AI367" s="1087"/>
      <c r="AJ367" s="1084" t="str">
        <f t="shared" si="47"/>
        <v/>
      </c>
      <c r="AK367" s="1083" t="str">
        <f t="shared" si="48"/>
        <v/>
      </c>
      <c r="AL367" s="211">
        <v>1625160</v>
      </c>
      <c r="AM367" s="211">
        <v>1116044</v>
      </c>
      <c r="AN367" s="211"/>
      <c r="AO367" s="211"/>
      <c r="AP367" s="211"/>
      <c r="AQ367" s="211"/>
      <c r="AR367" s="211"/>
      <c r="AS367" s="211"/>
      <c r="AT367" s="211"/>
      <c r="AU367" s="211"/>
      <c r="AV367" s="211"/>
      <c r="AW367" s="211"/>
      <c r="AX367" s="211"/>
      <c r="AY367" s="211"/>
      <c r="AZ367" s="211"/>
      <c r="BA367" s="211"/>
      <c r="BB367" s="211"/>
      <c r="BC367" s="211"/>
      <c r="BD367" s="333">
        <v>42594</v>
      </c>
      <c r="BE367" s="82">
        <f t="shared" si="49"/>
        <v>2741204</v>
      </c>
    </row>
    <row r="368" spans="2:57" ht="40.799999999999997" hidden="1" x14ac:dyDescent="0.3">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197">
        <f>+'Base de Datos'!I368</f>
        <v>1512217703</v>
      </c>
      <c r="G368" s="196">
        <f>+'Base de Datos'!M368</f>
        <v>42333</v>
      </c>
      <c r="H368" s="196">
        <f>+'Base de Datos'!N368</f>
        <v>42515</v>
      </c>
      <c r="I368" s="196"/>
      <c r="J368" s="158"/>
      <c r="K368" s="333"/>
      <c r="L368" s="211"/>
      <c r="M368" s="336"/>
      <c r="N368" s="158"/>
      <c r="O368" s="333"/>
      <c r="P368" s="158"/>
      <c r="Q368" s="338"/>
      <c r="R368" s="81">
        <f t="shared" si="42"/>
        <v>0</v>
      </c>
      <c r="S368" s="258"/>
      <c r="T368" s="333"/>
      <c r="U368" s="158"/>
      <c r="V368" s="333"/>
      <c r="W368" s="158"/>
      <c r="X368" s="333"/>
      <c r="Y368" s="158"/>
      <c r="Z368" s="333"/>
      <c r="AA368" s="326"/>
      <c r="AB368" s="1004" t="str">
        <f t="shared" si="43"/>
        <v/>
      </c>
      <c r="AC368" s="1082" t="str">
        <f t="shared" si="44"/>
        <v/>
      </c>
      <c r="AD368" s="1077"/>
      <c r="AE368" s="1077"/>
      <c r="AF368" s="1084" t="str">
        <f t="shared" si="45"/>
        <v/>
      </c>
      <c r="AG368" s="1082" t="str">
        <f t="shared" si="46"/>
        <v/>
      </c>
      <c r="AH368" s="1091"/>
      <c r="AI368" s="1087"/>
      <c r="AJ368" s="1084" t="str">
        <f t="shared" si="47"/>
        <v/>
      </c>
      <c r="AK368" s="1083" t="str">
        <f t="shared" si="48"/>
        <v/>
      </c>
      <c r="AL368" s="211">
        <v>453665311</v>
      </c>
      <c r="AM368" s="211">
        <v>604887082</v>
      </c>
      <c r="AN368" s="211">
        <v>453665310</v>
      </c>
      <c r="AO368" s="211"/>
      <c r="AP368" s="211"/>
      <c r="AQ368" s="211"/>
      <c r="AR368" s="211"/>
      <c r="AS368" s="211"/>
      <c r="AT368" s="211"/>
      <c r="AU368" s="211"/>
      <c r="AV368" s="211"/>
      <c r="AW368" s="211"/>
      <c r="AX368" s="211"/>
      <c r="AY368" s="211"/>
      <c r="AZ368" s="211"/>
      <c r="BA368" s="211"/>
      <c r="BB368" s="211"/>
      <c r="BC368" s="211"/>
      <c r="BD368" s="333">
        <v>42558</v>
      </c>
      <c r="BE368" s="82">
        <f t="shared" si="49"/>
        <v>1512217703</v>
      </c>
    </row>
    <row r="369" spans="2:57" ht="51" hidden="1" x14ac:dyDescent="0.3">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197">
        <f>+'Base de Datos'!I369</f>
        <v>37372300</v>
      </c>
      <c r="G369" s="196">
        <f>+'Base de Datos'!M369</f>
        <v>42331</v>
      </c>
      <c r="H369" s="196">
        <f>+'Base de Datos'!N369</f>
        <v>42392</v>
      </c>
      <c r="I369" s="196"/>
      <c r="J369" s="158"/>
      <c r="K369" s="333"/>
      <c r="L369" s="211"/>
      <c r="M369" s="336"/>
      <c r="N369" s="158"/>
      <c r="O369" s="333"/>
      <c r="P369" s="158"/>
      <c r="Q369" s="338"/>
      <c r="R369" s="81">
        <f t="shared" ref="R369:R384" si="50">SUM(J369,L369,N369,P369)</f>
        <v>0</v>
      </c>
      <c r="S369" s="258" t="s">
        <v>544</v>
      </c>
      <c r="T369" s="333">
        <v>42544</v>
      </c>
      <c r="U369" s="158"/>
      <c r="V369" s="333"/>
      <c r="W369" s="158"/>
      <c r="X369" s="333"/>
      <c r="Y369" s="158"/>
      <c r="Z369" s="333"/>
      <c r="AA369" s="326" t="s">
        <v>544</v>
      </c>
      <c r="AB369" s="1004">
        <f t="shared" si="43"/>
        <v>42544</v>
      </c>
      <c r="AC369" s="1082" t="str">
        <f t="shared" si="44"/>
        <v/>
      </c>
      <c r="AD369" s="1077"/>
      <c r="AE369" s="1077"/>
      <c r="AF369" s="1084" t="str">
        <f t="shared" si="45"/>
        <v/>
      </c>
      <c r="AG369" s="1082" t="str">
        <f t="shared" si="46"/>
        <v/>
      </c>
      <c r="AH369" s="1091"/>
      <c r="AI369" s="1087"/>
      <c r="AJ369" s="1084" t="str">
        <f t="shared" si="47"/>
        <v/>
      </c>
      <c r="AK369" s="1083" t="str">
        <f t="shared" si="48"/>
        <v/>
      </c>
      <c r="AL369" s="211">
        <v>29382355</v>
      </c>
      <c r="AM369" s="211">
        <v>515480</v>
      </c>
      <c r="AN369" s="211"/>
      <c r="AO369" s="211"/>
      <c r="AP369" s="211"/>
      <c r="AQ369" s="211"/>
      <c r="AR369" s="211"/>
      <c r="AS369" s="211"/>
      <c r="AT369" s="211"/>
      <c r="AU369" s="211"/>
      <c r="AV369" s="211"/>
      <c r="AW369" s="211"/>
      <c r="AX369" s="211"/>
      <c r="AY369" s="211"/>
      <c r="AZ369" s="211"/>
      <c r="BA369" s="211"/>
      <c r="BB369" s="211"/>
      <c r="BC369" s="211"/>
      <c r="BD369" s="333">
        <v>42599</v>
      </c>
      <c r="BE369" s="82">
        <f t="shared" si="49"/>
        <v>29897835</v>
      </c>
    </row>
    <row r="370" spans="2:57" ht="30.6" hidden="1" x14ac:dyDescent="0.3">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197">
        <f>+'Base de Datos'!I370</f>
        <v>96032643</v>
      </c>
      <c r="G370" s="196">
        <f>+'Base de Datos'!M370</f>
        <v>42345</v>
      </c>
      <c r="H370" s="196">
        <f>+'Base de Datos'!N370</f>
        <v>42620</v>
      </c>
      <c r="I370" s="196"/>
      <c r="J370" s="158"/>
      <c r="K370" s="333"/>
      <c r="L370" s="211"/>
      <c r="M370" s="336"/>
      <c r="N370" s="158"/>
      <c r="O370" s="333"/>
      <c r="P370" s="158"/>
      <c r="Q370" s="338"/>
      <c r="R370" s="81">
        <f t="shared" si="50"/>
        <v>0</v>
      </c>
      <c r="S370" s="258"/>
      <c r="T370" s="333"/>
      <c r="U370" s="158"/>
      <c r="V370" s="333"/>
      <c r="W370" s="158"/>
      <c r="X370" s="333"/>
      <c r="Y370" s="158"/>
      <c r="Z370" s="333"/>
      <c r="AA370" s="326"/>
      <c r="AB370" s="1004" t="str">
        <f t="shared" si="43"/>
        <v/>
      </c>
      <c r="AC370" s="1082" t="str">
        <f t="shared" si="44"/>
        <v/>
      </c>
      <c r="AD370" s="1077"/>
      <c r="AE370" s="1077"/>
      <c r="AF370" s="1084" t="str">
        <f t="shared" si="45"/>
        <v/>
      </c>
      <c r="AG370" s="1082" t="str">
        <f t="shared" si="46"/>
        <v/>
      </c>
      <c r="AH370" s="1091"/>
      <c r="AI370" s="1087"/>
      <c r="AJ370" s="1084" t="str">
        <f t="shared" si="47"/>
        <v/>
      </c>
      <c r="AK370" s="1083" t="str">
        <f t="shared" si="48"/>
        <v/>
      </c>
      <c r="AL370" s="211">
        <v>10678830</v>
      </c>
      <c r="AM370" s="211">
        <v>10669227</v>
      </c>
      <c r="AN370" s="211">
        <v>10669227</v>
      </c>
      <c r="AO370" s="211">
        <v>10669227</v>
      </c>
      <c r="AP370" s="211">
        <v>10669227</v>
      </c>
      <c r="AQ370" s="211">
        <v>10669227</v>
      </c>
      <c r="AR370" s="211">
        <v>10669227</v>
      </c>
      <c r="AS370" s="211">
        <v>10669227</v>
      </c>
      <c r="AT370" s="211">
        <v>10669224</v>
      </c>
      <c r="AU370" s="211"/>
      <c r="AV370" s="211"/>
      <c r="AW370" s="211"/>
      <c r="AX370" s="211"/>
      <c r="AY370" s="211"/>
      <c r="AZ370" s="211"/>
      <c r="BA370" s="211"/>
      <c r="BB370" s="211"/>
      <c r="BC370" s="211"/>
      <c r="BD370" s="333">
        <v>42689</v>
      </c>
      <c r="BE370" s="82">
        <f t="shared" si="49"/>
        <v>96032643</v>
      </c>
    </row>
    <row r="371" spans="2:57" ht="30.6" hidden="1" x14ac:dyDescent="0.3">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197">
        <f>+'Base de Datos'!I371</f>
        <v>17340258</v>
      </c>
      <c r="G371" s="196">
        <f>+'Base de Datos'!M371</f>
        <v>42338</v>
      </c>
      <c r="H371" s="196">
        <f>+'Base de Datos'!N371</f>
        <v>42399</v>
      </c>
      <c r="I371" s="196"/>
      <c r="J371" s="158"/>
      <c r="K371" s="333"/>
      <c r="L371" s="211"/>
      <c r="M371" s="336"/>
      <c r="N371" s="158"/>
      <c r="O371" s="333"/>
      <c r="P371" s="158"/>
      <c r="Q371" s="338"/>
      <c r="R371" s="81">
        <f t="shared" si="50"/>
        <v>0</v>
      </c>
      <c r="S371" s="258"/>
      <c r="T371" s="333"/>
      <c r="U371" s="158"/>
      <c r="V371" s="333"/>
      <c r="W371" s="158"/>
      <c r="X371" s="333"/>
      <c r="Y371" s="158"/>
      <c r="Z371" s="333"/>
      <c r="AA371" s="326"/>
      <c r="AB371" s="1004" t="str">
        <f t="shared" si="43"/>
        <v/>
      </c>
      <c r="AC371" s="1082" t="str">
        <f t="shared" si="44"/>
        <v/>
      </c>
      <c r="AD371" s="1077"/>
      <c r="AE371" s="1077"/>
      <c r="AF371" s="1084" t="str">
        <f t="shared" si="45"/>
        <v/>
      </c>
      <c r="AG371" s="1082" t="str">
        <f t="shared" si="46"/>
        <v/>
      </c>
      <c r="AH371" s="1091"/>
      <c r="AI371" s="1087"/>
      <c r="AJ371" s="1084" t="str">
        <f t="shared" si="47"/>
        <v/>
      </c>
      <c r="AK371" s="1083" t="str">
        <f t="shared" si="48"/>
        <v/>
      </c>
      <c r="AL371" s="211">
        <v>17340258</v>
      </c>
      <c r="AM371" s="211"/>
      <c r="AN371" s="211"/>
      <c r="AO371" s="211"/>
      <c r="AP371" s="211"/>
      <c r="AQ371" s="211"/>
      <c r="AR371" s="211"/>
      <c r="AS371" s="211"/>
      <c r="AT371" s="211"/>
      <c r="AU371" s="211"/>
      <c r="AV371" s="211"/>
      <c r="AW371" s="211"/>
      <c r="AX371" s="211"/>
      <c r="AY371" s="211"/>
      <c r="AZ371" s="211"/>
      <c r="BA371" s="211"/>
      <c r="BB371" s="211"/>
      <c r="BC371" s="211"/>
      <c r="BD371" s="333">
        <v>42408</v>
      </c>
      <c r="BE371" s="82">
        <f t="shared" si="49"/>
        <v>17340258</v>
      </c>
    </row>
    <row r="372" spans="2:57" ht="51" hidden="1" x14ac:dyDescent="0.3">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197">
        <f>+'Base de Datos'!I372</f>
        <v>27500000</v>
      </c>
      <c r="G372" s="196">
        <f>+'Base de Datos'!M372</f>
        <v>42349</v>
      </c>
      <c r="H372" s="196">
        <f>+'Base de Datos'!N372</f>
        <v>42501</v>
      </c>
      <c r="I372" s="196"/>
      <c r="J372" s="158"/>
      <c r="K372" s="333"/>
      <c r="L372" s="211"/>
      <c r="M372" s="336"/>
      <c r="N372" s="158"/>
      <c r="O372" s="333"/>
      <c r="P372" s="158"/>
      <c r="Q372" s="338"/>
      <c r="R372" s="81">
        <f t="shared" si="50"/>
        <v>0</v>
      </c>
      <c r="S372" s="258"/>
      <c r="T372" s="333"/>
      <c r="U372" s="158"/>
      <c r="V372" s="333"/>
      <c r="W372" s="158"/>
      <c r="X372" s="333"/>
      <c r="Y372" s="158"/>
      <c r="Z372" s="333"/>
      <c r="AA372" s="326"/>
      <c r="AB372" s="1004" t="str">
        <f t="shared" si="43"/>
        <v/>
      </c>
      <c r="AC372" s="1082" t="str">
        <f t="shared" si="44"/>
        <v/>
      </c>
      <c r="AD372" s="1077"/>
      <c r="AE372" s="1077"/>
      <c r="AF372" s="1084" t="str">
        <f t="shared" si="45"/>
        <v/>
      </c>
      <c r="AG372" s="1082" t="str">
        <f t="shared" si="46"/>
        <v/>
      </c>
      <c r="AH372" s="1091"/>
      <c r="AI372" s="1087"/>
      <c r="AJ372" s="1084" t="str">
        <f t="shared" si="47"/>
        <v/>
      </c>
      <c r="AK372" s="1083" t="str">
        <f t="shared" si="48"/>
        <v/>
      </c>
      <c r="AL372" s="211">
        <v>3850000</v>
      </c>
      <c r="AM372" s="211">
        <v>5500000</v>
      </c>
      <c r="AN372" s="211">
        <v>5500000</v>
      </c>
      <c r="AO372" s="211">
        <v>5500000</v>
      </c>
      <c r="AP372" s="211">
        <v>5500000</v>
      </c>
      <c r="AQ372" s="211">
        <v>1650000</v>
      </c>
      <c r="AR372" s="211"/>
      <c r="AS372" s="211"/>
      <c r="AT372" s="211"/>
      <c r="AU372" s="211"/>
      <c r="AV372" s="211"/>
      <c r="AW372" s="211"/>
      <c r="AX372" s="211"/>
      <c r="AY372" s="211"/>
      <c r="AZ372" s="211"/>
      <c r="BA372" s="211"/>
      <c r="BB372" s="211"/>
      <c r="BC372" s="211"/>
      <c r="BD372" s="333">
        <v>42471</v>
      </c>
      <c r="BE372" s="82">
        <f t="shared" si="49"/>
        <v>27500000</v>
      </c>
    </row>
    <row r="373" spans="2:57" ht="30.6" hidden="1" x14ac:dyDescent="0.3">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197">
        <f>+'Base de Datos'!I373</f>
        <v>910786703.20000005</v>
      </c>
      <c r="G373" s="196">
        <f>+'Base de Datos'!M373</f>
        <v>42341</v>
      </c>
      <c r="H373" s="196">
        <f>+'Base de Datos'!N373</f>
        <v>42524</v>
      </c>
      <c r="I373" s="196"/>
      <c r="J373" s="158"/>
      <c r="K373" s="333"/>
      <c r="L373" s="211"/>
      <c r="M373" s="336"/>
      <c r="N373" s="158"/>
      <c r="O373" s="333"/>
      <c r="P373" s="158"/>
      <c r="Q373" s="338"/>
      <c r="R373" s="81">
        <f t="shared" si="50"/>
        <v>0</v>
      </c>
      <c r="S373" s="258"/>
      <c r="T373" s="333"/>
      <c r="U373" s="158"/>
      <c r="V373" s="333"/>
      <c r="W373" s="158"/>
      <c r="X373" s="333"/>
      <c r="Y373" s="158"/>
      <c r="Z373" s="333"/>
      <c r="AA373" s="326"/>
      <c r="AB373" s="1004" t="str">
        <f t="shared" si="43"/>
        <v/>
      </c>
      <c r="AC373" s="1082" t="str">
        <f t="shared" si="44"/>
        <v/>
      </c>
      <c r="AD373" s="1077"/>
      <c r="AE373" s="1077"/>
      <c r="AF373" s="1084" t="str">
        <f t="shared" si="45"/>
        <v/>
      </c>
      <c r="AG373" s="1082" t="str">
        <f t="shared" si="46"/>
        <v/>
      </c>
      <c r="AH373" s="1091"/>
      <c r="AI373" s="1087"/>
      <c r="AJ373" s="1084" t="str">
        <f t="shared" si="47"/>
        <v/>
      </c>
      <c r="AK373" s="1083" t="str">
        <f t="shared" si="48"/>
        <v/>
      </c>
      <c r="AL373" s="211">
        <v>910786703</v>
      </c>
      <c r="AM373" s="211"/>
      <c r="AN373" s="211"/>
      <c r="AO373" s="211"/>
      <c r="AP373" s="211"/>
      <c r="AQ373" s="211"/>
      <c r="AR373" s="211"/>
      <c r="AS373" s="211"/>
      <c r="AT373" s="211"/>
      <c r="AU373" s="211"/>
      <c r="AV373" s="211"/>
      <c r="AW373" s="211"/>
      <c r="AX373" s="211"/>
      <c r="AY373" s="211"/>
      <c r="AZ373" s="211"/>
      <c r="BA373" s="211"/>
      <c r="BB373" s="211"/>
      <c r="BC373" s="211"/>
      <c r="BD373" s="333">
        <v>42516</v>
      </c>
      <c r="BE373" s="82">
        <f t="shared" si="49"/>
        <v>910786703</v>
      </c>
    </row>
    <row r="374" spans="2:57" ht="20.399999999999999" hidden="1" x14ac:dyDescent="0.3">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197">
        <f>+'Base de Datos'!I374</f>
        <v>8404200</v>
      </c>
      <c r="G374" s="196">
        <f>+'Base de Datos'!M374</f>
        <v>42383</v>
      </c>
      <c r="H374" s="196">
        <f>+'Base de Datos'!N374</f>
        <v>42443</v>
      </c>
      <c r="I374" s="196"/>
      <c r="J374" s="158"/>
      <c r="K374" s="333"/>
      <c r="L374" s="211"/>
      <c r="M374" s="336"/>
      <c r="N374" s="158"/>
      <c r="O374" s="333"/>
      <c r="P374" s="158"/>
      <c r="Q374" s="338"/>
      <c r="R374" s="81">
        <f t="shared" si="50"/>
        <v>0</v>
      </c>
      <c r="S374" s="258"/>
      <c r="T374" s="333"/>
      <c r="U374" s="158"/>
      <c r="V374" s="333"/>
      <c r="W374" s="158"/>
      <c r="X374" s="333"/>
      <c r="Y374" s="158"/>
      <c r="Z374" s="333"/>
      <c r="AA374" s="326"/>
      <c r="AB374" s="1004" t="str">
        <f t="shared" si="43"/>
        <v/>
      </c>
      <c r="AC374" s="1082" t="str">
        <f t="shared" si="44"/>
        <v/>
      </c>
      <c r="AD374" s="1077"/>
      <c r="AE374" s="1077"/>
      <c r="AF374" s="1084" t="str">
        <f t="shared" si="45"/>
        <v/>
      </c>
      <c r="AG374" s="1082" t="str">
        <f t="shared" si="46"/>
        <v/>
      </c>
      <c r="AH374" s="1091"/>
      <c r="AI374" s="1087"/>
      <c r="AJ374" s="1084" t="str">
        <f t="shared" si="47"/>
        <v/>
      </c>
      <c r="AK374" s="1083" t="str">
        <f t="shared" si="48"/>
        <v/>
      </c>
      <c r="AL374" s="211">
        <v>8404200</v>
      </c>
      <c r="AM374" s="211"/>
      <c r="AN374" s="211"/>
      <c r="AO374" s="211"/>
      <c r="AP374" s="211"/>
      <c r="AQ374" s="211"/>
      <c r="AR374" s="211"/>
      <c r="AS374" s="211"/>
      <c r="AT374" s="211"/>
      <c r="AU374" s="211"/>
      <c r="AV374" s="211"/>
      <c r="AW374" s="211"/>
      <c r="AX374" s="211"/>
      <c r="AY374" s="211"/>
      <c r="AZ374" s="211"/>
      <c r="BA374" s="211"/>
      <c r="BB374" s="211"/>
      <c r="BC374" s="211"/>
      <c r="BD374" s="333">
        <v>42503</v>
      </c>
      <c r="BE374" s="82">
        <f t="shared" si="49"/>
        <v>8404200</v>
      </c>
    </row>
    <row r="375" spans="2:57" ht="51" hidden="1" x14ac:dyDescent="0.3">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197">
        <f>+'Base de Datos'!I375</f>
        <v>345000000</v>
      </c>
      <c r="G375" s="196">
        <f>+'Base de Datos'!M375</f>
        <v>42383</v>
      </c>
      <c r="H375" s="196">
        <f>+'Base de Datos'!N375</f>
        <v>42627</v>
      </c>
      <c r="I375" s="196"/>
      <c r="J375" s="158">
        <v>172500000</v>
      </c>
      <c r="K375" s="333">
        <v>42627</v>
      </c>
      <c r="L375" s="211"/>
      <c r="M375" s="336"/>
      <c r="N375" s="158"/>
      <c r="O375" s="333"/>
      <c r="P375" s="158"/>
      <c r="Q375" s="338"/>
      <c r="R375" s="81">
        <f t="shared" si="50"/>
        <v>172500000</v>
      </c>
      <c r="S375" s="832" t="s">
        <v>2677</v>
      </c>
      <c r="T375" s="333">
        <v>42766</v>
      </c>
      <c r="U375" s="158"/>
      <c r="V375" s="333"/>
      <c r="W375" s="158"/>
      <c r="X375" s="333"/>
      <c r="Y375" s="158"/>
      <c r="Z375" s="333"/>
      <c r="AA375" s="357" t="s">
        <v>2677</v>
      </c>
      <c r="AB375" s="1004">
        <f t="shared" si="43"/>
        <v>42766</v>
      </c>
      <c r="AC375" s="1082" t="str">
        <f t="shared" si="44"/>
        <v/>
      </c>
      <c r="AD375" s="1077"/>
      <c r="AE375" s="1077"/>
      <c r="AF375" s="1084" t="str">
        <f t="shared" si="45"/>
        <v/>
      </c>
      <c r="AG375" s="1082" t="str">
        <f t="shared" si="46"/>
        <v/>
      </c>
      <c r="AH375" s="1091"/>
      <c r="AI375" s="1087"/>
      <c r="AJ375" s="1084" t="str">
        <f t="shared" si="47"/>
        <v/>
      </c>
      <c r="AK375" s="1083" t="str">
        <f t="shared" si="48"/>
        <v/>
      </c>
      <c r="AL375" s="211">
        <v>4827384</v>
      </c>
      <c r="AM375" s="211">
        <v>53974368</v>
      </c>
      <c r="AN375" s="211"/>
      <c r="AO375" s="211">
        <v>4020894</v>
      </c>
      <c r="AP375" s="211">
        <v>37556389</v>
      </c>
      <c r="AQ375" s="211">
        <v>47221788</v>
      </c>
      <c r="AR375" s="211">
        <v>119341741</v>
      </c>
      <c r="AS375" s="211">
        <v>43871958</v>
      </c>
      <c r="AT375" s="211">
        <v>20060866</v>
      </c>
      <c r="AU375" s="211">
        <v>14124612</v>
      </c>
      <c r="AV375" s="211">
        <v>729142</v>
      </c>
      <c r="AW375" s="211">
        <v>101110725</v>
      </c>
      <c r="AX375" s="211">
        <v>26797231</v>
      </c>
      <c r="AY375" s="211">
        <v>42757117</v>
      </c>
      <c r="AZ375" s="211"/>
      <c r="BA375" s="211"/>
      <c r="BB375" s="211"/>
      <c r="BC375" s="211"/>
      <c r="BD375" s="333">
        <v>42808</v>
      </c>
      <c r="BE375" s="82">
        <f t="shared" si="49"/>
        <v>516394215</v>
      </c>
    </row>
    <row r="376" spans="2:57" ht="30.6" hidden="1" x14ac:dyDescent="0.3">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197">
        <f>+'Base de Datos'!I376</f>
        <v>295840339</v>
      </c>
      <c r="G376" s="196">
        <f>+'Base de Datos'!M376</f>
        <v>42349</v>
      </c>
      <c r="H376" s="196">
        <f>+'Base de Datos'!N376</f>
        <v>42532</v>
      </c>
      <c r="I376" s="196"/>
      <c r="J376" s="158"/>
      <c r="K376" s="333"/>
      <c r="L376" s="211"/>
      <c r="M376" s="336"/>
      <c r="N376" s="158"/>
      <c r="O376" s="333"/>
      <c r="P376" s="158"/>
      <c r="Q376" s="338"/>
      <c r="R376" s="81">
        <f t="shared" si="50"/>
        <v>0</v>
      </c>
      <c r="S376" s="258"/>
      <c r="T376" s="333"/>
      <c r="U376" s="158"/>
      <c r="V376" s="333"/>
      <c r="W376" s="158"/>
      <c r="X376" s="333"/>
      <c r="Y376" s="158"/>
      <c r="Z376" s="333"/>
      <c r="AA376" s="326"/>
      <c r="AB376" s="1004" t="str">
        <f t="shared" si="43"/>
        <v/>
      </c>
      <c r="AC376" s="1082" t="str">
        <f t="shared" si="44"/>
        <v/>
      </c>
      <c r="AD376" s="1077"/>
      <c r="AE376" s="1077"/>
      <c r="AF376" s="1084" t="str">
        <f t="shared" si="45"/>
        <v/>
      </c>
      <c r="AG376" s="1082" t="str">
        <f t="shared" si="46"/>
        <v/>
      </c>
      <c r="AH376" s="1091"/>
      <c r="AI376" s="1087"/>
      <c r="AJ376" s="1084" t="str">
        <f t="shared" si="47"/>
        <v/>
      </c>
      <c r="AK376" s="1083" t="str">
        <f t="shared" si="48"/>
        <v/>
      </c>
      <c r="AL376" s="211">
        <v>295840339</v>
      </c>
      <c r="AM376" s="211"/>
      <c r="AN376" s="211"/>
      <c r="AO376" s="211"/>
      <c r="AP376" s="211"/>
      <c r="AQ376" s="211"/>
      <c r="AR376" s="211"/>
      <c r="AS376" s="211"/>
      <c r="AT376" s="211"/>
      <c r="AU376" s="211"/>
      <c r="AV376" s="211"/>
      <c r="AW376" s="211"/>
      <c r="AX376" s="211"/>
      <c r="AY376" s="211"/>
      <c r="AZ376" s="211"/>
      <c r="BA376" s="211"/>
      <c r="BB376" s="211"/>
      <c r="BC376" s="211"/>
      <c r="BD376" s="333">
        <v>42724</v>
      </c>
      <c r="BE376" s="82">
        <f t="shared" si="49"/>
        <v>295840339</v>
      </c>
    </row>
    <row r="377" spans="2:57" ht="30.6" hidden="1" x14ac:dyDescent="0.3">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197">
        <f>+'Base de Datos'!I377</f>
        <v>188315358.83000001</v>
      </c>
      <c r="G377" s="196">
        <f>+'Base de Datos'!M377</f>
        <v>42349</v>
      </c>
      <c r="H377" s="196">
        <f>+'Base de Datos'!N377</f>
        <v>42532</v>
      </c>
      <c r="I377" s="196"/>
      <c r="J377" s="158"/>
      <c r="K377" s="333"/>
      <c r="L377" s="211"/>
      <c r="M377" s="336"/>
      <c r="N377" s="158"/>
      <c r="O377" s="333"/>
      <c r="P377" s="158"/>
      <c r="Q377" s="338"/>
      <c r="R377" s="81">
        <f t="shared" si="50"/>
        <v>0</v>
      </c>
      <c r="S377" s="258"/>
      <c r="T377" s="333"/>
      <c r="U377" s="158"/>
      <c r="V377" s="333"/>
      <c r="W377" s="158"/>
      <c r="X377" s="333"/>
      <c r="Y377" s="158"/>
      <c r="Z377" s="333"/>
      <c r="AA377" s="326"/>
      <c r="AB377" s="1004" t="str">
        <f t="shared" si="43"/>
        <v/>
      </c>
      <c r="AC377" s="1082" t="str">
        <f t="shared" si="44"/>
        <v/>
      </c>
      <c r="AD377" s="1077"/>
      <c r="AE377" s="1077"/>
      <c r="AF377" s="1084" t="str">
        <f t="shared" si="45"/>
        <v/>
      </c>
      <c r="AG377" s="1082" t="str">
        <f t="shared" si="46"/>
        <v/>
      </c>
      <c r="AH377" s="1091"/>
      <c r="AI377" s="1087"/>
      <c r="AJ377" s="1084" t="str">
        <f t="shared" si="47"/>
        <v/>
      </c>
      <c r="AK377" s="1083" t="str">
        <f t="shared" si="48"/>
        <v/>
      </c>
      <c r="AL377" s="211">
        <v>188315359</v>
      </c>
      <c r="AM377" s="211"/>
      <c r="AN377" s="211"/>
      <c r="AO377" s="211"/>
      <c r="AP377" s="211"/>
      <c r="AQ377" s="211"/>
      <c r="AR377" s="211"/>
      <c r="AS377" s="211"/>
      <c r="AT377" s="211"/>
      <c r="AU377" s="211"/>
      <c r="AV377" s="211"/>
      <c r="AW377" s="211"/>
      <c r="AX377" s="211"/>
      <c r="AY377" s="211"/>
      <c r="AZ377" s="211"/>
      <c r="BA377" s="211"/>
      <c r="BB377" s="211"/>
      <c r="BC377" s="211"/>
      <c r="BD377" s="333">
        <v>42487</v>
      </c>
      <c r="BE377" s="82">
        <f t="shared" si="49"/>
        <v>188315359</v>
      </c>
    </row>
    <row r="378" spans="2:57" ht="30.6" hidden="1" x14ac:dyDescent="0.3">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197">
        <f>+'Base de Datos'!I378</f>
        <v>64250000</v>
      </c>
      <c r="G378" s="196">
        <f>+'Base de Datos'!M378</f>
        <v>42384</v>
      </c>
      <c r="H378" s="196">
        <f>+'Base de Datos'!N378</f>
        <v>42505</v>
      </c>
      <c r="I378" s="196"/>
      <c r="J378" s="158"/>
      <c r="K378" s="333"/>
      <c r="L378" s="211"/>
      <c r="M378" s="336"/>
      <c r="N378" s="158"/>
      <c r="O378" s="333"/>
      <c r="P378" s="158"/>
      <c r="Q378" s="338"/>
      <c r="R378" s="81">
        <f t="shared" si="50"/>
        <v>0</v>
      </c>
      <c r="S378" s="258" t="s">
        <v>2456</v>
      </c>
      <c r="T378" s="333">
        <v>42536</v>
      </c>
      <c r="U378" s="158"/>
      <c r="V378" s="333"/>
      <c r="W378" s="158"/>
      <c r="X378" s="333"/>
      <c r="Y378" s="158"/>
      <c r="Z378" s="333"/>
      <c r="AA378" s="326" t="s">
        <v>381</v>
      </c>
      <c r="AB378" s="1004">
        <f t="shared" si="43"/>
        <v>42536</v>
      </c>
      <c r="AC378" s="1082" t="str">
        <f t="shared" si="44"/>
        <v/>
      </c>
      <c r="AD378" s="1077"/>
      <c r="AE378" s="1077"/>
      <c r="AF378" s="1084" t="str">
        <f t="shared" si="45"/>
        <v/>
      </c>
      <c r="AG378" s="1082" t="str">
        <f t="shared" si="46"/>
        <v/>
      </c>
      <c r="AH378" s="1091"/>
      <c r="AI378" s="1087"/>
      <c r="AJ378" s="1084" t="str">
        <f t="shared" si="47"/>
        <v/>
      </c>
      <c r="AK378" s="1083" t="str">
        <f t="shared" si="48"/>
        <v/>
      </c>
      <c r="AL378" s="211">
        <v>64250000</v>
      </c>
      <c r="AM378" s="211"/>
      <c r="AN378" s="211"/>
      <c r="AO378" s="211"/>
      <c r="AP378" s="211"/>
      <c r="AQ378" s="211"/>
      <c r="AR378" s="211"/>
      <c r="AS378" s="211"/>
      <c r="AT378" s="211"/>
      <c r="AU378" s="211"/>
      <c r="AV378" s="211"/>
      <c r="AW378" s="211"/>
      <c r="AX378" s="211"/>
      <c r="AY378" s="211"/>
      <c r="AZ378" s="211"/>
      <c r="BA378" s="211"/>
      <c r="BB378" s="211"/>
      <c r="BC378" s="211"/>
      <c r="BD378" s="333">
        <v>42613</v>
      </c>
      <c r="BE378" s="82">
        <f t="shared" si="49"/>
        <v>64250000</v>
      </c>
    </row>
    <row r="379" spans="2:57" ht="51" hidden="1" x14ac:dyDescent="0.3">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197">
        <f>+'Base de Datos'!I379</f>
        <v>64000000</v>
      </c>
      <c r="G379" s="196">
        <f>+'Base de Datos'!M379</f>
        <v>42384</v>
      </c>
      <c r="H379" s="196">
        <f>+'Base de Datos'!N379</f>
        <v>42750</v>
      </c>
      <c r="I379" s="196"/>
      <c r="J379" s="158"/>
      <c r="K379" s="333"/>
      <c r="L379" s="211"/>
      <c r="M379" s="336"/>
      <c r="N379" s="158"/>
      <c r="O379" s="333"/>
      <c r="P379" s="158"/>
      <c r="Q379" s="338"/>
      <c r="R379" s="81">
        <f t="shared" si="50"/>
        <v>0</v>
      </c>
      <c r="S379" s="258"/>
      <c r="T379" s="333"/>
      <c r="U379" s="158"/>
      <c r="V379" s="333"/>
      <c r="W379" s="158"/>
      <c r="X379" s="333"/>
      <c r="Y379" s="158"/>
      <c r="Z379" s="333"/>
      <c r="AA379" s="326"/>
      <c r="AB379" s="1004" t="str">
        <f t="shared" si="43"/>
        <v/>
      </c>
      <c r="AC379" s="1082" t="str">
        <f t="shared" si="44"/>
        <v/>
      </c>
      <c r="AD379" s="1077"/>
      <c r="AE379" s="1077"/>
      <c r="AF379" s="1084" t="str">
        <f t="shared" si="45"/>
        <v/>
      </c>
      <c r="AG379" s="1082" t="str">
        <f t="shared" si="46"/>
        <v/>
      </c>
      <c r="AH379" s="1091"/>
      <c r="AI379" s="1087"/>
      <c r="AJ379" s="1084" t="str">
        <f t="shared" si="47"/>
        <v/>
      </c>
      <c r="AK379" s="1083" t="str">
        <f t="shared" si="48"/>
        <v/>
      </c>
      <c r="AL379" s="211">
        <v>44800000</v>
      </c>
      <c r="AM379" s="211">
        <v>6400000</v>
      </c>
      <c r="AN379" s="211">
        <v>6400000</v>
      </c>
      <c r="AO379" s="211">
        <v>6400000</v>
      </c>
      <c r="AP379" s="211"/>
      <c r="AQ379" s="211"/>
      <c r="AR379" s="211"/>
      <c r="AS379" s="211"/>
      <c r="AT379" s="211"/>
      <c r="AU379" s="211"/>
      <c r="AV379" s="211"/>
      <c r="AW379" s="211"/>
      <c r="AX379" s="211"/>
      <c r="AY379" s="211"/>
      <c r="AZ379" s="211"/>
      <c r="BA379" s="211"/>
      <c r="BB379" s="211"/>
      <c r="BC379" s="211"/>
      <c r="BD379" s="333">
        <v>42654</v>
      </c>
      <c r="BE379" s="82">
        <f t="shared" si="49"/>
        <v>64000000</v>
      </c>
    </row>
    <row r="380" spans="2:57" ht="20.399999999999999" hidden="1" x14ac:dyDescent="0.3">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197">
        <f>+'Base de Datos'!I380</f>
        <v>1226994</v>
      </c>
      <c r="G380" s="196">
        <f>+'Base de Datos'!M380</f>
        <v>42451</v>
      </c>
      <c r="H380" s="196">
        <f>+'Base de Datos'!N380</f>
        <v>42816</v>
      </c>
      <c r="I380" s="196"/>
      <c r="J380" s="158"/>
      <c r="K380" s="333"/>
      <c r="L380" s="211"/>
      <c r="M380" s="336"/>
      <c r="N380" s="158"/>
      <c r="O380" s="333"/>
      <c r="P380" s="158"/>
      <c r="Q380" s="338"/>
      <c r="R380" s="81">
        <f t="shared" si="50"/>
        <v>0</v>
      </c>
      <c r="S380" s="258"/>
      <c r="T380" s="333"/>
      <c r="U380" s="158"/>
      <c r="V380" s="333"/>
      <c r="W380" s="158"/>
      <c r="X380" s="333"/>
      <c r="Y380" s="158"/>
      <c r="Z380" s="333"/>
      <c r="AA380" s="326"/>
      <c r="AB380" s="1004" t="str">
        <f t="shared" si="43"/>
        <v/>
      </c>
      <c r="AC380" s="1082" t="str">
        <f t="shared" si="44"/>
        <v/>
      </c>
      <c r="AD380" s="1077"/>
      <c r="AE380" s="1077"/>
      <c r="AF380" s="1084" t="str">
        <f t="shared" si="45"/>
        <v/>
      </c>
      <c r="AG380" s="1082" t="str">
        <f t="shared" si="46"/>
        <v/>
      </c>
      <c r="AH380" s="1091"/>
      <c r="AI380" s="1087"/>
      <c r="AJ380" s="1084" t="str">
        <f t="shared" si="47"/>
        <v/>
      </c>
      <c r="AK380" s="1083" t="str">
        <f t="shared" si="48"/>
        <v/>
      </c>
      <c r="AL380" s="211">
        <v>1226994</v>
      </c>
      <c r="AM380" s="211"/>
      <c r="AN380" s="211"/>
      <c r="AO380" s="211"/>
      <c r="AP380" s="211"/>
      <c r="AQ380" s="211"/>
      <c r="AR380" s="211"/>
      <c r="AS380" s="211"/>
      <c r="AT380" s="211"/>
      <c r="AU380" s="211"/>
      <c r="AV380" s="211"/>
      <c r="AW380" s="211"/>
      <c r="AX380" s="211"/>
      <c r="AY380" s="211"/>
      <c r="AZ380" s="211"/>
      <c r="BA380" s="211"/>
      <c r="BB380" s="211"/>
      <c r="BC380" s="211"/>
      <c r="BD380" s="333"/>
      <c r="BE380" s="82">
        <f t="shared" si="49"/>
        <v>1226994</v>
      </c>
    </row>
    <row r="381" spans="2:57" hidden="1" x14ac:dyDescent="0.3">
      <c r="B381" s="2" t="str">
        <f>+'Base de Datos'!E381</f>
        <v>160002-0-2016</v>
      </c>
      <c r="C381" s="2" t="str">
        <f>+'Base de Datos'!F381</f>
        <v>UT AUTOGAS GRUPO EDS</v>
      </c>
      <c r="D381" s="2">
        <f>+'Base de Datos'!G381</f>
        <v>900459737</v>
      </c>
      <c r="E381" s="2" t="str">
        <f>+'Base de Datos'!H381</f>
        <v>Suministro de combustible para el Concejo de Bogotá D.C.</v>
      </c>
      <c r="F381" s="197">
        <f>+'Base de Datos'!I381</f>
        <v>287600000</v>
      </c>
      <c r="G381" s="196">
        <f>+'Base de Datos'!M381</f>
        <v>42375</v>
      </c>
      <c r="H381" s="196">
        <f>+'Base de Datos'!N381</f>
        <v>42558</v>
      </c>
      <c r="I381" s="196"/>
      <c r="J381" s="158">
        <v>50000000</v>
      </c>
      <c r="K381" s="333">
        <v>42643</v>
      </c>
      <c r="L381" s="211">
        <v>75000000</v>
      </c>
      <c r="M381" s="336"/>
      <c r="N381" s="158"/>
      <c r="O381" s="333"/>
      <c r="P381" s="158"/>
      <c r="Q381" s="338"/>
      <c r="R381" s="81">
        <f t="shared" si="50"/>
        <v>125000000</v>
      </c>
      <c r="S381" s="258" t="s">
        <v>379</v>
      </c>
      <c r="T381" s="333">
        <v>42650</v>
      </c>
      <c r="U381" s="158" t="s">
        <v>2683</v>
      </c>
      <c r="V381" s="333"/>
      <c r="W381" s="158"/>
      <c r="X381" s="333"/>
      <c r="Y381" s="158"/>
      <c r="Z381" s="333"/>
      <c r="AA381" s="326" t="s">
        <v>2684</v>
      </c>
      <c r="AB381" s="1004">
        <f t="shared" si="43"/>
        <v>42650</v>
      </c>
      <c r="AC381" s="1082" t="str">
        <f t="shared" si="44"/>
        <v/>
      </c>
      <c r="AD381" s="1077"/>
      <c r="AE381" s="1077"/>
      <c r="AF381" s="1084" t="str">
        <f t="shared" si="45"/>
        <v/>
      </c>
      <c r="AG381" s="1082" t="str">
        <f t="shared" si="46"/>
        <v/>
      </c>
      <c r="AH381" s="1091"/>
      <c r="AI381" s="1087"/>
      <c r="AJ381" s="1084" t="str">
        <f t="shared" si="47"/>
        <v/>
      </c>
      <c r="AK381" s="1083" t="str">
        <f t="shared" si="48"/>
        <v/>
      </c>
      <c r="AL381" s="211">
        <v>31516212</v>
      </c>
      <c r="AM381" s="211">
        <v>31432102</v>
      </c>
      <c r="AN381" s="211">
        <v>32885402</v>
      </c>
      <c r="AO381" s="211">
        <v>17426988</v>
      </c>
      <c r="AP381" s="211">
        <v>19583112</v>
      </c>
      <c r="AQ381" s="211">
        <v>18201664</v>
      </c>
      <c r="AR381" s="211">
        <v>28059159</v>
      </c>
      <c r="AS381" s="211">
        <v>18231077</v>
      </c>
      <c r="AT381" s="211">
        <v>36039023</v>
      </c>
      <c r="AU381" s="211">
        <v>36735675</v>
      </c>
      <c r="AV381" s="211">
        <v>34923200</v>
      </c>
      <c r="AW381" s="211">
        <v>35857778</v>
      </c>
      <c r="AX381" s="211">
        <v>12210820</v>
      </c>
      <c r="AY381" s="211">
        <v>21432403</v>
      </c>
      <c r="AZ381" s="211">
        <v>35558030</v>
      </c>
      <c r="BA381" s="211"/>
      <c r="BB381" s="211"/>
      <c r="BC381" s="211"/>
      <c r="BD381" s="333">
        <v>42808</v>
      </c>
      <c r="BE381" s="82">
        <f t="shared" si="49"/>
        <v>410092645</v>
      </c>
    </row>
    <row r="382" spans="2:57" ht="81.599999999999994" hidden="1" x14ac:dyDescent="0.3">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197">
        <f>+'Base de Datos'!I382</f>
        <v>601948308</v>
      </c>
      <c r="G382" s="196">
        <f>+'Base de Datos'!M382</f>
        <v>42447</v>
      </c>
      <c r="H382" s="196">
        <f>+'Base de Datos'!N382</f>
        <v>42539</v>
      </c>
      <c r="I382" s="196"/>
      <c r="J382" s="158"/>
      <c r="K382" s="333"/>
      <c r="L382" s="211"/>
      <c r="M382" s="336"/>
      <c r="N382" s="158"/>
      <c r="O382" s="333"/>
      <c r="P382" s="158"/>
      <c r="Q382" s="338"/>
      <c r="R382" s="81">
        <f t="shared" si="50"/>
        <v>0</v>
      </c>
      <c r="S382" s="258"/>
      <c r="T382" s="333"/>
      <c r="U382" s="158"/>
      <c r="V382" s="333"/>
      <c r="W382" s="158"/>
      <c r="X382" s="333"/>
      <c r="Y382" s="158"/>
      <c r="Z382" s="333"/>
      <c r="AA382" s="326"/>
      <c r="AB382" s="1004" t="str">
        <f t="shared" si="43"/>
        <v/>
      </c>
      <c r="AC382" s="1082" t="str">
        <f t="shared" si="44"/>
        <v/>
      </c>
      <c r="AD382" s="1077"/>
      <c r="AE382" s="1077"/>
      <c r="AF382" s="1084" t="str">
        <f t="shared" si="45"/>
        <v/>
      </c>
      <c r="AG382" s="1082" t="str">
        <f t="shared" si="46"/>
        <v/>
      </c>
      <c r="AH382" s="1091"/>
      <c r="AI382" s="1087"/>
      <c r="AJ382" s="1084" t="str">
        <f t="shared" si="47"/>
        <v/>
      </c>
      <c r="AK382" s="1083" t="str">
        <f t="shared" si="48"/>
        <v/>
      </c>
      <c r="AL382" s="211">
        <v>240779323</v>
      </c>
      <c r="AM382" s="211">
        <v>240779323</v>
      </c>
      <c r="AN382" s="211">
        <v>120389662</v>
      </c>
      <c r="AO382" s="211"/>
      <c r="AP382" s="211"/>
      <c r="AQ382" s="211"/>
      <c r="AR382" s="211"/>
      <c r="AS382" s="211"/>
      <c r="AT382" s="211"/>
      <c r="AU382" s="211"/>
      <c r="AV382" s="211"/>
      <c r="AW382" s="211"/>
      <c r="AX382" s="211"/>
      <c r="AY382" s="211"/>
      <c r="AZ382" s="211"/>
      <c r="BA382" s="211"/>
      <c r="BB382" s="211"/>
      <c r="BC382" s="211"/>
      <c r="BD382" s="333">
        <v>42585</v>
      </c>
      <c r="BE382" s="82">
        <f t="shared" si="49"/>
        <v>601948308</v>
      </c>
    </row>
    <row r="383" spans="2:57" ht="40.799999999999997" hidden="1" x14ac:dyDescent="0.3">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197">
        <f>+'Base de Datos'!I383</f>
        <v>4640000</v>
      </c>
      <c r="G383" s="196">
        <f>+'Base de Datos'!M383</f>
        <v>42473</v>
      </c>
      <c r="H383" s="196">
        <f>+'Base de Datos'!N383</f>
        <v>42807</v>
      </c>
      <c r="I383" s="196"/>
      <c r="J383" s="158"/>
      <c r="K383" s="333"/>
      <c r="L383" s="211"/>
      <c r="M383" s="336"/>
      <c r="N383" s="158"/>
      <c r="O383" s="333"/>
      <c r="P383" s="158"/>
      <c r="Q383" s="338"/>
      <c r="R383" s="81">
        <f t="shared" si="50"/>
        <v>0</v>
      </c>
      <c r="S383" s="258"/>
      <c r="T383" s="333"/>
      <c r="U383" s="158"/>
      <c r="V383" s="333"/>
      <c r="W383" s="158"/>
      <c r="X383" s="333"/>
      <c r="Y383" s="158"/>
      <c r="Z383" s="333"/>
      <c r="AA383" s="326"/>
      <c r="AB383" s="1004" t="str">
        <f t="shared" si="43"/>
        <v/>
      </c>
      <c r="AC383" s="1082" t="str">
        <f t="shared" si="44"/>
        <v/>
      </c>
      <c r="AD383" s="1077"/>
      <c r="AE383" s="1077"/>
      <c r="AF383" s="1084" t="str">
        <f t="shared" si="45"/>
        <v/>
      </c>
      <c r="AG383" s="1082" t="str">
        <f t="shared" si="46"/>
        <v/>
      </c>
      <c r="AH383" s="1091"/>
      <c r="AI383" s="1087"/>
      <c r="AJ383" s="1084" t="str">
        <f t="shared" si="47"/>
        <v/>
      </c>
      <c r="AK383" s="1083" t="str">
        <f t="shared" si="48"/>
        <v/>
      </c>
      <c r="AL383" s="211">
        <v>696000</v>
      </c>
      <c r="AM383" s="211">
        <v>696000</v>
      </c>
      <c r="AN383" s="211">
        <v>696000</v>
      </c>
      <c r="AO383" s="211">
        <v>1856000</v>
      </c>
      <c r="AP383" s="211">
        <v>696000</v>
      </c>
      <c r="AQ383" s="211"/>
      <c r="AR383" s="211"/>
      <c r="AS383" s="211"/>
      <c r="AT383" s="211"/>
      <c r="AU383" s="211"/>
      <c r="AV383" s="211"/>
      <c r="AW383" s="211"/>
      <c r="AX383" s="211"/>
      <c r="AY383" s="211"/>
      <c r="AZ383" s="211"/>
      <c r="BA383" s="211"/>
      <c r="BB383" s="211"/>
      <c r="BC383" s="211"/>
      <c r="BD383" s="333">
        <v>42811</v>
      </c>
      <c r="BE383" s="82">
        <f t="shared" si="49"/>
        <v>4640000</v>
      </c>
    </row>
    <row r="384" spans="2:57" ht="30.6" hidden="1" x14ac:dyDescent="0.3">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197">
        <f>+'Base de Datos'!I384</f>
        <v>4200000</v>
      </c>
      <c r="G384" s="196">
        <f>+'Base de Datos'!M384</f>
        <v>42467</v>
      </c>
      <c r="H384" s="196">
        <f>+'Base de Datos'!N384</f>
        <v>42620</v>
      </c>
      <c r="I384" s="196"/>
      <c r="J384" s="158"/>
      <c r="K384" s="333"/>
      <c r="L384" s="211"/>
      <c r="M384" s="336"/>
      <c r="N384" s="158"/>
      <c r="O384" s="333"/>
      <c r="P384" s="158"/>
      <c r="Q384" s="338"/>
      <c r="R384" s="81">
        <f t="shared" si="50"/>
        <v>0</v>
      </c>
      <c r="S384" s="258"/>
      <c r="T384" s="333"/>
      <c r="U384" s="158"/>
      <c r="V384" s="333"/>
      <c r="W384" s="158"/>
      <c r="X384" s="333"/>
      <c r="Y384" s="158"/>
      <c r="Z384" s="333"/>
      <c r="AA384" s="326"/>
      <c r="AB384" s="1004" t="str">
        <f t="shared" si="43"/>
        <v/>
      </c>
      <c r="AC384" s="1082" t="str">
        <f t="shared" si="44"/>
        <v/>
      </c>
      <c r="AD384" s="1077"/>
      <c r="AE384" s="1077"/>
      <c r="AF384" s="1084" t="str">
        <f t="shared" si="45"/>
        <v/>
      </c>
      <c r="AG384" s="1082" t="str">
        <f t="shared" si="46"/>
        <v/>
      </c>
      <c r="AH384" s="1091"/>
      <c r="AI384" s="1087"/>
      <c r="AJ384" s="1084" t="str">
        <f t="shared" si="47"/>
        <v/>
      </c>
      <c r="AK384" s="1083" t="str">
        <f t="shared" si="48"/>
        <v/>
      </c>
      <c r="AL384" s="211">
        <v>4200000</v>
      </c>
      <c r="AM384" s="211"/>
      <c r="AN384" s="211"/>
      <c r="AO384" s="211"/>
      <c r="AP384" s="211"/>
      <c r="AQ384" s="211"/>
      <c r="AR384" s="211"/>
      <c r="AS384" s="211"/>
      <c r="AT384" s="211"/>
      <c r="AU384" s="211"/>
      <c r="AV384" s="211"/>
      <c r="AW384" s="211"/>
      <c r="AX384" s="211"/>
      <c r="AY384" s="211"/>
      <c r="AZ384" s="211"/>
      <c r="BA384" s="211"/>
      <c r="BB384" s="211"/>
      <c r="BC384" s="211"/>
      <c r="BD384" s="333">
        <v>42601</v>
      </c>
      <c r="BE384" s="82">
        <f t="shared" si="49"/>
        <v>4200000</v>
      </c>
    </row>
    <row r="385" spans="1:59" s="54" customFormat="1" ht="51" hidden="1" x14ac:dyDescent="0.3">
      <c r="A385" s="56"/>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197">
        <f>+'Base de Datos'!I385</f>
        <v>92800000</v>
      </c>
      <c r="G385" s="196">
        <f>+'Base de Datos'!M385</f>
        <v>42461</v>
      </c>
      <c r="H385" s="196">
        <f>+'Base de Datos'!N385</f>
        <v>42767</v>
      </c>
      <c r="I385" s="196"/>
      <c r="J385" s="158"/>
      <c r="K385" s="333"/>
      <c r="L385" s="211"/>
      <c r="M385" s="336"/>
      <c r="N385" s="158"/>
      <c r="O385" s="333"/>
      <c r="P385" s="158"/>
      <c r="Q385" s="338"/>
      <c r="R385" s="81">
        <f t="shared" ref="R385:R448" si="51">SUM(J385,L385,N385,P385)</f>
        <v>0</v>
      </c>
      <c r="S385" s="258"/>
      <c r="T385" s="333"/>
      <c r="U385" s="158"/>
      <c r="V385" s="333"/>
      <c r="W385" s="158"/>
      <c r="X385" s="333"/>
      <c r="Y385" s="158"/>
      <c r="Z385" s="333"/>
      <c r="AA385" s="326"/>
      <c r="AB385" s="1004" t="str">
        <f t="shared" si="43"/>
        <v/>
      </c>
      <c r="AC385" s="1082" t="str">
        <f t="shared" si="44"/>
        <v/>
      </c>
      <c r="AD385" s="1077"/>
      <c r="AE385" s="1077"/>
      <c r="AF385" s="1084" t="str">
        <f t="shared" si="45"/>
        <v/>
      </c>
      <c r="AG385" s="1082" t="str">
        <f t="shared" si="46"/>
        <v/>
      </c>
      <c r="AH385" s="1091"/>
      <c r="AI385" s="1087"/>
      <c r="AJ385" s="1084" t="str">
        <f t="shared" si="47"/>
        <v/>
      </c>
      <c r="AK385" s="1083" t="str">
        <f t="shared" si="48"/>
        <v/>
      </c>
      <c r="AL385" s="211">
        <v>9280000</v>
      </c>
      <c r="AM385" s="211">
        <v>9280000</v>
      </c>
      <c r="AN385" s="211">
        <v>9280000</v>
      </c>
      <c r="AO385" s="211">
        <v>9280000</v>
      </c>
      <c r="AP385" s="211">
        <v>9280000</v>
      </c>
      <c r="AQ385" s="211">
        <v>9280000</v>
      </c>
      <c r="AR385" s="211">
        <v>9280000</v>
      </c>
      <c r="AS385" s="211">
        <v>9280000</v>
      </c>
      <c r="AT385" s="211">
        <v>9280000</v>
      </c>
      <c r="AU385" s="211"/>
      <c r="AV385" s="211"/>
      <c r="AW385" s="211"/>
      <c r="AX385" s="211"/>
      <c r="AY385" s="211"/>
      <c r="AZ385" s="211"/>
      <c r="BA385" s="211"/>
      <c r="BB385" s="211"/>
      <c r="BC385" s="211"/>
      <c r="BD385" s="333">
        <v>42754</v>
      </c>
      <c r="BE385" s="82">
        <f t="shared" si="49"/>
        <v>83520000</v>
      </c>
      <c r="BF385" s="13"/>
      <c r="BG385" s="1"/>
    </row>
    <row r="386" spans="1:59" s="54" customFormat="1" ht="30.6" hidden="1" x14ac:dyDescent="0.3">
      <c r="A386" s="56"/>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197">
        <f>+'Base de Datos'!I386</f>
        <v>61800000</v>
      </c>
      <c r="G386" s="196">
        <f>+'Base de Datos'!M386</f>
        <v>42451</v>
      </c>
      <c r="H386" s="196">
        <f>+'Base de Datos'!N386</f>
        <v>42816</v>
      </c>
      <c r="I386" s="196"/>
      <c r="J386" s="158"/>
      <c r="K386" s="333"/>
      <c r="L386" s="211"/>
      <c r="M386" s="336"/>
      <c r="N386" s="158"/>
      <c r="O386" s="333"/>
      <c r="P386" s="158"/>
      <c r="Q386" s="338"/>
      <c r="R386" s="81">
        <f t="shared" si="51"/>
        <v>0</v>
      </c>
      <c r="S386" s="258"/>
      <c r="T386" s="333"/>
      <c r="U386" s="158"/>
      <c r="V386" s="333"/>
      <c r="W386" s="158"/>
      <c r="X386" s="333"/>
      <c r="Y386" s="158"/>
      <c r="Z386" s="333"/>
      <c r="AA386" s="326"/>
      <c r="AB386" s="1004" t="str">
        <f t="shared" si="43"/>
        <v/>
      </c>
      <c r="AC386" s="1082" t="str">
        <f t="shared" si="44"/>
        <v/>
      </c>
      <c r="AD386" s="1077"/>
      <c r="AE386" s="1077"/>
      <c r="AF386" s="1084" t="str">
        <f t="shared" si="45"/>
        <v/>
      </c>
      <c r="AG386" s="1082" t="str">
        <f t="shared" si="46"/>
        <v/>
      </c>
      <c r="AH386" s="1091"/>
      <c r="AI386" s="1087"/>
      <c r="AJ386" s="1084" t="str">
        <f t="shared" si="47"/>
        <v/>
      </c>
      <c r="AK386" s="1083" t="str">
        <f t="shared" si="48"/>
        <v/>
      </c>
      <c r="AL386" s="211">
        <v>1545000</v>
      </c>
      <c r="AM386" s="211">
        <v>5150000</v>
      </c>
      <c r="AN386" s="211">
        <v>5150000</v>
      </c>
      <c r="AO386" s="211">
        <v>5150000</v>
      </c>
      <c r="AP386" s="211">
        <v>5150000</v>
      </c>
      <c r="AQ386" s="211">
        <v>5150000</v>
      </c>
      <c r="AR386" s="211">
        <v>5150000</v>
      </c>
      <c r="AS386" s="211">
        <v>5150000</v>
      </c>
      <c r="AT386" s="211">
        <v>5150000</v>
      </c>
      <c r="AU386" s="211">
        <v>5150000</v>
      </c>
      <c r="AV386" s="211">
        <v>5150000</v>
      </c>
      <c r="AW386" s="211">
        <v>5150000</v>
      </c>
      <c r="AX386" s="211">
        <v>3605000</v>
      </c>
      <c r="AY386" s="211"/>
      <c r="AZ386" s="211"/>
      <c r="BA386" s="211"/>
      <c r="BB386" s="211"/>
      <c r="BC386" s="211"/>
      <c r="BD386" s="333">
        <v>42844</v>
      </c>
      <c r="BE386" s="82">
        <f t="shared" si="49"/>
        <v>61800000</v>
      </c>
      <c r="BF386" s="13"/>
      <c r="BG386" s="1"/>
    </row>
    <row r="387" spans="1:59" s="54" customFormat="1" ht="40.799999999999997" hidden="1" x14ac:dyDescent="0.3">
      <c r="A387" s="56"/>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197">
        <f>+'Base de Datos'!I387</f>
        <v>56650000</v>
      </c>
      <c r="G387" s="196">
        <f>+'Base de Datos'!M387</f>
        <v>42466</v>
      </c>
      <c r="H387" s="196">
        <f>+'Base de Datos'!N387</f>
        <v>42772</v>
      </c>
      <c r="I387" s="196"/>
      <c r="J387" s="158"/>
      <c r="K387" s="333"/>
      <c r="L387" s="211"/>
      <c r="M387" s="336"/>
      <c r="N387" s="158"/>
      <c r="O387" s="333"/>
      <c r="P387" s="158"/>
      <c r="Q387" s="338"/>
      <c r="R387" s="81">
        <f t="shared" si="51"/>
        <v>0</v>
      </c>
      <c r="S387" s="258"/>
      <c r="T387" s="333"/>
      <c r="U387" s="158"/>
      <c r="V387" s="333"/>
      <c r="W387" s="158"/>
      <c r="X387" s="333"/>
      <c r="Y387" s="158"/>
      <c r="Z387" s="333"/>
      <c r="AA387" s="326"/>
      <c r="AB387" s="1004" t="str">
        <f t="shared" si="43"/>
        <v/>
      </c>
      <c r="AC387" s="1082" t="str">
        <f t="shared" si="44"/>
        <v/>
      </c>
      <c r="AD387" s="1077"/>
      <c r="AE387" s="1077"/>
      <c r="AF387" s="1084" t="str">
        <f t="shared" si="45"/>
        <v/>
      </c>
      <c r="AG387" s="1082" t="str">
        <f t="shared" si="46"/>
        <v/>
      </c>
      <c r="AH387" s="1091"/>
      <c r="AI387" s="1087"/>
      <c r="AJ387" s="1084" t="str">
        <f t="shared" si="47"/>
        <v/>
      </c>
      <c r="AK387" s="1083" t="str">
        <f t="shared" si="48"/>
        <v/>
      </c>
      <c r="AL387" s="211">
        <v>4720833</v>
      </c>
      <c r="AM387" s="211">
        <v>5665000</v>
      </c>
      <c r="AN387" s="211">
        <v>5665000</v>
      </c>
      <c r="AO387" s="211">
        <v>5665000</v>
      </c>
      <c r="AP387" s="211">
        <v>5665000</v>
      </c>
      <c r="AQ387" s="211">
        <v>5665000</v>
      </c>
      <c r="AR387" s="211">
        <v>5665000</v>
      </c>
      <c r="AS387" s="211">
        <v>5665000</v>
      </c>
      <c r="AT387" s="211">
        <v>5665000</v>
      </c>
      <c r="AU387" s="211">
        <v>5665000</v>
      </c>
      <c r="AV387" s="211">
        <v>944167</v>
      </c>
      <c r="AW387" s="211"/>
      <c r="AX387" s="211"/>
      <c r="AY387" s="211"/>
      <c r="AZ387" s="211"/>
      <c r="BA387" s="211"/>
      <c r="BB387" s="211"/>
      <c r="BC387" s="211"/>
      <c r="BD387" s="333">
        <v>42809</v>
      </c>
      <c r="BE387" s="82">
        <f t="shared" si="49"/>
        <v>56650000</v>
      </c>
      <c r="BF387" s="13"/>
      <c r="BG387" s="1"/>
    </row>
    <row r="388" spans="1:59" s="54" customFormat="1" ht="30.6" hidden="1" x14ac:dyDescent="0.3">
      <c r="A388" s="56"/>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197">
        <f>+'Base de Datos'!I388</f>
        <v>23872500</v>
      </c>
      <c r="G388" s="196">
        <f>+'Base de Datos'!M388</f>
        <v>42479</v>
      </c>
      <c r="H388" s="196">
        <f>+'Base de Datos'!N388</f>
        <v>42754</v>
      </c>
      <c r="I388" s="196"/>
      <c r="J388" s="158"/>
      <c r="K388" s="333"/>
      <c r="L388" s="211"/>
      <c r="M388" s="336"/>
      <c r="N388" s="158"/>
      <c r="O388" s="333"/>
      <c r="P388" s="158"/>
      <c r="Q388" s="338"/>
      <c r="R388" s="81">
        <f t="shared" si="51"/>
        <v>0</v>
      </c>
      <c r="S388" s="258"/>
      <c r="T388" s="333"/>
      <c r="U388" s="158"/>
      <c r="V388" s="333"/>
      <c r="W388" s="158"/>
      <c r="X388" s="333"/>
      <c r="Y388" s="158"/>
      <c r="Z388" s="333"/>
      <c r="AA388" s="326"/>
      <c r="AB388" s="1004" t="str">
        <f t="shared" si="43"/>
        <v/>
      </c>
      <c r="AC388" s="1082" t="str">
        <f t="shared" si="44"/>
        <v/>
      </c>
      <c r="AD388" s="1077"/>
      <c r="AE388" s="1077"/>
      <c r="AF388" s="1084" t="str">
        <f t="shared" si="45"/>
        <v/>
      </c>
      <c r="AG388" s="1082" t="str">
        <f t="shared" si="46"/>
        <v/>
      </c>
      <c r="AH388" s="1091"/>
      <c r="AI388" s="1087"/>
      <c r="AJ388" s="1084" t="str">
        <f t="shared" si="47"/>
        <v/>
      </c>
      <c r="AK388" s="1083" t="str">
        <f t="shared" si="48"/>
        <v/>
      </c>
      <c r="AL388" s="211">
        <v>1061000</v>
      </c>
      <c r="AM388" s="211">
        <v>2652500</v>
      </c>
      <c r="AN388" s="211">
        <v>2652500</v>
      </c>
      <c r="AO388" s="211">
        <v>2652500</v>
      </c>
      <c r="AP388" s="211">
        <v>2652500</v>
      </c>
      <c r="AQ388" s="211">
        <v>2652500</v>
      </c>
      <c r="AR388" s="211">
        <v>2652500</v>
      </c>
      <c r="AS388" s="211">
        <v>2652500</v>
      </c>
      <c r="AT388" s="211">
        <v>2652500</v>
      </c>
      <c r="AU388" s="211">
        <v>1591500</v>
      </c>
      <c r="AV388" s="211"/>
      <c r="AW388" s="211"/>
      <c r="AX388" s="211"/>
      <c r="AY388" s="211"/>
      <c r="AZ388" s="211"/>
      <c r="BA388" s="211"/>
      <c r="BB388" s="211"/>
      <c r="BC388" s="211"/>
      <c r="BD388" s="333">
        <v>42775</v>
      </c>
      <c r="BE388" s="82">
        <f t="shared" si="49"/>
        <v>23872500</v>
      </c>
      <c r="BF388" s="13"/>
      <c r="BG388" s="1"/>
    </row>
    <row r="389" spans="1:59" s="54" customFormat="1" ht="51" hidden="1" x14ac:dyDescent="0.3">
      <c r="A389" s="56"/>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197">
        <f>+'Base de Datos'!I389</f>
        <v>35595000</v>
      </c>
      <c r="G389" s="196">
        <f>+'Base de Datos'!M389</f>
        <v>42485</v>
      </c>
      <c r="H389" s="196">
        <f>+'Base de Datos'!N389</f>
        <v>42760</v>
      </c>
      <c r="I389" s="196"/>
      <c r="J389" s="158"/>
      <c r="K389" s="333"/>
      <c r="L389" s="211"/>
      <c r="M389" s="336"/>
      <c r="N389" s="158"/>
      <c r="O389" s="333"/>
      <c r="P389" s="158"/>
      <c r="Q389" s="338"/>
      <c r="R389" s="81">
        <f t="shared" si="51"/>
        <v>0</v>
      </c>
      <c r="S389" s="258"/>
      <c r="T389" s="333"/>
      <c r="U389" s="158"/>
      <c r="V389" s="333"/>
      <c r="W389" s="158"/>
      <c r="X389" s="333"/>
      <c r="Y389" s="158"/>
      <c r="Z389" s="333"/>
      <c r="AA389" s="326"/>
      <c r="AB389" s="1004" t="str">
        <f t="shared" si="43"/>
        <v/>
      </c>
      <c r="AC389" s="1082" t="str">
        <f t="shared" si="44"/>
        <v/>
      </c>
      <c r="AD389" s="1077"/>
      <c r="AE389" s="1077"/>
      <c r="AF389" s="1084" t="str">
        <f t="shared" si="45"/>
        <v/>
      </c>
      <c r="AG389" s="1082" t="str">
        <f t="shared" si="46"/>
        <v/>
      </c>
      <c r="AH389" s="1091"/>
      <c r="AI389" s="1087"/>
      <c r="AJ389" s="1084" t="str">
        <f t="shared" si="47"/>
        <v/>
      </c>
      <c r="AK389" s="1083" t="str">
        <f t="shared" si="48"/>
        <v/>
      </c>
      <c r="AL389" s="211">
        <v>791000</v>
      </c>
      <c r="AM389" s="211">
        <v>3955000</v>
      </c>
      <c r="AN389" s="211">
        <v>3955000</v>
      </c>
      <c r="AO389" s="211">
        <v>3955000</v>
      </c>
      <c r="AP389" s="211">
        <v>3955000</v>
      </c>
      <c r="AQ389" s="211">
        <v>3955000</v>
      </c>
      <c r="AR389" s="211">
        <v>3955000</v>
      </c>
      <c r="AS389" s="211">
        <v>3955000</v>
      </c>
      <c r="AT389" s="211">
        <v>3955000</v>
      </c>
      <c r="AU389" s="211">
        <v>3164000</v>
      </c>
      <c r="AV389" s="211"/>
      <c r="AW389" s="211"/>
      <c r="AX389" s="211"/>
      <c r="AY389" s="211"/>
      <c r="AZ389" s="211"/>
      <c r="BA389" s="211"/>
      <c r="BB389" s="211"/>
      <c r="BC389" s="211"/>
      <c r="BD389" s="333">
        <v>42776</v>
      </c>
      <c r="BE389" s="82">
        <f t="shared" si="49"/>
        <v>35595000</v>
      </c>
      <c r="BF389" s="13"/>
      <c r="BG389" s="1"/>
    </row>
    <row r="390" spans="1:59" s="54" customFormat="1" ht="51" hidden="1" x14ac:dyDescent="0.3">
      <c r="A390" s="56"/>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197">
        <f>+'Base de Datos'!I390</f>
        <v>154000000</v>
      </c>
      <c r="G390" s="196">
        <f>+'Base de Datos'!M390</f>
        <v>42466</v>
      </c>
      <c r="H390" s="196">
        <f>+'Base de Datos'!N390</f>
        <v>42741</v>
      </c>
      <c r="I390" s="196"/>
      <c r="J390" s="158">
        <v>40418052</v>
      </c>
      <c r="K390" s="333">
        <v>42741</v>
      </c>
      <c r="L390" s="211"/>
      <c r="M390" s="336"/>
      <c r="N390" s="158"/>
      <c r="O390" s="333"/>
      <c r="P390" s="158"/>
      <c r="Q390" s="338"/>
      <c r="R390" s="81">
        <f t="shared" si="51"/>
        <v>40418052</v>
      </c>
      <c r="S390" s="258" t="s">
        <v>378</v>
      </c>
      <c r="T390" s="333">
        <v>42800</v>
      </c>
      <c r="U390" s="158"/>
      <c r="V390" s="333"/>
      <c r="W390" s="158"/>
      <c r="X390" s="333"/>
      <c r="Y390" s="158"/>
      <c r="Z390" s="333"/>
      <c r="AA390" s="326" t="s">
        <v>378</v>
      </c>
      <c r="AB390" s="1004">
        <f t="shared" si="43"/>
        <v>42800</v>
      </c>
      <c r="AC390" s="1082" t="str">
        <f t="shared" si="44"/>
        <v/>
      </c>
      <c r="AD390" s="1077"/>
      <c r="AE390" s="1077"/>
      <c r="AF390" s="1084" t="str">
        <f t="shared" si="45"/>
        <v/>
      </c>
      <c r="AG390" s="1082" t="str">
        <f t="shared" si="46"/>
        <v/>
      </c>
      <c r="AH390" s="1091"/>
      <c r="AI390" s="1087"/>
      <c r="AJ390" s="1084" t="str">
        <f t="shared" si="47"/>
        <v/>
      </c>
      <c r="AK390" s="1083" t="str">
        <f t="shared" si="48"/>
        <v/>
      </c>
      <c r="AL390" s="211">
        <v>92062843</v>
      </c>
      <c r="AM390" s="211">
        <v>61375229</v>
      </c>
      <c r="AN390" s="211">
        <v>15740630</v>
      </c>
      <c r="AO390" s="211">
        <v>13756704</v>
      </c>
      <c r="AP390" s="211"/>
      <c r="AQ390" s="211"/>
      <c r="AR390" s="211"/>
      <c r="AS390" s="211"/>
      <c r="AT390" s="211"/>
      <c r="AU390" s="211"/>
      <c r="AV390" s="211"/>
      <c r="AW390" s="211"/>
      <c r="AX390" s="211"/>
      <c r="AY390" s="211"/>
      <c r="AZ390" s="211"/>
      <c r="BA390" s="211"/>
      <c r="BB390" s="211"/>
      <c r="BC390" s="211"/>
      <c r="BD390" s="333">
        <v>43663</v>
      </c>
      <c r="BE390" s="82">
        <f t="shared" si="49"/>
        <v>182935406</v>
      </c>
      <c r="BF390" s="13"/>
      <c r="BG390" s="1"/>
    </row>
    <row r="391" spans="1:59" s="54" customFormat="1" ht="51" hidden="1" x14ac:dyDescent="0.3">
      <c r="A391" s="56"/>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197">
        <f>+'Base de Datos'!I391</f>
        <v>3454655000</v>
      </c>
      <c r="G391" s="196">
        <f>+'Base de Datos'!M391</f>
        <v>42468</v>
      </c>
      <c r="H391" s="196">
        <f>+'Base de Datos'!N391</f>
        <v>42735</v>
      </c>
      <c r="I391" s="196"/>
      <c r="J391" s="158"/>
      <c r="K391" s="333"/>
      <c r="L391" s="211"/>
      <c r="M391" s="336"/>
      <c r="N391" s="158"/>
      <c r="O391" s="333"/>
      <c r="P391" s="158"/>
      <c r="Q391" s="338"/>
      <c r="R391" s="81">
        <f t="shared" si="51"/>
        <v>0</v>
      </c>
      <c r="S391" s="258" t="s">
        <v>962</v>
      </c>
      <c r="T391" s="333">
        <v>42750</v>
      </c>
      <c r="U391" s="158"/>
      <c r="V391" s="333"/>
      <c r="W391" s="158"/>
      <c r="X391" s="333"/>
      <c r="Y391" s="158"/>
      <c r="Z391" s="333"/>
      <c r="AA391" s="326" t="s">
        <v>962</v>
      </c>
      <c r="AB391" s="1004">
        <f t="shared" ref="AB391:AB454" si="52">IF(ISNUMBER(T391),MAX(T391,V391,X391,Z391),"")</f>
        <v>42750</v>
      </c>
      <c r="AC391" s="1082" t="str">
        <f t="shared" ref="AC391:AC454" si="53">IF(ISNUMBER(AD391),ABS(AD391-AE391)+1,"")</f>
        <v/>
      </c>
      <c r="AD391" s="1077"/>
      <c r="AE391" s="1077"/>
      <c r="AF391" s="1084" t="str">
        <f t="shared" ref="AF391:AF454" si="54">IFERROR(IF(MAX(H391,I391)&lt;AE391,MAX(H391,I391)-AE391+AC391+AE391,MAX(H391,I391)+AC391),"")</f>
        <v/>
      </c>
      <c r="AG391" s="1082" t="str">
        <f t="shared" ref="AG391:AG454" si="55">IF(ISNUMBER(AH391),ABS(AH391-AI391)+1,"")</f>
        <v/>
      </c>
      <c r="AH391" s="1091"/>
      <c r="AI391" s="1087"/>
      <c r="AJ391" s="1084" t="str">
        <f t="shared" ref="AJ391:AJ454" si="56">IFERROR(IF(AF391&lt;AI391,((AF391-AI391)+AG391)+(AI391),AF391+AG391),"")</f>
        <v/>
      </c>
      <c r="AK391" s="1083" t="str">
        <f t="shared" ref="AK391:AK454" si="57">IF(ISNUMBER(AF391),MAX(AB391,AF391,AJ391),"")</f>
        <v/>
      </c>
      <c r="AL391" s="211">
        <v>1036396500</v>
      </c>
      <c r="AM391" s="211">
        <v>690931000</v>
      </c>
      <c r="AN391" s="211">
        <v>690931000</v>
      </c>
      <c r="AO391" s="211">
        <v>1006434754</v>
      </c>
      <c r="AP391" s="211"/>
      <c r="AQ391" s="211"/>
      <c r="AR391" s="211"/>
      <c r="AS391" s="211"/>
      <c r="AT391" s="211"/>
      <c r="AU391" s="211"/>
      <c r="AV391" s="211"/>
      <c r="AW391" s="211"/>
      <c r="AX391" s="211"/>
      <c r="AY391" s="211"/>
      <c r="AZ391" s="211"/>
      <c r="BA391" s="211"/>
      <c r="BB391" s="211"/>
      <c r="BC391" s="211"/>
      <c r="BD391" s="333">
        <v>42866</v>
      </c>
      <c r="BE391" s="82">
        <f t="shared" si="49"/>
        <v>3424693254</v>
      </c>
      <c r="BF391" s="13"/>
      <c r="BG391" s="1"/>
    </row>
    <row r="392" spans="1:59" s="54" customFormat="1" ht="40.799999999999997" hidden="1" x14ac:dyDescent="0.3">
      <c r="A392" s="56"/>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197">
        <f>+'Base de Datos'!I392</f>
        <v>29664000</v>
      </c>
      <c r="G392" s="196">
        <f>+'Base de Datos'!M392</f>
        <v>42494</v>
      </c>
      <c r="H392" s="196">
        <f>+'Base de Datos'!N392</f>
        <v>42739</v>
      </c>
      <c r="I392" s="196"/>
      <c r="J392" s="158"/>
      <c r="K392" s="333"/>
      <c r="L392" s="211"/>
      <c r="M392" s="336"/>
      <c r="N392" s="158"/>
      <c r="O392" s="333"/>
      <c r="P392" s="158"/>
      <c r="Q392" s="338"/>
      <c r="R392" s="81">
        <f t="shared" si="51"/>
        <v>0</v>
      </c>
      <c r="S392" s="258"/>
      <c r="T392" s="333"/>
      <c r="U392" s="158"/>
      <c r="V392" s="333"/>
      <c r="W392" s="158"/>
      <c r="X392" s="333"/>
      <c r="Y392" s="158"/>
      <c r="Z392" s="333"/>
      <c r="AA392" s="326"/>
      <c r="AB392" s="1004" t="str">
        <f t="shared" si="52"/>
        <v/>
      </c>
      <c r="AC392" s="1082" t="str">
        <f t="shared" si="53"/>
        <v/>
      </c>
      <c r="AD392" s="1077"/>
      <c r="AE392" s="1077"/>
      <c r="AF392" s="1084" t="str">
        <f t="shared" si="54"/>
        <v/>
      </c>
      <c r="AG392" s="1082" t="str">
        <f t="shared" si="55"/>
        <v/>
      </c>
      <c r="AH392" s="1091"/>
      <c r="AI392" s="1087"/>
      <c r="AJ392" s="1084" t="str">
        <f t="shared" si="56"/>
        <v/>
      </c>
      <c r="AK392" s="1083" t="str">
        <f t="shared" si="57"/>
        <v/>
      </c>
      <c r="AL392" s="211">
        <v>3337200</v>
      </c>
      <c r="AM392" s="211">
        <v>3708000</v>
      </c>
      <c r="AN392" s="211">
        <v>3708000</v>
      </c>
      <c r="AO392" s="211">
        <v>3708000</v>
      </c>
      <c r="AP392" s="211">
        <v>3708000</v>
      </c>
      <c r="AQ392" s="211"/>
      <c r="AR392" s="211">
        <v>3708000</v>
      </c>
      <c r="AS392" s="211">
        <v>3708000</v>
      </c>
      <c r="AT392" s="211">
        <v>4078800</v>
      </c>
      <c r="AU392" s="211"/>
      <c r="AV392" s="211"/>
      <c r="AW392" s="211"/>
      <c r="AX392" s="211"/>
      <c r="AY392" s="211"/>
      <c r="AZ392" s="211"/>
      <c r="BA392" s="211"/>
      <c r="BB392" s="211"/>
      <c r="BC392" s="211"/>
      <c r="BD392" s="333">
        <v>42752</v>
      </c>
      <c r="BE392" s="82">
        <f t="shared" si="49"/>
        <v>29664000</v>
      </c>
      <c r="BF392" s="13"/>
      <c r="BG392" s="1"/>
    </row>
    <row r="393" spans="1:59" s="54" customFormat="1" ht="30.6" hidden="1" x14ac:dyDescent="0.3">
      <c r="A393" s="56"/>
      <c r="B393" s="2" t="str">
        <f>+'Base de Datos'!E393</f>
        <v>160082-0-2016</v>
      </c>
      <c r="C393" s="2" t="str">
        <f>+'Base de Datos'!F393</f>
        <v>CANAL REGIONAL DE TELEVISION TEVEANDINA LTDA - TEVEANDINA LTDA</v>
      </c>
      <c r="D393" s="2">
        <f>+'Base de Datos'!G393</f>
        <v>830005370</v>
      </c>
      <c r="E393" s="2" t="str">
        <f>+'Base de Datos'!H393</f>
        <v>Prestar los servicios de producción y trasmisión de programas de televisión para el Concejo de Bogotá.</v>
      </c>
      <c r="F393" s="197">
        <f>+'Base de Datos'!I393</f>
        <v>1148500000</v>
      </c>
      <c r="G393" s="196">
        <f>+'Base de Datos'!M393</f>
        <v>42481</v>
      </c>
      <c r="H393" s="196">
        <f>+'Base de Datos'!N393</f>
        <v>42787</v>
      </c>
      <c r="I393" s="196"/>
      <c r="J393" s="158"/>
      <c r="K393" s="333"/>
      <c r="L393" s="211"/>
      <c r="M393" s="336"/>
      <c r="N393" s="158"/>
      <c r="O393" s="333"/>
      <c r="P393" s="158"/>
      <c r="Q393" s="338"/>
      <c r="R393" s="81">
        <f t="shared" si="51"/>
        <v>0</v>
      </c>
      <c r="S393" s="258"/>
      <c r="T393" s="333"/>
      <c r="U393" s="158"/>
      <c r="V393" s="333"/>
      <c r="W393" s="158"/>
      <c r="X393" s="333"/>
      <c r="Y393" s="158"/>
      <c r="Z393" s="333"/>
      <c r="AA393" s="326"/>
      <c r="AB393" s="1004" t="str">
        <f t="shared" si="52"/>
        <v/>
      </c>
      <c r="AC393" s="1082" t="str">
        <f t="shared" si="53"/>
        <v/>
      </c>
      <c r="AD393" s="1077"/>
      <c r="AE393" s="1077"/>
      <c r="AF393" s="1084" t="str">
        <f t="shared" si="54"/>
        <v/>
      </c>
      <c r="AG393" s="1082" t="str">
        <f t="shared" si="55"/>
        <v/>
      </c>
      <c r="AH393" s="1091"/>
      <c r="AI393" s="1087"/>
      <c r="AJ393" s="1084" t="str">
        <f t="shared" si="56"/>
        <v/>
      </c>
      <c r="AK393" s="1083" t="str">
        <f t="shared" si="57"/>
        <v/>
      </c>
      <c r="AL393" s="211">
        <v>53007692</v>
      </c>
      <c r="AM393" s="211">
        <v>106015385</v>
      </c>
      <c r="AN393" s="211">
        <v>176692308</v>
      </c>
      <c r="AO393" s="211">
        <v>141353846</v>
      </c>
      <c r="AP393" s="211">
        <v>318046138</v>
      </c>
      <c r="AQ393" s="211">
        <v>141353839</v>
      </c>
      <c r="AR393" s="211">
        <v>212030760</v>
      </c>
      <c r="AS393" s="211"/>
      <c r="AT393" s="211"/>
      <c r="AU393" s="211"/>
      <c r="AV393" s="211"/>
      <c r="AW393" s="211"/>
      <c r="AX393" s="211"/>
      <c r="AY393" s="211"/>
      <c r="AZ393" s="211"/>
      <c r="BA393" s="211"/>
      <c r="BB393" s="211"/>
      <c r="BC393" s="211"/>
      <c r="BD393" s="333">
        <v>42846</v>
      </c>
      <c r="BE393" s="82">
        <f t="shared" si="49"/>
        <v>1148499968</v>
      </c>
      <c r="BF393" s="13"/>
      <c r="BG393" s="1"/>
    </row>
    <row r="394" spans="1:59" s="54" customFormat="1" ht="20.399999999999999" hidden="1" x14ac:dyDescent="0.3">
      <c r="A394" s="56"/>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197">
        <f>+'Base de Datos'!I394</f>
        <v>8010000</v>
      </c>
      <c r="G394" s="196">
        <f>+'Base de Datos'!M394</f>
        <v>42513</v>
      </c>
      <c r="H394" s="196">
        <f>+'Base de Datos'!N394</f>
        <v>42878</v>
      </c>
      <c r="I394" s="196"/>
      <c r="J394" s="158"/>
      <c r="K394" s="333"/>
      <c r="L394" s="211"/>
      <c r="M394" s="336"/>
      <c r="N394" s="158"/>
      <c r="O394" s="333"/>
      <c r="P394" s="158"/>
      <c r="Q394" s="338"/>
      <c r="R394" s="81">
        <f t="shared" si="51"/>
        <v>0</v>
      </c>
      <c r="S394" s="258"/>
      <c r="T394" s="333"/>
      <c r="U394" s="158"/>
      <c r="V394" s="333"/>
      <c r="W394" s="158"/>
      <c r="X394" s="333"/>
      <c r="Y394" s="158"/>
      <c r="Z394" s="333"/>
      <c r="AA394" s="326"/>
      <c r="AB394" s="1004" t="str">
        <f t="shared" si="52"/>
        <v/>
      </c>
      <c r="AC394" s="1082" t="str">
        <f t="shared" si="53"/>
        <v/>
      </c>
      <c r="AD394" s="1077"/>
      <c r="AE394" s="1077"/>
      <c r="AF394" s="1084" t="str">
        <f t="shared" si="54"/>
        <v/>
      </c>
      <c r="AG394" s="1082" t="str">
        <f t="shared" si="55"/>
        <v/>
      </c>
      <c r="AH394" s="1091"/>
      <c r="AI394" s="1087"/>
      <c r="AJ394" s="1084" t="str">
        <f t="shared" si="56"/>
        <v/>
      </c>
      <c r="AK394" s="1083" t="str">
        <f t="shared" si="57"/>
        <v/>
      </c>
      <c r="AL394" s="211">
        <v>8010000</v>
      </c>
      <c r="AM394" s="211"/>
      <c r="AN394" s="211"/>
      <c r="AO394" s="211"/>
      <c r="AP394" s="211"/>
      <c r="AQ394" s="211"/>
      <c r="AR394" s="211"/>
      <c r="AS394" s="211"/>
      <c r="AT394" s="211"/>
      <c r="AU394" s="211"/>
      <c r="AV394" s="211"/>
      <c r="AW394" s="211"/>
      <c r="AX394" s="211"/>
      <c r="AY394" s="211"/>
      <c r="AZ394" s="211"/>
      <c r="BA394" s="211"/>
      <c r="BB394" s="211"/>
      <c r="BC394" s="211"/>
      <c r="BD394" s="333">
        <v>42534</v>
      </c>
      <c r="BE394" s="82">
        <f t="shared" ref="BE394:BE457" si="58">SUM(AL394:BC394)</f>
        <v>8010000</v>
      </c>
      <c r="BF394" s="13"/>
      <c r="BG394" s="1"/>
    </row>
    <row r="395" spans="1:59" s="54" customFormat="1" ht="20.399999999999999" hidden="1" x14ac:dyDescent="0.3">
      <c r="A395" s="56"/>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197">
        <f>+'Base de Datos'!I395</f>
        <v>14640000</v>
      </c>
      <c r="G395" s="196">
        <f>+'Base de Datos'!M395</f>
        <v>42514</v>
      </c>
      <c r="H395" s="196">
        <f>+'Base de Datos'!N395</f>
        <v>42818</v>
      </c>
      <c r="I395" s="196"/>
      <c r="J395" s="158"/>
      <c r="K395" s="333"/>
      <c r="L395" s="211"/>
      <c r="M395" s="336"/>
      <c r="N395" s="158"/>
      <c r="O395" s="333"/>
      <c r="P395" s="158"/>
      <c r="Q395" s="338"/>
      <c r="R395" s="81">
        <f t="shared" si="51"/>
        <v>0</v>
      </c>
      <c r="S395" s="258"/>
      <c r="T395" s="333"/>
      <c r="U395" s="158"/>
      <c r="V395" s="333"/>
      <c r="W395" s="158"/>
      <c r="X395" s="333"/>
      <c r="Y395" s="158"/>
      <c r="Z395" s="333"/>
      <c r="AA395" s="326"/>
      <c r="AB395" s="1004" t="str">
        <f t="shared" si="52"/>
        <v/>
      </c>
      <c r="AC395" s="1082" t="str">
        <f t="shared" si="53"/>
        <v/>
      </c>
      <c r="AD395" s="1077"/>
      <c r="AE395" s="1077"/>
      <c r="AF395" s="1084" t="str">
        <f t="shared" si="54"/>
        <v/>
      </c>
      <c r="AG395" s="1082" t="str">
        <f t="shared" si="55"/>
        <v/>
      </c>
      <c r="AH395" s="1091"/>
      <c r="AI395" s="1087"/>
      <c r="AJ395" s="1084" t="str">
        <f t="shared" si="56"/>
        <v/>
      </c>
      <c r="AK395" s="1083" t="str">
        <f t="shared" si="57"/>
        <v/>
      </c>
      <c r="AL395" s="211">
        <v>1393166</v>
      </c>
      <c r="AM395" s="211">
        <v>1393166</v>
      </c>
      <c r="AN395" s="211">
        <v>2786332</v>
      </c>
      <c r="AO395" s="211">
        <v>1393166</v>
      </c>
      <c r="AP395" s="211">
        <v>1393166</v>
      </c>
      <c r="AQ395" s="211">
        <v>1393166</v>
      </c>
      <c r="AR395" s="211">
        <v>1393166</v>
      </c>
      <c r="AS395" s="211">
        <v>1393166</v>
      </c>
      <c r="AT395" s="211">
        <v>1393166</v>
      </c>
      <c r="AU395" s="211"/>
      <c r="AV395" s="211"/>
      <c r="AW395" s="211"/>
      <c r="AX395" s="211"/>
      <c r="AY395" s="211"/>
      <c r="AZ395" s="211"/>
      <c r="BA395" s="211"/>
      <c r="BB395" s="211"/>
      <c r="BC395" s="211"/>
      <c r="BD395" s="333">
        <v>42864</v>
      </c>
      <c r="BE395" s="82">
        <f t="shared" si="58"/>
        <v>13931660</v>
      </c>
      <c r="BF395" s="13"/>
      <c r="BG395" s="1"/>
    </row>
    <row r="396" spans="1:59" s="54" customFormat="1" ht="30.6" hidden="1" x14ac:dyDescent="0.3">
      <c r="A396" s="56"/>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197">
        <f>+'Base de Datos'!I396</f>
        <v>44000000</v>
      </c>
      <c r="G396" s="196">
        <f>+'Base de Datos'!M396</f>
        <v>42510</v>
      </c>
      <c r="H396" s="196">
        <f>+'Base de Datos'!N396</f>
        <v>42755</v>
      </c>
      <c r="I396" s="196"/>
      <c r="J396" s="158"/>
      <c r="K396" s="333"/>
      <c r="L396" s="211"/>
      <c r="M396" s="336"/>
      <c r="N396" s="158"/>
      <c r="O396" s="333"/>
      <c r="P396" s="158"/>
      <c r="Q396" s="338"/>
      <c r="R396" s="81">
        <f t="shared" si="51"/>
        <v>0</v>
      </c>
      <c r="S396" s="258"/>
      <c r="T396" s="333"/>
      <c r="U396" s="158"/>
      <c r="V396" s="333"/>
      <c r="W396" s="158"/>
      <c r="X396" s="333"/>
      <c r="Y396" s="158"/>
      <c r="Z396" s="333"/>
      <c r="AA396" s="326"/>
      <c r="AB396" s="1004" t="str">
        <f t="shared" si="52"/>
        <v/>
      </c>
      <c r="AC396" s="1082" t="str">
        <f t="shared" si="53"/>
        <v/>
      </c>
      <c r="AD396" s="1077"/>
      <c r="AE396" s="1077"/>
      <c r="AF396" s="1084" t="str">
        <f t="shared" si="54"/>
        <v/>
      </c>
      <c r="AG396" s="1082" t="str">
        <f t="shared" si="55"/>
        <v/>
      </c>
      <c r="AH396" s="1091"/>
      <c r="AI396" s="1087"/>
      <c r="AJ396" s="1084" t="str">
        <f t="shared" si="56"/>
        <v/>
      </c>
      <c r="AK396" s="1083" t="str">
        <f t="shared" si="57"/>
        <v/>
      </c>
      <c r="AL396" s="211">
        <v>2016666</v>
      </c>
      <c r="AM396" s="211">
        <v>5500000</v>
      </c>
      <c r="AN396" s="211">
        <v>5500000</v>
      </c>
      <c r="AO396" s="211">
        <v>5500000</v>
      </c>
      <c r="AP396" s="211">
        <v>5500000</v>
      </c>
      <c r="AQ396" s="211">
        <v>5500000</v>
      </c>
      <c r="AR396" s="211">
        <v>5500000</v>
      </c>
      <c r="AS396" s="211">
        <v>5500000</v>
      </c>
      <c r="AT396" s="211">
        <v>3483334</v>
      </c>
      <c r="AU396" s="211"/>
      <c r="AV396" s="211"/>
      <c r="AW396" s="211"/>
      <c r="AX396" s="211"/>
      <c r="AY396" s="211"/>
      <c r="AZ396" s="211"/>
      <c r="BA396" s="211"/>
      <c r="BB396" s="211"/>
      <c r="BC396" s="211"/>
      <c r="BD396" s="333">
        <v>42772</v>
      </c>
      <c r="BE396" s="82">
        <f t="shared" si="58"/>
        <v>44000000</v>
      </c>
      <c r="BF396" s="13"/>
      <c r="BG396" s="1"/>
    </row>
    <row r="397" spans="1:59" s="54" customFormat="1" ht="20.399999999999999" hidden="1" x14ac:dyDescent="0.3">
      <c r="A397" s="56"/>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197">
        <f>+'Base de Datos'!I397</f>
        <v>33009000</v>
      </c>
      <c r="G397" s="196">
        <f>+'Base de Datos'!M397</f>
        <v>42513</v>
      </c>
      <c r="H397" s="196">
        <f>+'Base de Datos'!N397</f>
        <v>42878</v>
      </c>
      <c r="I397" s="196"/>
      <c r="J397" s="158"/>
      <c r="K397" s="333"/>
      <c r="L397" s="211"/>
      <c r="M397" s="336"/>
      <c r="N397" s="158"/>
      <c r="O397" s="333"/>
      <c r="P397" s="158"/>
      <c r="Q397" s="338"/>
      <c r="R397" s="81">
        <f t="shared" si="51"/>
        <v>0</v>
      </c>
      <c r="S397" s="820" t="s">
        <v>2950</v>
      </c>
      <c r="T397" s="333">
        <v>42898</v>
      </c>
      <c r="U397" s="158"/>
      <c r="V397" s="333"/>
      <c r="W397" s="158"/>
      <c r="X397" s="333"/>
      <c r="Y397" s="158"/>
      <c r="Z397" s="333"/>
      <c r="AA397" s="326" t="s">
        <v>2951</v>
      </c>
      <c r="AB397" s="1004">
        <f t="shared" si="52"/>
        <v>42898</v>
      </c>
      <c r="AC397" s="1082" t="str">
        <f t="shared" si="53"/>
        <v/>
      </c>
      <c r="AD397" s="1077"/>
      <c r="AE397" s="1077"/>
      <c r="AF397" s="1084" t="str">
        <f t="shared" si="54"/>
        <v/>
      </c>
      <c r="AG397" s="1082" t="str">
        <f t="shared" si="55"/>
        <v/>
      </c>
      <c r="AH397" s="1091"/>
      <c r="AI397" s="1087"/>
      <c r="AJ397" s="1084" t="str">
        <f t="shared" si="56"/>
        <v/>
      </c>
      <c r="AK397" s="1083" t="str">
        <f t="shared" si="57"/>
        <v/>
      </c>
      <c r="AL397" s="211">
        <v>739443</v>
      </c>
      <c r="AM397" s="211">
        <v>2398458</v>
      </c>
      <c r="AN397" s="211">
        <v>2245866</v>
      </c>
      <c r="AO397" s="211">
        <v>2316090</v>
      </c>
      <c r="AP397" s="211">
        <v>2569002</v>
      </c>
      <c r="AQ397" s="211">
        <v>2568474</v>
      </c>
      <c r="AR397" s="211">
        <v>2450730</v>
      </c>
      <c r="AS397" s="211">
        <v>3176202</v>
      </c>
      <c r="AT397" s="211">
        <v>2281590</v>
      </c>
      <c r="AU397" s="211">
        <v>2425665</v>
      </c>
      <c r="AV397" s="211"/>
      <c r="AW397" s="211">
        <v>2709280</v>
      </c>
      <c r="AX397" s="211">
        <v>2303790</v>
      </c>
      <c r="AY397" s="211">
        <v>2863457</v>
      </c>
      <c r="AZ397" s="211">
        <v>912749</v>
      </c>
      <c r="BA397" s="211"/>
      <c r="BB397" s="211"/>
      <c r="BC397" s="211"/>
      <c r="BD397" s="333">
        <v>42920</v>
      </c>
      <c r="BE397" s="82">
        <f t="shared" si="58"/>
        <v>31960796</v>
      </c>
      <c r="BF397" s="13"/>
      <c r="BG397" s="1"/>
    </row>
    <row r="398" spans="1:59" s="54" customFormat="1" ht="30.6" hidden="1" x14ac:dyDescent="0.3">
      <c r="A398" s="56"/>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197">
        <f>+'Base de Datos'!I398</f>
        <v>37080000</v>
      </c>
      <c r="G398" s="196">
        <f>+'Base de Datos'!M398</f>
        <v>42522</v>
      </c>
      <c r="H398" s="196">
        <f>+'Base de Datos'!N398</f>
        <v>42795</v>
      </c>
      <c r="I398" s="196"/>
      <c r="J398" s="158"/>
      <c r="K398" s="333"/>
      <c r="L398" s="211"/>
      <c r="M398" s="336"/>
      <c r="N398" s="158"/>
      <c r="O398" s="333"/>
      <c r="P398" s="158"/>
      <c r="Q398" s="338"/>
      <c r="R398" s="81">
        <f t="shared" si="51"/>
        <v>0</v>
      </c>
      <c r="S398" s="258"/>
      <c r="T398" s="333"/>
      <c r="U398" s="158"/>
      <c r="V398" s="333"/>
      <c r="W398" s="158"/>
      <c r="X398" s="333"/>
      <c r="Y398" s="158"/>
      <c r="Z398" s="333"/>
      <c r="AA398" s="326"/>
      <c r="AB398" s="1004" t="str">
        <f t="shared" si="52"/>
        <v/>
      </c>
      <c r="AC398" s="1082" t="str">
        <f t="shared" si="53"/>
        <v/>
      </c>
      <c r="AD398" s="1077"/>
      <c r="AE398" s="1077"/>
      <c r="AF398" s="1084" t="str">
        <f t="shared" si="54"/>
        <v/>
      </c>
      <c r="AG398" s="1082" t="str">
        <f t="shared" si="55"/>
        <v/>
      </c>
      <c r="AH398" s="1091"/>
      <c r="AI398" s="1087"/>
      <c r="AJ398" s="1084" t="str">
        <f t="shared" si="56"/>
        <v/>
      </c>
      <c r="AK398" s="1083" t="str">
        <f t="shared" si="57"/>
        <v/>
      </c>
      <c r="AL398" s="211">
        <v>4120000</v>
      </c>
      <c r="AM398" s="211">
        <v>4120000</v>
      </c>
      <c r="AN398" s="211">
        <v>4120000</v>
      </c>
      <c r="AO398" s="211">
        <v>4120000</v>
      </c>
      <c r="AP398" s="211">
        <v>4120000</v>
      </c>
      <c r="AQ398" s="211">
        <v>4120000</v>
      </c>
      <c r="AR398" s="211">
        <v>4120000</v>
      </c>
      <c r="AS398" s="211">
        <v>4120000</v>
      </c>
      <c r="AT398" s="211">
        <v>4120000</v>
      </c>
      <c r="AU398" s="211"/>
      <c r="AV398" s="211"/>
      <c r="AW398" s="211"/>
      <c r="AX398" s="211"/>
      <c r="AY398" s="211"/>
      <c r="AZ398" s="211"/>
      <c r="BA398" s="211"/>
      <c r="BB398" s="211"/>
      <c r="BC398" s="211"/>
      <c r="BD398" s="333">
        <v>42817</v>
      </c>
      <c r="BE398" s="82">
        <f t="shared" si="58"/>
        <v>37080000</v>
      </c>
      <c r="BF398" s="13"/>
      <c r="BG398" s="1"/>
    </row>
    <row r="399" spans="1:59" s="54" customFormat="1" ht="40.799999999999997" hidden="1" x14ac:dyDescent="0.3">
      <c r="A399" s="56"/>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197">
        <f>+'Base de Datos'!I399</f>
        <v>43712000</v>
      </c>
      <c r="G399" s="196">
        <f>+'Base de Datos'!M399</f>
        <v>42523</v>
      </c>
      <c r="H399" s="196">
        <f>+'Base de Datos'!N399</f>
        <v>42768</v>
      </c>
      <c r="I399" s="196"/>
      <c r="J399" s="158"/>
      <c r="K399" s="333"/>
      <c r="L399" s="211"/>
      <c r="M399" s="336"/>
      <c r="N399" s="158"/>
      <c r="O399" s="333"/>
      <c r="P399" s="158"/>
      <c r="Q399" s="338"/>
      <c r="R399" s="81">
        <f t="shared" si="51"/>
        <v>0</v>
      </c>
      <c r="S399" s="258"/>
      <c r="T399" s="333"/>
      <c r="U399" s="158"/>
      <c r="V399" s="333"/>
      <c r="W399" s="158"/>
      <c r="X399" s="333"/>
      <c r="Y399" s="158"/>
      <c r="Z399" s="333"/>
      <c r="AA399" s="326"/>
      <c r="AB399" s="1004" t="str">
        <f t="shared" si="52"/>
        <v/>
      </c>
      <c r="AC399" s="1082" t="str">
        <f t="shared" si="53"/>
        <v/>
      </c>
      <c r="AD399" s="1077"/>
      <c r="AE399" s="1077"/>
      <c r="AF399" s="1084" t="str">
        <f t="shared" si="54"/>
        <v/>
      </c>
      <c r="AG399" s="1082" t="str">
        <f t="shared" si="55"/>
        <v/>
      </c>
      <c r="AH399" s="1091"/>
      <c r="AI399" s="1087"/>
      <c r="AJ399" s="1084" t="str">
        <f t="shared" si="56"/>
        <v/>
      </c>
      <c r="AK399" s="1083" t="str">
        <f t="shared" si="57"/>
        <v/>
      </c>
      <c r="AL399" s="211">
        <v>5281866</v>
      </c>
      <c r="AM399" s="211">
        <v>5464000</v>
      </c>
      <c r="AN399" s="211">
        <v>5464000</v>
      </c>
      <c r="AO399" s="211">
        <v>5464000</v>
      </c>
      <c r="AP399" s="211">
        <v>5464000</v>
      </c>
      <c r="AQ399" s="211">
        <v>5464000</v>
      </c>
      <c r="AR399" s="211">
        <v>5464000</v>
      </c>
      <c r="AS399" s="211">
        <v>5646134</v>
      </c>
      <c r="AT399" s="211"/>
      <c r="AU399" s="211"/>
      <c r="AV399" s="211"/>
      <c r="AW399" s="211"/>
      <c r="AX399" s="211"/>
      <c r="AY399" s="211"/>
      <c r="AZ399" s="211"/>
      <c r="BA399" s="211"/>
      <c r="BB399" s="211"/>
      <c r="BC399" s="211"/>
      <c r="BD399" s="333">
        <v>42774</v>
      </c>
      <c r="BE399" s="82">
        <f t="shared" si="58"/>
        <v>43712000</v>
      </c>
      <c r="BF399" s="13"/>
      <c r="BG399" s="1"/>
    </row>
    <row r="400" spans="1:59" s="54" customFormat="1" ht="30.6" hidden="1" x14ac:dyDescent="0.3">
      <c r="A400" s="56"/>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197">
        <f>+'Base de Datos'!I400</f>
        <v>29664000</v>
      </c>
      <c r="G400" s="196">
        <f>+'Base de Datos'!M400</f>
        <v>42524</v>
      </c>
      <c r="H400" s="196">
        <f>+'Base de Datos'!N400</f>
        <v>42797</v>
      </c>
      <c r="I400" s="196"/>
      <c r="J400" s="158"/>
      <c r="K400" s="333"/>
      <c r="L400" s="211"/>
      <c r="M400" s="336"/>
      <c r="N400" s="158"/>
      <c r="O400" s="333"/>
      <c r="P400" s="158"/>
      <c r="Q400" s="338"/>
      <c r="R400" s="81">
        <f t="shared" si="51"/>
        <v>0</v>
      </c>
      <c r="S400" s="258"/>
      <c r="T400" s="333"/>
      <c r="U400" s="158"/>
      <c r="V400" s="333"/>
      <c r="W400" s="158"/>
      <c r="X400" s="333"/>
      <c r="Y400" s="158"/>
      <c r="Z400" s="333"/>
      <c r="AA400" s="326"/>
      <c r="AB400" s="1004" t="str">
        <f t="shared" si="52"/>
        <v/>
      </c>
      <c r="AC400" s="1082" t="str">
        <f t="shared" si="53"/>
        <v/>
      </c>
      <c r="AD400" s="1077"/>
      <c r="AE400" s="1077"/>
      <c r="AF400" s="1084" t="str">
        <f t="shared" si="54"/>
        <v/>
      </c>
      <c r="AG400" s="1082" t="str">
        <f t="shared" si="55"/>
        <v/>
      </c>
      <c r="AH400" s="1091"/>
      <c r="AI400" s="1087"/>
      <c r="AJ400" s="1084" t="str">
        <f t="shared" si="56"/>
        <v/>
      </c>
      <c r="AK400" s="1083" t="str">
        <f t="shared" si="57"/>
        <v/>
      </c>
      <c r="AL400" s="211">
        <v>3076266</v>
      </c>
      <c r="AM400" s="211">
        <v>3296000</v>
      </c>
      <c r="AN400" s="211">
        <v>3296000</v>
      </c>
      <c r="AO400" s="211">
        <v>3296000</v>
      </c>
      <c r="AP400" s="211">
        <v>3296000</v>
      </c>
      <c r="AQ400" s="211">
        <v>3296000</v>
      </c>
      <c r="AR400" s="211">
        <v>3296000</v>
      </c>
      <c r="AS400" s="211">
        <v>3296000</v>
      </c>
      <c r="AT400" s="211">
        <v>3296000</v>
      </c>
      <c r="AU400" s="211">
        <v>219734</v>
      </c>
      <c r="AV400" s="211"/>
      <c r="AW400" s="211"/>
      <c r="AX400" s="211"/>
      <c r="AY400" s="211"/>
      <c r="AZ400" s="211"/>
      <c r="BA400" s="211"/>
      <c r="BB400" s="211"/>
      <c r="BC400" s="211"/>
      <c r="BD400" s="333">
        <v>42963</v>
      </c>
      <c r="BE400" s="82">
        <f t="shared" si="58"/>
        <v>29664000</v>
      </c>
      <c r="BF400" s="13"/>
      <c r="BG400" s="1"/>
    </row>
    <row r="401" spans="1:59" s="54" customFormat="1" ht="30.6" hidden="1" x14ac:dyDescent="0.3">
      <c r="A401" s="56"/>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197">
        <f>+'Base de Datos'!I401</f>
        <v>6239000</v>
      </c>
      <c r="G401" s="196">
        <f>+'Base de Datos'!M401</f>
        <v>42508</v>
      </c>
      <c r="H401" s="196">
        <f>+'Base de Datos'!N401</f>
        <v>42569</v>
      </c>
      <c r="I401" s="196"/>
      <c r="J401" s="158"/>
      <c r="K401" s="333"/>
      <c r="L401" s="211"/>
      <c r="M401" s="336"/>
      <c r="N401" s="158"/>
      <c r="O401" s="333"/>
      <c r="P401" s="158"/>
      <c r="Q401" s="338"/>
      <c r="R401" s="81">
        <f t="shared" si="51"/>
        <v>0</v>
      </c>
      <c r="S401" s="258"/>
      <c r="T401" s="333"/>
      <c r="U401" s="158"/>
      <c r="V401" s="333"/>
      <c r="W401" s="158"/>
      <c r="X401" s="333"/>
      <c r="Y401" s="158"/>
      <c r="Z401" s="333"/>
      <c r="AA401" s="326"/>
      <c r="AB401" s="1004" t="str">
        <f t="shared" si="52"/>
        <v/>
      </c>
      <c r="AC401" s="1082" t="str">
        <f t="shared" si="53"/>
        <v/>
      </c>
      <c r="AD401" s="1077"/>
      <c r="AE401" s="1077"/>
      <c r="AF401" s="1084" t="str">
        <f t="shared" si="54"/>
        <v/>
      </c>
      <c r="AG401" s="1082" t="str">
        <f t="shared" si="55"/>
        <v/>
      </c>
      <c r="AH401" s="1091"/>
      <c r="AI401" s="1087"/>
      <c r="AJ401" s="1084" t="str">
        <f t="shared" si="56"/>
        <v/>
      </c>
      <c r="AK401" s="1083" t="str">
        <f t="shared" si="57"/>
        <v/>
      </c>
      <c r="AL401" s="211">
        <v>6238990</v>
      </c>
      <c r="AM401" s="211"/>
      <c r="AN401" s="211"/>
      <c r="AO401" s="211"/>
      <c r="AP401" s="211"/>
      <c r="AQ401" s="211"/>
      <c r="AR401" s="211"/>
      <c r="AS401" s="211"/>
      <c r="AT401" s="211"/>
      <c r="AU401" s="211"/>
      <c r="AV401" s="211"/>
      <c r="AW401" s="211"/>
      <c r="AX401" s="211"/>
      <c r="AY401" s="211"/>
      <c r="AZ401" s="211"/>
      <c r="BA401" s="211"/>
      <c r="BB401" s="211"/>
      <c r="BC401" s="211"/>
      <c r="BD401" s="333">
        <v>42633</v>
      </c>
      <c r="BE401" s="82">
        <f t="shared" si="58"/>
        <v>6238990</v>
      </c>
      <c r="BF401" s="13"/>
      <c r="BG401" s="1"/>
    </row>
    <row r="402" spans="1:59" s="54" customFormat="1" ht="30.6" hidden="1" x14ac:dyDescent="0.3">
      <c r="A402" s="56"/>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197">
        <f>+'Base de Datos'!I402</f>
        <v>2060000</v>
      </c>
      <c r="G402" s="196">
        <f>+'Base de Datos'!M402</f>
        <v>42541</v>
      </c>
      <c r="H402" s="196">
        <f>+'Base de Datos'!N402</f>
        <v>42786</v>
      </c>
      <c r="I402" s="196"/>
      <c r="J402" s="158"/>
      <c r="K402" s="333"/>
      <c r="L402" s="211"/>
      <c r="M402" s="336"/>
      <c r="N402" s="158"/>
      <c r="O402" s="333"/>
      <c r="P402" s="158"/>
      <c r="Q402" s="338"/>
      <c r="R402" s="81">
        <f t="shared" si="51"/>
        <v>0</v>
      </c>
      <c r="S402" s="258" t="s">
        <v>378</v>
      </c>
      <c r="T402" s="333">
        <v>42845</v>
      </c>
      <c r="U402" s="158"/>
      <c r="V402" s="333"/>
      <c r="W402" s="158"/>
      <c r="X402" s="333"/>
      <c r="Y402" s="158"/>
      <c r="Z402" s="333"/>
      <c r="AA402" s="326" t="s">
        <v>378</v>
      </c>
      <c r="AB402" s="1004">
        <f t="shared" si="52"/>
        <v>42845</v>
      </c>
      <c r="AC402" s="1082" t="str">
        <f t="shared" si="53"/>
        <v/>
      </c>
      <c r="AD402" s="1077"/>
      <c r="AE402" s="1077"/>
      <c r="AF402" s="1084" t="str">
        <f t="shared" si="54"/>
        <v/>
      </c>
      <c r="AG402" s="1082" t="str">
        <f t="shared" si="55"/>
        <v/>
      </c>
      <c r="AH402" s="1091"/>
      <c r="AI402" s="1087"/>
      <c r="AJ402" s="1084" t="str">
        <f t="shared" si="56"/>
        <v/>
      </c>
      <c r="AK402" s="1083" t="str">
        <f t="shared" si="57"/>
        <v/>
      </c>
      <c r="AL402" s="211">
        <v>348000</v>
      </c>
      <c r="AM402" s="211">
        <v>739200</v>
      </c>
      <c r="AN402" s="211">
        <v>348000</v>
      </c>
      <c r="AO402" s="211">
        <v>348000</v>
      </c>
      <c r="AP402" s="211"/>
      <c r="AQ402" s="211"/>
      <c r="AR402" s="211"/>
      <c r="AS402" s="211"/>
      <c r="AT402" s="211"/>
      <c r="AU402" s="211"/>
      <c r="AV402" s="211"/>
      <c r="AW402" s="211"/>
      <c r="AX402" s="211"/>
      <c r="AY402" s="211"/>
      <c r="AZ402" s="211"/>
      <c r="BA402" s="211"/>
      <c r="BB402" s="211"/>
      <c r="BC402" s="211"/>
      <c r="BD402" s="333">
        <v>42877</v>
      </c>
      <c r="BE402" s="82">
        <f t="shared" si="58"/>
        <v>1783200</v>
      </c>
      <c r="BF402" s="13"/>
      <c r="BG402" s="1"/>
    </row>
    <row r="403" spans="1:59" s="54" customFormat="1" ht="40.799999999999997" hidden="1" x14ac:dyDescent="0.3">
      <c r="A403" s="56"/>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197">
        <f>+'Base de Datos'!I403</f>
        <v>19931000</v>
      </c>
      <c r="G403" s="196">
        <f>+'Base de Datos'!M403</f>
        <v>42529</v>
      </c>
      <c r="H403" s="196">
        <f>+'Base de Datos'!N403</f>
        <v>42774</v>
      </c>
      <c r="I403" s="196"/>
      <c r="J403" s="158"/>
      <c r="K403" s="333"/>
      <c r="L403" s="211"/>
      <c r="M403" s="336"/>
      <c r="N403" s="158"/>
      <c r="O403" s="333"/>
      <c r="P403" s="158"/>
      <c r="Q403" s="338"/>
      <c r="R403" s="81">
        <f t="shared" si="51"/>
        <v>0</v>
      </c>
      <c r="S403" s="258" t="s">
        <v>378</v>
      </c>
      <c r="T403" s="333">
        <v>42833</v>
      </c>
      <c r="U403" s="158"/>
      <c r="V403" s="333"/>
      <c r="W403" s="158"/>
      <c r="X403" s="333"/>
      <c r="Y403" s="158"/>
      <c r="Z403" s="333"/>
      <c r="AA403" s="326" t="s">
        <v>378</v>
      </c>
      <c r="AB403" s="1004">
        <f t="shared" si="52"/>
        <v>42833</v>
      </c>
      <c r="AC403" s="1082" t="str">
        <f t="shared" si="53"/>
        <v/>
      </c>
      <c r="AD403" s="1077"/>
      <c r="AE403" s="1077"/>
      <c r="AF403" s="1084" t="str">
        <f t="shared" si="54"/>
        <v/>
      </c>
      <c r="AG403" s="1082" t="str">
        <f t="shared" si="55"/>
        <v/>
      </c>
      <c r="AH403" s="1091"/>
      <c r="AI403" s="1087"/>
      <c r="AJ403" s="1084" t="str">
        <f t="shared" si="56"/>
        <v/>
      </c>
      <c r="AK403" s="1083" t="str">
        <f t="shared" si="57"/>
        <v/>
      </c>
      <c r="AL403" s="211">
        <v>2228437</v>
      </c>
      <c r="AM403" s="211">
        <v>3108268</v>
      </c>
      <c r="AN403" s="211">
        <v>3129126</v>
      </c>
      <c r="AO403" s="211">
        <v>3281660</v>
      </c>
      <c r="AP403" s="211">
        <v>764426</v>
      </c>
      <c r="AQ403" s="211">
        <v>499482</v>
      </c>
      <c r="AR403" s="211">
        <v>1033938</v>
      </c>
      <c r="AS403" s="211">
        <v>1913016</v>
      </c>
      <c r="AT403" s="211">
        <v>2997178</v>
      </c>
      <c r="AU403" s="211">
        <v>975270</v>
      </c>
      <c r="AV403" s="211"/>
      <c r="AW403" s="211"/>
      <c r="AX403" s="211"/>
      <c r="AY403" s="211"/>
      <c r="AZ403" s="211"/>
      <c r="BA403" s="211"/>
      <c r="BB403" s="211"/>
      <c r="BC403" s="211"/>
      <c r="BD403" s="333">
        <v>42859</v>
      </c>
      <c r="BE403" s="82">
        <f t="shared" si="58"/>
        <v>19930801</v>
      </c>
      <c r="BF403" s="13"/>
      <c r="BG403" s="1"/>
    </row>
    <row r="404" spans="1:59" s="54" customFormat="1" ht="71.400000000000006" hidden="1" x14ac:dyDescent="0.3">
      <c r="A404" s="56"/>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197">
        <f>+'Base de Datos'!I404</f>
        <v>108906000</v>
      </c>
      <c r="G404" s="196">
        <f>+'Base de Datos'!M404</f>
        <v>42531</v>
      </c>
      <c r="H404" s="196">
        <f>+'Base de Datos'!N404</f>
        <v>42835</v>
      </c>
      <c r="I404" s="196"/>
      <c r="J404" s="158">
        <v>40000000</v>
      </c>
      <c r="K404" s="333">
        <v>42860</v>
      </c>
      <c r="L404" s="211"/>
      <c r="M404" s="336"/>
      <c r="N404" s="158"/>
      <c r="O404" s="333"/>
      <c r="P404" s="158"/>
      <c r="Q404" s="338"/>
      <c r="R404" s="81">
        <f t="shared" si="51"/>
        <v>40000000</v>
      </c>
      <c r="S404" s="820" t="s">
        <v>2869</v>
      </c>
      <c r="T404" s="333">
        <v>42846</v>
      </c>
      <c r="U404" s="157" t="s">
        <v>543</v>
      </c>
      <c r="V404" s="333">
        <v>42867</v>
      </c>
      <c r="W404" s="158"/>
      <c r="X404" s="333"/>
      <c r="Y404" s="158"/>
      <c r="Z404" s="333"/>
      <c r="AA404" s="326" t="s">
        <v>2870</v>
      </c>
      <c r="AB404" s="1004">
        <f t="shared" si="52"/>
        <v>42867</v>
      </c>
      <c r="AC404" s="1082" t="str">
        <f t="shared" si="53"/>
        <v/>
      </c>
      <c r="AD404" s="1077"/>
      <c r="AE404" s="1077"/>
      <c r="AF404" s="1084" t="str">
        <f t="shared" si="54"/>
        <v/>
      </c>
      <c r="AG404" s="1082" t="str">
        <f t="shared" si="55"/>
        <v/>
      </c>
      <c r="AH404" s="1091"/>
      <c r="AI404" s="1087"/>
      <c r="AJ404" s="1084" t="str">
        <f t="shared" si="56"/>
        <v/>
      </c>
      <c r="AK404" s="1083" t="str">
        <f t="shared" si="57"/>
        <v/>
      </c>
      <c r="AL404" s="211">
        <v>3332800</v>
      </c>
      <c r="AM404" s="211">
        <v>785729</v>
      </c>
      <c r="AN404" s="211">
        <v>8996184</v>
      </c>
      <c r="AO404" s="211">
        <v>14891383</v>
      </c>
      <c r="AP404" s="211">
        <v>19332055</v>
      </c>
      <c r="AQ404" s="211">
        <v>1396454</v>
      </c>
      <c r="AR404" s="211">
        <v>31496208</v>
      </c>
      <c r="AS404" s="211">
        <v>25732135</v>
      </c>
      <c r="AT404" s="211">
        <v>516260</v>
      </c>
      <c r="AU404" s="211">
        <v>227532</v>
      </c>
      <c r="AV404" s="211">
        <v>42180170</v>
      </c>
      <c r="AW404" s="211"/>
      <c r="AX404" s="211"/>
      <c r="AY404" s="211"/>
      <c r="AZ404" s="211"/>
      <c r="BA404" s="211"/>
      <c r="BB404" s="211"/>
      <c r="BC404" s="211"/>
      <c r="BD404" s="333">
        <v>42913</v>
      </c>
      <c r="BE404" s="82">
        <f t="shared" si="58"/>
        <v>148886910</v>
      </c>
      <c r="BF404" s="13"/>
      <c r="BG404" s="1"/>
    </row>
    <row r="405" spans="1:59" s="54" customFormat="1" ht="40.799999999999997" hidden="1" x14ac:dyDescent="0.3">
      <c r="A405" s="56"/>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197">
        <f>+'Base de Datos'!I409</f>
        <v>44000000</v>
      </c>
      <c r="G405" s="196">
        <f>+'Base de Datos'!M409</f>
        <v>42543</v>
      </c>
      <c r="H405" s="196">
        <f>+'Base de Datos'!N409</f>
        <v>42788</v>
      </c>
      <c r="I405" s="196"/>
      <c r="J405" s="158"/>
      <c r="K405" s="333"/>
      <c r="L405" s="211"/>
      <c r="M405" s="336"/>
      <c r="N405" s="158"/>
      <c r="O405" s="333"/>
      <c r="P405" s="158"/>
      <c r="Q405" s="338"/>
      <c r="R405" s="81">
        <f t="shared" si="51"/>
        <v>0</v>
      </c>
      <c r="S405" s="258"/>
      <c r="T405" s="333"/>
      <c r="U405" s="158"/>
      <c r="V405" s="333"/>
      <c r="W405" s="158"/>
      <c r="X405" s="333"/>
      <c r="Y405" s="158"/>
      <c r="Z405" s="333"/>
      <c r="AA405" s="326"/>
      <c r="AB405" s="1004" t="str">
        <f t="shared" si="52"/>
        <v/>
      </c>
      <c r="AC405" s="1082" t="str">
        <f t="shared" si="53"/>
        <v/>
      </c>
      <c r="AD405" s="1077"/>
      <c r="AE405" s="1077"/>
      <c r="AF405" s="1084" t="str">
        <f t="shared" si="54"/>
        <v/>
      </c>
      <c r="AG405" s="1082" t="str">
        <f t="shared" si="55"/>
        <v/>
      </c>
      <c r="AH405" s="1091"/>
      <c r="AI405" s="1087"/>
      <c r="AJ405" s="1084" t="str">
        <f t="shared" si="56"/>
        <v/>
      </c>
      <c r="AK405" s="1083" t="str">
        <f t="shared" si="57"/>
        <v/>
      </c>
      <c r="AL405" s="211">
        <v>1020000</v>
      </c>
      <c r="AM405" s="211">
        <v>1800000</v>
      </c>
      <c r="AN405" s="211">
        <v>1800000</v>
      </c>
      <c r="AO405" s="211">
        <v>1800000</v>
      </c>
      <c r="AP405" s="211">
        <v>1800000</v>
      </c>
      <c r="AQ405" s="211">
        <v>1800000</v>
      </c>
      <c r="AR405" s="211">
        <v>1800000</v>
      </c>
      <c r="AS405" s="211">
        <v>1800000</v>
      </c>
      <c r="AT405" s="211">
        <v>780000</v>
      </c>
      <c r="AU405" s="211"/>
      <c r="AV405" s="211"/>
      <c r="AW405" s="211"/>
      <c r="AX405" s="211"/>
      <c r="AY405" s="211"/>
      <c r="AZ405" s="211"/>
      <c r="BA405" s="211"/>
      <c r="BB405" s="211"/>
      <c r="BC405" s="211"/>
      <c r="BD405" s="333">
        <v>42808</v>
      </c>
      <c r="BE405" s="82">
        <f t="shared" si="58"/>
        <v>14400000</v>
      </c>
      <c r="BF405" s="13"/>
      <c r="BG405" s="1"/>
    </row>
    <row r="406" spans="1:59" s="54" customFormat="1" ht="40.799999999999997" hidden="1" x14ac:dyDescent="0.3">
      <c r="A406" s="56"/>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197">
        <f>+'Base de Datos'!I410</f>
        <v>44000000</v>
      </c>
      <c r="G406" s="196">
        <f>+'Base de Datos'!M410</f>
        <v>42542</v>
      </c>
      <c r="H406" s="196">
        <f>+'Base de Datos'!N410</f>
        <v>42787</v>
      </c>
      <c r="I406" s="196"/>
      <c r="J406" s="158"/>
      <c r="K406" s="333"/>
      <c r="L406" s="211"/>
      <c r="M406" s="336"/>
      <c r="N406" s="158"/>
      <c r="O406" s="333"/>
      <c r="P406" s="158"/>
      <c r="Q406" s="338"/>
      <c r="R406" s="81">
        <f t="shared" si="51"/>
        <v>0</v>
      </c>
      <c r="S406" s="258"/>
      <c r="T406" s="333"/>
      <c r="U406" s="158"/>
      <c r="V406" s="333"/>
      <c r="W406" s="158"/>
      <c r="X406" s="333"/>
      <c r="Y406" s="158"/>
      <c r="Z406" s="333"/>
      <c r="AA406" s="326"/>
      <c r="AB406" s="1004" t="str">
        <f t="shared" si="52"/>
        <v/>
      </c>
      <c r="AC406" s="1082" t="str">
        <f t="shared" si="53"/>
        <v/>
      </c>
      <c r="AD406" s="1077"/>
      <c r="AE406" s="1077"/>
      <c r="AF406" s="1084" t="str">
        <f t="shared" si="54"/>
        <v/>
      </c>
      <c r="AG406" s="1082" t="str">
        <f t="shared" si="55"/>
        <v/>
      </c>
      <c r="AH406" s="1091"/>
      <c r="AI406" s="1087"/>
      <c r="AJ406" s="1084" t="str">
        <f t="shared" si="56"/>
        <v/>
      </c>
      <c r="AK406" s="1083" t="str">
        <f t="shared" si="57"/>
        <v/>
      </c>
      <c r="AL406" s="211">
        <v>3116666</v>
      </c>
      <c r="AM406" s="211">
        <v>5500000</v>
      </c>
      <c r="AN406" s="211">
        <v>5500000</v>
      </c>
      <c r="AO406" s="211">
        <v>5500000</v>
      </c>
      <c r="AP406" s="211">
        <v>5500000</v>
      </c>
      <c r="AQ406" s="211">
        <v>5500000</v>
      </c>
      <c r="AR406" s="211">
        <v>5500000</v>
      </c>
      <c r="AS406" s="211">
        <v>5500000</v>
      </c>
      <c r="AT406" s="211">
        <v>2383334</v>
      </c>
      <c r="AU406" s="211"/>
      <c r="AV406" s="211"/>
      <c r="AW406" s="211"/>
      <c r="AX406" s="211"/>
      <c r="AY406" s="211"/>
      <c r="AZ406" s="211"/>
      <c r="BA406" s="211"/>
      <c r="BB406" s="211"/>
      <c r="BC406" s="211"/>
      <c r="BD406" s="333">
        <v>42803</v>
      </c>
      <c r="BE406" s="82">
        <f t="shared" si="58"/>
        <v>44000000</v>
      </c>
      <c r="BF406" s="13"/>
      <c r="BG406" s="1"/>
    </row>
    <row r="407" spans="1:59" s="54" customFormat="1" ht="27" hidden="1" customHeight="1" x14ac:dyDescent="0.3">
      <c r="A407" s="56"/>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197">
        <f>+'Base de Datos'!I407</f>
        <v>45008000</v>
      </c>
      <c r="G407" s="196">
        <f>+'Base de Datos'!M407</f>
        <v>42502</v>
      </c>
      <c r="H407" s="196">
        <f>+'Base de Datos'!N407</f>
        <v>42867</v>
      </c>
      <c r="I407" s="196"/>
      <c r="J407" s="158"/>
      <c r="K407" s="333"/>
      <c r="L407" s="211"/>
      <c r="M407" s="336"/>
      <c r="N407" s="158"/>
      <c r="O407" s="333"/>
      <c r="P407" s="158"/>
      <c r="Q407" s="338"/>
      <c r="R407" s="81">
        <f t="shared" si="51"/>
        <v>0</v>
      </c>
      <c r="S407" s="258"/>
      <c r="T407" s="333"/>
      <c r="U407" s="158"/>
      <c r="V407" s="333"/>
      <c r="W407" s="158"/>
      <c r="X407" s="333"/>
      <c r="Y407" s="158"/>
      <c r="Z407" s="333"/>
      <c r="AA407" s="326"/>
      <c r="AB407" s="1004" t="str">
        <f t="shared" si="52"/>
        <v/>
      </c>
      <c r="AC407" s="1082" t="str">
        <f t="shared" si="53"/>
        <v/>
      </c>
      <c r="AD407" s="1077"/>
      <c r="AE407" s="1077"/>
      <c r="AF407" s="1084" t="str">
        <f t="shared" si="54"/>
        <v/>
      </c>
      <c r="AG407" s="1082" t="str">
        <f t="shared" si="55"/>
        <v/>
      </c>
      <c r="AH407" s="1091"/>
      <c r="AI407" s="1087"/>
      <c r="AJ407" s="1084" t="str">
        <f t="shared" si="56"/>
        <v/>
      </c>
      <c r="AK407" s="1083" t="str">
        <f t="shared" si="57"/>
        <v/>
      </c>
      <c r="AL407" s="211">
        <v>2784000</v>
      </c>
      <c r="AM407" s="211">
        <v>3364000</v>
      </c>
      <c r="AN407" s="211">
        <v>3364000</v>
      </c>
      <c r="AO407" s="211">
        <v>3364000</v>
      </c>
      <c r="AP407" s="211">
        <v>3364000</v>
      </c>
      <c r="AQ407" s="211">
        <v>3364000</v>
      </c>
      <c r="AR407" s="211">
        <v>5220000</v>
      </c>
      <c r="AS407" s="211">
        <v>3364000</v>
      </c>
      <c r="AT407" s="211">
        <v>3364000</v>
      </c>
      <c r="AU407" s="211">
        <v>3364000</v>
      </c>
      <c r="AV407" s="211">
        <v>3364000</v>
      </c>
      <c r="AW407" s="211">
        <v>3364000</v>
      </c>
      <c r="AX407" s="211">
        <v>3364000</v>
      </c>
      <c r="AY407" s="211"/>
      <c r="AZ407" s="211"/>
      <c r="BA407" s="211"/>
      <c r="BB407" s="211"/>
      <c r="BC407" s="211"/>
      <c r="BD407" s="333">
        <v>42867</v>
      </c>
      <c r="BE407" s="82">
        <f t="shared" si="58"/>
        <v>45008000</v>
      </c>
      <c r="BF407" s="13"/>
      <c r="BG407" s="1"/>
    </row>
    <row r="408" spans="1:59" s="54" customFormat="1" ht="42.75" hidden="1" customHeight="1" x14ac:dyDescent="0.3">
      <c r="A408" s="56"/>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197">
        <f>+'Base de Datos'!I408</f>
        <v>19600000</v>
      </c>
      <c r="G408" s="196">
        <f>+'Base de Datos'!M408</f>
        <v>42541</v>
      </c>
      <c r="H408" s="196">
        <f>+'Base de Datos'!N408</f>
        <v>42786</v>
      </c>
      <c r="I408" s="196"/>
      <c r="J408" s="158"/>
      <c r="K408" s="333"/>
      <c r="L408" s="211"/>
      <c r="M408" s="336"/>
      <c r="N408" s="158"/>
      <c r="O408" s="333"/>
      <c r="P408" s="158"/>
      <c r="Q408" s="338"/>
      <c r="R408" s="81">
        <f t="shared" si="51"/>
        <v>0</v>
      </c>
      <c r="S408" s="258"/>
      <c r="T408" s="333"/>
      <c r="U408" s="158"/>
      <c r="V408" s="333"/>
      <c r="W408" s="158"/>
      <c r="X408" s="333"/>
      <c r="Y408" s="158"/>
      <c r="Z408" s="333"/>
      <c r="AA408" s="326"/>
      <c r="AB408" s="1004" t="str">
        <f t="shared" si="52"/>
        <v/>
      </c>
      <c r="AC408" s="1082" t="str">
        <f t="shared" si="53"/>
        <v/>
      </c>
      <c r="AD408" s="1077"/>
      <c r="AE408" s="1077"/>
      <c r="AF408" s="1084" t="str">
        <f t="shared" si="54"/>
        <v/>
      </c>
      <c r="AG408" s="1082" t="str">
        <f t="shared" si="55"/>
        <v/>
      </c>
      <c r="AH408" s="1091"/>
      <c r="AI408" s="1087"/>
      <c r="AJ408" s="1084" t="str">
        <f t="shared" si="56"/>
        <v/>
      </c>
      <c r="AK408" s="1083" t="str">
        <f t="shared" si="57"/>
        <v/>
      </c>
      <c r="AL408" s="211">
        <v>898333</v>
      </c>
      <c r="AM408" s="211">
        <v>2450000</v>
      </c>
      <c r="AN408" s="211">
        <v>2450000</v>
      </c>
      <c r="AO408" s="211">
        <v>2450000</v>
      </c>
      <c r="AP408" s="211">
        <v>2450000</v>
      </c>
      <c r="AQ408" s="211">
        <v>2450000</v>
      </c>
      <c r="AR408" s="211">
        <v>2450000</v>
      </c>
      <c r="AS408" s="211">
        <v>2450000</v>
      </c>
      <c r="AT408" s="211">
        <v>1551667</v>
      </c>
      <c r="AU408" s="211"/>
      <c r="AV408" s="211"/>
      <c r="AW408" s="211"/>
      <c r="AX408" s="211"/>
      <c r="AY408" s="211"/>
      <c r="AZ408" s="211"/>
      <c r="BA408" s="211"/>
      <c r="BB408" s="211"/>
      <c r="BC408" s="211"/>
      <c r="BD408" s="333">
        <v>42824</v>
      </c>
      <c r="BE408" s="82">
        <f t="shared" si="58"/>
        <v>19600000</v>
      </c>
      <c r="BF408" s="13"/>
      <c r="BG408" s="1"/>
    </row>
    <row r="409" spans="1:59" s="54" customFormat="1" ht="45" hidden="1" customHeight="1" x14ac:dyDescent="0.3">
      <c r="A409" s="56"/>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197">
        <f>+'Base de Datos'!I409</f>
        <v>44000000</v>
      </c>
      <c r="G409" s="196">
        <f>+'Base de Datos'!M409</f>
        <v>42543</v>
      </c>
      <c r="H409" s="196">
        <f>+'Base de Datos'!N409</f>
        <v>42788</v>
      </c>
      <c r="I409" s="196"/>
      <c r="J409" s="158"/>
      <c r="K409" s="333"/>
      <c r="L409" s="211"/>
      <c r="M409" s="336"/>
      <c r="N409" s="158"/>
      <c r="O409" s="333"/>
      <c r="P409" s="158"/>
      <c r="Q409" s="338"/>
      <c r="R409" s="81">
        <f t="shared" si="51"/>
        <v>0</v>
      </c>
      <c r="S409" s="258"/>
      <c r="T409" s="333"/>
      <c r="U409" s="158"/>
      <c r="V409" s="333"/>
      <c r="W409" s="158"/>
      <c r="X409" s="333"/>
      <c r="Y409" s="158"/>
      <c r="Z409" s="333"/>
      <c r="AA409" s="326"/>
      <c r="AB409" s="1004" t="str">
        <f t="shared" si="52"/>
        <v/>
      </c>
      <c r="AC409" s="1082" t="str">
        <f t="shared" si="53"/>
        <v/>
      </c>
      <c r="AD409" s="1077"/>
      <c r="AE409" s="1077"/>
      <c r="AF409" s="1084" t="str">
        <f t="shared" si="54"/>
        <v/>
      </c>
      <c r="AG409" s="1082" t="str">
        <f t="shared" si="55"/>
        <v/>
      </c>
      <c r="AH409" s="1091"/>
      <c r="AI409" s="1087"/>
      <c r="AJ409" s="1084" t="str">
        <f t="shared" si="56"/>
        <v/>
      </c>
      <c r="AK409" s="1083" t="str">
        <f t="shared" si="57"/>
        <v/>
      </c>
      <c r="AL409" s="211">
        <v>1650000</v>
      </c>
      <c r="AM409" s="211">
        <v>5500000</v>
      </c>
      <c r="AN409" s="211">
        <v>5500000</v>
      </c>
      <c r="AO409" s="211">
        <v>5500000</v>
      </c>
      <c r="AP409" s="211">
        <v>5500000</v>
      </c>
      <c r="AQ409" s="211">
        <v>5500000</v>
      </c>
      <c r="AR409" s="211">
        <v>5500000</v>
      </c>
      <c r="AS409" s="211">
        <v>5500000</v>
      </c>
      <c r="AT409" s="211">
        <v>3850000</v>
      </c>
      <c r="AU409" s="211"/>
      <c r="AV409" s="211"/>
      <c r="AW409" s="211"/>
      <c r="AX409" s="211"/>
      <c r="AY409" s="211"/>
      <c r="AZ409" s="211"/>
      <c r="BA409" s="211"/>
      <c r="BB409" s="211"/>
      <c r="BC409" s="211"/>
      <c r="BD409" s="333">
        <v>42811</v>
      </c>
      <c r="BE409" s="82">
        <f t="shared" si="58"/>
        <v>44000000</v>
      </c>
      <c r="BF409" s="13"/>
      <c r="BG409" s="1"/>
    </row>
    <row r="410" spans="1:59" s="54" customFormat="1" ht="47.25" hidden="1" customHeight="1" x14ac:dyDescent="0.3">
      <c r="A410" s="56"/>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197">
        <f>+'Base de Datos'!I410</f>
        <v>44000000</v>
      </c>
      <c r="G410" s="196">
        <f>+'Base de Datos'!M410</f>
        <v>42542</v>
      </c>
      <c r="H410" s="196">
        <f>+'Base de Datos'!N410</f>
        <v>42787</v>
      </c>
      <c r="I410" s="196"/>
      <c r="J410" s="158"/>
      <c r="K410" s="333"/>
      <c r="L410" s="211"/>
      <c r="M410" s="336"/>
      <c r="N410" s="158"/>
      <c r="O410" s="333"/>
      <c r="P410" s="158"/>
      <c r="Q410" s="338"/>
      <c r="R410" s="81">
        <f t="shared" si="51"/>
        <v>0</v>
      </c>
      <c r="S410" s="258"/>
      <c r="T410" s="333"/>
      <c r="U410" s="158"/>
      <c r="V410" s="333"/>
      <c r="W410" s="158"/>
      <c r="X410" s="333"/>
      <c r="Y410" s="158"/>
      <c r="Z410" s="333"/>
      <c r="AA410" s="326"/>
      <c r="AB410" s="1004" t="str">
        <f t="shared" si="52"/>
        <v/>
      </c>
      <c r="AC410" s="1082" t="str">
        <f t="shared" si="53"/>
        <v/>
      </c>
      <c r="AD410" s="1077"/>
      <c r="AE410" s="1077"/>
      <c r="AF410" s="1084" t="str">
        <f t="shared" si="54"/>
        <v/>
      </c>
      <c r="AG410" s="1082" t="str">
        <f t="shared" si="55"/>
        <v/>
      </c>
      <c r="AH410" s="1091"/>
      <c r="AI410" s="1087"/>
      <c r="AJ410" s="1084" t="str">
        <f t="shared" si="56"/>
        <v/>
      </c>
      <c r="AK410" s="1083" t="str">
        <f t="shared" si="57"/>
        <v/>
      </c>
      <c r="AL410" s="211">
        <v>1833333</v>
      </c>
      <c r="AM410" s="211">
        <v>5500000</v>
      </c>
      <c r="AN410" s="211">
        <v>5500000</v>
      </c>
      <c r="AO410" s="211">
        <v>5500000</v>
      </c>
      <c r="AP410" s="211">
        <v>5500000</v>
      </c>
      <c r="AQ410" s="211">
        <v>5500000</v>
      </c>
      <c r="AR410" s="211">
        <v>5500000</v>
      </c>
      <c r="AS410" s="211">
        <v>5500000</v>
      </c>
      <c r="AT410" s="211">
        <v>3666667</v>
      </c>
      <c r="AU410" s="211"/>
      <c r="AV410" s="211"/>
      <c r="AW410" s="211"/>
      <c r="AX410" s="211"/>
      <c r="AY410" s="211"/>
      <c r="AZ410" s="211"/>
      <c r="BA410" s="211"/>
      <c r="BB410" s="211"/>
      <c r="BC410" s="211"/>
      <c r="BD410" s="333">
        <v>42824</v>
      </c>
      <c r="BE410" s="82">
        <f t="shared" si="58"/>
        <v>44000000</v>
      </c>
      <c r="BF410" s="13"/>
      <c r="BG410" s="1"/>
    </row>
    <row r="411" spans="1:59" s="54" customFormat="1" ht="20.399999999999999" hidden="1" x14ac:dyDescent="0.3">
      <c r="A411" s="56"/>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197">
        <f>+'Base de Datos'!I411</f>
        <v>44000000</v>
      </c>
      <c r="G411" s="196">
        <f>+'Base de Datos'!M411</f>
        <v>42542</v>
      </c>
      <c r="H411" s="196">
        <f>+'Base de Datos'!N411</f>
        <v>42787</v>
      </c>
      <c r="I411" s="196"/>
      <c r="J411" s="158"/>
      <c r="K411" s="333"/>
      <c r="L411" s="211"/>
      <c r="M411" s="336"/>
      <c r="N411" s="158"/>
      <c r="O411" s="333"/>
      <c r="P411" s="158"/>
      <c r="Q411" s="338"/>
      <c r="R411" s="81">
        <f t="shared" si="51"/>
        <v>0</v>
      </c>
      <c r="S411" s="258"/>
      <c r="T411" s="333"/>
      <c r="U411" s="158"/>
      <c r="V411" s="333"/>
      <c r="W411" s="158"/>
      <c r="X411" s="333"/>
      <c r="Y411" s="158"/>
      <c r="Z411" s="333"/>
      <c r="AA411" s="326"/>
      <c r="AB411" s="1004" t="str">
        <f t="shared" si="52"/>
        <v/>
      </c>
      <c r="AC411" s="1082" t="str">
        <f t="shared" si="53"/>
        <v/>
      </c>
      <c r="AD411" s="1077"/>
      <c r="AE411" s="1077"/>
      <c r="AF411" s="1084" t="str">
        <f t="shared" si="54"/>
        <v/>
      </c>
      <c r="AG411" s="1082" t="str">
        <f t="shared" si="55"/>
        <v/>
      </c>
      <c r="AH411" s="1091"/>
      <c r="AI411" s="1087"/>
      <c r="AJ411" s="1084" t="str">
        <f t="shared" si="56"/>
        <v/>
      </c>
      <c r="AK411" s="1083" t="str">
        <f t="shared" si="57"/>
        <v/>
      </c>
      <c r="AL411" s="211">
        <v>1833333</v>
      </c>
      <c r="AM411" s="211">
        <v>5500000</v>
      </c>
      <c r="AN411" s="211">
        <v>5500000</v>
      </c>
      <c r="AO411" s="211">
        <v>5500000</v>
      </c>
      <c r="AP411" s="211">
        <v>5500000</v>
      </c>
      <c r="AQ411" s="211">
        <v>5500000</v>
      </c>
      <c r="AR411" s="211">
        <v>5500000</v>
      </c>
      <c r="AS411" s="211">
        <v>5500000</v>
      </c>
      <c r="AT411" s="211">
        <v>3666667</v>
      </c>
      <c r="AU411" s="211"/>
      <c r="AV411" s="211"/>
      <c r="AW411" s="211"/>
      <c r="AX411" s="211"/>
      <c r="AY411" s="211"/>
      <c r="AZ411" s="211"/>
      <c r="BA411" s="211"/>
      <c r="BB411" s="211"/>
      <c r="BC411" s="211"/>
      <c r="BD411" s="333">
        <v>42824</v>
      </c>
      <c r="BE411" s="82">
        <f t="shared" si="58"/>
        <v>44000000</v>
      </c>
      <c r="BF411" s="13"/>
      <c r="BG411" s="1"/>
    </row>
    <row r="412" spans="1:59" s="54" customFormat="1" ht="30.6" hidden="1" x14ac:dyDescent="0.3">
      <c r="A412" s="56"/>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197">
        <f>+'Base de Datos'!I412</f>
        <v>44000000</v>
      </c>
      <c r="G412" s="196">
        <f>+'Base de Datos'!M412</f>
        <v>42545</v>
      </c>
      <c r="H412" s="196">
        <f>+'Base de Datos'!N412</f>
        <v>42790</v>
      </c>
      <c r="I412" s="196"/>
      <c r="J412" s="158"/>
      <c r="K412" s="333"/>
      <c r="L412" s="211"/>
      <c r="M412" s="336"/>
      <c r="N412" s="158"/>
      <c r="O412" s="333"/>
      <c r="P412" s="158"/>
      <c r="Q412" s="338"/>
      <c r="R412" s="81">
        <f t="shared" si="51"/>
        <v>0</v>
      </c>
      <c r="S412" s="258"/>
      <c r="T412" s="333"/>
      <c r="U412" s="158"/>
      <c r="V412" s="333"/>
      <c r="W412" s="158"/>
      <c r="X412" s="333"/>
      <c r="Y412" s="158"/>
      <c r="Z412" s="333"/>
      <c r="AA412" s="326"/>
      <c r="AB412" s="1004" t="str">
        <f t="shared" si="52"/>
        <v/>
      </c>
      <c r="AC412" s="1082" t="str">
        <f t="shared" si="53"/>
        <v/>
      </c>
      <c r="AD412" s="1077"/>
      <c r="AE412" s="1077"/>
      <c r="AF412" s="1084" t="str">
        <f t="shared" si="54"/>
        <v/>
      </c>
      <c r="AG412" s="1082" t="str">
        <f t="shared" si="55"/>
        <v/>
      </c>
      <c r="AH412" s="1091"/>
      <c r="AI412" s="1087"/>
      <c r="AJ412" s="1084" t="str">
        <f t="shared" si="56"/>
        <v/>
      </c>
      <c r="AK412" s="1083" t="str">
        <f t="shared" si="57"/>
        <v/>
      </c>
      <c r="AL412" s="211">
        <v>1283333</v>
      </c>
      <c r="AM412" s="211">
        <v>5500000</v>
      </c>
      <c r="AN412" s="211">
        <v>5500000</v>
      </c>
      <c r="AO412" s="211">
        <v>5500000</v>
      </c>
      <c r="AP412" s="211"/>
      <c r="AQ412" s="211">
        <v>5500000</v>
      </c>
      <c r="AR412" s="211">
        <v>5500000</v>
      </c>
      <c r="AS412" s="211">
        <v>5500000</v>
      </c>
      <c r="AT412" s="211">
        <v>5500000</v>
      </c>
      <c r="AU412" s="211">
        <v>4216667</v>
      </c>
      <c r="AV412" s="211"/>
      <c r="AW412" s="211"/>
      <c r="AX412" s="211"/>
      <c r="AY412" s="211"/>
      <c r="AZ412" s="211"/>
      <c r="BA412" s="211"/>
      <c r="BB412" s="211"/>
      <c r="BC412" s="211"/>
      <c r="BD412" s="333">
        <v>42810</v>
      </c>
      <c r="BE412" s="82">
        <f t="shared" si="58"/>
        <v>44000000</v>
      </c>
      <c r="BF412" s="13"/>
      <c r="BG412" s="1"/>
    </row>
    <row r="413" spans="1:59" s="54" customFormat="1" ht="20.399999999999999" hidden="1" x14ac:dyDescent="0.3">
      <c r="A413" s="56"/>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197">
        <f>+'Base de Datos'!I413</f>
        <v>5086020</v>
      </c>
      <c r="G413" s="196">
        <f>+'Base de Datos'!M413</f>
        <v>42570</v>
      </c>
      <c r="H413" s="196">
        <f>+'Base de Datos'!N413</f>
        <v>42693</v>
      </c>
      <c r="I413" s="196"/>
      <c r="J413" s="158"/>
      <c r="K413" s="333"/>
      <c r="L413" s="211"/>
      <c r="M413" s="336"/>
      <c r="N413" s="158"/>
      <c r="O413" s="333"/>
      <c r="P413" s="158"/>
      <c r="Q413" s="338"/>
      <c r="R413" s="81">
        <f t="shared" si="51"/>
        <v>0</v>
      </c>
      <c r="S413" s="258"/>
      <c r="T413" s="333"/>
      <c r="U413" s="158"/>
      <c r="V413" s="333"/>
      <c r="W413" s="158"/>
      <c r="X413" s="333"/>
      <c r="Y413" s="158"/>
      <c r="Z413" s="333"/>
      <c r="AA413" s="326"/>
      <c r="AB413" s="1004" t="str">
        <f t="shared" si="52"/>
        <v/>
      </c>
      <c r="AC413" s="1082" t="str">
        <f t="shared" si="53"/>
        <v/>
      </c>
      <c r="AD413" s="1077"/>
      <c r="AE413" s="1077"/>
      <c r="AF413" s="1084" t="str">
        <f t="shared" si="54"/>
        <v/>
      </c>
      <c r="AG413" s="1082" t="str">
        <f t="shared" si="55"/>
        <v/>
      </c>
      <c r="AH413" s="1091"/>
      <c r="AI413" s="1087"/>
      <c r="AJ413" s="1084" t="str">
        <f t="shared" si="56"/>
        <v/>
      </c>
      <c r="AK413" s="1083" t="str">
        <f t="shared" si="57"/>
        <v/>
      </c>
      <c r="AL413" s="211">
        <v>5086020</v>
      </c>
      <c r="AM413" s="211"/>
      <c r="AN413" s="211"/>
      <c r="AO413" s="211"/>
      <c r="AP413" s="211"/>
      <c r="AQ413" s="211"/>
      <c r="AR413" s="211"/>
      <c r="AS413" s="211"/>
      <c r="AT413" s="211"/>
      <c r="AU413" s="211"/>
      <c r="AV413" s="211"/>
      <c r="AW413" s="211"/>
      <c r="AX413" s="211"/>
      <c r="AY413" s="211"/>
      <c r="AZ413" s="211"/>
      <c r="BA413" s="211"/>
      <c r="BB413" s="211"/>
      <c r="BC413" s="211"/>
      <c r="BD413" s="333">
        <v>42737</v>
      </c>
      <c r="BE413" s="82">
        <f t="shared" si="58"/>
        <v>5086020</v>
      </c>
      <c r="BF413" s="13"/>
      <c r="BG413" s="1"/>
    </row>
    <row r="414" spans="1:59" s="54" customFormat="1" ht="61.2" hidden="1" x14ac:dyDescent="0.3">
      <c r="A414" s="56"/>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197">
        <f>+'Base de Datos'!I414</f>
        <v>36000000</v>
      </c>
      <c r="G414" s="196">
        <f>+'Base de Datos'!M414</f>
        <v>42545</v>
      </c>
      <c r="H414" s="196">
        <f>+'Base de Datos'!N414</f>
        <v>42790</v>
      </c>
      <c r="I414" s="196"/>
      <c r="J414" s="158"/>
      <c r="K414" s="333"/>
      <c r="L414" s="211"/>
      <c r="M414" s="336"/>
      <c r="N414" s="158"/>
      <c r="O414" s="333"/>
      <c r="P414" s="158"/>
      <c r="Q414" s="338"/>
      <c r="R414" s="81">
        <f t="shared" si="51"/>
        <v>0</v>
      </c>
      <c r="S414" s="258"/>
      <c r="T414" s="333"/>
      <c r="U414" s="158"/>
      <c r="V414" s="333"/>
      <c r="W414" s="158"/>
      <c r="X414" s="333"/>
      <c r="Y414" s="158"/>
      <c r="Z414" s="333"/>
      <c r="AA414" s="326"/>
      <c r="AB414" s="1004" t="str">
        <f t="shared" si="52"/>
        <v/>
      </c>
      <c r="AC414" s="1082" t="str">
        <f t="shared" si="53"/>
        <v/>
      </c>
      <c r="AD414" s="1077"/>
      <c r="AE414" s="1077"/>
      <c r="AF414" s="1084" t="str">
        <f t="shared" si="54"/>
        <v/>
      </c>
      <c r="AG414" s="1082" t="str">
        <f t="shared" si="55"/>
        <v/>
      </c>
      <c r="AH414" s="1091"/>
      <c r="AI414" s="1087"/>
      <c r="AJ414" s="1084" t="str">
        <f t="shared" si="56"/>
        <v/>
      </c>
      <c r="AK414" s="1083" t="str">
        <f t="shared" si="57"/>
        <v/>
      </c>
      <c r="AL414" s="211">
        <v>1050000</v>
      </c>
      <c r="AM414" s="211">
        <v>4500000</v>
      </c>
      <c r="AN414" s="211">
        <v>4500000</v>
      </c>
      <c r="AO414" s="211">
        <v>4500000</v>
      </c>
      <c r="AP414" s="211">
        <v>4500000</v>
      </c>
      <c r="AQ414" s="211">
        <v>4500000</v>
      </c>
      <c r="AR414" s="211">
        <v>4500000</v>
      </c>
      <c r="AS414" s="211">
        <v>4500000</v>
      </c>
      <c r="AT414" s="211">
        <v>3450000</v>
      </c>
      <c r="AU414" s="211"/>
      <c r="AV414" s="211"/>
      <c r="AW414" s="211"/>
      <c r="AX414" s="211"/>
      <c r="AY414" s="211"/>
      <c r="AZ414" s="211"/>
      <c r="BA414" s="211"/>
      <c r="BB414" s="211"/>
      <c r="BC414" s="211"/>
      <c r="BD414" s="333">
        <v>42823</v>
      </c>
      <c r="BE414" s="82">
        <f t="shared" si="58"/>
        <v>36000000</v>
      </c>
      <c r="BF414" s="13"/>
      <c r="BG414" s="1"/>
    </row>
    <row r="415" spans="1:59" s="54" customFormat="1" ht="40.799999999999997" hidden="1" x14ac:dyDescent="0.3">
      <c r="A415" s="56"/>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197">
        <f>+'Base de Datos'!I415</f>
        <v>8110000</v>
      </c>
      <c r="G415" s="196">
        <f>+'Base de Datos'!M415</f>
        <v>42551</v>
      </c>
      <c r="H415" s="196">
        <f>+'Base de Datos'!N415</f>
        <v>42734</v>
      </c>
      <c r="I415" s="196"/>
      <c r="J415" s="158"/>
      <c r="K415" s="333"/>
      <c r="L415" s="211"/>
      <c r="M415" s="336"/>
      <c r="N415" s="158"/>
      <c r="O415" s="333"/>
      <c r="P415" s="158"/>
      <c r="Q415" s="338"/>
      <c r="R415" s="81">
        <f t="shared" si="51"/>
        <v>0</v>
      </c>
      <c r="S415" s="258" t="s">
        <v>379</v>
      </c>
      <c r="T415" s="333">
        <v>42824</v>
      </c>
      <c r="U415" s="158"/>
      <c r="V415" s="333"/>
      <c r="W415" s="158"/>
      <c r="X415" s="333"/>
      <c r="Y415" s="158"/>
      <c r="Z415" s="333"/>
      <c r="AA415" s="326" t="s">
        <v>379</v>
      </c>
      <c r="AB415" s="1004">
        <f t="shared" si="52"/>
        <v>42824</v>
      </c>
      <c r="AC415" s="1082" t="str">
        <f t="shared" si="53"/>
        <v/>
      </c>
      <c r="AD415" s="1077"/>
      <c r="AE415" s="1077"/>
      <c r="AF415" s="1084" t="str">
        <f t="shared" si="54"/>
        <v/>
      </c>
      <c r="AG415" s="1082" t="str">
        <f t="shared" si="55"/>
        <v/>
      </c>
      <c r="AH415" s="1091"/>
      <c r="AI415" s="1087"/>
      <c r="AJ415" s="1084" t="str">
        <f t="shared" si="56"/>
        <v/>
      </c>
      <c r="AK415" s="1083" t="str">
        <f t="shared" si="57"/>
        <v/>
      </c>
      <c r="AL415" s="211">
        <v>1440800</v>
      </c>
      <c r="AM415" s="211">
        <v>1760380</v>
      </c>
      <c r="AN415" s="211">
        <v>1372360</v>
      </c>
      <c r="AO415" s="211">
        <v>1372360</v>
      </c>
      <c r="AP415" s="211">
        <v>1931400</v>
      </c>
      <c r="AQ415" s="211"/>
      <c r="AR415" s="211"/>
      <c r="AS415" s="211"/>
      <c r="AT415" s="211"/>
      <c r="AU415" s="211"/>
      <c r="AV415" s="211"/>
      <c r="AW415" s="211"/>
      <c r="AX415" s="211"/>
      <c r="AY415" s="211"/>
      <c r="AZ415" s="211"/>
      <c r="BA415" s="211"/>
      <c r="BB415" s="211"/>
      <c r="BC415" s="211"/>
      <c r="BD415" s="333">
        <v>42844</v>
      </c>
      <c r="BE415" s="82">
        <f t="shared" si="58"/>
        <v>7877300</v>
      </c>
      <c r="BF415" s="13"/>
      <c r="BG415" s="1"/>
    </row>
    <row r="416" spans="1:59" s="54" customFormat="1" ht="51" hidden="1" x14ac:dyDescent="0.3">
      <c r="A416" s="56"/>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197">
        <f>+'Base de Datos'!I416</f>
        <v>44000000</v>
      </c>
      <c r="G416" s="196">
        <f>+'Base de Datos'!M416</f>
        <v>42548</v>
      </c>
      <c r="H416" s="196">
        <f>+'Base de Datos'!N416</f>
        <v>42793</v>
      </c>
      <c r="I416" s="196"/>
      <c r="J416" s="158"/>
      <c r="K416" s="333"/>
      <c r="L416" s="211"/>
      <c r="M416" s="336"/>
      <c r="N416" s="158"/>
      <c r="O416" s="333"/>
      <c r="P416" s="158"/>
      <c r="Q416" s="338"/>
      <c r="R416" s="81">
        <f t="shared" si="51"/>
        <v>0</v>
      </c>
      <c r="S416" s="258"/>
      <c r="T416" s="333"/>
      <c r="U416" s="158"/>
      <c r="V416" s="333"/>
      <c r="W416" s="158"/>
      <c r="X416" s="333"/>
      <c r="Y416" s="158"/>
      <c r="Z416" s="333"/>
      <c r="AA416" s="326"/>
      <c r="AB416" s="1004" t="str">
        <f t="shared" si="52"/>
        <v/>
      </c>
      <c r="AC416" s="1082" t="str">
        <f t="shared" si="53"/>
        <v/>
      </c>
      <c r="AD416" s="1077"/>
      <c r="AE416" s="1077"/>
      <c r="AF416" s="1084" t="str">
        <f t="shared" si="54"/>
        <v/>
      </c>
      <c r="AG416" s="1082" t="str">
        <f t="shared" si="55"/>
        <v/>
      </c>
      <c r="AH416" s="1091"/>
      <c r="AI416" s="1087"/>
      <c r="AJ416" s="1084" t="str">
        <f t="shared" si="56"/>
        <v/>
      </c>
      <c r="AK416" s="1083" t="str">
        <f t="shared" si="57"/>
        <v/>
      </c>
      <c r="AL416" s="211">
        <v>6233333</v>
      </c>
      <c r="AM416" s="211">
        <v>5500000</v>
      </c>
      <c r="AN416" s="211">
        <v>5500000</v>
      </c>
      <c r="AO416" s="211">
        <v>5500000</v>
      </c>
      <c r="AP416" s="211">
        <v>5500000</v>
      </c>
      <c r="AQ416" s="211">
        <v>5500000</v>
      </c>
      <c r="AR416" s="211">
        <v>5500000</v>
      </c>
      <c r="AS416" s="211">
        <v>4766667</v>
      </c>
      <c r="AT416" s="211"/>
      <c r="AU416" s="211"/>
      <c r="AV416" s="211"/>
      <c r="AW416" s="211"/>
      <c r="AX416" s="211"/>
      <c r="AY416" s="211"/>
      <c r="AZ416" s="211"/>
      <c r="BA416" s="211"/>
      <c r="BB416" s="211"/>
      <c r="BC416" s="211"/>
      <c r="BD416" s="333">
        <v>42823</v>
      </c>
      <c r="BE416" s="82">
        <f t="shared" si="58"/>
        <v>44000000</v>
      </c>
      <c r="BF416" s="13"/>
      <c r="BG416" s="1"/>
    </row>
    <row r="417" spans="1:59" s="54" customFormat="1" ht="20.399999999999999" hidden="1" x14ac:dyDescent="0.3">
      <c r="A417" s="56"/>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197">
        <f>+'Base de Datos'!I417</f>
        <v>12637000</v>
      </c>
      <c r="G417" s="196">
        <f>+'Base de Datos'!M417</f>
        <v>0</v>
      </c>
      <c r="H417" s="196">
        <f>+'Base de Datos'!N417</f>
        <v>0</v>
      </c>
      <c r="I417" s="196"/>
      <c r="J417" s="158"/>
      <c r="K417" s="333"/>
      <c r="L417" s="211"/>
      <c r="M417" s="336"/>
      <c r="N417" s="158"/>
      <c r="O417" s="333"/>
      <c r="P417" s="158"/>
      <c r="Q417" s="338"/>
      <c r="R417" s="81">
        <f t="shared" si="51"/>
        <v>0</v>
      </c>
      <c r="S417" s="258"/>
      <c r="T417" s="333"/>
      <c r="U417" s="158"/>
      <c r="V417" s="333"/>
      <c r="W417" s="158"/>
      <c r="X417" s="333"/>
      <c r="Y417" s="158"/>
      <c r="Z417" s="333"/>
      <c r="AA417" s="326"/>
      <c r="AB417" s="1004" t="str">
        <f t="shared" si="52"/>
        <v/>
      </c>
      <c r="AC417" s="1082" t="str">
        <f t="shared" si="53"/>
        <v/>
      </c>
      <c r="AD417" s="1077"/>
      <c r="AE417" s="1077"/>
      <c r="AF417" s="1084" t="str">
        <f t="shared" si="54"/>
        <v/>
      </c>
      <c r="AG417" s="1082" t="str">
        <f t="shared" si="55"/>
        <v/>
      </c>
      <c r="AH417" s="1091"/>
      <c r="AI417" s="1087"/>
      <c r="AJ417" s="1084" t="str">
        <f t="shared" si="56"/>
        <v/>
      </c>
      <c r="AK417" s="1083" t="str">
        <f t="shared" si="57"/>
        <v/>
      </c>
      <c r="AL417" s="211">
        <v>12636504</v>
      </c>
      <c r="AM417" s="211"/>
      <c r="AN417" s="211"/>
      <c r="AO417" s="211"/>
      <c r="AP417" s="211"/>
      <c r="AQ417" s="211"/>
      <c r="AR417" s="211"/>
      <c r="AS417" s="211"/>
      <c r="AT417" s="211"/>
      <c r="AU417" s="211"/>
      <c r="AV417" s="211"/>
      <c r="AW417" s="211"/>
      <c r="AX417" s="211"/>
      <c r="AY417" s="211"/>
      <c r="AZ417" s="211"/>
      <c r="BA417" s="211"/>
      <c r="BB417" s="211"/>
      <c r="BC417" s="211"/>
      <c r="BD417" s="333">
        <v>42559</v>
      </c>
      <c r="BE417" s="82">
        <f t="shared" si="58"/>
        <v>12636504</v>
      </c>
      <c r="BF417" s="13"/>
      <c r="BG417" s="1"/>
    </row>
    <row r="418" spans="1:59" s="54" customFormat="1" ht="40.799999999999997" hidden="1" x14ac:dyDescent="0.3">
      <c r="A418" s="56"/>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197">
        <f>+'Base de Datos'!I418</f>
        <v>23000000</v>
      </c>
      <c r="G418" s="196">
        <f>+'Base de Datos'!M418</f>
        <v>42549</v>
      </c>
      <c r="H418" s="196">
        <f>+'Base de Datos'!N418</f>
        <v>42579</v>
      </c>
      <c r="I418" s="196"/>
      <c r="J418" s="158"/>
      <c r="K418" s="333"/>
      <c r="L418" s="211"/>
      <c r="M418" s="336"/>
      <c r="N418" s="158"/>
      <c r="O418" s="333"/>
      <c r="P418" s="158"/>
      <c r="Q418" s="338"/>
      <c r="R418" s="81">
        <f t="shared" si="51"/>
        <v>0</v>
      </c>
      <c r="S418" s="258"/>
      <c r="T418" s="333"/>
      <c r="U418" s="158"/>
      <c r="V418" s="333"/>
      <c r="W418" s="158"/>
      <c r="X418" s="333"/>
      <c r="Y418" s="158"/>
      <c r="Z418" s="333"/>
      <c r="AA418" s="326"/>
      <c r="AB418" s="1004" t="str">
        <f t="shared" si="52"/>
        <v/>
      </c>
      <c r="AC418" s="1082" t="str">
        <f t="shared" si="53"/>
        <v/>
      </c>
      <c r="AD418" s="1077"/>
      <c r="AE418" s="1077"/>
      <c r="AF418" s="1084" t="str">
        <f t="shared" si="54"/>
        <v/>
      </c>
      <c r="AG418" s="1082" t="str">
        <f t="shared" si="55"/>
        <v/>
      </c>
      <c r="AH418" s="1091"/>
      <c r="AI418" s="1087"/>
      <c r="AJ418" s="1084" t="str">
        <f t="shared" si="56"/>
        <v/>
      </c>
      <c r="AK418" s="1083" t="str">
        <f t="shared" si="57"/>
        <v/>
      </c>
      <c r="AL418" s="211">
        <v>22847465</v>
      </c>
      <c r="AM418" s="211"/>
      <c r="AN418" s="211"/>
      <c r="AO418" s="211"/>
      <c r="AP418" s="211"/>
      <c r="AQ418" s="211"/>
      <c r="AR418" s="211"/>
      <c r="AS418" s="211"/>
      <c r="AT418" s="211"/>
      <c r="AU418" s="211"/>
      <c r="AV418" s="211"/>
      <c r="AW418" s="211"/>
      <c r="AX418" s="211"/>
      <c r="AY418" s="211"/>
      <c r="AZ418" s="211"/>
      <c r="BA418" s="211"/>
      <c r="BB418" s="211"/>
      <c r="BC418" s="211"/>
      <c r="BD418" s="333">
        <v>42689</v>
      </c>
      <c r="BE418" s="82">
        <f t="shared" si="58"/>
        <v>22847465</v>
      </c>
      <c r="BF418" s="13"/>
      <c r="BG418" s="1"/>
    </row>
    <row r="419" spans="1:59" s="54" customFormat="1" ht="30.6" hidden="1" x14ac:dyDescent="0.3">
      <c r="A419" s="56"/>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197">
        <f>+'Base de Datos'!I419</f>
        <v>15000000</v>
      </c>
      <c r="G419" s="196">
        <f>+'Base de Datos'!M419</f>
        <v>42550</v>
      </c>
      <c r="H419" s="196">
        <f>+'Base de Datos'!N419</f>
        <v>42733</v>
      </c>
      <c r="I419" s="196"/>
      <c r="J419" s="158"/>
      <c r="K419" s="333"/>
      <c r="L419" s="211"/>
      <c r="M419" s="336"/>
      <c r="N419" s="158"/>
      <c r="O419" s="333"/>
      <c r="P419" s="158"/>
      <c r="Q419" s="338"/>
      <c r="R419" s="81">
        <f t="shared" si="51"/>
        <v>0</v>
      </c>
      <c r="S419" s="258" t="s">
        <v>2699</v>
      </c>
      <c r="T419" s="333">
        <v>42766</v>
      </c>
      <c r="U419" s="158"/>
      <c r="V419" s="333"/>
      <c r="W419" s="158"/>
      <c r="X419" s="333"/>
      <c r="Y419" s="158"/>
      <c r="Z419" s="333"/>
      <c r="AA419" s="326" t="s">
        <v>2699</v>
      </c>
      <c r="AB419" s="1004">
        <f t="shared" si="52"/>
        <v>42766</v>
      </c>
      <c r="AC419" s="1082" t="str">
        <f t="shared" si="53"/>
        <v/>
      </c>
      <c r="AD419" s="1077"/>
      <c r="AE419" s="1077"/>
      <c r="AF419" s="1084" t="str">
        <f t="shared" si="54"/>
        <v/>
      </c>
      <c r="AG419" s="1082" t="str">
        <f t="shared" si="55"/>
        <v/>
      </c>
      <c r="AH419" s="1091"/>
      <c r="AI419" s="1087"/>
      <c r="AJ419" s="1084" t="str">
        <f t="shared" si="56"/>
        <v/>
      </c>
      <c r="AK419" s="1083" t="str">
        <f t="shared" si="57"/>
        <v/>
      </c>
      <c r="AL419" s="211">
        <v>4203949</v>
      </c>
      <c r="AM419" s="211">
        <v>1005185</v>
      </c>
      <c r="AN419" s="211">
        <v>888535</v>
      </c>
      <c r="AO419" s="211">
        <v>7926988</v>
      </c>
      <c r="AP419" s="211">
        <v>952832</v>
      </c>
      <c r="AQ419" s="211"/>
      <c r="AR419" s="211"/>
      <c r="AS419" s="211"/>
      <c r="AT419" s="211"/>
      <c r="AU419" s="211"/>
      <c r="AV419" s="211"/>
      <c r="AW419" s="211"/>
      <c r="AX419" s="211"/>
      <c r="AY419" s="211"/>
      <c r="AZ419" s="211"/>
      <c r="BA419" s="211"/>
      <c r="BB419" s="211"/>
      <c r="BC419" s="211"/>
      <c r="BD419" s="333">
        <v>42761</v>
      </c>
      <c r="BE419" s="82">
        <f t="shared" si="58"/>
        <v>14977489</v>
      </c>
      <c r="BF419" s="13"/>
      <c r="BG419" s="1"/>
    </row>
    <row r="420" spans="1:59" s="54" customFormat="1" ht="30.6" hidden="1" x14ac:dyDescent="0.3">
      <c r="A420" s="56"/>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197">
        <f>+'Base de Datos'!I420</f>
        <v>53964000</v>
      </c>
      <c r="G420" s="196">
        <f>+'Base de Datos'!M420</f>
        <v>42556</v>
      </c>
      <c r="H420" s="196">
        <f>+'Base de Datos'!N420</f>
        <v>42830</v>
      </c>
      <c r="I420" s="196"/>
      <c r="J420" s="158"/>
      <c r="K420" s="333"/>
      <c r="L420" s="211"/>
      <c r="M420" s="336"/>
      <c r="N420" s="158"/>
      <c r="O420" s="333"/>
      <c r="P420" s="158"/>
      <c r="Q420" s="338"/>
      <c r="R420" s="81">
        <f t="shared" si="51"/>
        <v>0</v>
      </c>
      <c r="S420" s="258" t="s">
        <v>378</v>
      </c>
      <c r="T420" s="333">
        <v>42891</v>
      </c>
      <c r="U420" s="158"/>
      <c r="V420" s="333"/>
      <c r="W420" s="158"/>
      <c r="X420" s="333"/>
      <c r="Y420" s="158"/>
      <c r="Z420" s="333"/>
      <c r="AA420" s="326" t="s">
        <v>378</v>
      </c>
      <c r="AB420" s="1004">
        <f t="shared" si="52"/>
        <v>42891</v>
      </c>
      <c r="AC420" s="1082" t="str">
        <f t="shared" si="53"/>
        <v/>
      </c>
      <c r="AD420" s="1077"/>
      <c r="AE420" s="1077"/>
      <c r="AF420" s="1084" t="str">
        <f t="shared" si="54"/>
        <v/>
      </c>
      <c r="AG420" s="1082" t="str">
        <f t="shared" si="55"/>
        <v/>
      </c>
      <c r="AH420" s="1091"/>
      <c r="AI420" s="1087"/>
      <c r="AJ420" s="1084" t="str">
        <f t="shared" si="56"/>
        <v/>
      </c>
      <c r="AK420" s="1083" t="str">
        <f t="shared" si="57"/>
        <v/>
      </c>
      <c r="AL420" s="211">
        <v>374400</v>
      </c>
      <c r="AM420" s="211">
        <v>9381700</v>
      </c>
      <c r="AN420" s="211">
        <v>510800</v>
      </c>
      <c r="AO420" s="211">
        <v>1392500</v>
      </c>
      <c r="AP420" s="211">
        <v>4305700</v>
      </c>
      <c r="AQ420" s="211">
        <v>1145550</v>
      </c>
      <c r="AR420" s="211">
        <v>700500</v>
      </c>
      <c r="AS420" s="211">
        <v>639600</v>
      </c>
      <c r="AT420" s="211">
        <v>3793000</v>
      </c>
      <c r="AU420" s="211">
        <v>405600</v>
      </c>
      <c r="AV420" s="211">
        <v>28714400</v>
      </c>
      <c r="AW420" s="211"/>
      <c r="AX420" s="211"/>
      <c r="AY420" s="211"/>
      <c r="AZ420" s="211"/>
      <c r="BA420" s="211"/>
      <c r="BB420" s="211"/>
      <c r="BC420" s="211"/>
      <c r="BD420" s="333">
        <v>42909</v>
      </c>
      <c r="BE420" s="82">
        <f t="shared" si="58"/>
        <v>51363750</v>
      </c>
      <c r="BF420" s="13"/>
      <c r="BG420" s="1"/>
    </row>
    <row r="421" spans="1:59" s="54" customFormat="1" ht="30.6" hidden="1" x14ac:dyDescent="0.3">
      <c r="A421" s="56"/>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197">
        <f>+'Base de Datos'!I421</f>
        <v>23707000</v>
      </c>
      <c r="G421" s="196">
        <f>+'Base de Datos'!M421</f>
        <v>42556</v>
      </c>
      <c r="H421" s="196">
        <f>+'Base de Datos'!N421</f>
        <v>42771</v>
      </c>
      <c r="I421" s="196"/>
      <c r="J421" s="158"/>
      <c r="K421" s="333"/>
      <c r="L421" s="211"/>
      <c r="M421" s="336"/>
      <c r="N421" s="158"/>
      <c r="O421" s="333"/>
      <c r="P421" s="158"/>
      <c r="Q421" s="338"/>
      <c r="R421" s="81">
        <f t="shared" si="51"/>
        <v>0</v>
      </c>
      <c r="S421" s="258" t="s">
        <v>378</v>
      </c>
      <c r="T421" s="333">
        <v>42830</v>
      </c>
      <c r="U421" s="158"/>
      <c r="V421" s="333"/>
      <c r="W421" s="158"/>
      <c r="X421" s="333"/>
      <c r="Y421" s="158"/>
      <c r="Z421" s="333"/>
      <c r="AA421" s="326" t="s">
        <v>378</v>
      </c>
      <c r="AB421" s="1004">
        <f t="shared" si="52"/>
        <v>42830</v>
      </c>
      <c r="AC421" s="1082" t="str">
        <f t="shared" si="53"/>
        <v/>
      </c>
      <c r="AD421" s="1077"/>
      <c r="AE421" s="1077"/>
      <c r="AF421" s="1084" t="str">
        <f t="shared" si="54"/>
        <v/>
      </c>
      <c r="AG421" s="1082" t="str">
        <f t="shared" si="55"/>
        <v/>
      </c>
      <c r="AH421" s="1091"/>
      <c r="AI421" s="1087"/>
      <c r="AJ421" s="1084" t="str">
        <f t="shared" si="56"/>
        <v/>
      </c>
      <c r="AK421" s="1083" t="str">
        <f t="shared" si="57"/>
        <v/>
      </c>
      <c r="AL421" s="211">
        <v>2495764</v>
      </c>
      <c r="AM421" s="211">
        <v>2070536</v>
      </c>
      <c r="AN421" s="211">
        <v>2288270</v>
      </c>
      <c r="AO421" s="211">
        <v>11004962</v>
      </c>
      <c r="AP421" s="211">
        <v>34698</v>
      </c>
      <c r="AQ421" s="211"/>
      <c r="AR421" s="211"/>
      <c r="AS421" s="211"/>
      <c r="AT421" s="211"/>
      <c r="AU421" s="211"/>
      <c r="AV421" s="211"/>
      <c r="AW421" s="211"/>
      <c r="AX421" s="211"/>
      <c r="AY421" s="211"/>
      <c r="AZ421" s="211"/>
      <c r="BA421" s="211"/>
      <c r="BB421" s="211"/>
      <c r="BC421" s="211"/>
      <c r="BD421" s="333">
        <v>42930</v>
      </c>
      <c r="BE421" s="82">
        <f t="shared" si="58"/>
        <v>17894230</v>
      </c>
      <c r="BF421" s="13"/>
      <c r="BG421" s="1"/>
    </row>
    <row r="422" spans="1:59" s="54" customFormat="1" ht="40.799999999999997" hidden="1" x14ac:dyDescent="0.3">
      <c r="A422" s="56"/>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197">
        <f>+'Base de Datos'!I422</f>
        <v>38500000</v>
      </c>
      <c r="G422" s="196">
        <f>+'Base de Datos'!M422</f>
        <v>42556</v>
      </c>
      <c r="H422" s="196">
        <f>+'Base de Datos'!N422</f>
        <v>42771</v>
      </c>
      <c r="I422" s="196"/>
      <c r="J422" s="158"/>
      <c r="K422" s="333"/>
      <c r="L422" s="211"/>
      <c r="M422" s="336"/>
      <c r="N422" s="158"/>
      <c r="O422" s="333"/>
      <c r="P422" s="158"/>
      <c r="Q422" s="338"/>
      <c r="R422" s="81">
        <f t="shared" si="51"/>
        <v>0</v>
      </c>
      <c r="S422" s="258"/>
      <c r="T422" s="333"/>
      <c r="U422" s="158"/>
      <c r="V422" s="333"/>
      <c r="W422" s="158"/>
      <c r="X422" s="333"/>
      <c r="Y422" s="158"/>
      <c r="Z422" s="333"/>
      <c r="AA422" s="326"/>
      <c r="AB422" s="1004" t="str">
        <f t="shared" si="52"/>
        <v/>
      </c>
      <c r="AC422" s="1082" t="str">
        <f t="shared" si="53"/>
        <v/>
      </c>
      <c r="AD422" s="1077"/>
      <c r="AE422" s="1077"/>
      <c r="AF422" s="1084" t="str">
        <f t="shared" si="54"/>
        <v/>
      </c>
      <c r="AG422" s="1082" t="str">
        <f t="shared" si="55"/>
        <v/>
      </c>
      <c r="AH422" s="1091"/>
      <c r="AI422" s="1087"/>
      <c r="AJ422" s="1084" t="str">
        <f t="shared" si="56"/>
        <v/>
      </c>
      <c r="AK422" s="1083" t="str">
        <f t="shared" si="57"/>
        <v/>
      </c>
      <c r="AL422" s="211">
        <v>4766666</v>
      </c>
      <c r="AM422" s="211">
        <v>5500000</v>
      </c>
      <c r="AN422" s="211">
        <v>5500000</v>
      </c>
      <c r="AO422" s="211">
        <v>5500000</v>
      </c>
      <c r="AP422" s="211">
        <v>5500000</v>
      </c>
      <c r="AQ422" s="211">
        <v>5500000</v>
      </c>
      <c r="AR422" s="211">
        <v>5500000</v>
      </c>
      <c r="AS422" s="211">
        <v>733334</v>
      </c>
      <c r="AT422" s="211"/>
      <c r="AU422" s="211"/>
      <c r="AV422" s="211"/>
      <c r="AW422" s="211"/>
      <c r="AX422" s="211"/>
      <c r="AY422" s="211"/>
      <c r="AZ422" s="211"/>
      <c r="BA422" s="211"/>
      <c r="BB422" s="211"/>
      <c r="BC422" s="211"/>
      <c r="BD422" s="333">
        <v>42803</v>
      </c>
      <c r="BE422" s="82">
        <f t="shared" si="58"/>
        <v>38500000</v>
      </c>
      <c r="BF422" s="13"/>
      <c r="BG422" s="1"/>
    </row>
    <row r="423" spans="1:59" s="54" customFormat="1" ht="20.399999999999999" hidden="1" x14ac:dyDescent="0.3">
      <c r="A423" s="56"/>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197">
        <f>+'Base de Datos'!I423</f>
        <v>3712000</v>
      </c>
      <c r="G423" s="196">
        <f>+'Base de Datos'!M423</f>
        <v>42562</v>
      </c>
      <c r="H423" s="196">
        <f>+'Base de Datos'!N423</f>
        <v>42654</v>
      </c>
      <c r="I423" s="196"/>
      <c r="J423" s="158"/>
      <c r="K423" s="333"/>
      <c r="L423" s="211"/>
      <c r="M423" s="336"/>
      <c r="N423" s="158"/>
      <c r="O423" s="333"/>
      <c r="P423" s="158"/>
      <c r="Q423" s="338"/>
      <c r="R423" s="81">
        <f t="shared" si="51"/>
        <v>0</v>
      </c>
      <c r="S423" s="258"/>
      <c r="T423" s="333"/>
      <c r="U423" s="158"/>
      <c r="V423" s="333"/>
      <c r="W423" s="158"/>
      <c r="X423" s="333"/>
      <c r="Y423" s="158"/>
      <c r="Z423" s="333"/>
      <c r="AA423" s="326"/>
      <c r="AB423" s="1004" t="str">
        <f t="shared" si="52"/>
        <v/>
      </c>
      <c r="AC423" s="1082" t="str">
        <f t="shared" si="53"/>
        <v/>
      </c>
      <c r="AD423" s="1077"/>
      <c r="AE423" s="1077"/>
      <c r="AF423" s="1084" t="str">
        <f t="shared" si="54"/>
        <v/>
      </c>
      <c r="AG423" s="1082" t="str">
        <f t="shared" si="55"/>
        <v/>
      </c>
      <c r="AH423" s="1091"/>
      <c r="AI423" s="1087"/>
      <c r="AJ423" s="1084" t="str">
        <f t="shared" si="56"/>
        <v/>
      </c>
      <c r="AK423" s="1083" t="str">
        <f t="shared" si="57"/>
        <v/>
      </c>
      <c r="AL423" s="211">
        <v>1113600</v>
      </c>
      <c r="AM423" s="211">
        <v>2598400</v>
      </c>
      <c r="AN423" s="211"/>
      <c r="AO423" s="211"/>
      <c r="AP423" s="211"/>
      <c r="AQ423" s="211"/>
      <c r="AR423" s="211"/>
      <c r="AS423" s="211"/>
      <c r="AT423" s="211"/>
      <c r="AU423" s="211"/>
      <c r="AV423" s="211"/>
      <c r="AW423" s="211"/>
      <c r="AX423" s="211"/>
      <c r="AY423" s="211"/>
      <c r="AZ423" s="211"/>
      <c r="BA423" s="211"/>
      <c r="BB423" s="211"/>
      <c r="BC423" s="211"/>
      <c r="BD423" s="333">
        <v>42636</v>
      </c>
      <c r="BE423" s="82">
        <f t="shared" si="58"/>
        <v>3712000</v>
      </c>
      <c r="BF423" s="13"/>
      <c r="BG423" s="1"/>
    </row>
    <row r="424" spans="1:59" s="54" customFormat="1" ht="30.6" hidden="1" x14ac:dyDescent="0.3">
      <c r="A424" s="56"/>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197">
        <f>+'Base de Datos'!I424</f>
        <v>38500000</v>
      </c>
      <c r="G424" s="196">
        <f>+'Base de Datos'!M424</f>
        <v>42562</v>
      </c>
      <c r="H424" s="196">
        <f>+'Base de Datos'!N424</f>
        <v>42777</v>
      </c>
      <c r="I424" s="196"/>
      <c r="J424" s="158"/>
      <c r="K424" s="333"/>
      <c r="L424" s="211"/>
      <c r="M424" s="336"/>
      <c r="N424" s="158"/>
      <c r="O424" s="333"/>
      <c r="P424" s="158"/>
      <c r="Q424" s="338"/>
      <c r="R424" s="81">
        <f t="shared" si="51"/>
        <v>0</v>
      </c>
      <c r="S424" s="258"/>
      <c r="T424" s="333"/>
      <c r="U424" s="158"/>
      <c r="V424" s="333"/>
      <c r="W424" s="158"/>
      <c r="X424" s="333"/>
      <c r="Y424" s="158"/>
      <c r="Z424" s="333"/>
      <c r="AA424" s="326"/>
      <c r="AB424" s="1004" t="str">
        <f t="shared" si="52"/>
        <v/>
      </c>
      <c r="AC424" s="1082" t="str">
        <f t="shared" si="53"/>
        <v/>
      </c>
      <c r="AD424" s="1077"/>
      <c r="AE424" s="1077"/>
      <c r="AF424" s="1084" t="str">
        <f t="shared" si="54"/>
        <v/>
      </c>
      <c r="AG424" s="1082" t="str">
        <f t="shared" si="55"/>
        <v/>
      </c>
      <c r="AH424" s="1091"/>
      <c r="AI424" s="1087"/>
      <c r="AJ424" s="1084" t="str">
        <f t="shared" si="56"/>
        <v/>
      </c>
      <c r="AK424" s="1083" t="str">
        <f t="shared" si="57"/>
        <v/>
      </c>
      <c r="AL424" s="211">
        <v>3666666</v>
      </c>
      <c r="AM424" s="211">
        <v>5500000</v>
      </c>
      <c r="AN424" s="211">
        <v>5500000</v>
      </c>
      <c r="AO424" s="211">
        <v>5500000</v>
      </c>
      <c r="AP424" s="211">
        <v>5500000</v>
      </c>
      <c r="AQ424" s="211">
        <v>5500000</v>
      </c>
      <c r="AR424" s="211">
        <v>5500000</v>
      </c>
      <c r="AS424" s="211">
        <v>1833334</v>
      </c>
      <c r="AT424" s="211"/>
      <c r="AU424" s="211"/>
      <c r="AV424" s="211"/>
      <c r="AW424" s="211"/>
      <c r="AX424" s="211"/>
      <c r="AY424" s="211"/>
      <c r="AZ424" s="211"/>
      <c r="BA424" s="211"/>
      <c r="BB424" s="211"/>
      <c r="BC424" s="211"/>
      <c r="BD424" s="333">
        <v>42870</v>
      </c>
      <c r="BE424" s="82">
        <f t="shared" si="58"/>
        <v>38500000</v>
      </c>
      <c r="BF424" s="13"/>
      <c r="BG424" s="1"/>
    </row>
    <row r="425" spans="1:59" s="54" customFormat="1" ht="81.599999999999994" hidden="1" x14ac:dyDescent="0.3">
      <c r="A425" s="56"/>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197">
        <f>+'Base de Datos'!I425</f>
        <v>485820000</v>
      </c>
      <c r="G425" s="196">
        <f>+'Base de Datos'!M425</f>
        <v>42583</v>
      </c>
      <c r="H425" s="196">
        <f>+'Base de Datos'!N425</f>
        <v>42887</v>
      </c>
      <c r="I425" s="196"/>
      <c r="J425" s="158">
        <v>259914130</v>
      </c>
      <c r="K425" s="333">
        <v>42887</v>
      </c>
      <c r="L425" s="211"/>
      <c r="M425" s="336"/>
      <c r="N425" s="158"/>
      <c r="O425" s="333"/>
      <c r="P425" s="158"/>
      <c r="Q425" s="338"/>
      <c r="R425" s="81">
        <f t="shared" si="51"/>
        <v>259914130</v>
      </c>
      <c r="S425" s="258" t="s">
        <v>2961</v>
      </c>
      <c r="T425" s="333">
        <v>42932</v>
      </c>
      <c r="U425" s="158"/>
      <c r="V425" s="333"/>
      <c r="W425" s="158"/>
      <c r="X425" s="333"/>
      <c r="Y425" s="158"/>
      <c r="Z425" s="333"/>
      <c r="AA425" s="326" t="s">
        <v>2961</v>
      </c>
      <c r="AB425" s="1004">
        <f t="shared" si="52"/>
        <v>42932</v>
      </c>
      <c r="AC425" s="1082" t="str">
        <f t="shared" si="53"/>
        <v/>
      </c>
      <c r="AD425" s="1077"/>
      <c r="AE425" s="1077"/>
      <c r="AF425" s="1084" t="str">
        <f t="shared" si="54"/>
        <v/>
      </c>
      <c r="AG425" s="1082" t="str">
        <f t="shared" si="55"/>
        <v/>
      </c>
      <c r="AH425" s="1091"/>
      <c r="AI425" s="1087"/>
      <c r="AJ425" s="1084" t="str">
        <f t="shared" si="56"/>
        <v/>
      </c>
      <c r="AK425" s="1083" t="str">
        <f t="shared" si="57"/>
        <v/>
      </c>
      <c r="AL425" s="211">
        <v>46928128</v>
      </c>
      <c r="AM425" s="211">
        <v>51810236</v>
      </c>
      <c r="AN425" s="211">
        <v>52410548</v>
      </c>
      <c r="AO425" s="211">
        <v>52343844</v>
      </c>
      <c r="AP425" s="211">
        <v>53144264</v>
      </c>
      <c r="AQ425" s="211">
        <v>59346612</v>
      </c>
      <c r="AR425" s="211">
        <v>82401342</v>
      </c>
      <c r="AS425" s="211">
        <v>82686823</v>
      </c>
      <c r="AT425" s="211">
        <v>153806348</v>
      </c>
      <c r="AU425" s="211"/>
      <c r="AV425" s="211">
        <v>70530839</v>
      </c>
      <c r="AW425" s="211">
        <v>39604792</v>
      </c>
      <c r="AX425" s="211"/>
      <c r="AY425" s="211"/>
      <c r="AZ425" s="211"/>
      <c r="BA425" s="211"/>
      <c r="BB425" s="211"/>
      <c r="BC425" s="211"/>
      <c r="BD425" s="333">
        <v>42983</v>
      </c>
      <c r="BE425" s="82">
        <f t="shared" si="58"/>
        <v>745013776</v>
      </c>
      <c r="BF425" s="13"/>
      <c r="BG425" s="1"/>
    </row>
    <row r="426" spans="1:59" s="54" customFormat="1" ht="51" hidden="1" x14ac:dyDescent="0.3">
      <c r="A426" s="56"/>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197">
        <f>+'Base de Datos'!I426</f>
        <v>38500000</v>
      </c>
      <c r="G426" s="196">
        <f>+'Base de Datos'!M426</f>
        <v>42563</v>
      </c>
      <c r="H426" s="196">
        <f>+'Base de Datos'!N426</f>
        <v>42778</v>
      </c>
      <c r="I426" s="196"/>
      <c r="J426" s="158"/>
      <c r="K426" s="333"/>
      <c r="L426" s="211"/>
      <c r="M426" s="336"/>
      <c r="N426" s="158"/>
      <c r="O426" s="333"/>
      <c r="P426" s="158"/>
      <c r="Q426" s="338"/>
      <c r="R426" s="81">
        <f t="shared" si="51"/>
        <v>0</v>
      </c>
      <c r="S426" s="258"/>
      <c r="T426" s="333"/>
      <c r="U426" s="158"/>
      <c r="V426" s="333"/>
      <c r="W426" s="158"/>
      <c r="X426" s="333"/>
      <c r="Y426" s="158"/>
      <c r="Z426" s="333"/>
      <c r="AA426" s="326"/>
      <c r="AB426" s="1004" t="str">
        <f t="shared" si="52"/>
        <v/>
      </c>
      <c r="AC426" s="1082" t="str">
        <f t="shared" si="53"/>
        <v/>
      </c>
      <c r="AD426" s="1077"/>
      <c r="AE426" s="1077"/>
      <c r="AF426" s="1084" t="str">
        <f t="shared" si="54"/>
        <v/>
      </c>
      <c r="AG426" s="1082" t="str">
        <f t="shared" si="55"/>
        <v/>
      </c>
      <c r="AH426" s="1091"/>
      <c r="AI426" s="1087"/>
      <c r="AJ426" s="1084" t="str">
        <f t="shared" si="56"/>
        <v/>
      </c>
      <c r="AK426" s="1083" t="str">
        <f t="shared" si="57"/>
        <v/>
      </c>
      <c r="AL426" s="211">
        <v>3483333</v>
      </c>
      <c r="AM426" s="211">
        <v>5500000</v>
      </c>
      <c r="AN426" s="211">
        <v>5500000</v>
      </c>
      <c r="AO426" s="211">
        <v>5500000</v>
      </c>
      <c r="AP426" s="211">
        <v>5500000</v>
      </c>
      <c r="AQ426" s="211">
        <v>5500000</v>
      </c>
      <c r="AR426" s="211">
        <v>5500000</v>
      </c>
      <c r="AS426" s="211">
        <v>2016667</v>
      </c>
      <c r="AT426" s="211"/>
      <c r="AU426" s="211"/>
      <c r="AV426" s="211"/>
      <c r="AW426" s="211"/>
      <c r="AX426" s="211"/>
      <c r="AY426" s="211"/>
      <c r="AZ426" s="211"/>
      <c r="BA426" s="211"/>
      <c r="BB426" s="211"/>
      <c r="BC426" s="211"/>
      <c r="BD426" s="333">
        <v>42794</v>
      </c>
      <c r="BE426" s="82">
        <f t="shared" si="58"/>
        <v>38500000</v>
      </c>
      <c r="BF426" s="13"/>
      <c r="BG426" s="1"/>
    </row>
    <row r="427" spans="1:59" s="54" customFormat="1" ht="20.399999999999999" hidden="1" x14ac:dyDescent="0.3">
      <c r="A427" s="56"/>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197">
        <f>+'Base de Datos'!I427</f>
        <v>219700000</v>
      </c>
      <c r="G427" s="196">
        <f>+'Base de Datos'!M427</f>
        <v>42566</v>
      </c>
      <c r="H427" s="196">
        <f>+'Base de Datos'!N427</f>
        <v>42931</v>
      </c>
      <c r="I427" s="196"/>
      <c r="J427" s="158"/>
      <c r="K427" s="333"/>
      <c r="L427" s="211"/>
      <c r="M427" s="336"/>
      <c r="N427" s="158"/>
      <c r="O427" s="333"/>
      <c r="P427" s="158"/>
      <c r="Q427" s="338"/>
      <c r="R427" s="81">
        <f t="shared" si="51"/>
        <v>0</v>
      </c>
      <c r="S427" s="258"/>
      <c r="T427" s="333"/>
      <c r="U427" s="158"/>
      <c r="V427" s="333"/>
      <c r="W427" s="158"/>
      <c r="X427" s="333"/>
      <c r="Y427" s="158"/>
      <c r="Z427" s="333"/>
      <c r="AA427" s="326"/>
      <c r="AB427" s="1004" t="str">
        <f t="shared" si="52"/>
        <v/>
      </c>
      <c r="AC427" s="1082" t="str">
        <f t="shared" si="53"/>
        <v/>
      </c>
      <c r="AD427" s="1077"/>
      <c r="AE427" s="1077"/>
      <c r="AF427" s="1084" t="str">
        <f t="shared" si="54"/>
        <v/>
      </c>
      <c r="AG427" s="1082" t="str">
        <f t="shared" si="55"/>
        <v/>
      </c>
      <c r="AH427" s="1091"/>
      <c r="AI427" s="1087"/>
      <c r="AJ427" s="1084" t="str">
        <f t="shared" si="56"/>
        <v/>
      </c>
      <c r="AK427" s="1083" t="str">
        <f t="shared" si="57"/>
        <v/>
      </c>
      <c r="AL427" s="211">
        <v>36616667</v>
      </c>
      <c r="AM427" s="211">
        <v>36616667</v>
      </c>
      <c r="AN427" s="211">
        <v>36616667</v>
      </c>
      <c r="AO427" s="211">
        <v>36616667</v>
      </c>
      <c r="AP427" s="211">
        <v>36616667</v>
      </c>
      <c r="AQ427" s="211">
        <v>36616665</v>
      </c>
      <c r="AR427" s="211"/>
      <c r="AS427" s="211"/>
      <c r="AT427" s="211"/>
      <c r="AU427" s="211"/>
      <c r="AV427" s="211"/>
      <c r="AW427" s="211"/>
      <c r="AX427" s="211"/>
      <c r="AY427" s="211"/>
      <c r="AZ427" s="211"/>
      <c r="BA427" s="211"/>
      <c r="BB427" s="211"/>
      <c r="BC427" s="211"/>
      <c r="BD427" s="333">
        <v>42940</v>
      </c>
      <c r="BE427" s="82">
        <f t="shared" si="58"/>
        <v>219700000</v>
      </c>
      <c r="BF427" s="13"/>
      <c r="BG427" s="1"/>
    </row>
    <row r="428" spans="1:59" s="54" customFormat="1" ht="20.399999999999999" hidden="1" x14ac:dyDescent="0.3">
      <c r="A428" s="56"/>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197">
        <f>+'Base de Datos'!I428</f>
        <v>1769832</v>
      </c>
      <c r="G428" s="196">
        <f>+'Base de Datos'!M428</f>
        <v>42573</v>
      </c>
      <c r="H428" s="196">
        <f>+'Base de Datos'!N428</f>
        <v>42937</v>
      </c>
      <c r="I428" s="196"/>
      <c r="J428" s="158"/>
      <c r="K428" s="333"/>
      <c r="L428" s="211"/>
      <c r="M428" s="336"/>
      <c r="N428" s="158"/>
      <c r="O428" s="333"/>
      <c r="P428" s="158"/>
      <c r="Q428" s="338"/>
      <c r="R428" s="81">
        <f t="shared" si="51"/>
        <v>0</v>
      </c>
      <c r="S428" s="258"/>
      <c r="T428" s="333"/>
      <c r="U428" s="158"/>
      <c r="V428" s="333"/>
      <c r="W428" s="158"/>
      <c r="X428" s="333"/>
      <c r="Y428" s="158"/>
      <c r="Z428" s="333"/>
      <c r="AA428" s="326"/>
      <c r="AB428" s="1004" t="str">
        <f t="shared" si="52"/>
        <v/>
      </c>
      <c r="AC428" s="1082" t="str">
        <f t="shared" si="53"/>
        <v/>
      </c>
      <c r="AD428" s="1077"/>
      <c r="AE428" s="1077"/>
      <c r="AF428" s="1084" t="str">
        <f t="shared" si="54"/>
        <v/>
      </c>
      <c r="AG428" s="1082" t="str">
        <f t="shared" si="55"/>
        <v/>
      </c>
      <c r="AH428" s="1091"/>
      <c r="AI428" s="1087"/>
      <c r="AJ428" s="1084" t="str">
        <f t="shared" si="56"/>
        <v/>
      </c>
      <c r="AK428" s="1083" t="str">
        <f t="shared" si="57"/>
        <v/>
      </c>
      <c r="AL428" s="211">
        <v>1738033</v>
      </c>
      <c r="AM428" s="211"/>
      <c r="AN428" s="211"/>
      <c r="AO428" s="211"/>
      <c r="AP428" s="211"/>
      <c r="AQ428" s="211"/>
      <c r="AR428" s="211"/>
      <c r="AS428" s="211"/>
      <c r="AT428" s="211"/>
      <c r="AU428" s="211"/>
      <c r="AV428" s="211"/>
      <c r="AW428" s="211"/>
      <c r="AX428" s="211"/>
      <c r="AY428" s="211"/>
      <c r="AZ428" s="211"/>
      <c r="BA428" s="211"/>
      <c r="BB428" s="211"/>
      <c r="BC428" s="211"/>
      <c r="BD428" s="333">
        <v>42718</v>
      </c>
      <c r="BE428" s="82">
        <f t="shared" si="58"/>
        <v>1738033</v>
      </c>
      <c r="BF428" s="13"/>
      <c r="BG428" s="1"/>
    </row>
    <row r="429" spans="1:59" s="54" customFormat="1" ht="61.2" hidden="1" x14ac:dyDescent="0.3">
      <c r="A429" s="56"/>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197">
        <f>+'Base de Datos'!I429</f>
        <v>12650000</v>
      </c>
      <c r="G429" s="196">
        <f>+'Base de Datos'!M429</f>
        <v>42577</v>
      </c>
      <c r="H429" s="196">
        <f>+'Base de Datos'!N429</f>
        <v>42912</v>
      </c>
      <c r="I429" s="196"/>
      <c r="J429" s="158">
        <v>2300000</v>
      </c>
      <c r="K429" s="333">
        <v>42909</v>
      </c>
      <c r="L429" s="211"/>
      <c r="M429" s="336"/>
      <c r="N429" s="158"/>
      <c r="O429" s="333"/>
      <c r="P429" s="158"/>
      <c r="Q429" s="338"/>
      <c r="R429" s="81">
        <f t="shared" si="51"/>
        <v>2300000</v>
      </c>
      <c r="S429" s="258" t="s">
        <v>378</v>
      </c>
      <c r="T429" s="333">
        <v>42973</v>
      </c>
      <c r="U429" s="158"/>
      <c r="V429" s="333"/>
      <c r="W429" s="158"/>
      <c r="X429" s="333"/>
      <c r="Y429" s="158"/>
      <c r="Z429" s="333"/>
      <c r="AA429" s="326" t="s">
        <v>378</v>
      </c>
      <c r="AB429" s="1004">
        <f t="shared" si="52"/>
        <v>42973</v>
      </c>
      <c r="AC429" s="1082" t="str">
        <f t="shared" si="53"/>
        <v/>
      </c>
      <c r="AD429" s="1077"/>
      <c r="AE429" s="1077"/>
      <c r="AF429" s="1084" t="str">
        <f t="shared" si="54"/>
        <v/>
      </c>
      <c r="AG429" s="1082" t="str">
        <f t="shared" si="55"/>
        <v/>
      </c>
      <c r="AH429" s="1091"/>
      <c r="AI429" s="1087"/>
      <c r="AJ429" s="1084" t="str">
        <f t="shared" si="56"/>
        <v/>
      </c>
      <c r="AK429" s="1083" t="str">
        <f t="shared" si="57"/>
        <v/>
      </c>
      <c r="AL429" s="211">
        <v>3415500</v>
      </c>
      <c r="AM429" s="211">
        <f>1138500</f>
        <v>1138500</v>
      </c>
      <c r="AN429" s="211">
        <v>1138500</v>
      </c>
      <c r="AO429" s="211">
        <v>1138500</v>
      </c>
      <c r="AP429" s="211">
        <v>1138500</v>
      </c>
      <c r="AQ429" s="211">
        <v>1138500</v>
      </c>
      <c r="AR429" s="211">
        <v>1138500</v>
      </c>
      <c r="AS429" s="211">
        <v>1138500</v>
      </c>
      <c r="AT429" s="211">
        <v>1138500</v>
      </c>
      <c r="AU429" s="211">
        <v>126500</v>
      </c>
      <c r="AV429" s="211">
        <v>1012000</v>
      </c>
      <c r="AW429" s="211">
        <v>1288000</v>
      </c>
      <c r="AX429" s="211"/>
      <c r="AY429" s="211"/>
      <c r="AZ429" s="211"/>
      <c r="BA429" s="211"/>
      <c r="BB429" s="211"/>
      <c r="BC429" s="211"/>
      <c r="BD429" s="333">
        <v>43230</v>
      </c>
      <c r="BE429" s="82">
        <f t="shared" si="58"/>
        <v>14950000</v>
      </c>
      <c r="BF429" s="13"/>
      <c r="BG429" s="1"/>
    </row>
    <row r="430" spans="1:59" s="54" customFormat="1" ht="30.6" hidden="1" x14ac:dyDescent="0.3">
      <c r="A430" s="56"/>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197">
        <f>+'Base de Datos'!I430</f>
        <v>12928000</v>
      </c>
      <c r="G430" s="196">
        <f>+'Base de Datos'!M430</f>
        <v>42578</v>
      </c>
      <c r="H430" s="196">
        <f>+'Base de Datos'!N430</f>
        <v>42793</v>
      </c>
      <c r="I430" s="196"/>
      <c r="J430" s="158"/>
      <c r="K430" s="333"/>
      <c r="L430" s="211"/>
      <c r="M430" s="336"/>
      <c r="N430" s="158"/>
      <c r="O430" s="333"/>
      <c r="P430" s="158"/>
      <c r="Q430" s="338"/>
      <c r="R430" s="81">
        <f t="shared" si="51"/>
        <v>0</v>
      </c>
      <c r="S430" s="258" t="s">
        <v>378</v>
      </c>
      <c r="T430" s="333">
        <v>42852</v>
      </c>
      <c r="U430" s="158" t="s">
        <v>382</v>
      </c>
      <c r="V430" s="333">
        <v>43035</v>
      </c>
      <c r="W430" s="158" t="s">
        <v>2544</v>
      </c>
      <c r="X430" s="333">
        <v>43069</v>
      </c>
      <c r="Y430" s="158"/>
      <c r="Z430" s="333"/>
      <c r="AA430" s="326" t="s">
        <v>3623</v>
      </c>
      <c r="AB430" s="1004">
        <f t="shared" si="52"/>
        <v>43069</v>
      </c>
      <c r="AC430" s="1082" t="str">
        <f t="shared" si="53"/>
        <v/>
      </c>
      <c r="AD430" s="1077"/>
      <c r="AE430" s="1077"/>
      <c r="AF430" s="1084" t="str">
        <f t="shared" si="54"/>
        <v/>
      </c>
      <c r="AG430" s="1082" t="str">
        <f t="shared" si="55"/>
        <v/>
      </c>
      <c r="AH430" s="1091"/>
      <c r="AI430" s="1087"/>
      <c r="AJ430" s="1084" t="str">
        <f t="shared" si="56"/>
        <v/>
      </c>
      <c r="AK430" s="1083" t="str">
        <f t="shared" si="57"/>
        <v/>
      </c>
      <c r="AL430" s="211">
        <v>1012500</v>
      </c>
      <c r="AM430" s="211">
        <v>300000</v>
      </c>
      <c r="AN430" s="211">
        <v>2010000</v>
      </c>
      <c r="AO430" s="211">
        <v>1110000</v>
      </c>
      <c r="AP430" s="211">
        <v>900000</v>
      </c>
      <c r="AQ430" s="211">
        <v>370000</v>
      </c>
      <c r="AR430" s="211">
        <v>670000</v>
      </c>
      <c r="AS430" s="211"/>
      <c r="AT430" s="211"/>
      <c r="AU430" s="211"/>
      <c r="AV430" s="211"/>
      <c r="AW430" s="211"/>
      <c r="AX430" s="211"/>
      <c r="AY430" s="211"/>
      <c r="AZ430" s="211"/>
      <c r="BA430" s="211"/>
      <c r="BB430" s="211"/>
      <c r="BC430" s="211"/>
      <c r="BD430" s="333">
        <v>43202</v>
      </c>
      <c r="BE430" s="82">
        <f t="shared" si="58"/>
        <v>6372500</v>
      </c>
      <c r="BF430" s="13"/>
      <c r="BG430" s="1"/>
    </row>
    <row r="431" spans="1:59" s="54" customFormat="1" ht="20.399999999999999" hidden="1" x14ac:dyDescent="0.3">
      <c r="A431" s="56"/>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197">
        <f>+'Base de Datos'!I431</f>
        <v>230623200</v>
      </c>
      <c r="G431" s="196">
        <f>+'Base de Datos'!M431</f>
        <v>42583</v>
      </c>
      <c r="H431" s="196">
        <f>+'Base de Datos'!N431</f>
        <v>42767</v>
      </c>
      <c r="I431" s="196"/>
      <c r="J431" s="158"/>
      <c r="K431" s="333"/>
      <c r="L431" s="211"/>
      <c r="M431" s="336"/>
      <c r="N431" s="158"/>
      <c r="O431" s="333"/>
      <c r="P431" s="158"/>
      <c r="Q431" s="338"/>
      <c r="R431" s="81">
        <f t="shared" si="51"/>
        <v>0</v>
      </c>
      <c r="S431" s="258"/>
      <c r="T431" s="333"/>
      <c r="U431" s="158"/>
      <c r="V431" s="333"/>
      <c r="W431" s="158"/>
      <c r="X431" s="333"/>
      <c r="Y431" s="158"/>
      <c r="Z431" s="333"/>
      <c r="AA431" s="326"/>
      <c r="AB431" s="1004" t="str">
        <f t="shared" si="52"/>
        <v/>
      </c>
      <c r="AC431" s="1082" t="str">
        <f t="shared" si="53"/>
        <v/>
      </c>
      <c r="AD431" s="1077"/>
      <c r="AE431" s="1077"/>
      <c r="AF431" s="1084" t="str">
        <f t="shared" si="54"/>
        <v/>
      </c>
      <c r="AG431" s="1082" t="str">
        <f t="shared" si="55"/>
        <v/>
      </c>
      <c r="AH431" s="1091"/>
      <c r="AI431" s="1087"/>
      <c r="AJ431" s="1084" t="str">
        <f t="shared" si="56"/>
        <v/>
      </c>
      <c r="AK431" s="1083" t="str">
        <f t="shared" si="57"/>
        <v/>
      </c>
      <c r="AL431" s="211">
        <v>38437200</v>
      </c>
      <c r="AM431" s="211">
        <v>38437200</v>
      </c>
      <c r="AN431" s="211">
        <v>38437200</v>
      </c>
      <c r="AO431" s="211">
        <v>38437200</v>
      </c>
      <c r="AP431" s="211">
        <v>38437200</v>
      </c>
      <c r="AQ431" s="211">
        <v>38437200</v>
      </c>
      <c r="AR431" s="211"/>
      <c r="AS431" s="211"/>
      <c r="AT431" s="211"/>
      <c r="AU431" s="211"/>
      <c r="AV431" s="211"/>
      <c r="AW431" s="211"/>
      <c r="AX431" s="211"/>
      <c r="AY431" s="211"/>
      <c r="AZ431" s="211"/>
      <c r="BA431" s="211"/>
      <c r="BB431" s="211"/>
      <c r="BC431" s="211"/>
      <c r="BD431" s="333">
        <v>42738</v>
      </c>
      <c r="BE431" s="82">
        <f t="shared" si="58"/>
        <v>230623200</v>
      </c>
      <c r="BF431" s="13"/>
      <c r="BG431" s="1"/>
    </row>
    <row r="432" spans="1:59" s="54" customFormat="1" ht="40.799999999999997" hidden="1" x14ac:dyDescent="0.3">
      <c r="A432" s="56"/>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197">
        <f>+'Base de Datos'!I432</f>
        <v>9280000</v>
      </c>
      <c r="G432" s="196">
        <f>+'Base de Datos'!M432</f>
        <v>42580</v>
      </c>
      <c r="H432" s="196">
        <f>+'Base de Datos'!N432</f>
        <v>42703</v>
      </c>
      <c r="I432" s="196"/>
      <c r="J432" s="158"/>
      <c r="K432" s="333"/>
      <c r="L432" s="211"/>
      <c r="M432" s="336"/>
      <c r="N432" s="158"/>
      <c r="O432" s="333"/>
      <c r="P432" s="158"/>
      <c r="Q432" s="338"/>
      <c r="R432" s="81">
        <f t="shared" si="51"/>
        <v>0</v>
      </c>
      <c r="S432" s="258"/>
      <c r="T432" s="333"/>
      <c r="U432" s="158"/>
      <c r="V432" s="333"/>
      <c r="W432" s="158"/>
      <c r="X432" s="333"/>
      <c r="Y432" s="158"/>
      <c r="Z432" s="333"/>
      <c r="AA432" s="326"/>
      <c r="AB432" s="1004" t="str">
        <f t="shared" si="52"/>
        <v/>
      </c>
      <c r="AC432" s="1082" t="str">
        <f t="shared" si="53"/>
        <v/>
      </c>
      <c r="AD432" s="1077"/>
      <c r="AE432" s="1077"/>
      <c r="AF432" s="1084" t="str">
        <f t="shared" si="54"/>
        <v/>
      </c>
      <c r="AG432" s="1082" t="str">
        <f t="shared" si="55"/>
        <v/>
      </c>
      <c r="AH432" s="1091"/>
      <c r="AI432" s="1087"/>
      <c r="AJ432" s="1084" t="str">
        <f t="shared" si="56"/>
        <v/>
      </c>
      <c r="AK432" s="1083" t="str">
        <f t="shared" si="57"/>
        <v/>
      </c>
      <c r="AL432" s="211">
        <v>9280000</v>
      </c>
      <c r="AM432" s="211"/>
      <c r="AN432" s="211"/>
      <c r="AO432" s="211"/>
      <c r="AP432" s="211"/>
      <c r="AQ432" s="211"/>
      <c r="AR432" s="211"/>
      <c r="AS432" s="211"/>
      <c r="AT432" s="211"/>
      <c r="AU432" s="211"/>
      <c r="AV432" s="211"/>
      <c r="AW432" s="211"/>
      <c r="AX432" s="211"/>
      <c r="AY432" s="211"/>
      <c r="AZ432" s="211"/>
      <c r="BA432" s="211"/>
      <c r="BB432" s="211"/>
      <c r="BC432" s="211"/>
      <c r="BD432" s="333">
        <v>42737</v>
      </c>
      <c r="BE432" s="82">
        <f t="shared" si="58"/>
        <v>9280000</v>
      </c>
      <c r="BF432" s="13"/>
      <c r="BG432" s="1"/>
    </row>
    <row r="433" spans="1:59" s="54" customFormat="1" ht="30.6" hidden="1" x14ac:dyDescent="0.3">
      <c r="A433" s="56"/>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197">
        <f>+'Base de Datos'!I433</f>
        <v>2605500</v>
      </c>
      <c r="G433" s="196">
        <f>+'Base de Datos'!M433</f>
        <v>42583</v>
      </c>
      <c r="H433" s="196">
        <f>+'Base de Datos'!N433</f>
        <v>42767</v>
      </c>
      <c r="I433" s="196"/>
      <c r="J433" s="158"/>
      <c r="K433" s="333"/>
      <c r="L433" s="211"/>
      <c r="M433" s="336"/>
      <c r="N433" s="158"/>
      <c r="O433" s="333"/>
      <c r="P433" s="158"/>
      <c r="Q433" s="338"/>
      <c r="R433" s="81">
        <f t="shared" si="51"/>
        <v>0</v>
      </c>
      <c r="S433" s="258"/>
      <c r="T433" s="333"/>
      <c r="U433" s="158"/>
      <c r="V433" s="333"/>
      <c r="W433" s="158"/>
      <c r="X433" s="333"/>
      <c r="Y433" s="158"/>
      <c r="Z433" s="333"/>
      <c r="AA433" s="326"/>
      <c r="AB433" s="1004" t="str">
        <f t="shared" si="52"/>
        <v/>
      </c>
      <c r="AC433" s="1082" t="str">
        <f t="shared" si="53"/>
        <v/>
      </c>
      <c r="AD433" s="1077"/>
      <c r="AE433" s="1077"/>
      <c r="AF433" s="1084" t="str">
        <f t="shared" si="54"/>
        <v/>
      </c>
      <c r="AG433" s="1082" t="str">
        <f t="shared" si="55"/>
        <v/>
      </c>
      <c r="AH433" s="1091"/>
      <c r="AI433" s="1087"/>
      <c r="AJ433" s="1084" t="str">
        <f t="shared" si="56"/>
        <v/>
      </c>
      <c r="AK433" s="1083" t="str">
        <f t="shared" si="57"/>
        <v/>
      </c>
      <c r="AL433" s="211">
        <v>596201</v>
      </c>
      <c r="AM433" s="211">
        <v>440903</v>
      </c>
      <c r="AN433" s="211"/>
      <c r="AO433" s="211">
        <v>363904</v>
      </c>
      <c r="AP433" s="211"/>
      <c r="AQ433" s="211"/>
      <c r="AR433" s="211"/>
      <c r="AS433" s="211"/>
      <c r="AT433" s="211"/>
      <c r="AU433" s="211"/>
      <c r="AV433" s="211"/>
      <c r="AW433" s="211"/>
      <c r="AX433" s="211"/>
      <c r="AY433" s="211"/>
      <c r="AZ433" s="211"/>
      <c r="BA433" s="211"/>
      <c r="BB433" s="211"/>
      <c r="BC433" s="211"/>
      <c r="BD433" s="333">
        <v>42899</v>
      </c>
      <c r="BE433" s="82">
        <f t="shared" si="58"/>
        <v>1401008</v>
      </c>
      <c r="BF433" s="13"/>
      <c r="BG433" s="1"/>
    </row>
    <row r="434" spans="1:59" s="54" customFormat="1" ht="40.799999999999997" hidden="1" x14ac:dyDescent="0.3">
      <c r="A434" s="56"/>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197">
        <f>+'Base de Datos'!I434</f>
        <v>53583000</v>
      </c>
      <c r="G434" s="196">
        <f>+'Base de Datos'!M434</f>
        <v>42579</v>
      </c>
      <c r="H434" s="196">
        <f>+'Base de Datos'!N434</f>
        <v>42794</v>
      </c>
      <c r="I434" s="196"/>
      <c r="J434" s="158"/>
      <c r="K434" s="333"/>
      <c r="L434" s="211"/>
      <c r="M434" s="336"/>
      <c r="N434" s="158"/>
      <c r="O434" s="333"/>
      <c r="P434" s="158"/>
      <c r="Q434" s="338"/>
      <c r="R434" s="81">
        <f t="shared" si="51"/>
        <v>0</v>
      </c>
      <c r="S434" s="258" t="s">
        <v>378</v>
      </c>
      <c r="T434" s="333">
        <v>42853</v>
      </c>
      <c r="U434" s="158" t="s">
        <v>2240</v>
      </c>
      <c r="V434" s="333">
        <v>42867</v>
      </c>
      <c r="W434" s="158"/>
      <c r="X434" s="333"/>
      <c r="Y434" s="158"/>
      <c r="Z434" s="333"/>
      <c r="AA434" s="326" t="s">
        <v>2914</v>
      </c>
      <c r="AB434" s="1004">
        <f t="shared" si="52"/>
        <v>42867</v>
      </c>
      <c r="AC434" s="1082" t="str">
        <f t="shared" si="53"/>
        <v/>
      </c>
      <c r="AD434" s="1077"/>
      <c r="AE434" s="1077"/>
      <c r="AF434" s="1084" t="str">
        <f t="shared" si="54"/>
        <v/>
      </c>
      <c r="AG434" s="1082" t="str">
        <f t="shared" si="55"/>
        <v/>
      </c>
      <c r="AH434" s="1091"/>
      <c r="AI434" s="1087"/>
      <c r="AJ434" s="1084" t="str">
        <f t="shared" si="56"/>
        <v/>
      </c>
      <c r="AK434" s="1083" t="str">
        <f t="shared" si="57"/>
        <v/>
      </c>
      <c r="AL434" s="211">
        <v>32318219</v>
      </c>
      <c r="AM434" s="211">
        <v>20344948</v>
      </c>
      <c r="AN434" s="211"/>
      <c r="AO434" s="211"/>
      <c r="AP434" s="211"/>
      <c r="AQ434" s="211"/>
      <c r="AR434" s="211"/>
      <c r="AS434" s="211"/>
      <c r="AT434" s="211"/>
      <c r="AU434" s="211"/>
      <c r="AV434" s="211"/>
      <c r="AW434" s="211"/>
      <c r="AX434" s="211"/>
      <c r="AY434" s="211"/>
      <c r="AZ434" s="211"/>
      <c r="BA434" s="211"/>
      <c r="BB434" s="211"/>
      <c r="BC434" s="211"/>
      <c r="BD434" s="333">
        <v>42962</v>
      </c>
      <c r="BE434" s="82">
        <f t="shared" si="58"/>
        <v>52663167</v>
      </c>
      <c r="BF434" s="13"/>
      <c r="BG434" s="1"/>
    </row>
    <row r="435" spans="1:59" s="54" customFormat="1" ht="71.400000000000006" hidden="1" x14ac:dyDescent="0.3">
      <c r="A435" s="56"/>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197">
        <f>+'Base de Datos'!I435</f>
        <v>221382000</v>
      </c>
      <c r="G435" s="196">
        <f>+'Base de Datos'!M435</f>
        <v>42587</v>
      </c>
      <c r="H435" s="196">
        <f>+'Base de Datos'!N435</f>
        <v>42891</v>
      </c>
      <c r="I435" s="196"/>
      <c r="J435" s="158">
        <v>20000000</v>
      </c>
      <c r="K435" s="333">
        <v>42888</v>
      </c>
      <c r="L435" s="211"/>
      <c r="M435" s="336"/>
      <c r="N435" s="158"/>
      <c r="O435" s="333"/>
      <c r="P435" s="158"/>
      <c r="Q435" s="338"/>
      <c r="R435" s="81">
        <f t="shared" si="51"/>
        <v>20000000</v>
      </c>
      <c r="S435" s="258" t="s">
        <v>378</v>
      </c>
      <c r="T435" s="333">
        <v>42952</v>
      </c>
      <c r="U435" s="158"/>
      <c r="V435" s="333"/>
      <c r="W435" s="158"/>
      <c r="X435" s="333"/>
      <c r="Y435" s="158"/>
      <c r="Z435" s="333"/>
      <c r="AA435" s="326" t="s">
        <v>378</v>
      </c>
      <c r="AB435" s="1004">
        <f t="shared" si="52"/>
        <v>42952</v>
      </c>
      <c r="AC435" s="1082" t="str">
        <f t="shared" si="53"/>
        <v/>
      </c>
      <c r="AD435" s="1077"/>
      <c r="AE435" s="1077"/>
      <c r="AF435" s="1084" t="str">
        <f t="shared" si="54"/>
        <v/>
      </c>
      <c r="AG435" s="1082" t="str">
        <f t="shared" si="55"/>
        <v/>
      </c>
      <c r="AH435" s="1091"/>
      <c r="AI435" s="1087"/>
      <c r="AJ435" s="1084" t="str">
        <f t="shared" si="56"/>
        <v/>
      </c>
      <c r="AK435" s="1083" t="str">
        <f t="shared" si="57"/>
        <v/>
      </c>
      <c r="AL435" s="211">
        <v>49566676</v>
      </c>
      <c r="AM435" s="211">
        <v>13631814</v>
      </c>
      <c r="AN435" s="211">
        <v>14463368</v>
      </c>
      <c r="AO435" s="211">
        <v>31503722</v>
      </c>
      <c r="AP435" s="211">
        <v>23715065</v>
      </c>
      <c r="AQ435" s="211">
        <v>15248140</v>
      </c>
      <c r="AR435" s="211">
        <v>14251458</v>
      </c>
      <c r="AS435" s="211">
        <v>24951433</v>
      </c>
      <c r="AT435" s="211">
        <v>25184626</v>
      </c>
      <c r="AU435" s="211">
        <v>8865698</v>
      </c>
      <c r="AV435" s="211">
        <v>11280768</v>
      </c>
      <c r="AW435" s="211"/>
      <c r="AX435" s="211"/>
      <c r="AY435" s="211"/>
      <c r="AZ435" s="211"/>
      <c r="BA435" s="211"/>
      <c r="BB435" s="211"/>
      <c r="BC435" s="211"/>
      <c r="BD435" s="333">
        <v>42989</v>
      </c>
      <c r="BE435" s="82">
        <f t="shared" si="58"/>
        <v>232662768</v>
      </c>
      <c r="BF435" s="13"/>
      <c r="BG435" s="1"/>
    </row>
    <row r="436" spans="1:59" s="54" customFormat="1" ht="51" hidden="1" x14ac:dyDescent="0.3">
      <c r="A436" s="56"/>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197">
        <f>+'Base de Datos'!I436</f>
        <v>26540000</v>
      </c>
      <c r="G436" s="196">
        <f>+'Base de Datos'!M436</f>
        <v>42583</v>
      </c>
      <c r="H436" s="196">
        <f>+'Base de Datos'!N436</f>
        <v>42767</v>
      </c>
      <c r="I436" s="196"/>
      <c r="J436" s="158">
        <v>8000000</v>
      </c>
      <c r="K436" s="333">
        <v>42916</v>
      </c>
      <c r="L436" s="211">
        <v>1100000</v>
      </c>
      <c r="M436" s="336">
        <v>43007</v>
      </c>
      <c r="N436" s="158"/>
      <c r="O436" s="333"/>
      <c r="P436" s="158"/>
      <c r="Q436" s="338"/>
      <c r="R436" s="81">
        <f t="shared" si="51"/>
        <v>9100000</v>
      </c>
      <c r="S436" s="258" t="s">
        <v>378</v>
      </c>
      <c r="T436" s="333">
        <v>42826</v>
      </c>
      <c r="U436" s="158" t="s">
        <v>379</v>
      </c>
      <c r="V436" s="333">
        <v>42917</v>
      </c>
      <c r="W436" s="158" t="s">
        <v>379</v>
      </c>
      <c r="X436" s="333">
        <v>43009</v>
      </c>
      <c r="Y436" s="158" t="s">
        <v>2411</v>
      </c>
      <c r="Z436" s="333">
        <v>43040</v>
      </c>
      <c r="AA436" s="326" t="s">
        <v>3624</v>
      </c>
      <c r="AB436" s="1004">
        <f t="shared" si="52"/>
        <v>43040</v>
      </c>
      <c r="AC436" s="1082" t="str">
        <f t="shared" si="53"/>
        <v/>
      </c>
      <c r="AD436" s="1077"/>
      <c r="AE436" s="1077"/>
      <c r="AF436" s="1084" t="str">
        <f t="shared" si="54"/>
        <v/>
      </c>
      <c r="AG436" s="1082" t="str">
        <f t="shared" si="55"/>
        <v/>
      </c>
      <c r="AH436" s="1091"/>
      <c r="AI436" s="1087"/>
      <c r="AJ436" s="1084" t="str">
        <f t="shared" si="56"/>
        <v/>
      </c>
      <c r="AK436" s="1083" t="str">
        <f t="shared" si="57"/>
        <v/>
      </c>
      <c r="AL436" s="211">
        <v>2835422</v>
      </c>
      <c r="AM436" s="211">
        <v>2353059</v>
      </c>
      <c r="AN436" s="211">
        <v>4600896</v>
      </c>
      <c r="AO436" s="211">
        <v>1767772</v>
      </c>
      <c r="AP436" s="211">
        <v>1754232</v>
      </c>
      <c r="AQ436" s="211">
        <v>2462956</v>
      </c>
      <c r="AR436" s="211">
        <v>3085961</v>
      </c>
      <c r="AS436" s="211">
        <v>2104047</v>
      </c>
      <c r="AT436" s="211">
        <v>2467314</v>
      </c>
      <c r="AU436" s="211">
        <v>1824087</v>
      </c>
      <c r="AV436" s="211">
        <v>1196849</v>
      </c>
      <c r="AW436" s="211">
        <v>546283</v>
      </c>
      <c r="AX436" s="211">
        <v>2750225</v>
      </c>
      <c r="AY436" s="211">
        <v>2439826</v>
      </c>
      <c r="AZ436" s="211">
        <v>2435118</v>
      </c>
      <c r="BA436" s="211"/>
      <c r="BB436" s="211"/>
      <c r="BC436" s="211"/>
      <c r="BD436" s="333">
        <v>43091</v>
      </c>
      <c r="BE436" s="82">
        <f t="shared" si="58"/>
        <v>34624047</v>
      </c>
      <c r="BF436" s="13"/>
      <c r="BG436" s="1"/>
    </row>
    <row r="437" spans="1:59" s="54" customFormat="1" ht="30.6" hidden="1" x14ac:dyDescent="0.3">
      <c r="A437" s="56"/>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197">
        <f>+'Base de Datos'!I437</f>
        <v>6180000</v>
      </c>
      <c r="G437" s="196">
        <f>+'Base de Datos'!M437</f>
        <v>42590</v>
      </c>
      <c r="H437" s="196">
        <f>+'Base de Datos'!N437</f>
        <v>42682</v>
      </c>
      <c r="I437" s="196"/>
      <c r="J437" s="158"/>
      <c r="K437" s="333"/>
      <c r="L437" s="211"/>
      <c r="M437" s="336"/>
      <c r="N437" s="158"/>
      <c r="O437" s="333"/>
      <c r="P437" s="158"/>
      <c r="Q437" s="338"/>
      <c r="R437" s="81">
        <f t="shared" si="51"/>
        <v>0</v>
      </c>
      <c r="S437" s="258"/>
      <c r="T437" s="333"/>
      <c r="U437" s="158"/>
      <c r="V437" s="333"/>
      <c r="W437" s="158"/>
      <c r="X437" s="333"/>
      <c r="Y437" s="158"/>
      <c r="Z437" s="333"/>
      <c r="AA437" s="326"/>
      <c r="AB437" s="1004" t="str">
        <f t="shared" si="52"/>
        <v/>
      </c>
      <c r="AC437" s="1082" t="str">
        <f t="shared" si="53"/>
        <v/>
      </c>
      <c r="AD437" s="1077"/>
      <c r="AE437" s="1077"/>
      <c r="AF437" s="1084" t="str">
        <f t="shared" si="54"/>
        <v/>
      </c>
      <c r="AG437" s="1082" t="str">
        <f t="shared" si="55"/>
        <v/>
      </c>
      <c r="AH437" s="1091"/>
      <c r="AI437" s="1087"/>
      <c r="AJ437" s="1084" t="str">
        <f t="shared" si="56"/>
        <v/>
      </c>
      <c r="AK437" s="1083" t="str">
        <f t="shared" si="57"/>
        <v/>
      </c>
      <c r="AL437" s="211">
        <v>4195395</v>
      </c>
      <c r="AM437" s="211"/>
      <c r="AN437" s="211"/>
      <c r="AO437" s="211"/>
      <c r="AP437" s="211"/>
      <c r="AQ437" s="211"/>
      <c r="AR437" s="211"/>
      <c r="AS437" s="211"/>
      <c r="AT437" s="211"/>
      <c r="AU437" s="211"/>
      <c r="AV437" s="211"/>
      <c r="AW437" s="211"/>
      <c r="AX437" s="211"/>
      <c r="AY437" s="211"/>
      <c r="AZ437" s="211"/>
      <c r="BA437" s="211"/>
      <c r="BB437" s="211"/>
      <c r="BC437" s="211"/>
      <c r="BD437" s="333">
        <v>42738</v>
      </c>
      <c r="BE437" s="82">
        <f t="shared" si="58"/>
        <v>4195395</v>
      </c>
      <c r="BF437" s="13"/>
      <c r="BG437" s="1"/>
    </row>
    <row r="438" spans="1:59" s="54" customFormat="1" ht="51" hidden="1" x14ac:dyDescent="0.3">
      <c r="A438" s="56"/>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197">
        <f>+'Base de Datos'!I438</f>
        <v>4429000</v>
      </c>
      <c r="G438" s="196">
        <f>+'Base de Datos'!M438</f>
        <v>42608</v>
      </c>
      <c r="H438" s="196">
        <f>+'Base de Datos'!N438</f>
        <v>42700</v>
      </c>
      <c r="I438" s="196"/>
      <c r="J438" s="158"/>
      <c r="K438" s="333"/>
      <c r="L438" s="211"/>
      <c r="M438" s="336"/>
      <c r="N438" s="158"/>
      <c r="O438" s="333"/>
      <c r="P438" s="158"/>
      <c r="Q438" s="338"/>
      <c r="R438" s="81">
        <f t="shared" si="51"/>
        <v>0</v>
      </c>
      <c r="S438" s="258"/>
      <c r="T438" s="333"/>
      <c r="U438" s="158"/>
      <c r="V438" s="333"/>
      <c r="W438" s="158"/>
      <c r="X438" s="333"/>
      <c r="Y438" s="158"/>
      <c r="Z438" s="333"/>
      <c r="AA438" s="326"/>
      <c r="AB438" s="1004" t="str">
        <f t="shared" si="52"/>
        <v/>
      </c>
      <c r="AC438" s="1082" t="str">
        <f t="shared" si="53"/>
        <v/>
      </c>
      <c r="AD438" s="1077"/>
      <c r="AE438" s="1077"/>
      <c r="AF438" s="1084" t="str">
        <f t="shared" si="54"/>
        <v/>
      </c>
      <c r="AG438" s="1082" t="str">
        <f t="shared" si="55"/>
        <v/>
      </c>
      <c r="AH438" s="1091"/>
      <c r="AI438" s="1087"/>
      <c r="AJ438" s="1084" t="str">
        <f t="shared" si="56"/>
        <v/>
      </c>
      <c r="AK438" s="1083" t="str">
        <f t="shared" si="57"/>
        <v/>
      </c>
      <c r="AL438" s="211">
        <v>2661244</v>
      </c>
      <c r="AM438" s="211"/>
      <c r="AN438" s="211"/>
      <c r="AO438" s="211"/>
      <c r="AP438" s="211"/>
      <c r="AQ438" s="211"/>
      <c r="AR438" s="211"/>
      <c r="AS438" s="211"/>
      <c r="AT438" s="211"/>
      <c r="AU438" s="211"/>
      <c r="AV438" s="211"/>
      <c r="AW438" s="211"/>
      <c r="AX438" s="211"/>
      <c r="AY438" s="211"/>
      <c r="AZ438" s="211"/>
      <c r="BA438" s="211"/>
      <c r="BB438" s="211"/>
      <c r="BC438" s="211"/>
      <c r="BD438" s="333">
        <v>42703</v>
      </c>
      <c r="BE438" s="82">
        <f t="shared" si="58"/>
        <v>2661244</v>
      </c>
      <c r="BF438" s="13"/>
      <c r="BG438" s="1"/>
    </row>
    <row r="439" spans="1:59" s="54" customFormat="1" ht="20.399999999999999" hidden="1" x14ac:dyDescent="0.3">
      <c r="A439" s="56"/>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197">
        <f>+'Base de Datos'!I439</f>
        <v>20806000</v>
      </c>
      <c r="G439" s="196">
        <f>+'Base de Datos'!M439</f>
        <v>42598</v>
      </c>
      <c r="H439" s="196">
        <f>+'Base de Datos'!N439</f>
        <v>42720</v>
      </c>
      <c r="I439" s="196"/>
      <c r="J439" s="158"/>
      <c r="K439" s="333"/>
      <c r="L439" s="211"/>
      <c r="M439" s="336"/>
      <c r="N439" s="158"/>
      <c r="O439" s="333"/>
      <c r="P439" s="158"/>
      <c r="Q439" s="338"/>
      <c r="R439" s="81">
        <f t="shared" si="51"/>
        <v>0</v>
      </c>
      <c r="S439" s="258"/>
      <c r="T439" s="333"/>
      <c r="U439" s="158"/>
      <c r="V439" s="333"/>
      <c r="W439" s="158"/>
      <c r="X439" s="333"/>
      <c r="Y439" s="158"/>
      <c r="Z439" s="333"/>
      <c r="AA439" s="326"/>
      <c r="AB439" s="1004" t="str">
        <f t="shared" si="52"/>
        <v/>
      </c>
      <c r="AC439" s="1082" t="str">
        <f t="shared" si="53"/>
        <v/>
      </c>
      <c r="AD439" s="1077"/>
      <c r="AE439" s="1077"/>
      <c r="AF439" s="1084" t="str">
        <f t="shared" si="54"/>
        <v/>
      </c>
      <c r="AG439" s="1082" t="str">
        <f t="shared" si="55"/>
        <v/>
      </c>
      <c r="AH439" s="1091"/>
      <c r="AI439" s="1087"/>
      <c r="AJ439" s="1084" t="str">
        <f t="shared" si="56"/>
        <v/>
      </c>
      <c r="AK439" s="1083" t="str">
        <f t="shared" si="57"/>
        <v/>
      </c>
      <c r="AL439" s="211">
        <v>17478705</v>
      </c>
      <c r="AM439" s="211"/>
      <c r="AN439" s="211"/>
      <c r="AO439" s="211"/>
      <c r="AP439" s="211"/>
      <c r="AQ439" s="211"/>
      <c r="AR439" s="211"/>
      <c r="AS439" s="211"/>
      <c r="AT439" s="211"/>
      <c r="AU439" s="211"/>
      <c r="AV439" s="211"/>
      <c r="AW439" s="211"/>
      <c r="AX439" s="211"/>
      <c r="AY439" s="211"/>
      <c r="AZ439" s="211"/>
      <c r="BA439" s="211"/>
      <c r="BB439" s="211"/>
      <c r="BC439" s="211"/>
      <c r="BD439" s="333">
        <v>42829</v>
      </c>
      <c r="BE439" s="82">
        <f t="shared" si="58"/>
        <v>17478705</v>
      </c>
      <c r="BF439" s="13"/>
      <c r="BG439" s="1"/>
    </row>
    <row r="440" spans="1:59" s="54" customFormat="1" ht="30.6" hidden="1" x14ac:dyDescent="0.3">
      <c r="A440" s="56"/>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197">
        <f>+'Base de Datos'!I440</f>
        <v>6973000</v>
      </c>
      <c r="G440" s="196">
        <f>+'Base de Datos'!M440</f>
        <v>42598</v>
      </c>
      <c r="H440" s="196">
        <f>+'Base de Datos'!N440</f>
        <v>42841</v>
      </c>
      <c r="I440" s="196"/>
      <c r="J440" s="158"/>
      <c r="K440" s="333"/>
      <c r="L440" s="211"/>
      <c r="M440" s="336"/>
      <c r="N440" s="158"/>
      <c r="O440" s="333"/>
      <c r="P440" s="158"/>
      <c r="Q440" s="338"/>
      <c r="R440" s="81">
        <f t="shared" si="51"/>
        <v>0</v>
      </c>
      <c r="S440" s="258" t="s">
        <v>379</v>
      </c>
      <c r="T440" s="333">
        <v>42932</v>
      </c>
      <c r="U440" s="158"/>
      <c r="V440" s="333"/>
      <c r="W440" s="158"/>
      <c r="X440" s="333"/>
      <c r="Y440" s="158"/>
      <c r="Z440" s="333"/>
      <c r="AA440" s="326" t="s">
        <v>379</v>
      </c>
      <c r="AB440" s="1004">
        <f t="shared" si="52"/>
        <v>42932</v>
      </c>
      <c r="AC440" s="1082" t="str">
        <f t="shared" si="53"/>
        <v/>
      </c>
      <c r="AD440" s="1077"/>
      <c r="AE440" s="1077"/>
      <c r="AF440" s="1084" t="str">
        <f t="shared" si="54"/>
        <v/>
      </c>
      <c r="AG440" s="1082" t="str">
        <f t="shared" si="55"/>
        <v/>
      </c>
      <c r="AH440" s="1091"/>
      <c r="AI440" s="1087"/>
      <c r="AJ440" s="1084" t="str">
        <f t="shared" si="56"/>
        <v/>
      </c>
      <c r="AK440" s="1083" t="str">
        <f t="shared" si="57"/>
        <v/>
      </c>
      <c r="AL440" s="211">
        <v>4654894</v>
      </c>
      <c r="AM440" s="211">
        <v>1125945</v>
      </c>
      <c r="AN440" s="211">
        <v>1192161</v>
      </c>
      <c r="AO440" s="211"/>
      <c r="AP440" s="211"/>
      <c r="AQ440" s="211"/>
      <c r="AR440" s="211"/>
      <c r="AS440" s="211"/>
      <c r="AT440" s="211"/>
      <c r="AU440" s="211"/>
      <c r="AV440" s="211"/>
      <c r="AW440" s="211"/>
      <c r="AX440" s="211"/>
      <c r="AY440" s="211"/>
      <c r="AZ440" s="211"/>
      <c r="BA440" s="211"/>
      <c r="BB440" s="211"/>
      <c r="BC440" s="211"/>
      <c r="BD440" s="333">
        <v>43020</v>
      </c>
      <c r="BE440" s="82">
        <f t="shared" si="58"/>
        <v>6973000</v>
      </c>
      <c r="BF440" s="13"/>
      <c r="BG440" s="1"/>
    </row>
    <row r="441" spans="1:59" s="54" customFormat="1" ht="30.6" hidden="1" x14ac:dyDescent="0.3">
      <c r="A441" s="56"/>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197">
        <f>+'Base de Datos'!I441</f>
        <v>1132400</v>
      </c>
      <c r="G441" s="196">
        <f>+'Base de Datos'!M441</f>
        <v>42604</v>
      </c>
      <c r="H441" s="196">
        <f>+'Base de Datos'!N441</f>
        <v>42969</v>
      </c>
      <c r="I441" s="196"/>
      <c r="J441" s="158"/>
      <c r="K441" s="333"/>
      <c r="L441" s="211"/>
      <c r="M441" s="336"/>
      <c r="N441" s="158"/>
      <c r="O441" s="333"/>
      <c r="P441" s="158"/>
      <c r="Q441" s="338"/>
      <c r="R441" s="81">
        <f t="shared" si="51"/>
        <v>0</v>
      </c>
      <c r="S441" s="258"/>
      <c r="T441" s="333"/>
      <c r="U441" s="158"/>
      <c r="V441" s="333"/>
      <c r="W441" s="158"/>
      <c r="X441" s="333"/>
      <c r="Y441" s="158"/>
      <c r="Z441" s="333"/>
      <c r="AA441" s="326"/>
      <c r="AB441" s="1004" t="str">
        <f t="shared" si="52"/>
        <v/>
      </c>
      <c r="AC441" s="1082" t="str">
        <f t="shared" si="53"/>
        <v/>
      </c>
      <c r="AD441" s="1077"/>
      <c r="AE441" s="1077"/>
      <c r="AF441" s="1084" t="str">
        <f t="shared" si="54"/>
        <v/>
      </c>
      <c r="AG441" s="1082" t="str">
        <f t="shared" si="55"/>
        <v/>
      </c>
      <c r="AH441" s="1091"/>
      <c r="AI441" s="1087"/>
      <c r="AJ441" s="1084" t="str">
        <f t="shared" si="56"/>
        <v/>
      </c>
      <c r="AK441" s="1083" t="str">
        <f t="shared" si="57"/>
        <v/>
      </c>
      <c r="AL441" s="211">
        <v>1132400</v>
      </c>
      <c r="AM441" s="211"/>
      <c r="AN441" s="211"/>
      <c r="AO441" s="211"/>
      <c r="AP441" s="211"/>
      <c r="AQ441" s="211"/>
      <c r="AR441" s="211"/>
      <c r="AS441" s="211"/>
      <c r="AT441" s="211"/>
      <c r="AU441" s="211"/>
      <c r="AV441" s="211"/>
      <c r="AW441" s="211"/>
      <c r="AX441" s="211"/>
      <c r="AY441" s="211"/>
      <c r="AZ441" s="211"/>
      <c r="BA441" s="211"/>
      <c r="BB441" s="211"/>
      <c r="BC441" s="211"/>
      <c r="BD441" s="333">
        <v>42711</v>
      </c>
      <c r="BE441" s="82">
        <f t="shared" si="58"/>
        <v>1132400</v>
      </c>
      <c r="BF441" s="13"/>
      <c r="BG441" s="1"/>
    </row>
    <row r="442" spans="1:59" s="54" customFormat="1" ht="30.6" hidden="1" x14ac:dyDescent="0.3">
      <c r="A442" s="56"/>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197">
        <f>+'Base de Datos'!I442</f>
        <v>12000000</v>
      </c>
      <c r="G442" s="196">
        <f>+'Base de Datos'!M442</f>
        <v>42612</v>
      </c>
      <c r="H442" s="196">
        <f>+'Base de Datos'!N442</f>
        <v>42977</v>
      </c>
      <c r="I442" s="196"/>
      <c r="J442" s="158"/>
      <c r="K442" s="333"/>
      <c r="L442" s="211"/>
      <c r="M442" s="336"/>
      <c r="N442" s="158"/>
      <c r="O442" s="333"/>
      <c r="P442" s="158"/>
      <c r="Q442" s="338"/>
      <c r="R442" s="81">
        <f t="shared" si="51"/>
        <v>0</v>
      </c>
      <c r="S442" s="258"/>
      <c r="T442" s="333"/>
      <c r="U442" s="158"/>
      <c r="V442" s="333"/>
      <c r="W442" s="158"/>
      <c r="X442" s="333"/>
      <c r="Y442" s="158"/>
      <c r="Z442" s="333"/>
      <c r="AA442" s="326"/>
      <c r="AB442" s="1004" t="str">
        <f t="shared" si="52"/>
        <v/>
      </c>
      <c r="AC442" s="1082" t="str">
        <f t="shared" si="53"/>
        <v/>
      </c>
      <c r="AD442" s="1077"/>
      <c r="AE442" s="1077"/>
      <c r="AF442" s="1084" t="str">
        <f t="shared" si="54"/>
        <v/>
      </c>
      <c r="AG442" s="1082" t="str">
        <f t="shared" si="55"/>
        <v/>
      </c>
      <c r="AH442" s="1091"/>
      <c r="AI442" s="1087"/>
      <c r="AJ442" s="1084" t="str">
        <f t="shared" si="56"/>
        <v/>
      </c>
      <c r="AK442" s="1083" t="str">
        <f t="shared" si="57"/>
        <v/>
      </c>
      <c r="AL442" s="211">
        <v>3000000</v>
      </c>
      <c r="AM442" s="211">
        <v>7000000</v>
      </c>
      <c r="AN442" s="211">
        <v>1000000</v>
      </c>
      <c r="AO442" s="211">
        <v>1000000</v>
      </c>
      <c r="AP442" s="211"/>
      <c r="AQ442" s="211"/>
      <c r="AR442" s="211"/>
      <c r="AS442" s="211"/>
      <c r="AT442" s="211"/>
      <c r="AU442" s="211"/>
      <c r="AV442" s="211"/>
      <c r="AW442" s="211"/>
      <c r="AX442" s="211"/>
      <c r="AY442" s="211"/>
      <c r="AZ442" s="211"/>
      <c r="BA442" s="211"/>
      <c r="BB442" s="211"/>
      <c r="BC442" s="211"/>
      <c r="BD442" s="333">
        <v>43090</v>
      </c>
      <c r="BE442" s="82">
        <f t="shared" si="58"/>
        <v>12000000</v>
      </c>
      <c r="BF442" s="13"/>
      <c r="BG442" s="1"/>
    </row>
    <row r="443" spans="1:59" s="54" customFormat="1" ht="30.6" hidden="1" x14ac:dyDescent="0.3">
      <c r="A443" s="56"/>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197">
        <f>+'Base de Datos'!I443</f>
        <v>4999000</v>
      </c>
      <c r="G443" s="196">
        <f>+'Base de Datos'!M443</f>
        <v>42622</v>
      </c>
      <c r="H443" s="196">
        <f>+'Base de Datos'!N443</f>
        <v>42803</v>
      </c>
      <c r="I443" s="196"/>
      <c r="J443" s="158"/>
      <c r="K443" s="333"/>
      <c r="L443" s="211"/>
      <c r="M443" s="336"/>
      <c r="N443" s="158"/>
      <c r="O443" s="333"/>
      <c r="P443" s="158"/>
      <c r="Q443" s="338"/>
      <c r="R443" s="81">
        <f t="shared" si="51"/>
        <v>0</v>
      </c>
      <c r="S443" s="258"/>
      <c r="T443" s="333"/>
      <c r="U443" s="158"/>
      <c r="V443" s="333"/>
      <c r="W443" s="158"/>
      <c r="X443" s="333"/>
      <c r="Y443" s="158"/>
      <c r="Z443" s="333"/>
      <c r="AA443" s="326"/>
      <c r="AB443" s="1004" t="str">
        <f t="shared" si="52"/>
        <v/>
      </c>
      <c r="AC443" s="1082" t="str">
        <f t="shared" si="53"/>
        <v/>
      </c>
      <c r="AD443" s="1077"/>
      <c r="AE443" s="1077"/>
      <c r="AF443" s="1084" t="str">
        <f t="shared" si="54"/>
        <v/>
      </c>
      <c r="AG443" s="1082" t="str">
        <f t="shared" si="55"/>
        <v/>
      </c>
      <c r="AH443" s="1091"/>
      <c r="AI443" s="1087"/>
      <c r="AJ443" s="1084" t="str">
        <f t="shared" si="56"/>
        <v/>
      </c>
      <c r="AK443" s="1083" t="str">
        <f t="shared" si="57"/>
        <v/>
      </c>
      <c r="AL443" s="211">
        <v>3270000</v>
      </c>
      <c r="AM443" s="211"/>
      <c r="AN443" s="211"/>
      <c r="AO443" s="211"/>
      <c r="AP443" s="211"/>
      <c r="AQ443" s="211"/>
      <c r="AR443" s="211"/>
      <c r="AS443" s="211"/>
      <c r="AT443" s="211"/>
      <c r="AU443" s="211"/>
      <c r="AV443" s="211"/>
      <c r="AW443" s="211"/>
      <c r="AX443" s="211"/>
      <c r="AY443" s="211"/>
      <c r="AZ443" s="211"/>
      <c r="BA443" s="211"/>
      <c r="BB443" s="211"/>
      <c r="BC443" s="211"/>
      <c r="BD443" s="333">
        <v>42878</v>
      </c>
      <c r="BE443" s="82">
        <f t="shared" si="58"/>
        <v>3270000</v>
      </c>
      <c r="BF443" s="13"/>
      <c r="BG443" s="1"/>
    </row>
    <row r="444" spans="1:59" s="54" customFormat="1" ht="20.399999999999999" hidden="1" x14ac:dyDescent="0.3">
      <c r="A444" s="56"/>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197">
        <f>+'Base de Datos'!I444</f>
        <v>825000</v>
      </c>
      <c r="G444" s="196">
        <f>+'Base de Datos'!M444</f>
        <v>42646</v>
      </c>
      <c r="H444" s="196">
        <f>+'Base de Datos'!N444</f>
        <v>43011</v>
      </c>
      <c r="I444" s="196"/>
      <c r="J444" s="158"/>
      <c r="K444" s="333"/>
      <c r="L444" s="211"/>
      <c r="M444" s="336"/>
      <c r="N444" s="158"/>
      <c r="O444" s="333"/>
      <c r="P444" s="158"/>
      <c r="Q444" s="338"/>
      <c r="R444" s="81">
        <f t="shared" si="51"/>
        <v>0</v>
      </c>
      <c r="S444" s="258"/>
      <c r="T444" s="333"/>
      <c r="U444" s="158"/>
      <c r="V444" s="333"/>
      <c r="W444" s="158"/>
      <c r="X444" s="333"/>
      <c r="Y444" s="158"/>
      <c r="Z444" s="333"/>
      <c r="AA444" s="326"/>
      <c r="AB444" s="1004" t="str">
        <f t="shared" si="52"/>
        <v/>
      </c>
      <c r="AC444" s="1082" t="str">
        <f t="shared" si="53"/>
        <v/>
      </c>
      <c r="AD444" s="1077"/>
      <c r="AE444" s="1077"/>
      <c r="AF444" s="1084" t="str">
        <f t="shared" si="54"/>
        <v/>
      </c>
      <c r="AG444" s="1082" t="str">
        <f t="shared" si="55"/>
        <v/>
      </c>
      <c r="AH444" s="1091"/>
      <c r="AI444" s="1087"/>
      <c r="AJ444" s="1084" t="str">
        <f t="shared" si="56"/>
        <v/>
      </c>
      <c r="AK444" s="1083" t="str">
        <f t="shared" si="57"/>
        <v/>
      </c>
      <c r="AL444" s="211">
        <v>825000</v>
      </c>
      <c r="AM444" s="211"/>
      <c r="AN444" s="211"/>
      <c r="AO444" s="211"/>
      <c r="AP444" s="211"/>
      <c r="AQ444" s="211"/>
      <c r="AR444" s="211"/>
      <c r="AS444" s="211"/>
      <c r="AT444" s="211"/>
      <c r="AU444" s="211"/>
      <c r="AV444" s="211"/>
      <c r="AW444" s="211"/>
      <c r="AX444" s="211"/>
      <c r="AY444" s="211"/>
      <c r="AZ444" s="211"/>
      <c r="BA444" s="211"/>
      <c r="BB444" s="211"/>
      <c r="BC444" s="211"/>
      <c r="BD444" s="333">
        <v>42702</v>
      </c>
      <c r="BE444" s="82">
        <f t="shared" si="58"/>
        <v>825000</v>
      </c>
      <c r="BF444" s="13"/>
      <c r="BG444" s="1"/>
    </row>
    <row r="445" spans="1:59" s="54" customFormat="1" ht="40.799999999999997" hidden="1" x14ac:dyDescent="0.3">
      <c r="A445" s="56"/>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197">
        <f>+'Base de Datos'!I445</f>
        <v>9000000</v>
      </c>
      <c r="G445" s="196">
        <f>+'Base de Datos'!M445</f>
        <v>42625</v>
      </c>
      <c r="H445" s="196">
        <f>+'Base de Datos'!N445</f>
        <v>42778</v>
      </c>
      <c r="I445" s="196"/>
      <c r="J445" s="158"/>
      <c r="K445" s="333"/>
      <c r="L445" s="211"/>
      <c r="M445" s="336"/>
      <c r="N445" s="158"/>
      <c r="O445" s="333"/>
      <c r="P445" s="158"/>
      <c r="Q445" s="338"/>
      <c r="R445" s="81">
        <f t="shared" si="51"/>
        <v>0</v>
      </c>
      <c r="S445" s="258"/>
      <c r="T445" s="333"/>
      <c r="U445" s="158"/>
      <c r="V445" s="333"/>
      <c r="W445" s="158"/>
      <c r="X445" s="333"/>
      <c r="Y445" s="158"/>
      <c r="Z445" s="333"/>
      <c r="AA445" s="326"/>
      <c r="AB445" s="1004" t="str">
        <f t="shared" si="52"/>
        <v/>
      </c>
      <c r="AC445" s="1082" t="str">
        <f t="shared" si="53"/>
        <v/>
      </c>
      <c r="AD445" s="1077"/>
      <c r="AE445" s="1077"/>
      <c r="AF445" s="1084" t="str">
        <f t="shared" si="54"/>
        <v/>
      </c>
      <c r="AG445" s="1082" t="str">
        <f t="shared" si="55"/>
        <v/>
      </c>
      <c r="AH445" s="1091"/>
      <c r="AI445" s="1087"/>
      <c r="AJ445" s="1084" t="str">
        <f t="shared" si="56"/>
        <v/>
      </c>
      <c r="AK445" s="1083" t="str">
        <f t="shared" si="57"/>
        <v/>
      </c>
      <c r="AL445" s="211">
        <v>1140000</v>
      </c>
      <c r="AM445" s="211">
        <v>1800000</v>
      </c>
      <c r="AN445" s="211"/>
      <c r="AO445" s="211">
        <v>1800000</v>
      </c>
      <c r="AP445" s="211">
        <v>1800000</v>
      </c>
      <c r="AQ445" s="211">
        <v>1800000</v>
      </c>
      <c r="AR445" s="211">
        <v>660000</v>
      </c>
      <c r="AS445" s="211"/>
      <c r="AT445" s="211"/>
      <c r="AU445" s="211"/>
      <c r="AV445" s="211"/>
      <c r="AW445" s="211"/>
      <c r="AX445" s="211"/>
      <c r="AY445" s="211"/>
      <c r="AZ445" s="211"/>
      <c r="BA445" s="211"/>
      <c r="BB445" s="211"/>
      <c r="BC445" s="211"/>
      <c r="BD445" s="333">
        <v>42822</v>
      </c>
      <c r="BE445" s="82">
        <f t="shared" si="58"/>
        <v>9000000</v>
      </c>
      <c r="BF445" s="13"/>
      <c r="BG445" s="1"/>
    </row>
    <row r="446" spans="1:59" s="54" customFormat="1" ht="51" hidden="1" x14ac:dyDescent="0.3">
      <c r="A446" s="56"/>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197">
        <f>+'Base de Datos'!I446</f>
        <v>7500000</v>
      </c>
      <c r="G446" s="196">
        <f>+'Base de Datos'!M446</f>
        <v>42625</v>
      </c>
      <c r="H446" s="196">
        <f>+'Base de Datos'!N446</f>
        <v>42778</v>
      </c>
      <c r="I446" s="196"/>
      <c r="J446" s="158"/>
      <c r="K446" s="333"/>
      <c r="L446" s="211"/>
      <c r="M446" s="336"/>
      <c r="N446" s="158"/>
      <c r="O446" s="333"/>
      <c r="P446" s="158"/>
      <c r="Q446" s="338"/>
      <c r="R446" s="81">
        <f t="shared" si="51"/>
        <v>0</v>
      </c>
      <c r="S446" s="258"/>
      <c r="T446" s="333"/>
      <c r="U446" s="158"/>
      <c r="V446" s="333"/>
      <c r="W446" s="158"/>
      <c r="X446" s="333"/>
      <c r="Y446" s="158"/>
      <c r="Z446" s="333"/>
      <c r="AA446" s="326"/>
      <c r="AB446" s="1004" t="str">
        <f t="shared" si="52"/>
        <v/>
      </c>
      <c r="AC446" s="1082" t="str">
        <f t="shared" si="53"/>
        <v/>
      </c>
      <c r="AD446" s="1077"/>
      <c r="AE446" s="1077"/>
      <c r="AF446" s="1084" t="str">
        <f t="shared" si="54"/>
        <v/>
      </c>
      <c r="AG446" s="1082" t="str">
        <f t="shared" si="55"/>
        <v/>
      </c>
      <c r="AH446" s="1091"/>
      <c r="AI446" s="1087"/>
      <c r="AJ446" s="1084" t="str">
        <f t="shared" si="56"/>
        <v/>
      </c>
      <c r="AK446" s="1083" t="str">
        <f t="shared" si="57"/>
        <v/>
      </c>
      <c r="AL446" s="211">
        <v>950000</v>
      </c>
      <c r="AM446" s="211">
        <v>1500000</v>
      </c>
      <c r="AN446" s="211">
        <v>1500000</v>
      </c>
      <c r="AO446" s="211">
        <v>1500000</v>
      </c>
      <c r="AP446" s="211">
        <v>1500000</v>
      </c>
      <c r="AQ446" s="211">
        <v>550000</v>
      </c>
      <c r="AR446" s="211"/>
      <c r="AS446" s="211"/>
      <c r="AT446" s="211"/>
      <c r="AU446" s="211"/>
      <c r="AV446" s="211"/>
      <c r="AW446" s="211"/>
      <c r="AX446" s="211"/>
      <c r="AY446" s="211"/>
      <c r="AZ446" s="211"/>
      <c r="BA446" s="211"/>
      <c r="BB446" s="211"/>
      <c r="BC446" s="211"/>
      <c r="BD446" s="333">
        <v>42803</v>
      </c>
      <c r="BE446" s="82">
        <f t="shared" si="58"/>
        <v>7500000</v>
      </c>
      <c r="BF446" s="13"/>
      <c r="BG446" s="1"/>
    </row>
    <row r="447" spans="1:59" s="54" customFormat="1" ht="20.399999999999999" hidden="1" x14ac:dyDescent="0.3">
      <c r="A447" s="56"/>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197">
        <f>+'Base de Datos'!I447</f>
        <v>50871139</v>
      </c>
      <c r="G447" s="196">
        <f>+'Base de Datos'!M447</f>
        <v>42632</v>
      </c>
      <c r="H447" s="196">
        <f>+'Base de Datos'!N447</f>
        <v>42874</v>
      </c>
      <c r="I447" s="196"/>
      <c r="J447" s="158"/>
      <c r="K447" s="333"/>
      <c r="L447" s="211"/>
      <c r="M447" s="336"/>
      <c r="N447" s="158"/>
      <c r="O447" s="333"/>
      <c r="P447" s="158"/>
      <c r="Q447" s="338"/>
      <c r="R447" s="81">
        <f t="shared" si="51"/>
        <v>0</v>
      </c>
      <c r="S447" s="258"/>
      <c r="T447" s="333"/>
      <c r="U447" s="158"/>
      <c r="V447" s="333"/>
      <c r="W447" s="158"/>
      <c r="X447" s="333"/>
      <c r="Y447" s="158"/>
      <c r="Z447" s="333"/>
      <c r="AA447" s="326"/>
      <c r="AB447" s="1004" t="str">
        <f t="shared" si="52"/>
        <v/>
      </c>
      <c r="AC447" s="1082" t="str">
        <f t="shared" si="53"/>
        <v/>
      </c>
      <c r="AD447" s="1077"/>
      <c r="AE447" s="1077"/>
      <c r="AF447" s="1084" t="str">
        <f t="shared" si="54"/>
        <v/>
      </c>
      <c r="AG447" s="1082" t="str">
        <f t="shared" si="55"/>
        <v/>
      </c>
      <c r="AH447" s="1091"/>
      <c r="AI447" s="1087"/>
      <c r="AJ447" s="1084" t="str">
        <f t="shared" si="56"/>
        <v/>
      </c>
      <c r="AK447" s="1083" t="str">
        <f t="shared" si="57"/>
        <v/>
      </c>
      <c r="AL447" s="211">
        <v>28451118</v>
      </c>
      <c r="AM447" s="211">
        <v>11210011</v>
      </c>
      <c r="AN447" s="211"/>
      <c r="AO447" s="211"/>
      <c r="AP447" s="211"/>
      <c r="AQ447" s="211"/>
      <c r="AR447" s="211"/>
      <c r="AS447" s="211"/>
      <c r="AT447" s="211"/>
      <c r="AU447" s="211"/>
      <c r="AV447" s="211"/>
      <c r="AW447" s="211"/>
      <c r="AX447" s="211"/>
      <c r="AY447" s="211"/>
      <c r="AZ447" s="211"/>
      <c r="BA447" s="211"/>
      <c r="BB447" s="211"/>
      <c r="BC447" s="211"/>
      <c r="BD447" s="333">
        <v>42816</v>
      </c>
      <c r="BE447" s="82">
        <f t="shared" si="58"/>
        <v>39661129</v>
      </c>
      <c r="BF447" s="13"/>
      <c r="BG447" s="1"/>
    </row>
    <row r="448" spans="1:59" s="54" customFormat="1" ht="20.399999999999999" hidden="1" x14ac:dyDescent="0.3">
      <c r="A448" s="56"/>
      <c r="B448" s="2" t="str">
        <f>+'Base de Datos'!E448</f>
        <v>160234-0-2016</v>
      </c>
      <c r="C448" s="2" t="str">
        <f>+'Base de Datos'!F448</f>
        <v>COMUNICAN S.A.</v>
      </c>
      <c r="D448" s="2">
        <f>+'Base de Datos'!G448</f>
        <v>860007590</v>
      </c>
      <c r="E448" s="2" t="str">
        <f>+'Base de Datos'!H448</f>
        <v>Suscripción al diario EL ESPECTADOR para el Concejo de Bogotá.</v>
      </c>
      <c r="F448" s="197">
        <f>+'Base de Datos'!I448</f>
        <v>974160</v>
      </c>
      <c r="G448" s="196">
        <f>+'Base de Datos'!M448</f>
        <v>42643</v>
      </c>
      <c r="H448" s="196">
        <f>+'Base de Datos'!N448</f>
        <v>43008</v>
      </c>
      <c r="I448" s="196"/>
      <c r="J448" s="158"/>
      <c r="K448" s="333"/>
      <c r="L448" s="211"/>
      <c r="M448" s="336"/>
      <c r="N448" s="158"/>
      <c r="O448" s="333"/>
      <c r="P448" s="158"/>
      <c r="Q448" s="338"/>
      <c r="R448" s="81">
        <f t="shared" si="51"/>
        <v>0</v>
      </c>
      <c r="S448" s="258"/>
      <c r="T448" s="333"/>
      <c r="U448" s="158"/>
      <c r="V448" s="333"/>
      <c r="W448" s="158"/>
      <c r="X448" s="333"/>
      <c r="Y448" s="158"/>
      <c r="Z448" s="333"/>
      <c r="AA448" s="326"/>
      <c r="AB448" s="1004" t="str">
        <f t="shared" si="52"/>
        <v/>
      </c>
      <c r="AC448" s="1082" t="str">
        <f t="shared" si="53"/>
        <v/>
      </c>
      <c r="AD448" s="1077"/>
      <c r="AE448" s="1077"/>
      <c r="AF448" s="1084" t="str">
        <f t="shared" si="54"/>
        <v/>
      </c>
      <c r="AG448" s="1082" t="str">
        <f t="shared" si="55"/>
        <v/>
      </c>
      <c r="AH448" s="1091"/>
      <c r="AI448" s="1087"/>
      <c r="AJ448" s="1084" t="str">
        <f t="shared" si="56"/>
        <v/>
      </c>
      <c r="AK448" s="1083" t="str">
        <f t="shared" si="57"/>
        <v/>
      </c>
      <c r="AL448" s="211">
        <v>974160</v>
      </c>
      <c r="AM448" s="211"/>
      <c r="AN448" s="211"/>
      <c r="AO448" s="211"/>
      <c r="AP448" s="211"/>
      <c r="AQ448" s="211"/>
      <c r="AR448" s="211"/>
      <c r="AS448" s="211"/>
      <c r="AT448" s="211"/>
      <c r="AU448" s="211"/>
      <c r="AV448" s="211"/>
      <c r="AW448" s="211"/>
      <c r="AX448" s="211"/>
      <c r="AY448" s="211"/>
      <c r="AZ448" s="211"/>
      <c r="BA448" s="211"/>
      <c r="BB448" s="211"/>
      <c r="BC448" s="211"/>
      <c r="BD448" s="333">
        <v>42723</v>
      </c>
      <c r="BE448" s="82">
        <f t="shared" si="58"/>
        <v>974160</v>
      </c>
      <c r="BF448" s="13"/>
      <c r="BG448" s="1"/>
    </row>
    <row r="449" spans="1:59" s="54" customFormat="1" ht="30.6" hidden="1" x14ac:dyDescent="0.3">
      <c r="A449" s="56"/>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197">
        <f>+'Base de Datos'!I449</f>
        <v>71482000</v>
      </c>
      <c r="G449" s="196">
        <f>+'Base de Datos'!M449</f>
        <v>42646</v>
      </c>
      <c r="H449" s="196">
        <f>+'Base de Datos'!N449</f>
        <v>42858</v>
      </c>
      <c r="I449" s="196"/>
      <c r="J449" s="158"/>
      <c r="K449" s="333"/>
      <c r="L449" s="211"/>
      <c r="M449" s="336"/>
      <c r="N449" s="158"/>
      <c r="O449" s="333"/>
      <c r="P449" s="158"/>
      <c r="Q449" s="338"/>
      <c r="R449" s="81">
        <f t="shared" ref="R449:R512" si="59">SUM(J449,L449,N449,P449)</f>
        <v>0</v>
      </c>
      <c r="S449" s="258" t="s">
        <v>380</v>
      </c>
      <c r="T449" s="333">
        <v>42981</v>
      </c>
      <c r="U449" s="158"/>
      <c r="V449" s="333"/>
      <c r="W449" s="158"/>
      <c r="X449" s="333"/>
      <c r="Y449" s="158"/>
      <c r="Z449" s="333"/>
      <c r="AA449" s="326" t="s">
        <v>2917</v>
      </c>
      <c r="AB449" s="1004">
        <f t="shared" si="52"/>
        <v>42981</v>
      </c>
      <c r="AC449" s="1082" t="str">
        <f t="shared" si="53"/>
        <v/>
      </c>
      <c r="AD449" s="1077"/>
      <c r="AE449" s="1077"/>
      <c r="AF449" s="1084" t="str">
        <f t="shared" si="54"/>
        <v/>
      </c>
      <c r="AG449" s="1082" t="str">
        <f t="shared" si="55"/>
        <v/>
      </c>
      <c r="AH449" s="1091"/>
      <c r="AI449" s="1087"/>
      <c r="AJ449" s="1084" t="str">
        <f t="shared" si="56"/>
        <v/>
      </c>
      <c r="AK449" s="1083" t="str">
        <f t="shared" si="57"/>
        <v/>
      </c>
      <c r="AL449" s="211">
        <v>4221733</v>
      </c>
      <c r="AM449" s="211">
        <v>8911987</v>
      </c>
      <c r="AN449" s="211">
        <v>7879541</v>
      </c>
      <c r="AO449" s="211">
        <v>5058643</v>
      </c>
      <c r="AP449" s="211">
        <v>9066200</v>
      </c>
      <c r="AQ449" s="211">
        <v>36343855</v>
      </c>
      <c r="AR449" s="211"/>
      <c r="AS449" s="211"/>
      <c r="AT449" s="211"/>
      <c r="AU449" s="211"/>
      <c r="AV449" s="211"/>
      <c r="AW449" s="211"/>
      <c r="AX449" s="211"/>
      <c r="AY449" s="211"/>
      <c r="AZ449" s="211"/>
      <c r="BA449" s="211"/>
      <c r="BB449" s="211"/>
      <c r="BC449" s="211"/>
      <c r="BD449" s="333">
        <v>42996</v>
      </c>
      <c r="BE449" s="82">
        <f t="shared" si="58"/>
        <v>71481959</v>
      </c>
      <c r="BF449" s="13"/>
      <c r="BG449" s="1"/>
    </row>
    <row r="450" spans="1:59" s="54" customFormat="1" ht="30.6" hidden="1" x14ac:dyDescent="0.3">
      <c r="A450" s="56"/>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197">
        <f>+'Base de Datos'!I450</f>
        <v>22000000</v>
      </c>
      <c r="G450" s="196">
        <f>+'Base de Datos'!M450</f>
        <v>42642</v>
      </c>
      <c r="H450" s="196">
        <f>+'Base de Datos'!N450</f>
        <v>42764</v>
      </c>
      <c r="I450" s="196"/>
      <c r="J450" s="158"/>
      <c r="K450" s="333"/>
      <c r="L450" s="211"/>
      <c r="M450" s="336"/>
      <c r="N450" s="158"/>
      <c r="O450" s="333"/>
      <c r="P450" s="158"/>
      <c r="Q450" s="338"/>
      <c r="R450" s="81">
        <f t="shared" si="59"/>
        <v>0</v>
      </c>
      <c r="S450" s="258"/>
      <c r="T450" s="333"/>
      <c r="U450" s="158"/>
      <c r="V450" s="333"/>
      <c r="W450" s="158"/>
      <c r="X450" s="333"/>
      <c r="Y450" s="158"/>
      <c r="Z450" s="333"/>
      <c r="AA450" s="326"/>
      <c r="AB450" s="1004" t="str">
        <f t="shared" si="52"/>
        <v/>
      </c>
      <c r="AC450" s="1082" t="str">
        <f t="shared" si="53"/>
        <v/>
      </c>
      <c r="AD450" s="1077"/>
      <c r="AE450" s="1077"/>
      <c r="AF450" s="1084" t="str">
        <f t="shared" si="54"/>
        <v/>
      </c>
      <c r="AG450" s="1082" t="str">
        <f t="shared" si="55"/>
        <v/>
      </c>
      <c r="AH450" s="1091"/>
      <c r="AI450" s="1087"/>
      <c r="AJ450" s="1084" t="str">
        <f t="shared" si="56"/>
        <v/>
      </c>
      <c r="AK450" s="1083" t="str">
        <f t="shared" si="57"/>
        <v/>
      </c>
      <c r="AL450" s="211">
        <v>366666</v>
      </c>
      <c r="AM450" s="211">
        <v>5500000</v>
      </c>
      <c r="AN450" s="211">
        <v>5500000</v>
      </c>
      <c r="AO450" s="211"/>
      <c r="AP450" s="211"/>
      <c r="AQ450" s="211"/>
      <c r="AR450" s="211"/>
      <c r="AS450" s="211"/>
      <c r="AT450" s="211"/>
      <c r="AU450" s="211"/>
      <c r="AV450" s="211"/>
      <c r="AW450" s="211"/>
      <c r="AX450" s="211"/>
      <c r="AY450" s="211"/>
      <c r="AZ450" s="211"/>
      <c r="BA450" s="211"/>
      <c r="BB450" s="211"/>
      <c r="BC450" s="211"/>
      <c r="BD450" s="333">
        <v>42710</v>
      </c>
      <c r="BE450" s="82">
        <f t="shared" si="58"/>
        <v>11366666</v>
      </c>
      <c r="BF450" s="13"/>
      <c r="BG450" s="1"/>
    </row>
    <row r="451" spans="1:59" s="54" customFormat="1" ht="20.399999999999999" hidden="1" x14ac:dyDescent="0.3">
      <c r="A451" s="56"/>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197">
        <f>+'Base de Datos'!I451</f>
        <v>8000000</v>
      </c>
      <c r="G451" s="196">
        <f>+'Base de Datos'!M451</f>
        <v>42648</v>
      </c>
      <c r="H451" s="196">
        <f>+'Base de Datos'!N451</f>
        <v>42891</v>
      </c>
      <c r="I451" s="196"/>
      <c r="J451" s="158"/>
      <c r="K451" s="333"/>
      <c r="L451" s="211"/>
      <c r="M451" s="336"/>
      <c r="N451" s="158"/>
      <c r="O451" s="333"/>
      <c r="P451" s="158"/>
      <c r="Q451" s="338"/>
      <c r="R451" s="81">
        <f t="shared" si="59"/>
        <v>0</v>
      </c>
      <c r="S451" s="258"/>
      <c r="T451" s="333"/>
      <c r="U451" s="158"/>
      <c r="V451" s="333"/>
      <c r="W451" s="158"/>
      <c r="X451" s="333"/>
      <c r="Y451" s="158"/>
      <c r="Z451" s="333"/>
      <c r="AA451" s="326"/>
      <c r="AB451" s="1004" t="str">
        <f t="shared" si="52"/>
        <v/>
      </c>
      <c r="AC451" s="1082" t="str">
        <f t="shared" si="53"/>
        <v/>
      </c>
      <c r="AD451" s="1077"/>
      <c r="AE451" s="1077"/>
      <c r="AF451" s="1084" t="str">
        <f t="shared" si="54"/>
        <v/>
      </c>
      <c r="AG451" s="1082" t="str">
        <f t="shared" si="55"/>
        <v/>
      </c>
      <c r="AH451" s="1091"/>
      <c r="AI451" s="1087"/>
      <c r="AJ451" s="1084" t="str">
        <f t="shared" si="56"/>
        <v/>
      </c>
      <c r="AK451" s="1083" t="str">
        <f t="shared" si="57"/>
        <v/>
      </c>
      <c r="AL451" s="211">
        <v>5150000</v>
      </c>
      <c r="AM451" s="211">
        <v>2850000</v>
      </c>
      <c r="AN451" s="211"/>
      <c r="AO451" s="211"/>
      <c r="AP451" s="211"/>
      <c r="AQ451" s="211"/>
      <c r="AR451" s="211"/>
      <c r="AS451" s="211"/>
      <c r="AT451" s="211"/>
      <c r="AU451" s="211"/>
      <c r="AV451" s="211"/>
      <c r="AW451" s="211"/>
      <c r="AX451" s="211"/>
      <c r="AY451" s="211"/>
      <c r="AZ451" s="211"/>
      <c r="BA451" s="211"/>
      <c r="BB451" s="211"/>
      <c r="BC451" s="211"/>
      <c r="BD451" s="333">
        <v>43090</v>
      </c>
      <c r="BE451" s="82">
        <f t="shared" si="58"/>
        <v>8000000</v>
      </c>
      <c r="BF451" s="13"/>
      <c r="BG451" s="1"/>
    </row>
    <row r="452" spans="1:59" s="54" customFormat="1" ht="30.6" hidden="1" x14ac:dyDescent="0.3">
      <c r="A452" s="56"/>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197">
        <f>+'Base de Datos'!I452</f>
        <v>669493245</v>
      </c>
      <c r="G452" s="196">
        <f>+'Base de Datos'!M452</f>
        <v>42647</v>
      </c>
      <c r="H452" s="196">
        <f>+'Base de Datos'!N452</f>
        <v>42859</v>
      </c>
      <c r="I452" s="196"/>
      <c r="J452" s="158">
        <v>119367045</v>
      </c>
      <c r="K452" s="333">
        <v>42926</v>
      </c>
      <c r="L452" s="211"/>
      <c r="M452" s="336"/>
      <c r="N452" s="158"/>
      <c r="O452" s="333"/>
      <c r="P452" s="158"/>
      <c r="Q452" s="338"/>
      <c r="R452" s="81">
        <f t="shared" si="59"/>
        <v>119367045</v>
      </c>
      <c r="S452" s="258" t="s">
        <v>2962</v>
      </c>
      <c r="T452" s="333">
        <v>42886</v>
      </c>
      <c r="U452" s="158" t="s">
        <v>978</v>
      </c>
      <c r="V452" s="333">
        <v>42931</v>
      </c>
      <c r="W452" s="158"/>
      <c r="X452" s="333"/>
      <c r="Y452" s="158"/>
      <c r="Z452" s="333"/>
      <c r="AA452" s="326" t="s">
        <v>2963</v>
      </c>
      <c r="AB452" s="1004">
        <f t="shared" si="52"/>
        <v>42931</v>
      </c>
      <c r="AC452" s="1082" t="str">
        <f t="shared" si="53"/>
        <v/>
      </c>
      <c r="AD452" s="1077"/>
      <c r="AE452" s="1077"/>
      <c r="AF452" s="1084" t="str">
        <f t="shared" si="54"/>
        <v/>
      </c>
      <c r="AG452" s="1082" t="str">
        <f t="shared" si="55"/>
        <v/>
      </c>
      <c r="AH452" s="1091"/>
      <c r="AI452" s="1087"/>
      <c r="AJ452" s="1084" t="str">
        <f t="shared" si="56"/>
        <v/>
      </c>
      <c r="AK452" s="1083" t="str">
        <f t="shared" si="57"/>
        <v/>
      </c>
      <c r="AL452" s="211">
        <v>283050000</v>
      </c>
      <c r="AM452" s="211">
        <v>35000000</v>
      </c>
      <c r="AN452" s="211">
        <v>164880000</v>
      </c>
      <c r="AO452" s="211">
        <v>10302001</v>
      </c>
      <c r="AP452" s="211">
        <v>11500000</v>
      </c>
      <c r="AQ452" s="211">
        <v>164761244</v>
      </c>
      <c r="AR452" s="211">
        <v>52081735</v>
      </c>
      <c r="AS452" s="211"/>
      <c r="AT452" s="211"/>
      <c r="AU452" s="211"/>
      <c r="AV452" s="211"/>
      <c r="AW452" s="211"/>
      <c r="AX452" s="211"/>
      <c r="AY452" s="211"/>
      <c r="AZ452" s="211"/>
      <c r="BA452" s="211"/>
      <c r="BB452" s="211"/>
      <c r="BC452" s="211"/>
      <c r="BD452" s="333">
        <v>42996</v>
      </c>
      <c r="BE452" s="82">
        <f t="shared" si="58"/>
        <v>721574980</v>
      </c>
      <c r="BF452" s="13"/>
      <c r="BG452" s="1"/>
    </row>
    <row r="453" spans="1:59" s="54" customFormat="1" ht="30.6" hidden="1" x14ac:dyDescent="0.3">
      <c r="A453" s="56"/>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197">
        <f>+'Base de Datos'!I453</f>
        <v>930000</v>
      </c>
      <c r="G453" s="196">
        <f>+'Base de Datos'!M453</f>
        <v>42647</v>
      </c>
      <c r="H453" s="196">
        <f>+'Base de Datos'!N453</f>
        <v>43012</v>
      </c>
      <c r="I453" s="196"/>
      <c r="J453" s="158"/>
      <c r="K453" s="333"/>
      <c r="L453" s="211"/>
      <c r="M453" s="336"/>
      <c r="N453" s="158"/>
      <c r="O453" s="333"/>
      <c r="P453" s="158"/>
      <c r="Q453" s="338"/>
      <c r="R453" s="81">
        <f t="shared" si="59"/>
        <v>0</v>
      </c>
      <c r="S453" s="258"/>
      <c r="T453" s="333"/>
      <c r="U453" s="158"/>
      <c r="V453" s="333"/>
      <c r="W453" s="158"/>
      <c r="X453" s="333"/>
      <c r="Y453" s="158"/>
      <c r="Z453" s="333"/>
      <c r="AA453" s="326"/>
      <c r="AB453" s="1004" t="str">
        <f t="shared" si="52"/>
        <v/>
      </c>
      <c r="AC453" s="1082" t="str">
        <f t="shared" si="53"/>
        <v/>
      </c>
      <c r="AD453" s="1077"/>
      <c r="AE453" s="1077"/>
      <c r="AF453" s="1084" t="str">
        <f t="shared" si="54"/>
        <v/>
      </c>
      <c r="AG453" s="1082" t="str">
        <f t="shared" si="55"/>
        <v/>
      </c>
      <c r="AH453" s="1091"/>
      <c r="AI453" s="1087"/>
      <c r="AJ453" s="1084" t="str">
        <f t="shared" si="56"/>
        <v/>
      </c>
      <c r="AK453" s="1083" t="str">
        <f t="shared" si="57"/>
        <v/>
      </c>
      <c r="AL453" s="211">
        <v>930000</v>
      </c>
      <c r="AM453" s="211"/>
      <c r="AN453" s="211"/>
      <c r="AO453" s="211"/>
      <c r="AP453" s="211"/>
      <c r="AQ453" s="211"/>
      <c r="AR453" s="211"/>
      <c r="AS453" s="211"/>
      <c r="AT453" s="211"/>
      <c r="AU453" s="211"/>
      <c r="AV453" s="211"/>
      <c r="AW453" s="211"/>
      <c r="AX453" s="211"/>
      <c r="AY453" s="211"/>
      <c r="AZ453" s="211"/>
      <c r="BA453" s="211"/>
      <c r="BB453" s="211"/>
      <c r="BC453" s="211"/>
      <c r="BD453" s="333">
        <v>42726</v>
      </c>
      <c r="BE453" s="82">
        <f t="shared" si="58"/>
        <v>930000</v>
      </c>
      <c r="BF453" s="13"/>
      <c r="BG453" s="1"/>
    </row>
    <row r="454" spans="1:59" s="54" customFormat="1" ht="40.799999999999997" hidden="1" x14ac:dyDescent="0.3">
      <c r="A454" s="56"/>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197">
        <f>+'Base de Datos'!I454</f>
        <v>4800000</v>
      </c>
      <c r="G454" s="196">
        <f>+'Base de Datos'!M454</f>
        <v>42646</v>
      </c>
      <c r="H454" s="196">
        <f>+'Base de Datos'!N454</f>
        <v>42769</v>
      </c>
      <c r="I454" s="196"/>
      <c r="J454" s="158"/>
      <c r="K454" s="333"/>
      <c r="L454" s="211"/>
      <c r="M454" s="336"/>
      <c r="N454" s="158"/>
      <c r="O454" s="333"/>
      <c r="P454" s="158"/>
      <c r="Q454" s="338"/>
      <c r="R454" s="81">
        <f t="shared" si="59"/>
        <v>0</v>
      </c>
      <c r="S454" s="258"/>
      <c r="T454" s="333"/>
      <c r="U454" s="158"/>
      <c r="V454" s="333"/>
      <c r="W454" s="158"/>
      <c r="X454" s="333"/>
      <c r="Y454" s="158"/>
      <c r="Z454" s="333"/>
      <c r="AA454" s="326"/>
      <c r="AB454" s="1004" t="str">
        <f t="shared" si="52"/>
        <v/>
      </c>
      <c r="AC454" s="1082" t="str">
        <f t="shared" si="53"/>
        <v/>
      </c>
      <c r="AD454" s="1077"/>
      <c r="AE454" s="1077"/>
      <c r="AF454" s="1084" t="str">
        <f t="shared" si="54"/>
        <v/>
      </c>
      <c r="AG454" s="1082" t="str">
        <f t="shared" si="55"/>
        <v/>
      </c>
      <c r="AH454" s="1091"/>
      <c r="AI454" s="1087"/>
      <c r="AJ454" s="1084" t="str">
        <f t="shared" si="56"/>
        <v/>
      </c>
      <c r="AK454" s="1083" t="str">
        <f t="shared" si="57"/>
        <v/>
      </c>
      <c r="AL454" s="211">
        <v>1040000</v>
      </c>
      <c r="AM454" s="211">
        <v>1200000</v>
      </c>
      <c r="AN454" s="211">
        <v>1200000</v>
      </c>
      <c r="AO454" s="211">
        <v>1200000</v>
      </c>
      <c r="AP454" s="211"/>
      <c r="AQ454" s="211"/>
      <c r="AR454" s="211"/>
      <c r="AS454" s="211"/>
      <c r="AT454" s="211"/>
      <c r="AU454" s="211"/>
      <c r="AV454" s="211"/>
      <c r="AW454" s="211"/>
      <c r="AX454" s="211"/>
      <c r="AY454" s="211"/>
      <c r="AZ454" s="211"/>
      <c r="BA454" s="211"/>
      <c r="BB454" s="211"/>
      <c r="BC454" s="211"/>
      <c r="BD454" s="333">
        <v>42776</v>
      </c>
      <c r="BE454" s="82">
        <f t="shared" si="58"/>
        <v>4640000</v>
      </c>
      <c r="BF454" s="13"/>
      <c r="BG454" s="1"/>
    </row>
    <row r="455" spans="1:59" s="54" customFormat="1" ht="20.399999999999999" hidden="1" x14ac:dyDescent="0.3">
      <c r="A455" s="56"/>
      <c r="B455" s="2" t="str">
        <f>+'Base de Datos'!E455</f>
        <v>160242-0-2016</v>
      </c>
      <c r="C455" s="2" t="str">
        <f>+'Base de Datos'!F455</f>
        <v>JONATHAN ESTIBEN ZAMUDIO VARGAS</v>
      </c>
      <c r="D455" s="2">
        <f>+'Base de Datos'!G455</f>
        <v>1030642892</v>
      </c>
      <c r="E455" s="2" t="str">
        <f>+'Base de Datos'!J455</f>
        <v>160242-0-2016</v>
      </c>
      <c r="F455" s="197">
        <f>+'Base de Datos'!K455</f>
        <v>2016</v>
      </c>
      <c r="G455" s="196">
        <f>+'Base de Datos'!M455</f>
        <v>42646</v>
      </c>
      <c r="H455" s="196">
        <f>+'Base de Datos'!N455</f>
        <v>42769</v>
      </c>
      <c r="I455" s="196"/>
      <c r="J455" s="158"/>
      <c r="K455" s="333"/>
      <c r="L455" s="211"/>
      <c r="M455" s="336"/>
      <c r="N455" s="158"/>
      <c r="O455" s="333"/>
      <c r="P455" s="158"/>
      <c r="Q455" s="338"/>
      <c r="R455" s="81">
        <f t="shared" si="59"/>
        <v>0</v>
      </c>
      <c r="S455" s="258"/>
      <c r="T455" s="333"/>
      <c r="U455" s="158"/>
      <c r="V455" s="333"/>
      <c r="W455" s="158"/>
      <c r="X455" s="333"/>
      <c r="Y455" s="158"/>
      <c r="Z455" s="333"/>
      <c r="AA455" s="326"/>
      <c r="AB455" s="1004" t="str">
        <f t="shared" ref="AB455:AB518" si="60">IF(ISNUMBER(T455),MAX(T455,V455,X455,Z455),"")</f>
        <v/>
      </c>
      <c r="AC455" s="1082" t="str">
        <f t="shared" ref="AC455:AC518" si="61">IF(ISNUMBER(AD455),ABS(AD455-AE455)+1,"")</f>
        <v/>
      </c>
      <c r="AD455" s="1077"/>
      <c r="AE455" s="1077"/>
      <c r="AF455" s="1084" t="str">
        <f t="shared" ref="AF455:AF518" si="62">IFERROR(IF(MAX(H455,I455)&lt;AE455,MAX(H455,I455)-AE455+AC455+AE455,MAX(H455,I455)+AC455),"")</f>
        <v/>
      </c>
      <c r="AG455" s="1082" t="str">
        <f t="shared" ref="AG455:AG518" si="63">IF(ISNUMBER(AH455),ABS(AH455-AI455)+1,"")</f>
        <v/>
      </c>
      <c r="AH455" s="1091"/>
      <c r="AI455" s="1087"/>
      <c r="AJ455" s="1084" t="str">
        <f t="shared" ref="AJ455:AJ518" si="64">IFERROR(IF(AF455&lt;AI455,((AF455-AI455)+AG455)+(AI455),AF455+AG455),"")</f>
        <v/>
      </c>
      <c r="AK455" s="1083" t="str">
        <f t="shared" ref="AK455:AK518" si="65">IF(ISNUMBER(AF455),MAX(AB455,AF455,AJ455),"")</f>
        <v/>
      </c>
      <c r="AL455" s="211">
        <v>1120000</v>
      </c>
      <c r="AM455" s="211">
        <v>1200000</v>
      </c>
      <c r="AN455" s="211">
        <v>1200000</v>
      </c>
      <c r="AO455" s="211">
        <v>1280000</v>
      </c>
      <c r="AP455" s="211"/>
      <c r="AQ455" s="211"/>
      <c r="AR455" s="211"/>
      <c r="AS455" s="211"/>
      <c r="AT455" s="211"/>
      <c r="AU455" s="211"/>
      <c r="AV455" s="211"/>
      <c r="AW455" s="211"/>
      <c r="AX455" s="211"/>
      <c r="AY455" s="211"/>
      <c r="AZ455" s="211"/>
      <c r="BA455" s="211"/>
      <c r="BB455" s="211"/>
      <c r="BC455" s="211"/>
      <c r="BD455" s="333">
        <v>42787</v>
      </c>
      <c r="BE455" s="82">
        <f t="shared" si="58"/>
        <v>4800000</v>
      </c>
      <c r="BF455" s="13"/>
      <c r="BG455" s="1"/>
    </row>
    <row r="456" spans="1:59" s="54" customFormat="1" ht="30.6" hidden="1" x14ac:dyDescent="0.3">
      <c r="A456" s="56"/>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197">
        <f>+'Base de Datos'!I456</f>
        <v>5150000</v>
      </c>
      <c r="G456" s="196">
        <f>+'Base de Datos'!M456</f>
        <v>42649</v>
      </c>
      <c r="H456" s="196">
        <f>+'Base de Datos'!N456</f>
        <v>42831</v>
      </c>
      <c r="I456" s="196"/>
      <c r="J456" s="158"/>
      <c r="K456" s="333"/>
      <c r="L456" s="211"/>
      <c r="M456" s="336"/>
      <c r="N456" s="158"/>
      <c r="O456" s="333"/>
      <c r="P456" s="158"/>
      <c r="Q456" s="338"/>
      <c r="R456" s="81">
        <f t="shared" si="59"/>
        <v>0</v>
      </c>
      <c r="S456" s="258"/>
      <c r="T456" s="333"/>
      <c r="U456" s="158"/>
      <c r="V456" s="333"/>
      <c r="W456" s="158"/>
      <c r="X456" s="333"/>
      <c r="Y456" s="158"/>
      <c r="Z456" s="333"/>
      <c r="AA456" s="326"/>
      <c r="AB456" s="1004" t="str">
        <f t="shared" si="60"/>
        <v/>
      </c>
      <c r="AC456" s="1082" t="str">
        <f t="shared" si="61"/>
        <v/>
      </c>
      <c r="AD456" s="1077"/>
      <c r="AE456" s="1077"/>
      <c r="AF456" s="1084" t="str">
        <f t="shared" si="62"/>
        <v/>
      </c>
      <c r="AG456" s="1082" t="str">
        <f t="shared" si="63"/>
        <v/>
      </c>
      <c r="AH456" s="1091"/>
      <c r="AI456" s="1087"/>
      <c r="AJ456" s="1084" t="str">
        <f t="shared" si="64"/>
        <v/>
      </c>
      <c r="AK456" s="1083" t="str">
        <f t="shared" si="65"/>
        <v/>
      </c>
      <c r="AL456" s="211"/>
      <c r="AM456" s="211"/>
      <c r="AN456" s="211"/>
      <c r="AO456" s="211"/>
      <c r="AP456" s="211"/>
      <c r="AQ456" s="211"/>
      <c r="AR456" s="211"/>
      <c r="AS456" s="211"/>
      <c r="AT456" s="211"/>
      <c r="AU456" s="211"/>
      <c r="AV456" s="211"/>
      <c r="AW456" s="211"/>
      <c r="AX456" s="211"/>
      <c r="AY456" s="211"/>
      <c r="AZ456" s="211"/>
      <c r="BA456" s="211"/>
      <c r="BB456" s="211"/>
      <c r="BC456" s="211"/>
      <c r="BD456" s="333"/>
      <c r="BE456" s="82">
        <f t="shared" si="58"/>
        <v>0</v>
      </c>
      <c r="BF456" s="13"/>
      <c r="BG456" s="1"/>
    </row>
    <row r="457" spans="1:59" s="54" customFormat="1" ht="20.399999999999999" hidden="1" x14ac:dyDescent="0.3">
      <c r="A457" s="56"/>
      <c r="B457" s="2" t="str">
        <f>+'Base de Datos'!E457</f>
        <v>160245-0-2016</v>
      </c>
      <c r="C457" s="2" t="str">
        <f>+'Base de Datos'!F457</f>
        <v>EDITORIAL EL GLOBO S.A.</v>
      </c>
      <c r="D457" s="2">
        <f>+'Base de Datos'!G457</f>
        <v>860009759</v>
      </c>
      <c r="E457" s="2" t="str">
        <f>+'Base de Datos'!H457</f>
        <v>Suscripción al diario La República para el Concejo de Bogotá D.C.</v>
      </c>
      <c r="F457" s="197">
        <f>+'Base de Datos'!I457</f>
        <v>817587</v>
      </c>
      <c r="G457" s="196">
        <f>+'Base de Datos'!M457</f>
        <v>42703</v>
      </c>
      <c r="H457" s="196">
        <f>+'Base de Datos'!N457</f>
        <v>43068</v>
      </c>
      <c r="I457" s="196"/>
      <c r="J457" s="158"/>
      <c r="K457" s="333"/>
      <c r="L457" s="211"/>
      <c r="M457" s="336"/>
      <c r="N457" s="158"/>
      <c r="O457" s="333"/>
      <c r="P457" s="158"/>
      <c r="Q457" s="338"/>
      <c r="R457" s="81">
        <f t="shared" si="59"/>
        <v>0</v>
      </c>
      <c r="S457" s="258"/>
      <c r="T457" s="333"/>
      <c r="U457" s="158"/>
      <c r="V457" s="333"/>
      <c r="W457" s="158"/>
      <c r="X457" s="333"/>
      <c r="Y457" s="158"/>
      <c r="Z457" s="333"/>
      <c r="AA457" s="326"/>
      <c r="AB457" s="1004" t="str">
        <f t="shared" si="60"/>
        <v/>
      </c>
      <c r="AC457" s="1082" t="str">
        <f t="shared" si="61"/>
        <v/>
      </c>
      <c r="AD457" s="1077"/>
      <c r="AE457" s="1077"/>
      <c r="AF457" s="1084" t="str">
        <f t="shared" si="62"/>
        <v/>
      </c>
      <c r="AG457" s="1082" t="str">
        <f t="shared" si="63"/>
        <v/>
      </c>
      <c r="AH457" s="1091"/>
      <c r="AI457" s="1087"/>
      <c r="AJ457" s="1084" t="str">
        <f t="shared" si="64"/>
        <v/>
      </c>
      <c r="AK457" s="1083" t="str">
        <f t="shared" si="65"/>
        <v/>
      </c>
      <c r="AL457" s="211">
        <v>817587</v>
      </c>
      <c r="AM457" s="211"/>
      <c r="AN457" s="211"/>
      <c r="AO457" s="211"/>
      <c r="AP457" s="211"/>
      <c r="AQ457" s="211"/>
      <c r="AR457" s="211"/>
      <c r="AS457" s="211"/>
      <c r="AT457" s="211"/>
      <c r="AU457" s="211"/>
      <c r="AV457" s="211"/>
      <c r="AW457" s="211"/>
      <c r="AX457" s="211"/>
      <c r="AY457" s="211"/>
      <c r="AZ457" s="211"/>
      <c r="BA457" s="211"/>
      <c r="BB457" s="211"/>
      <c r="BC457" s="211"/>
      <c r="BD457" s="333">
        <v>42716</v>
      </c>
      <c r="BE457" s="82">
        <f t="shared" si="58"/>
        <v>817587</v>
      </c>
      <c r="BF457" s="13"/>
      <c r="BG457" s="1"/>
    </row>
    <row r="458" spans="1:59" s="54" customFormat="1" ht="40.799999999999997" hidden="1" x14ac:dyDescent="0.3">
      <c r="A458" s="56"/>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197">
        <f>+'Base de Datos'!I458</f>
        <v>22000000</v>
      </c>
      <c r="G458" s="196">
        <f>+'Base de Datos'!M458</f>
        <v>42646</v>
      </c>
      <c r="H458" s="196">
        <f>+'Base de Datos'!N458</f>
        <v>42769</v>
      </c>
      <c r="I458" s="196"/>
      <c r="J458" s="158"/>
      <c r="K458" s="333"/>
      <c r="L458" s="211"/>
      <c r="M458" s="336"/>
      <c r="N458" s="158"/>
      <c r="O458" s="333"/>
      <c r="P458" s="158"/>
      <c r="Q458" s="338"/>
      <c r="R458" s="81">
        <f t="shared" si="59"/>
        <v>0</v>
      </c>
      <c r="S458" s="258"/>
      <c r="T458" s="333"/>
      <c r="U458" s="158"/>
      <c r="V458" s="333"/>
      <c r="W458" s="158"/>
      <c r="X458" s="333"/>
      <c r="Y458" s="158"/>
      <c r="Z458" s="333"/>
      <c r="AA458" s="326"/>
      <c r="AB458" s="1004" t="str">
        <f t="shared" si="60"/>
        <v/>
      </c>
      <c r="AC458" s="1082" t="str">
        <f t="shared" si="61"/>
        <v/>
      </c>
      <c r="AD458" s="1077"/>
      <c r="AE458" s="1077"/>
      <c r="AF458" s="1084" t="str">
        <f t="shared" si="62"/>
        <v/>
      </c>
      <c r="AG458" s="1082" t="str">
        <f t="shared" si="63"/>
        <v/>
      </c>
      <c r="AH458" s="1091"/>
      <c r="AI458" s="1087"/>
      <c r="AJ458" s="1084" t="str">
        <f t="shared" si="64"/>
        <v/>
      </c>
      <c r="AK458" s="1083" t="str">
        <f t="shared" si="65"/>
        <v/>
      </c>
      <c r="AL458" s="211">
        <v>5133333</v>
      </c>
      <c r="AM458" s="211">
        <v>5500000</v>
      </c>
      <c r="AN458" s="211">
        <v>5500000</v>
      </c>
      <c r="AO458" s="211">
        <v>5500000</v>
      </c>
      <c r="AP458" s="211">
        <v>366667</v>
      </c>
      <c r="AQ458" s="211"/>
      <c r="AR458" s="211"/>
      <c r="AS458" s="211"/>
      <c r="AT458" s="211"/>
      <c r="AU458" s="211"/>
      <c r="AV458" s="211"/>
      <c r="AW458" s="211"/>
      <c r="AX458" s="211"/>
      <c r="AY458" s="211"/>
      <c r="AZ458" s="211"/>
      <c r="BA458" s="211"/>
      <c r="BB458" s="211"/>
      <c r="BC458" s="211"/>
      <c r="BD458" s="333">
        <v>42803</v>
      </c>
      <c r="BE458" s="82">
        <f t="shared" ref="BE458:BE521" si="66">SUM(AL458:BC458)</f>
        <v>22000000</v>
      </c>
      <c r="BF458" s="13"/>
      <c r="BG458" s="1"/>
    </row>
    <row r="459" spans="1:59" s="54" customFormat="1" ht="40.799999999999997" hidden="1" x14ac:dyDescent="0.3">
      <c r="A459" s="56"/>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197">
        <f>+'Base de Datos'!I459</f>
        <v>22000000</v>
      </c>
      <c r="G459" s="196">
        <f>+'Base de Datos'!M459</f>
        <v>42646</v>
      </c>
      <c r="H459" s="196">
        <f>+'Base de Datos'!N459</f>
        <v>42769</v>
      </c>
      <c r="I459" s="196"/>
      <c r="J459" s="158"/>
      <c r="K459" s="333"/>
      <c r="L459" s="211"/>
      <c r="M459" s="336"/>
      <c r="N459" s="158"/>
      <c r="O459" s="333"/>
      <c r="P459" s="158"/>
      <c r="Q459" s="338"/>
      <c r="R459" s="81">
        <f t="shared" si="59"/>
        <v>0</v>
      </c>
      <c r="S459" s="258"/>
      <c r="T459" s="333"/>
      <c r="U459" s="158"/>
      <c r="V459" s="333"/>
      <c r="W459" s="158"/>
      <c r="X459" s="333"/>
      <c r="Y459" s="158"/>
      <c r="Z459" s="333"/>
      <c r="AA459" s="326"/>
      <c r="AB459" s="1004" t="str">
        <f t="shared" si="60"/>
        <v/>
      </c>
      <c r="AC459" s="1082" t="str">
        <f t="shared" si="61"/>
        <v/>
      </c>
      <c r="AD459" s="1077"/>
      <c r="AE459" s="1077"/>
      <c r="AF459" s="1084" t="str">
        <f t="shared" si="62"/>
        <v/>
      </c>
      <c r="AG459" s="1082" t="str">
        <f t="shared" si="63"/>
        <v/>
      </c>
      <c r="AH459" s="1091"/>
      <c r="AI459" s="1087"/>
      <c r="AJ459" s="1084" t="str">
        <f t="shared" si="64"/>
        <v/>
      </c>
      <c r="AK459" s="1083" t="str">
        <f t="shared" si="65"/>
        <v/>
      </c>
      <c r="AL459" s="211">
        <v>5133333</v>
      </c>
      <c r="AM459" s="211">
        <v>5500000</v>
      </c>
      <c r="AN459" s="211">
        <v>5500000</v>
      </c>
      <c r="AO459" s="211">
        <v>5500000</v>
      </c>
      <c r="AP459" s="211">
        <v>366667</v>
      </c>
      <c r="AQ459" s="211"/>
      <c r="AR459" s="211"/>
      <c r="AS459" s="211"/>
      <c r="AT459" s="211"/>
      <c r="AU459" s="211"/>
      <c r="AV459" s="211"/>
      <c r="AW459" s="211"/>
      <c r="AX459" s="211"/>
      <c r="AY459" s="211"/>
      <c r="AZ459" s="211"/>
      <c r="BA459" s="211"/>
      <c r="BB459" s="211"/>
      <c r="BC459" s="211"/>
      <c r="BD459" s="333">
        <v>42788</v>
      </c>
      <c r="BE459" s="82">
        <f t="shared" si="66"/>
        <v>22000000</v>
      </c>
      <c r="BF459" s="13"/>
      <c r="BG459" s="1"/>
    </row>
    <row r="460" spans="1:59" s="54" customFormat="1" ht="40.799999999999997" hidden="1" x14ac:dyDescent="0.3">
      <c r="A460" s="56"/>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197">
        <f>+'Base de Datos'!I460</f>
        <v>22000000</v>
      </c>
      <c r="G460" s="196">
        <f>+'Base de Datos'!M460</f>
        <v>42646</v>
      </c>
      <c r="H460" s="196">
        <f>+'Base de Datos'!N460</f>
        <v>42769</v>
      </c>
      <c r="I460" s="196"/>
      <c r="J460" s="158"/>
      <c r="K460" s="333"/>
      <c r="L460" s="211"/>
      <c r="M460" s="336"/>
      <c r="N460" s="158"/>
      <c r="O460" s="333"/>
      <c r="P460" s="158"/>
      <c r="Q460" s="338"/>
      <c r="R460" s="81">
        <f t="shared" si="59"/>
        <v>0</v>
      </c>
      <c r="S460" s="258"/>
      <c r="T460" s="333"/>
      <c r="U460" s="158"/>
      <c r="V460" s="333"/>
      <c r="W460" s="158"/>
      <c r="X460" s="333"/>
      <c r="Y460" s="158"/>
      <c r="Z460" s="333"/>
      <c r="AA460" s="326"/>
      <c r="AB460" s="1004" t="str">
        <f t="shared" si="60"/>
        <v/>
      </c>
      <c r="AC460" s="1082" t="str">
        <f t="shared" si="61"/>
        <v/>
      </c>
      <c r="AD460" s="1077"/>
      <c r="AE460" s="1077"/>
      <c r="AF460" s="1084" t="str">
        <f t="shared" si="62"/>
        <v/>
      </c>
      <c r="AG460" s="1082" t="str">
        <f t="shared" si="63"/>
        <v/>
      </c>
      <c r="AH460" s="1091"/>
      <c r="AI460" s="1087"/>
      <c r="AJ460" s="1084" t="str">
        <f t="shared" si="64"/>
        <v/>
      </c>
      <c r="AK460" s="1083" t="str">
        <f t="shared" si="65"/>
        <v/>
      </c>
      <c r="AL460" s="211">
        <v>5133333</v>
      </c>
      <c r="AM460" s="211">
        <v>5500000</v>
      </c>
      <c r="AN460" s="211">
        <v>5500000</v>
      </c>
      <c r="AO460" s="211">
        <v>5500000</v>
      </c>
      <c r="AP460" s="211">
        <v>366667</v>
      </c>
      <c r="AQ460" s="211"/>
      <c r="AR460" s="211"/>
      <c r="AS460" s="211"/>
      <c r="AT460" s="211"/>
      <c r="AU460" s="211"/>
      <c r="AV460" s="211"/>
      <c r="AW460" s="211"/>
      <c r="AX460" s="211"/>
      <c r="AY460" s="211"/>
      <c r="AZ460" s="211"/>
      <c r="BA460" s="211"/>
      <c r="BB460" s="211"/>
      <c r="BC460" s="211"/>
      <c r="BD460" s="333">
        <v>42804</v>
      </c>
      <c r="BE460" s="82">
        <f t="shared" si="66"/>
        <v>22000000</v>
      </c>
      <c r="BF460" s="13"/>
      <c r="BG460" s="1"/>
    </row>
    <row r="461" spans="1:59" s="54" customFormat="1" ht="51" hidden="1" x14ac:dyDescent="0.3">
      <c r="A461" s="56"/>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197">
        <f>+'Base de Datos'!I461</f>
        <v>17275885</v>
      </c>
      <c r="G461" s="196">
        <f>+'Base de Datos'!M461</f>
        <v>42664</v>
      </c>
      <c r="H461" s="196">
        <f>+'Base de Datos'!N461</f>
        <v>42815</v>
      </c>
      <c r="I461" s="196"/>
      <c r="J461" s="158">
        <v>8638000</v>
      </c>
      <c r="K461" s="333">
        <v>42818</v>
      </c>
      <c r="L461" s="211"/>
      <c r="M461" s="336"/>
      <c r="N461" s="158"/>
      <c r="O461" s="333"/>
      <c r="P461" s="158"/>
      <c r="Q461" s="338"/>
      <c r="R461" s="81">
        <f t="shared" si="59"/>
        <v>8638000</v>
      </c>
      <c r="S461" s="258" t="s">
        <v>378</v>
      </c>
      <c r="T461" s="333">
        <v>42880</v>
      </c>
      <c r="U461" s="158"/>
      <c r="V461" s="333"/>
      <c r="W461" s="158"/>
      <c r="X461" s="333"/>
      <c r="Y461" s="158"/>
      <c r="Z461" s="333"/>
      <c r="AA461" s="326" t="s">
        <v>378</v>
      </c>
      <c r="AB461" s="1004">
        <f t="shared" si="60"/>
        <v>42880</v>
      </c>
      <c r="AC461" s="1082" t="str">
        <f t="shared" si="61"/>
        <v/>
      </c>
      <c r="AD461" s="1077"/>
      <c r="AE461" s="1077"/>
      <c r="AF461" s="1084" t="str">
        <f t="shared" si="62"/>
        <v/>
      </c>
      <c r="AG461" s="1082" t="str">
        <f t="shared" si="63"/>
        <v/>
      </c>
      <c r="AH461" s="1091"/>
      <c r="AI461" s="1087"/>
      <c r="AJ461" s="1084" t="str">
        <f t="shared" si="64"/>
        <v/>
      </c>
      <c r="AK461" s="1083" t="str">
        <f t="shared" si="65"/>
        <v/>
      </c>
      <c r="AL461" s="211">
        <v>2063584</v>
      </c>
      <c r="AM461" s="211">
        <v>1235312</v>
      </c>
      <c r="AN461" s="211">
        <v>1724071</v>
      </c>
      <c r="AO461" s="211">
        <v>11997227</v>
      </c>
      <c r="AP461" s="211">
        <v>2973447</v>
      </c>
      <c r="AQ461" s="211">
        <v>2417129</v>
      </c>
      <c r="AR461" s="211">
        <v>255691</v>
      </c>
      <c r="AS461" s="211">
        <v>3247395</v>
      </c>
      <c r="AT461" s="211"/>
      <c r="AU461" s="211"/>
      <c r="AV461" s="211"/>
      <c r="AW461" s="211"/>
      <c r="AX461" s="211"/>
      <c r="AY461" s="211"/>
      <c r="AZ461" s="211"/>
      <c r="BA461" s="211"/>
      <c r="BB461" s="211"/>
      <c r="BC461" s="211"/>
      <c r="BD461" s="333">
        <v>42935</v>
      </c>
      <c r="BE461" s="82">
        <f t="shared" si="66"/>
        <v>25913856</v>
      </c>
      <c r="BF461" s="13"/>
      <c r="BG461" s="1"/>
    </row>
    <row r="462" spans="1:59" s="54" customFormat="1" ht="20.399999999999999" hidden="1" x14ac:dyDescent="0.3">
      <c r="A462" s="56"/>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197">
        <f>+'Base de Datos'!I462</f>
        <v>46980000</v>
      </c>
      <c r="G462" s="196">
        <f>+'Base de Datos'!M462</f>
        <v>42664</v>
      </c>
      <c r="H462" s="196">
        <f>+'Base de Datos'!N462</f>
        <v>42815</v>
      </c>
      <c r="I462" s="196"/>
      <c r="J462" s="158"/>
      <c r="K462" s="333"/>
      <c r="L462" s="211"/>
      <c r="M462" s="336"/>
      <c r="N462" s="158"/>
      <c r="O462" s="333"/>
      <c r="P462" s="158"/>
      <c r="Q462" s="338"/>
      <c r="R462" s="81">
        <f t="shared" si="59"/>
        <v>0</v>
      </c>
      <c r="S462" s="258"/>
      <c r="T462" s="333"/>
      <c r="U462" s="158"/>
      <c r="V462" s="333"/>
      <c r="W462" s="158"/>
      <c r="X462" s="333"/>
      <c r="Y462" s="158"/>
      <c r="Z462" s="333"/>
      <c r="AA462" s="326"/>
      <c r="AB462" s="1004" t="str">
        <f t="shared" si="60"/>
        <v/>
      </c>
      <c r="AC462" s="1082" t="str">
        <f t="shared" si="61"/>
        <v/>
      </c>
      <c r="AD462" s="1077"/>
      <c r="AE462" s="1077"/>
      <c r="AF462" s="1084" t="str">
        <f t="shared" si="62"/>
        <v/>
      </c>
      <c r="AG462" s="1082" t="str">
        <f t="shared" si="63"/>
        <v/>
      </c>
      <c r="AH462" s="1091"/>
      <c r="AI462" s="1087"/>
      <c r="AJ462" s="1084" t="str">
        <f t="shared" si="64"/>
        <v/>
      </c>
      <c r="AK462" s="1083" t="str">
        <f t="shared" si="65"/>
        <v/>
      </c>
      <c r="AL462" s="211">
        <v>9396000</v>
      </c>
      <c r="AM462" s="211">
        <v>9396000</v>
      </c>
      <c r="AN462" s="211">
        <v>9396000</v>
      </c>
      <c r="AO462" s="211">
        <v>9396000</v>
      </c>
      <c r="AP462" s="211">
        <v>9396000</v>
      </c>
      <c r="AQ462" s="211"/>
      <c r="AR462" s="211"/>
      <c r="AS462" s="211"/>
      <c r="AT462" s="211"/>
      <c r="AU462" s="211"/>
      <c r="AV462" s="211"/>
      <c r="AW462" s="211"/>
      <c r="AX462" s="211"/>
      <c r="AY462" s="211"/>
      <c r="AZ462" s="211"/>
      <c r="BA462" s="211"/>
      <c r="BB462" s="211"/>
      <c r="BC462" s="211"/>
      <c r="BD462" s="333">
        <v>42850</v>
      </c>
      <c r="BE462" s="82">
        <f t="shared" si="66"/>
        <v>46980000</v>
      </c>
      <c r="BF462" s="13"/>
      <c r="BG462" s="1"/>
    </row>
    <row r="463" spans="1:59" s="54" customFormat="1" ht="30.6" hidden="1" x14ac:dyDescent="0.3">
      <c r="A463" s="56"/>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197">
        <f>+'Base de Datos'!I463</f>
        <v>132050000</v>
      </c>
      <c r="G463" s="196">
        <f>+'Base de Datos'!M463</f>
        <v>42678</v>
      </c>
      <c r="H463" s="196">
        <f>+'Base de Datos'!N463</f>
        <v>43043</v>
      </c>
      <c r="I463" s="196"/>
      <c r="J463" s="158"/>
      <c r="K463" s="333"/>
      <c r="L463" s="211"/>
      <c r="M463" s="336"/>
      <c r="N463" s="158"/>
      <c r="O463" s="333"/>
      <c r="P463" s="158"/>
      <c r="Q463" s="338"/>
      <c r="R463" s="81">
        <f t="shared" si="59"/>
        <v>0</v>
      </c>
      <c r="S463" s="258"/>
      <c r="T463" s="333"/>
      <c r="U463" s="158"/>
      <c r="V463" s="333"/>
      <c r="W463" s="158"/>
      <c r="X463" s="333"/>
      <c r="Y463" s="158"/>
      <c r="Z463" s="333"/>
      <c r="AA463" s="326"/>
      <c r="AB463" s="1004" t="str">
        <f t="shared" si="60"/>
        <v/>
      </c>
      <c r="AC463" s="1082" t="str">
        <f t="shared" si="61"/>
        <v/>
      </c>
      <c r="AD463" s="1077"/>
      <c r="AE463" s="1077"/>
      <c r="AF463" s="1084" t="str">
        <f t="shared" si="62"/>
        <v/>
      </c>
      <c r="AG463" s="1082" t="str">
        <f t="shared" si="63"/>
        <v/>
      </c>
      <c r="AH463" s="1091"/>
      <c r="AI463" s="1087"/>
      <c r="AJ463" s="1084" t="str">
        <f t="shared" si="64"/>
        <v/>
      </c>
      <c r="AK463" s="1083" t="str">
        <f t="shared" si="65"/>
        <v/>
      </c>
      <c r="AL463" s="211">
        <v>32938618</v>
      </c>
      <c r="AM463" s="211">
        <v>7740680</v>
      </c>
      <c r="AN463" s="211">
        <v>32938618</v>
      </c>
      <c r="AO463" s="211">
        <v>43918157</v>
      </c>
      <c r="AP463" s="211">
        <v>5048320</v>
      </c>
      <c r="AQ463" s="211"/>
      <c r="AR463" s="211"/>
      <c r="AS463" s="211"/>
      <c r="AT463" s="211"/>
      <c r="AU463" s="211"/>
      <c r="AV463" s="211"/>
      <c r="AW463" s="211"/>
      <c r="AX463" s="211"/>
      <c r="AY463" s="211"/>
      <c r="AZ463" s="211"/>
      <c r="BA463" s="211"/>
      <c r="BB463" s="211"/>
      <c r="BC463" s="211"/>
      <c r="BD463" s="333">
        <v>43066</v>
      </c>
      <c r="BE463" s="82">
        <f t="shared" si="66"/>
        <v>122584393</v>
      </c>
      <c r="BF463" s="13"/>
      <c r="BG463" s="1"/>
    </row>
    <row r="464" spans="1:59" s="54" customFormat="1" ht="40.799999999999997" hidden="1" x14ac:dyDescent="0.3">
      <c r="A464" s="56"/>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197">
        <f>+'Base de Datos'!I464</f>
        <v>173000000</v>
      </c>
      <c r="G464" s="196">
        <f>+'Base de Datos'!M464</f>
        <v>42670</v>
      </c>
      <c r="H464" s="196">
        <f>+'Base de Datos'!N464</f>
        <v>43035</v>
      </c>
      <c r="I464" s="196"/>
      <c r="J464" s="158"/>
      <c r="K464" s="333"/>
      <c r="L464" s="211"/>
      <c r="M464" s="336"/>
      <c r="N464" s="158"/>
      <c r="O464" s="333"/>
      <c r="P464" s="158"/>
      <c r="Q464" s="338"/>
      <c r="R464" s="81">
        <f t="shared" si="59"/>
        <v>0</v>
      </c>
      <c r="S464" s="258" t="s">
        <v>2456</v>
      </c>
      <c r="T464" s="333">
        <v>43128</v>
      </c>
      <c r="U464" s="158" t="s">
        <v>3841</v>
      </c>
      <c r="V464" s="333">
        <v>43159</v>
      </c>
      <c r="W464" s="158"/>
      <c r="X464" s="333"/>
      <c r="Y464" s="158"/>
      <c r="Z464" s="333"/>
      <c r="AA464" s="326" t="s">
        <v>2442</v>
      </c>
      <c r="AB464" s="1004">
        <f t="shared" si="60"/>
        <v>43159</v>
      </c>
      <c r="AC464" s="1082" t="str">
        <f t="shared" si="61"/>
        <v/>
      </c>
      <c r="AD464" s="1077"/>
      <c r="AE464" s="1077"/>
      <c r="AF464" s="1084" t="str">
        <f t="shared" si="62"/>
        <v/>
      </c>
      <c r="AG464" s="1082" t="str">
        <f t="shared" si="63"/>
        <v/>
      </c>
      <c r="AH464" s="1091"/>
      <c r="AI464" s="1087"/>
      <c r="AJ464" s="1084" t="str">
        <f t="shared" si="64"/>
        <v/>
      </c>
      <c r="AK464" s="1083" t="str">
        <f t="shared" si="65"/>
        <v/>
      </c>
      <c r="AL464" s="211">
        <v>30725025</v>
      </c>
      <c r="AM464" s="211">
        <v>30725025</v>
      </c>
      <c r="AN464" s="211">
        <v>30725025</v>
      </c>
      <c r="AO464" s="211">
        <v>18222321</v>
      </c>
      <c r="AP464" s="211">
        <v>4329417</v>
      </c>
      <c r="AQ464" s="211"/>
      <c r="AR464" s="211"/>
      <c r="AS464" s="211"/>
      <c r="AT464" s="211"/>
      <c r="AU464" s="211"/>
      <c r="AV464" s="211"/>
      <c r="AW464" s="211"/>
      <c r="AX464" s="211"/>
      <c r="AY464" s="211"/>
      <c r="AZ464" s="211"/>
      <c r="BA464" s="211"/>
      <c r="BB464" s="211"/>
      <c r="BC464" s="211"/>
      <c r="BD464" s="333">
        <v>43263</v>
      </c>
      <c r="BE464" s="82">
        <f t="shared" si="66"/>
        <v>114726813</v>
      </c>
      <c r="BF464" s="13"/>
      <c r="BG464" s="1"/>
    </row>
    <row r="465" spans="1:59" s="54" customFormat="1" ht="30.6" hidden="1" x14ac:dyDescent="0.3">
      <c r="A465" s="56"/>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197">
        <f>+'Base de Datos'!I465</f>
        <v>14583984</v>
      </c>
      <c r="G465" s="196">
        <f>+'Base de Datos'!M465</f>
        <v>42690</v>
      </c>
      <c r="H465" s="196">
        <f>+'Base de Datos'!N465</f>
        <v>42766</v>
      </c>
      <c r="I465" s="196"/>
      <c r="J465" s="158"/>
      <c r="K465" s="333"/>
      <c r="L465" s="211"/>
      <c r="M465" s="336"/>
      <c r="N465" s="158"/>
      <c r="O465" s="333"/>
      <c r="P465" s="158"/>
      <c r="Q465" s="338"/>
      <c r="R465" s="81">
        <f t="shared" si="59"/>
        <v>0</v>
      </c>
      <c r="S465" s="258"/>
      <c r="T465" s="333"/>
      <c r="U465" s="158"/>
      <c r="V465" s="333"/>
      <c r="W465" s="158"/>
      <c r="X465" s="333"/>
      <c r="Y465" s="158"/>
      <c r="Z465" s="333"/>
      <c r="AA465" s="326"/>
      <c r="AB465" s="1004" t="str">
        <f t="shared" si="60"/>
        <v/>
      </c>
      <c r="AC465" s="1082" t="str">
        <f t="shared" si="61"/>
        <v/>
      </c>
      <c r="AD465" s="1077"/>
      <c r="AE465" s="1077"/>
      <c r="AF465" s="1084" t="str">
        <f t="shared" si="62"/>
        <v/>
      </c>
      <c r="AG465" s="1082" t="str">
        <f t="shared" si="63"/>
        <v/>
      </c>
      <c r="AH465" s="1091"/>
      <c r="AI465" s="1087"/>
      <c r="AJ465" s="1084" t="str">
        <f t="shared" si="64"/>
        <v/>
      </c>
      <c r="AK465" s="1083" t="str">
        <f t="shared" si="65"/>
        <v/>
      </c>
      <c r="AL465" s="211">
        <v>14583984</v>
      </c>
      <c r="AM465" s="211"/>
      <c r="AN465" s="211"/>
      <c r="AO465" s="211"/>
      <c r="AP465" s="211"/>
      <c r="AQ465" s="211"/>
      <c r="AR465" s="211"/>
      <c r="AS465" s="211"/>
      <c r="AT465" s="211"/>
      <c r="AU465" s="211"/>
      <c r="AV465" s="211"/>
      <c r="AW465" s="211"/>
      <c r="AX465" s="211"/>
      <c r="AY465" s="211"/>
      <c r="AZ465" s="211"/>
      <c r="BA465" s="211"/>
      <c r="BB465" s="211"/>
      <c r="BC465" s="211"/>
      <c r="BD465" s="333">
        <v>42725</v>
      </c>
      <c r="BE465" s="82">
        <f t="shared" si="66"/>
        <v>14583984</v>
      </c>
      <c r="BF465" s="13"/>
      <c r="BG465" s="1"/>
    </row>
    <row r="466" spans="1:59" s="54" customFormat="1" ht="51" hidden="1" x14ac:dyDescent="0.3">
      <c r="A466" s="56"/>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197">
        <f>+'Base de Datos'!I466</f>
        <v>103330468</v>
      </c>
      <c r="G466" s="196">
        <f>+'Base de Datos'!M466</f>
        <v>42689</v>
      </c>
      <c r="H466" s="196">
        <f>+'Base de Datos'!N466</f>
        <v>42781</v>
      </c>
      <c r="I466" s="196"/>
      <c r="J466" s="158">
        <v>31914729</v>
      </c>
      <c r="K466" s="333">
        <v>42781</v>
      </c>
      <c r="L466" s="211">
        <v>17021189</v>
      </c>
      <c r="M466" s="336">
        <v>42809</v>
      </c>
      <c r="N466" s="158"/>
      <c r="O466" s="333"/>
      <c r="P466" s="158"/>
      <c r="Q466" s="338"/>
      <c r="R466" s="81">
        <f t="shared" si="59"/>
        <v>48935918</v>
      </c>
      <c r="S466" s="258" t="s">
        <v>381</v>
      </c>
      <c r="T466" s="333">
        <v>42809</v>
      </c>
      <c r="U466" s="157" t="s">
        <v>2842</v>
      </c>
      <c r="V466" s="333">
        <v>42825</v>
      </c>
      <c r="W466" s="158"/>
      <c r="X466" s="333"/>
      <c r="Y466" s="158"/>
      <c r="Z466" s="333"/>
      <c r="AA466" s="326" t="s">
        <v>2843</v>
      </c>
      <c r="AB466" s="1004">
        <f t="shared" si="60"/>
        <v>42825</v>
      </c>
      <c r="AC466" s="1082" t="str">
        <f t="shared" si="61"/>
        <v/>
      </c>
      <c r="AD466" s="1077"/>
      <c r="AE466" s="1077"/>
      <c r="AF466" s="1084" t="str">
        <f t="shared" si="62"/>
        <v/>
      </c>
      <c r="AG466" s="1082" t="str">
        <f t="shared" si="63"/>
        <v/>
      </c>
      <c r="AH466" s="1091"/>
      <c r="AI466" s="1087"/>
      <c r="AJ466" s="1084" t="str">
        <f t="shared" si="64"/>
        <v/>
      </c>
      <c r="AK466" s="1083" t="str">
        <f t="shared" si="65"/>
        <v/>
      </c>
      <c r="AL466" s="211">
        <v>24156118</v>
      </c>
      <c r="AM466" s="211">
        <v>20597786</v>
      </c>
      <c r="AN466" s="211">
        <v>27523195</v>
      </c>
      <c r="AO466" s="211">
        <v>30406442</v>
      </c>
      <c r="AP466" s="211">
        <v>13702795</v>
      </c>
      <c r="AQ466" s="211">
        <v>5407919</v>
      </c>
      <c r="AR466" s="211"/>
      <c r="AS466" s="211"/>
      <c r="AT466" s="211"/>
      <c r="AU466" s="211"/>
      <c r="AV466" s="211"/>
      <c r="AW466" s="211"/>
      <c r="AX466" s="211"/>
      <c r="AY466" s="211"/>
      <c r="AZ466" s="211"/>
      <c r="BA466" s="211"/>
      <c r="BB466" s="211"/>
      <c r="BC466" s="211"/>
      <c r="BD466" s="333">
        <v>43704</v>
      </c>
      <c r="BE466" s="82">
        <f t="shared" si="66"/>
        <v>121794255</v>
      </c>
      <c r="BF466" s="13"/>
      <c r="BG466" s="1"/>
    </row>
    <row r="467" spans="1:59" s="54" customFormat="1" ht="20.399999999999999" hidden="1" x14ac:dyDescent="0.3">
      <c r="A467" s="56"/>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197">
        <f>+'Base de Datos'!I467</f>
        <v>112554160</v>
      </c>
      <c r="G467" s="196">
        <f>+'Base de Datos'!M467</f>
        <v>42696</v>
      </c>
      <c r="H467" s="196">
        <f>+'Base de Datos'!N467</f>
        <v>42726</v>
      </c>
      <c r="I467" s="196"/>
      <c r="J467" s="158"/>
      <c r="K467" s="333"/>
      <c r="L467" s="211"/>
      <c r="M467" s="336"/>
      <c r="N467" s="158"/>
      <c r="O467" s="333"/>
      <c r="P467" s="158"/>
      <c r="Q467" s="338"/>
      <c r="R467" s="81">
        <f t="shared" si="59"/>
        <v>0</v>
      </c>
      <c r="S467" s="258"/>
      <c r="T467" s="333"/>
      <c r="U467" s="158"/>
      <c r="V467" s="333"/>
      <c r="W467" s="158"/>
      <c r="X467" s="333"/>
      <c r="Y467" s="158"/>
      <c r="Z467" s="333"/>
      <c r="AA467" s="326"/>
      <c r="AB467" s="1004" t="str">
        <f t="shared" si="60"/>
        <v/>
      </c>
      <c r="AC467" s="1082" t="str">
        <f t="shared" si="61"/>
        <v/>
      </c>
      <c r="AD467" s="1077"/>
      <c r="AE467" s="1077"/>
      <c r="AF467" s="1084" t="str">
        <f t="shared" si="62"/>
        <v/>
      </c>
      <c r="AG467" s="1082" t="str">
        <f t="shared" si="63"/>
        <v/>
      </c>
      <c r="AH467" s="1091"/>
      <c r="AI467" s="1087"/>
      <c r="AJ467" s="1084" t="str">
        <f t="shared" si="64"/>
        <v/>
      </c>
      <c r="AK467" s="1083" t="str">
        <f t="shared" si="65"/>
        <v/>
      </c>
      <c r="AL467" s="211">
        <v>112554160</v>
      </c>
      <c r="AM467" s="211"/>
      <c r="AN467" s="211"/>
      <c r="AO467" s="211"/>
      <c r="AP467" s="211"/>
      <c r="AQ467" s="211"/>
      <c r="AR467" s="211"/>
      <c r="AS467" s="211"/>
      <c r="AT467" s="211"/>
      <c r="AU467" s="211"/>
      <c r="AV467" s="211"/>
      <c r="AW467" s="211"/>
      <c r="AX467" s="211"/>
      <c r="AY467" s="211"/>
      <c r="AZ467" s="211"/>
      <c r="BA467" s="211"/>
      <c r="BB467" s="211"/>
      <c r="BC467" s="211"/>
      <c r="BD467" s="333"/>
      <c r="BE467" s="82">
        <f t="shared" si="66"/>
        <v>112554160</v>
      </c>
      <c r="BF467" s="13"/>
      <c r="BG467" s="1"/>
    </row>
    <row r="468" spans="1:59" s="54" customFormat="1" ht="20.399999999999999" hidden="1" x14ac:dyDescent="0.3">
      <c r="A468" s="56"/>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197">
        <f>+'Base de Datos'!I468</f>
        <v>15999901</v>
      </c>
      <c r="G468" s="196">
        <f>+'Base de Datos'!M468</f>
        <v>42705</v>
      </c>
      <c r="H468" s="196">
        <f>+'Base de Datos'!N468</f>
        <v>42767</v>
      </c>
      <c r="I468" s="196"/>
      <c r="J468" s="158"/>
      <c r="K468" s="333"/>
      <c r="L468" s="211"/>
      <c r="M468" s="336"/>
      <c r="N468" s="158"/>
      <c r="O468" s="333"/>
      <c r="P468" s="158"/>
      <c r="Q468" s="338"/>
      <c r="R468" s="81">
        <f t="shared" si="59"/>
        <v>0</v>
      </c>
      <c r="S468" s="258"/>
      <c r="T468" s="333"/>
      <c r="U468" s="158"/>
      <c r="V468" s="333"/>
      <c r="W468" s="158"/>
      <c r="X468" s="333"/>
      <c r="Y468" s="158"/>
      <c r="Z468" s="333"/>
      <c r="AA468" s="326"/>
      <c r="AB468" s="1004" t="str">
        <f t="shared" si="60"/>
        <v/>
      </c>
      <c r="AC468" s="1082" t="str">
        <f t="shared" si="61"/>
        <v/>
      </c>
      <c r="AD468" s="1077"/>
      <c r="AE468" s="1077"/>
      <c r="AF468" s="1084" t="str">
        <f t="shared" si="62"/>
        <v/>
      </c>
      <c r="AG468" s="1082" t="str">
        <f t="shared" si="63"/>
        <v/>
      </c>
      <c r="AH468" s="1091"/>
      <c r="AI468" s="1087"/>
      <c r="AJ468" s="1084" t="str">
        <f t="shared" si="64"/>
        <v/>
      </c>
      <c r="AK468" s="1083" t="str">
        <f t="shared" si="65"/>
        <v/>
      </c>
      <c r="AL468" s="211">
        <v>15999901</v>
      </c>
      <c r="AM468" s="211"/>
      <c r="AN468" s="211"/>
      <c r="AO468" s="211"/>
      <c r="AP468" s="211"/>
      <c r="AQ468" s="211"/>
      <c r="AR468" s="211"/>
      <c r="AS468" s="211"/>
      <c r="AT468" s="211"/>
      <c r="AU468" s="211"/>
      <c r="AV468" s="211"/>
      <c r="AW468" s="211"/>
      <c r="AX468" s="211"/>
      <c r="AY468" s="211"/>
      <c r="AZ468" s="211"/>
      <c r="BA468" s="211"/>
      <c r="BB468" s="211"/>
      <c r="BC468" s="211"/>
      <c r="BD468" s="333">
        <v>42866</v>
      </c>
      <c r="BE468" s="82">
        <f t="shared" si="66"/>
        <v>15999901</v>
      </c>
      <c r="BF468" s="13"/>
      <c r="BG468" s="1"/>
    </row>
    <row r="469" spans="1:59" s="54" customFormat="1" ht="30.6" hidden="1" x14ac:dyDescent="0.3">
      <c r="A469" s="56"/>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197">
        <f>+'Base de Datos'!I469</f>
        <v>12706080</v>
      </c>
      <c r="G469" s="196">
        <f>+'Base de Datos'!M469</f>
        <v>42705</v>
      </c>
      <c r="H469" s="196">
        <f>+'Base de Datos'!N469</f>
        <v>42736</v>
      </c>
      <c r="I469" s="196"/>
      <c r="J469" s="158"/>
      <c r="K469" s="333"/>
      <c r="L469" s="211"/>
      <c r="M469" s="336"/>
      <c r="N469" s="158"/>
      <c r="O469" s="333"/>
      <c r="P469" s="158"/>
      <c r="Q469" s="338"/>
      <c r="R469" s="81">
        <f t="shared" si="59"/>
        <v>0</v>
      </c>
      <c r="S469" s="258"/>
      <c r="T469" s="333"/>
      <c r="U469" s="158"/>
      <c r="V469" s="333"/>
      <c r="W469" s="158"/>
      <c r="X469" s="333"/>
      <c r="Y469" s="158"/>
      <c r="Z469" s="333"/>
      <c r="AA469" s="326"/>
      <c r="AB469" s="1004" t="str">
        <f t="shared" si="60"/>
        <v/>
      </c>
      <c r="AC469" s="1082" t="str">
        <f t="shared" si="61"/>
        <v/>
      </c>
      <c r="AD469" s="1077"/>
      <c r="AE469" s="1077"/>
      <c r="AF469" s="1084" t="str">
        <f t="shared" si="62"/>
        <v/>
      </c>
      <c r="AG469" s="1082" t="str">
        <f t="shared" si="63"/>
        <v/>
      </c>
      <c r="AH469" s="1091"/>
      <c r="AI469" s="1087"/>
      <c r="AJ469" s="1084" t="str">
        <f t="shared" si="64"/>
        <v/>
      </c>
      <c r="AK469" s="1083" t="str">
        <f t="shared" si="65"/>
        <v/>
      </c>
      <c r="AL469" s="211">
        <v>12706032</v>
      </c>
      <c r="AM469" s="211"/>
      <c r="AN469" s="211"/>
      <c r="AO469" s="211"/>
      <c r="AP469" s="211"/>
      <c r="AQ469" s="211"/>
      <c r="AR469" s="211"/>
      <c r="AS469" s="211"/>
      <c r="AT469" s="211"/>
      <c r="AU469" s="211"/>
      <c r="AV469" s="211"/>
      <c r="AW469" s="211"/>
      <c r="AX469" s="211"/>
      <c r="AY469" s="211"/>
      <c r="AZ469" s="211"/>
      <c r="BA469" s="211"/>
      <c r="BB469" s="211"/>
      <c r="BC469" s="211"/>
      <c r="BD469" s="333"/>
      <c r="BE469" s="82">
        <f t="shared" si="66"/>
        <v>12706032</v>
      </c>
      <c r="BF469" s="13"/>
      <c r="BG469" s="1"/>
    </row>
    <row r="470" spans="1:59" s="54" customFormat="1" ht="20.399999999999999" hidden="1" x14ac:dyDescent="0.3">
      <c r="A470" s="56"/>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197">
        <f>+'Base de Datos'!I470</f>
        <v>35851660</v>
      </c>
      <c r="G470" s="196">
        <f>+'Base de Datos'!M470</f>
        <v>42710</v>
      </c>
      <c r="H470" s="196">
        <f>+'Base de Datos'!N470</f>
        <v>42831</v>
      </c>
      <c r="I470" s="196"/>
      <c r="J470" s="158"/>
      <c r="K470" s="333"/>
      <c r="L470" s="211"/>
      <c r="M470" s="336"/>
      <c r="N470" s="158"/>
      <c r="O470" s="333"/>
      <c r="P470" s="158"/>
      <c r="Q470" s="338"/>
      <c r="R470" s="81">
        <f t="shared" si="59"/>
        <v>0</v>
      </c>
      <c r="S470" s="258"/>
      <c r="T470" s="333"/>
      <c r="U470" s="158"/>
      <c r="V470" s="333"/>
      <c r="W470" s="158"/>
      <c r="X470" s="333"/>
      <c r="Y470" s="158"/>
      <c r="Z470" s="333"/>
      <c r="AA470" s="326"/>
      <c r="AB470" s="1004" t="str">
        <f t="shared" si="60"/>
        <v/>
      </c>
      <c r="AC470" s="1082" t="str">
        <f t="shared" si="61"/>
        <v/>
      </c>
      <c r="AD470" s="1077"/>
      <c r="AE470" s="1077"/>
      <c r="AF470" s="1084" t="str">
        <f t="shared" si="62"/>
        <v/>
      </c>
      <c r="AG470" s="1082" t="str">
        <f t="shared" si="63"/>
        <v/>
      </c>
      <c r="AH470" s="1091"/>
      <c r="AI470" s="1087"/>
      <c r="AJ470" s="1084" t="str">
        <f t="shared" si="64"/>
        <v/>
      </c>
      <c r="AK470" s="1083" t="str">
        <f t="shared" si="65"/>
        <v/>
      </c>
      <c r="AL470" s="211">
        <v>9514479</v>
      </c>
      <c r="AM470" s="211">
        <v>13651209</v>
      </c>
      <c r="AN470" s="211">
        <v>3033609</v>
      </c>
      <c r="AO470" s="211"/>
      <c r="AP470" s="211">
        <v>1792583</v>
      </c>
      <c r="AQ470" s="211">
        <v>137890</v>
      </c>
      <c r="AR470" s="211"/>
      <c r="AS470" s="211"/>
      <c r="AT470" s="211"/>
      <c r="AU470" s="211"/>
      <c r="AV470" s="211"/>
      <c r="AW470" s="211"/>
      <c r="AX470" s="211"/>
      <c r="AY470" s="211"/>
      <c r="AZ470" s="211"/>
      <c r="BA470" s="211"/>
      <c r="BB470" s="211"/>
      <c r="BC470" s="211"/>
      <c r="BD470" s="333">
        <v>42921</v>
      </c>
      <c r="BE470" s="82">
        <f t="shared" si="66"/>
        <v>28129770</v>
      </c>
      <c r="BF470" s="13"/>
      <c r="BG470" s="1"/>
    </row>
    <row r="471" spans="1:59" s="54" customFormat="1" ht="30.6" hidden="1" x14ac:dyDescent="0.3">
      <c r="A471" s="56"/>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197">
        <f>+'Base de Datos'!I471</f>
        <v>6860000</v>
      </c>
      <c r="G471" s="196">
        <f>+'Base de Datos'!M471</f>
        <v>42717</v>
      </c>
      <c r="H471" s="196">
        <f>+'Base de Datos'!N471</f>
        <v>42779</v>
      </c>
      <c r="I471" s="196"/>
      <c r="J471" s="158"/>
      <c r="K471" s="333"/>
      <c r="L471" s="211"/>
      <c r="M471" s="336"/>
      <c r="N471" s="158"/>
      <c r="O471" s="333"/>
      <c r="P471" s="158"/>
      <c r="Q471" s="338"/>
      <c r="R471" s="81">
        <f t="shared" si="59"/>
        <v>0</v>
      </c>
      <c r="S471" s="258"/>
      <c r="T471" s="333"/>
      <c r="U471" s="158"/>
      <c r="V471" s="333"/>
      <c r="W471" s="158"/>
      <c r="X471" s="333"/>
      <c r="Y471" s="158"/>
      <c r="Z471" s="333"/>
      <c r="AA471" s="326"/>
      <c r="AB471" s="1004" t="str">
        <f t="shared" si="60"/>
        <v/>
      </c>
      <c r="AC471" s="1082" t="str">
        <f t="shared" si="61"/>
        <v/>
      </c>
      <c r="AD471" s="1077"/>
      <c r="AE471" s="1077"/>
      <c r="AF471" s="1084" t="str">
        <f t="shared" si="62"/>
        <v/>
      </c>
      <c r="AG471" s="1082" t="str">
        <f t="shared" si="63"/>
        <v/>
      </c>
      <c r="AH471" s="1091"/>
      <c r="AI471" s="1087"/>
      <c r="AJ471" s="1084" t="str">
        <f t="shared" si="64"/>
        <v/>
      </c>
      <c r="AK471" s="1083" t="str">
        <f t="shared" si="65"/>
        <v/>
      </c>
      <c r="AL471" s="211">
        <v>6860000</v>
      </c>
      <c r="AM471" s="211"/>
      <c r="AN471" s="211"/>
      <c r="AO471" s="211"/>
      <c r="AP471" s="211"/>
      <c r="AQ471" s="211"/>
      <c r="AR471" s="211"/>
      <c r="AS471" s="211"/>
      <c r="AT471" s="211"/>
      <c r="AU471" s="211"/>
      <c r="AV471" s="211"/>
      <c r="AW471" s="211"/>
      <c r="AX471" s="211"/>
      <c r="AY471" s="211"/>
      <c r="AZ471" s="211"/>
      <c r="BA471" s="211"/>
      <c r="BB471" s="211"/>
      <c r="BC471" s="211"/>
      <c r="BD471" s="333">
        <v>42788</v>
      </c>
      <c r="BE471" s="82">
        <f t="shared" si="66"/>
        <v>6860000</v>
      </c>
      <c r="BF471" s="13"/>
      <c r="BG471" s="1"/>
    </row>
    <row r="472" spans="1:59" s="54" customFormat="1" ht="20.399999999999999" hidden="1" x14ac:dyDescent="0.3">
      <c r="A472" s="56"/>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197">
        <f>+'Base de Datos'!I472</f>
        <v>21312104</v>
      </c>
      <c r="G472" s="196">
        <f>+'Base de Datos'!M472</f>
        <v>42711</v>
      </c>
      <c r="H472" s="196">
        <f>+'Base de Datos'!N472</f>
        <v>42719</v>
      </c>
      <c r="I472" s="196"/>
      <c r="J472" s="158"/>
      <c r="K472" s="333"/>
      <c r="L472" s="211"/>
      <c r="M472" s="336"/>
      <c r="N472" s="158"/>
      <c r="O472" s="333"/>
      <c r="P472" s="158"/>
      <c r="Q472" s="338"/>
      <c r="R472" s="81">
        <f t="shared" si="59"/>
        <v>0</v>
      </c>
      <c r="S472" s="258"/>
      <c r="T472" s="333"/>
      <c r="U472" s="158"/>
      <c r="V472" s="333"/>
      <c r="W472" s="158"/>
      <c r="X472" s="333"/>
      <c r="Y472" s="158"/>
      <c r="Z472" s="333"/>
      <c r="AA472" s="326"/>
      <c r="AB472" s="1004" t="str">
        <f t="shared" si="60"/>
        <v/>
      </c>
      <c r="AC472" s="1082" t="str">
        <f t="shared" si="61"/>
        <v/>
      </c>
      <c r="AD472" s="1077"/>
      <c r="AE472" s="1077"/>
      <c r="AF472" s="1084" t="str">
        <f t="shared" si="62"/>
        <v/>
      </c>
      <c r="AG472" s="1082" t="str">
        <f t="shared" si="63"/>
        <v/>
      </c>
      <c r="AH472" s="1091"/>
      <c r="AI472" s="1087"/>
      <c r="AJ472" s="1084" t="str">
        <f t="shared" si="64"/>
        <v/>
      </c>
      <c r="AK472" s="1083" t="str">
        <f t="shared" si="65"/>
        <v/>
      </c>
      <c r="AL472" s="211">
        <v>21312104</v>
      </c>
      <c r="AM472" s="211"/>
      <c r="AN472" s="211"/>
      <c r="AO472" s="211"/>
      <c r="AP472" s="211"/>
      <c r="AQ472" s="211"/>
      <c r="AR472" s="211"/>
      <c r="AS472" s="211"/>
      <c r="AT472" s="211"/>
      <c r="AU472" s="211"/>
      <c r="AV472" s="211"/>
      <c r="AW472" s="211"/>
      <c r="AX472" s="211"/>
      <c r="AY472" s="211"/>
      <c r="AZ472" s="211"/>
      <c r="BA472" s="211"/>
      <c r="BB472" s="211"/>
      <c r="BC472" s="211"/>
      <c r="BD472" s="333">
        <v>42724</v>
      </c>
      <c r="BE472" s="82">
        <f t="shared" si="66"/>
        <v>21312104</v>
      </c>
      <c r="BF472" s="13"/>
      <c r="BG472" s="1"/>
    </row>
    <row r="473" spans="1:59" s="54" customFormat="1" ht="30.6" hidden="1" x14ac:dyDescent="0.3">
      <c r="A473" s="56"/>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197">
        <f>+'Base de Datos'!I473</f>
        <v>1800000</v>
      </c>
      <c r="G473" s="196">
        <f>+'Base de Datos'!M473</f>
        <v>42713</v>
      </c>
      <c r="H473" s="196">
        <f>+'Base de Datos'!N473</f>
        <v>42744</v>
      </c>
      <c r="I473" s="196"/>
      <c r="J473" s="158"/>
      <c r="K473" s="333"/>
      <c r="L473" s="211"/>
      <c r="M473" s="336"/>
      <c r="N473" s="158"/>
      <c r="O473" s="333"/>
      <c r="P473" s="158"/>
      <c r="Q473" s="338"/>
      <c r="R473" s="81">
        <f t="shared" si="59"/>
        <v>0</v>
      </c>
      <c r="S473" s="258"/>
      <c r="T473" s="333"/>
      <c r="U473" s="158"/>
      <c r="V473" s="333"/>
      <c r="W473" s="158"/>
      <c r="X473" s="333"/>
      <c r="Y473" s="158"/>
      <c r="Z473" s="333"/>
      <c r="AA473" s="326"/>
      <c r="AB473" s="1004" t="str">
        <f t="shared" si="60"/>
        <v/>
      </c>
      <c r="AC473" s="1082" t="str">
        <f t="shared" si="61"/>
        <v/>
      </c>
      <c r="AD473" s="1077"/>
      <c r="AE473" s="1077"/>
      <c r="AF473" s="1084" t="str">
        <f t="shared" si="62"/>
        <v/>
      </c>
      <c r="AG473" s="1082" t="str">
        <f t="shared" si="63"/>
        <v/>
      </c>
      <c r="AH473" s="1091"/>
      <c r="AI473" s="1087"/>
      <c r="AJ473" s="1084" t="str">
        <f t="shared" si="64"/>
        <v/>
      </c>
      <c r="AK473" s="1083" t="str">
        <f t="shared" si="65"/>
        <v/>
      </c>
      <c r="AL473" s="211">
        <v>1800000</v>
      </c>
      <c r="AM473" s="211"/>
      <c r="AN473" s="211"/>
      <c r="AO473" s="211"/>
      <c r="AP473" s="211"/>
      <c r="AQ473" s="211"/>
      <c r="AR473" s="211"/>
      <c r="AS473" s="211"/>
      <c r="AT473" s="211"/>
      <c r="AU473" s="211"/>
      <c r="AV473" s="211"/>
      <c r="AW473" s="211"/>
      <c r="AX473" s="211"/>
      <c r="AY473" s="211"/>
      <c r="AZ473" s="211"/>
      <c r="BA473" s="211"/>
      <c r="BB473" s="211"/>
      <c r="BC473" s="211"/>
      <c r="BD473" s="333">
        <v>42772</v>
      </c>
      <c r="BE473" s="82">
        <f t="shared" si="66"/>
        <v>1800000</v>
      </c>
      <c r="BF473" s="13"/>
      <c r="BG473" s="1"/>
    </row>
    <row r="474" spans="1:59" s="54" customFormat="1" ht="51" hidden="1" x14ac:dyDescent="0.3">
      <c r="A474" s="56"/>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197">
        <f>+'Base de Datos'!I474</f>
        <v>3000000</v>
      </c>
      <c r="G474" s="196">
        <f>+'Base de Datos'!M474</f>
        <v>42726</v>
      </c>
      <c r="H474" s="196">
        <f>+'Base de Datos'!N474</f>
        <v>42847</v>
      </c>
      <c r="I474" s="196"/>
      <c r="J474" s="158"/>
      <c r="K474" s="333"/>
      <c r="L474" s="211"/>
      <c r="M474" s="336"/>
      <c r="N474" s="158"/>
      <c r="O474" s="333"/>
      <c r="P474" s="158"/>
      <c r="Q474" s="338"/>
      <c r="R474" s="81">
        <f t="shared" si="59"/>
        <v>0</v>
      </c>
      <c r="S474" s="258"/>
      <c r="T474" s="333"/>
      <c r="U474" s="158"/>
      <c r="V474" s="333"/>
      <c r="W474" s="158"/>
      <c r="X474" s="333"/>
      <c r="Y474" s="158"/>
      <c r="Z474" s="333"/>
      <c r="AA474" s="326"/>
      <c r="AB474" s="1004" t="str">
        <f t="shared" si="60"/>
        <v/>
      </c>
      <c r="AC474" s="1082" t="str">
        <f t="shared" si="61"/>
        <v/>
      </c>
      <c r="AD474" s="1077"/>
      <c r="AE474" s="1077"/>
      <c r="AF474" s="1084" t="str">
        <f t="shared" si="62"/>
        <v/>
      </c>
      <c r="AG474" s="1082" t="str">
        <f t="shared" si="63"/>
        <v/>
      </c>
      <c r="AH474" s="1091"/>
      <c r="AI474" s="1087"/>
      <c r="AJ474" s="1084" t="str">
        <f t="shared" si="64"/>
        <v/>
      </c>
      <c r="AK474" s="1083" t="str">
        <f t="shared" si="65"/>
        <v/>
      </c>
      <c r="AL474" s="211">
        <v>2462930</v>
      </c>
      <c r="AM474" s="211"/>
      <c r="AN474" s="211"/>
      <c r="AO474" s="211"/>
      <c r="AP474" s="211"/>
      <c r="AQ474" s="211"/>
      <c r="AR474" s="211"/>
      <c r="AS474" s="211"/>
      <c r="AT474" s="211"/>
      <c r="AU474" s="211"/>
      <c r="AV474" s="211"/>
      <c r="AW474" s="211"/>
      <c r="AX474" s="211"/>
      <c r="AY474" s="211"/>
      <c r="AZ474" s="211"/>
      <c r="BA474" s="211"/>
      <c r="BB474" s="211"/>
      <c r="BC474" s="211"/>
      <c r="BD474" s="333">
        <v>42955</v>
      </c>
      <c r="BE474" s="82">
        <f t="shared" si="66"/>
        <v>2462930</v>
      </c>
      <c r="BF474" s="13"/>
      <c r="BG474" s="1"/>
    </row>
    <row r="475" spans="1:59" s="54" customFormat="1" ht="30.6" hidden="1" x14ac:dyDescent="0.3">
      <c r="A475" s="56"/>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197">
        <f>+'Base de Datos'!I475</f>
        <v>64285000</v>
      </c>
      <c r="G475" s="196">
        <f>+'Base de Datos'!M475</f>
        <v>42730</v>
      </c>
      <c r="H475" s="196">
        <f>+'Base de Datos'!N475</f>
        <v>42797</v>
      </c>
      <c r="I475" s="196"/>
      <c r="J475" s="158">
        <v>18000000</v>
      </c>
      <c r="K475" s="333">
        <v>42797</v>
      </c>
      <c r="L475" s="211"/>
      <c r="M475" s="336"/>
      <c r="N475" s="158"/>
      <c r="O475" s="333"/>
      <c r="P475" s="158"/>
      <c r="Q475" s="338"/>
      <c r="R475" s="81">
        <f t="shared" si="59"/>
        <v>18000000</v>
      </c>
      <c r="S475" s="258" t="s">
        <v>381</v>
      </c>
      <c r="T475" s="333">
        <v>42828</v>
      </c>
      <c r="U475" s="158"/>
      <c r="V475" s="333"/>
      <c r="W475" s="158"/>
      <c r="X475" s="333"/>
      <c r="Y475" s="158"/>
      <c r="Z475" s="333"/>
      <c r="AA475" s="326" t="s">
        <v>381</v>
      </c>
      <c r="AB475" s="1004">
        <f t="shared" si="60"/>
        <v>42828</v>
      </c>
      <c r="AC475" s="1082" t="str">
        <f t="shared" si="61"/>
        <v/>
      </c>
      <c r="AD475" s="1077"/>
      <c r="AE475" s="1077"/>
      <c r="AF475" s="1084" t="str">
        <f t="shared" si="62"/>
        <v/>
      </c>
      <c r="AG475" s="1082" t="str">
        <f t="shared" si="63"/>
        <v/>
      </c>
      <c r="AH475" s="1091"/>
      <c r="AI475" s="1087"/>
      <c r="AJ475" s="1084" t="str">
        <f t="shared" si="64"/>
        <v/>
      </c>
      <c r="AK475" s="1083" t="str">
        <f t="shared" si="65"/>
        <v/>
      </c>
      <c r="AL475" s="211">
        <v>20271298</v>
      </c>
      <c r="AM475" s="211">
        <v>42085850</v>
      </c>
      <c r="AN475" s="211">
        <v>14995010</v>
      </c>
      <c r="AO475" s="211"/>
      <c r="AP475" s="211"/>
      <c r="AQ475" s="211"/>
      <c r="AR475" s="211"/>
      <c r="AS475" s="211"/>
      <c r="AT475" s="211"/>
      <c r="AU475" s="211"/>
      <c r="AV475" s="211"/>
      <c r="AW475" s="211"/>
      <c r="AX475" s="211"/>
      <c r="AY475" s="211"/>
      <c r="AZ475" s="211"/>
      <c r="BA475" s="211"/>
      <c r="BB475" s="211"/>
      <c r="BC475" s="211"/>
      <c r="BD475" s="333">
        <v>42877</v>
      </c>
      <c r="BE475" s="82">
        <f t="shared" si="66"/>
        <v>77352158</v>
      </c>
      <c r="BF475" s="13"/>
      <c r="BG475" s="1"/>
    </row>
    <row r="476" spans="1:59" s="54" customFormat="1" ht="20.399999999999999" hidden="1" x14ac:dyDescent="0.3">
      <c r="A476" s="56"/>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197">
        <f>+'Base de Datos'!I476</f>
        <v>400000000</v>
      </c>
      <c r="G476" s="196">
        <f>+'Base de Datos'!M476</f>
        <v>42752</v>
      </c>
      <c r="H476" s="196">
        <f>+'Base de Datos'!N476</f>
        <v>42826</v>
      </c>
      <c r="I476" s="196"/>
      <c r="J476" s="158"/>
      <c r="K476" s="333"/>
      <c r="L476" s="211"/>
      <c r="M476" s="336"/>
      <c r="N476" s="158"/>
      <c r="O476" s="333"/>
      <c r="P476" s="158"/>
      <c r="Q476" s="338"/>
      <c r="R476" s="81">
        <f t="shared" si="59"/>
        <v>0</v>
      </c>
      <c r="S476" s="820" t="s">
        <v>2920</v>
      </c>
      <c r="T476" s="333">
        <v>42871</v>
      </c>
      <c r="U476" s="158" t="s">
        <v>381</v>
      </c>
      <c r="V476" s="333">
        <v>42903</v>
      </c>
      <c r="W476" s="158" t="s">
        <v>2975</v>
      </c>
      <c r="X476" s="333">
        <v>42933</v>
      </c>
      <c r="Y476" s="158"/>
      <c r="Z476" s="333"/>
      <c r="AA476" s="820" t="s">
        <v>2976</v>
      </c>
      <c r="AB476" s="1004">
        <f t="shared" si="60"/>
        <v>42933</v>
      </c>
      <c r="AC476" s="1082" t="str">
        <f t="shared" si="61"/>
        <v/>
      </c>
      <c r="AD476" s="1077"/>
      <c r="AE476" s="1077"/>
      <c r="AF476" s="1084" t="str">
        <f t="shared" si="62"/>
        <v/>
      </c>
      <c r="AG476" s="1082" t="str">
        <f t="shared" si="63"/>
        <v/>
      </c>
      <c r="AH476" s="1091"/>
      <c r="AI476" s="1087"/>
      <c r="AJ476" s="1084" t="str">
        <f t="shared" si="64"/>
        <v/>
      </c>
      <c r="AK476" s="1083" t="str">
        <f t="shared" si="65"/>
        <v/>
      </c>
      <c r="AL476" s="211">
        <v>56305890</v>
      </c>
      <c r="AM476" s="211">
        <v>291331728</v>
      </c>
      <c r="AN476" s="211">
        <v>47120025</v>
      </c>
      <c r="AO476" s="211">
        <v>5242281</v>
      </c>
      <c r="AP476" s="211"/>
      <c r="AQ476" s="211"/>
      <c r="AR476" s="211"/>
      <c r="AS476" s="211"/>
      <c r="AT476" s="211"/>
      <c r="AU476" s="211"/>
      <c r="AV476" s="211"/>
      <c r="AW476" s="211"/>
      <c r="AX476" s="211"/>
      <c r="AY476" s="211"/>
      <c r="AZ476" s="211"/>
      <c r="BA476" s="211"/>
      <c r="BB476" s="211"/>
      <c r="BC476" s="211"/>
      <c r="BD476" s="333">
        <v>42993</v>
      </c>
      <c r="BE476" s="82">
        <f t="shared" si="66"/>
        <v>399999924</v>
      </c>
      <c r="BF476" s="13"/>
      <c r="BG476" s="1"/>
    </row>
    <row r="477" spans="1:59" s="54" customFormat="1" ht="20.399999999999999" hidden="1" x14ac:dyDescent="0.3">
      <c r="A477" s="56"/>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197">
        <f>+'Base de Datos'!I477</f>
        <v>4499988</v>
      </c>
      <c r="G477" s="196">
        <f>+'Base de Datos'!M477</f>
        <v>42751</v>
      </c>
      <c r="H477" s="196">
        <f>+'Base de Datos'!N477</f>
        <v>42782</v>
      </c>
      <c r="I477" s="196"/>
      <c r="J477" s="158"/>
      <c r="K477" s="333"/>
      <c r="L477" s="211"/>
      <c r="M477" s="336"/>
      <c r="N477" s="158"/>
      <c r="O477" s="333"/>
      <c r="P477" s="158"/>
      <c r="Q477" s="338"/>
      <c r="R477" s="81">
        <f t="shared" si="59"/>
        <v>0</v>
      </c>
      <c r="S477" s="258"/>
      <c r="T477" s="333"/>
      <c r="U477" s="158"/>
      <c r="V477" s="333"/>
      <c r="W477" s="158"/>
      <c r="X477" s="333"/>
      <c r="Y477" s="158"/>
      <c r="Z477" s="333"/>
      <c r="AA477" s="326"/>
      <c r="AB477" s="1004" t="str">
        <f t="shared" si="60"/>
        <v/>
      </c>
      <c r="AC477" s="1082" t="str">
        <f t="shared" si="61"/>
        <v/>
      </c>
      <c r="AD477" s="1077"/>
      <c r="AE477" s="1077"/>
      <c r="AF477" s="1084" t="str">
        <f t="shared" si="62"/>
        <v/>
      </c>
      <c r="AG477" s="1082" t="str">
        <f t="shared" si="63"/>
        <v/>
      </c>
      <c r="AH477" s="1091"/>
      <c r="AI477" s="1087"/>
      <c r="AJ477" s="1084" t="str">
        <f t="shared" si="64"/>
        <v/>
      </c>
      <c r="AK477" s="1083" t="str">
        <f t="shared" si="65"/>
        <v/>
      </c>
      <c r="AL477" s="211">
        <v>4499988</v>
      </c>
      <c r="AM477" s="211"/>
      <c r="AN477" s="211"/>
      <c r="AO477" s="211"/>
      <c r="AP477" s="211"/>
      <c r="AQ477" s="211"/>
      <c r="AR477" s="211"/>
      <c r="AS477" s="211"/>
      <c r="AT477" s="211"/>
      <c r="AU477" s="211"/>
      <c r="AV477" s="211"/>
      <c r="AW477" s="211"/>
      <c r="AX477" s="211"/>
      <c r="AY477" s="211"/>
      <c r="AZ477" s="211"/>
      <c r="BA477" s="211"/>
      <c r="BB477" s="211"/>
      <c r="BC477" s="211"/>
      <c r="BD477" s="333">
        <v>42789</v>
      </c>
      <c r="BE477" s="82">
        <f t="shared" si="66"/>
        <v>4499988</v>
      </c>
      <c r="BF477" s="13"/>
      <c r="BG477" s="1"/>
    </row>
    <row r="478" spans="1:59" s="54" customFormat="1" ht="20.399999999999999" hidden="1" x14ac:dyDescent="0.3">
      <c r="A478" s="56"/>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197">
        <f>+'Base de Datos'!I478</f>
        <v>495119</v>
      </c>
      <c r="G478" s="196">
        <f>+'Base de Datos'!M478</f>
        <v>42745</v>
      </c>
      <c r="H478" s="196">
        <f>+'Base de Datos'!N478</f>
        <v>43110</v>
      </c>
      <c r="I478" s="196"/>
      <c r="J478" s="158"/>
      <c r="K478" s="333"/>
      <c r="L478" s="211"/>
      <c r="M478" s="336"/>
      <c r="N478" s="158"/>
      <c r="O478" s="333"/>
      <c r="P478" s="158"/>
      <c r="Q478" s="338"/>
      <c r="R478" s="81">
        <f t="shared" si="59"/>
        <v>0</v>
      </c>
      <c r="S478" s="258"/>
      <c r="T478" s="333"/>
      <c r="U478" s="158"/>
      <c r="V478" s="333"/>
      <c r="W478" s="158"/>
      <c r="X478" s="333"/>
      <c r="Y478" s="158"/>
      <c r="Z478" s="333"/>
      <c r="AA478" s="326"/>
      <c r="AB478" s="1004" t="str">
        <f t="shared" si="60"/>
        <v/>
      </c>
      <c r="AC478" s="1082" t="str">
        <f t="shared" si="61"/>
        <v/>
      </c>
      <c r="AD478" s="1077"/>
      <c r="AE478" s="1077"/>
      <c r="AF478" s="1084" t="str">
        <f t="shared" si="62"/>
        <v/>
      </c>
      <c r="AG478" s="1082" t="str">
        <f t="shared" si="63"/>
        <v/>
      </c>
      <c r="AH478" s="1091"/>
      <c r="AI478" s="1087"/>
      <c r="AJ478" s="1084" t="str">
        <f t="shared" si="64"/>
        <v/>
      </c>
      <c r="AK478" s="1083" t="str">
        <f t="shared" si="65"/>
        <v/>
      </c>
      <c r="AL478" s="211">
        <v>426827</v>
      </c>
      <c r="AM478" s="211"/>
      <c r="AN478" s="211"/>
      <c r="AO478" s="211"/>
      <c r="AP478" s="211"/>
      <c r="AQ478" s="211"/>
      <c r="AR478" s="211"/>
      <c r="AS478" s="211"/>
      <c r="AT478" s="211"/>
      <c r="AU478" s="211"/>
      <c r="AV478" s="211"/>
      <c r="AW478" s="211"/>
      <c r="AX478" s="211"/>
      <c r="AY478" s="211"/>
      <c r="AZ478" s="211"/>
      <c r="BA478" s="211"/>
      <c r="BB478" s="211"/>
      <c r="BC478" s="211"/>
      <c r="BD478" s="333">
        <v>43061</v>
      </c>
      <c r="BE478" s="82">
        <f t="shared" si="66"/>
        <v>426827</v>
      </c>
      <c r="BF478" s="13"/>
      <c r="BG478" s="1"/>
    </row>
    <row r="479" spans="1:59" s="54" customFormat="1" ht="30.6" hidden="1" x14ac:dyDescent="0.3">
      <c r="A479" s="56"/>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197">
        <f>+'Base de Datos'!I479</f>
        <v>94318804</v>
      </c>
      <c r="G479" s="196">
        <f>+'Base de Datos'!M479</f>
        <v>42737</v>
      </c>
      <c r="H479" s="196">
        <f>+'Base de Datos'!N479</f>
        <v>42796</v>
      </c>
      <c r="I479" s="196"/>
      <c r="J479" s="158"/>
      <c r="K479" s="333"/>
      <c r="L479" s="211"/>
      <c r="M479" s="336"/>
      <c r="N479" s="158"/>
      <c r="O479" s="333"/>
      <c r="P479" s="158"/>
      <c r="Q479" s="338"/>
      <c r="R479" s="81">
        <f t="shared" si="59"/>
        <v>0</v>
      </c>
      <c r="S479" s="258"/>
      <c r="T479" s="333"/>
      <c r="U479" s="158"/>
      <c r="V479" s="333"/>
      <c r="W479" s="158"/>
      <c r="X479" s="333"/>
      <c r="Y479" s="158"/>
      <c r="Z479" s="333"/>
      <c r="AA479" s="326"/>
      <c r="AB479" s="1004" t="str">
        <f t="shared" si="60"/>
        <v/>
      </c>
      <c r="AC479" s="1082" t="str">
        <f t="shared" si="61"/>
        <v/>
      </c>
      <c r="AD479" s="1077"/>
      <c r="AE479" s="1077"/>
      <c r="AF479" s="1084" t="str">
        <f t="shared" si="62"/>
        <v/>
      </c>
      <c r="AG479" s="1082" t="str">
        <f t="shared" si="63"/>
        <v/>
      </c>
      <c r="AH479" s="1091"/>
      <c r="AI479" s="1087"/>
      <c r="AJ479" s="1084" t="str">
        <f t="shared" si="64"/>
        <v/>
      </c>
      <c r="AK479" s="1083" t="str">
        <f t="shared" si="65"/>
        <v/>
      </c>
      <c r="AL479" s="211">
        <v>66718804</v>
      </c>
      <c r="AM479" s="211"/>
      <c r="AN479" s="211"/>
      <c r="AO479" s="211"/>
      <c r="AP479" s="211"/>
      <c r="AQ479" s="211"/>
      <c r="AR479" s="211"/>
      <c r="AS479" s="211"/>
      <c r="AT479" s="211"/>
      <c r="AU479" s="211"/>
      <c r="AV479" s="211"/>
      <c r="AW479" s="211"/>
      <c r="AX479" s="211"/>
      <c r="AY479" s="211"/>
      <c r="AZ479" s="211"/>
      <c r="BA479" s="211"/>
      <c r="BB479" s="211"/>
      <c r="BC479" s="211"/>
      <c r="BD479" s="333">
        <v>42795</v>
      </c>
      <c r="BE479" s="82">
        <f t="shared" si="66"/>
        <v>66718804</v>
      </c>
      <c r="BF479" s="13"/>
      <c r="BG479" s="1"/>
    </row>
    <row r="480" spans="1:59" s="54" customFormat="1" ht="30.6" hidden="1" x14ac:dyDescent="0.3">
      <c r="A480" s="56"/>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197">
        <f>+'Base de Datos'!I480</f>
        <v>12250000</v>
      </c>
      <c r="G480" s="196">
        <f>+'Base de Datos'!M480</f>
        <v>42732</v>
      </c>
      <c r="H480" s="196">
        <f>+'Base de Datos'!N480</f>
        <v>42883</v>
      </c>
      <c r="I480" s="196"/>
      <c r="J480" s="158"/>
      <c r="K480" s="333"/>
      <c r="L480" s="211"/>
      <c r="M480" s="336"/>
      <c r="N480" s="158"/>
      <c r="O480" s="333"/>
      <c r="P480" s="158"/>
      <c r="Q480" s="338"/>
      <c r="R480" s="81">
        <f t="shared" si="59"/>
        <v>0</v>
      </c>
      <c r="S480" s="258"/>
      <c r="T480" s="333"/>
      <c r="U480" s="158"/>
      <c r="V480" s="333"/>
      <c r="W480" s="158"/>
      <c r="X480" s="333"/>
      <c r="Y480" s="158"/>
      <c r="Z480" s="333"/>
      <c r="AA480" s="326"/>
      <c r="AB480" s="1004" t="str">
        <f t="shared" si="60"/>
        <v/>
      </c>
      <c r="AC480" s="1082" t="str">
        <f t="shared" si="61"/>
        <v/>
      </c>
      <c r="AD480" s="1077"/>
      <c r="AE480" s="1077"/>
      <c r="AF480" s="1084" t="str">
        <f t="shared" si="62"/>
        <v/>
      </c>
      <c r="AG480" s="1082" t="str">
        <f t="shared" si="63"/>
        <v/>
      </c>
      <c r="AH480" s="1091"/>
      <c r="AI480" s="1087"/>
      <c r="AJ480" s="1084" t="str">
        <f t="shared" si="64"/>
        <v/>
      </c>
      <c r="AK480" s="1083" t="str">
        <f t="shared" si="65"/>
        <v/>
      </c>
      <c r="AL480" s="211">
        <v>3623000</v>
      </c>
      <c r="AM480" s="211"/>
      <c r="AN480" s="211"/>
      <c r="AO480" s="211"/>
      <c r="AP480" s="211"/>
      <c r="AQ480" s="211"/>
      <c r="AR480" s="211"/>
      <c r="AS480" s="211"/>
      <c r="AT480" s="211"/>
      <c r="AU480" s="211"/>
      <c r="AV480" s="211"/>
      <c r="AW480" s="211"/>
      <c r="AX480" s="211"/>
      <c r="AY480" s="211"/>
      <c r="AZ480" s="211"/>
      <c r="BA480" s="211"/>
      <c r="BB480" s="211"/>
      <c r="BC480" s="211"/>
      <c r="BD480" s="333">
        <v>42929</v>
      </c>
      <c r="BE480" s="82">
        <f t="shared" si="66"/>
        <v>3623000</v>
      </c>
      <c r="BF480" s="13"/>
      <c r="BG480" s="1"/>
    </row>
    <row r="481" spans="1:59" s="54" customFormat="1" ht="20.399999999999999" hidden="1" x14ac:dyDescent="0.3">
      <c r="A481" s="56"/>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197">
        <f>+'Base de Datos'!I481</f>
        <v>19667800</v>
      </c>
      <c r="G481" s="196">
        <f>+'Base de Datos'!M481</f>
        <v>42746</v>
      </c>
      <c r="H481" s="196">
        <f>+'Base de Datos'!N481</f>
        <v>42805</v>
      </c>
      <c r="I481" s="196"/>
      <c r="J481" s="158"/>
      <c r="K481" s="333"/>
      <c r="L481" s="211"/>
      <c r="M481" s="336"/>
      <c r="N481" s="158"/>
      <c r="O481" s="333"/>
      <c r="P481" s="158"/>
      <c r="Q481" s="338"/>
      <c r="R481" s="81">
        <f t="shared" si="59"/>
        <v>0</v>
      </c>
      <c r="S481" s="258"/>
      <c r="T481" s="333"/>
      <c r="U481" s="158"/>
      <c r="V481" s="333"/>
      <c r="W481" s="158"/>
      <c r="X481" s="333"/>
      <c r="Y481" s="158"/>
      <c r="Z481" s="333"/>
      <c r="AA481" s="326"/>
      <c r="AB481" s="1004" t="str">
        <f t="shared" si="60"/>
        <v/>
      </c>
      <c r="AC481" s="1082" t="str">
        <f t="shared" si="61"/>
        <v/>
      </c>
      <c r="AD481" s="1077"/>
      <c r="AE481" s="1077"/>
      <c r="AF481" s="1084" t="str">
        <f t="shared" si="62"/>
        <v/>
      </c>
      <c r="AG481" s="1082" t="str">
        <f t="shared" si="63"/>
        <v/>
      </c>
      <c r="AH481" s="1091"/>
      <c r="AI481" s="1087"/>
      <c r="AJ481" s="1084" t="str">
        <f t="shared" si="64"/>
        <v/>
      </c>
      <c r="AK481" s="1083" t="str">
        <f t="shared" si="65"/>
        <v/>
      </c>
      <c r="AL481" s="211">
        <v>19667800</v>
      </c>
      <c r="AM481" s="211"/>
      <c r="AN481" s="211"/>
      <c r="AO481" s="211"/>
      <c r="AP481" s="211"/>
      <c r="AQ481" s="211"/>
      <c r="AR481" s="211"/>
      <c r="AS481" s="211"/>
      <c r="AT481" s="211"/>
      <c r="AU481" s="211"/>
      <c r="AV481" s="211"/>
      <c r="AW481" s="211"/>
      <c r="AX481" s="211"/>
      <c r="AY481" s="211"/>
      <c r="AZ481" s="211"/>
      <c r="BA481" s="211"/>
      <c r="BB481" s="211"/>
      <c r="BC481" s="211"/>
      <c r="BD481" s="333">
        <v>42818</v>
      </c>
      <c r="BE481" s="82">
        <f t="shared" si="66"/>
        <v>19667800</v>
      </c>
      <c r="BF481" s="13"/>
      <c r="BG481" s="1"/>
    </row>
    <row r="482" spans="1:59" s="54" customFormat="1" hidden="1" x14ac:dyDescent="0.3">
      <c r="A482" s="56"/>
      <c r="B482" s="2" t="str">
        <f>+'Base de Datos'!E482</f>
        <v>160319-0-2016</v>
      </c>
      <c r="C482" s="2" t="str">
        <f>+'Base de Datos'!F482</f>
        <v>NEX COMPUTER SA</v>
      </c>
      <c r="D482" s="2">
        <f>+'Base de Datos'!G482</f>
        <v>830110570</v>
      </c>
      <c r="E482" s="2" t="str">
        <f>+'Base de Datos'!H482</f>
        <v>Adquisición de equipos de cómputo para el Concejo de Bogotá</v>
      </c>
      <c r="F482" s="197">
        <f>+'Base de Datos'!I482</f>
        <v>564700000</v>
      </c>
      <c r="G482" s="196">
        <f>+'Base de Datos'!M482</f>
        <v>42747</v>
      </c>
      <c r="H482" s="196">
        <f>+'Base de Datos'!N482</f>
        <v>42837</v>
      </c>
      <c r="I482" s="196"/>
      <c r="J482" s="158"/>
      <c r="K482" s="333"/>
      <c r="L482" s="211"/>
      <c r="M482" s="336"/>
      <c r="N482" s="158"/>
      <c r="O482" s="333"/>
      <c r="P482" s="158"/>
      <c r="Q482" s="338"/>
      <c r="R482" s="81">
        <f t="shared" si="59"/>
        <v>0</v>
      </c>
      <c r="S482" s="258"/>
      <c r="T482" s="333"/>
      <c r="U482" s="158"/>
      <c r="V482" s="333"/>
      <c r="W482" s="158"/>
      <c r="X482" s="333"/>
      <c r="Y482" s="158"/>
      <c r="Z482" s="333"/>
      <c r="AA482" s="326"/>
      <c r="AB482" s="1004" t="str">
        <f t="shared" si="60"/>
        <v/>
      </c>
      <c r="AC482" s="1082" t="str">
        <f t="shared" si="61"/>
        <v/>
      </c>
      <c r="AD482" s="1077"/>
      <c r="AE482" s="1077"/>
      <c r="AF482" s="1084" t="str">
        <f t="shared" si="62"/>
        <v/>
      </c>
      <c r="AG482" s="1082" t="str">
        <f t="shared" si="63"/>
        <v/>
      </c>
      <c r="AH482" s="1091"/>
      <c r="AI482" s="1087"/>
      <c r="AJ482" s="1084" t="str">
        <f t="shared" si="64"/>
        <v/>
      </c>
      <c r="AK482" s="1083" t="str">
        <f t="shared" si="65"/>
        <v/>
      </c>
      <c r="AL482" s="211">
        <v>561585401</v>
      </c>
      <c r="AM482" s="211"/>
      <c r="AN482" s="211"/>
      <c r="AO482" s="211"/>
      <c r="AP482" s="211"/>
      <c r="AQ482" s="211"/>
      <c r="AR482" s="211"/>
      <c r="AS482" s="211"/>
      <c r="AT482" s="211"/>
      <c r="AU482" s="211"/>
      <c r="AV482" s="211"/>
      <c r="AW482" s="211"/>
      <c r="AX482" s="211"/>
      <c r="AY482" s="211"/>
      <c r="AZ482" s="211"/>
      <c r="BA482" s="211"/>
      <c r="BB482" s="211"/>
      <c r="BC482" s="211"/>
      <c r="BD482" s="333">
        <v>42867</v>
      </c>
      <c r="BE482" s="82">
        <f t="shared" si="66"/>
        <v>561585401</v>
      </c>
      <c r="BF482" s="13"/>
      <c r="BG482" s="1"/>
    </row>
    <row r="483" spans="1:59" s="54" customFormat="1" hidden="1" x14ac:dyDescent="0.3">
      <c r="A483" s="56"/>
      <c r="B483" s="2" t="str">
        <f>+'Base de Datos'!E483</f>
        <v>160316-0-2016</v>
      </c>
      <c r="C483" s="2" t="str">
        <f>+'Base de Datos'!F483</f>
        <v>REDCOMPUTO  LTDA</v>
      </c>
      <c r="D483" s="2" t="str">
        <f>+'Base de Datos'!G483</f>
        <v>830016004-0</v>
      </c>
      <c r="E483" s="2" t="str">
        <f>+'Base de Datos'!H483</f>
        <v>Adquisición de servidores para el Concejo de Bogotá.</v>
      </c>
      <c r="F483" s="197">
        <f>+'Base de Datos'!I483</f>
        <v>46500000</v>
      </c>
      <c r="G483" s="196">
        <f>+'Base de Datos'!M483</f>
        <v>42751</v>
      </c>
      <c r="H483" s="196">
        <f>+'Base de Datos'!N483</f>
        <v>42871</v>
      </c>
      <c r="I483" s="196"/>
      <c r="J483" s="158"/>
      <c r="K483" s="333"/>
      <c r="L483" s="211"/>
      <c r="M483" s="336"/>
      <c r="N483" s="158"/>
      <c r="O483" s="333"/>
      <c r="P483" s="158"/>
      <c r="Q483" s="338"/>
      <c r="R483" s="81">
        <f t="shared" si="59"/>
        <v>0</v>
      </c>
      <c r="S483" s="258"/>
      <c r="T483" s="333"/>
      <c r="U483" s="158"/>
      <c r="V483" s="333"/>
      <c r="W483" s="158"/>
      <c r="X483" s="333"/>
      <c r="Y483" s="158"/>
      <c r="Z483" s="333"/>
      <c r="AA483" s="326"/>
      <c r="AB483" s="1004" t="str">
        <f t="shared" si="60"/>
        <v/>
      </c>
      <c r="AC483" s="1082" t="str">
        <f t="shared" si="61"/>
        <v/>
      </c>
      <c r="AD483" s="1077"/>
      <c r="AE483" s="1077"/>
      <c r="AF483" s="1084" t="str">
        <f t="shared" si="62"/>
        <v/>
      </c>
      <c r="AG483" s="1082" t="str">
        <f t="shared" si="63"/>
        <v/>
      </c>
      <c r="AH483" s="1091"/>
      <c r="AI483" s="1087"/>
      <c r="AJ483" s="1084" t="str">
        <f t="shared" si="64"/>
        <v/>
      </c>
      <c r="AK483" s="1083" t="str">
        <f t="shared" si="65"/>
        <v/>
      </c>
      <c r="AL483" s="211">
        <f>13950000+18600000</f>
        <v>32550000</v>
      </c>
      <c r="AM483" s="211"/>
      <c r="AN483" s="211">
        <v>13950000</v>
      </c>
      <c r="AO483" s="211"/>
      <c r="AP483" s="211"/>
      <c r="AQ483" s="211"/>
      <c r="AR483" s="211"/>
      <c r="AS483" s="211"/>
      <c r="AT483" s="211"/>
      <c r="AU483" s="211"/>
      <c r="AV483" s="211"/>
      <c r="AW483" s="211"/>
      <c r="AX483" s="211"/>
      <c r="AY483" s="211"/>
      <c r="AZ483" s="211"/>
      <c r="BA483" s="211"/>
      <c r="BB483" s="211"/>
      <c r="BC483" s="211"/>
      <c r="BD483" s="333">
        <v>42830</v>
      </c>
      <c r="BE483" s="82">
        <f t="shared" si="66"/>
        <v>46500000</v>
      </c>
      <c r="BF483" s="13"/>
      <c r="BG483" s="1"/>
    </row>
    <row r="484" spans="1:59" s="54" customFormat="1" ht="51" hidden="1" x14ac:dyDescent="0.3">
      <c r="A484" s="56"/>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197">
        <f>+'Base de Datos'!I484</f>
        <v>475686000</v>
      </c>
      <c r="G484" s="196">
        <f>+'Base de Datos'!M484</f>
        <v>42752</v>
      </c>
      <c r="H484" s="196">
        <f>+'Base de Datos'!N484</f>
        <v>42872</v>
      </c>
      <c r="I484" s="196"/>
      <c r="J484" s="158">
        <v>9520000</v>
      </c>
      <c r="K484" s="333">
        <v>42846</v>
      </c>
      <c r="L484" s="211"/>
      <c r="M484" s="336"/>
      <c r="N484" s="158"/>
      <c r="O484" s="333"/>
      <c r="P484" s="158"/>
      <c r="Q484" s="338"/>
      <c r="R484" s="81">
        <f t="shared" si="59"/>
        <v>9520000</v>
      </c>
      <c r="S484" s="258" t="s">
        <v>381</v>
      </c>
      <c r="T484" s="333">
        <v>42903</v>
      </c>
      <c r="U484" s="158"/>
      <c r="V484" s="333"/>
      <c r="W484" s="158"/>
      <c r="X484" s="333"/>
      <c r="Y484" s="158"/>
      <c r="Z484" s="333"/>
      <c r="AA484" s="326" t="s">
        <v>381</v>
      </c>
      <c r="AB484" s="1004">
        <f t="shared" si="60"/>
        <v>42903</v>
      </c>
      <c r="AC484" s="1082" t="str">
        <f t="shared" si="61"/>
        <v/>
      </c>
      <c r="AD484" s="1077"/>
      <c r="AE484" s="1077"/>
      <c r="AF484" s="1084" t="str">
        <f t="shared" si="62"/>
        <v/>
      </c>
      <c r="AG484" s="1082" t="str">
        <f t="shared" si="63"/>
        <v/>
      </c>
      <c r="AH484" s="1091"/>
      <c r="AI484" s="1087"/>
      <c r="AJ484" s="1084" t="str">
        <f t="shared" si="64"/>
        <v/>
      </c>
      <c r="AK484" s="1083" t="str">
        <f t="shared" si="65"/>
        <v/>
      </c>
      <c r="AL484" s="211">
        <v>68469143</v>
      </c>
      <c r="AM484" s="211"/>
      <c r="AN484" s="211"/>
      <c r="AO484" s="211">
        <v>279977639</v>
      </c>
      <c r="AP484" s="211">
        <v>47587828</v>
      </c>
      <c r="AQ484" s="211">
        <v>29429525</v>
      </c>
      <c r="AR484" s="211">
        <v>5965389</v>
      </c>
      <c r="AS484" s="211">
        <v>9520000</v>
      </c>
      <c r="AT484" s="211"/>
      <c r="AU484" s="211"/>
      <c r="AV484" s="211"/>
      <c r="AW484" s="211"/>
      <c r="AX484" s="211"/>
      <c r="AY484" s="211"/>
      <c r="AZ484" s="211"/>
      <c r="BA484" s="211"/>
      <c r="BB484" s="211"/>
      <c r="BC484" s="211"/>
      <c r="BD484" s="333">
        <v>43074</v>
      </c>
      <c r="BE484" s="82">
        <f t="shared" si="66"/>
        <v>440949524</v>
      </c>
      <c r="BF484" s="13"/>
      <c r="BG484" s="1"/>
    </row>
    <row r="485" spans="1:59" s="54" customFormat="1" ht="40.799999999999997" hidden="1" x14ac:dyDescent="0.3">
      <c r="A485" s="56"/>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197">
        <f>+'Base de Datos'!I485</f>
        <v>108273000</v>
      </c>
      <c r="G485" s="196">
        <f>+'Base de Datos'!M485</f>
        <v>42746</v>
      </c>
      <c r="H485" s="196">
        <f>+'Base de Datos'!N485</f>
        <v>42836</v>
      </c>
      <c r="I485" s="196"/>
      <c r="J485" s="158">
        <v>4338465</v>
      </c>
      <c r="K485" s="333">
        <v>42929</v>
      </c>
      <c r="L485" s="211"/>
      <c r="M485" s="336"/>
      <c r="N485" s="158"/>
      <c r="O485" s="333"/>
      <c r="P485" s="158"/>
      <c r="Q485" s="338"/>
      <c r="R485" s="81">
        <f t="shared" si="59"/>
        <v>4338465</v>
      </c>
      <c r="S485" s="258" t="s">
        <v>378</v>
      </c>
      <c r="T485" s="333">
        <v>42897</v>
      </c>
      <c r="U485" s="158" t="s">
        <v>985</v>
      </c>
      <c r="V485" s="333">
        <v>42916</v>
      </c>
      <c r="W485" s="158" t="s">
        <v>2240</v>
      </c>
      <c r="X485" s="333">
        <v>42930</v>
      </c>
      <c r="Y485" s="158"/>
      <c r="Z485" s="333"/>
      <c r="AA485" s="326" t="s">
        <v>2974</v>
      </c>
      <c r="AB485" s="1004">
        <f t="shared" si="60"/>
        <v>42930</v>
      </c>
      <c r="AC485" s="1082" t="str">
        <f t="shared" si="61"/>
        <v/>
      </c>
      <c r="AD485" s="1077"/>
      <c r="AE485" s="1077"/>
      <c r="AF485" s="1084" t="str">
        <f t="shared" si="62"/>
        <v/>
      </c>
      <c r="AG485" s="1082" t="str">
        <f t="shared" si="63"/>
        <v/>
      </c>
      <c r="AH485" s="1091"/>
      <c r="AI485" s="1087"/>
      <c r="AJ485" s="1084" t="str">
        <f t="shared" si="64"/>
        <v/>
      </c>
      <c r="AK485" s="1083" t="str">
        <f t="shared" si="65"/>
        <v/>
      </c>
      <c r="AL485" s="211">
        <v>56273000</v>
      </c>
      <c r="AM485" s="211">
        <v>52000000</v>
      </c>
      <c r="AN485" s="211"/>
      <c r="AO485" s="211">
        <v>4338465</v>
      </c>
      <c r="AP485" s="211"/>
      <c r="AQ485" s="211"/>
      <c r="AR485" s="211"/>
      <c r="AS485" s="211"/>
      <c r="AT485" s="211"/>
      <c r="AU485" s="211"/>
      <c r="AV485" s="211"/>
      <c r="AW485" s="211"/>
      <c r="AX485" s="211"/>
      <c r="AY485" s="211"/>
      <c r="AZ485" s="211"/>
      <c r="BA485" s="211"/>
      <c r="BB485" s="211"/>
      <c r="BC485" s="211"/>
      <c r="BD485" s="333">
        <v>43026</v>
      </c>
      <c r="BE485" s="82">
        <f t="shared" si="66"/>
        <v>112611465</v>
      </c>
      <c r="BF485" s="13"/>
      <c r="BG485" s="1"/>
    </row>
    <row r="486" spans="1:59" s="54" customFormat="1" ht="40.799999999999997" hidden="1" x14ac:dyDescent="0.3">
      <c r="A486" s="56"/>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197">
        <f>+'Base de Datos'!I486</f>
        <v>700000</v>
      </c>
      <c r="G486" s="196">
        <f>+'Base de Datos'!M486</f>
        <v>42761</v>
      </c>
      <c r="H486" s="196">
        <f>+'Base de Datos'!N486</f>
        <v>43004</v>
      </c>
      <c r="I486" s="196"/>
      <c r="J486" s="158"/>
      <c r="K486" s="333"/>
      <c r="L486" s="211"/>
      <c r="M486" s="336"/>
      <c r="N486" s="158"/>
      <c r="O486" s="333"/>
      <c r="P486" s="158"/>
      <c r="Q486" s="338"/>
      <c r="R486" s="81">
        <f t="shared" si="59"/>
        <v>0</v>
      </c>
      <c r="S486" s="258"/>
      <c r="T486" s="333"/>
      <c r="U486" s="158"/>
      <c r="V486" s="333"/>
      <c r="W486" s="158"/>
      <c r="X486" s="333"/>
      <c r="Y486" s="158"/>
      <c r="Z486" s="333"/>
      <c r="AA486" s="326"/>
      <c r="AB486" s="1004" t="str">
        <f t="shared" si="60"/>
        <v/>
      </c>
      <c r="AC486" s="1082" t="str">
        <f t="shared" si="61"/>
        <v/>
      </c>
      <c r="AD486" s="1077"/>
      <c r="AE486" s="1077"/>
      <c r="AF486" s="1084" t="str">
        <f t="shared" si="62"/>
        <v/>
      </c>
      <c r="AG486" s="1082" t="str">
        <f t="shared" si="63"/>
        <v/>
      </c>
      <c r="AH486" s="1091"/>
      <c r="AI486" s="1087"/>
      <c r="AJ486" s="1084" t="str">
        <f t="shared" si="64"/>
        <v/>
      </c>
      <c r="AK486" s="1083" t="str">
        <f t="shared" si="65"/>
        <v/>
      </c>
      <c r="AL486" s="211">
        <v>700000</v>
      </c>
      <c r="AM486" s="211"/>
      <c r="AN486" s="211"/>
      <c r="AO486" s="211"/>
      <c r="AP486" s="211"/>
      <c r="AQ486" s="211"/>
      <c r="AR486" s="211"/>
      <c r="AS486" s="211"/>
      <c r="AT486" s="211"/>
      <c r="AU486" s="211"/>
      <c r="AV486" s="211"/>
      <c r="AW486" s="211"/>
      <c r="AX486" s="211"/>
      <c r="AY486" s="211"/>
      <c r="AZ486" s="211"/>
      <c r="BA486" s="211"/>
      <c r="BB486" s="211"/>
      <c r="BC486" s="211"/>
      <c r="BD486" s="333"/>
      <c r="BE486" s="82">
        <f t="shared" si="66"/>
        <v>700000</v>
      </c>
      <c r="BF486" s="13"/>
      <c r="BG486" s="1"/>
    </row>
    <row r="487" spans="1:59" s="54" customFormat="1" hidden="1" x14ac:dyDescent="0.3">
      <c r="A487" s="56"/>
      <c r="B487" s="2" t="str">
        <f>+'Base de Datos'!E487</f>
        <v>170004-0-2017</v>
      </c>
      <c r="C487" s="2" t="str">
        <f>+'Base de Datos'!F487</f>
        <v>UT AUTOGAS GRUPO EDS</v>
      </c>
      <c r="D487" s="2">
        <f>+'Base de Datos'!G487</f>
        <v>900459737</v>
      </c>
      <c r="E487" s="2" t="str">
        <f>+'Base de Datos'!H487</f>
        <v>Suministro de combustible para el Concejo de Bogotá D.C.</v>
      </c>
      <c r="F487" s="197">
        <f>+'Base de Datos'!I487</f>
        <v>433000000</v>
      </c>
      <c r="G487" s="196">
        <f>+'Base de Datos'!M487</f>
        <v>42767</v>
      </c>
      <c r="H487" s="196">
        <f>+'Base de Datos'!N487</f>
        <v>43100</v>
      </c>
      <c r="I487" s="196"/>
      <c r="J487" s="158"/>
      <c r="K487" s="333"/>
      <c r="L487" s="211"/>
      <c r="M487" s="336"/>
      <c r="N487" s="158"/>
      <c r="O487" s="333"/>
      <c r="P487" s="158"/>
      <c r="Q487" s="338"/>
      <c r="R487" s="81">
        <f t="shared" si="59"/>
        <v>0</v>
      </c>
      <c r="S487" s="258" t="s">
        <v>1324</v>
      </c>
      <c r="T487" s="333">
        <v>43120</v>
      </c>
      <c r="U487" s="158"/>
      <c r="V487" s="333"/>
      <c r="W487" s="158"/>
      <c r="X487" s="333"/>
      <c r="Y487" s="158"/>
      <c r="Z487" s="333"/>
      <c r="AA487" s="326" t="s">
        <v>1324</v>
      </c>
      <c r="AB487" s="1004">
        <f t="shared" si="60"/>
        <v>43120</v>
      </c>
      <c r="AC487" s="1082" t="str">
        <f t="shared" si="61"/>
        <v/>
      </c>
      <c r="AD487" s="1077"/>
      <c r="AE487" s="1077"/>
      <c r="AF487" s="1084" t="str">
        <f t="shared" si="62"/>
        <v/>
      </c>
      <c r="AG487" s="1082" t="str">
        <f t="shared" si="63"/>
        <v/>
      </c>
      <c r="AH487" s="1091"/>
      <c r="AI487" s="1087"/>
      <c r="AJ487" s="1084" t="str">
        <f t="shared" si="64"/>
        <v/>
      </c>
      <c r="AK487" s="1083" t="str">
        <f t="shared" si="65"/>
        <v/>
      </c>
      <c r="AL487" s="211">
        <v>34761447</v>
      </c>
      <c r="AM487" s="211">
        <v>39025050</v>
      </c>
      <c r="AN487" s="211">
        <v>32775484</v>
      </c>
      <c r="AO487" s="211">
        <v>38628733</v>
      </c>
      <c r="AP487" s="211">
        <v>35299561</v>
      </c>
      <c r="AQ487" s="211">
        <v>34410948</v>
      </c>
      <c r="AR487" s="211">
        <v>39486677</v>
      </c>
      <c r="AS487" s="211">
        <v>39378764</v>
      </c>
      <c r="AT487" s="211">
        <v>37911133</v>
      </c>
      <c r="AU487" s="211">
        <v>39351909</v>
      </c>
      <c r="AV487" s="211">
        <v>36339738</v>
      </c>
      <c r="AW487" s="211">
        <v>20546100</v>
      </c>
      <c r="AX487" s="211"/>
      <c r="AY487" s="211"/>
      <c r="AZ487" s="211"/>
      <c r="BA487" s="211"/>
      <c r="BB487" s="211"/>
      <c r="BC487" s="211"/>
      <c r="BD487" s="333">
        <v>43152</v>
      </c>
      <c r="BE487" s="82">
        <f t="shared" si="66"/>
        <v>427915544</v>
      </c>
      <c r="BF487" s="13"/>
      <c r="BG487" s="1"/>
    </row>
    <row r="488" spans="1:59" s="54" customFormat="1" ht="51" hidden="1" x14ac:dyDescent="0.3">
      <c r="A488" s="56"/>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197">
        <f>+'Base de Datos'!I488</f>
        <v>4108908000</v>
      </c>
      <c r="G488" s="196">
        <f>+'Base de Datos'!M488</f>
        <v>42751</v>
      </c>
      <c r="H488" s="196">
        <f>+'Base de Datos'!N488</f>
        <v>43070</v>
      </c>
      <c r="I488" s="196"/>
      <c r="J488" s="158">
        <v>266119000</v>
      </c>
      <c r="K488" s="333">
        <v>43047</v>
      </c>
      <c r="L488" s="211"/>
      <c r="M488" s="336"/>
      <c r="N488" s="158"/>
      <c r="O488" s="333"/>
      <c r="P488" s="158"/>
      <c r="Q488" s="338"/>
      <c r="R488" s="81">
        <f t="shared" si="59"/>
        <v>266119000</v>
      </c>
      <c r="S488" s="258" t="s">
        <v>1323</v>
      </c>
      <c r="T488" s="333">
        <v>43100</v>
      </c>
      <c r="U488" s="158"/>
      <c r="V488" s="333"/>
      <c r="W488" s="158"/>
      <c r="X488" s="333"/>
      <c r="Y488" s="158"/>
      <c r="Z488" s="333"/>
      <c r="AA488" s="326" t="s">
        <v>1323</v>
      </c>
      <c r="AB488" s="1004">
        <f t="shared" si="60"/>
        <v>43100</v>
      </c>
      <c r="AC488" s="1082" t="str">
        <f t="shared" si="61"/>
        <v/>
      </c>
      <c r="AD488" s="1077"/>
      <c r="AE488" s="1077"/>
      <c r="AF488" s="1084" t="str">
        <f t="shared" si="62"/>
        <v/>
      </c>
      <c r="AG488" s="1082" t="str">
        <f t="shared" si="63"/>
        <v/>
      </c>
      <c r="AH488" s="1091"/>
      <c r="AI488" s="1087"/>
      <c r="AJ488" s="1084" t="str">
        <f t="shared" si="64"/>
        <v/>
      </c>
      <c r="AK488" s="1083" t="str">
        <f t="shared" si="65"/>
        <v/>
      </c>
      <c r="AL488" s="211">
        <v>1232672400</v>
      </c>
      <c r="AM488" s="211">
        <v>821781600</v>
      </c>
      <c r="AN488" s="211">
        <v>821781600</v>
      </c>
      <c r="AO488" s="211">
        <v>1232672400</v>
      </c>
      <c r="AP488" s="211">
        <v>239958165</v>
      </c>
      <c r="AQ488" s="211"/>
      <c r="AR488" s="211"/>
      <c r="AS488" s="211"/>
      <c r="AT488" s="211"/>
      <c r="AU488" s="211"/>
      <c r="AV488" s="211"/>
      <c r="AW488" s="211"/>
      <c r="AX488" s="211"/>
      <c r="AY488" s="211"/>
      <c r="AZ488" s="211"/>
      <c r="BA488" s="211"/>
      <c r="BB488" s="211"/>
      <c r="BC488" s="211"/>
      <c r="BD488" s="333">
        <v>43090</v>
      </c>
      <c r="BE488" s="82">
        <f t="shared" si="66"/>
        <v>4348866165</v>
      </c>
      <c r="BF488" s="13"/>
      <c r="BG488" s="1"/>
    </row>
    <row r="489" spans="1:59" s="54" customFormat="1" ht="61.2" hidden="1" x14ac:dyDescent="0.3">
      <c r="A489" s="56"/>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197">
        <f>+'Base de Datos'!I489</f>
        <v>400000000</v>
      </c>
      <c r="G489" s="196">
        <f>+'Base de Datos'!M489</f>
        <v>42773</v>
      </c>
      <c r="H489" s="196">
        <f>+'Base de Datos'!N489</f>
        <v>43046</v>
      </c>
      <c r="I489" s="196"/>
      <c r="J489" s="158"/>
      <c r="K489" s="333"/>
      <c r="L489" s="211"/>
      <c r="M489" s="336"/>
      <c r="N489" s="158"/>
      <c r="O489" s="333"/>
      <c r="P489" s="158"/>
      <c r="Q489" s="338"/>
      <c r="R489" s="81">
        <f t="shared" si="59"/>
        <v>0</v>
      </c>
      <c r="S489" s="258" t="s">
        <v>380</v>
      </c>
      <c r="T489" s="333">
        <v>43166</v>
      </c>
      <c r="U489" s="158" t="s">
        <v>381</v>
      </c>
      <c r="V489" s="333">
        <v>43197</v>
      </c>
      <c r="W489" s="158"/>
      <c r="X489" s="333"/>
      <c r="Y489" s="158"/>
      <c r="Z489" s="333"/>
      <c r="AA489" s="326" t="s">
        <v>544</v>
      </c>
      <c r="AB489" s="1004">
        <f t="shared" si="60"/>
        <v>43197</v>
      </c>
      <c r="AC489" s="1082" t="str">
        <f t="shared" si="61"/>
        <v/>
      </c>
      <c r="AD489" s="1077"/>
      <c r="AE489" s="1077"/>
      <c r="AF489" s="1084" t="str">
        <f t="shared" si="62"/>
        <v/>
      </c>
      <c r="AG489" s="1082" t="str">
        <f t="shared" si="63"/>
        <v/>
      </c>
      <c r="AH489" s="1091"/>
      <c r="AI489" s="1087"/>
      <c r="AJ489" s="1084" t="str">
        <f t="shared" si="64"/>
        <v/>
      </c>
      <c r="AK489" s="1083" t="str">
        <f t="shared" si="65"/>
        <v/>
      </c>
      <c r="AL489" s="211">
        <v>201962</v>
      </c>
      <c r="AM489" s="211">
        <v>6425070</v>
      </c>
      <c r="AN489" s="211">
        <v>5690972</v>
      </c>
      <c r="AO489" s="211">
        <v>93142669</v>
      </c>
      <c r="AP489" s="211">
        <v>3047040</v>
      </c>
      <c r="AQ489" s="211">
        <v>90291237</v>
      </c>
      <c r="AR489" s="211">
        <v>7732900</v>
      </c>
      <c r="AS489" s="211">
        <v>5297500</v>
      </c>
      <c r="AT489" s="211">
        <v>15731350</v>
      </c>
      <c r="AU489" s="211">
        <v>39946436</v>
      </c>
      <c r="AV489" s="211">
        <v>59026000</v>
      </c>
      <c r="AW489" s="211">
        <v>63612895</v>
      </c>
      <c r="AX489" s="211">
        <v>2542800</v>
      </c>
      <c r="AY489" s="211">
        <v>7302880</v>
      </c>
      <c r="AZ489" s="211"/>
      <c r="BA489" s="211"/>
      <c r="BB489" s="211"/>
      <c r="BC489" s="211"/>
      <c r="BD489" s="333">
        <v>43257</v>
      </c>
      <c r="BE489" s="82">
        <f t="shared" si="66"/>
        <v>399991711</v>
      </c>
      <c r="BF489" s="13"/>
      <c r="BG489" s="1"/>
    </row>
    <row r="490" spans="1:59" s="54" customFormat="1" ht="40.799999999999997" hidden="1" x14ac:dyDescent="0.3">
      <c r="A490" s="56"/>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197">
        <f>+'Base de Datos'!I490</f>
        <v>3860000</v>
      </c>
      <c r="G490" s="196">
        <f>+'Base de Datos'!M490</f>
        <v>42772</v>
      </c>
      <c r="H490" s="196">
        <f>+'Base de Datos'!N490</f>
        <v>42800</v>
      </c>
      <c r="I490" s="196"/>
      <c r="J490" s="158"/>
      <c r="K490" s="333"/>
      <c r="L490" s="211"/>
      <c r="M490" s="336"/>
      <c r="N490" s="158"/>
      <c r="O490" s="333"/>
      <c r="P490" s="158"/>
      <c r="Q490" s="338"/>
      <c r="R490" s="81">
        <f t="shared" si="59"/>
        <v>0</v>
      </c>
      <c r="S490" s="258"/>
      <c r="T490" s="333"/>
      <c r="U490" s="158"/>
      <c r="V490" s="333"/>
      <c r="W490" s="158"/>
      <c r="X490" s="333"/>
      <c r="Y490" s="158"/>
      <c r="Z490" s="333"/>
      <c r="AA490" s="326"/>
      <c r="AB490" s="1004" t="str">
        <f t="shared" si="60"/>
        <v/>
      </c>
      <c r="AC490" s="1082" t="str">
        <f t="shared" si="61"/>
        <v/>
      </c>
      <c r="AD490" s="1077"/>
      <c r="AE490" s="1077"/>
      <c r="AF490" s="1084" t="str">
        <f t="shared" si="62"/>
        <v/>
      </c>
      <c r="AG490" s="1082" t="str">
        <f t="shared" si="63"/>
        <v/>
      </c>
      <c r="AH490" s="1091"/>
      <c r="AI490" s="1087"/>
      <c r="AJ490" s="1084" t="str">
        <f t="shared" si="64"/>
        <v/>
      </c>
      <c r="AK490" s="1083" t="str">
        <f t="shared" si="65"/>
        <v/>
      </c>
      <c r="AL490" s="211">
        <v>3860000</v>
      </c>
      <c r="AM490" s="211"/>
      <c r="AN490" s="211"/>
      <c r="AO490" s="211"/>
      <c r="AP490" s="211"/>
      <c r="AQ490" s="211"/>
      <c r="AR490" s="211"/>
      <c r="AS490" s="211"/>
      <c r="AT490" s="211"/>
      <c r="AU490" s="211"/>
      <c r="AV490" s="211"/>
      <c r="AW490" s="211"/>
      <c r="AX490" s="211"/>
      <c r="AY490" s="211"/>
      <c r="AZ490" s="211"/>
      <c r="BA490" s="211"/>
      <c r="BB490" s="211"/>
      <c r="BC490" s="211"/>
      <c r="BD490" s="333">
        <v>42804</v>
      </c>
      <c r="BE490" s="82">
        <f t="shared" si="66"/>
        <v>3860000</v>
      </c>
      <c r="BF490" s="13"/>
      <c r="BG490" s="1"/>
    </row>
    <row r="491" spans="1:59" s="54" customFormat="1" ht="40.799999999999997" hidden="1" x14ac:dyDescent="0.3">
      <c r="A491" s="56"/>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197">
        <f>+'Base de Datos'!I491</f>
        <v>5700000</v>
      </c>
      <c r="G491" s="196">
        <f>+'Base de Datos'!M491</f>
        <v>42781</v>
      </c>
      <c r="H491" s="196">
        <f>+'Base de Datos'!N491</f>
        <v>42809</v>
      </c>
      <c r="I491" s="196"/>
      <c r="J491" s="158"/>
      <c r="K491" s="333"/>
      <c r="L491" s="211"/>
      <c r="M491" s="336"/>
      <c r="N491" s="158"/>
      <c r="O491" s="333"/>
      <c r="P491" s="158"/>
      <c r="Q491" s="338"/>
      <c r="R491" s="81">
        <f t="shared" si="59"/>
        <v>0</v>
      </c>
      <c r="S491" s="258"/>
      <c r="T491" s="333"/>
      <c r="U491" s="158"/>
      <c r="V491" s="333"/>
      <c r="W491" s="158"/>
      <c r="X491" s="333"/>
      <c r="Y491" s="158"/>
      <c r="Z491" s="333"/>
      <c r="AA491" s="326"/>
      <c r="AB491" s="1004" t="str">
        <f t="shared" si="60"/>
        <v/>
      </c>
      <c r="AC491" s="1082" t="str">
        <f t="shared" si="61"/>
        <v/>
      </c>
      <c r="AD491" s="1077"/>
      <c r="AE491" s="1077"/>
      <c r="AF491" s="1084" t="str">
        <f t="shared" si="62"/>
        <v/>
      </c>
      <c r="AG491" s="1082" t="str">
        <f t="shared" si="63"/>
        <v/>
      </c>
      <c r="AH491" s="1091"/>
      <c r="AI491" s="1087"/>
      <c r="AJ491" s="1084" t="str">
        <f t="shared" si="64"/>
        <v/>
      </c>
      <c r="AK491" s="1083" t="str">
        <f t="shared" si="65"/>
        <v/>
      </c>
      <c r="AL491" s="211">
        <v>5700000</v>
      </c>
      <c r="AM491" s="211"/>
      <c r="AN491" s="211"/>
      <c r="AO491" s="211"/>
      <c r="AP491" s="211"/>
      <c r="AQ491" s="211"/>
      <c r="AR491" s="211"/>
      <c r="AS491" s="211"/>
      <c r="AT491" s="211"/>
      <c r="AU491" s="211"/>
      <c r="AV491" s="211"/>
      <c r="AW491" s="211"/>
      <c r="AX491" s="211"/>
      <c r="AY491" s="211"/>
      <c r="AZ491" s="211"/>
      <c r="BA491" s="211"/>
      <c r="BB491" s="211"/>
      <c r="BC491" s="211"/>
      <c r="BD491" s="333">
        <v>42816</v>
      </c>
      <c r="BE491" s="82">
        <f t="shared" si="66"/>
        <v>5700000</v>
      </c>
      <c r="BF491" s="13"/>
      <c r="BG491" s="1"/>
    </row>
    <row r="492" spans="1:59" s="54" customFormat="1" ht="20.399999999999999" hidden="1" x14ac:dyDescent="0.3">
      <c r="A492" s="56"/>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197">
        <f>+'Base de Datos'!I492</f>
        <v>65851149</v>
      </c>
      <c r="G492" s="196">
        <f>+'Base de Datos'!M492</f>
        <v>42815</v>
      </c>
      <c r="H492" s="196">
        <f>+'Base de Datos'!N492</f>
        <v>43180</v>
      </c>
      <c r="I492" s="196"/>
      <c r="J492" s="158"/>
      <c r="K492" s="333"/>
      <c r="L492" s="211"/>
      <c r="M492" s="336"/>
      <c r="N492" s="158"/>
      <c r="O492" s="333"/>
      <c r="P492" s="158"/>
      <c r="Q492" s="338"/>
      <c r="R492" s="81">
        <f t="shared" si="59"/>
        <v>0</v>
      </c>
      <c r="S492" s="258"/>
      <c r="T492" s="333"/>
      <c r="U492" s="158"/>
      <c r="V492" s="333"/>
      <c r="W492" s="158"/>
      <c r="X492" s="333"/>
      <c r="Y492" s="158"/>
      <c r="Z492" s="333"/>
      <c r="AA492" s="326"/>
      <c r="AB492" s="1004" t="str">
        <f t="shared" si="60"/>
        <v/>
      </c>
      <c r="AC492" s="1082" t="str">
        <f t="shared" si="61"/>
        <v/>
      </c>
      <c r="AD492" s="1077"/>
      <c r="AE492" s="1077"/>
      <c r="AF492" s="1084" t="str">
        <f t="shared" si="62"/>
        <v/>
      </c>
      <c r="AG492" s="1082" t="str">
        <f t="shared" si="63"/>
        <v/>
      </c>
      <c r="AH492" s="1091"/>
      <c r="AI492" s="1087"/>
      <c r="AJ492" s="1084" t="str">
        <f t="shared" si="64"/>
        <v/>
      </c>
      <c r="AK492" s="1083" t="str">
        <f t="shared" si="65"/>
        <v/>
      </c>
      <c r="AL492" s="211">
        <v>61371989</v>
      </c>
      <c r="AM492" s="211">
        <v>2239580</v>
      </c>
      <c r="AN492" s="211">
        <v>2239580</v>
      </c>
      <c r="AO492" s="211"/>
      <c r="AP492" s="211"/>
      <c r="AQ492" s="211"/>
      <c r="AR492" s="211"/>
      <c r="AS492" s="211"/>
      <c r="AT492" s="211"/>
      <c r="AU492" s="211"/>
      <c r="AV492" s="211"/>
      <c r="AW492" s="211"/>
      <c r="AX492" s="211"/>
      <c r="AY492" s="211"/>
      <c r="AZ492" s="211"/>
      <c r="BA492" s="211"/>
      <c r="BB492" s="211"/>
      <c r="BC492" s="211"/>
      <c r="BD492" s="333">
        <v>42962</v>
      </c>
      <c r="BE492" s="82">
        <f t="shared" si="66"/>
        <v>65851149</v>
      </c>
      <c r="BF492" s="13"/>
      <c r="BG492" s="1"/>
    </row>
    <row r="493" spans="1:59" s="54" customFormat="1" ht="30.6" hidden="1" x14ac:dyDescent="0.3">
      <c r="A493" s="56"/>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197">
        <f>+'Base de Datos'!I493</f>
        <v>195049000</v>
      </c>
      <c r="G493" s="196">
        <f>+'Base de Datos'!M493</f>
        <v>42801</v>
      </c>
      <c r="H493" s="196">
        <f>+'Base de Datos'!N493</f>
        <v>43046</v>
      </c>
      <c r="I493" s="196"/>
      <c r="J493" s="158"/>
      <c r="K493" s="333"/>
      <c r="L493" s="211"/>
      <c r="M493" s="336"/>
      <c r="N493" s="158"/>
      <c r="O493" s="333"/>
      <c r="P493" s="158"/>
      <c r="Q493" s="338"/>
      <c r="R493" s="81">
        <f t="shared" si="59"/>
        <v>0</v>
      </c>
      <c r="S493" s="258"/>
      <c r="T493" s="333"/>
      <c r="U493" s="158"/>
      <c r="V493" s="333"/>
      <c r="W493" s="158"/>
      <c r="X493" s="333"/>
      <c r="Y493" s="158"/>
      <c r="Z493" s="333"/>
      <c r="AA493" s="326"/>
      <c r="AB493" s="1004" t="str">
        <f t="shared" si="60"/>
        <v/>
      </c>
      <c r="AC493" s="1082" t="str">
        <f t="shared" si="61"/>
        <v/>
      </c>
      <c r="AD493" s="1077"/>
      <c r="AE493" s="1077"/>
      <c r="AF493" s="1084" t="str">
        <f t="shared" si="62"/>
        <v/>
      </c>
      <c r="AG493" s="1082" t="str">
        <f t="shared" si="63"/>
        <v/>
      </c>
      <c r="AH493" s="1091"/>
      <c r="AI493" s="1087"/>
      <c r="AJ493" s="1084" t="str">
        <f t="shared" si="64"/>
        <v/>
      </c>
      <c r="AK493" s="1083" t="str">
        <f t="shared" si="65"/>
        <v/>
      </c>
      <c r="AL493" s="211">
        <v>92805400</v>
      </c>
      <c r="AM493" s="211">
        <v>97524308</v>
      </c>
      <c r="AN493" s="211">
        <v>4719292</v>
      </c>
      <c r="AO493" s="211"/>
      <c r="AP493" s="211"/>
      <c r="AQ493" s="211"/>
      <c r="AR493" s="211"/>
      <c r="AS493" s="211"/>
      <c r="AT493" s="211"/>
      <c r="AU493" s="211"/>
      <c r="AV493" s="211"/>
      <c r="AW493" s="211"/>
      <c r="AX493" s="211"/>
      <c r="AY493" s="211"/>
      <c r="AZ493" s="211"/>
      <c r="BA493" s="211"/>
      <c r="BB493" s="211"/>
      <c r="BC493" s="211"/>
      <c r="BD493" s="333">
        <v>43081</v>
      </c>
      <c r="BE493" s="82">
        <f t="shared" si="66"/>
        <v>195049000</v>
      </c>
      <c r="BF493" s="13"/>
      <c r="BG493" s="1"/>
    </row>
    <row r="494" spans="1:59" s="54" customFormat="1" ht="30.6" hidden="1" x14ac:dyDescent="0.3">
      <c r="A494" s="56"/>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197">
        <f>+'Base de Datos'!I494</f>
        <v>28800000</v>
      </c>
      <c r="G494" s="196">
        <f>+'Base de Datos'!M494</f>
        <v>42810</v>
      </c>
      <c r="H494" s="196">
        <f>+'Base de Datos'!N494</f>
        <v>43175</v>
      </c>
      <c r="I494" s="196"/>
      <c r="J494" s="158"/>
      <c r="K494" s="333"/>
      <c r="L494" s="211"/>
      <c r="M494" s="336"/>
      <c r="N494" s="158"/>
      <c r="O494" s="333"/>
      <c r="P494" s="158"/>
      <c r="Q494" s="338"/>
      <c r="R494" s="81">
        <f t="shared" si="59"/>
        <v>0</v>
      </c>
      <c r="S494" s="820" t="s">
        <v>3889</v>
      </c>
      <c r="T494" s="333">
        <v>43280</v>
      </c>
      <c r="U494" s="158"/>
      <c r="V494" s="333"/>
      <c r="W494" s="158"/>
      <c r="X494" s="333"/>
      <c r="Y494" s="158"/>
      <c r="Z494" s="333"/>
      <c r="AA494" s="820" t="s">
        <v>3889</v>
      </c>
      <c r="AB494" s="1004">
        <f t="shared" si="60"/>
        <v>43280</v>
      </c>
      <c r="AC494" s="1082" t="str">
        <f t="shared" si="61"/>
        <v/>
      </c>
      <c r="AD494" s="1077"/>
      <c r="AE494" s="1077"/>
      <c r="AF494" s="1084" t="str">
        <f t="shared" si="62"/>
        <v/>
      </c>
      <c r="AG494" s="1082" t="str">
        <f t="shared" si="63"/>
        <v/>
      </c>
      <c r="AH494" s="1091"/>
      <c r="AI494" s="1087"/>
      <c r="AJ494" s="1084" t="str">
        <f t="shared" si="64"/>
        <v/>
      </c>
      <c r="AK494" s="1083" t="str">
        <f t="shared" si="65"/>
        <v/>
      </c>
      <c r="AL494" s="211">
        <v>829177</v>
      </c>
      <c r="AM494" s="211">
        <v>544450</v>
      </c>
      <c r="AN494" s="211">
        <v>1074824</v>
      </c>
      <c r="AO494" s="211"/>
      <c r="AP494" s="211">
        <v>6668649</v>
      </c>
      <c r="AQ494" s="211">
        <v>2478496</v>
      </c>
      <c r="AR494" s="211">
        <v>4978504</v>
      </c>
      <c r="AS494" s="211">
        <v>2510000</v>
      </c>
      <c r="AT494" s="211"/>
      <c r="AU494" s="211"/>
      <c r="AV494" s="211"/>
      <c r="AW494" s="211"/>
      <c r="AX494" s="211"/>
      <c r="AY494" s="211"/>
      <c r="AZ494" s="211"/>
      <c r="BA494" s="211"/>
      <c r="BB494" s="211"/>
      <c r="BC494" s="211"/>
      <c r="BD494" s="333">
        <v>43304</v>
      </c>
      <c r="BE494" s="82">
        <f t="shared" si="66"/>
        <v>19084100</v>
      </c>
      <c r="BF494" s="13"/>
      <c r="BG494" s="1"/>
    </row>
    <row r="495" spans="1:59" s="54" customFormat="1" ht="20.399999999999999" hidden="1" x14ac:dyDescent="0.3">
      <c r="A495" s="56"/>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197">
        <f>+'Base de Datos'!I495</f>
        <v>1317000</v>
      </c>
      <c r="G495" s="196">
        <f>+'Base de Datos'!M495</f>
        <v>42817</v>
      </c>
      <c r="H495" s="196">
        <f>+'Base de Datos'!N495</f>
        <v>43182</v>
      </c>
      <c r="I495" s="196"/>
      <c r="J495" s="158"/>
      <c r="K495" s="333"/>
      <c r="L495" s="211"/>
      <c r="M495" s="336"/>
      <c r="N495" s="158"/>
      <c r="O495" s="333"/>
      <c r="P495" s="158"/>
      <c r="Q495" s="338"/>
      <c r="R495" s="81">
        <f t="shared" si="59"/>
        <v>0</v>
      </c>
      <c r="S495" s="258"/>
      <c r="T495" s="333"/>
      <c r="U495" s="158"/>
      <c r="V495" s="333"/>
      <c r="W495" s="158"/>
      <c r="X495" s="333"/>
      <c r="Y495" s="158"/>
      <c r="Z495" s="333"/>
      <c r="AA495" s="326"/>
      <c r="AB495" s="1004" t="str">
        <f t="shared" si="60"/>
        <v/>
      </c>
      <c r="AC495" s="1082" t="str">
        <f t="shared" si="61"/>
        <v/>
      </c>
      <c r="AD495" s="1077"/>
      <c r="AE495" s="1077"/>
      <c r="AF495" s="1084" t="str">
        <f t="shared" si="62"/>
        <v/>
      </c>
      <c r="AG495" s="1082" t="str">
        <f t="shared" si="63"/>
        <v/>
      </c>
      <c r="AH495" s="1091"/>
      <c r="AI495" s="1087"/>
      <c r="AJ495" s="1084" t="str">
        <f t="shared" si="64"/>
        <v/>
      </c>
      <c r="AK495" s="1083" t="str">
        <f t="shared" si="65"/>
        <v/>
      </c>
      <c r="AL495" s="211">
        <v>1317000</v>
      </c>
      <c r="AM495" s="211"/>
      <c r="AN495" s="211"/>
      <c r="AO495" s="211"/>
      <c r="AP495" s="211"/>
      <c r="AQ495" s="211"/>
      <c r="AR495" s="211"/>
      <c r="AS495" s="211"/>
      <c r="AT495" s="211"/>
      <c r="AU495" s="211"/>
      <c r="AV495" s="211"/>
      <c r="AW495" s="211"/>
      <c r="AX495" s="211"/>
      <c r="AY495" s="211"/>
      <c r="AZ495" s="211"/>
      <c r="BA495" s="211"/>
      <c r="BB495" s="211"/>
      <c r="BC495" s="211"/>
      <c r="BD495" s="333">
        <v>42849</v>
      </c>
      <c r="BE495" s="82">
        <f t="shared" si="66"/>
        <v>1317000</v>
      </c>
      <c r="BF495" s="13"/>
      <c r="BG495" s="1"/>
    </row>
    <row r="496" spans="1:59" s="54" customFormat="1" ht="30.6" hidden="1" x14ac:dyDescent="0.3">
      <c r="A496" s="56"/>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197">
        <f>+'Base de Datos'!I496</f>
        <v>2585000</v>
      </c>
      <c r="G496" s="196">
        <f>+'Base de Datos'!M496</f>
        <v>42846</v>
      </c>
      <c r="H496" s="196">
        <f>+'Base de Datos'!N496</f>
        <v>43211</v>
      </c>
      <c r="I496" s="196"/>
      <c r="J496" s="158"/>
      <c r="K496" s="333"/>
      <c r="L496" s="211"/>
      <c r="M496" s="336"/>
      <c r="N496" s="158"/>
      <c r="O496" s="333"/>
      <c r="P496" s="158"/>
      <c r="Q496" s="338"/>
      <c r="R496" s="81">
        <f t="shared" si="59"/>
        <v>0</v>
      </c>
      <c r="S496" s="258"/>
      <c r="T496" s="333"/>
      <c r="U496" s="158"/>
      <c r="V496" s="333"/>
      <c r="W496" s="158"/>
      <c r="X496" s="333"/>
      <c r="Y496" s="158"/>
      <c r="Z496" s="333"/>
      <c r="AA496" s="326"/>
      <c r="AB496" s="1004" t="str">
        <f t="shared" si="60"/>
        <v/>
      </c>
      <c r="AC496" s="1082" t="str">
        <f t="shared" si="61"/>
        <v/>
      </c>
      <c r="AD496" s="1077"/>
      <c r="AE496" s="1077"/>
      <c r="AF496" s="1084" t="str">
        <f t="shared" si="62"/>
        <v/>
      </c>
      <c r="AG496" s="1082" t="str">
        <f t="shared" si="63"/>
        <v/>
      </c>
      <c r="AH496" s="1091"/>
      <c r="AI496" s="1087"/>
      <c r="AJ496" s="1084" t="str">
        <f t="shared" si="64"/>
        <v/>
      </c>
      <c r="AK496" s="1083" t="str">
        <f t="shared" si="65"/>
        <v/>
      </c>
      <c r="AL496" s="211">
        <v>2583920</v>
      </c>
      <c r="AM496" s="211"/>
      <c r="AN496" s="211"/>
      <c r="AO496" s="211"/>
      <c r="AP496" s="211"/>
      <c r="AQ496" s="211"/>
      <c r="AR496" s="211"/>
      <c r="AS496" s="211"/>
      <c r="AT496" s="211"/>
      <c r="AU496" s="211"/>
      <c r="AV496" s="211"/>
      <c r="AW496" s="211"/>
      <c r="AX496" s="211"/>
      <c r="AY496" s="211"/>
      <c r="AZ496" s="211"/>
      <c r="BA496" s="211"/>
      <c r="BB496" s="211"/>
      <c r="BC496" s="211"/>
      <c r="BD496" s="333">
        <v>43242</v>
      </c>
      <c r="BE496" s="82">
        <f t="shared" si="66"/>
        <v>2583920</v>
      </c>
      <c r="BF496" s="13"/>
      <c r="BG496" s="1"/>
    </row>
    <row r="497" spans="1:59" s="54" customFormat="1" ht="40.799999999999997" hidden="1" x14ac:dyDescent="0.3">
      <c r="A497" s="56"/>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197">
        <f>+'Base de Datos'!I497</f>
        <v>70699200</v>
      </c>
      <c r="G497" s="196">
        <f>+'Base de Datos'!M497</f>
        <v>42821</v>
      </c>
      <c r="H497" s="196">
        <f>+'Base de Datos'!N497</f>
        <v>43186</v>
      </c>
      <c r="I497" s="196"/>
      <c r="J497" s="158">
        <v>18067573</v>
      </c>
      <c r="K497" s="333">
        <v>43160</v>
      </c>
      <c r="L497" s="211"/>
      <c r="M497" s="336"/>
      <c r="N497" s="158"/>
      <c r="O497" s="333"/>
      <c r="P497" s="158"/>
      <c r="Q497" s="338"/>
      <c r="R497" s="81">
        <f t="shared" si="59"/>
        <v>18067573</v>
      </c>
      <c r="S497" s="820" t="s">
        <v>3874</v>
      </c>
      <c r="T497" s="333">
        <v>43280</v>
      </c>
      <c r="U497" s="158"/>
      <c r="V497" s="333"/>
      <c r="W497" s="158"/>
      <c r="X497" s="333"/>
      <c r="Y497" s="158"/>
      <c r="Z497" s="333"/>
      <c r="AA497" s="820" t="s">
        <v>3874</v>
      </c>
      <c r="AB497" s="1004">
        <f t="shared" si="60"/>
        <v>43280</v>
      </c>
      <c r="AC497" s="1082" t="str">
        <f t="shared" si="61"/>
        <v/>
      </c>
      <c r="AD497" s="1077"/>
      <c r="AE497" s="1077"/>
      <c r="AF497" s="1084" t="str">
        <f t="shared" si="62"/>
        <v/>
      </c>
      <c r="AG497" s="1082" t="str">
        <f t="shared" si="63"/>
        <v/>
      </c>
      <c r="AH497" s="1091"/>
      <c r="AI497" s="1087"/>
      <c r="AJ497" s="1084" t="str">
        <f t="shared" si="64"/>
        <v/>
      </c>
      <c r="AK497" s="1083" t="str">
        <f t="shared" si="65"/>
        <v/>
      </c>
      <c r="AL497" s="211">
        <v>785547</v>
      </c>
      <c r="AM497" s="211"/>
      <c r="AN497" s="211">
        <v>5891600</v>
      </c>
      <c r="AO497" s="211">
        <v>5891600</v>
      </c>
      <c r="AP497" s="211">
        <v>5891600</v>
      </c>
      <c r="AQ497" s="211">
        <v>5891600</v>
      </c>
      <c r="AR497" s="211">
        <v>5891600</v>
      </c>
      <c r="AS497" s="211">
        <v>5891600</v>
      </c>
      <c r="AT497" s="211">
        <v>5891600</v>
      </c>
      <c r="AU497" s="211">
        <v>5891600</v>
      </c>
      <c r="AV497" s="211">
        <v>5891600</v>
      </c>
      <c r="AW497" s="211">
        <v>5891600</v>
      </c>
      <c r="AX497" s="211">
        <v>5891600</v>
      </c>
      <c r="AY497" s="211">
        <v>5106053</v>
      </c>
      <c r="AZ497" s="211">
        <v>785547</v>
      </c>
      <c r="BA497" s="211">
        <v>5891600</v>
      </c>
      <c r="BB497" s="211">
        <v>5891600</v>
      </c>
      <c r="BC497" s="211">
        <v>5498826</v>
      </c>
      <c r="BD497" s="333">
        <v>43353</v>
      </c>
      <c r="BE497" s="82">
        <f t="shared" si="66"/>
        <v>88766773</v>
      </c>
      <c r="BF497" s="13"/>
      <c r="BG497" s="1"/>
    </row>
    <row r="498" spans="1:59" s="54" customFormat="1" ht="30.6" hidden="1" x14ac:dyDescent="0.3">
      <c r="A498" s="56"/>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197">
        <f>+'Base de Datos'!I498</f>
        <v>34535000</v>
      </c>
      <c r="G498" s="196">
        <f>+'Base de Datos'!M498</f>
        <v>42831</v>
      </c>
      <c r="H498" s="196">
        <f>+'Base de Datos'!N498</f>
        <v>43196</v>
      </c>
      <c r="I498" s="196"/>
      <c r="J498" s="158"/>
      <c r="K498" s="333"/>
      <c r="L498" s="211"/>
      <c r="M498" s="336"/>
      <c r="N498" s="158"/>
      <c r="O498" s="333"/>
      <c r="P498" s="158"/>
      <c r="Q498" s="338"/>
      <c r="R498" s="81">
        <f t="shared" si="59"/>
        <v>0</v>
      </c>
      <c r="S498" s="820" t="s">
        <v>976</v>
      </c>
      <c r="T498" s="333">
        <v>43280</v>
      </c>
      <c r="U498" s="158" t="s">
        <v>381</v>
      </c>
      <c r="V498" s="333">
        <v>43310</v>
      </c>
      <c r="W498" s="158"/>
      <c r="X498" s="333"/>
      <c r="Y498" s="158"/>
      <c r="Z498" s="333"/>
      <c r="AA498" s="820" t="s">
        <v>998</v>
      </c>
      <c r="AB498" s="1004">
        <f t="shared" si="60"/>
        <v>43310</v>
      </c>
      <c r="AC498" s="1082" t="str">
        <f t="shared" si="61"/>
        <v/>
      </c>
      <c r="AD498" s="1077"/>
      <c r="AE498" s="1077"/>
      <c r="AF498" s="1084" t="str">
        <f t="shared" si="62"/>
        <v/>
      </c>
      <c r="AG498" s="1082" t="str">
        <f t="shared" si="63"/>
        <v/>
      </c>
      <c r="AH498" s="1091"/>
      <c r="AI498" s="1087"/>
      <c r="AJ498" s="1084" t="str">
        <f t="shared" si="64"/>
        <v/>
      </c>
      <c r="AK498" s="1083" t="str">
        <f t="shared" si="65"/>
        <v/>
      </c>
      <c r="AL498" s="211">
        <v>3328899</v>
      </c>
      <c r="AM498" s="211">
        <v>1463904</v>
      </c>
      <c r="AN498" s="211">
        <v>2279286</v>
      </c>
      <c r="AO498" s="211">
        <v>7842494</v>
      </c>
      <c r="AP498" s="211"/>
      <c r="AQ498" s="211"/>
      <c r="AR498" s="211"/>
      <c r="AS498" s="211"/>
      <c r="AT498" s="211">
        <v>5219436</v>
      </c>
      <c r="AU498" s="211">
        <v>612780</v>
      </c>
      <c r="AV498" s="211"/>
      <c r="AW498" s="211"/>
      <c r="AX498" s="211"/>
      <c r="AY498" s="211"/>
      <c r="AZ498" s="211"/>
      <c r="BA498" s="211"/>
      <c r="BB498" s="211"/>
      <c r="BC498" s="211"/>
      <c r="BD498" s="333">
        <v>43229</v>
      </c>
      <c r="BE498" s="82">
        <f t="shared" si="66"/>
        <v>20746799</v>
      </c>
      <c r="BF498" s="13"/>
      <c r="BG498" s="1"/>
    </row>
    <row r="499" spans="1:59" s="54" customFormat="1" ht="20.399999999999999" hidden="1" x14ac:dyDescent="0.3">
      <c r="A499" s="56"/>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197">
        <f>+'Base de Datos'!I499</f>
        <v>270913000</v>
      </c>
      <c r="G499" s="196">
        <f>+'Base de Datos'!M499</f>
        <v>42829</v>
      </c>
      <c r="H499" s="196">
        <f>+'Base de Datos'!N499</f>
        <v>43073</v>
      </c>
      <c r="I499" s="196"/>
      <c r="J499" s="158">
        <v>17000000</v>
      </c>
      <c r="K499" s="333">
        <v>43073</v>
      </c>
      <c r="L499" s="211">
        <v>120007500</v>
      </c>
      <c r="M499" s="336">
        <v>43131</v>
      </c>
      <c r="N499" s="158"/>
      <c r="O499" s="333"/>
      <c r="P499" s="158"/>
      <c r="Q499" s="338"/>
      <c r="R499" s="81">
        <f t="shared" si="59"/>
        <v>137007500</v>
      </c>
      <c r="S499" s="820" t="s">
        <v>3747</v>
      </c>
      <c r="T499" s="333">
        <v>43131</v>
      </c>
      <c r="U499" s="158" t="s">
        <v>380</v>
      </c>
      <c r="V499" s="333">
        <v>43251</v>
      </c>
      <c r="W499" s="158"/>
      <c r="X499" s="333"/>
      <c r="Y499" s="158"/>
      <c r="Z499" s="333"/>
      <c r="AA499" s="820" t="s">
        <v>3851</v>
      </c>
      <c r="AB499" s="1004">
        <f t="shared" si="60"/>
        <v>43251</v>
      </c>
      <c r="AC499" s="1082" t="str">
        <f t="shared" si="61"/>
        <v/>
      </c>
      <c r="AD499" s="1077"/>
      <c r="AE499" s="1077"/>
      <c r="AF499" s="1084" t="str">
        <f t="shared" si="62"/>
        <v/>
      </c>
      <c r="AG499" s="1082" t="str">
        <f t="shared" si="63"/>
        <v/>
      </c>
      <c r="AH499" s="1091"/>
      <c r="AI499" s="1087"/>
      <c r="AJ499" s="1084" t="str">
        <f t="shared" si="64"/>
        <v/>
      </c>
      <c r="AK499" s="1083" t="str">
        <f t="shared" si="65"/>
        <v/>
      </c>
      <c r="AL499" s="211">
        <v>22780969</v>
      </c>
      <c r="AM499" s="211">
        <v>23940637</v>
      </c>
      <c r="AN499" s="211">
        <v>27091759</v>
      </c>
      <c r="AO499" s="211">
        <v>26977441</v>
      </c>
      <c r="AP499" s="211">
        <v>30254652</v>
      </c>
      <c r="AQ499" s="211">
        <v>27742942</v>
      </c>
      <c r="AR499" s="211">
        <v>30846374</v>
      </c>
      <c r="AS499" s="211"/>
      <c r="AT499" s="211">
        <v>29047077</v>
      </c>
      <c r="AU499" s="211">
        <v>32009514</v>
      </c>
      <c r="AV499" s="211">
        <v>23887362</v>
      </c>
      <c r="AW499" s="211">
        <v>10271730</v>
      </c>
      <c r="AX499" s="211">
        <v>20198422</v>
      </c>
      <c r="AY499" s="211">
        <v>3062543</v>
      </c>
      <c r="AZ499" s="211">
        <v>27310569</v>
      </c>
      <c r="BA499" s="211">
        <v>21811431</v>
      </c>
      <c r="BB499" s="211">
        <v>32903149</v>
      </c>
      <c r="BC499" s="211"/>
      <c r="BD499" s="333">
        <v>43304</v>
      </c>
      <c r="BE499" s="82">
        <f t="shared" si="66"/>
        <v>390136571</v>
      </c>
      <c r="BF499" s="13"/>
      <c r="BG499" s="1"/>
    </row>
    <row r="500" spans="1:59" s="54" customFormat="1" ht="30.6" hidden="1" x14ac:dyDescent="0.3">
      <c r="A500" s="56"/>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197">
        <f>+'Base de Datos'!I500</f>
        <v>3725711</v>
      </c>
      <c r="G500" s="196">
        <f>+'Base de Datos'!M500</f>
        <v>42831</v>
      </c>
      <c r="H500" s="196">
        <f>+'Base de Datos'!N500</f>
        <v>43196</v>
      </c>
      <c r="I500" s="196"/>
      <c r="J500" s="158"/>
      <c r="K500" s="333"/>
      <c r="L500" s="211"/>
      <c r="M500" s="336"/>
      <c r="N500" s="158"/>
      <c r="O500" s="333"/>
      <c r="P500" s="158"/>
      <c r="Q500" s="338"/>
      <c r="R500" s="81">
        <f t="shared" si="59"/>
        <v>0</v>
      </c>
      <c r="S500" s="258"/>
      <c r="T500" s="333"/>
      <c r="U500" s="158"/>
      <c r="V500" s="333"/>
      <c r="W500" s="158"/>
      <c r="X500" s="333"/>
      <c r="Y500" s="158"/>
      <c r="Z500" s="333"/>
      <c r="AA500" s="326"/>
      <c r="AB500" s="1004" t="str">
        <f t="shared" si="60"/>
        <v/>
      </c>
      <c r="AC500" s="1082" t="str">
        <f t="shared" si="61"/>
        <v/>
      </c>
      <c r="AD500" s="1077"/>
      <c r="AE500" s="1077"/>
      <c r="AF500" s="1084" t="str">
        <f t="shared" si="62"/>
        <v/>
      </c>
      <c r="AG500" s="1082" t="str">
        <f t="shared" si="63"/>
        <v/>
      </c>
      <c r="AH500" s="1091"/>
      <c r="AI500" s="1087"/>
      <c r="AJ500" s="1084" t="str">
        <f t="shared" si="64"/>
        <v/>
      </c>
      <c r="AK500" s="1083" t="str">
        <f t="shared" si="65"/>
        <v/>
      </c>
      <c r="AL500" s="211">
        <v>142800</v>
      </c>
      <c r="AM500" s="211">
        <v>142800</v>
      </c>
      <c r="AN500" s="211"/>
      <c r="AO500" s="211"/>
      <c r="AP500" s="211"/>
      <c r="AQ500" s="211"/>
      <c r="AR500" s="211"/>
      <c r="AS500" s="211"/>
      <c r="AT500" s="211"/>
      <c r="AU500" s="211"/>
      <c r="AV500" s="211"/>
      <c r="AW500" s="211"/>
      <c r="AX500" s="211"/>
      <c r="AY500" s="211"/>
      <c r="AZ500" s="211"/>
      <c r="BA500" s="211"/>
      <c r="BB500" s="211"/>
      <c r="BC500" s="211"/>
      <c r="BD500" s="333">
        <v>42956</v>
      </c>
      <c r="BE500" s="82">
        <f t="shared" si="66"/>
        <v>285600</v>
      </c>
      <c r="BF500" s="13"/>
      <c r="BG500" s="1"/>
    </row>
    <row r="501" spans="1:59" s="54" customFormat="1" ht="40.799999999999997" hidden="1" x14ac:dyDescent="0.3">
      <c r="A501" s="56"/>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197">
        <f>+'Base de Datos'!I501</f>
        <v>10473600</v>
      </c>
      <c r="G501" s="196">
        <f>+'Base de Datos'!M501</f>
        <v>42857</v>
      </c>
      <c r="H501" s="196">
        <f>+'Base de Datos'!N501</f>
        <v>43161</v>
      </c>
      <c r="I501" s="196"/>
      <c r="J501" s="158"/>
      <c r="K501" s="333"/>
      <c r="L501" s="211"/>
      <c r="M501" s="336"/>
      <c r="N501" s="158"/>
      <c r="O501" s="333"/>
      <c r="P501" s="158"/>
      <c r="Q501" s="338"/>
      <c r="R501" s="81">
        <f t="shared" si="59"/>
        <v>0</v>
      </c>
      <c r="S501" s="258"/>
      <c r="T501" s="333"/>
      <c r="U501" s="158"/>
      <c r="V501" s="333"/>
      <c r="W501" s="158"/>
      <c r="X501" s="333"/>
      <c r="Y501" s="158"/>
      <c r="Z501" s="333"/>
      <c r="AA501" s="326"/>
      <c r="AB501" s="1004" t="str">
        <f t="shared" si="60"/>
        <v/>
      </c>
      <c r="AC501" s="1082" t="str">
        <f t="shared" si="61"/>
        <v/>
      </c>
      <c r="AD501" s="1077"/>
      <c r="AE501" s="1077"/>
      <c r="AF501" s="1084" t="str">
        <f t="shared" si="62"/>
        <v/>
      </c>
      <c r="AG501" s="1082" t="str">
        <f t="shared" si="63"/>
        <v/>
      </c>
      <c r="AH501" s="1091"/>
      <c r="AI501" s="1087"/>
      <c r="AJ501" s="1084" t="str">
        <f t="shared" si="64"/>
        <v/>
      </c>
      <c r="AK501" s="1083" t="str">
        <f t="shared" si="65"/>
        <v/>
      </c>
      <c r="AL501" s="211">
        <v>1954488</v>
      </c>
      <c r="AM501" s="211">
        <v>4721000</v>
      </c>
      <c r="AN501" s="211">
        <v>1488960</v>
      </c>
      <c r="AO501" s="211">
        <v>1488960</v>
      </c>
      <c r="AP501" s="211">
        <v>813960</v>
      </c>
      <c r="AQ501" s="211"/>
      <c r="AR501" s="211"/>
      <c r="AS501" s="211"/>
      <c r="AT501" s="211"/>
      <c r="AU501" s="211"/>
      <c r="AV501" s="211"/>
      <c r="AW501" s="211"/>
      <c r="AX501" s="211"/>
      <c r="AY501" s="211"/>
      <c r="AZ501" s="211"/>
      <c r="BA501" s="211"/>
      <c r="BB501" s="211"/>
      <c r="BC501" s="211"/>
      <c r="BD501" s="333">
        <v>43175</v>
      </c>
      <c r="BE501" s="82">
        <f t="shared" si="66"/>
        <v>10467368</v>
      </c>
      <c r="BF501" s="13"/>
      <c r="BG501" s="1"/>
    </row>
    <row r="502" spans="1:59" s="54" customFormat="1" ht="20.399999999999999" hidden="1" x14ac:dyDescent="0.3">
      <c r="A502" s="56"/>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197">
        <f>+'Base de Datos'!I502</f>
        <v>4300000</v>
      </c>
      <c r="G502" s="196">
        <f>+'Base de Datos'!M502</f>
        <v>42849</v>
      </c>
      <c r="H502" s="196">
        <f>+'Base de Datos'!N502</f>
        <v>43002</v>
      </c>
      <c r="I502" s="196"/>
      <c r="J502" s="158"/>
      <c r="K502" s="333"/>
      <c r="L502" s="211"/>
      <c r="M502" s="336"/>
      <c r="N502" s="158"/>
      <c r="O502" s="333"/>
      <c r="P502" s="158"/>
      <c r="Q502" s="338"/>
      <c r="R502" s="81">
        <f t="shared" si="59"/>
        <v>0</v>
      </c>
      <c r="S502" s="258"/>
      <c r="T502" s="333"/>
      <c r="U502" s="158"/>
      <c r="V502" s="333"/>
      <c r="W502" s="158"/>
      <c r="X502" s="333"/>
      <c r="Y502" s="158"/>
      <c r="Z502" s="333"/>
      <c r="AA502" s="326"/>
      <c r="AB502" s="1004" t="str">
        <f t="shared" si="60"/>
        <v/>
      </c>
      <c r="AC502" s="1082" t="str">
        <f t="shared" si="61"/>
        <v/>
      </c>
      <c r="AD502" s="1077"/>
      <c r="AE502" s="1077"/>
      <c r="AF502" s="1084" t="str">
        <f t="shared" si="62"/>
        <v/>
      </c>
      <c r="AG502" s="1082" t="str">
        <f t="shared" si="63"/>
        <v/>
      </c>
      <c r="AH502" s="1091"/>
      <c r="AI502" s="1087"/>
      <c r="AJ502" s="1084" t="str">
        <f t="shared" si="64"/>
        <v/>
      </c>
      <c r="AK502" s="1083" t="str">
        <f t="shared" si="65"/>
        <v/>
      </c>
      <c r="AL502" s="211">
        <v>4300000</v>
      </c>
      <c r="AM502" s="211"/>
      <c r="AN502" s="211"/>
      <c r="AO502" s="211"/>
      <c r="AP502" s="211"/>
      <c r="AQ502" s="211"/>
      <c r="AR502" s="211"/>
      <c r="AS502" s="211"/>
      <c r="AT502" s="211"/>
      <c r="AU502" s="211"/>
      <c r="AV502" s="211"/>
      <c r="AW502" s="211"/>
      <c r="AX502" s="211"/>
      <c r="AY502" s="211"/>
      <c r="AZ502" s="211"/>
      <c r="BA502" s="211"/>
      <c r="BB502" s="211"/>
      <c r="BC502" s="211"/>
      <c r="BD502" s="333">
        <v>42983</v>
      </c>
      <c r="BE502" s="82">
        <f t="shared" si="66"/>
        <v>4300000</v>
      </c>
      <c r="BF502" s="13"/>
      <c r="BG502" s="1"/>
    </row>
    <row r="503" spans="1:59" s="54" customFormat="1" ht="30.6" hidden="1" x14ac:dyDescent="0.3">
      <c r="A503" s="56"/>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197">
        <f>+'Base de Datos'!I503</f>
        <v>54000000</v>
      </c>
      <c r="G503" s="196">
        <f>+'Base de Datos'!M503</f>
        <v>42849</v>
      </c>
      <c r="H503" s="196">
        <f>+'Base de Datos'!N503</f>
        <v>43155</v>
      </c>
      <c r="I503" s="196"/>
      <c r="J503" s="158">
        <v>22500000</v>
      </c>
      <c r="K503" s="333">
        <v>43130</v>
      </c>
      <c r="L503" s="211"/>
      <c r="M503" s="336"/>
      <c r="N503" s="158"/>
      <c r="O503" s="333"/>
      <c r="P503" s="158"/>
      <c r="Q503" s="338"/>
      <c r="R503" s="81">
        <f t="shared" si="59"/>
        <v>22500000</v>
      </c>
      <c r="S503" s="820" t="s">
        <v>3842</v>
      </c>
      <c r="T503" s="333">
        <v>43280</v>
      </c>
      <c r="U503" s="158"/>
      <c r="V503" s="333"/>
      <c r="W503" s="158"/>
      <c r="X503" s="333"/>
      <c r="Y503" s="158"/>
      <c r="Z503" s="333"/>
      <c r="AA503" s="820" t="s">
        <v>3842</v>
      </c>
      <c r="AB503" s="1004">
        <f t="shared" si="60"/>
        <v>43280</v>
      </c>
      <c r="AC503" s="1082" t="str">
        <f t="shared" si="61"/>
        <v/>
      </c>
      <c r="AD503" s="1077"/>
      <c r="AE503" s="1077"/>
      <c r="AF503" s="1084" t="str">
        <f t="shared" si="62"/>
        <v/>
      </c>
      <c r="AG503" s="1082" t="str">
        <f t="shared" si="63"/>
        <v/>
      </c>
      <c r="AH503" s="1091"/>
      <c r="AI503" s="1087"/>
      <c r="AJ503" s="1084" t="str">
        <f t="shared" si="64"/>
        <v/>
      </c>
      <c r="AK503" s="1083" t="str">
        <f t="shared" si="65"/>
        <v/>
      </c>
      <c r="AL503" s="211">
        <v>1260000</v>
      </c>
      <c r="AM503" s="211">
        <v>5400000</v>
      </c>
      <c r="AN503" s="211">
        <v>5400000</v>
      </c>
      <c r="AO503" s="211">
        <v>5400000</v>
      </c>
      <c r="AP503" s="211"/>
      <c r="AQ503" s="211">
        <v>5400000</v>
      </c>
      <c r="AR503" s="211">
        <v>5400000</v>
      </c>
      <c r="AS503" s="211">
        <v>5400000</v>
      </c>
      <c r="AT503" s="211">
        <v>5400000</v>
      </c>
      <c r="AU503" s="211">
        <v>5400000</v>
      </c>
      <c r="AV503" s="211">
        <v>5400000</v>
      </c>
      <c r="AW503" s="211">
        <v>4140000</v>
      </c>
      <c r="AX503" s="211">
        <v>1260000</v>
      </c>
      <c r="AY503" s="211">
        <v>5400000</v>
      </c>
      <c r="AZ503" s="211">
        <v>5400000</v>
      </c>
      <c r="BA503" s="211">
        <v>5400000</v>
      </c>
      <c r="BB503" s="211">
        <v>5040000</v>
      </c>
      <c r="BC503" s="211"/>
      <c r="BD503" s="333">
        <v>43300</v>
      </c>
      <c r="BE503" s="82">
        <f t="shared" si="66"/>
        <v>76500000</v>
      </c>
      <c r="BF503" s="13"/>
      <c r="BG503" s="1"/>
    </row>
    <row r="504" spans="1:59" s="54" customFormat="1" ht="40.799999999999997" hidden="1" x14ac:dyDescent="0.3">
      <c r="A504" s="56"/>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197">
        <f>+'Base de Datos'!I504</f>
        <v>51300000</v>
      </c>
      <c r="G504" s="196">
        <f>+'Base de Datos'!M504</f>
        <v>42850</v>
      </c>
      <c r="H504" s="196">
        <f>+'Base de Datos'!N504</f>
        <v>43125</v>
      </c>
      <c r="I504" s="196"/>
      <c r="J504" s="158">
        <v>25650000</v>
      </c>
      <c r="K504" s="333">
        <v>43122</v>
      </c>
      <c r="L504" s="211"/>
      <c r="M504" s="336"/>
      <c r="N504" s="158"/>
      <c r="O504" s="333"/>
      <c r="P504" s="158"/>
      <c r="Q504" s="338"/>
      <c r="R504" s="81">
        <f t="shared" si="59"/>
        <v>25650000</v>
      </c>
      <c r="S504" s="820" t="s">
        <v>2585</v>
      </c>
      <c r="T504" s="333">
        <v>43260</v>
      </c>
      <c r="U504" s="158"/>
      <c r="V504" s="333"/>
      <c r="W504" s="158"/>
      <c r="X504" s="333"/>
      <c r="Y504" s="158"/>
      <c r="Z504" s="333"/>
      <c r="AA504" s="326" t="s">
        <v>2585</v>
      </c>
      <c r="AB504" s="1004">
        <f t="shared" si="60"/>
        <v>43260</v>
      </c>
      <c r="AC504" s="1082" t="str">
        <f t="shared" si="61"/>
        <v/>
      </c>
      <c r="AD504" s="1077"/>
      <c r="AE504" s="1077"/>
      <c r="AF504" s="1084" t="str">
        <f t="shared" si="62"/>
        <v/>
      </c>
      <c r="AG504" s="1082" t="str">
        <f t="shared" si="63"/>
        <v/>
      </c>
      <c r="AH504" s="1091"/>
      <c r="AI504" s="1087"/>
      <c r="AJ504" s="1084" t="str">
        <f t="shared" si="64"/>
        <v/>
      </c>
      <c r="AK504" s="1083" t="str">
        <f t="shared" si="65"/>
        <v/>
      </c>
      <c r="AL504" s="211">
        <v>1140000</v>
      </c>
      <c r="AM504" s="211">
        <v>5700000</v>
      </c>
      <c r="AN504" s="211">
        <v>5700000</v>
      </c>
      <c r="AO504" s="211">
        <v>5700000</v>
      </c>
      <c r="AP504" s="211">
        <v>5700000</v>
      </c>
      <c r="AQ504" s="211">
        <v>5700000</v>
      </c>
      <c r="AR504" s="211">
        <v>5700000</v>
      </c>
      <c r="AS504" s="211">
        <v>5700000</v>
      </c>
      <c r="AT504" s="211">
        <v>5700000</v>
      </c>
      <c r="AU504" s="211">
        <v>4560000</v>
      </c>
      <c r="AV504" s="211">
        <v>1140000</v>
      </c>
      <c r="AW504" s="211">
        <v>5700000</v>
      </c>
      <c r="AX504" s="211">
        <v>5700000</v>
      </c>
      <c r="AY504" s="211">
        <v>5700000</v>
      </c>
      <c r="AZ504" s="211">
        <v>5700000</v>
      </c>
      <c r="BA504" s="211">
        <v>1710000</v>
      </c>
      <c r="BB504" s="211"/>
      <c r="BC504" s="211"/>
      <c r="BD504" s="333">
        <v>43258</v>
      </c>
      <c r="BE504" s="82">
        <f t="shared" si="66"/>
        <v>76950000</v>
      </c>
      <c r="BF504" s="13"/>
      <c r="BG504" s="1"/>
    </row>
    <row r="505" spans="1:59" s="54" customFormat="1" ht="20.399999999999999" hidden="1" x14ac:dyDescent="0.3">
      <c r="A505" s="56"/>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197">
        <f>+'Base de Datos'!I505</f>
        <v>208669579</v>
      </c>
      <c r="G505" s="196">
        <f>+'Base de Datos'!M505</f>
        <v>42857</v>
      </c>
      <c r="H505" s="196">
        <f>+'Base de Datos'!N505</f>
        <v>43100</v>
      </c>
      <c r="I505" s="196"/>
      <c r="J505" s="158"/>
      <c r="K505" s="333"/>
      <c r="L505" s="211"/>
      <c r="M505" s="336"/>
      <c r="N505" s="158"/>
      <c r="O505" s="333"/>
      <c r="P505" s="158"/>
      <c r="Q505" s="338"/>
      <c r="R505" s="81">
        <f t="shared" si="59"/>
        <v>0</v>
      </c>
      <c r="S505" s="258"/>
      <c r="T505" s="333"/>
      <c r="U505" s="158"/>
      <c r="V505" s="333"/>
      <c r="W505" s="158"/>
      <c r="X505" s="333"/>
      <c r="Y505" s="158"/>
      <c r="Z505" s="333"/>
      <c r="AA505" s="326"/>
      <c r="AB505" s="1004" t="str">
        <f t="shared" si="60"/>
        <v/>
      </c>
      <c r="AC505" s="1082" t="str">
        <f t="shared" si="61"/>
        <v/>
      </c>
      <c r="AD505" s="1077"/>
      <c r="AE505" s="1077"/>
      <c r="AF505" s="1084" t="str">
        <f t="shared" si="62"/>
        <v/>
      </c>
      <c r="AG505" s="1082" t="str">
        <f t="shared" si="63"/>
        <v/>
      </c>
      <c r="AH505" s="1091"/>
      <c r="AI505" s="1087"/>
      <c r="AJ505" s="1084" t="str">
        <f t="shared" si="64"/>
        <v/>
      </c>
      <c r="AK505" s="1083" t="str">
        <f t="shared" si="65"/>
        <v/>
      </c>
      <c r="AL505" s="211">
        <v>208669579</v>
      </c>
      <c r="AM505" s="211"/>
      <c r="AN505" s="211"/>
      <c r="AO505" s="211"/>
      <c r="AP505" s="211"/>
      <c r="AQ505" s="211"/>
      <c r="AR505" s="211"/>
      <c r="AS505" s="211"/>
      <c r="AT505" s="211"/>
      <c r="AU505" s="211"/>
      <c r="AV505" s="211"/>
      <c r="AW505" s="211"/>
      <c r="AX505" s="211"/>
      <c r="AY505" s="211"/>
      <c r="AZ505" s="211"/>
      <c r="BA505" s="211"/>
      <c r="BB505" s="211"/>
      <c r="BC505" s="211"/>
      <c r="BD505" s="333">
        <v>42895</v>
      </c>
      <c r="BE505" s="82">
        <f t="shared" si="66"/>
        <v>208669579</v>
      </c>
      <c r="BF505" s="13"/>
      <c r="BG505" s="1"/>
    </row>
    <row r="506" spans="1:59" s="54" customFormat="1" ht="40.799999999999997" hidden="1" x14ac:dyDescent="0.3">
      <c r="A506" s="56"/>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197">
        <f>+'Base de Datos'!I506</f>
        <v>57000000</v>
      </c>
      <c r="G506" s="196">
        <f>+'Base de Datos'!M506</f>
        <v>42846</v>
      </c>
      <c r="H506" s="196">
        <f>+'Base de Datos'!N506</f>
        <v>43152</v>
      </c>
      <c r="I506" s="196"/>
      <c r="J506" s="158">
        <v>24320000</v>
      </c>
      <c r="K506" s="333">
        <v>43132</v>
      </c>
      <c r="L506" s="211"/>
      <c r="M506" s="336"/>
      <c r="N506" s="158"/>
      <c r="O506" s="333"/>
      <c r="P506" s="158"/>
      <c r="Q506" s="338"/>
      <c r="R506" s="81">
        <f t="shared" si="59"/>
        <v>24320000</v>
      </c>
      <c r="S506" s="820" t="s">
        <v>3862</v>
      </c>
      <c r="T506" s="333">
        <v>43280</v>
      </c>
      <c r="U506" s="158"/>
      <c r="V506" s="333"/>
      <c r="W506" s="158"/>
      <c r="X506" s="333"/>
      <c r="Y506" s="158"/>
      <c r="Z506" s="333"/>
      <c r="AA506" s="820" t="s">
        <v>3862</v>
      </c>
      <c r="AB506" s="1004">
        <f t="shared" si="60"/>
        <v>43280</v>
      </c>
      <c r="AC506" s="1082" t="str">
        <f t="shared" si="61"/>
        <v/>
      </c>
      <c r="AD506" s="1077"/>
      <c r="AE506" s="1077"/>
      <c r="AF506" s="1084" t="str">
        <f t="shared" si="62"/>
        <v/>
      </c>
      <c r="AG506" s="1082" t="str">
        <f t="shared" si="63"/>
        <v/>
      </c>
      <c r="AH506" s="1091"/>
      <c r="AI506" s="1087"/>
      <c r="AJ506" s="1084" t="str">
        <f t="shared" si="64"/>
        <v/>
      </c>
      <c r="AK506" s="1083" t="str">
        <f t="shared" si="65"/>
        <v/>
      </c>
      <c r="AL506" s="211">
        <v>1900000</v>
      </c>
      <c r="AM506" s="211">
        <v>5700000</v>
      </c>
      <c r="AN506" s="211">
        <v>5700000</v>
      </c>
      <c r="AO506" s="211">
        <v>5700000</v>
      </c>
      <c r="AP506" s="211">
        <v>5700000</v>
      </c>
      <c r="AQ506" s="211">
        <v>5700000</v>
      </c>
      <c r="AR506" s="211">
        <v>5700000</v>
      </c>
      <c r="AS506" s="211">
        <v>5700000</v>
      </c>
      <c r="AT506" s="211">
        <v>5700000</v>
      </c>
      <c r="AU506" s="211">
        <v>5700000</v>
      </c>
      <c r="AV506" s="211">
        <v>3800000</v>
      </c>
      <c r="AW506" s="211">
        <v>1900000</v>
      </c>
      <c r="AX506" s="211">
        <v>5700000</v>
      </c>
      <c r="AY506" s="211">
        <v>5700000</v>
      </c>
      <c r="AZ506" s="211">
        <v>5700000</v>
      </c>
      <c r="BA506" s="211">
        <v>5320000</v>
      </c>
      <c r="BB506" s="211"/>
      <c r="BC506" s="211"/>
      <c r="BD506" s="333">
        <v>43305</v>
      </c>
      <c r="BE506" s="82">
        <f t="shared" si="66"/>
        <v>81320000</v>
      </c>
      <c r="BF506" s="13"/>
      <c r="BG506" s="1"/>
    </row>
    <row r="507" spans="1:59" s="54" customFormat="1" ht="20.399999999999999" hidden="1" x14ac:dyDescent="0.3">
      <c r="A507" s="56"/>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197">
        <f>+'Base de Datos'!I507</f>
        <v>39000000</v>
      </c>
      <c r="G507" s="196">
        <f>+'Base de Datos'!M507</f>
        <v>42846</v>
      </c>
      <c r="H507" s="196">
        <f>+'Base de Datos'!N507</f>
        <v>43186</v>
      </c>
      <c r="I507" s="196"/>
      <c r="J507" s="158"/>
      <c r="K507" s="333"/>
      <c r="L507" s="211"/>
      <c r="M507" s="336"/>
      <c r="N507" s="158"/>
      <c r="O507" s="333"/>
      <c r="P507" s="158"/>
      <c r="Q507" s="338"/>
      <c r="R507" s="81">
        <f t="shared" si="59"/>
        <v>0</v>
      </c>
      <c r="S507" s="258" t="s">
        <v>1323</v>
      </c>
      <c r="T507" s="333">
        <v>43216</v>
      </c>
      <c r="U507" s="158"/>
      <c r="V507" s="333"/>
      <c r="W507" s="158"/>
      <c r="X507" s="333"/>
      <c r="Y507" s="158"/>
      <c r="Z507" s="333"/>
      <c r="AA507" s="258" t="s">
        <v>1323</v>
      </c>
      <c r="AB507" s="1004">
        <f t="shared" si="60"/>
        <v>43216</v>
      </c>
      <c r="AC507" s="1082" t="str">
        <f t="shared" si="61"/>
        <v/>
      </c>
      <c r="AD507" s="1077"/>
      <c r="AE507" s="1077"/>
      <c r="AF507" s="1084" t="str">
        <f t="shared" si="62"/>
        <v/>
      </c>
      <c r="AG507" s="1082" t="str">
        <f t="shared" si="63"/>
        <v/>
      </c>
      <c r="AH507" s="1091"/>
      <c r="AI507" s="1087"/>
      <c r="AJ507" s="1084" t="str">
        <f t="shared" si="64"/>
        <v/>
      </c>
      <c r="AK507" s="1083" t="str">
        <f t="shared" si="65"/>
        <v/>
      </c>
      <c r="AL507" s="211">
        <v>863294</v>
      </c>
      <c r="AM507" s="211">
        <v>784512</v>
      </c>
      <c r="AN507" s="211">
        <v>953479</v>
      </c>
      <c r="AO507" s="211">
        <v>1153545</v>
      </c>
      <c r="AP507" s="211">
        <v>549616</v>
      </c>
      <c r="AQ507" s="211">
        <v>565633</v>
      </c>
      <c r="AR507" s="211">
        <v>781119</v>
      </c>
      <c r="AS507" s="211">
        <v>324188</v>
      </c>
      <c r="AT507" s="211">
        <v>656610</v>
      </c>
      <c r="AU507" s="211">
        <v>566255</v>
      </c>
      <c r="AV507" s="211">
        <v>905267</v>
      </c>
      <c r="AW507" s="211">
        <v>608743</v>
      </c>
      <c r="AX507" s="211"/>
      <c r="AY507" s="211"/>
      <c r="AZ507" s="211"/>
      <c r="BA507" s="211"/>
      <c r="BB507" s="211"/>
      <c r="BC507" s="211"/>
      <c r="BD507" s="333">
        <v>43222</v>
      </c>
      <c r="BE507" s="82">
        <f t="shared" si="66"/>
        <v>8712261</v>
      </c>
      <c r="BF507" s="13"/>
      <c r="BG507" s="1"/>
    </row>
    <row r="508" spans="1:59" s="54" customFormat="1" ht="30.6" hidden="1" x14ac:dyDescent="0.3">
      <c r="A508" s="56"/>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197">
        <f>+'Base de Datos'!I508</f>
        <v>51300000</v>
      </c>
      <c r="G508" s="196">
        <f>+'Base de Datos'!M508</f>
        <v>42850</v>
      </c>
      <c r="H508" s="196">
        <f>+'Base de Datos'!N508</f>
        <v>43125</v>
      </c>
      <c r="I508" s="196"/>
      <c r="J508" s="158">
        <v>25650000</v>
      </c>
      <c r="K508" s="333">
        <v>43122</v>
      </c>
      <c r="L508" s="211"/>
      <c r="M508" s="336"/>
      <c r="N508" s="158"/>
      <c r="O508" s="333"/>
      <c r="P508" s="158"/>
      <c r="Q508" s="338"/>
      <c r="R508" s="81">
        <f t="shared" si="59"/>
        <v>25650000</v>
      </c>
      <c r="S508" s="820" t="s">
        <v>3840</v>
      </c>
      <c r="T508" s="333">
        <v>43260</v>
      </c>
      <c r="U508" s="158"/>
      <c r="V508" s="333"/>
      <c r="W508" s="158"/>
      <c r="X508" s="333"/>
      <c r="Y508" s="158"/>
      <c r="Z508" s="333"/>
      <c r="AA508" s="820" t="s">
        <v>3840</v>
      </c>
      <c r="AB508" s="1004">
        <f t="shared" si="60"/>
        <v>43260</v>
      </c>
      <c r="AC508" s="1082" t="str">
        <f t="shared" si="61"/>
        <v/>
      </c>
      <c r="AD508" s="1077"/>
      <c r="AE508" s="1077"/>
      <c r="AF508" s="1084" t="str">
        <f t="shared" si="62"/>
        <v/>
      </c>
      <c r="AG508" s="1082" t="str">
        <f t="shared" si="63"/>
        <v/>
      </c>
      <c r="AH508" s="1091"/>
      <c r="AI508" s="1087"/>
      <c r="AJ508" s="1084" t="str">
        <f t="shared" si="64"/>
        <v/>
      </c>
      <c r="AK508" s="1083" t="str">
        <f t="shared" si="65"/>
        <v/>
      </c>
      <c r="AL508" s="211">
        <v>1140000</v>
      </c>
      <c r="AM508" s="211">
        <v>5700000</v>
      </c>
      <c r="AN508" s="211">
        <v>5700000</v>
      </c>
      <c r="AO508" s="211">
        <v>5700000</v>
      </c>
      <c r="AP508" s="211">
        <v>5700000</v>
      </c>
      <c r="AQ508" s="211">
        <v>5700000</v>
      </c>
      <c r="AR508" s="211">
        <v>5700000</v>
      </c>
      <c r="AS508" s="211">
        <v>5700000</v>
      </c>
      <c r="AT508" s="211">
        <v>5700000</v>
      </c>
      <c r="AU508" s="211">
        <v>4560000</v>
      </c>
      <c r="AV508" s="211">
        <v>1140000</v>
      </c>
      <c r="AW508" s="211">
        <v>5700000</v>
      </c>
      <c r="AX508" s="211">
        <v>5700000</v>
      </c>
      <c r="AY508" s="211">
        <v>5700000</v>
      </c>
      <c r="AZ508" s="211">
        <v>5700000</v>
      </c>
      <c r="BA508" s="211">
        <v>1710000</v>
      </c>
      <c r="BB508" s="211"/>
      <c r="BC508" s="211"/>
      <c r="BD508" s="333">
        <v>43258</v>
      </c>
      <c r="BE508" s="82">
        <f t="shared" si="66"/>
        <v>76950000</v>
      </c>
      <c r="BF508" s="13"/>
      <c r="BG508" s="1"/>
    </row>
    <row r="509" spans="1:59" s="54" customFormat="1" ht="30.6" hidden="1" x14ac:dyDescent="0.3">
      <c r="A509" s="56"/>
      <c r="B509" s="2" t="str">
        <f>+'Base de Datos'!E509</f>
        <v>170109-0-2017</v>
      </c>
      <c r="C509" s="2" t="str">
        <f>+'Base de Datos'!F509</f>
        <v>LUZ ANGELA CARDENAS MORENO (Cesionaria) / IVON ADRIANA JIMENEZ ZAPATA (Antes)</v>
      </c>
      <c r="D509" s="2">
        <f>+'Base de Datos'!G509</f>
        <v>63548489</v>
      </c>
      <c r="E509" s="2" t="str">
        <f>+'Base de Datos'!H509</f>
        <v>Prestar servicios profesionales para apoyar a la oficina de comunicaciones del Concejo de Bogotá para el cumplimiento al plan de comunicaciones internas y externas de la entidad.</v>
      </c>
      <c r="F509" s="197">
        <f>+'Base de Datos'!I509</f>
        <v>51300000</v>
      </c>
      <c r="G509" s="196">
        <f>+'Base de Datos'!M509</f>
        <v>42851</v>
      </c>
      <c r="H509" s="196">
        <f>+'Base de Datos'!N509</f>
        <v>43126</v>
      </c>
      <c r="I509" s="196"/>
      <c r="J509" s="158">
        <v>25650000</v>
      </c>
      <c r="K509" s="333">
        <v>43122</v>
      </c>
      <c r="L509" s="211"/>
      <c r="M509" s="336"/>
      <c r="N509" s="158"/>
      <c r="O509" s="333"/>
      <c r="P509" s="158"/>
      <c r="Q509" s="338"/>
      <c r="R509" s="81">
        <f t="shared" si="59"/>
        <v>25650000</v>
      </c>
      <c r="S509" s="820" t="s">
        <v>3840</v>
      </c>
      <c r="T509" s="333">
        <v>43261</v>
      </c>
      <c r="U509" s="158"/>
      <c r="V509" s="333"/>
      <c r="W509" s="158"/>
      <c r="X509" s="333"/>
      <c r="Y509" s="158"/>
      <c r="Z509" s="333"/>
      <c r="AA509" s="820" t="s">
        <v>3840</v>
      </c>
      <c r="AB509" s="1004">
        <f t="shared" si="60"/>
        <v>43261</v>
      </c>
      <c r="AC509" s="1082" t="str">
        <f t="shared" si="61"/>
        <v/>
      </c>
      <c r="AD509" s="1077"/>
      <c r="AE509" s="1077"/>
      <c r="AF509" s="1084" t="str">
        <f t="shared" si="62"/>
        <v/>
      </c>
      <c r="AG509" s="1082" t="str">
        <f t="shared" si="63"/>
        <v/>
      </c>
      <c r="AH509" s="1091"/>
      <c r="AI509" s="1087"/>
      <c r="AJ509" s="1084" t="str">
        <f t="shared" si="64"/>
        <v/>
      </c>
      <c r="AK509" s="1083" t="str">
        <f t="shared" si="65"/>
        <v/>
      </c>
      <c r="AL509" s="211">
        <v>950000</v>
      </c>
      <c r="AM509" s="211">
        <v>5700000</v>
      </c>
      <c r="AN509" s="211">
        <v>5700000</v>
      </c>
      <c r="AO509" s="211">
        <v>5700000</v>
      </c>
      <c r="AP509" s="211">
        <v>5700000</v>
      </c>
      <c r="AQ509" s="211">
        <v>5700000</v>
      </c>
      <c r="AR509" s="211">
        <v>5700000</v>
      </c>
      <c r="AS509" s="211">
        <v>5700000</v>
      </c>
      <c r="AT509" s="211">
        <v>5700000</v>
      </c>
      <c r="AU509" s="211">
        <v>4750000</v>
      </c>
      <c r="AV509" s="211">
        <v>950000</v>
      </c>
      <c r="AW509" s="211">
        <v>5700000</v>
      </c>
      <c r="AX509" s="211">
        <v>4940000</v>
      </c>
      <c r="AY509" s="211">
        <v>5320000</v>
      </c>
      <c r="AZ509" s="211">
        <v>5700000</v>
      </c>
      <c r="BA509" s="211">
        <v>1900000</v>
      </c>
      <c r="BB509" s="211"/>
      <c r="BC509" s="211"/>
      <c r="BD509" s="333">
        <v>43298</v>
      </c>
      <c r="BE509" s="82">
        <f t="shared" si="66"/>
        <v>75810000</v>
      </c>
      <c r="BF509" s="13"/>
      <c r="BG509" s="1"/>
    </row>
    <row r="510" spans="1:59" s="54" customFormat="1" hidden="1" x14ac:dyDescent="0.3">
      <c r="A510" s="56"/>
      <c r="B510" s="2" t="str">
        <f>+'Base de Datos'!E510</f>
        <v>170093-0-2017</v>
      </c>
      <c r="C510" s="2" t="str">
        <f>+'Base de Datos'!F510</f>
        <v>REDCOMPUTO  LTDA</v>
      </c>
      <c r="D510" s="2">
        <f>+'Base de Datos'!G510</f>
        <v>830016004</v>
      </c>
      <c r="E510" s="2" t="str">
        <f>+'Base de Datos'!H510</f>
        <v>Proveer servidor para el Concejo de Bogotá</v>
      </c>
      <c r="F510" s="197">
        <f>+'Base de Datos'!I510</f>
        <v>58228000</v>
      </c>
      <c r="G510" s="196">
        <f>+'Base de Datos'!M510</f>
        <v>42857</v>
      </c>
      <c r="H510" s="196">
        <f>+'Base de Datos'!N510</f>
        <v>42918</v>
      </c>
      <c r="I510" s="196"/>
      <c r="J510" s="158"/>
      <c r="K510" s="333"/>
      <c r="L510" s="211"/>
      <c r="M510" s="336"/>
      <c r="N510" s="158"/>
      <c r="O510" s="333"/>
      <c r="P510" s="158"/>
      <c r="Q510" s="338"/>
      <c r="R510" s="81">
        <f t="shared" si="59"/>
        <v>0</v>
      </c>
      <c r="S510" s="258"/>
      <c r="T510" s="333"/>
      <c r="U510" s="158"/>
      <c r="V510" s="333"/>
      <c r="W510" s="158"/>
      <c r="X510" s="333"/>
      <c r="Y510" s="158"/>
      <c r="Z510" s="333"/>
      <c r="AA510" s="326"/>
      <c r="AB510" s="1004" t="str">
        <f t="shared" si="60"/>
        <v/>
      </c>
      <c r="AC510" s="1082" t="str">
        <f t="shared" si="61"/>
        <v/>
      </c>
      <c r="AD510" s="1077"/>
      <c r="AE510" s="1077"/>
      <c r="AF510" s="1084" t="str">
        <f t="shared" si="62"/>
        <v/>
      </c>
      <c r="AG510" s="1082" t="str">
        <f t="shared" si="63"/>
        <v/>
      </c>
      <c r="AH510" s="1091"/>
      <c r="AI510" s="1087"/>
      <c r="AJ510" s="1084" t="str">
        <f t="shared" si="64"/>
        <v/>
      </c>
      <c r="AK510" s="1083" t="str">
        <f t="shared" si="65"/>
        <v/>
      </c>
      <c r="AL510" s="211">
        <v>58228000</v>
      </c>
      <c r="AM510" s="211"/>
      <c r="AN510" s="211"/>
      <c r="AO510" s="211"/>
      <c r="AP510" s="211"/>
      <c r="AQ510" s="211"/>
      <c r="AR510" s="211"/>
      <c r="AS510" s="211"/>
      <c r="AT510" s="211"/>
      <c r="AU510" s="211"/>
      <c r="AV510" s="211"/>
      <c r="AW510" s="211"/>
      <c r="AX510" s="211"/>
      <c r="AY510" s="211"/>
      <c r="AZ510" s="211"/>
      <c r="BA510" s="211"/>
      <c r="BB510" s="211"/>
      <c r="BC510" s="211"/>
      <c r="BD510" s="333">
        <v>42949</v>
      </c>
      <c r="BE510" s="82">
        <f t="shared" si="66"/>
        <v>58228000</v>
      </c>
      <c r="BF510" s="13"/>
      <c r="BG510" s="1"/>
    </row>
    <row r="511" spans="1:59" s="54" customFormat="1" ht="40.799999999999997" hidden="1" x14ac:dyDescent="0.3">
      <c r="A511" s="56"/>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197">
        <f>+'Base de Datos'!I511</f>
        <v>51300000</v>
      </c>
      <c r="G511" s="196">
        <f>+'Base de Datos'!M511</f>
        <v>42857</v>
      </c>
      <c r="H511" s="196">
        <f>+'Base de Datos'!N511</f>
        <v>43133</v>
      </c>
      <c r="I511" s="196"/>
      <c r="J511" s="158"/>
      <c r="K511" s="333"/>
      <c r="L511" s="211"/>
      <c r="M511" s="336"/>
      <c r="N511" s="158"/>
      <c r="O511" s="333"/>
      <c r="P511" s="158"/>
      <c r="Q511" s="338"/>
      <c r="R511" s="81">
        <f t="shared" si="59"/>
        <v>0</v>
      </c>
      <c r="S511" s="820" t="s">
        <v>3903</v>
      </c>
      <c r="T511" s="333">
        <v>43222</v>
      </c>
      <c r="U511" s="158"/>
      <c r="V511" s="333"/>
      <c r="W511" s="158"/>
      <c r="X511" s="333"/>
      <c r="Y511" s="158"/>
      <c r="Z511" s="333"/>
      <c r="AA511" s="820" t="s">
        <v>3903</v>
      </c>
      <c r="AB511" s="1004">
        <f t="shared" si="60"/>
        <v>43222</v>
      </c>
      <c r="AC511" s="1082" t="str">
        <f t="shared" si="61"/>
        <v/>
      </c>
      <c r="AD511" s="1077"/>
      <c r="AE511" s="1077"/>
      <c r="AF511" s="1084" t="str">
        <f t="shared" si="62"/>
        <v/>
      </c>
      <c r="AG511" s="1082" t="str">
        <f t="shared" si="63"/>
        <v/>
      </c>
      <c r="AH511" s="1091"/>
      <c r="AI511" s="1087"/>
      <c r="AJ511" s="1084" t="str">
        <f t="shared" si="64"/>
        <v/>
      </c>
      <c r="AK511" s="1083" t="str">
        <f t="shared" si="65"/>
        <v/>
      </c>
      <c r="AL511" s="211">
        <v>5510000</v>
      </c>
      <c r="AM511" s="211">
        <v>5700000</v>
      </c>
      <c r="AN511" s="211">
        <v>5700000</v>
      </c>
      <c r="AO511" s="211">
        <v>5700000</v>
      </c>
      <c r="AP511" s="211">
        <v>5700000</v>
      </c>
      <c r="AQ511" s="211">
        <v>5700000</v>
      </c>
      <c r="AR511" s="211">
        <v>5700000</v>
      </c>
      <c r="AS511" s="211">
        <v>5700000</v>
      </c>
      <c r="AT511" s="211">
        <v>5700000</v>
      </c>
      <c r="AU511" s="211">
        <v>190000</v>
      </c>
      <c r="AV511" s="211"/>
      <c r="AW511" s="211"/>
      <c r="AX511" s="211"/>
      <c r="AY511" s="211"/>
      <c r="AZ511" s="211"/>
      <c r="BA511" s="211"/>
      <c r="BB511" s="211"/>
      <c r="BC511" s="211"/>
      <c r="BD511" s="333">
        <v>42536</v>
      </c>
      <c r="BE511" s="82">
        <f t="shared" si="66"/>
        <v>51300000</v>
      </c>
      <c r="BF511" s="13"/>
      <c r="BG511" s="1"/>
    </row>
    <row r="512" spans="1:59" s="54" customFormat="1" ht="40.799999999999997" hidden="1" x14ac:dyDescent="0.3">
      <c r="A512" s="56"/>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197">
        <f>+'Base de Datos'!I512</f>
        <v>57000000</v>
      </c>
      <c r="G512" s="196">
        <f>+'Base de Datos'!M512</f>
        <v>42857</v>
      </c>
      <c r="H512" s="196">
        <f>+'Base de Datos'!N512</f>
        <v>43161</v>
      </c>
      <c r="I512" s="196"/>
      <c r="J512" s="158">
        <v>22230000</v>
      </c>
      <c r="K512" s="333">
        <v>43126</v>
      </c>
      <c r="L512" s="211"/>
      <c r="M512" s="336"/>
      <c r="N512" s="158"/>
      <c r="O512" s="333"/>
      <c r="P512" s="158"/>
      <c r="Q512" s="338"/>
      <c r="R512" s="81">
        <f t="shared" si="59"/>
        <v>22230000</v>
      </c>
      <c r="S512" s="820" t="s">
        <v>3861</v>
      </c>
      <c r="T512" s="333">
        <v>43280</v>
      </c>
      <c r="U512" s="158"/>
      <c r="V512" s="333"/>
      <c r="W512" s="158"/>
      <c r="X512" s="333"/>
      <c r="Y512" s="158"/>
      <c r="Z512" s="333"/>
      <c r="AA512" s="820" t="s">
        <v>3861</v>
      </c>
      <c r="AB512" s="1004">
        <f t="shared" si="60"/>
        <v>43280</v>
      </c>
      <c r="AC512" s="1082" t="str">
        <f t="shared" si="61"/>
        <v/>
      </c>
      <c r="AD512" s="1077"/>
      <c r="AE512" s="1077"/>
      <c r="AF512" s="1084" t="str">
        <f t="shared" si="62"/>
        <v/>
      </c>
      <c r="AG512" s="1082" t="str">
        <f t="shared" si="63"/>
        <v/>
      </c>
      <c r="AH512" s="1091"/>
      <c r="AI512" s="1087"/>
      <c r="AJ512" s="1084" t="str">
        <f t="shared" si="64"/>
        <v/>
      </c>
      <c r="AK512" s="1083" t="str">
        <f t="shared" si="65"/>
        <v/>
      </c>
      <c r="AL512" s="211">
        <v>5510000</v>
      </c>
      <c r="AM512" s="211">
        <v>5700000</v>
      </c>
      <c r="AN512" s="211">
        <v>5700000</v>
      </c>
      <c r="AO512" s="211">
        <v>5700000</v>
      </c>
      <c r="AP512" s="211">
        <v>5700000</v>
      </c>
      <c r="AQ512" s="211">
        <v>5700000</v>
      </c>
      <c r="AR512" s="211">
        <v>5700000</v>
      </c>
      <c r="AS512" s="211">
        <v>5700000</v>
      </c>
      <c r="AT512" s="211">
        <v>5700000</v>
      </c>
      <c r="AU512" s="211">
        <v>5700000</v>
      </c>
      <c r="AV512" s="211">
        <v>190000</v>
      </c>
      <c r="AW512" s="211">
        <v>5510000</v>
      </c>
      <c r="AX512" s="211">
        <v>5700000</v>
      </c>
      <c r="AY512" s="211">
        <v>5700000</v>
      </c>
      <c r="AZ512" s="211">
        <v>5320000</v>
      </c>
      <c r="BA512" s="211"/>
      <c r="BB512" s="211"/>
      <c r="BC512" s="211"/>
      <c r="BD512" s="333">
        <v>43353</v>
      </c>
      <c r="BE512" s="82">
        <f t="shared" si="66"/>
        <v>79230000</v>
      </c>
      <c r="BF512" s="13"/>
      <c r="BG512" s="1"/>
    </row>
    <row r="513" spans="1:59" s="54" customFormat="1" ht="40.799999999999997" hidden="1" x14ac:dyDescent="0.3">
      <c r="A513" s="56"/>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197">
        <f>+'Base de Datos'!I513</f>
        <v>38999997</v>
      </c>
      <c r="G513" s="196">
        <f>+'Base de Datos'!M513</f>
        <v>42858</v>
      </c>
      <c r="H513" s="196">
        <f>+'Base de Datos'!N513</f>
        <v>43134</v>
      </c>
      <c r="I513" s="196"/>
      <c r="J513" s="158">
        <v>19499999</v>
      </c>
      <c r="K513" s="333">
        <v>43133</v>
      </c>
      <c r="L513" s="211"/>
      <c r="M513" s="336"/>
      <c r="N513" s="158"/>
      <c r="O513" s="333"/>
      <c r="P513" s="158"/>
      <c r="Q513" s="338"/>
      <c r="R513" s="81">
        <f t="shared" ref="R513:R576" si="67">SUM(J513,L513,N513,P513)</f>
        <v>19499999</v>
      </c>
      <c r="S513" s="820" t="s">
        <v>3840</v>
      </c>
      <c r="T513" s="333">
        <v>43268</v>
      </c>
      <c r="U513" s="158"/>
      <c r="V513" s="333"/>
      <c r="W513" s="158"/>
      <c r="X513" s="333"/>
      <c r="Y513" s="158"/>
      <c r="Z513" s="333"/>
      <c r="AA513" s="326" t="s">
        <v>3852</v>
      </c>
      <c r="AB513" s="1004">
        <f t="shared" si="60"/>
        <v>43268</v>
      </c>
      <c r="AC513" s="1082" t="str">
        <f t="shared" si="61"/>
        <v/>
      </c>
      <c r="AD513" s="1077"/>
      <c r="AE513" s="1077"/>
      <c r="AF513" s="1084" t="str">
        <f t="shared" si="62"/>
        <v/>
      </c>
      <c r="AG513" s="1082" t="str">
        <f t="shared" si="63"/>
        <v/>
      </c>
      <c r="AH513" s="1091"/>
      <c r="AI513" s="1087"/>
      <c r="AJ513" s="1084" t="str">
        <f t="shared" si="64"/>
        <v/>
      </c>
      <c r="AK513" s="1083" t="str">
        <f t="shared" si="65"/>
        <v/>
      </c>
      <c r="AL513" s="211">
        <v>3900000</v>
      </c>
      <c r="AM513" s="211">
        <v>4333333</v>
      </c>
      <c r="AN513" s="211">
        <v>4333333</v>
      </c>
      <c r="AO513" s="211">
        <v>4333333</v>
      </c>
      <c r="AP513" s="211">
        <v>4333333</v>
      </c>
      <c r="AQ513" s="211">
        <v>4333333</v>
      </c>
      <c r="AR513" s="211">
        <v>4333333</v>
      </c>
      <c r="AS513" s="211">
        <v>4333333</v>
      </c>
      <c r="AT513" s="211">
        <v>4333333</v>
      </c>
      <c r="AU513" s="211">
        <v>433333</v>
      </c>
      <c r="AV513" s="211">
        <v>3900000</v>
      </c>
      <c r="AW513" s="211">
        <v>4333333</v>
      </c>
      <c r="AX513" s="211">
        <v>4333333</v>
      </c>
      <c r="AY513" s="211">
        <v>4333333</v>
      </c>
      <c r="AZ513" s="211">
        <v>2600000</v>
      </c>
      <c r="BA513" s="211"/>
      <c r="BB513" s="211"/>
      <c r="BC513" s="211"/>
      <c r="BD513" s="333">
        <v>43278</v>
      </c>
      <c r="BE513" s="82">
        <f t="shared" si="66"/>
        <v>58499996</v>
      </c>
      <c r="BF513" s="13"/>
      <c r="BG513" s="1"/>
    </row>
    <row r="514" spans="1:59" s="54" customFormat="1" ht="30.6" hidden="1" x14ac:dyDescent="0.3">
      <c r="A514" s="56"/>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197">
        <f>+'Base de Datos'!I514</f>
        <v>57000000</v>
      </c>
      <c r="G514" s="196">
        <f>+'Base de Datos'!M514</f>
        <v>42857</v>
      </c>
      <c r="H514" s="196">
        <f>+'Base de Datos'!N514</f>
        <v>43161</v>
      </c>
      <c r="I514" s="196"/>
      <c r="J514" s="158">
        <v>22230000</v>
      </c>
      <c r="K514" s="333">
        <v>43130</v>
      </c>
      <c r="L514" s="211"/>
      <c r="M514" s="336"/>
      <c r="N514" s="158"/>
      <c r="O514" s="333"/>
      <c r="P514" s="158"/>
      <c r="Q514" s="338"/>
      <c r="R514" s="81">
        <f t="shared" si="67"/>
        <v>22230000</v>
      </c>
      <c r="S514" s="820" t="s">
        <v>3850</v>
      </c>
      <c r="T514" s="333">
        <v>43280</v>
      </c>
      <c r="U514" s="158"/>
      <c r="V514" s="333"/>
      <c r="W514" s="158"/>
      <c r="X514" s="333"/>
      <c r="Y514" s="158"/>
      <c r="Z514" s="333"/>
      <c r="AA514" s="326" t="s">
        <v>3850</v>
      </c>
      <c r="AB514" s="1004">
        <f t="shared" si="60"/>
        <v>43280</v>
      </c>
      <c r="AC514" s="1082" t="str">
        <f t="shared" si="61"/>
        <v/>
      </c>
      <c r="AD514" s="1077"/>
      <c r="AE514" s="1077"/>
      <c r="AF514" s="1084" t="str">
        <f t="shared" si="62"/>
        <v/>
      </c>
      <c r="AG514" s="1082" t="str">
        <f t="shared" si="63"/>
        <v/>
      </c>
      <c r="AH514" s="1091"/>
      <c r="AI514" s="1087"/>
      <c r="AJ514" s="1084" t="str">
        <f t="shared" si="64"/>
        <v/>
      </c>
      <c r="AK514" s="1083" t="str">
        <f t="shared" si="65"/>
        <v/>
      </c>
      <c r="AL514" s="211">
        <v>5510000</v>
      </c>
      <c r="AM514" s="211">
        <v>5700000</v>
      </c>
      <c r="AN514" s="211">
        <v>5700000</v>
      </c>
      <c r="AO514" s="211">
        <v>5700000</v>
      </c>
      <c r="AP514" s="211">
        <v>5700000</v>
      </c>
      <c r="AQ514" s="211">
        <v>5700000</v>
      </c>
      <c r="AR514" s="211">
        <v>5700000</v>
      </c>
      <c r="AS514" s="211">
        <v>5700000</v>
      </c>
      <c r="AT514" s="211">
        <v>5700000</v>
      </c>
      <c r="AU514" s="211">
        <v>5700000</v>
      </c>
      <c r="AV514" s="211">
        <v>190000</v>
      </c>
      <c r="AW514" s="211">
        <v>5510000</v>
      </c>
      <c r="AX514" s="211">
        <v>5700000</v>
      </c>
      <c r="AY514" s="211">
        <v>5700000</v>
      </c>
      <c r="AZ514" s="211">
        <v>5320000</v>
      </c>
      <c r="BA514" s="211"/>
      <c r="BB514" s="211"/>
      <c r="BC514" s="211"/>
      <c r="BD514" s="333">
        <v>43311</v>
      </c>
      <c r="BE514" s="82">
        <f t="shared" si="66"/>
        <v>79230000</v>
      </c>
      <c r="BF514" s="13"/>
      <c r="BG514" s="1"/>
    </row>
    <row r="515" spans="1:59" s="54" customFormat="1" ht="30.6" hidden="1" x14ac:dyDescent="0.3">
      <c r="A515" s="56"/>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197">
        <f>+'Base de Datos'!I515</f>
        <v>57000000</v>
      </c>
      <c r="G515" s="196">
        <f>+'Base de Datos'!M515</f>
        <v>42857</v>
      </c>
      <c r="H515" s="196">
        <f>+'Base de Datos'!N515</f>
        <v>43161</v>
      </c>
      <c r="I515" s="196"/>
      <c r="J515" s="158">
        <v>22230000</v>
      </c>
      <c r="K515" s="333">
        <v>43126</v>
      </c>
      <c r="L515" s="211"/>
      <c r="M515" s="336"/>
      <c r="N515" s="158"/>
      <c r="O515" s="333"/>
      <c r="P515" s="158"/>
      <c r="Q515" s="338"/>
      <c r="R515" s="81">
        <f t="shared" si="67"/>
        <v>22230000</v>
      </c>
      <c r="S515" s="820" t="s">
        <v>3850</v>
      </c>
      <c r="T515" s="333">
        <v>43280</v>
      </c>
      <c r="U515" s="158"/>
      <c r="V515" s="333"/>
      <c r="W515" s="158"/>
      <c r="X515" s="333"/>
      <c r="Y515" s="158"/>
      <c r="Z515" s="333"/>
      <c r="AA515" s="820" t="s">
        <v>3850</v>
      </c>
      <c r="AB515" s="1004">
        <f t="shared" si="60"/>
        <v>43280</v>
      </c>
      <c r="AC515" s="1082" t="str">
        <f t="shared" si="61"/>
        <v/>
      </c>
      <c r="AD515" s="1077"/>
      <c r="AE515" s="1077"/>
      <c r="AF515" s="1084" t="str">
        <f t="shared" si="62"/>
        <v/>
      </c>
      <c r="AG515" s="1082" t="str">
        <f t="shared" si="63"/>
        <v/>
      </c>
      <c r="AH515" s="1091"/>
      <c r="AI515" s="1087"/>
      <c r="AJ515" s="1084" t="str">
        <f t="shared" si="64"/>
        <v/>
      </c>
      <c r="AK515" s="1083" t="str">
        <f t="shared" si="65"/>
        <v/>
      </c>
      <c r="AL515" s="211">
        <v>5510000</v>
      </c>
      <c r="AM515" s="211">
        <v>5700000</v>
      </c>
      <c r="AN515" s="211">
        <v>5700000</v>
      </c>
      <c r="AO515" s="211">
        <v>5700000</v>
      </c>
      <c r="AP515" s="211">
        <v>5700000</v>
      </c>
      <c r="AQ515" s="211">
        <v>5700000</v>
      </c>
      <c r="AR515" s="211">
        <v>1520000</v>
      </c>
      <c r="AS515" s="211">
        <v>1330000</v>
      </c>
      <c r="AT515" s="211">
        <v>5700000</v>
      </c>
      <c r="AU515" s="211">
        <v>5700000</v>
      </c>
      <c r="AV515" s="211">
        <v>5700000</v>
      </c>
      <c r="AW515" s="211">
        <v>190000</v>
      </c>
      <c r="AX515" s="211">
        <v>5510000</v>
      </c>
      <c r="AY515" s="211">
        <v>5700000</v>
      </c>
      <c r="AZ515" s="211">
        <v>5700000</v>
      </c>
      <c r="BA515" s="211">
        <v>5320000</v>
      </c>
      <c r="BB515" s="211"/>
      <c r="BC515" s="211"/>
      <c r="BD515" s="333">
        <v>43305</v>
      </c>
      <c r="BE515" s="82">
        <f t="shared" si="66"/>
        <v>76380000</v>
      </c>
      <c r="BF515" s="13"/>
      <c r="BG515" s="1"/>
    </row>
    <row r="516" spans="1:59" s="54" customFormat="1" ht="30.6" hidden="1" x14ac:dyDescent="0.3">
      <c r="A516" s="56"/>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197">
        <f>+'Base de Datos'!I516</f>
        <v>443322870</v>
      </c>
      <c r="G516" s="196">
        <f>+'Base de Datos'!M516</f>
        <v>42857</v>
      </c>
      <c r="H516" s="196">
        <f>+'Base de Datos'!N516</f>
        <v>43192</v>
      </c>
      <c r="I516" s="196"/>
      <c r="J516" s="158">
        <v>115711827</v>
      </c>
      <c r="K516" s="333">
        <v>43187</v>
      </c>
      <c r="L516" s="211">
        <v>75390221</v>
      </c>
      <c r="M516" s="336">
        <v>43280</v>
      </c>
      <c r="N516" s="158"/>
      <c r="O516" s="333"/>
      <c r="P516" s="158"/>
      <c r="Q516" s="338"/>
      <c r="R516" s="81">
        <f t="shared" si="67"/>
        <v>191102048</v>
      </c>
      <c r="S516" s="258" t="s">
        <v>3939</v>
      </c>
      <c r="T516" s="333">
        <v>43283</v>
      </c>
      <c r="U516" s="158" t="s">
        <v>379</v>
      </c>
      <c r="V516" s="333">
        <v>43375</v>
      </c>
      <c r="W516" s="158"/>
      <c r="X516" s="333"/>
      <c r="Y516" s="158"/>
      <c r="Z516" s="333"/>
      <c r="AA516" s="326" t="s">
        <v>4119</v>
      </c>
      <c r="AB516" s="1004">
        <f t="shared" si="60"/>
        <v>43375</v>
      </c>
      <c r="AC516" s="1082" t="str">
        <f t="shared" si="61"/>
        <v/>
      </c>
      <c r="AD516" s="1077"/>
      <c r="AE516" s="1077"/>
      <c r="AF516" s="1084" t="str">
        <f t="shared" si="62"/>
        <v/>
      </c>
      <c r="AG516" s="1082" t="str">
        <f t="shared" si="63"/>
        <v/>
      </c>
      <c r="AH516" s="1091"/>
      <c r="AI516" s="1087"/>
      <c r="AJ516" s="1084" t="str">
        <f t="shared" si="64"/>
        <v/>
      </c>
      <c r="AK516" s="1083" t="str">
        <f t="shared" si="65"/>
        <v/>
      </c>
      <c r="AL516" s="211">
        <v>31625241</v>
      </c>
      <c r="AM516" s="211">
        <v>29809414</v>
      </c>
      <c r="AN516" s="211">
        <v>28639774</v>
      </c>
      <c r="AO516" s="211">
        <v>34175180</v>
      </c>
      <c r="AP516" s="211">
        <v>35122053</v>
      </c>
      <c r="AQ516" s="211">
        <v>42013189</v>
      </c>
      <c r="AR516" s="211">
        <v>33417867</v>
      </c>
      <c r="AS516" s="211">
        <v>30774163</v>
      </c>
      <c r="AT516" s="211">
        <v>32320904</v>
      </c>
      <c r="AU516" s="211">
        <v>26461187</v>
      </c>
      <c r="AV516" s="211">
        <v>33902463</v>
      </c>
      <c r="AW516" s="211">
        <v>52063</v>
      </c>
      <c r="AX516" s="211">
        <v>31494868</v>
      </c>
      <c r="AY516" s="211">
        <v>31139853</v>
      </c>
      <c r="AZ516" s="211">
        <v>32855713</v>
      </c>
      <c r="BA516" s="211">
        <v>31016611</v>
      </c>
      <c r="BB516" s="211">
        <v>31438059</v>
      </c>
      <c r="BC516" s="211">
        <f>33321438+38846134+3610161+10841736</f>
        <v>86619469</v>
      </c>
      <c r="BD516" s="333">
        <v>43503</v>
      </c>
      <c r="BE516" s="82">
        <f t="shared" si="66"/>
        <v>602878071</v>
      </c>
      <c r="BF516" s="13"/>
      <c r="BG516" s="1"/>
    </row>
    <row r="517" spans="1:59" s="54" customFormat="1" ht="30.6" hidden="1" x14ac:dyDescent="0.3">
      <c r="A517" s="56"/>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197">
        <f>+'Base de Datos'!I517</f>
        <v>38999996</v>
      </c>
      <c r="G517" s="196">
        <f>+'Base de Datos'!M517</f>
        <v>42858</v>
      </c>
      <c r="H517" s="196">
        <f>+'Base de Datos'!N517</f>
        <v>43134</v>
      </c>
      <c r="I517" s="196"/>
      <c r="J517" s="158"/>
      <c r="K517" s="333"/>
      <c r="L517" s="211"/>
      <c r="M517" s="336"/>
      <c r="N517" s="158"/>
      <c r="O517" s="333"/>
      <c r="P517" s="158"/>
      <c r="Q517" s="338"/>
      <c r="R517" s="81">
        <f t="shared" si="67"/>
        <v>0</v>
      </c>
      <c r="S517" s="258"/>
      <c r="T517" s="333"/>
      <c r="U517" s="158"/>
      <c r="V517" s="333"/>
      <c r="W517" s="158"/>
      <c r="X517" s="333"/>
      <c r="Y517" s="158"/>
      <c r="Z517" s="333"/>
      <c r="AA517" s="326"/>
      <c r="AB517" s="1004" t="str">
        <f t="shared" si="60"/>
        <v/>
      </c>
      <c r="AC517" s="1082" t="str">
        <f t="shared" si="61"/>
        <v/>
      </c>
      <c r="AD517" s="1077"/>
      <c r="AE517" s="1077"/>
      <c r="AF517" s="1084" t="str">
        <f t="shared" si="62"/>
        <v/>
      </c>
      <c r="AG517" s="1082" t="str">
        <f t="shared" si="63"/>
        <v/>
      </c>
      <c r="AH517" s="1091"/>
      <c r="AI517" s="1087"/>
      <c r="AJ517" s="1084" t="str">
        <f t="shared" si="64"/>
        <v/>
      </c>
      <c r="AK517" s="1083" t="str">
        <f t="shared" si="65"/>
        <v/>
      </c>
      <c r="AL517" s="211">
        <v>3214814</v>
      </c>
      <c r="AM517" s="211">
        <v>3444444</v>
      </c>
      <c r="AN517" s="211">
        <v>3444444</v>
      </c>
      <c r="AO517" s="211">
        <v>1607407</v>
      </c>
      <c r="AP517" s="211"/>
      <c r="AQ517" s="211"/>
      <c r="AR517" s="211"/>
      <c r="AS517" s="211"/>
      <c r="AT517" s="211"/>
      <c r="AU517" s="211"/>
      <c r="AV517" s="211"/>
      <c r="AW517" s="211"/>
      <c r="AX517" s="211"/>
      <c r="AY517" s="211"/>
      <c r="AZ517" s="211"/>
      <c r="BA517" s="211"/>
      <c r="BB517" s="211"/>
      <c r="BC517" s="211">
        <v>43017</v>
      </c>
      <c r="BD517" s="333">
        <v>42963</v>
      </c>
      <c r="BE517" s="82">
        <f t="shared" si="66"/>
        <v>11754126</v>
      </c>
      <c r="BF517" s="13"/>
      <c r="BG517" s="1"/>
    </row>
    <row r="518" spans="1:59" s="54" customFormat="1" ht="40.799999999999997" hidden="1" x14ac:dyDescent="0.3">
      <c r="A518" s="56"/>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197">
        <f>+'Base de Datos'!I518</f>
        <v>38999997</v>
      </c>
      <c r="G518" s="196">
        <f>+'Base de Datos'!M518</f>
        <v>42858</v>
      </c>
      <c r="H518" s="196">
        <f>+'Base de Datos'!N518</f>
        <v>43134</v>
      </c>
      <c r="I518" s="196"/>
      <c r="J518" s="158">
        <v>19499999</v>
      </c>
      <c r="K518" s="333">
        <v>43124</v>
      </c>
      <c r="L518" s="211"/>
      <c r="M518" s="336"/>
      <c r="N518" s="158"/>
      <c r="O518" s="333"/>
      <c r="P518" s="158"/>
      <c r="Q518" s="338"/>
      <c r="R518" s="81">
        <f t="shared" si="67"/>
        <v>19499999</v>
      </c>
      <c r="S518" s="820" t="s">
        <v>3840</v>
      </c>
      <c r="T518" s="333">
        <v>43269</v>
      </c>
      <c r="U518" s="158"/>
      <c r="V518" s="333"/>
      <c r="W518" s="158"/>
      <c r="X518" s="333"/>
      <c r="Y518" s="158"/>
      <c r="Z518" s="333"/>
      <c r="AA518" s="326" t="s">
        <v>3840</v>
      </c>
      <c r="AB518" s="1004">
        <f t="shared" si="60"/>
        <v>43269</v>
      </c>
      <c r="AC518" s="1082" t="str">
        <f t="shared" si="61"/>
        <v/>
      </c>
      <c r="AD518" s="1077"/>
      <c r="AE518" s="1077"/>
      <c r="AF518" s="1084" t="str">
        <f t="shared" si="62"/>
        <v/>
      </c>
      <c r="AG518" s="1082" t="str">
        <f t="shared" si="63"/>
        <v/>
      </c>
      <c r="AH518" s="1091"/>
      <c r="AI518" s="1087"/>
      <c r="AJ518" s="1084" t="str">
        <f t="shared" si="64"/>
        <v/>
      </c>
      <c r="AK518" s="1083" t="str">
        <f t="shared" si="65"/>
        <v/>
      </c>
      <c r="AL518" s="211">
        <v>4044444</v>
      </c>
      <c r="AM518" s="211">
        <v>4333333</v>
      </c>
      <c r="AN518" s="211">
        <v>4333333</v>
      </c>
      <c r="AO518" s="211">
        <v>4333333</v>
      </c>
      <c r="AP518" s="211">
        <v>4333333</v>
      </c>
      <c r="AQ518" s="211">
        <v>4333333</v>
      </c>
      <c r="AR518" s="211">
        <v>4333333</v>
      </c>
      <c r="AS518" s="211">
        <v>4333333</v>
      </c>
      <c r="AT518" s="211"/>
      <c r="AU518" s="211">
        <v>4333333</v>
      </c>
      <c r="AV518" s="211">
        <v>288889</v>
      </c>
      <c r="AW518" s="211">
        <v>4044444</v>
      </c>
      <c r="AX518" s="211">
        <v>4333333</v>
      </c>
      <c r="AY518" s="211">
        <v>4333333</v>
      </c>
      <c r="AZ518" s="211">
        <v>4333333</v>
      </c>
      <c r="BA518" s="211">
        <v>2455555</v>
      </c>
      <c r="BB518" s="211"/>
      <c r="BC518" s="211"/>
      <c r="BD518" s="333">
        <v>43312</v>
      </c>
      <c r="BE518" s="82">
        <f t="shared" si="66"/>
        <v>58499995</v>
      </c>
      <c r="BF518" s="13"/>
      <c r="BG518" s="1"/>
    </row>
    <row r="519" spans="1:59" s="54" customFormat="1" ht="30.6" hidden="1" x14ac:dyDescent="0.3">
      <c r="A519" s="56"/>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197">
        <f>+'Base de Datos'!I519</f>
        <v>22500000</v>
      </c>
      <c r="G519" s="196">
        <f>+'Base de Datos'!M519</f>
        <v>42863</v>
      </c>
      <c r="H519" s="196">
        <f>+'Base de Datos'!N519</f>
        <v>43139</v>
      </c>
      <c r="I519" s="196"/>
      <c r="J519" s="158">
        <v>11166667</v>
      </c>
      <c r="K519" s="333">
        <v>43125</v>
      </c>
      <c r="L519" s="211"/>
      <c r="M519" s="336"/>
      <c r="N519" s="158"/>
      <c r="O519" s="333"/>
      <c r="P519" s="158"/>
      <c r="Q519" s="338"/>
      <c r="R519" s="81">
        <f t="shared" si="67"/>
        <v>11166667</v>
      </c>
      <c r="S519" s="820" t="s">
        <v>3858</v>
      </c>
      <c r="T519" s="333">
        <v>43273</v>
      </c>
      <c r="U519" s="158"/>
      <c r="V519" s="333"/>
      <c r="W519" s="158"/>
      <c r="X519" s="333"/>
      <c r="Y519" s="158"/>
      <c r="Z519" s="333"/>
      <c r="AA519" s="820" t="s">
        <v>3858</v>
      </c>
      <c r="AB519" s="1004">
        <f t="shared" ref="AB519:AB582" si="68">IF(ISNUMBER(T519),MAX(T519,V519,X519,Z519),"")</f>
        <v>43273</v>
      </c>
      <c r="AC519" s="1082" t="str">
        <f t="shared" ref="AC519:AC582" si="69">IF(ISNUMBER(AD519),ABS(AD519-AE519)+1,"")</f>
        <v/>
      </c>
      <c r="AD519" s="1077"/>
      <c r="AE519" s="1077"/>
      <c r="AF519" s="1084" t="str">
        <f t="shared" ref="AF519:AF582" si="70">IFERROR(IF(MAX(H519,I519)&lt;AE519,MAX(H519,I519)-AE519+AC519+AE519,MAX(H519,I519)+AC519),"")</f>
        <v/>
      </c>
      <c r="AG519" s="1082" t="str">
        <f t="shared" ref="AG519:AG582" si="71">IF(ISNUMBER(AH519),ABS(AH519-AI519)+1,"")</f>
        <v/>
      </c>
      <c r="AH519" s="1091"/>
      <c r="AI519" s="1087"/>
      <c r="AJ519" s="1084" t="str">
        <f t="shared" ref="AJ519:AJ582" si="72">IFERROR(IF(AF519&lt;AI519,((AF519-AI519)+AG519)+(AI519),AF519+AG519),"")</f>
        <v/>
      </c>
      <c r="AK519" s="1083" t="str">
        <f t="shared" ref="AK519:AK582" si="73">IF(ISNUMBER(AF519),MAX(AB519,AF519,AJ519),"")</f>
        <v/>
      </c>
      <c r="AL519" s="211">
        <v>1916667</v>
      </c>
      <c r="AM519" s="211">
        <v>2500000</v>
      </c>
      <c r="AN519" s="211">
        <v>2500000</v>
      </c>
      <c r="AO519" s="211">
        <v>2500000</v>
      </c>
      <c r="AP519" s="211">
        <v>2500000</v>
      </c>
      <c r="AQ519" s="211">
        <v>2500000</v>
      </c>
      <c r="AR519" s="211">
        <v>2500000</v>
      </c>
      <c r="AS519" s="211">
        <v>2500000</v>
      </c>
      <c r="AT519" s="211">
        <v>2500000</v>
      </c>
      <c r="AU519" s="211">
        <v>583333</v>
      </c>
      <c r="AV519" s="211">
        <v>1916667</v>
      </c>
      <c r="AW519" s="211">
        <v>2500000</v>
      </c>
      <c r="AX519" s="211">
        <v>2500000</v>
      </c>
      <c r="AY519" s="211">
        <v>2500000</v>
      </c>
      <c r="AZ519" s="211">
        <v>1750000</v>
      </c>
      <c r="BA519" s="211"/>
      <c r="BB519" s="211"/>
      <c r="BC519" s="211"/>
      <c r="BD519" s="333">
        <v>43257</v>
      </c>
      <c r="BE519" s="82">
        <f t="shared" si="66"/>
        <v>33666667</v>
      </c>
      <c r="BF519" s="13"/>
      <c r="BG519" s="1"/>
    </row>
    <row r="520" spans="1:59" s="54" customFormat="1" ht="51" hidden="1" x14ac:dyDescent="0.3">
      <c r="A520" s="56"/>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197">
        <f>+'Base de Datos'!I520</f>
        <v>51300000</v>
      </c>
      <c r="G520" s="196">
        <f>+'Base de Datos'!M520</f>
        <v>42863</v>
      </c>
      <c r="H520" s="196">
        <f>+'Base de Datos'!N520</f>
        <v>43139</v>
      </c>
      <c r="I520" s="196"/>
      <c r="J520" s="158">
        <v>25460000</v>
      </c>
      <c r="K520" s="333">
        <v>43125</v>
      </c>
      <c r="L520" s="211"/>
      <c r="M520" s="336"/>
      <c r="N520" s="158"/>
      <c r="O520" s="333"/>
      <c r="P520" s="158"/>
      <c r="Q520" s="338"/>
      <c r="R520" s="81">
        <f t="shared" si="67"/>
        <v>25460000</v>
      </c>
      <c r="S520" s="820" t="s">
        <v>3866</v>
      </c>
      <c r="T520" s="333">
        <v>43273</v>
      </c>
      <c r="U520" s="158"/>
      <c r="V520" s="333"/>
      <c r="W520" s="158"/>
      <c r="X520" s="333"/>
      <c r="Y520" s="158"/>
      <c r="Z520" s="333"/>
      <c r="AA520" s="820" t="s">
        <v>3866</v>
      </c>
      <c r="AB520" s="1004">
        <f t="shared" si="68"/>
        <v>43273</v>
      </c>
      <c r="AC520" s="1082" t="str">
        <f t="shared" si="69"/>
        <v/>
      </c>
      <c r="AD520" s="1077"/>
      <c r="AE520" s="1077"/>
      <c r="AF520" s="1084" t="str">
        <f t="shared" si="70"/>
        <v/>
      </c>
      <c r="AG520" s="1082" t="str">
        <f t="shared" si="71"/>
        <v/>
      </c>
      <c r="AH520" s="1091"/>
      <c r="AI520" s="1087"/>
      <c r="AJ520" s="1084" t="str">
        <f t="shared" si="72"/>
        <v/>
      </c>
      <c r="AK520" s="1083" t="str">
        <f t="shared" si="73"/>
        <v/>
      </c>
      <c r="AL520" s="211">
        <v>4370000</v>
      </c>
      <c r="AM520" s="211">
        <v>5700000</v>
      </c>
      <c r="AN520" s="211">
        <v>5700000</v>
      </c>
      <c r="AO520" s="211">
        <v>5700000</v>
      </c>
      <c r="AP520" s="211">
        <v>5700000</v>
      </c>
      <c r="AQ520" s="211">
        <v>5700000</v>
      </c>
      <c r="AR520" s="211">
        <v>5700000</v>
      </c>
      <c r="AS520" s="211">
        <v>5700000</v>
      </c>
      <c r="AT520" s="211">
        <v>5700000</v>
      </c>
      <c r="AU520" s="211">
        <v>1330000</v>
      </c>
      <c r="AV520" s="211">
        <v>4370000</v>
      </c>
      <c r="AW520" s="211">
        <v>5700000</v>
      </c>
      <c r="AX520" s="211">
        <v>5700000</v>
      </c>
      <c r="AY520" s="211">
        <v>5700000</v>
      </c>
      <c r="AZ520" s="211">
        <v>3990000</v>
      </c>
      <c r="BA520" s="211"/>
      <c r="BB520" s="211"/>
      <c r="BC520" s="211"/>
      <c r="BD520" s="333">
        <v>43308</v>
      </c>
      <c r="BE520" s="82">
        <f t="shared" si="66"/>
        <v>76760000</v>
      </c>
      <c r="BF520" s="13"/>
      <c r="BG520" s="1"/>
    </row>
    <row r="521" spans="1:59" s="54" customFormat="1" ht="30.6" hidden="1" x14ac:dyDescent="0.3">
      <c r="A521" s="56"/>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197">
        <f>+'Base de Datos'!I521</f>
        <v>38140000</v>
      </c>
      <c r="G521" s="196">
        <f>+'Base de Datos'!M521</f>
        <v>42873</v>
      </c>
      <c r="H521" s="196">
        <f>+'Base de Datos'!N521</f>
        <v>43177</v>
      </c>
      <c r="I521" s="196"/>
      <c r="J521" s="158">
        <v>12586200</v>
      </c>
      <c r="K521" s="333">
        <v>43147</v>
      </c>
      <c r="L521" s="211"/>
      <c r="M521" s="336"/>
      <c r="N521" s="158"/>
      <c r="O521" s="333"/>
      <c r="P521" s="158"/>
      <c r="Q521" s="338"/>
      <c r="R521" s="81">
        <f t="shared" si="67"/>
        <v>12586200</v>
      </c>
      <c r="S521" s="820" t="s">
        <v>2370</v>
      </c>
      <c r="T521" s="333">
        <v>43278</v>
      </c>
      <c r="U521" s="158"/>
      <c r="V521" s="333"/>
      <c r="W521" s="158"/>
      <c r="X521" s="333"/>
      <c r="Y521" s="158"/>
      <c r="Z521" s="333"/>
      <c r="AA521" s="820" t="s">
        <v>987</v>
      </c>
      <c r="AB521" s="1004">
        <f t="shared" si="68"/>
        <v>43278</v>
      </c>
      <c r="AC521" s="1082" t="str">
        <f t="shared" si="69"/>
        <v/>
      </c>
      <c r="AD521" s="1077"/>
      <c r="AE521" s="1077"/>
      <c r="AF521" s="1084" t="str">
        <f t="shared" si="70"/>
        <v/>
      </c>
      <c r="AG521" s="1082" t="str">
        <f t="shared" si="71"/>
        <v/>
      </c>
      <c r="AH521" s="1091"/>
      <c r="AI521" s="1087"/>
      <c r="AJ521" s="1084" t="str">
        <f t="shared" si="72"/>
        <v/>
      </c>
      <c r="AK521" s="1083" t="str">
        <f t="shared" si="73"/>
        <v/>
      </c>
      <c r="AL521" s="211">
        <v>1652733</v>
      </c>
      <c r="AM521" s="211">
        <v>3814000</v>
      </c>
      <c r="AN521" s="211">
        <v>3814000</v>
      </c>
      <c r="AO521" s="211">
        <v>3814000</v>
      </c>
      <c r="AP521" s="211">
        <v>3814000</v>
      </c>
      <c r="AQ521" s="211">
        <v>3814000</v>
      </c>
      <c r="AR521" s="211">
        <v>3814000</v>
      </c>
      <c r="AS521" s="211">
        <v>3814000</v>
      </c>
      <c r="AT521" s="211">
        <v>3814000</v>
      </c>
      <c r="AU521" s="211">
        <v>3814000</v>
      </c>
      <c r="AV521" s="211">
        <v>2161267</v>
      </c>
      <c r="AW521" s="211">
        <v>1652733</v>
      </c>
      <c r="AX521" s="211">
        <v>3814000</v>
      </c>
      <c r="AY521" s="211">
        <v>3814000</v>
      </c>
      <c r="AZ521" s="211">
        <v>3305467</v>
      </c>
      <c r="BA521" s="211"/>
      <c r="BB521" s="211"/>
      <c r="BC521" s="211"/>
      <c r="BD521" s="333">
        <v>43311</v>
      </c>
      <c r="BE521" s="82">
        <f t="shared" si="66"/>
        <v>50726200</v>
      </c>
      <c r="BF521" s="13"/>
      <c r="BG521" s="1"/>
    </row>
    <row r="522" spans="1:59" s="54" customFormat="1" ht="20.399999999999999" hidden="1" x14ac:dyDescent="0.3">
      <c r="A522" s="56"/>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197">
        <f>+'Base de Datos'!I522</f>
        <v>50703000</v>
      </c>
      <c r="G522" s="196">
        <f>+'Base de Datos'!M522</f>
        <v>42874</v>
      </c>
      <c r="H522" s="196">
        <f>+'Base de Datos'!N522</f>
        <v>43239</v>
      </c>
      <c r="I522" s="196"/>
      <c r="J522" s="158">
        <v>6000000</v>
      </c>
      <c r="K522" s="333">
        <v>43229</v>
      </c>
      <c r="L522" s="211"/>
      <c r="M522" s="336"/>
      <c r="N522" s="158"/>
      <c r="O522" s="333"/>
      <c r="P522" s="158"/>
      <c r="Q522" s="338"/>
      <c r="R522" s="81">
        <f t="shared" si="67"/>
        <v>6000000</v>
      </c>
      <c r="S522" s="258"/>
      <c r="T522" s="333"/>
      <c r="U522" s="158"/>
      <c r="V522" s="333"/>
      <c r="W522" s="158"/>
      <c r="X522" s="333"/>
      <c r="Y522" s="158"/>
      <c r="Z522" s="333"/>
      <c r="AA522" s="326"/>
      <c r="AB522" s="1004" t="str">
        <f t="shared" si="68"/>
        <v/>
      </c>
      <c r="AC522" s="1082" t="str">
        <f t="shared" si="69"/>
        <v/>
      </c>
      <c r="AD522" s="1077"/>
      <c r="AE522" s="1077"/>
      <c r="AF522" s="1084" t="str">
        <f t="shared" si="70"/>
        <v/>
      </c>
      <c r="AG522" s="1082" t="str">
        <f t="shared" si="71"/>
        <v/>
      </c>
      <c r="AH522" s="1091"/>
      <c r="AI522" s="1087"/>
      <c r="AJ522" s="1084" t="str">
        <f t="shared" si="72"/>
        <v/>
      </c>
      <c r="AK522" s="1083" t="str">
        <f t="shared" si="73"/>
        <v/>
      </c>
      <c r="AL522" s="211">
        <v>3889905</v>
      </c>
      <c r="AM522" s="211">
        <v>4332109</v>
      </c>
      <c r="AN522" s="211">
        <v>22520365</v>
      </c>
      <c r="AO522" s="211">
        <v>19960621</v>
      </c>
      <c r="AP522" s="211">
        <v>5997949</v>
      </c>
      <c r="AQ522" s="211"/>
      <c r="AR522" s="211"/>
      <c r="AS522" s="211"/>
      <c r="AT522" s="211"/>
      <c r="AU522" s="211"/>
      <c r="AV522" s="211"/>
      <c r="AW522" s="211"/>
      <c r="AX522" s="211"/>
      <c r="AY522" s="211"/>
      <c r="AZ522" s="211"/>
      <c r="BA522" s="211"/>
      <c r="BB522" s="211"/>
      <c r="BC522" s="211"/>
      <c r="BD522" s="333">
        <v>43392</v>
      </c>
      <c r="BE522" s="82">
        <f t="shared" ref="BE522:BE585" si="74">SUM(AL522:BC522)</f>
        <v>56700949</v>
      </c>
      <c r="BF522" s="13"/>
      <c r="BG522" s="1"/>
    </row>
    <row r="523" spans="1:59" s="54" customFormat="1" ht="71.400000000000006" hidden="1" x14ac:dyDescent="0.3">
      <c r="A523" s="56"/>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197">
        <f>+'Base de Datos'!I523</f>
        <v>119000000</v>
      </c>
      <c r="G523" s="196">
        <f>+'Base de Datos'!M523</f>
        <v>42872</v>
      </c>
      <c r="H523" s="196">
        <f>+'Base de Datos'!N523</f>
        <v>43176</v>
      </c>
      <c r="I523" s="196"/>
      <c r="J523" s="158"/>
      <c r="K523" s="333"/>
      <c r="L523" s="211"/>
      <c r="M523" s="336"/>
      <c r="N523" s="158"/>
      <c r="O523" s="333"/>
      <c r="P523" s="158"/>
      <c r="Q523" s="338"/>
      <c r="R523" s="81">
        <f t="shared" si="67"/>
        <v>0</v>
      </c>
      <c r="S523" s="258"/>
      <c r="T523" s="333"/>
      <c r="U523" s="158"/>
      <c r="V523" s="333"/>
      <c r="W523" s="158"/>
      <c r="X523" s="333"/>
      <c r="Y523" s="158"/>
      <c r="Z523" s="333"/>
      <c r="AA523" s="326"/>
      <c r="AB523" s="1004" t="str">
        <f t="shared" si="68"/>
        <v/>
      </c>
      <c r="AC523" s="1082" t="str">
        <f t="shared" si="69"/>
        <v/>
      </c>
      <c r="AD523" s="1077"/>
      <c r="AE523" s="1077"/>
      <c r="AF523" s="1084" t="str">
        <f t="shared" si="70"/>
        <v/>
      </c>
      <c r="AG523" s="1082" t="str">
        <f t="shared" si="71"/>
        <v/>
      </c>
      <c r="AH523" s="1091"/>
      <c r="AI523" s="1087"/>
      <c r="AJ523" s="1084" t="str">
        <f t="shared" si="72"/>
        <v/>
      </c>
      <c r="AK523" s="1083" t="str">
        <f t="shared" si="73"/>
        <v/>
      </c>
      <c r="AL523" s="211">
        <v>764218</v>
      </c>
      <c r="AM523" s="211">
        <v>2217208</v>
      </c>
      <c r="AN523" s="211">
        <v>650454</v>
      </c>
      <c r="AO523" s="211">
        <v>2591225</v>
      </c>
      <c r="AP523" s="211">
        <v>10073072</v>
      </c>
      <c r="AQ523" s="211">
        <v>9222262</v>
      </c>
      <c r="AR523" s="211">
        <v>2098565</v>
      </c>
      <c r="AS523" s="211">
        <v>19244323</v>
      </c>
      <c r="AT523" s="211">
        <v>1920779</v>
      </c>
      <c r="AU523" s="211">
        <v>16745502</v>
      </c>
      <c r="AV523" s="211">
        <v>6576654</v>
      </c>
      <c r="AW523" s="211"/>
      <c r="AX523" s="211"/>
      <c r="AY523" s="211"/>
      <c r="AZ523" s="211"/>
      <c r="BA523" s="211"/>
      <c r="BB523" s="211"/>
      <c r="BC523" s="211"/>
      <c r="BD523" s="333">
        <v>43235</v>
      </c>
      <c r="BE523" s="82">
        <f t="shared" si="74"/>
        <v>72104262</v>
      </c>
      <c r="BF523" s="13"/>
      <c r="BG523" s="1"/>
    </row>
    <row r="524" spans="1:59" s="54" customFormat="1" ht="61.2" hidden="1" x14ac:dyDescent="0.3">
      <c r="A524" s="56"/>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197">
        <f>+'Base de Datos'!I524</f>
        <v>38999997</v>
      </c>
      <c r="G524" s="196">
        <f>+'Base de Datos'!M524</f>
        <v>42872</v>
      </c>
      <c r="H524" s="196">
        <f>+'Base de Datos'!N524</f>
        <v>43148</v>
      </c>
      <c r="I524" s="196"/>
      <c r="J524" s="158">
        <v>19066665</v>
      </c>
      <c r="K524" s="333">
        <v>43126</v>
      </c>
      <c r="L524" s="211"/>
      <c r="M524" s="336"/>
      <c r="N524" s="158"/>
      <c r="O524" s="333"/>
      <c r="P524" s="158"/>
      <c r="Q524" s="338"/>
      <c r="R524" s="81">
        <f t="shared" si="67"/>
        <v>19066665</v>
      </c>
      <c r="S524" s="820" t="s">
        <v>3863</v>
      </c>
      <c r="T524" s="333">
        <v>43280</v>
      </c>
      <c r="U524" s="158"/>
      <c r="V524" s="333"/>
      <c r="W524" s="158"/>
      <c r="X524" s="333"/>
      <c r="Y524" s="158"/>
      <c r="Z524" s="333"/>
      <c r="AA524" s="820" t="s">
        <v>3863</v>
      </c>
      <c r="AB524" s="1004">
        <f t="shared" si="68"/>
        <v>43280</v>
      </c>
      <c r="AC524" s="1082" t="str">
        <f t="shared" si="69"/>
        <v/>
      </c>
      <c r="AD524" s="1077"/>
      <c r="AE524" s="1077"/>
      <c r="AF524" s="1084" t="str">
        <f t="shared" si="70"/>
        <v/>
      </c>
      <c r="AG524" s="1082" t="str">
        <f t="shared" si="71"/>
        <v/>
      </c>
      <c r="AH524" s="1091"/>
      <c r="AI524" s="1087"/>
      <c r="AJ524" s="1084" t="str">
        <f t="shared" si="72"/>
        <v/>
      </c>
      <c r="AK524" s="1083" t="str">
        <f t="shared" si="73"/>
        <v/>
      </c>
      <c r="AL524" s="211">
        <v>2022222</v>
      </c>
      <c r="AM524" s="211">
        <v>4333333</v>
      </c>
      <c r="AN524" s="211">
        <v>4333333</v>
      </c>
      <c r="AO524" s="211">
        <v>4333333</v>
      </c>
      <c r="AP524" s="211"/>
      <c r="AQ524" s="211">
        <v>4333333</v>
      </c>
      <c r="AR524" s="211">
        <v>4333333</v>
      </c>
      <c r="AS524" s="211">
        <v>4333333</v>
      </c>
      <c r="AT524" s="211">
        <v>4333333</v>
      </c>
      <c r="AU524" s="211">
        <v>4333333</v>
      </c>
      <c r="AV524" s="211">
        <v>2311111</v>
      </c>
      <c r="AW524" s="211">
        <v>2022222</v>
      </c>
      <c r="AX524" s="211">
        <v>4333333</v>
      </c>
      <c r="AY524" s="211">
        <v>4333333</v>
      </c>
      <c r="AZ524" s="211">
        <v>4333333</v>
      </c>
      <c r="BA524" s="211">
        <v>4044444</v>
      </c>
      <c r="BB524" s="211"/>
      <c r="BC524" s="211"/>
      <c r="BD524" s="333">
        <v>43258</v>
      </c>
      <c r="BE524" s="82">
        <f t="shared" si="74"/>
        <v>58066662</v>
      </c>
      <c r="BF524" s="13"/>
      <c r="BG524" s="1"/>
    </row>
    <row r="525" spans="1:59" s="54" customFormat="1" ht="30.6" hidden="1" x14ac:dyDescent="0.3">
      <c r="A525" s="56"/>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197">
        <f>+'Base de Datos'!I525</f>
        <v>16875000</v>
      </c>
      <c r="G525" s="196">
        <f>+'Base de Datos'!M525</f>
        <v>42874</v>
      </c>
      <c r="H525" s="196">
        <f>+'Base de Datos'!N525</f>
        <v>43150</v>
      </c>
      <c r="I525" s="196"/>
      <c r="J525" s="158">
        <v>8125000</v>
      </c>
      <c r="K525" s="333">
        <v>43124</v>
      </c>
      <c r="L525" s="211"/>
      <c r="M525" s="336"/>
      <c r="N525" s="158"/>
      <c r="O525" s="333"/>
      <c r="P525" s="158"/>
      <c r="Q525" s="338"/>
      <c r="R525" s="81">
        <f t="shared" si="67"/>
        <v>8125000</v>
      </c>
      <c r="S525" s="820" t="s">
        <v>3864</v>
      </c>
      <c r="T525" s="333">
        <v>43280</v>
      </c>
      <c r="U525" s="158"/>
      <c r="V525" s="333"/>
      <c r="W525" s="158"/>
      <c r="X525" s="333"/>
      <c r="Y525" s="158"/>
      <c r="Z525" s="333"/>
      <c r="AA525" s="820" t="s">
        <v>3864</v>
      </c>
      <c r="AB525" s="1004">
        <f t="shared" si="68"/>
        <v>43280</v>
      </c>
      <c r="AC525" s="1082" t="str">
        <f t="shared" si="69"/>
        <v/>
      </c>
      <c r="AD525" s="1077"/>
      <c r="AE525" s="1077"/>
      <c r="AF525" s="1084" t="str">
        <f t="shared" si="70"/>
        <v/>
      </c>
      <c r="AG525" s="1082" t="str">
        <f t="shared" si="71"/>
        <v/>
      </c>
      <c r="AH525" s="1091"/>
      <c r="AI525" s="1087"/>
      <c r="AJ525" s="1084" t="str">
        <f t="shared" si="72"/>
        <v/>
      </c>
      <c r="AK525" s="1083" t="str">
        <f t="shared" si="73"/>
        <v/>
      </c>
      <c r="AL525" s="211">
        <v>750000</v>
      </c>
      <c r="AM525" s="211">
        <v>1875000</v>
      </c>
      <c r="AN525" s="211">
        <v>1875000</v>
      </c>
      <c r="AO525" s="211">
        <v>1875000</v>
      </c>
      <c r="AP525" s="211">
        <v>1875000</v>
      </c>
      <c r="AQ525" s="211">
        <v>1875000</v>
      </c>
      <c r="AR525" s="211">
        <v>1875000</v>
      </c>
      <c r="AS525" s="211">
        <v>1875000</v>
      </c>
      <c r="AT525" s="211">
        <v>1875000</v>
      </c>
      <c r="AU525" s="211">
        <v>1125000</v>
      </c>
      <c r="AV525" s="211">
        <v>750000</v>
      </c>
      <c r="AW525" s="211">
        <v>1875000</v>
      </c>
      <c r="AX525" s="211">
        <v>1875000</v>
      </c>
      <c r="AY525" s="211">
        <v>1875000</v>
      </c>
      <c r="AZ525" s="211">
        <v>1750000</v>
      </c>
      <c r="BA525" s="211"/>
      <c r="BB525" s="211"/>
      <c r="BC525" s="211"/>
      <c r="BD525" s="333">
        <v>43311</v>
      </c>
      <c r="BE525" s="82">
        <f t="shared" si="74"/>
        <v>25000000</v>
      </c>
      <c r="BF525" s="13"/>
      <c r="BG525" s="1"/>
    </row>
    <row r="526" spans="1:59" s="54" customFormat="1" ht="40.799999999999997" hidden="1" x14ac:dyDescent="0.3">
      <c r="A526" s="56"/>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197">
        <f>+'Base de Datos'!I526</f>
        <v>51300000</v>
      </c>
      <c r="G526" s="196">
        <f>+'Base de Datos'!M526</f>
        <v>42873</v>
      </c>
      <c r="H526" s="196">
        <f>+'Base de Datos'!N526</f>
        <v>43149</v>
      </c>
      <c r="I526" s="196"/>
      <c r="J526" s="158">
        <v>24890000</v>
      </c>
      <c r="K526" s="333">
        <v>43130</v>
      </c>
      <c r="L526" s="211"/>
      <c r="M526" s="336"/>
      <c r="N526" s="158"/>
      <c r="O526" s="333"/>
      <c r="P526" s="158"/>
      <c r="Q526" s="338"/>
      <c r="R526" s="81">
        <f t="shared" si="67"/>
        <v>24890000</v>
      </c>
      <c r="S526" s="820" t="s">
        <v>3867</v>
      </c>
      <c r="T526" s="333">
        <v>43280</v>
      </c>
      <c r="U526" s="158"/>
      <c r="V526" s="333"/>
      <c r="W526" s="158"/>
      <c r="X526" s="333"/>
      <c r="Y526" s="158"/>
      <c r="Z526" s="333"/>
      <c r="AA526" s="820" t="s">
        <v>3867</v>
      </c>
      <c r="AB526" s="1004">
        <f t="shared" si="68"/>
        <v>43280</v>
      </c>
      <c r="AC526" s="1082" t="str">
        <f t="shared" si="69"/>
        <v/>
      </c>
      <c r="AD526" s="1077"/>
      <c r="AE526" s="1077"/>
      <c r="AF526" s="1084" t="str">
        <f t="shared" si="70"/>
        <v/>
      </c>
      <c r="AG526" s="1082" t="str">
        <f t="shared" si="71"/>
        <v/>
      </c>
      <c r="AH526" s="1091"/>
      <c r="AI526" s="1087"/>
      <c r="AJ526" s="1084" t="str">
        <f t="shared" si="72"/>
        <v/>
      </c>
      <c r="AK526" s="1083" t="str">
        <f t="shared" si="73"/>
        <v/>
      </c>
      <c r="AL526" s="211">
        <v>2470000</v>
      </c>
      <c r="AM526" s="211">
        <v>5700000</v>
      </c>
      <c r="AN526" s="211">
        <v>5700000</v>
      </c>
      <c r="AO526" s="211">
        <v>5700000</v>
      </c>
      <c r="AP526" s="211">
        <v>5700000</v>
      </c>
      <c r="AQ526" s="211">
        <v>5700000</v>
      </c>
      <c r="AR526" s="211">
        <v>5700000</v>
      </c>
      <c r="AS526" s="211">
        <v>5700000</v>
      </c>
      <c r="AT526" s="211">
        <v>5700000</v>
      </c>
      <c r="AU526" s="211">
        <v>3230000</v>
      </c>
      <c r="AV526" s="211">
        <v>2470000</v>
      </c>
      <c r="AW526" s="211">
        <v>5700000</v>
      </c>
      <c r="AX526" s="211">
        <v>5700000</v>
      </c>
      <c r="AY526" s="211">
        <v>5700000</v>
      </c>
      <c r="AZ526" s="211">
        <v>5320000</v>
      </c>
      <c r="BA526" s="211"/>
      <c r="BB526" s="211"/>
      <c r="BC526" s="211"/>
      <c r="BD526" s="333">
        <v>43258</v>
      </c>
      <c r="BE526" s="82">
        <f t="shared" si="74"/>
        <v>76190000</v>
      </c>
      <c r="BF526" s="13"/>
      <c r="BG526" s="1"/>
    </row>
    <row r="527" spans="1:59" s="54" customFormat="1" ht="51" hidden="1" x14ac:dyDescent="0.3">
      <c r="A527" s="56"/>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197">
        <f>+'Base de Datos'!I527</f>
        <v>13500000</v>
      </c>
      <c r="G527" s="196">
        <f>+'Base de Datos'!M527</f>
        <v>42887</v>
      </c>
      <c r="H527" s="196">
        <f>+'Base de Datos'!N527</f>
        <v>43160</v>
      </c>
      <c r="I527" s="196"/>
      <c r="J527" s="158">
        <v>5900000</v>
      </c>
      <c r="K527" s="333">
        <v>43126</v>
      </c>
      <c r="L527" s="211"/>
      <c r="M527" s="336"/>
      <c r="N527" s="158"/>
      <c r="O527" s="333"/>
      <c r="P527" s="158"/>
      <c r="Q527" s="338"/>
      <c r="R527" s="81">
        <f t="shared" si="67"/>
        <v>5900000</v>
      </c>
      <c r="S527" s="820" t="s">
        <v>3843</v>
      </c>
      <c r="T527" s="333">
        <v>43280</v>
      </c>
      <c r="U527" s="158"/>
      <c r="V527" s="333"/>
      <c r="W527" s="158"/>
      <c r="X527" s="333"/>
      <c r="Y527" s="158"/>
      <c r="Z527" s="333"/>
      <c r="AA527" s="820" t="s">
        <v>3843</v>
      </c>
      <c r="AB527" s="1004">
        <f t="shared" si="68"/>
        <v>43280</v>
      </c>
      <c r="AC527" s="1082" t="str">
        <f t="shared" si="69"/>
        <v/>
      </c>
      <c r="AD527" s="1077"/>
      <c r="AE527" s="1077"/>
      <c r="AF527" s="1084" t="str">
        <f t="shared" si="70"/>
        <v/>
      </c>
      <c r="AG527" s="1082" t="str">
        <f t="shared" si="71"/>
        <v/>
      </c>
      <c r="AH527" s="1091"/>
      <c r="AI527" s="1087"/>
      <c r="AJ527" s="1084" t="str">
        <f t="shared" si="72"/>
        <v/>
      </c>
      <c r="AK527" s="1083" t="str">
        <f t="shared" si="73"/>
        <v/>
      </c>
      <c r="AL527" s="211">
        <v>1500000</v>
      </c>
      <c r="AM527" s="211">
        <v>1500000</v>
      </c>
      <c r="AN527" s="211">
        <v>1500000</v>
      </c>
      <c r="AO527" s="211">
        <v>1500000</v>
      </c>
      <c r="AP527" s="211">
        <v>1500000</v>
      </c>
      <c r="AQ527" s="211">
        <v>1500000</v>
      </c>
      <c r="AR527" s="211">
        <v>1500000</v>
      </c>
      <c r="AS527" s="211">
        <v>1500000</v>
      </c>
      <c r="AT527" s="211">
        <v>1500000</v>
      </c>
      <c r="AU527" s="211">
        <v>1500000</v>
      </c>
      <c r="AV527" s="211">
        <v>1500000</v>
      </c>
      <c r="AW527" s="211">
        <v>1500000</v>
      </c>
      <c r="AX527" s="211">
        <v>1400000</v>
      </c>
      <c r="AY527" s="211"/>
      <c r="AZ527" s="211"/>
      <c r="BA527" s="211"/>
      <c r="BB527" s="211"/>
      <c r="BC527" s="211"/>
      <c r="BD527" s="333">
        <v>43258</v>
      </c>
      <c r="BE527" s="82">
        <f t="shared" si="74"/>
        <v>19400000</v>
      </c>
      <c r="BF527" s="13"/>
      <c r="BG527" s="1"/>
    </row>
    <row r="528" spans="1:59" s="54" customFormat="1" ht="40.799999999999997" hidden="1" x14ac:dyDescent="0.3">
      <c r="A528" s="56"/>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197">
        <f>+'Base de Datos'!I528</f>
        <v>34326000</v>
      </c>
      <c r="G528" s="196">
        <f>+'Base de Datos'!M528</f>
        <v>42878</v>
      </c>
      <c r="H528" s="196">
        <f>+'Base de Datos'!N528</f>
        <v>43154</v>
      </c>
      <c r="I528" s="196"/>
      <c r="J528" s="158">
        <v>16018800</v>
      </c>
      <c r="K528" s="333">
        <v>43126</v>
      </c>
      <c r="L528" s="211"/>
      <c r="M528" s="336"/>
      <c r="N528" s="158"/>
      <c r="O528" s="333"/>
      <c r="P528" s="158"/>
      <c r="Q528" s="338"/>
      <c r="R528" s="81">
        <f t="shared" si="67"/>
        <v>16018800</v>
      </c>
      <c r="S528" s="820" t="s">
        <v>3844</v>
      </c>
      <c r="T528" s="333">
        <v>43280</v>
      </c>
      <c r="U528" s="158"/>
      <c r="V528" s="333"/>
      <c r="W528" s="158"/>
      <c r="X528" s="333"/>
      <c r="Y528" s="158"/>
      <c r="Z528" s="333"/>
      <c r="AA528" s="820" t="s">
        <v>3844</v>
      </c>
      <c r="AB528" s="1004">
        <f t="shared" si="68"/>
        <v>43280</v>
      </c>
      <c r="AC528" s="1082" t="str">
        <f t="shared" si="69"/>
        <v/>
      </c>
      <c r="AD528" s="1077"/>
      <c r="AE528" s="1077"/>
      <c r="AF528" s="1084" t="str">
        <f t="shared" si="70"/>
        <v/>
      </c>
      <c r="AG528" s="1082" t="str">
        <f t="shared" si="71"/>
        <v/>
      </c>
      <c r="AH528" s="1091"/>
      <c r="AI528" s="1087"/>
      <c r="AJ528" s="1084" t="str">
        <f t="shared" si="72"/>
        <v/>
      </c>
      <c r="AK528" s="1083" t="str">
        <f t="shared" si="73"/>
        <v/>
      </c>
      <c r="AL528" s="211">
        <v>1017067</v>
      </c>
      <c r="AM528" s="211">
        <v>3814000</v>
      </c>
      <c r="AN528" s="211">
        <v>3814000</v>
      </c>
      <c r="AO528" s="211">
        <v>3814000</v>
      </c>
      <c r="AP528" s="211">
        <v>3814000</v>
      </c>
      <c r="AQ528" s="211">
        <v>3814000</v>
      </c>
      <c r="AR528" s="211">
        <v>3814000</v>
      </c>
      <c r="AS528" s="211">
        <v>3814000</v>
      </c>
      <c r="AT528" s="211">
        <v>3814000</v>
      </c>
      <c r="AU528" s="211">
        <v>2796933</v>
      </c>
      <c r="AV528" s="211">
        <v>1017067</v>
      </c>
      <c r="AW528" s="211"/>
      <c r="AX528" s="211">
        <v>3814000</v>
      </c>
      <c r="AY528" s="211">
        <v>3814000</v>
      </c>
      <c r="AZ528" s="211">
        <v>3814000</v>
      </c>
      <c r="BA528" s="211">
        <v>3559733</v>
      </c>
      <c r="BB528" s="211"/>
      <c r="BC528" s="211"/>
      <c r="BD528" s="333">
        <v>43258</v>
      </c>
      <c r="BE528" s="82">
        <f t="shared" si="74"/>
        <v>50344800</v>
      </c>
      <c r="BF528" s="13"/>
      <c r="BG528" s="1"/>
    </row>
    <row r="529" spans="1:59" s="54" customFormat="1" ht="30.6" hidden="1" x14ac:dyDescent="0.3">
      <c r="A529" s="56"/>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197">
        <f>+'Base de Datos'!I529</f>
        <v>49980000</v>
      </c>
      <c r="G529" s="196">
        <f>+'Base de Datos'!M529</f>
        <v>42874</v>
      </c>
      <c r="H529" s="196">
        <f>+'Base de Datos'!N529</f>
        <v>43239</v>
      </c>
      <c r="I529" s="196"/>
      <c r="J529" s="158">
        <v>7021000</v>
      </c>
      <c r="K529" s="333">
        <v>43236</v>
      </c>
      <c r="L529" s="211"/>
      <c r="M529" s="336"/>
      <c r="N529" s="158"/>
      <c r="O529" s="333"/>
      <c r="P529" s="158"/>
      <c r="Q529" s="338"/>
      <c r="R529" s="81">
        <f t="shared" si="67"/>
        <v>7021000</v>
      </c>
      <c r="S529" s="258" t="s">
        <v>3978</v>
      </c>
      <c r="T529" s="333">
        <v>43299</v>
      </c>
      <c r="U529" s="158"/>
      <c r="V529" s="333"/>
      <c r="W529" s="158"/>
      <c r="X529" s="333"/>
      <c r="Y529" s="158"/>
      <c r="Z529" s="333"/>
      <c r="AA529" s="258" t="s">
        <v>3978</v>
      </c>
      <c r="AB529" s="1004">
        <f t="shared" si="68"/>
        <v>43299</v>
      </c>
      <c r="AC529" s="1082" t="str">
        <f t="shared" si="69"/>
        <v/>
      </c>
      <c r="AD529" s="1077"/>
      <c r="AE529" s="1077"/>
      <c r="AF529" s="1084" t="str">
        <f t="shared" si="70"/>
        <v/>
      </c>
      <c r="AG529" s="1082" t="str">
        <f t="shared" si="71"/>
        <v/>
      </c>
      <c r="AH529" s="1091"/>
      <c r="AI529" s="1087"/>
      <c r="AJ529" s="1084" t="str">
        <f t="shared" si="72"/>
        <v/>
      </c>
      <c r="AK529" s="1083" t="str">
        <f t="shared" si="73"/>
        <v/>
      </c>
      <c r="AL529" s="211"/>
      <c r="AM529" s="211">
        <v>4284000</v>
      </c>
      <c r="AN529" s="211">
        <v>3570000</v>
      </c>
      <c r="AO529" s="211">
        <v>6426000</v>
      </c>
      <c r="AP529" s="211">
        <v>3570000</v>
      </c>
      <c r="AQ529" s="211">
        <v>3570000</v>
      </c>
      <c r="AR529" s="211">
        <v>3570000</v>
      </c>
      <c r="AS529" s="211">
        <v>3570000</v>
      </c>
      <c r="AT529" s="211">
        <v>3570000</v>
      </c>
      <c r="AU529" s="211">
        <v>3570000</v>
      </c>
      <c r="AV529" s="211">
        <v>3570000</v>
      </c>
      <c r="AW529" s="211">
        <v>3570000</v>
      </c>
      <c r="AX529" s="211">
        <v>3570000</v>
      </c>
      <c r="AY529" s="211">
        <v>3570000</v>
      </c>
      <c r="AZ529" s="211">
        <v>3570000</v>
      </c>
      <c r="BA529" s="211">
        <v>3451000</v>
      </c>
      <c r="BB529" s="211"/>
      <c r="BC529" s="211"/>
      <c r="BD529" s="333">
        <v>43340</v>
      </c>
      <c r="BE529" s="82">
        <f t="shared" si="74"/>
        <v>57001000</v>
      </c>
      <c r="BF529" s="13"/>
      <c r="BG529" s="1"/>
    </row>
    <row r="530" spans="1:59" s="54" customFormat="1" ht="30.6" hidden="1" x14ac:dyDescent="0.3">
      <c r="A530" s="56"/>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197">
        <f>+'Base de Datos'!I530</f>
        <v>1802850</v>
      </c>
      <c r="G530" s="196">
        <f>+'Base de Datos'!M530</f>
        <v>42887</v>
      </c>
      <c r="H530" s="196">
        <f>+'Base de Datos'!N530</f>
        <v>43191</v>
      </c>
      <c r="I530" s="196"/>
      <c r="J530" s="158"/>
      <c r="K530" s="333"/>
      <c r="L530" s="211"/>
      <c r="M530" s="336"/>
      <c r="N530" s="158"/>
      <c r="O530" s="333"/>
      <c r="P530" s="158"/>
      <c r="Q530" s="338"/>
      <c r="R530" s="81">
        <f t="shared" si="67"/>
        <v>0</v>
      </c>
      <c r="S530" s="258"/>
      <c r="T530" s="333"/>
      <c r="U530" s="158"/>
      <c r="V530" s="333"/>
      <c r="W530" s="158"/>
      <c r="X530" s="333"/>
      <c r="Y530" s="158"/>
      <c r="Z530" s="333"/>
      <c r="AA530" s="326"/>
      <c r="AB530" s="1004" t="str">
        <f t="shared" si="68"/>
        <v/>
      </c>
      <c r="AC530" s="1082" t="str">
        <f t="shared" si="69"/>
        <v/>
      </c>
      <c r="AD530" s="1077"/>
      <c r="AE530" s="1077"/>
      <c r="AF530" s="1084" t="str">
        <f t="shared" si="70"/>
        <v/>
      </c>
      <c r="AG530" s="1082" t="str">
        <f t="shared" si="71"/>
        <v/>
      </c>
      <c r="AH530" s="1091"/>
      <c r="AI530" s="1087"/>
      <c r="AJ530" s="1084" t="str">
        <f t="shared" si="72"/>
        <v/>
      </c>
      <c r="AK530" s="1083" t="str">
        <f t="shared" si="73"/>
        <v/>
      </c>
      <c r="AL530" s="211">
        <v>238000</v>
      </c>
      <c r="AM530" s="211">
        <v>238000</v>
      </c>
      <c r="AN530" s="211">
        <v>238000</v>
      </c>
      <c r="AO530" s="211">
        <v>238000</v>
      </c>
      <c r="AP530" s="211">
        <v>612850</v>
      </c>
      <c r="AQ530" s="211"/>
      <c r="AR530" s="211"/>
      <c r="AS530" s="211"/>
      <c r="AT530" s="211"/>
      <c r="AU530" s="211"/>
      <c r="AV530" s="211"/>
      <c r="AW530" s="211"/>
      <c r="AX530" s="211"/>
      <c r="AY530" s="211"/>
      <c r="AZ530" s="211"/>
      <c r="BA530" s="211"/>
      <c r="BB530" s="211"/>
      <c r="BC530" s="211"/>
      <c r="BD530" s="333">
        <v>43235</v>
      </c>
      <c r="BE530" s="82">
        <f t="shared" si="74"/>
        <v>1564850</v>
      </c>
      <c r="BF530" s="13"/>
      <c r="BG530" s="1"/>
    </row>
    <row r="531" spans="1:59" s="54" customFormat="1" ht="20.399999999999999" hidden="1" x14ac:dyDescent="0.3">
      <c r="A531" s="56"/>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197">
        <f>+'Base de Datos'!I531</f>
        <v>63846922</v>
      </c>
      <c r="G531" s="196">
        <f>+'Base de Datos'!M531</f>
        <v>42898</v>
      </c>
      <c r="H531" s="196">
        <f>+'Base de Datos'!N531</f>
        <v>43202</v>
      </c>
      <c r="I531" s="196"/>
      <c r="J531" s="158">
        <v>19154077</v>
      </c>
      <c r="K531" s="333">
        <v>43201</v>
      </c>
      <c r="L531" s="211"/>
      <c r="M531" s="336"/>
      <c r="N531" s="158"/>
      <c r="O531" s="333"/>
      <c r="P531" s="158"/>
      <c r="Q531" s="338"/>
      <c r="R531" s="81">
        <f t="shared" si="67"/>
        <v>19154077</v>
      </c>
      <c r="S531" s="258" t="s">
        <v>379</v>
      </c>
      <c r="T531" s="333">
        <v>43292</v>
      </c>
      <c r="U531" s="158"/>
      <c r="V531" s="333"/>
      <c r="W531" s="158"/>
      <c r="X531" s="333"/>
      <c r="Y531" s="158"/>
      <c r="Z531" s="333"/>
      <c r="AA531" s="326" t="s">
        <v>379</v>
      </c>
      <c r="AB531" s="1004">
        <f t="shared" si="68"/>
        <v>43292</v>
      </c>
      <c r="AC531" s="1082" t="str">
        <f t="shared" si="69"/>
        <v/>
      </c>
      <c r="AD531" s="1077"/>
      <c r="AE531" s="1077"/>
      <c r="AF531" s="1084" t="str">
        <f t="shared" si="70"/>
        <v/>
      </c>
      <c r="AG531" s="1082" t="str">
        <f t="shared" si="71"/>
        <v/>
      </c>
      <c r="AH531" s="1091"/>
      <c r="AI531" s="1087"/>
      <c r="AJ531" s="1084" t="str">
        <f t="shared" si="72"/>
        <v/>
      </c>
      <c r="AK531" s="1083" t="str">
        <f t="shared" si="73"/>
        <v/>
      </c>
      <c r="AL531" s="211">
        <v>35708052</v>
      </c>
      <c r="AM531" s="211">
        <v>14069434</v>
      </c>
      <c r="AN531" s="211">
        <v>14069433</v>
      </c>
      <c r="AO531" s="211"/>
      <c r="AP531" s="211"/>
      <c r="AQ531" s="211"/>
      <c r="AR531" s="211"/>
      <c r="AS531" s="211"/>
      <c r="AT531" s="211"/>
      <c r="AU531" s="211"/>
      <c r="AV531" s="211"/>
      <c r="AW531" s="211"/>
      <c r="AX531" s="211"/>
      <c r="AY531" s="211"/>
      <c r="AZ531" s="211"/>
      <c r="BA531" s="211"/>
      <c r="BB531" s="211"/>
      <c r="BC531" s="211"/>
      <c r="BD531" s="333">
        <v>43266</v>
      </c>
      <c r="BE531" s="82">
        <f t="shared" si="74"/>
        <v>63846919</v>
      </c>
      <c r="BF531" s="13"/>
      <c r="BG531" s="1"/>
    </row>
    <row r="532" spans="1:59" s="54" customFormat="1" ht="30.6" hidden="1" x14ac:dyDescent="0.3">
      <c r="A532" s="56"/>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197">
        <f>+'Base de Datos'!I532</f>
        <v>56122000</v>
      </c>
      <c r="G532" s="196">
        <f>+'Base de Datos'!M532</f>
        <v>42898</v>
      </c>
      <c r="H532" s="196">
        <f>+'Base de Datos'!N532</f>
        <v>43263</v>
      </c>
      <c r="I532" s="196"/>
      <c r="J532" s="158"/>
      <c r="K532" s="333"/>
      <c r="L532" s="211"/>
      <c r="M532" s="336"/>
      <c r="N532" s="158"/>
      <c r="O532" s="333"/>
      <c r="P532" s="158"/>
      <c r="Q532" s="338"/>
      <c r="R532" s="81">
        <f t="shared" si="67"/>
        <v>0</v>
      </c>
      <c r="S532" s="258" t="s">
        <v>378</v>
      </c>
      <c r="T532" s="333">
        <v>43324</v>
      </c>
      <c r="U532" s="158"/>
      <c r="V532" s="333"/>
      <c r="W532" s="158"/>
      <c r="X532" s="333"/>
      <c r="Y532" s="158"/>
      <c r="Z532" s="333"/>
      <c r="AA532" s="326" t="s">
        <v>378</v>
      </c>
      <c r="AB532" s="1004">
        <f t="shared" si="68"/>
        <v>43324</v>
      </c>
      <c r="AC532" s="1082" t="str">
        <f t="shared" si="69"/>
        <v/>
      </c>
      <c r="AD532" s="1077"/>
      <c r="AE532" s="1077"/>
      <c r="AF532" s="1084" t="str">
        <f t="shared" si="70"/>
        <v/>
      </c>
      <c r="AG532" s="1082" t="str">
        <f t="shared" si="71"/>
        <v/>
      </c>
      <c r="AH532" s="1091"/>
      <c r="AI532" s="1087"/>
      <c r="AJ532" s="1084" t="str">
        <f t="shared" si="72"/>
        <v/>
      </c>
      <c r="AK532" s="1083" t="str">
        <f t="shared" si="73"/>
        <v/>
      </c>
      <c r="AL532" s="211">
        <v>11514500</v>
      </c>
      <c r="AM532" s="211">
        <v>1600000</v>
      </c>
      <c r="AN532" s="211">
        <v>6540000</v>
      </c>
      <c r="AO532" s="211">
        <v>3813000</v>
      </c>
      <c r="AP532" s="211">
        <v>637500</v>
      </c>
      <c r="AQ532" s="211">
        <v>90000</v>
      </c>
      <c r="AR532" s="211">
        <v>3491500</v>
      </c>
      <c r="AS532" s="211">
        <v>1295000</v>
      </c>
      <c r="AT532" s="211">
        <v>24641000</v>
      </c>
      <c r="AU532" s="211">
        <v>794500</v>
      </c>
      <c r="AV532" s="211">
        <v>705000</v>
      </c>
      <c r="AW532" s="211"/>
      <c r="AX532" s="211"/>
      <c r="AY532" s="211"/>
      <c r="AZ532" s="211"/>
      <c r="BA532" s="211"/>
      <c r="BB532" s="211"/>
      <c r="BC532" s="211"/>
      <c r="BD532" s="333">
        <v>43340</v>
      </c>
      <c r="BE532" s="82">
        <f t="shared" si="74"/>
        <v>55122000</v>
      </c>
      <c r="BF532" s="13"/>
      <c r="BG532" s="1"/>
    </row>
    <row r="533" spans="1:59" s="54" customFormat="1" ht="20.399999999999999" hidden="1" x14ac:dyDescent="0.3">
      <c r="A533" s="56"/>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197">
        <f>+'Base de Datos'!I533</f>
        <v>35763045</v>
      </c>
      <c r="G533" s="196">
        <f>+'Base de Datos'!M533</f>
        <v>42899</v>
      </c>
      <c r="H533" s="196">
        <f>+'Base de Datos'!N533</f>
        <v>43186</v>
      </c>
      <c r="I533" s="196"/>
      <c r="J533" s="158">
        <v>11400000</v>
      </c>
      <c r="K533" s="333">
        <v>43181</v>
      </c>
      <c r="L533" s="211"/>
      <c r="M533" s="336"/>
      <c r="N533" s="158"/>
      <c r="O533" s="333"/>
      <c r="P533" s="158"/>
      <c r="Q533" s="338"/>
      <c r="R533" s="81">
        <f t="shared" si="67"/>
        <v>11400000</v>
      </c>
      <c r="S533" s="258" t="s">
        <v>379</v>
      </c>
      <c r="T533" s="333">
        <v>43278</v>
      </c>
      <c r="U533" s="158" t="s">
        <v>962</v>
      </c>
      <c r="V533" s="333">
        <v>43293</v>
      </c>
      <c r="W533" s="158" t="s">
        <v>1324</v>
      </c>
      <c r="X533" s="333">
        <v>43313</v>
      </c>
      <c r="Y533" s="158"/>
      <c r="Z533" s="333"/>
      <c r="AA533" s="820" t="s">
        <v>3842</v>
      </c>
      <c r="AB533" s="1004">
        <f t="shared" si="68"/>
        <v>43313</v>
      </c>
      <c r="AC533" s="1082" t="str">
        <f t="shared" si="69"/>
        <v/>
      </c>
      <c r="AD533" s="1077"/>
      <c r="AE533" s="1077"/>
      <c r="AF533" s="1084" t="str">
        <f t="shared" si="70"/>
        <v/>
      </c>
      <c r="AG533" s="1082" t="str">
        <f t="shared" si="71"/>
        <v/>
      </c>
      <c r="AH533" s="1091"/>
      <c r="AI533" s="1087"/>
      <c r="AJ533" s="1084" t="str">
        <f t="shared" si="72"/>
        <v/>
      </c>
      <c r="AK533" s="1083" t="str">
        <f t="shared" si="73"/>
        <v/>
      </c>
      <c r="AL533" s="211">
        <v>7383382</v>
      </c>
      <c r="AM533" s="211">
        <v>2930867</v>
      </c>
      <c r="AN533" s="211">
        <v>3028655</v>
      </c>
      <c r="AO533" s="211">
        <v>3258159</v>
      </c>
      <c r="AP533" s="211">
        <v>7109798</v>
      </c>
      <c r="AQ533" s="211">
        <v>2677091</v>
      </c>
      <c r="AR533" s="211">
        <v>3484547</v>
      </c>
      <c r="AS533" s="211">
        <v>3349777</v>
      </c>
      <c r="AT533" s="211">
        <v>2540769</v>
      </c>
      <c r="AU533" s="211">
        <v>768754</v>
      </c>
      <c r="AV533" s="211">
        <v>3147881</v>
      </c>
      <c r="AW533" s="211">
        <v>3024681</v>
      </c>
      <c r="AX533" s="211">
        <v>1689885</v>
      </c>
      <c r="AY533" s="211">
        <v>1242196</v>
      </c>
      <c r="AZ533" s="211"/>
      <c r="BA533" s="211"/>
      <c r="BB533" s="211"/>
      <c r="BC533" s="211"/>
      <c r="BD533" s="333">
        <v>43453</v>
      </c>
      <c r="BE533" s="82">
        <f t="shared" si="74"/>
        <v>45636442</v>
      </c>
      <c r="BF533" s="13"/>
      <c r="BG533" s="1"/>
    </row>
    <row r="534" spans="1:59" s="54" customFormat="1" ht="20.399999999999999" hidden="1" x14ac:dyDescent="0.3">
      <c r="A534" s="56"/>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197">
        <f>+'Base de Datos'!I534</f>
        <v>50000000</v>
      </c>
      <c r="G534" s="196">
        <f>+'Base de Datos'!M534</f>
        <v>42913</v>
      </c>
      <c r="H534" s="196">
        <f>+'Base de Datos'!N534</f>
        <v>43278</v>
      </c>
      <c r="I534" s="196"/>
      <c r="J534" s="158"/>
      <c r="K534" s="333"/>
      <c r="L534" s="211"/>
      <c r="M534" s="336"/>
      <c r="N534" s="158"/>
      <c r="O534" s="333"/>
      <c r="P534" s="158"/>
      <c r="Q534" s="338"/>
      <c r="R534" s="81">
        <f t="shared" si="67"/>
        <v>0</v>
      </c>
      <c r="S534" s="258"/>
      <c r="T534" s="333"/>
      <c r="U534" s="158"/>
      <c r="V534" s="333"/>
      <c r="W534" s="158"/>
      <c r="X534" s="333"/>
      <c r="Y534" s="158"/>
      <c r="Z534" s="333"/>
      <c r="AA534" s="326"/>
      <c r="AB534" s="1004" t="str">
        <f t="shared" si="68"/>
        <v/>
      </c>
      <c r="AC534" s="1082" t="str">
        <f t="shared" si="69"/>
        <v/>
      </c>
      <c r="AD534" s="1077"/>
      <c r="AE534" s="1077"/>
      <c r="AF534" s="1084" t="str">
        <f t="shared" si="70"/>
        <v/>
      </c>
      <c r="AG534" s="1082" t="str">
        <f t="shared" si="71"/>
        <v/>
      </c>
      <c r="AH534" s="1091"/>
      <c r="AI534" s="1087"/>
      <c r="AJ534" s="1084" t="str">
        <f t="shared" si="72"/>
        <v/>
      </c>
      <c r="AK534" s="1083" t="str">
        <f t="shared" si="73"/>
        <v/>
      </c>
      <c r="AL534" s="211">
        <v>35600000</v>
      </c>
      <c r="AM534" s="211">
        <v>1511995</v>
      </c>
      <c r="AN534" s="211"/>
      <c r="AO534" s="211"/>
      <c r="AP534" s="211"/>
      <c r="AQ534" s="211"/>
      <c r="AR534" s="211"/>
      <c r="AS534" s="211"/>
      <c r="AT534" s="211"/>
      <c r="AU534" s="211"/>
      <c r="AV534" s="211"/>
      <c r="AW534" s="211"/>
      <c r="AX534" s="211"/>
      <c r="AY534" s="211"/>
      <c r="AZ534" s="211"/>
      <c r="BA534" s="211"/>
      <c r="BB534" s="211"/>
      <c r="BC534" s="211"/>
      <c r="BD534" s="333">
        <v>43300</v>
      </c>
      <c r="BE534" s="82">
        <f t="shared" si="74"/>
        <v>37111995</v>
      </c>
      <c r="BF534" s="13"/>
      <c r="BG534" s="1"/>
    </row>
    <row r="535" spans="1:59" s="54" customFormat="1" ht="20.399999999999999" hidden="1" x14ac:dyDescent="0.3">
      <c r="A535" s="56"/>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197">
        <f>+'Base de Datos'!I535</f>
        <v>110600000</v>
      </c>
      <c r="G535" s="196">
        <f>+'Base de Datos'!M535</f>
        <v>42906</v>
      </c>
      <c r="H535" s="196">
        <f>+'Base de Datos'!N535</f>
        <v>43210</v>
      </c>
      <c r="I535" s="196"/>
      <c r="J535" s="158">
        <v>25806667</v>
      </c>
      <c r="K535" s="333">
        <v>43209</v>
      </c>
      <c r="L535" s="211"/>
      <c r="M535" s="336"/>
      <c r="N535" s="158"/>
      <c r="O535" s="333"/>
      <c r="P535" s="158"/>
      <c r="Q535" s="338"/>
      <c r="R535" s="81">
        <f t="shared" si="67"/>
        <v>25806667</v>
      </c>
      <c r="S535" s="820" t="s">
        <v>3940</v>
      </c>
      <c r="T535" s="333">
        <v>43281</v>
      </c>
      <c r="U535" s="158"/>
      <c r="V535" s="333"/>
      <c r="W535" s="158"/>
      <c r="X535" s="333"/>
      <c r="Y535" s="158"/>
      <c r="Z535" s="333"/>
      <c r="AA535" s="820" t="s">
        <v>3940</v>
      </c>
      <c r="AB535" s="1004">
        <f t="shared" si="68"/>
        <v>43281</v>
      </c>
      <c r="AC535" s="1082" t="str">
        <f t="shared" si="69"/>
        <v/>
      </c>
      <c r="AD535" s="1077"/>
      <c r="AE535" s="1077"/>
      <c r="AF535" s="1084" t="str">
        <f t="shared" si="70"/>
        <v/>
      </c>
      <c r="AG535" s="1082" t="str">
        <f t="shared" si="71"/>
        <v/>
      </c>
      <c r="AH535" s="1091"/>
      <c r="AI535" s="1087"/>
      <c r="AJ535" s="1084" t="str">
        <f t="shared" si="72"/>
        <v/>
      </c>
      <c r="AK535" s="1083" t="str">
        <f t="shared" si="73"/>
        <v/>
      </c>
      <c r="AL535" s="211">
        <v>11060000</v>
      </c>
      <c r="AM535" s="211">
        <v>11060000</v>
      </c>
      <c r="AN535" s="211">
        <v>11060000</v>
      </c>
      <c r="AO535" s="211">
        <v>11060000</v>
      </c>
      <c r="AP535" s="211">
        <v>11060000</v>
      </c>
      <c r="AQ535" s="211">
        <v>11060000</v>
      </c>
      <c r="AR535" s="211">
        <v>11060000</v>
      </c>
      <c r="AS535" s="211">
        <v>11060000</v>
      </c>
      <c r="AT535" s="211">
        <v>11060000</v>
      </c>
      <c r="AU535" s="211">
        <v>11060000</v>
      </c>
      <c r="AV535" s="211">
        <v>11060000</v>
      </c>
      <c r="AW535" s="211">
        <v>14746667</v>
      </c>
      <c r="AX535" s="211"/>
      <c r="AY535" s="211"/>
      <c r="AZ535" s="211"/>
      <c r="BA535" s="211"/>
      <c r="BB535" s="211"/>
      <c r="BC535" s="211"/>
      <c r="BD535" s="333">
        <v>43315</v>
      </c>
      <c r="BE535" s="82">
        <f t="shared" si="74"/>
        <v>136406667</v>
      </c>
      <c r="BF535" s="13"/>
      <c r="BG535" s="1"/>
    </row>
    <row r="536" spans="1:59" s="54" customFormat="1" ht="20.399999999999999" hidden="1" x14ac:dyDescent="0.3">
      <c r="A536" s="56"/>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197">
        <f>+'Base de Datos'!I536</f>
        <v>4361500</v>
      </c>
      <c r="G536" s="196">
        <f>+'Base de Datos'!M536</f>
        <v>42922</v>
      </c>
      <c r="H536" s="196">
        <f>+'Base de Datos'!N536</f>
        <v>42984</v>
      </c>
      <c r="I536" s="196"/>
      <c r="J536" s="158"/>
      <c r="K536" s="333"/>
      <c r="L536" s="211"/>
      <c r="M536" s="336"/>
      <c r="N536" s="158"/>
      <c r="O536" s="333"/>
      <c r="P536" s="158"/>
      <c r="Q536" s="338"/>
      <c r="R536" s="81">
        <f t="shared" si="67"/>
        <v>0</v>
      </c>
      <c r="S536" s="258"/>
      <c r="T536" s="333"/>
      <c r="U536" s="158"/>
      <c r="V536" s="333"/>
      <c r="W536" s="158"/>
      <c r="X536" s="333"/>
      <c r="Y536" s="158"/>
      <c r="Z536" s="333"/>
      <c r="AA536" s="326"/>
      <c r="AB536" s="1004" t="str">
        <f t="shared" si="68"/>
        <v/>
      </c>
      <c r="AC536" s="1082" t="str">
        <f t="shared" si="69"/>
        <v/>
      </c>
      <c r="AD536" s="1077"/>
      <c r="AE536" s="1077"/>
      <c r="AF536" s="1084" t="str">
        <f t="shared" si="70"/>
        <v/>
      </c>
      <c r="AG536" s="1082" t="str">
        <f t="shared" si="71"/>
        <v/>
      </c>
      <c r="AH536" s="1091"/>
      <c r="AI536" s="1087"/>
      <c r="AJ536" s="1084" t="str">
        <f t="shared" si="72"/>
        <v/>
      </c>
      <c r="AK536" s="1083" t="str">
        <f t="shared" si="73"/>
        <v/>
      </c>
      <c r="AL536" s="211">
        <v>4361500</v>
      </c>
      <c r="AM536" s="211"/>
      <c r="AN536" s="211"/>
      <c r="AO536" s="211"/>
      <c r="AP536" s="211"/>
      <c r="AQ536" s="211"/>
      <c r="AR536" s="211"/>
      <c r="AS536" s="211"/>
      <c r="AT536" s="211"/>
      <c r="AU536" s="211"/>
      <c r="AV536" s="211"/>
      <c r="AW536" s="211"/>
      <c r="AX536" s="211"/>
      <c r="AY536" s="211"/>
      <c r="AZ536" s="211"/>
      <c r="BA536" s="211"/>
      <c r="BB536" s="211"/>
      <c r="BC536" s="211"/>
      <c r="BD536" s="333">
        <v>42996</v>
      </c>
      <c r="BE536" s="82">
        <f t="shared" si="74"/>
        <v>4361500</v>
      </c>
      <c r="BF536" s="13"/>
      <c r="BG536" s="1"/>
    </row>
    <row r="537" spans="1:59" s="54" customFormat="1" ht="30.6" hidden="1" x14ac:dyDescent="0.3">
      <c r="A537" s="56"/>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197">
        <f>+'Base de Datos'!I537</f>
        <v>4491000</v>
      </c>
      <c r="G537" s="196">
        <f>+'Base de Datos'!M537</f>
        <v>42920</v>
      </c>
      <c r="H537" s="196">
        <f>+'Base de Datos'!N537</f>
        <v>43255</v>
      </c>
      <c r="I537" s="196"/>
      <c r="J537" s="158"/>
      <c r="K537" s="333"/>
      <c r="L537" s="211"/>
      <c r="M537" s="336"/>
      <c r="N537" s="158"/>
      <c r="O537" s="333"/>
      <c r="P537" s="158"/>
      <c r="Q537" s="338"/>
      <c r="R537" s="81">
        <f t="shared" si="67"/>
        <v>0</v>
      </c>
      <c r="S537" s="258"/>
      <c r="T537" s="333"/>
      <c r="U537" s="158"/>
      <c r="V537" s="333"/>
      <c r="W537" s="158"/>
      <c r="X537" s="333"/>
      <c r="Y537" s="158"/>
      <c r="Z537" s="333"/>
      <c r="AA537" s="326"/>
      <c r="AB537" s="1004" t="str">
        <f t="shared" si="68"/>
        <v/>
      </c>
      <c r="AC537" s="1082" t="str">
        <f t="shared" si="69"/>
        <v/>
      </c>
      <c r="AD537" s="1077"/>
      <c r="AE537" s="1077"/>
      <c r="AF537" s="1084" t="str">
        <f t="shared" si="70"/>
        <v/>
      </c>
      <c r="AG537" s="1082" t="str">
        <f t="shared" si="71"/>
        <v/>
      </c>
      <c r="AH537" s="1091"/>
      <c r="AI537" s="1087"/>
      <c r="AJ537" s="1084" t="str">
        <f t="shared" si="72"/>
        <v/>
      </c>
      <c r="AK537" s="1083" t="str">
        <f t="shared" si="73"/>
        <v/>
      </c>
      <c r="AL537" s="211">
        <v>780000</v>
      </c>
      <c r="AM537" s="211">
        <v>3630990</v>
      </c>
      <c r="AN537" s="211"/>
      <c r="AO537" s="211"/>
      <c r="AP537" s="211"/>
      <c r="AQ537" s="211"/>
      <c r="AR537" s="211"/>
      <c r="AS537" s="211"/>
      <c r="AT537" s="211"/>
      <c r="AU537" s="211"/>
      <c r="AV537" s="211"/>
      <c r="AW537" s="211"/>
      <c r="AX537" s="211"/>
      <c r="AY537" s="211"/>
      <c r="AZ537" s="211"/>
      <c r="BA537" s="211"/>
      <c r="BB537" s="211"/>
      <c r="BC537" s="211"/>
      <c r="BD537" s="333">
        <v>43311</v>
      </c>
      <c r="BE537" s="82">
        <f t="shared" si="74"/>
        <v>4410990</v>
      </c>
      <c r="BF537" s="13"/>
      <c r="BG537" s="1"/>
    </row>
    <row r="538" spans="1:59" s="54" customFormat="1" ht="51" hidden="1" x14ac:dyDescent="0.3">
      <c r="A538" s="56"/>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197">
        <f>+'Base de Datos'!I538</f>
        <v>29000000</v>
      </c>
      <c r="G538" s="196">
        <f>+'Base de Datos'!M538</f>
        <v>42920</v>
      </c>
      <c r="H538" s="196">
        <f>+'Base de Datos'!N538</f>
        <v>43194</v>
      </c>
      <c r="I538" s="196"/>
      <c r="J538" s="158"/>
      <c r="K538" s="333"/>
      <c r="L538" s="211"/>
      <c r="M538" s="336"/>
      <c r="N538" s="158"/>
      <c r="O538" s="333"/>
      <c r="P538" s="158"/>
      <c r="Q538" s="338"/>
      <c r="R538" s="81">
        <f t="shared" si="67"/>
        <v>0</v>
      </c>
      <c r="S538" s="258"/>
      <c r="T538" s="333"/>
      <c r="U538" s="158"/>
      <c r="V538" s="333"/>
      <c r="W538" s="158"/>
      <c r="X538" s="333"/>
      <c r="Y538" s="158"/>
      <c r="Z538" s="333"/>
      <c r="AA538" s="326"/>
      <c r="AB538" s="1004" t="str">
        <f t="shared" si="68"/>
        <v/>
      </c>
      <c r="AC538" s="1082" t="str">
        <f t="shared" si="69"/>
        <v/>
      </c>
      <c r="AD538" s="1077"/>
      <c r="AE538" s="1077"/>
      <c r="AF538" s="1084" t="str">
        <f t="shared" si="70"/>
        <v/>
      </c>
      <c r="AG538" s="1082" t="str">
        <f t="shared" si="71"/>
        <v/>
      </c>
      <c r="AH538" s="1091"/>
      <c r="AI538" s="1087"/>
      <c r="AJ538" s="1084" t="str">
        <f t="shared" si="72"/>
        <v/>
      </c>
      <c r="AK538" s="1083" t="str">
        <f t="shared" si="73"/>
        <v/>
      </c>
      <c r="AL538" s="211">
        <v>9637510</v>
      </c>
      <c r="AM538" s="211">
        <v>10774677</v>
      </c>
      <c r="AN538" s="211">
        <v>4479954</v>
      </c>
      <c r="AO538" s="211">
        <v>1334138</v>
      </c>
      <c r="AP538" s="211">
        <v>2773488</v>
      </c>
      <c r="AQ538" s="211"/>
      <c r="AR538" s="211"/>
      <c r="AS538" s="211"/>
      <c r="AT538" s="211"/>
      <c r="AU538" s="211"/>
      <c r="AV538" s="211"/>
      <c r="AW538" s="211"/>
      <c r="AX538" s="211"/>
      <c r="AY538" s="211"/>
      <c r="AZ538" s="211"/>
      <c r="BA538" s="211"/>
      <c r="BB538" s="211"/>
      <c r="BC538" s="211"/>
      <c r="BD538" s="333">
        <v>43236</v>
      </c>
      <c r="BE538" s="82">
        <f t="shared" si="74"/>
        <v>28999767</v>
      </c>
      <c r="BF538" s="13"/>
      <c r="BG538" s="1"/>
    </row>
    <row r="539" spans="1:59" s="54" customFormat="1" ht="61.2" hidden="1" x14ac:dyDescent="0.3">
      <c r="A539" s="56"/>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197">
        <f>+'Base de Datos'!I539</f>
        <v>578014000</v>
      </c>
      <c r="G539" s="196">
        <f>+'Base de Datos'!M539</f>
        <v>42933</v>
      </c>
      <c r="H539" s="196">
        <f>+'Base de Datos'!N539</f>
        <v>43117</v>
      </c>
      <c r="I539" s="196"/>
      <c r="J539" s="158">
        <v>303988189</v>
      </c>
      <c r="K539" s="333">
        <v>43133</v>
      </c>
      <c r="L539" s="211"/>
      <c r="M539" s="336"/>
      <c r="N539" s="158"/>
      <c r="O539" s="333"/>
      <c r="P539" s="158"/>
      <c r="Q539" s="338"/>
      <c r="R539" s="81">
        <f t="shared" si="67"/>
        <v>303988189</v>
      </c>
      <c r="S539" s="820" t="s">
        <v>3713</v>
      </c>
      <c r="T539" s="333">
        <v>43134</v>
      </c>
      <c r="U539" s="157" t="s">
        <v>3859</v>
      </c>
      <c r="V539" s="333">
        <v>43231</v>
      </c>
      <c r="W539" s="158"/>
      <c r="X539" s="333"/>
      <c r="Y539" s="158"/>
      <c r="Z539" s="333"/>
      <c r="AA539" s="326" t="s">
        <v>3860</v>
      </c>
      <c r="AB539" s="1004">
        <f t="shared" si="68"/>
        <v>43231</v>
      </c>
      <c r="AC539" s="1082" t="str">
        <f t="shared" si="69"/>
        <v/>
      </c>
      <c r="AD539" s="1077"/>
      <c r="AE539" s="1077"/>
      <c r="AF539" s="1084" t="str">
        <f t="shared" si="70"/>
        <v/>
      </c>
      <c r="AG539" s="1082" t="str">
        <f t="shared" si="71"/>
        <v/>
      </c>
      <c r="AH539" s="1091"/>
      <c r="AI539" s="1087"/>
      <c r="AJ539" s="1084" t="str">
        <f t="shared" si="72"/>
        <v/>
      </c>
      <c r="AK539" s="1083" t="str">
        <f t="shared" si="73"/>
        <v/>
      </c>
      <c r="AL539" s="211">
        <v>41077512</v>
      </c>
      <c r="AM539" s="211">
        <v>87096564</v>
      </c>
      <c r="AN539" s="211">
        <v>87096564</v>
      </c>
      <c r="AO539" s="211">
        <v>87949614</v>
      </c>
      <c r="AP539" s="211">
        <v>87665264</v>
      </c>
      <c r="AQ539" s="211">
        <v>88518314</v>
      </c>
      <c r="AR539" s="211">
        <v>92677969</v>
      </c>
      <c r="AS539" s="211">
        <v>5932199</v>
      </c>
      <c r="AT539" s="211">
        <v>86143516</v>
      </c>
      <c r="AU539" s="211">
        <v>92677969</v>
      </c>
      <c r="AV539" s="211">
        <v>91194367</v>
      </c>
      <c r="AW539" s="211">
        <v>32079098</v>
      </c>
      <c r="AX539" s="211"/>
      <c r="AY539" s="211"/>
      <c r="AZ539" s="211"/>
      <c r="BA539" s="211"/>
      <c r="BB539" s="211"/>
      <c r="BC539" s="211"/>
      <c r="BD539" s="333">
        <v>43325</v>
      </c>
      <c r="BE539" s="82">
        <f t="shared" si="74"/>
        <v>880108950</v>
      </c>
      <c r="BF539" s="13"/>
      <c r="BG539" s="1"/>
    </row>
    <row r="540" spans="1:59" s="54" customFormat="1" ht="30.6" hidden="1" x14ac:dyDescent="0.3">
      <c r="A540" s="56"/>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197">
        <f>+'Base de Datos'!I540</f>
        <v>70086000</v>
      </c>
      <c r="G540" s="196">
        <f>+'Base de Datos'!M540</f>
        <v>42930</v>
      </c>
      <c r="H540" s="196">
        <f>+'Base de Datos'!N540</f>
        <v>43053</v>
      </c>
      <c r="I540" s="196"/>
      <c r="J540" s="158"/>
      <c r="K540" s="333"/>
      <c r="L540" s="211"/>
      <c r="M540" s="336"/>
      <c r="N540" s="158"/>
      <c r="O540" s="333"/>
      <c r="P540" s="158"/>
      <c r="Q540" s="338"/>
      <c r="R540" s="81">
        <f t="shared" si="67"/>
        <v>0</v>
      </c>
      <c r="S540" s="258"/>
      <c r="T540" s="333"/>
      <c r="U540" s="158"/>
      <c r="V540" s="333"/>
      <c r="W540" s="158"/>
      <c r="X540" s="333"/>
      <c r="Y540" s="158"/>
      <c r="Z540" s="333"/>
      <c r="AA540" s="326"/>
      <c r="AB540" s="1004" t="str">
        <f t="shared" si="68"/>
        <v/>
      </c>
      <c r="AC540" s="1082" t="str">
        <f t="shared" si="69"/>
        <v/>
      </c>
      <c r="AD540" s="1077"/>
      <c r="AE540" s="1077"/>
      <c r="AF540" s="1084" t="str">
        <f t="shared" si="70"/>
        <v/>
      </c>
      <c r="AG540" s="1082" t="str">
        <f t="shared" si="71"/>
        <v/>
      </c>
      <c r="AH540" s="1091"/>
      <c r="AI540" s="1087"/>
      <c r="AJ540" s="1084" t="str">
        <f t="shared" si="72"/>
        <v/>
      </c>
      <c r="AK540" s="1083" t="str">
        <f t="shared" si="73"/>
        <v/>
      </c>
      <c r="AL540" s="211"/>
      <c r="AM540" s="211">
        <v>19211000</v>
      </c>
      <c r="AN540" s="211">
        <v>22000000</v>
      </c>
      <c r="AO540" s="211">
        <v>7500000</v>
      </c>
      <c r="AP540" s="211">
        <v>21375000</v>
      </c>
      <c r="AQ540" s="211"/>
      <c r="AR540" s="211"/>
      <c r="AS540" s="211"/>
      <c r="AT540" s="211"/>
      <c r="AU540" s="211"/>
      <c r="AV540" s="211"/>
      <c r="AW540" s="211"/>
      <c r="AX540" s="211"/>
      <c r="AY540" s="211"/>
      <c r="AZ540" s="211"/>
      <c r="BA540" s="211"/>
      <c r="BB540" s="211"/>
      <c r="BC540" s="211"/>
      <c r="BD540" s="333">
        <v>43053</v>
      </c>
      <c r="BE540" s="82">
        <f t="shared" si="74"/>
        <v>70086000</v>
      </c>
      <c r="BF540" s="13"/>
      <c r="BG540" s="1"/>
    </row>
    <row r="541" spans="1:59" s="54" customFormat="1" ht="20.399999999999999" hidden="1" x14ac:dyDescent="0.3">
      <c r="A541" s="56"/>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197">
        <f>+'Base de Datos'!I541</f>
        <v>15000000</v>
      </c>
      <c r="G541" s="196">
        <f>+'Base de Datos'!M541</f>
        <v>42948</v>
      </c>
      <c r="H541" s="196">
        <f>+'Base de Datos'!N541</f>
        <v>43236</v>
      </c>
      <c r="I541" s="196"/>
      <c r="J541" s="158">
        <v>6193880</v>
      </c>
      <c r="K541" s="333">
        <v>43235</v>
      </c>
      <c r="L541" s="211"/>
      <c r="M541" s="336"/>
      <c r="N541" s="158"/>
      <c r="O541" s="333"/>
      <c r="P541" s="158"/>
      <c r="Q541" s="338"/>
      <c r="R541" s="81">
        <f t="shared" si="67"/>
        <v>6193880</v>
      </c>
      <c r="S541" s="820" t="s">
        <v>966</v>
      </c>
      <c r="T541" s="333">
        <v>43312</v>
      </c>
      <c r="U541" s="158"/>
      <c r="V541" s="333"/>
      <c r="W541" s="158"/>
      <c r="X541" s="333"/>
      <c r="Y541" s="158"/>
      <c r="Z541" s="333"/>
      <c r="AA541" s="820" t="s">
        <v>966</v>
      </c>
      <c r="AB541" s="1004">
        <f t="shared" si="68"/>
        <v>43312</v>
      </c>
      <c r="AC541" s="1082" t="str">
        <f t="shared" si="69"/>
        <v/>
      </c>
      <c r="AD541" s="1077"/>
      <c r="AE541" s="1077"/>
      <c r="AF541" s="1084" t="str">
        <f t="shared" si="70"/>
        <v/>
      </c>
      <c r="AG541" s="1082" t="str">
        <f t="shared" si="71"/>
        <v/>
      </c>
      <c r="AH541" s="1091"/>
      <c r="AI541" s="1087"/>
      <c r="AJ541" s="1084" t="str">
        <f t="shared" si="72"/>
        <v/>
      </c>
      <c r="AK541" s="1083" t="str">
        <f t="shared" si="73"/>
        <v/>
      </c>
      <c r="AL541" s="211">
        <v>7646200</v>
      </c>
      <c r="AM541" s="211">
        <v>1529240</v>
      </c>
      <c r="AN541" s="211">
        <v>1529240</v>
      </c>
      <c r="AO541" s="211">
        <v>1529240</v>
      </c>
      <c r="AP541" s="211">
        <v>1529240</v>
      </c>
      <c r="AQ541" s="211"/>
      <c r="AR541" s="211">
        <v>1236840</v>
      </c>
      <c r="AS541" s="211">
        <v>292400</v>
      </c>
      <c r="AT541" s="211">
        <v>1529240</v>
      </c>
      <c r="AU541" s="211">
        <v>1529240</v>
      </c>
      <c r="AV541" s="211"/>
      <c r="AW541" s="211"/>
      <c r="AX541" s="211"/>
      <c r="AY541" s="211"/>
      <c r="AZ541" s="211"/>
      <c r="BA541" s="211"/>
      <c r="BB541" s="211"/>
      <c r="BC541" s="211"/>
      <c r="BD541" s="333">
        <v>43364</v>
      </c>
      <c r="BE541" s="82">
        <f t="shared" si="74"/>
        <v>18350880</v>
      </c>
      <c r="BF541" s="13"/>
      <c r="BG541" s="1"/>
    </row>
    <row r="542" spans="1:59" s="54" customFormat="1" ht="51" hidden="1" x14ac:dyDescent="0.3">
      <c r="A542" s="56"/>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197">
        <f>+'Base de Datos'!I542</f>
        <v>196663000</v>
      </c>
      <c r="G542" s="196">
        <f>+'Base de Datos'!M542</f>
        <v>42937</v>
      </c>
      <c r="H542" s="196">
        <f>+'Base de Datos'!N542</f>
        <v>43180</v>
      </c>
      <c r="I542" s="196"/>
      <c r="J542" s="158">
        <v>44511762</v>
      </c>
      <c r="K542" s="333">
        <v>43180</v>
      </c>
      <c r="L542" s="211">
        <v>39249339</v>
      </c>
      <c r="M542" s="336">
        <v>43241</v>
      </c>
      <c r="N542" s="158"/>
      <c r="O542" s="333"/>
      <c r="P542" s="158"/>
      <c r="Q542" s="338"/>
      <c r="R542" s="81">
        <f t="shared" si="67"/>
        <v>83761101</v>
      </c>
      <c r="S542" s="258" t="s">
        <v>378</v>
      </c>
      <c r="T542" s="333">
        <v>43241</v>
      </c>
      <c r="U542" s="157" t="s">
        <v>1831</v>
      </c>
      <c r="V542" s="333">
        <v>43320</v>
      </c>
      <c r="W542" s="158"/>
      <c r="X542" s="333"/>
      <c r="Y542" s="158"/>
      <c r="Z542" s="333"/>
      <c r="AA542" s="326" t="s">
        <v>2206</v>
      </c>
      <c r="AB542" s="1004">
        <f t="shared" si="68"/>
        <v>43320</v>
      </c>
      <c r="AC542" s="1082" t="str">
        <f t="shared" si="69"/>
        <v/>
      </c>
      <c r="AD542" s="1077"/>
      <c r="AE542" s="1077"/>
      <c r="AF542" s="1084" t="str">
        <f t="shared" si="70"/>
        <v/>
      </c>
      <c r="AG542" s="1082" t="str">
        <f t="shared" si="71"/>
        <v/>
      </c>
      <c r="AH542" s="1091"/>
      <c r="AI542" s="1087"/>
      <c r="AJ542" s="1084" t="str">
        <f t="shared" si="72"/>
        <v/>
      </c>
      <c r="AK542" s="1083" t="str">
        <f t="shared" si="73"/>
        <v/>
      </c>
      <c r="AL542" s="211">
        <v>44511762</v>
      </c>
      <c r="AM542" s="211">
        <v>44511762</v>
      </c>
      <c r="AN542" s="211">
        <v>44511762</v>
      </c>
      <c r="AO542" s="211">
        <v>44511762</v>
      </c>
      <c r="AP542" s="211">
        <v>44511762</v>
      </c>
      <c r="AQ542" s="211"/>
      <c r="AR542" s="211">
        <v>18472381</v>
      </c>
      <c r="AS542" s="211">
        <v>39170351</v>
      </c>
      <c r="AT542" s="211"/>
      <c r="AU542" s="211"/>
      <c r="AV542" s="211"/>
      <c r="AW542" s="211"/>
      <c r="AX542" s="211"/>
      <c r="AY542" s="211"/>
      <c r="AZ542" s="211"/>
      <c r="BA542" s="211"/>
      <c r="BB542" s="211"/>
      <c r="BC542" s="211"/>
      <c r="BD542" s="333">
        <v>43390</v>
      </c>
      <c r="BE542" s="82">
        <f t="shared" si="74"/>
        <v>280201542</v>
      </c>
      <c r="BF542" s="13"/>
      <c r="BG542" s="1"/>
    </row>
    <row r="543" spans="1:59" s="54" customFormat="1" ht="20.399999999999999" hidden="1" x14ac:dyDescent="0.3">
      <c r="A543" s="56"/>
      <c r="B543" s="2" t="str">
        <f>+'Base de Datos'!E543</f>
        <v>170185-0-2017</v>
      </c>
      <c r="C543" s="2" t="str">
        <f>+'Base de Datos'!F543</f>
        <v>CANAL CAPITAL</v>
      </c>
      <c r="D543" s="2">
        <f>+'Base de Datos'!G543</f>
        <v>830012587</v>
      </c>
      <c r="E543" s="2" t="str">
        <f>+'Base de Datos'!H543</f>
        <v xml:space="preserve">Prestar servicios de producción y trasmisión de programas de televisión para el Concejo de Bogotá. </v>
      </c>
      <c r="F543" s="197">
        <f>+'Base de Datos'!I543</f>
        <v>909999990</v>
      </c>
      <c r="G543" s="196">
        <f>+'Base de Datos'!M543</f>
        <v>42948</v>
      </c>
      <c r="H543" s="196">
        <f>+'Base de Datos'!N543</f>
        <v>43221</v>
      </c>
      <c r="I543" s="196"/>
      <c r="J543" s="158">
        <v>47319780</v>
      </c>
      <c r="K543" s="333">
        <v>43175</v>
      </c>
      <c r="L543" s="211">
        <v>284000000</v>
      </c>
      <c r="M543" s="336">
        <v>43222</v>
      </c>
      <c r="N543" s="158"/>
      <c r="O543" s="333"/>
      <c r="P543" s="158"/>
      <c r="Q543" s="338"/>
      <c r="R543" s="81">
        <f t="shared" si="67"/>
        <v>331319780</v>
      </c>
      <c r="S543" s="258" t="s">
        <v>378</v>
      </c>
      <c r="T543" s="333">
        <v>43281</v>
      </c>
      <c r="U543" s="158" t="s">
        <v>381</v>
      </c>
      <c r="V543" s="333">
        <v>43311</v>
      </c>
      <c r="W543" s="158"/>
      <c r="X543" s="333"/>
      <c r="Y543" s="158"/>
      <c r="Z543" s="333"/>
      <c r="AA543" s="326" t="s">
        <v>379</v>
      </c>
      <c r="AB543" s="1004">
        <f t="shared" si="68"/>
        <v>43311</v>
      </c>
      <c r="AC543" s="1082" t="str">
        <f t="shared" si="69"/>
        <v/>
      </c>
      <c r="AD543" s="1077"/>
      <c r="AE543" s="1077"/>
      <c r="AF543" s="1084" t="str">
        <f t="shared" si="70"/>
        <v/>
      </c>
      <c r="AG543" s="1082" t="str">
        <f t="shared" si="71"/>
        <v/>
      </c>
      <c r="AH543" s="1091"/>
      <c r="AI543" s="1087"/>
      <c r="AJ543" s="1084" t="str">
        <f t="shared" si="72"/>
        <v/>
      </c>
      <c r="AK543" s="1083" t="str">
        <f t="shared" si="73"/>
        <v/>
      </c>
      <c r="AL543" s="211">
        <v>151666665</v>
      </c>
      <c r="AM543" s="211">
        <v>126794644</v>
      </c>
      <c r="AN543" s="211">
        <v>129821416</v>
      </c>
      <c r="AO543" s="211"/>
      <c r="AP543" s="211">
        <v>126794644</v>
      </c>
      <c r="AQ543" s="211">
        <v>121333332</v>
      </c>
      <c r="AR543" s="211">
        <v>96461311</v>
      </c>
      <c r="AS543" s="211">
        <v>107383936</v>
      </c>
      <c r="AT543" s="211">
        <v>49744042</v>
      </c>
      <c r="AU543" s="211">
        <v>121912244</v>
      </c>
      <c r="AV543" s="211">
        <v>131081391</v>
      </c>
      <c r="AW543" s="211">
        <v>58710549</v>
      </c>
      <c r="AX543" s="211"/>
      <c r="AY543" s="211"/>
      <c r="AZ543" s="211"/>
      <c r="BA543" s="211"/>
      <c r="BB543" s="211"/>
      <c r="BC543" s="211"/>
      <c r="BD543" s="333">
        <v>43412</v>
      </c>
      <c r="BE543" s="82">
        <f t="shared" si="74"/>
        <v>1221704174</v>
      </c>
      <c r="BF543" s="13"/>
      <c r="BG543" s="1"/>
    </row>
    <row r="544" spans="1:59" s="54" customFormat="1" ht="20.399999999999999" hidden="1" x14ac:dyDescent="0.3">
      <c r="A544" s="56"/>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197">
        <f>+'Base de Datos'!I544</f>
        <v>3007941</v>
      </c>
      <c r="G544" s="196">
        <f>+'Base de Datos'!M544</f>
        <v>42944</v>
      </c>
      <c r="H544" s="196">
        <f>+'Base de Datos'!N544</f>
        <v>43006</v>
      </c>
      <c r="I544" s="196"/>
      <c r="J544" s="158"/>
      <c r="K544" s="333"/>
      <c r="L544" s="211"/>
      <c r="M544" s="336"/>
      <c r="N544" s="158"/>
      <c r="O544" s="333"/>
      <c r="P544" s="158"/>
      <c r="Q544" s="338"/>
      <c r="R544" s="81">
        <f t="shared" si="67"/>
        <v>0</v>
      </c>
      <c r="S544" s="258"/>
      <c r="T544" s="333"/>
      <c r="U544" s="158"/>
      <c r="V544" s="333"/>
      <c r="W544" s="158"/>
      <c r="X544" s="333"/>
      <c r="Y544" s="158"/>
      <c r="Z544" s="333"/>
      <c r="AA544" s="326"/>
      <c r="AB544" s="1004" t="str">
        <f t="shared" si="68"/>
        <v/>
      </c>
      <c r="AC544" s="1082" t="str">
        <f t="shared" si="69"/>
        <v/>
      </c>
      <c r="AD544" s="1077"/>
      <c r="AE544" s="1077"/>
      <c r="AF544" s="1084" t="str">
        <f t="shared" si="70"/>
        <v/>
      </c>
      <c r="AG544" s="1082" t="str">
        <f t="shared" si="71"/>
        <v/>
      </c>
      <c r="AH544" s="1091"/>
      <c r="AI544" s="1087"/>
      <c r="AJ544" s="1084" t="str">
        <f t="shared" si="72"/>
        <v/>
      </c>
      <c r="AK544" s="1083" t="str">
        <f t="shared" si="73"/>
        <v/>
      </c>
      <c r="AL544" s="211">
        <v>3007941</v>
      </c>
      <c r="AM544" s="211"/>
      <c r="AN544" s="211"/>
      <c r="AO544" s="211"/>
      <c r="AP544" s="211"/>
      <c r="AQ544" s="211"/>
      <c r="AR544" s="211"/>
      <c r="AS544" s="211"/>
      <c r="AT544" s="211"/>
      <c r="AU544" s="211"/>
      <c r="AV544" s="211"/>
      <c r="AW544" s="211"/>
      <c r="AX544" s="211"/>
      <c r="AY544" s="211"/>
      <c r="AZ544" s="211"/>
      <c r="BA544" s="211"/>
      <c r="BB544" s="211"/>
      <c r="BC544" s="211"/>
      <c r="BD544" s="333">
        <v>42992</v>
      </c>
      <c r="BE544" s="82">
        <f t="shared" si="74"/>
        <v>3007941</v>
      </c>
      <c r="BF544" s="13"/>
      <c r="BG544" s="1"/>
    </row>
    <row r="545" spans="1:59" s="54" customFormat="1" ht="20.399999999999999" hidden="1" x14ac:dyDescent="0.3">
      <c r="A545" s="56"/>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197">
        <f>+'Base de Datos'!I545</f>
        <v>13125000</v>
      </c>
      <c r="G545" s="196">
        <f>+'Base de Datos'!M545</f>
        <v>42949</v>
      </c>
      <c r="H545" s="196">
        <f>+'Base de Datos'!N545</f>
        <v>43159</v>
      </c>
      <c r="I545" s="196"/>
      <c r="J545" s="158"/>
      <c r="K545" s="333"/>
      <c r="L545" s="211"/>
      <c r="M545" s="336"/>
      <c r="N545" s="158"/>
      <c r="O545" s="333"/>
      <c r="P545" s="158"/>
      <c r="Q545" s="338"/>
      <c r="R545" s="81">
        <f t="shared" si="67"/>
        <v>0</v>
      </c>
      <c r="S545" s="258"/>
      <c r="T545" s="333"/>
      <c r="U545" s="158"/>
      <c r="V545" s="333"/>
      <c r="W545" s="158"/>
      <c r="X545" s="333"/>
      <c r="Y545" s="158"/>
      <c r="Z545" s="333"/>
      <c r="AA545" s="326"/>
      <c r="AB545" s="1004" t="str">
        <f t="shared" si="68"/>
        <v/>
      </c>
      <c r="AC545" s="1082" t="str">
        <f t="shared" si="69"/>
        <v/>
      </c>
      <c r="AD545" s="1077"/>
      <c r="AE545" s="1077"/>
      <c r="AF545" s="1084" t="str">
        <f t="shared" si="70"/>
        <v/>
      </c>
      <c r="AG545" s="1082" t="str">
        <f t="shared" si="71"/>
        <v/>
      </c>
      <c r="AH545" s="1091"/>
      <c r="AI545" s="1087"/>
      <c r="AJ545" s="1084" t="str">
        <f t="shared" si="72"/>
        <v/>
      </c>
      <c r="AK545" s="1083" t="str">
        <f t="shared" si="73"/>
        <v/>
      </c>
      <c r="AL545" s="211">
        <v>1812500</v>
      </c>
      <c r="AM545" s="211">
        <v>1875000</v>
      </c>
      <c r="AN545" s="211">
        <v>1875000</v>
      </c>
      <c r="AO545" s="211">
        <v>1875000</v>
      </c>
      <c r="AP545" s="211">
        <v>1875000</v>
      </c>
      <c r="AQ545" s="211">
        <v>1375000</v>
      </c>
      <c r="AR545" s="211"/>
      <c r="AS545" s="211"/>
      <c r="AT545" s="211"/>
      <c r="AU545" s="211"/>
      <c r="AV545" s="211"/>
      <c r="AW545" s="211"/>
      <c r="AX545" s="211"/>
      <c r="AY545" s="211"/>
      <c r="AZ545" s="211"/>
      <c r="BA545" s="211"/>
      <c r="BB545" s="211"/>
      <c r="BC545" s="211"/>
      <c r="BD545" s="333">
        <v>43153</v>
      </c>
      <c r="BE545" s="82">
        <f t="shared" si="74"/>
        <v>10687500</v>
      </c>
      <c r="BF545" s="13"/>
      <c r="BG545" s="1"/>
    </row>
    <row r="546" spans="1:59" s="54" customFormat="1" ht="20.399999999999999" hidden="1" x14ac:dyDescent="0.3">
      <c r="A546" s="56"/>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197">
        <f>+'Base de Datos'!I546</f>
        <v>8320000</v>
      </c>
      <c r="G546" s="196">
        <f>+'Base de Datos'!M546</f>
        <v>42941</v>
      </c>
      <c r="H546" s="196">
        <f>+'Base de Datos'!N546</f>
        <v>43215</v>
      </c>
      <c r="I546" s="196"/>
      <c r="J546" s="158">
        <v>2002963</v>
      </c>
      <c r="K546" s="333">
        <v>43214</v>
      </c>
      <c r="L546" s="211"/>
      <c r="M546" s="336"/>
      <c r="N546" s="158"/>
      <c r="O546" s="333"/>
      <c r="P546" s="158"/>
      <c r="Q546" s="338"/>
      <c r="R546" s="81">
        <f t="shared" si="67"/>
        <v>2002963</v>
      </c>
      <c r="S546" s="820" t="s">
        <v>3941</v>
      </c>
      <c r="T546" s="333">
        <v>43280</v>
      </c>
      <c r="U546" s="158"/>
      <c r="V546" s="333"/>
      <c r="W546" s="158"/>
      <c r="X546" s="333"/>
      <c r="Y546" s="158"/>
      <c r="Z546" s="333"/>
      <c r="AA546" s="820" t="s">
        <v>3941</v>
      </c>
      <c r="AB546" s="1004">
        <f t="shared" si="68"/>
        <v>43280</v>
      </c>
      <c r="AC546" s="1082" t="str">
        <f t="shared" si="69"/>
        <v/>
      </c>
      <c r="AD546" s="1077"/>
      <c r="AE546" s="1077"/>
      <c r="AF546" s="1084" t="str">
        <f t="shared" si="70"/>
        <v/>
      </c>
      <c r="AG546" s="1082" t="str">
        <f t="shared" si="71"/>
        <v/>
      </c>
      <c r="AH546" s="1091"/>
      <c r="AI546" s="1087"/>
      <c r="AJ546" s="1084" t="str">
        <f t="shared" si="72"/>
        <v/>
      </c>
      <c r="AK546" s="1083" t="str">
        <f t="shared" si="73"/>
        <v/>
      </c>
      <c r="AL546" s="211">
        <v>4622220</v>
      </c>
      <c r="AM546" s="211">
        <v>2773332</v>
      </c>
      <c r="AN546" s="211">
        <v>924444</v>
      </c>
      <c r="AO546" s="211">
        <v>2002963</v>
      </c>
      <c r="AP546" s="211"/>
      <c r="AQ546" s="211"/>
      <c r="AR546" s="211"/>
      <c r="AS546" s="211"/>
      <c r="AT546" s="211"/>
      <c r="AU546" s="211"/>
      <c r="AV546" s="211"/>
      <c r="AW546" s="211"/>
      <c r="AX546" s="211"/>
      <c r="AY546" s="211"/>
      <c r="AZ546" s="211"/>
      <c r="BA546" s="211"/>
      <c r="BB546" s="211"/>
      <c r="BC546" s="211"/>
      <c r="BD546" s="333">
        <v>43577</v>
      </c>
      <c r="BE546" s="82">
        <f t="shared" si="74"/>
        <v>10322959</v>
      </c>
      <c r="BF546" s="13"/>
      <c r="BG546" s="1"/>
    </row>
    <row r="547" spans="1:59" s="54" customFormat="1" ht="30.6" hidden="1" x14ac:dyDescent="0.3">
      <c r="A547" s="56"/>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197">
        <f>+'Base de Datos'!I547</f>
        <v>59500000</v>
      </c>
      <c r="G547" s="196">
        <f>+'Base de Datos'!M547</f>
        <v>42955</v>
      </c>
      <c r="H547" s="196">
        <f>+'Base de Datos'!N547</f>
        <v>43320</v>
      </c>
      <c r="I547" s="196"/>
      <c r="J547" s="158"/>
      <c r="K547" s="333"/>
      <c r="L547" s="211"/>
      <c r="M547" s="336"/>
      <c r="N547" s="158"/>
      <c r="O547" s="333"/>
      <c r="P547" s="158"/>
      <c r="Q547" s="338"/>
      <c r="R547" s="81">
        <f t="shared" si="67"/>
        <v>0</v>
      </c>
      <c r="S547" s="258"/>
      <c r="T547" s="333"/>
      <c r="U547" s="158"/>
      <c r="V547" s="333"/>
      <c r="W547" s="158"/>
      <c r="X547" s="333"/>
      <c r="Y547" s="158"/>
      <c r="Z547" s="333"/>
      <c r="AA547" s="326"/>
      <c r="AB547" s="1004" t="str">
        <f t="shared" si="68"/>
        <v/>
      </c>
      <c r="AC547" s="1082" t="str">
        <f t="shared" si="69"/>
        <v/>
      </c>
      <c r="AD547" s="1077"/>
      <c r="AE547" s="1077"/>
      <c r="AF547" s="1084" t="str">
        <f t="shared" si="70"/>
        <v/>
      </c>
      <c r="AG547" s="1082" t="str">
        <f t="shared" si="71"/>
        <v/>
      </c>
      <c r="AH547" s="1091"/>
      <c r="AI547" s="1087"/>
      <c r="AJ547" s="1084" t="str">
        <f t="shared" si="72"/>
        <v/>
      </c>
      <c r="AK547" s="1083" t="str">
        <f t="shared" si="73"/>
        <v/>
      </c>
      <c r="AL547" s="211">
        <v>52360000</v>
      </c>
      <c r="AM547" s="211">
        <v>3570000</v>
      </c>
      <c r="AN547" s="211">
        <v>3570000</v>
      </c>
      <c r="AO547" s="211"/>
      <c r="AP547" s="211"/>
      <c r="AQ547" s="211"/>
      <c r="AR547" s="211"/>
      <c r="AS547" s="211"/>
      <c r="AT547" s="211"/>
      <c r="AU547" s="211"/>
      <c r="AV547" s="211"/>
      <c r="AW547" s="211"/>
      <c r="AX547" s="211"/>
      <c r="AY547" s="211"/>
      <c r="AZ547" s="211"/>
      <c r="BA547" s="211"/>
      <c r="BB547" s="211"/>
      <c r="BC547" s="211"/>
      <c r="BD547" s="333">
        <v>43340</v>
      </c>
      <c r="BE547" s="82">
        <f t="shared" si="74"/>
        <v>59500000</v>
      </c>
      <c r="BF547" s="13"/>
      <c r="BG547" s="1"/>
    </row>
    <row r="548" spans="1:59" s="54" customFormat="1" ht="61.2" hidden="1" x14ac:dyDescent="0.3">
      <c r="A548" s="56"/>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197">
        <f>+'Base de Datos'!I548</f>
        <v>39900000</v>
      </c>
      <c r="G548" s="196">
        <f>+'Base de Datos'!M548</f>
        <v>42969</v>
      </c>
      <c r="H548" s="196">
        <f>+'Base de Datos'!N548</f>
        <v>43181</v>
      </c>
      <c r="I548" s="196"/>
      <c r="J548" s="158">
        <v>18620000</v>
      </c>
      <c r="K548" s="333">
        <v>43138</v>
      </c>
      <c r="L548" s="211"/>
      <c r="M548" s="336"/>
      <c r="N548" s="158"/>
      <c r="O548" s="333"/>
      <c r="P548" s="158"/>
      <c r="Q548" s="338"/>
      <c r="R548" s="81">
        <f t="shared" si="67"/>
        <v>18620000</v>
      </c>
      <c r="S548" s="820" t="s">
        <v>3857</v>
      </c>
      <c r="T548" s="333">
        <v>43281</v>
      </c>
      <c r="U548" s="158"/>
      <c r="V548" s="333"/>
      <c r="W548" s="158"/>
      <c r="X548" s="333"/>
      <c r="Y548" s="158"/>
      <c r="Z548" s="333"/>
      <c r="AA548" s="820" t="s">
        <v>3857</v>
      </c>
      <c r="AB548" s="1004">
        <f t="shared" si="68"/>
        <v>43281</v>
      </c>
      <c r="AC548" s="1082" t="str">
        <f t="shared" si="69"/>
        <v/>
      </c>
      <c r="AD548" s="1077"/>
      <c r="AE548" s="1077"/>
      <c r="AF548" s="1084" t="str">
        <f t="shared" si="70"/>
        <v/>
      </c>
      <c r="AG548" s="1082" t="str">
        <f t="shared" si="71"/>
        <v/>
      </c>
      <c r="AH548" s="1091"/>
      <c r="AI548" s="1087"/>
      <c r="AJ548" s="1084" t="str">
        <f t="shared" si="72"/>
        <v/>
      </c>
      <c r="AK548" s="1083" t="str">
        <f t="shared" si="73"/>
        <v/>
      </c>
      <c r="AL548" s="211">
        <v>1710000</v>
      </c>
      <c r="AM548" s="211">
        <v>5700000</v>
      </c>
      <c r="AN548" s="211">
        <v>5700000</v>
      </c>
      <c r="AO548" s="211">
        <v>5700000</v>
      </c>
      <c r="AP548" s="211">
        <v>5700000</v>
      </c>
      <c r="AQ548" s="211">
        <v>5700000</v>
      </c>
      <c r="AR548" s="211">
        <v>5700000</v>
      </c>
      <c r="AS548" s="211">
        <v>3990000</v>
      </c>
      <c r="AT548" s="211">
        <v>1710000</v>
      </c>
      <c r="AU548" s="211">
        <v>5700000</v>
      </c>
      <c r="AV548" s="211">
        <v>5700000</v>
      </c>
      <c r="AW548" s="211">
        <v>5510000</v>
      </c>
      <c r="AX548" s="211"/>
      <c r="AY548" s="211"/>
      <c r="AZ548" s="211"/>
      <c r="BA548" s="211"/>
      <c r="BB548" s="211"/>
      <c r="BC548" s="211"/>
      <c r="BD548" s="333">
        <v>43257</v>
      </c>
      <c r="BE548" s="82">
        <f t="shared" si="74"/>
        <v>58520000</v>
      </c>
      <c r="BF548" s="13"/>
      <c r="BG548" s="1"/>
    </row>
    <row r="549" spans="1:59" s="54" customFormat="1" ht="20.399999999999999" hidden="1" x14ac:dyDescent="0.3">
      <c r="A549" s="56"/>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197">
        <f>+'Base de Datos'!I549</f>
        <v>8010000</v>
      </c>
      <c r="G549" s="196">
        <f>+'Base de Datos'!M549</f>
        <v>42965</v>
      </c>
      <c r="H549" s="196">
        <f>+'Base de Datos'!N549</f>
        <v>43330</v>
      </c>
      <c r="I549" s="196"/>
      <c r="J549" s="158"/>
      <c r="K549" s="333"/>
      <c r="L549" s="211"/>
      <c r="M549" s="336"/>
      <c r="N549" s="158"/>
      <c r="O549" s="333"/>
      <c r="P549" s="158"/>
      <c r="Q549" s="338"/>
      <c r="R549" s="81">
        <f t="shared" si="67"/>
        <v>0</v>
      </c>
      <c r="S549" s="258"/>
      <c r="T549" s="333"/>
      <c r="U549" s="158"/>
      <c r="V549" s="333"/>
      <c r="W549" s="158"/>
      <c r="X549" s="333"/>
      <c r="Y549" s="158"/>
      <c r="Z549" s="333"/>
      <c r="AA549" s="326"/>
      <c r="AB549" s="1004" t="str">
        <f t="shared" si="68"/>
        <v/>
      </c>
      <c r="AC549" s="1082" t="str">
        <f t="shared" si="69"/>
        <v/>
      </c>
      <c r="AD549" s="1077"/>
      <c r="AE549" s="1077"/>
      <c r="AF549" s="1084" t="str">
        <f t="shared" si="70"/>
        <v/>
      </c>
      <c r="AG549" s="1082" t="str">
        <f t="shared" si="71"/>
        <v/>
      </c>
      <c r="AH549" s="1091"/>
      <c r="AI549" s="1087"/>
      <c r="AJ549" s="1084" t="str">
        <f t="shared" si="72"/>
        <v/>
      </c>
      <c r="AK549" s="1083" t="str">
        <f t="shared" si="73"/>
        <v/>
      </c>
      <c r="AL549" s="211">
        <v>8010000</v>
      </c>
      <c r="AM549" s="211"/>
      <c r="AN549" s="211"/>
      <c r="AO549" s="211"/>
      <c r="AP549" s="211"/>
      <c r="AQ549" s="211"/>
      <c r="AR549" s="211"/>
      <c r="AS549" s="211"/>
      <c r="AT549" s="211"/>
      <c r="AU549" s="211"/>
      <c r="AV549" s="211"/>
      <c r="AW549" s="211"/>
      <c r="AX549" s="211"/>
      <c r="AY549" s="211"/>
      <c r="AZ549" s="211"/>
      <c r="BA549" s="211"/>
      <c r="BB549" s="211"/>
      <c r="BC549" s="211"/>
      <c r="BD549" s="333">
        <v>42989</v>
      </c>
      <c r="BE549" s="82">
        <f t="shared" si="74"/>
        <v>8010000</v>
      </c>
      <c r="BF549" s="13"/>
      <c r="BG549" s="1"/>
    </row>
    <row r="550" spans="1:59" s="54" customFormat="1" ht="30.6" hidden="1" x14ac:dyDescent="0.3">
      <c r="A550" s="56"/>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197">
        <f>+'Base de Datos'!I550</f>
        <v>15750000</v>
      </c>
      <c r="G550" s="196">
        <f>+'Base de Datos'!M550</f>
        <v>42971</v>
      </c>
      <c r="H550" s="196">
        <f>+'Base de Datos'!N550</f>
        <v>43183</v>
      </c>
      <c r="I550" s="196"/>
      <c r="J550" s="158">
        <v>7125000</v>
      </c>
      <c r="K550" s="333">
        <v>43129</v>
      </c>
      <c r="L550" s="211"/>
      <c r="M550" s="336"/>
      <c r="N550" s="158"/>
      <c r="O550" s="333"/>
      <c r="P550" s="158"/>
      <c r="Q550" s="338"/>
      <c r="R550" s="81">
        <f t="shared" si="67"/>
        <v>7125000</v>
      </c>
      <c r="S550" s="820" t="s">
        <v>3901</v>
      </c>
      <c r="T550" s="333">
        <v>43280</v>
      </c>
      <c r="U550" s="158"/>
      <c r="V550" s="333"/>
      <c r="W550" s="158"/>
      <c r="X550" s="333"/>
      <c r="Y550" s="158"/>
      <c r="Z550" s="333"/>
      <c r="AA550" s="820" t="s">
        <v>3901</v>
      </c>
      <c r="AB550" s="1004">
        <f t="shared" si="68"/>
        <v>43280</v>
      </c>
      <c r="AC550" s="1082" t="str">
        <f t="shared" si="69"/>
        <v/>
      </c>
      <c r="AD550" s="1077"/>
      <c r="AE550" s="1077"/>
      <c r="AF550" s="1084" t="str">
        <f t="shared" si="70"/>
        <v/>
      </c>
      <c r="AG550" s="1082" t="str">
        <f t="shared" si="71"/>
        <v/>
      </c>
      <c r="AH550" s="1091"/>
      <c r="AI550" s="1087"/>
      <c r="AJ550" s="1084" t="str">
        <f t="shared" si="72"/>
        <v/>
      </c>
      <c r="AK550" s="1083" t="str">
        <f t="shared" si="73"/>
        <v/>
      </c>
      <c r="AL550" s="211">
        <v>525000</v>
      </c>
      <c r="AM550" s="211">
        <v>2250000</v>
      </c>
      <c r="AN550" s="211">
        <v>2250000</v>
      </c>
      <c r="AO550" s="211">
        <v>2250000</v>
      </c>
      <c r="AP550" s="211">
        <v>2250000</v>
      </c>
      <c r="AQ550" s="211">
        <v>2250000</v>
      </c>
      <c r="AR550" s="211">
        <v>2250000</v>
      </c>
      <c r="AS550" s="211">
        <v>1725000</v>
      </c>
      <c r="AT550" s="211">
        <v>525000</v>
      </c>
      <c r="AU550" s="211">
        <v>2250000</v>
      </c>
      <c r="AV550" s="211">
        <v>2250000</v>
      </c>
      <c r="AW550" s="211">
        <v>2100000</v>
      </c>
      <c r="AX550" s="211"/>
      <c r="AY550" s="211"/>
      <c r="AZ550" s="211"/>
      <c r="BA550" s="211"/>
      <c r="BB550" s="211"/>
      <c r="BC550" s="211"/>
      <c r="BD550" s="333">
        <v>43258</v>
      </c>
      <c r="BE550" s="82">
        <f t="shared" si="74"/>
        <v>22875000</v>
      </c>
      <c r="BF550" s="13"/>
      <c r="BG550" s="1"/>
    </row>
    <row r="551" spans="1:59" s="54" customFormat="1" ht="20.399999999999999" hidden="1" x14ac:dyDescent="0.3">
      <c r="A551" s="56"/>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197">
        <f>+'Base de Datos'!I551</f>
        <v>1878120</v>
      </c>
      <c r="G551" s="196">
        <f>+'Base de Datos'!M551</f>
        <v>42963</v>
      </c>
      <c r="H551" s="196">
        <f>+'Base de Datos'!N551</f>
        <v>43327</v>
      </c>
      <c r="I551" s="196"/>
      <c r="J551" s="158"/>
      <c r="K551" s="333"/>
      <c r="L551" s="211"/>
      <c r="M551" s="336"/>
      <c r="N551" s="158"/>
      <c r="O551" s="333"/>
      <c r="P551" s="158"/>
      <c r="Q551" s="338"/>
      <c r="R551" s="81">
        <f t="shared" si="67"/>
        <v>0</v>
      </c>
      <c r="S551" s="258"/>
      <c r="T551" s="333"/>
      <c r="U551" s="158"/>
      <c r="V551" s="333"/>
      <c r="W551" s="158"/>
      <c r="X551" s="333"/>
      <c r="Y551" s="158"/>
      <c r="Z551" s="333"/>
      <c r="AA551" s="326"/>
      <c r="AB551" s="1004" t="str">
        <f t="shared" si="68"/>
        <v/>
      </c>
      <c r="AC551" s="1082" t="str">
        <f t="shared" si="69"/>
        <v/>
      </c>
      <c r="AD551" s="1077"/>
      <c r="AE551" s="1077"/>
      <c r="AF551" s="1084" t="str">
        <f t="shared" si="70"/>
        <v/>
      </c>
      <c r="AG551" s="1082" t="str">
        <f t="shared" si="71"/>
        <v/>
      </c>
      <c r="AH551" s="1091"/>
      <c r="AI551" s="1087"/>
      <c r="AJ551" s="1084" t="str">
        <f t="shared" si="72"/>
        <v/>
      </c>
      <c r="AK551" s="1083" t="str">
        <f t="shared" si="73"/>
        <v/>
      </c>
      <c r="AL551" s="211">
        <v>1878120</v>
      </c>
      <c r="AM551" s="211"/>
      <c r="AN551" s="211"/>
      <c r="AO551" s="211"/>
      <c r="AP551" s="211"/>
      <c r="AQ551" s="211"/>
      <c r="AR551" s="211"/>
      <c r="AS551" s="211"/>
      <c r="AT551" s="211"/>
      <c r="AU551" s="211"/>
      <c r="AV551" s="211"/>
      <c r="AW551" s="211"/>
      <c r="AX551" s="211"/>
      <c r="AY551" s="211"/>
      <c r="AZ551" s="211"/>
      <c r="BA551" s="211"/>
      <c r="BB551" s="211"/>
      <c r="BC551" s="211"/>
      <c r="BD551" s="333">
        <v>43095</v>
      </c>
      <c r="BE551" s="82">
        <f t="shared" si="74"/>
        <v>1878120</v>
      </c>
      <c r="BF551" s="13"/>
      <c r="BG551" s="1"/>
    </row>
    <row r="552" spans="1:59" s="54" customFormat="1" ht="30.6" hidden="1" x14ac:dyDescent="0.3">
      <c r="A552" s="56"/>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197">
        <f>+'Base de Datos'!I552</f>
        <v>3790032</v>
      </c>
      <c r="G552" s="196">
        <f>+'Base de Datos'!M552</f>
        <v>42982</v>
      </c>
      <c r="H552" s="196">
        <f>+'Base de Datos'!N552</f>
        <v>43073</v>
      </c>
      <c r="I552" s="196"/>
      <c r="J552" s="158"/>
      <c r="K552" s="333"/>
      <c r="L552" s="211"/>
      <c r="M552" s="336"/>
      <c r="N552" s="158"/>
      <c r="O552" s="333"/>
      <c r="P552" s="158"/>
      <c r="Q552" s="338"/>
      <c r="R552" s="81">
        <f t="shared" si="67"/>
        <v>0</v>
      </c>
      <c r="S552" s="258"/>
      <c r="T552" s="333"/>
      <c r="U552" s="158"/>
      <c r="V552" s="333"/>
      <c r="W552" s="158"/>
      <c r="X552" s="333"/>
      <c r="Y552" s="158"/>
      <c r="Z552" s="333"/>
      <c r="AA552" s="326"/>
      <c r="AB552" s="1004" t="str">
        <f t="shared" si="68"/>
        <v/>
      </c>
      <c r="AC552" s="1082" t="str">
        <f t="shared" si="69"/>
        <v/>
      </c>
      <c r="AD552" s="1077"/>
      <c r="AE552" s="1077"/>
      <c r="AF552" s="1084" t="str">
        <f t="shared" si="70"/>
        <v/>
      </c>
      <c r="AG552" s="1082" t="str">
        <f t="shared" si="71"/>
        <v/>
      </c>
      <c r="AH552" s="1091"/>
      <c r="AI552" s="1087"/>
      <c r="AJ552" s="1084" t="str">
        <f t="shared" si="72"/>
        <v/>
      </c>
      <c r="AK552" s="1083" t="str">
        <f t="shared" si="73"/>
        <v/>
      </c>
      <c r="AL552" s="211">
        <v>3790020</v>
      </c>
      <c r="AM552" s="211"/>
      <c r="AN552" s="211"/>
      <c r="AO552" s="211"/>
      <c r="AP552" s="211"/>
      <c r="AQ552" s="211"/>
      <c r="AR552" s="211"/>
      <c r="AS552" s="211"/>
      <c r="AT552" s="211"/>
      <c r="AU552" s="211"/>
      <c r="AV552" s="211"/>
      <c r="AW552" s="211"/>
      <c r="AX552" s="211"/>
      <c r="AY552" s="211"/>
      <c r="AZ552" s="211"/>
      <c r="BA552" s="211"/>
      <c r="BB552" s="211"/>
      <c r="BC552" s="211"/>
      <c r="BD552" s="333">
        <v>43179</v>
      </c>
      <c r="BE552" s="82">
        <f t="shared" si="74"/>
        <v>3790020</v>
      </c>
      <c r="BF552" s="13"/>
      <c r="BG552" s="1"/>
    </row>
    <row r="553" spans="1:59" s="54" customFormat="1" ht="40.799999999999997" hidden="1" x14ac:dyDescent="0.3">
      <c r="A553" s="56"/>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197">
        <f>+'Base de Datos'!I553</f>
        <v>6956740</v>
      </c>
      <c r="G553" s="196">
        <f>+'Base de Datos'!M553</f>
        <v>42986</v>
      </c>
      <c r="H553" s="196">
        <f>+'Base de Datos'!N553</f>
        <v>43108</v>
      </c>
      <c r="I553" s="196"/>
      <c r="J553" s="158"/>
      <c r="K553" s="333"/>
      <c r="L553" s="211"/>
      <c r="M553" s="336"/>
      <c r="N553" s="158"/>
      <c r="O553" s="333"/>
      <c r="P553" s="158"/>
      <c r="Q553" s="338"/>
      <c r="R553" s="81">
        <f t="shared" si="67"/>
        <v>0</v>
      </c>
      <c r="S553" s="258"/>
      <c r="T553" s="333"/>
      <c r="U553" s="158"/>
      <c r="V553" s="333"/>
      <c r="W553" s="158"/>
      <c r="X553" s="333"/>
      <c r="Y553" s="158"/>
      <c r="Z553" s="333"/>
      <c r="AA553" s="326"/>
      <c r="AB553" s="1004" t="str">
        <f t="shared" si="68"/>
        <v/>
      </c>
      <c r="AC553" s="1082" t="str">
        <f t="shared" si="69"/>
        <v/>
      </c>
      <c r="AD553" s="1077"/>
      <c r="AE553" s="1077"/>
      <c r="AF553" s="1084" t="str">
        <f t="shared" si="70"/>
        <v/>
      </c>
      <c r="AG553" s="1082" t="str">
        <f t="shared" si="71"/>
        <v/>
      </c>
      <c r="AH553" s="1091"/>
      <c r="AI553" s="1087"/>
      <c r="AJ553" s="1084" t="str">
        <f t="shared" si="72"/>
        <v/>
      </c>
      <c r="AK553" s="1083" t="str">
        <f t="shared" si="73"/>
        <v/>
      </c>
      <c r="AL553" s="211">
        <v>6956740</v>
      </c>
      <c r="AM553" s="211"/>
      <c r="AN553" s="211"/>
      <c r="AO553" s="211"/>
      <c r="AP553" s="211"/>
      <c r="AQ553" s="211"/>
      <c r="AR553" s="211"/>
      <c r="AS553" s="211"/>
      <c r="AT553" s="211"/>
      <c r="AU553" s="211"/>
      <c r="AV553" s="211"/>
      <c r="AW553" s="211"/>
      <c r="AX553" s="211"/>
      <c r="AY553" s="211"/>
      <c r="AZ553" s="211"/>
      <c r="BA553" s="211"/>
      <c r="BB553" s="211"/>
      <c r="BC553" s="211"/>
      <c r="BD553" s="333">
        <v>43131</v>
      </c>
      <c r="BE553" s="82">
        <f t="shared" si="74"/>
        <v>6956740</v>
      </c>
      <c r="BF553" s="13"/>
      <c r="BG553" s="1"/>
    </row>
    <row r="554" spans="1:59" s="54" customFormat="1" ht="20.399999999999999" hidden="1" x14ac:dyDescent="0.3">
      <c r="A554" s="56"/>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197">
        <f>+'Base de Datos'!I554</f>
        <v>5217555</v>
      </c>
      <c r="G554" s="196">
        <f>+'Base de Datos'!M554</f>
        <v>42986</v>
      </c>
      <c r="H554" s="196">
        <f>+'Base de Datos'!N554</f>
        <v>43108</v>
      </c>
      <c r="I554" s="196"/>
      <c r="J554" s="158"/>
      <c r="K554" s="333"/>
      <c r="L554" s="211"/>
      <c r="M554" s="336"/>
      <c r="N554" s="158"/>
      <c r="O554" s="333"/>
      <c r="P554" s="158"/>
      <c r="Q554" s="338"/>
      <c r="R554" s="81">
        <f t="shared" si="67"/>
        <v>0</v>
      </c>
      <c r="S554" s="258"/>
      <c r="T554" s="333"/>
      <c r="U554" s="158"/>
      <c r="V554" s="333"/>
      <c r="W554" s="158"/>
      <c r="X554" s="333"/>
      <c r="Y554" s="158"/>
      <c r="Z554" s="333"/>
      <c r="AA554" s="326"/>
      <c r="AB554" s="1004" t="str">
        <f t="shared" si="68"/>
        <v/>
      </c>
      <c r="AC554" s="1082" t="str">
        <f t="shared" si="69"/>
        <v/>
      </c>
      <c r="AD554" s="1077"/>
      <c r="AE554" s="1077"/>
      <c r="AF554" s="1084" t="str">
        <f t="shared" si="70"/>
        <v/>
      </c>
      <c r="AG554" s="1082" t="str">
        <f t="shared" si="71"/>
        <v/>
      </c>
      <c r="AH554" s="1091"/>
      <c r="AI554" s="1087"/>
      <c r="AJ554" s="1084" t="str">
        <f t="shared" si="72"/>
        <v/>
      </c>
      <c r="AK554" s="1083" t="str">
        <f t="shared" si="73"/>
        <v/>
      </c>
      <c r="AL554" s="211">
        <v>5217555</v>
      </c>
      <c r="AM554" s="211"/>
      <c r="AN554" s="211"/>
      <c r="AO554" s="211"/>
      <c r="AP554" s="211"/>
      <c r="AQ554" s="211"/>
      <c r="AR554" s="211"/>
      <c r="AS554" s="211"/>
      <c r="AT554" s="211"/>
      <c r="AU554" s="211"/>
      <c r="AV554" s="211"/>
      <c r="AW554" s="211"/>
      <c r="AX554" s="211"/>
      <c r="AY554" s="211"/>
      <c r="AZ554" s="211"/>
      <c r="BA554" s="211"/>
      <c r="BB554" s="211"/>
      <c r="BC554" s="211"/>
      <c r="BD554" s="333">
        <v>43131</v>
      </c>
      <c r="BE554" s="82">
        <f t="shared" si="74"/>
        <v>5217555</v>
      </c>
      <c r="BF554" s="13"/>
      <c r="BG554" s="1"/>
    </row>
    <row r="555" spans="1:59" s="54" customFormat="1" ht="71.400000000000006" hidden="1" x14ac:dyDescent="0.3">
      <c r="A555" s="56"/>
      <c r="B555" s="2" t="str">
        <f>+'Base de Datos'!E555</f>
        <v>170221-0-2017</v>
      </c>
      <c r="C555" s="2" t="str">
        <f>+'Base de Datos'!F555</f>
        <v>GRUPO TITANIUM SAS (cesionario) / GENESIS CONSTRUCCIONES SAS(Cedente)</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197">
        <f>+'Base de Datos'!I555</f>
        <v>259000000</v>
      </c>
      <c r="G555" s="196">
        <f>+'Base de Datos'!M555</f>
        <v>42990</v>
      </c>
      <c r="H555" s="196">
        <f>+'Base de Datos'!N555</f>
        <v>43355</v>
      </c>
      <c r="I555" s="196"/>
      <c r="J555" s="158">
        <v>130000000</v>
      </c>
      <c r="K555" s="333">
        <v>43354</v>
      </c>
      <c r="L555" s="211">
        <v>7140000</v>
      </c>
      <c r="M555" s="336">
        <v>43446</v>
      </c>
      <c r="N555" s="158"/>
      <c r="O555" s="333"/>
      <c r="P555" s="158"/>
      <c r="Q555" s="338"/>
      <c r="R555" s="81">
        <f t="shared" si="67"/>
        <v>137140000</v>
      </c>
      <c r="S555" s="258" t="s">
        <v>379</v>
      </c>
      <c r="T555" s="333">
        <v>43446</v>
      </c>
      <c r="U555" s="157" t="s">
        <v>4491</v>
      </c>
      <c r="V555" s="333">
        <v>43465</v>
      </c>
      <c r="W555" s="157"/>
      <c r="X555" s="333"/>
      <c r="Y555" s="158"/>
      <c r="Z555" s="333"/>
      <c r="AA555" s="326" t="s">
        <v>4492</v>
      </c>
      <c r="AB555" s="1004">
        <f t="shared" si="68"/>
        <v>43465</v>
      </c>
      <c r="AC555" s="1082" t="str">
        <f t="shared" si="69"/>
        <v/>
      </c>
      <c r="AD555" s="1077"/>
      <c r="AE555" s="1077"/>
      <c r="AF555" s="1084" t="str">
        <f t="shared" si="70"/>
        <v/>
      </c>
      <c r="AG555" s="1082" t="str">
        <f t="shared" si="71"/>
        <v/>
      </c>
      <c r="AH555" s="1091"/>
      <c r="AI555" s="1087"/>
      <c r="AJ555" s="1084" t="str">
        <f t="shared" si="72"/>
        <v/>
      </c>
      <c r="AK555" s="1083" t="str">
        <f t="shared" si="73"/>
        <v/>
      </c>
      <c r="AL555" s="211">
        <v>9084052</v>
      </c>
      <c r="AM555" s="211">
        <v>14588159</v>
      </c>
      <c r="AN555" s="211"/>
      <c r="AO555" s="211">
        <v>46820758</v>
      </c>
      <c r="AP555" s="211">
        <v>43503732</v>
      </c>
      <c r="AQ555" s="211">
        <v>52263284</v>
      </c>
      <c r="AR555" s="211">
        <v>51536874</v>
      </c>
      <c r="AS555" s="211">
        <v>15189491</v>
      </c>
      <c r="AT555" s="211">
        <v>60446471</v>
      </c>
      <c r="AU555" s="211">
        <v>54855017</v>
      </c>
      <c r="AV555" s="211">
        <v>11474592</v>
      </c>
      <c r="AW555" s="211">
        <v>14698512</v>
      </c>
      <c r="AX555" s="211">
        <v>7140000</v>
      </c>
      <c r="AY555" s="211"/>
      <c r="AZ555" s="211"/>
      <c r="BA555" s="211"/>
      <c r="BB555" s="211"/>
      <c r="BC555" s="211"/>
      <c r="BD555" s="333">
        <v>43665</v>
      </c>
      <c r="BE555" s="82">
        <f t="shared" si="74"/>
        <v>381600942</v>
      </c>
      <c r="BF555" s="13"/>
      <c r="BG555" s="1"/>
    </row>
    <row r="556" spans="1:59" s="54" customFormat="1" hidden="1" x14ac:dyDescent="0.3">
      <c r="A556" s="56"/>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197">
        <f>+'Base de Datos'!I556</f>
        <v>840000</v>
      </c>
      <c r="G556" s="196">
        <f>+'Base de Datos'!M556</f>
        <v>43069</v>
      </c>
      <c r="H556" s="196">
        <f>+'Base de Datos'!N556</f>
        <v>43434</v>
      </c>
      <c r="I556" s="196"/>
      <c r="J556" s="158"/>
      <c r="K556" s="333"/>
      <c r="L556" s="211"/>
      <c r="M556" s="336"/>
      <c r="N556" s="158"/>
      <c r="O556" s="333"/>
      <c r="P556" s="158"/>
      <c r="Q556" s="338"/>
      <c r="R556" s="81">
        <f t="shared" si="67"/>
        <v>0</v>
      </c>
      <c r="S556" s="258"/>
      <c r="T556" s="333"/>
      <c r="U556" s="158"/>
      <c r="V556" s="333"/>
      <c r="W556" s="158"/>
      <c r="X556" s="333"/>
      <c r="Y556" s="158"/>
      <c r="Z556" s="333"/>
      <c r="AA556" s="326"/>
      <c r="AB556" s="1004" t="str">
        <f t="shared" si="68"/>
        <v/>
      </c>
      <c r="AC556" s="1082" t="str">
        <f t="shared" si="69"/>
        <v/>
      </c>
      <c r="AD556" s="1077"/>
      <c r="AE556" s="1077"/>
      <c r="AF556" s="1084" t="str">
        <f t="shared" si="70"/>
        <v/>
      </c>
      <c r="AG556" s="1082" t="str">
        <f t="shared" si="71"/>
        <v/>
      </c>
      <c r="AH556" s="1091"/>
      <c r="AI556" s="1087"/>
      <c r="AJ556" s="1084" t="str">
        <f t="shared" si="72"/>
        <v/>
      </c>
      <c r="AK556" s="1083" t="str">
        <f t="shared" si="73"/>
        <v/>
      </c>
      <c r="AL556" s="211">
        <v>840000</v>
      </c>
      <c r="AM556" s="211"/>
      <c r="AN556" s="211"/>
      <c r="AO556" s="211"/>
      <c r="AP556" s="211"/>
      <c r="AQ556" s="211"/>
      <c r="AR556" s="211"/>
      <c r="AS556" s="211"/>
      <c r="AT556" s="211"/>
      <c r="AU556" s="211"/>
      <c r="AV556" s="211"/>
      <c r="AW556" s="211"/>
      <c r="AX556" s="211"/>
      <c r="AY556" s="211"/>
      <c r="AZ556" s="211"/>
      <c r="BA556" s="211"/>
      <c r="BB556" s="211"/>
      <c r="BC556" s="211"/>
      <c r="BD556" s="333">
        <v>43088</v>
      </c>
      <c r="BE556" s="82">
        <f t="shared" si="74"/>
        <v>840000</v>
      </c>
      <c r="BF556" s="13"/>
      <c r="BG556" s="1"/>
    </row>
    <row r="557" spans="1:59" s="54" customFormat="1" ht="51" hidden="1" x14ac:dyDescent="0.3">
      <c r="A557" s="56"/>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197">
        <f>+'Base de Datos'!I557</f>
        <v>855382000</v>
      </c>
      <c r="G557" s="196">
        <f>+'Base de Datos'!M557</f>
        <v>42999</v>
      </c>
      <c r="H557" s="196">
        <f>+'Base de Datos'!N557</f>
        <v>43241</v>
      </c>
      <c r="I557" s="196"/>
      <c r="J557" s="158"/>
      <c r="K557" s="333"/>
      <c r="L557" s="211"/>
      <c r="M557" s="336"/>
      <c r="N557" s="158"/>
      <c r="O557" s="333"/>
      <c r="P557" s="158"/>
      <c r="Q557" s="338"/>
      <c r="R557" s="81">
        <f t="shared" si="67"/>
        <v>0</v>
      </c>
      <c r="S557" s="820" t="s">
        <v>4001</v>
      </c>
      <c r="T557" s="333">
        <v>43312</v>
      </c>
      <c r="U557" s="158" t="s">
        <v>381</v>
      </c>
      <c r="V557" s="333">
        <v>43343</v>
      </c>
      <c r="W557" s="158" t="s">
        <v>2456</v>
      </c>
      <c r="X557" s="333">
        <v>43373</v>
      </c>
      <c r="Y557" s="158"/>
      <c r="Z557" s="333"/>
      <c r="AA557" s="820" t="s">
        <v>1533</v>
      </c>
      <c r="AB557" s="1004">
        <f t="shared" si="68"/>
        <v>43373</v>
      </c>
      <c r="AC557" s="1082" t="str">
        <f t="shared" si="69"/>
        <v/>
      </c>
      <c r="AD557" s="1077"/>
      <c r="AE557" s="1077"/>
      <c r="AF557" s="1084" t="str">
        <f t="shared" si="70"/>
        <v/>
      </c>
      <c r="AG557" s="1082" t="str">
        <f t="shared" si="71"/>
        <v/>
      </c>
      <c r="AH557" s="1091"/>
      <c r="AI557" s="1087"/>
      <c r="AJ557" s="1084" t="str">
        <f t="shared" si="72"/>
        <v/>
      </c>
      <c r="AK557" s="1083" t="str">
        <f t="shared" si="73"/>
        <v/>
      </c>
      <c r="AL557" s="211">
        <v>25964600</v>
      </c>
      <c r="AM557" s="211">
        <v>343331000</v>
      </c>
      <c r="AN557" s="211"/>
      <c r="AO557" s="211"/>
      <c r="AP557" s="211"/>
      <c r="AQ557" s="211"/>
      <c r="AR557" s="211"/>
      <c r="AS557" s="211">
        <v>30472500</v>
      </c>
      <c r="AT557" s="211"/>
      <c r="AU557" s="211"/>
      <c r="AV557" s="211"/>
      <c r="AW557" s="211">
        <v>78255000</v>
      </c>
      <c r="AX557" s="211">
        <v>191944800</v>
      </c>
      <c r="AY557" s="211"/>
      <c r="AZ557" s="211">
        <v>37521688</v>
      </c>
      <c r="BA557" s="211">
        <v>55000000</v>
      </c>
      <c r="BB557" s="211"/>
      <c r="BC557" s="211"/>
      <c r="BD557" s="333">
        <v>43451</v>
      </c>
      <c r="BE557" s="82">
        <f t="shared" si="74"/>
        <v>762489588</v>
      </c>
      <c r="BF557" s="13"/>
      <c r="BG557" s="1"/>
    </row>
    <row r="558" spans="1:59" s="54" customFormat="1" ht="51" hidden="1" x14ac:dyDescent="0.3">
      <c r="A558" s="56"/>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197">
        <f>+'Base de Datos'!I558</f>
        <v>22800000</v>
      </c>
      <c r="G558" s="196">
        <f>+'Base de Datos'!M558</f>
        <v>42997</v>
      </c>
      <c r="H558" s="196">
        <f>+'Base de Datos'!N558</f>
        <v>43119</v>
      </c>
      <c r="I558" s="196"/>
      <c r="J558" s="158"/>
      <c r="K558" s="333"/>
      <c r="L558" s="211"/>
      <c r="M558" s="336"/>
      <c r="N558" s="158"/>
      <c r="O558" s="333"/>
      <c r="P558" s="158"/>
      <c r="Q558" s="338"/>
      <c r="R558" s="81">
        <f t="shared" si="67"/>
        <v>0</v>
      </c>
      <c r="S558" s="258"/>
      <c r="T558" s="333"/>
      <c r="U558" s="158"/>
      <c r="V558" s="333"/>
      <c r="W558" s="158"/>
      <c r="X558" s="333"/>
      <c r="Y558" s="158"/>
      <c r="Z558" s="333"/>
      <c r="AA558" s="326"/>
      <c r="AB558" s="1004" t="str">
        <f t="shared" si="68"/>
        <v/>
      </c>
      <c r="AC558" s="1082" t="str">
        <f t="shared" si="69"/>
        <v/>
      </c>
      <c r="AD558" s="1077"/>
      <c r="AE558" s="1077"/>
      <c r="AF558" s="1084" t="str">
        <f t="shared" si="70"/>
        <v/>
      </c>
      <c r="AG558" s="1082" t="str">
        <f t="shared" si="71"/>
        <v/>
      </c>
      <c r="AH558" s="1091"/>
      <c r="AI558" s="1087"/>
      <c r="AJ558" s="1084" t="str">
        <f t="shared" si="72"/>
        <v/>
      </c>
      <c r="AK558" s="1083" t="str">
        <f t="shared" si="73"/>
        <v/>
      </c>
      <c r="AL558" s="211">
        <v>2280000</v>
      </c>
      <c r="AM558" s="211">
        <v>5700000</v>
      </c>
      <c r="AN558" s="211">
        <v>5700000</v>
      </c>
      <c r="AO558" s="211">
        <v>5700000</v>
      </c>
      <c r="AP558" s="211">
        <v>3420000</v>
      </c>
      <c r="AQ558" s="211"/>
      <c r="AR558" s="211"/>
      <c r="AS558" s="211"/>
      <c r="AT558" s="211"/>
      <c r="AU558" s="211"/>
      <c r="AV558" s="211"/>
      <c r="AW558" s="211"/>
      <c r="AX558" s="211"/>
      <c r="AY558" s="211"/>
      <c r="AZ558" s="211"/>
      <c r="BA558" s="211"/>
      <c r="BB558" s="211"/>
      <c r="BC558" s="211"/>
      <c r="BD558" s="333">
        <v>43172</v>
      </c>
      <c r="BE558" s="82">
        <f t="shared" si="74"/>
        <v>22800000</v>
      </c>
      <c r="BF558" s="13"/>
      <c r="BG558" s="1"/>
    </row>
    <row r="559" spans="1:59" s="54" customFormat="1" ht="30.6" hidden="1" x14ac:dyDescent="0.3">
      <c r="A559" s="56"/>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197">
        <f>+'Base de Datos'!I559</f>
        <v>12595436</v>
      </c>
      <c r="G559" s="196">
        <f>+'Base de Datos'!M559</f>
        <v>42999</v>
      </c>
      <c r="H559" s="196">
        <f>+'Base de Datos'!N559</f>
        <v>43364</v>
      </c>
      <c r="I559" s="196"/>
      <c r="J559" s="158"/>
      <c r="K559" s="333"/>
      <c r="L559" s="211"/>
      <c r="M559" s="336"/>
      <c r="N559" s="158"/>
      <c r="O559" s="333"/>
      <c r="P559" s="158"/>
      <c r="Q559" s="338"/>
      <c r="R559" s="81">
        <f t="shared" si="67"/>
        <v>0</v>
      </c>
      <c r="S559" s="258"/>
      <c r="T559" s="333"/>
      <c r="U559" s="158"/>
      <c r="V559" s="333"/>
      <c r="W559" s="158"/>
      <c r="X559" s="333"/>
      <c r="Y559" s="158"/>
      <c r="Z559" s="333"/>
      <c r="AA559" s="326"/>
      <c r="AB559" s="1004" t="str">
        <f t="shared" si="68"/>
        <v/>
      </c>
      <c r="AC559" s="1082" t="str">
        <f t="shared" si="69"/>
        <v/>
      </c>
      <c r="AD559" s="1077"/>
      <c r="AE559" s="1077"/>
      <c r="AF559" s="1084" t="str">
        <f t="shared" si="70"/>
        <v/>
      </c>
      <c r="AG559" s="1082" t="str">
        <f t="shared" si="71"/>
        <v/>
      </c>
      <c r="AH559" s="1091"/>
      <c r="AI559" s="1087"/>
      <c r="AJ559" s="1084" t="str">
        <f t="shared" si="72"/>
        <v/>
      </c>
      <c r="AK559" s="1083" t="str">
        <f t="shared" si="73"/>
        <v/>
      </c>
      <c r="AL559" s="211">
        <v>10076349</v>
      </c>
      <c r="AM559" s="211">
        <v>2519087</v>
      </c>
      <c r="AN559" s="211"/>
      <c r="AO559" s="211"/>
      <c r="AP559" s="211"/>
      <c r="AQ559" s="211"/>
      <c r="AR559" s="211"/>
      <c r="AS559" s="211"/>
      <c r="AT559" s="211"/>
      <c r="AU559" s="211"/>
      <c r="AV559" s="211"/>
      <c r="AW559" s="211"/>
      <c r="AX559" s="211"/>
      <c r="AY559" s="211"/>
      <c r="AZ559" s="211"/>
      <c r="BA559" s="211"/>
      <c r="BB559" s="211"/>
      <c r="BC559" s="211"/>
      <c r="BD559" s="333">
        <v>43046</v>
      </c>
      <c r="BE559" s="82">
        <f t="shared" si="74"/>
        <v>12595436</v>
      </c>
      <c r="BF559" s="13"/>
      <c r="BG559" s="1"/>
    </row>
    <row r="560" spans="1:59" s="54" customFormat="1" ht="20.399999999999999" hidden="1" x14ac:dyDescent="0.3">
      <c r="A560" s="56"/>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197">
        <f>+'Base de Datos'!I560</f>
        <v>6711600</v>
      </c>
      <c r="G560" s="196">
        <f>+'Base de Datos'!M560</f>
        <v>43004</v>
      </c>
      <c r="H560" s="196">
        <f>+'Base de Datos'!N560</f>
        <v>43185</v>
      </c>
      <c r="I560" s="196"/>
      <c r="J560" s="158"/>
      <c r="K560" s="333"/>
      <c r="L560" s="211"/>
      <c r="M560" s="336"/>
      <c r="N560" s="158"/>
      <c r="O560" s="333"/>
      <c r="P560" s="158"/>
      <c r="Q560" s="338"/>
      <c r="R560" s="81">
        <f t="shared" si="67"/>
        <v>0</v>
      </c>
      <c r="S560" s="258"/>
      <c r="T560" s="333"/>
      <c r="U560" s="158"/>
      <c r="V560" s="333"/>
      <c r="W560" s="158"/>
      <c r="X560" s="333"/>
      <c r="Y560" s="158"/>
      <c r="Z560" s="333"/>
      <c r="AA560" s="326"/>
      <c r="AB560" s="1004" t="str">
        <f t="shared" si="68"/>
        <v/>
      </c>
      <c r="AC560" s="1082" t="str">
        <f t="shared" si="69"/>
        <v/>
      </c>
      <c r="AD560" s="1077"/>
      <c r="AE560" s="1077"/>
      <c r="AF560" s="1084" t="str">
        <f t="shared" si="70"/>
        <v/>
      </c>
      <c r="AG560" s="1082" t="str">
        <f t="shared" si="71"/>
        <v/>
      </c>
      <c r="AH560" s="1091"/>
      <c r="AI560" s="1087"/>
      <c r="AJ560" s="1084" t="str">
        <f t="shared" si="72"/>
        <v/>
      </c>
      <c r="AK560" s="1083" t="str">
        <f t="shared" si="73"/>
        <v/>
      </c>
      <c r="AL560" s="211">
        <v>3213000</v>
      </c>
      <c r="AM560" s="211"/>
      <c r="AN560" s="211">
        <v>3498600</v>
      </c>
      <c r="AO560" s="211"/>
      <c r="AP560" s="211"/>
      <c r="AQ560" s="211"/>
      <c r="AR560" s="211"/>
      <c r="AS560" s="211"/>
      <c r="AT560" s="211"/>
      <c r="AU560" s="211"/>
      <c r="AV560" s="211"/>
      <c r="AW560" s="211"/>
      <c r="AX560" s="211"/>
      <c r="AY560" s="211"/>
      <c r="AZ560" s="211"/>
      <c r="BA560" s="211"/>
      <c r="BB560" s="211"/>
      <c r="BC560" s="211"/>
      <c r="BD560" s="333">
        <v>43202</v>
      </c>
      <c r="BE560" s="82">
        <f t="shared" si="74"/>
        <v>6711600</v>
      </c>
      <c r="BF560" s="13"/>
      <c r="BG560" s="1"/>
    </row>
    <row r="561" spans="1:59" s="54" customFormat="1" ht="20.399999999999999" hidden="1" x14ac:dyDescent="0.3">
      <c r="A561" s="56"/>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197">
        <f>+'Base de Datos'!I561</f>
        <v>1185000</v>
      </c>
      <c r="G561" s="196">
        <f>+'Base de Datos'!M561</f>
        <v>43010</v>
      </c>
      <c r="H561" s="196">
        <f>+'Base de Datos'!N561</f>
        <v>43375</v>
      </c>
      <c r="I561" s="196"/>
      <c r="J561" s="158"/>
      <c r="K561" s="333"/>
      <c r="L561" s="211"/>
      <c r="M561" s="336"/>
      <c r="N561" s="158"/>
      <c r="O561" s="333"/>
      <c r="P561" s="158"/>
      <c r="Q561" s="338"/>
      <c r="R561" s="81">
        <f t="shared" si="67"/>
        <v>0</v>
      </c>
      <c r="S561" s="258"/>
      <c r="T561" s="333"/>
      <c r="U561" s="158"/>
      <c r="V561" s="333"/>
      <c r="W561" s="158"/>
      <c r="X561" s="333"/>
      <c r="Y561" s="158"/>
      <c r="Z561" s="333"/>
      <c r="AA561" s="326"/>
      <c r="AB561" s="1004" t="str">
        <f t="shared" si="68"/>
        <v/>
      </c>
      <c r="AC561" s="1082" t="str">
        <f t="shared" si="69"/>
        <v/>
      </c>
      <c r="AD561" s="1077"/>
      <c r="AE561" s="1077"/>
      <c r="AF561" s="1084" t="str">
        <f t="shared" si="70"/>
        <v/>
      </c>
      <c r="AG561" s="1082" t="str">
        <f t="shared" si="71"/>
        <v/>
      </c>
      <c r="AH561" s="1091"/>
      <c r="AI561" s="1087"/>
      <c r="AJ561" s="1084" t="str">
        <f t="shared" si="72"/>
        <v/>
      </c>
      <c r="AK561" s="1083" t="str">
        <f t="shared" si="73"/>
        <v/>
      </c>
      <c r="AL561" s="211">
        <v>1185000</v>
      </c>
      <c r="AM561" s="211"/>
      <c r="AN561" s="211"/>
      <c r="AO561" s="211"/>
      <c r="AP561" s="211"/>
      <c r="AQ561" s="211"/>
      <c r="AR561" s="211"/>
      <c r="AS561" s="211"/>
      <c r="AT561" s="211"/>
      <c r="AU561" s="211"/>
      <c r="AV561" s="211"/>
      <c r="AW561" s="211"/>
      <c r="AX561" s="211"/>
      <c r="AY561" s="211"/>
      <c r="AZ561" s="211"/>
      <c r="BA561" s="211"/>
      <c r="BB561" s="211"/>
      <c r="BC561" s="211"/>
      <c r="BD561" s="333">
        <v>43053</v>
      </c>
      <c r="BE561" s="82">
        <f t="shared" si="74"/>
        <v>1185000</v>
      </c>
      <c r="BF561" s="13"/>
      <c r="BG561" s="1"/>
    </row>
    <row r="562" spans="1:59" s="54" customFormat="1" ht="40.799999999999997" hidden="1" x14ac:dyDescent="0.3">
      <c r="A562" s="56"/>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197">
        <f>+'Base de Datos'!I562</f>
        <v>7500000</v>
      </c>
      <c r="G562" s="196">
        <f>+'Base de Datos'!M562</f>
        <v>43006</v>
      </c>
      <c r="H562" s="196">
        <f>+'Base de Datos'!N562</f>
        <v>43100</v>
      </c>
      <c r="I562" s="196"/>
      <c r="J562" s="158"/>
      <c r="K562" s="333"/>
      <c r="L562" s="211"/>
      <c r="M562" s="336"/>
      <c r="N562" s="158"/>
      <c r="O562" s="333"/>
      <c r="P562" s="158"/>
      <c r="Q562" s="338"/>
      <c r="R562" s="81">
        <f t="shared" si="67"/>
        <v>0</v>
      </c>
      <c r="S562" s="820" t="s">
        <v>3752</v>
      </c>
      <c r="T562" s="333">
        <v>43125</v>
      </c>
      <c r="U562" s="158"/>
      <c r="V562" s="333"/>
      <c r="W562" s="158"/>
      <c r="X562" s="333"/>
      <c r="Y562" s="158"/>
      <c r="Z562" s="333"/>
      <c r="AA562" s="326" t="s">
        <v>3752</v>
      </c>
      <c r="AB562" s="1004">
        <f t="shared" si="68"/>
        <v>43125</v>
      </c>
      <c r="AC562" s="1082" t="str">
        <f t="shared" si="69"/>
        <v/>
      </c>
      <c r="AD562" s="1077"/>
      <c r="AE562" s="1077"/>
      <c r="AF562" s="1084" t="str">
        <f t="shared" si="70"/>
        <v/>
      </c>
      <c r="AG562" s="1082" t="str">
        <f t="shared" si="71"/>
        <v/>
      </c>
      <c r="AH562" s="1091"/>
      <c r="AI562" s="1087"/>
      <c r="AJ562" s="1084" t="str">
        <f t="shared" si="72"/>
        <v/>
      </c>
      <c r="AK562" s="1083" t="str">
        <f t="shared" si="73"/>
        <v/>
      </c>
      <c r="AL562" s="211">
        <v>187500</v>
      </c>
      <c r="AM562" s="211">
        <v>1875000</v>
      </c>
      <c r="AN562" s="211">
        <v>1875000</v>
      </c>
      <c r="AO562" s="211">
        <v>1875000</v>
      </c>
      <c r="AP562" s="211">
        <v>1562500</v>
      </c>
      <c r="AQ562" s="211"/>
      <c r="AR562" s="211"/>
      <c r="AS562" s="211"/>
      <c r="AT562" s="211"/>
      <c r="AU562" s="211"/>
      <c r="AV562" s="211"/>
      <c r="AW562" s="211"/>
      <c r="AX562" s="211"/>
      <c r="AY562" s="211"/>
      <c r="AZ562" s="211"/>
      <c r="BA562" s="211"/>
      <c r="BB562" s="211"/>
      <c r="BC562" s="211"/>
      <c r="BD562" s="333">
        <v>43145</v>
      </c>
      <c r="BE562" s="82">
        <f t="shared" si="74"/>
        <v>7375000</v>
      </c>
      <c r="BF562" s="13"/>
      <c r="BG562" s="1"/>
    </row>
    <row r="563" spans="1:59" s="54" customFormat="1" ht="61.2" hidden="1" x14ac:dyDescent="0.3">
      <c r="A563" s="56"/>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197">
        <f>+'Base de Datos'!I563</f>
        <v>30000000</v>
      </c>
      <c r="G563" s="196">
        <f>+'Base de Datos'!M563</f>
        <v>43020</v>
      </c>
      <c r="H563" s="196">
        <f>+'Base de Datos'!N563</f>
        <v>43202</v>
      </c>
      <c r="I563" s="196"/>
      <c r="J563" s="158">
        <v>10000000</v>
      </c>
      <c r="K563" s="333">
        <v>43202</v>
      </c>
      <c r="L563" s="211"/>
      <c r="M563" s="336"/>
      <c r="N563" s="158"/>
      <c r="O563" s="333"/>
      <c r="P563" s="158"/>
      <c r="Q563" s="338"/>
      <c r="R563" s="81">
        <f t="shared" si="67"/>
        <v>10000000</v>
      </c>
      <c r="S563" s="258" t="s">
        <v>381</v>
      </c>
      <c r="T563" s="333">
        <v>43232</v>
      </c>
      <c r="U563" s="158" t="s">
        <v>378</v>
      </c>
      <c r="V563" s="333">
        <v>43293</v>
      </c>
      <c r="W563" s="158"/>
      <c r="X563" s="333"/>
      <c r="Y563" s="158"/>
      <c r="Z563" s="333"/>
      <c r="AA563" s="326" t="s">
        <v>379</v>
      </c>
      <c r="AB563" s="1004">
        <f t="shared" si="68"/>
        <v>43293</v>
      </c>
      <c r="AC563" s="1082" t="str">
        <f t="shared" si="69"/>
        <v/>
      </c>
      <c r="AD563" s="1077"/>
      <c r="AE563" s="1077"/>
      <c r="AF563" s="1084" t="str">
        <f t="shared" si="70"/>
        <v/>
      </c>
      <c r="AG563" s="1082" t="str">
        <f t="shared" si="71"/>
        <v/>
      </c>
      <c r="AH563" s="1091"/>
      <c r="AI563" s="1087"/>
      <c r="AJ563" s="1084" t="str">
        <f t="shared" si="72"/>
        <v/>
      </c>
      <c r="AK563" s="1083" t="str">
        <f t="shared" si="73"/>
        <v/>
      </c>
      <c r="AL563" s="211">
        <v>3829421</v>
      </c>
      <c r="AM563" s="211">
        <v>1607697</v>
      </c>
      <c r="AN563" s="211">
        <v>10845869</v>
      </c>
      <c r="AO563" s="211">
        <v>7786210</v>
      </c>
      <c r="AP563" s="211">
        <v>13711859</v>
      </c>
      <c r="AQ563" s="211">
        <v>2210097</v>
      </c>
      <c r="AR563" s="211"/>
      <c r="AS563" s="211"/>
      <c r="AT563" s="211"/>
      <c r="AU563" s="211"/>
      <c r="AV563" s="211"/>
      <c r="AW563" s="211"/>
      <c r="AX563" s="211"/>
      <c r="AY563" s="211"/>
      <c r="AZ563" s="211"/>
      <c r="BA563" s="211"/>
      <c r="BB563" s="211"/>
      <c r="BC563" s="211"/>
      <c r="BD563" s="333">
        <v>43299</v>
      </c>
      <c r="BE563" s="82">
        <f t="shared" si="74"/>
        <v>39991153</v>
      </c>
      <c r="BF563" s="13"/>
      <c r="BG563" s="1"/>
    </row>
    <row r="564" spans="1:59" s="54" customFormat="1" ht="30.6" hidden="1" x14ac:dyDescent="0.3">
      <c r="A564" s="56"/>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197">
        <f>+'Base de Datos'!I564</f>
        <v>975000</v>
      </c>
      <c r="G564" s="196">
        <f>+'Base de Datos'!M564</f>
        <v>43034</v>
      </c>
      <c r="H564" s="196">
        <f>+'Base de Datos'!N564</f>
        <v>43399</v>
      </c>
      <c r="I564" s="196"/>
      <c r="J564" s="158"/>
      <c r="K564" s="333"/>
      <c r="L564" s="211"/>
      <c r="M564" s="336"/>
      <c r="N564" s="158"/>
      <c r="O564" s="333"/>
      <c r="P564" s="158"/>
      <c r="Q564" s="338"/>
      <c r="R564" s="81">
        <f t="shared" si="67"/>
        <v>0</v>
      </c>
      <c r="S564" s="258"/>
      <c r="T564" s="333"/>
      <c r="U564" s="158"/>
      <c r="V564" s="333"/>
      <c r="W564" s="158"/>
      <c r="X564" s="333"/>
      <c r="Y564" s="158"/>
      <c r="Z564" s="333"/>
      <c r="AA564" s="326"/>
      <c r="AB564" s="1004" t="str">
        <f t="shared" si="68"/>
        <v/>
      </c>
      <c r="AC564" s="1082" t="str">
        <f t="shared" si="69"/>
        <v/>
      </c>
      <c r="AD564" s="1077"/>
      <c r="AE564" s="1077"/>
      <c r="AF564" s="1084" t="str">
        <f t="shared" si="70"/>
        <v/>
      </c>
      <c r="AG564" s="1082" t="str">
        <f t="shared" si="71"/>
        <v/>
      </c>
      <c r="AH564" s="1091"/>
      <c r="AI564" s="1087"/>
      <c r="AJ564" s="1084" t="str">
        <f t="shared" si="72"/>
        <v/>
      </c>
      <c r="AK564" s="1083" t="str">
        <f t="shared" si="73"/>
        <v/>
      </c>
      <c r="AL564" s="211">
        <v>975000</v>
      </c>
      <c r="AM564" s="211"/>
      <c r="AN564" s="211"/>
      <c r="AO564" s="211"/>
      <c r="AP564" s="211"/>
      <c r="AQ564" s="211"/>
      <c r="AR564" s="211"/>
      <c r="AS564" s="211"/>
      <c r="AT564" s="211"/>
      <c r="AU564" s="211"/>
      <c r="AV564" s="211"/>
      <c r="AW564" s="211"/>
      <c r="AX564" s="211"/>
      <c r="AY564" s="211"/>
      <c r="AZ564" s="211"/>
      <c r="BA564" s="211"/>
      <c r="BB564" s="211"/>
      <c r="BC564" s="211"/>
      <c r="BD564" s="333">
        <v>43207</v>
      </c>
      <c r="BE564" s="82">
        <f t="shared" si="74"/>
        <v>975000</v>
      </c>
      <c r="BF564" s="13"/>
      <c r="BG564" s="1"/>
    </row>
    <row r="565" spans="1:59" s="54" customFormat="1" ht="61.2" hidden="1" x14ac:dyDescent="0.3">
      <c r="A565" s="56"/>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197">
        <f>+'Base de Datos'!I565</f>
        <v>241357373</v>
      </c>
      <c r="G565" s="196">
        <f>+'Base de Datos'!M565</f>
        <v>43053</v>
      </c>
      <c r="H565" s="196">
        <f>+'Base de Datos'!N565</f>
        <v>43172</v>
      </c>
      <c r="I565" s="196"/>
      <c r="J565" s="158">
        <v>85040124</v>
      </c>
      <c r="K565" s="333">
        <v>43167</v>
      </c>
      <c r="L565" s="211"/>
      <c r="M565" s="336"/>
      <c r="N565" s="158"/>
      <c r="O565" s="333"/>
      <c r="P565" s="158"/>
      <c r="Q565" s="338"/>
      <c r="R565" s="81">
        <f t="shared" si="67"/>
        <v>85040124</v>
      </c>
      <c r="S565" s="820" t="s">
        <v>3888</v>
      </c>
      <c r="T565" s="333">
        <v>43217</v>
      </c>
      <c r="U565" s="157" t="s">
        <v>3948</v>
      </c>
      <c r="V565" s="333">
        <v>43248</v>
      </c>
      <c r="W565" s="158"/>
      <c r="X565" s="333"/>
      <c r="Y565" s="158"/>
      <c r="Z565" s="333"/>
      <c r="AA565" s="820" t="s">
        <v>3949</v>
      </c>
      <c r="AB565" s="1004">
        <f t="shared" si="68"/>
        <v>43248</v>
      </c>
      <c r="AC565" s="1082" t="str">
        <f t="shared" si="69"/>
        <v/>
      </c>
      <c r="AD565" s="1077"/>
      <c r="AE565" s="1077"/>
      <c r="AF565" s="1084" t="str">
        <f t="shared" si="70"/>
        <v/>
      </c>
      <c r="AG565" s="1082" t="str">
        <f t="shared" si="71"/>
        <v/>
      </c>
      <c r="AH565" s="1091"/>
      <c r="AI565" s="1087"/>
      <c r="AJ565" s="1084" t="str">
        <f t="shared" si="72"/>
        <v/>
      </c>
      <c r="AK565" s="1083" t="str">
        <f t="shared" si="73"/>
        <v/>
      </c>
      <c r="AL565" s="211">
        <v>48271475</v>
      </c>
      <c r="AM565" s="211">
        <v>72407212</v>
      </c>
      <c r="AN565" s="211">
        <v>48271475</v>
      </c>
      <c r="AO565" s="211">
        <v>85040124</v>
      </c>
      <c r="AP565" s="211"/>
      <c r="AQ565" s="211"/>
      <c r="AR565" s="211"/>
      <c r="AS565" s="211"/>
      <c r="AT565" s="211"/>
      <c r="AU565" s="211"/>
      <c r="AV565" s="211"/>
      <c r="AW565" s="211"/>
      <c r="AX565" s="211"/>
      <c r="AY565" s="211"/>
      <c r="AZ565" s="211"/>
      <c r="BA565" s="211"/>
      <c r="BB565" s="211"/>
      <c r="BC565" s="211"/>
      <c r="BD565" s="333">
        <v>43202</v>
      </c>
      <c r="BE565" s="82">
        <f t="shared" si="74"/>
        <v>253990286</v>
      </c>
      <c r="BF565" s="13"/>
      <c r="BG565" s="1"/>
    </row>
    <row r="566" spans="1:59" s="54" customFormat="1" ht="71.400000000000006" hidden="1" x14ac:dyDescent="0.3">
      <c r="A566" s="56"/>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197">
        <f>+'Base de Datos'!I566</f>
        <v>12000000</v>
      </c>
      <c r="G566" s="196">
        <f>+'Base de Datos'!M566</f>
        <v>43014</v>
      </c>
      <c r="H566" s="196">
        <f>+'Base de Datos'!N566</f>
        <v>43106</v>
      </c>
      <c r="I566" s="196"/>
      <c r="J566" s="158"/>
      <c r="K566" s="333"/>
      <c r="L566" s="211"/>
      <c r="M566" s="336"/>
      <c r="N566" s="158"/>
      <c r="O566" s="333"/>
      <c r="P566" s="158"/>
      <c r="Q566" s="338"/>
      <c r="R566" s="81">
        <f t="shared" si="67"/>
        <v>0</v>
      </c>
      <c r="S566" s="258"/>
      <c r="T566" s="333"/>
      <c r="U566" s="158"/>
      <c r="V566" s="333"/>
      <c r="W566" s="158"/>
      <c r="X566" s="333"/>
      <c r="Y566" s="158"/>
      <c r="Z566" s="333"/>
      <c r="AA566" s="326"/>
      <c r="AB566" s="1004" t="str">
        <f t="shared" si="68"/>
        <v/>
      </c>
      <c r="AC566" s="1082" t="str">
        <f t="shared" si="69"/>
        <v/>
      </c>
      <c r="AD566" s="1077"/>
      <c r="AE566" s="1077"/>
      <c r="AF566" s="1084" t="str">
        <f t="shared" si="70"/>
        <v/>
      </c>
      <c r="AG566" s="1082" t="str">
        <f t="shared" si="71"/>
        <v/>
      </c>
      <c r="AH566" s="1091"/>
      <c r="AI566" s="1087"/>
      <c r="AJ566" s="1084" t="str">
        <f t="shared" si="72"/>
        <v/>
      </c>
      <c r="AK566" s="1083" t="str">
        <f t="shared" si="73"/>
        <v/>
      </c>
      <c r="AL566" s="211">
        <v>3333333</v>
      </c>
      <c r="AM566" s="211">
        <v>4000000</v>
      </c>
      <c r="AN566" s="211">
        <v>4000000</v>
      </c>
      <c r="AO566" s="211">
        <v>666667</v>
      </c>
      <c r="AP566" s="211"/>
      <c r="AQ566" s="211"/>
      <c r="AR566" s="211"/>
      <c r="AS566" s="211"/>
      <c r="AT566" s="211"/>
      <c r="AU566" s="211"/>
      <c r="AV566" s="211"/>
      <c r="AW566" s="211"/>
      <c r="AX566" s="211"/>
      <c r="AY566" s="211"/>
      <c r="AZ566" s="211"/>
      <c r="BA566" s="211"/>
      <c r="BB566" s="211"/>
      <c r="BC566" s="211"/>
      <c r="BD566" s="333">
        <v>43131</v>
      </c>
      <c r="BE566" s="82">
        <f t="shared" si="74"/>
        <v>12000000</v>
      </c>
      <c r="BF566" s="13"/>
      <c r="BG566" s="1"/>
    </row>
    <row r="567" spans="1:59" s="54" customFormat="1" ht="20.399999999999999" hidden="1" x14ac:dyDescent="0.3">
      <c r="A567" s="56"/>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197">
        <f>+'Base de Datos'!I567</f>
        <v>103000000</v>
      </c>
      <c r="G567" s="196">
        <f>+'Base de Datos'!M567</f>
        <v>43018</v>
      </c>
      <c r="H567" s="196">
        <f>+'Base de Datos'!N567</f>
        <v>43383</v>
      </c>
      <c r="I567" s="196"/>
      <c r="J567" s="158"/>
      <c r="K567" s="333"/>
      <c r="L567" s="211"/>
      <c r="M567" s="336"/>
      <c r="N567" s="158"/>
      <c r="O567" s="333"/>
      <c r="P567" s="158"/>
      <c r="Q567" s="338"/>
      <c r="R567" s="81">
        <f t="shared" si="67"/>
        <v>0</v>
      </c>
      <c r="S567" s="258"/>
      <c r="T567" s="333"/>
      <c r="U567" s="158"/>
      <c r="V567" s="333"/>
      <c r="W567" s="158"/>
      <c r="X567" s="333"/>
      <c r="Y567" s="158"/>
      <c r="Z567" s="333"/>
      <c r="AA567" s="326"/>
      <c r="AB567" s="1004" t="str">
        <f t="shared" si="68"/>
        <v/>
      </c>
      <c r="AC567" s="1082" t="str">
        <f t="shared" si="69"/>
        <v/>
      </c>
      <c r="AD567" s="1077"/>
      <c r="AE567" s="1077"/>
      <c r="AF567" s="1084" t="str">
        <f t="shared" si="70"/>
        <v/>
      </c>
      <c r="AG567" s="1082" t="str">
        <f t="shared" si="71"/>
        <v/>
      </c>
      <c r="AH567" s="1091"/>
      <c r="AI567" s="1087"/>
      <c r="AJ567" s="1084" t="str">
        <f t="shared" si="72"/>
        <v/>
      </c>
      <c r="AK567" s="1083" t="str">
        <f t="shared" si="73"/>
        <v/>
      </c>
      <c r="AL567" s="211">
        <v>76443834</v>
      </c>
      <c r="AM567" s="211">
        <v>7289981</v>
      </c>
      <c r="AN567" s="211">
        <v>7289981</v>
      </c>
      <c r="AO567" s="211">
        <v>7289981</v>
      </c>
      <c r="AP567" s="211"/>
      <c r="AQ567" s="211"/>
      <c r="AR567" s="211"/>
      <c r="AS567" s="211"/>
      <c r="AT567" s="211"/>
      <c r="AU567" s="211"/>
      <c r="AV567" s="211"/>
      <c r="AW567" s="211"/>
      <c r="AX567" s="211"/>
      <c r="AY567" s="211"/>
      <c r="AZ567" s="211"/>
      <c r="BA567" s="211"/>
      <c r="BB567" s="211"/>
      <c r="BC567" s="211"/>
      <c r="BD567" s="333">
        <v>43392</v>
      </c>
      <c r="BE567" s="82">
        <f t="shared" si="74"/>
        <v>98313777</v>
      </c>
      <c r="BF567" s="13"/>
      <c r="BG567" s="1"/>
    </row>
    <row r="568" spans="1:59" s="54" customFormat="1" ht="30.6" hidden="1" x14ac:dyDescent="0.3">
      <c r="A568" s="56"/>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197">
        <f>+'Base de Datos'!I568</f>
        <v>960000</v>
      </c>
      <c r="G568" s="196">
        <f>+'Base de Datos'!M568</f>
        <v>43013</v>
      </c>
      <c r="H568" s="196">
        <f>+'Base de Datos'!N568</f>
        <v>43378</v>
      </c>
      <c r="I568" s="196"/>
      <c r="J568" s="158"/>
      <c r="K568" s="333"/>
      <c r="L568" s="211"/>
      <c r="M568" s="336"/>
      <c r="N568" s="158"/>
      <c r="O568" s="333"/>
      <c r="P568" s="158"/>
      <c r="Q568" s="338"/>
      <c r="R568" s="81">
        <f t="shared" si="67"/>
        <v>0</v>
      </c>
      <c r="S568" s="258"/>
      <c r="T568" s="333"/>
      <c r="U568" s="158"/>
      <c r="V568" s="333"/>
      <c r="W568" s="158"/>
      <c r="X568" s="333"/>
      <c r="Y568" s="158"/>
      <c r="Z568" s="333"/>
      <c r="AA568" s="326"/>
      <c r="AB568" s="1004" t="str">
        <f t="shared" si="68"/>
        <v/>
      </c>
      <c r="AC568" s="1082" t="str">
        <f t="shared" si="69"/>
        <v/>
      </c>
      <c r="AD568" s="1077"/>
      <c r="AE568" s="1077"/>
      <c r="AF568" s="1084" t="str">
        <f t="shared" si="70"/>
        <v/>
      </c>
      <c r="AG568" s="1082" t="str">
        <f t="shared" si="71"/>
        <v/>
      </c>
      <c r="AH568" s="1091"/>
      <c r="AI568" s="1087"/>
      <c r="AJ568" s="1084" t="str">
        <f t="shared" si="72"/>
        <v/>
      </c>
      <c r="AK568" s="1083" t="str">
        <f t="shared" si="73"/>
        <v/>
      </c>
      <c r="AL568" s="211">
        <v>960000</v>
      </c>
      <c r="AM568" s="211"/>
      <c r="AN568" s="211"/>
      <c r="AO568" s="211"/>
      <c r="AP568" s="211"/>
      <c r="AQ568" s="211"/>
      <c r="AR568" s="211"/>
      <c r="AS568" s="211"/>
      <c r="AT568" s="211"/>
      <c r="AU568" s="211"/>
      <c r="AV568" s="211"/>
      <c r="AW568" s="211"/>
      <c r="AX568" s="211"/>
      <c r="AY568" s="211"/>
      <c r="AZ568" s="211"/>
      <c r="BA568" s="211"/>
      <c r="BB568" s="211"/>
      <c r="BC568" s="211"/>
      <c r="BD568" s="333">
        <v>43047</v>
      </c>
      <c r="BE568" s="82">
        <f t="shared" si="74"/>
        <v>960000</v>
      </c>
      <c r="BF568" s="13"/>
      <c r="BG568" s="1"/>
    </row>
    <row r="569" spans="1:59" s="54" customFormat="1" ht="20.399999999999999" hidden="1" x14ac:dyDescent="0.3">
      <c r="A569" s="56"/>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197">
        <f>+'Base de Datos'!I569</f>
        <v>23058000</v>
      </c>
      <c r="G569" s="196">
        <f>+'Base de Datos'!M569</f>
        <v>43033</v>
      </c>
      <c r="H569" s="196">
        <f>+'Base de Datos'!N569</f>
        <v>43156</v>
      </c>
      <c r="I569" s="196"/>
      <c r="J569" s="158"/>
      <c r="K569" s="333"/>
      <c r="L569" s="211"/>
      <c r="M569" s="336"/>
      <c r="N569" s="158"/>
      <c r="O569" s="333"/>
      <c r="P569" s="158"/>
      <c r="Q569" s="338"/>
      <c r="R569" s="81">
        <f t="shared" si="67"/>
        <v>0</v>
      </c>
      <c r="S569" s="258"/>
      <c r="T569" s="333"/>
      <c r="U569" s="158"/>
      <c r="V569" s="333"/>
      <c r="W569" s="158"/>
      <c r="X569" s="333"/>
      <c r="Y569" s="158"/>
      <c r="Z569" s="333"/>
      <c r="AA569" s="326"/>
      <c r="AB569" s="1004" t="str">
        <f t="shared" si="68"/>
        <v/>
      </c>
      <c r="AC569" s="1082" t="str">
        <f t="shared" si="69"/>
        <v/>
      </c>
      <c r="AD569" s="1077"/>
      <c r="AE569" s="1077"/>
      <c r="AF569" s="1084" t="str">
        <f t="shared" si="70"/>
        <v/>
      </c>
      <c r="AG569" s="1082" t="str">
        <f t="shared" si="71"/>
        <v/>
      </c>
      <c r="AH569" s="1091"/>
      <c r="AI569" s="1087"/>
      <c r="AJ569" s="1084" t="str">
        <f t="shared" si="72"/>
        <v/>
      </c>
      <c r="AK569" s="1083" t="str">
        <f t="shared" si="73"/>
        <v/>
      </c>
      <c r="AL569" s="211">
        <v>21231623</v>
      </c>
      <c r="AM569" s="211"/>
      <c r="AN569" s="211"/>
      <c r="AO569" s="211"/>
      <c r="AP569" s="211"/>
      <c r="AQ569" s="211"/>
      <c r="AR569" s="211"/>
      <c r="AS569" s="211"/>
      <c r="AT569" s="211"/>
      <c r="AU569" s="211"/>
      <c r="AV569" s="211"/>
      <c r="AW569" s="211"/>
      <c r="AX569" s="211"/>
      <c r="AY569" s="211"/>
      <c r="AZ569" s="211"/>
      <c r="BA569" s="211"/>
      <c r="BB569" s="211"/>
      <c r="BC569" s="211"/>
      <c r="BD569" s="333">
        <v>43250</v>
      </c>
      <c r="BE569" s="82">
        <f t="shared" si="74"/>
        <v>21231623</v>
      </c>
      <c r="BF569" s="13"/>
      <c r="BG569" s="1"/>
    </row>
    <row r="570" spans="1:59" s="54" customFormat="1" ht="30.6" hidden="1" x14ac:dyDescent="0.3">
      <c r="A570" s="56"/>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197">
        <f>+'Base de Datos'!I570</f>
        <v>5087000</v>
      </c>
      <c r="G570" s="196">
        <f>+'Base de Datos'!M570</f>
        <v>43028</v>
      </c>
      <c r="H570" s="196">
        <f>+'Base de Datos'!N570</f>
        <v>43393</v>
      </c>
      <c r="I570" s="196"/>
      <c r="J570" s="158"/>
      <c r="K570" s="333"/>
      <c r="L570" s="211"/>
      <c r="M570" s="336"/>
      <c r="N570" s="158"/>
      <c r="O570" s="333"/>
      <c r="P570" s="158"/>
      <c r="Q570" s="338"/>
      <c r="R570" s="81">
        <f t="shared" si="67"/>
        <v>0</v>
      </c>
      <c r="S570" s="258"/>
      <c r="T570" s="333"/>
      <c r="U570" s="158"/>
      <c r="V570" s="333"/>
      <c r="W570" s="158"/>
      <c r="X570" s="333"/>
      <c r="Y570" s="158"/>
      <c r="Z570" s="333"/>
      <c r="AA570" s="326"/>
      <c r="AB570" s="1004" t="str">
        <f t="shared" si="68"/>
        <v/>
      </c>
      <c r="AC570" s="1082" t="str">
        <f t="shared" si="69"/>
        <v/>
      </c>
      <c r="AD570" s="1077"/>
      <c r="AE570" s="1077"/>
      <c r="AF570" s="1084" t="str">
        <f t="shared" si="70"/>
        <v/>
      </c>
      <c r="AG570" s="1082" t="str">
        <f t="shared" si="71"/>
        <v/>
      </c>
      <c r="AH570" s="1091"/>
      <c r="AI570" s="1087"/>
      <c r="AJ570" s="1084" t="str">
        <f t="shared" si="72"/>
        <v/>
      </c>
      <c r="AK570" s="1083" t="str">
        <f t="shared" si="73"/>
        <v/>
      </c>
      <c r="AL570" s="211">
        <v>2970000</v>
      </c>
      <c r="AM570" s="211">
        <v>2113999</v>
      </c>
      <c r="AN570" s="211"/>
      <c r="AO570" s="211"/>
      <c r="AP570" s="211"/>
      <c r="AQ570" s="211"/>
      <c r="AR570" s="211"/>
      <c r="AS570" s="211"/>
      <c r="AT570" s="211"/>
      <c r="AU570" s="211"/>
      <c r="AV570" s="211"/>
      <c r="AW570" s="211"/>
      <c r="AX570" s="211"/>
      <c r="AY570" s="211"/>
      <c r="AZ570" s="211"/>
      <c r="BA570" s="211"/>
      <c r="BB570" s="211"/>
      <c r="BC570" s="211"/>
      <c r="BD570" s="333">
        <v>43453</v>
      </c>
      <c r="BE570" s="82">
        <f t="shared" si="74"/>
        <v>5083999</v>
      </c>
      <c r="BF570" s="13"/>
      <c r="BG570" s="1"/>
    </row>
    <row r="571" spans="1:59" s="54" customFormat="1" ht="40.799999999999997" hidden="1" x14ac:dyDescent="0.3">
      <c r="A571" s="56"/>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197">
        <f>+'Base de Datos'!I571</f>
        <v>9000000</v>
      </c>
      <c r="G571" s="196">
        <f>+'Base de Datos'!M571</f>
        <v>43034</v>
      </c>
      <c r="H571" s="196">
        <f>+'Base de Datos'!N571</f>
        <v>43185</v>
      </c>
      <c r="I571" s="196"/>
      <c r="J571" s="158">
        <v>4133333</v>
      </c>
      <c r="K571" s="333">
        <v>43231</v>
      </c>
      <c r="L571" s="211"/>
      <c r="M571" s="336"/>
      <c r="N571" s="158"/>
      <c r="O571" s="333"/>
      <c r="P571" s="158"/>
      <c r="Q571" s="338"/>
      <c r="R571" s="81">
        <f t="shared" si="67"/>
        <v>4133333</v>
      </c>
      <c r="S571" s="820" t="s">
        <v>3890</v>
      </c>
      <c r="T571" s="333">
        <v>43247</v>
      </c>
      <c r="U571" s="158" t="s">
        <v>381</v>
      </c>
      <c r="V571" s="333">
        <v>43278</v>
      </c>
      <c r="W571" s="158"/>
      <c r="X571" s="333"/>
      <c r="Y571" s="158"/>
      <c r="Z571" s="333"/>
      <c r="AA571" s="820" t="s">
        <v>3977</v>
      </c>
      <c r="AB571" s="1004">
        <f t="shared" si="68"/>
        <v>43278</v>
      </c>
      <c r="AC571" s="1082" t="str">
        <f t="shared" si="69"/>
        <v/>
      </c>
      <c r="AD571" s="1077"/>
      <c r="AE571" s="1077"/>
      <c r="AF571" s="1084" t="str">
        <f t="shared" si="70"/>
        <v/>
      </c>
      <c r="AG571" s="1082" t="str">
        <f t="shared" si="71"/>
        <v/>
      </c>
      <c r="AH571" s="1091"/>
      <c r="AI571" s="1087"/>
      <c r="AJ571" s="1084" t="str">
        <f t="shared" si="72"/>
        <v/>
      </c>
      <c r="AK571" s="1083" t="str">
        <f t="shared" si="73"/>
        <v/>
      </c>
      <c r="AL571" s="211">
        <v>2000000</v>
      </c>
      <c r="AM571" s="211">
        <v>2000000</v>
      </c>
      <c r="AN571" s="211">
        <v>2000000</v>
      </c>
      <c r="AO571" s="211">
        <v>2000000</v>
      </c>
      <c r="AP571" s="211">
        <v>4133333</v>
      </c>
      <c r="AQ571" s="211">
        <v>1000000</v>
      </c>
      <c r="AR571" s="211"/>
      <c r="AS571" s="211"/>
      <c r="AT571" s="211"/>
      <c r="AU571" s="211"/>
      <c r="AV571" s="211"/>
      <c r="AW571" s="211"/>
      <c r="AX571" s="211"/>
      <c r="AY571" s="211"/>
      <c r="AZ571" s="211"/>
      <c r="BA571" s="211"/>
      <c r="BB571" s="211"/>
      <c r="BC571" s="211"/>
      <c r="BD571" s="333">
        <v>43453</v>
      </c>
      <c r="BE571" s="82">
        <f t="shared" si="74"/>
        <v>13133333</v>
      </c>
      <c r="BF571" s="13"/>
      <c r="BG571" s="1"/>
    </row>
    <row r="572" spans="1:59" s="54" customFormat="1" ht="30.6" hidden="1" x14ac:dyDescent="0.3">
      <c r="A572" s="56"/>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197">
        <f>+'Base de Datos'!I572</f>
        <v>4606000</v>
      </c>
      <c r="G572" s="196">
        <f>+'Base de Datos'!M572</f>
        <v>43041</v>
      </c>
      <c r="H572" s="196">
        <f>+'Base de Datos'!N572</f>
        <v>43133</v>
      </c>
      <c r="I572" s="196"/>
      <c r="J572" s="158"/>
      <c r="K572" s="333"/>
      <c r="L572" s="211"/>
      <c r="M572" s="336"/>
      <c r="N572" s="158"/>
      <c r="O572" s="333"/>
      <c r="P572" s="158"/>
      <c r="Q572" s="338"/>
      <c r="R572" s="81">
        <f t="shared" si="67"/>
        <v>0</v>
      </c>
      <c r="S572" s="258"/>
      <c r="T572" s="333"/>
      <c r="U572" s="158"/>
      <c r="V572" s="333"/>
      <c r="W572" s="158"/>
      <c r="X572" s="333"/>
      <c r="Y572" s="158"/>
      <c r="Z572" s="333"/>
      <c r="AA572" s="326"/>
      <c r="AB572" s="1004" t="str">
        <f t="shared" si="68"/>
        <v/>
      </c>
      <c r="AC572" s="1082" t="str">
        <f t="shared" si="69"/>
        <v/>
      </c>
      <c r="AD572" s="1077"/>
      <c r="AE572" s="1077"/>
      <c r="AF572" s="1084" t="str">
        <f t="shared" si="70"/>
        <v/>
      </c>
      <c r="AG572" s="1082" t="str">
        <f t="shared" si="71"/>
        <v/>
      </c>
      <c r="AH572" s="1091"/>
      <c r="AI572" s="1087"/>
      <c r="AJ572" s="1084" t="str">
        <f t="shared" si="72"/>
        <v/>
      </c>
      <c r="AK572" s="1083" t="str">
        <f t="shared" si="73"/>
        <v/>
      </c>
      <c r="AL572" s="211">
        <v>2576666</v>
      </c>
      <c r="AM572" s="211"/>
      <c r="AN572" s="211"/>
      <c r="AO572" s="211"/>
      <c r="AP572" s="211"/>
      <c r="AQ572" s="211"/>
      <c r="AR572" s="211"/>
      <c r="AS572" s="211"/>
      <c r="AT572" s="211"/>
      <c r="AU572" s="211"/>
      <c r="AV572" s="211"/>
      <c r="AW572" s="211"/>
      <c r="AX572" s="211"/>
      <c r="AY572" s="211"/>
      <c r="AZ572" s="211"/>
      <c r="BA572" s="211"/>
      <c r="BB572" s="211"/>
      <c r="BC572" s="211"/>
      <c r="BD572" s="333">
        <v>43157</v>
      </c>
      <c r="BE572" s="82">
        <f t="shared" si="74"/>
        <v>2576666</v>
      </c>
      <c r="BF572" s="13"/>
      <c r="BG572" s="1"/>
    </row>
    <row r="573" spans="1:59" s="54" customFormat="1" ht="20.399999999999999" hidden="1" x14ac:dyDescent="0.3">
      <c r="A573" s="56"/>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197">
        <f>+'Base de Datos'!I573</f>
        <v>6717550</v>
      </c>
      <c r="G573" s="196">
        <f>+'Base de Datos'!M573</f>
        <v>43033</v>
      </c>
      <c r="H573" s="196">
        <f>+'Base de Datos'!N573</f>
        <v>43107</v>
      </c>
      <c r="I573" s="196"/>
      <c r="J573" s="158"/>
      <c r="K573" s="333"/>
      <c r="L573" s="211"/>
      <c r="M573" s="336"/>
      <c r="N573" s="158"/>
      <c r="O573" s="333"/>
      <c r="P573" s="158"/>
      <c r="Q573" s="338"/>
      <c r="R573" s="81">
        <f t="shared" si="67"/>
        <v>0</v>
      </c>
      <c r="S573" s="258"/>
      <c r="T573" s="333"/>
      <c r="U573" s="158"/>
      <c r="V573" s="333"/>
      <c r="W573" s="158"/>
      <c r="X573" s="333"/>
      <c r="Y573" s="158"/>
      <c r="Z573" s="333"/>
      <c r="AA573" s="326"/>
      <c r="AB573" s="1004" t="str">
        <f t="shared" si="68"/>
        <v/>
      </c>
      <c r="AC573" s="1082" t="str">
        <f t="shared" si="69"/>
        <v/>
      </c>
      <c r="AD573" s="1077"/>
      <c r="AE573" s="1077"/>
      <c r="AF573" s="1084" t="str">
        <f t="shared" si="70"/>
        <v/>
      </c>
      <c r="AG573" s="1082" t="str">
        <f t="shared" si="71"/>
        <v/>
      </c>
      <c r="AH573" s="1091"/>
      <c r="AI573" s="1087"/>
      <c r="AJ573" s="1084" t="str">
        <f t="shared" si="72"/>
        <v/>
      </c>
      <c r="AK573" s="1083" t="str">
        <f t="shared" si="73"/>
        <v/>
      </c>
      <c r="AL573" s="211">
        <v>6717550</v>
      </c>
      <c r="AM573" s="211"/>
      <c r="AN573" s="211"/>
      <c r="AO573" s="211"/>
      <c r="AP573" s="211"/>
      <c r="AQ573" s="211"/>
      <c r="AR573" s="211"/>
      <c r="AS573" s="211"/>
      <c r="AT573" s="211"/>
      <c r="AU573" s="211"/>
      <c r="AV573" s="211"/>
      <c r="AW573" s="211"/>
      <c r="AX573" s="211"/>
      <c r="AY573" s="211"/>
      <c r="AZ573" s="211"/>
      <c r="BA573" s="211"/>
      <c r="BB573" s="211"/>
      <c r="BC573" s="211"/>
      <c r="BD573" s="333"/>
      <c r="BE573" s="82">
        <f t="shared" si="74"/>
        <v>6717550</v>
      </c>
      <c r="BF573" s="13"/>
      <c r="BG573" s="1"/>
    </row>
    <row r="574" spans="1:59" s="54" customFormat="1" hidden="1" x14ac:dyDescent="0.3">
      <c r="A574" s="56"/>
      <c r="B574" s="2" t="str">
        <f>+'Base de Datos'!E574</f>
        <v>170298-0-2017</v>
      </c>
      <c r="C574" s="2" t="str">
        <f>+'Base de Datos'!F574</f>
        <v>PUBLICACIONES SEMANA S.A.</v>
      </c>
      <c r="D574" s="2">
        <f>+'Base de Datos'!G574</f>
        <v>860509265</v>
      </c>
      <c r="E574" s="2" t="str">
        <f>+'Base de Datos'!H574</f>
        <v>Suscripción a la Revista Semana, para el Concejo de Bogotá.</v>
      </c>
      <c r="F574" s="197">
        <f>+'Base de Datos'!I574</f>
        <v>870000</v>
      </c>
      <c r="G574" s="196">
        <f>+'Base de Datos'!M574</f>
        <v>43040</v>
      </c>
      <c r="H574" s="196">
        <f>+'Base de Datos'!N574</f>
        <v>43405</v>
      </c>
      <c r="I574" s="196"/>
      <c r="J574" s="158"/>
      <c r="K574" s="333"/>
      <c r="L574" s="211"/>
      <c r="M574" s="336"/>
      <c r="N574" s="158"/>
      <c r="O574" s="333"/>
      <c r="P574" s="158"/>
      <c r="Q574" s="338"/>
      <c r="R574" s="81">
        <f t="shared" si="67"/>
        <v>0</v>
      </c>
      <c r="S574" s="258"/>
      <c r="T574" s="333"/>
      <c r="U574" s="158"/>
      <c r="V574" s="333"/>
      <c r="W574" s="158"/>
      <c r="X574" s="333"/>
      <c r="Y574" s="158"/>
      <c r="Z574" s="333"/>
      <c r="AA574" s="326"/>
      <c r="AB574" s="1004" t="str">
        <f t="shared" si="68"/>
        <v/>
      </c>
      <c r="AC574" s="1082" t="str">
        <f t="shared" si="69"/>
        <v/>
      </c>
      <c r="AD574" s="1077"/>
      <c r="AE574" s="1077"/>
      <c r="AF574" s="1084" t="str">
        <f t="shared" si="70"/>
        <v/>
      </c>
      <c r="AG574" s="1082" t="str">
        <f t="shared" si="71"/>
        <v/>
      </c>
      <c r="AH574" s="1091"/>
      <c r="AI574" s="1087"/>
      <c r="AJ574" s="1084" t="str">
        <f t="shared" si="72"/>
        <v/>
      </c>
      <c r="AK574" s="1083" t="str">
        <f t="shared" si="73"/>
        <v/>
      </c>
      <c r="AL574" s="211">
        <v>870000</v>
      </c>
      <c r="AM574" s="211"/>
      <c r="AN574" s="211"/>
      <c r="AO574" s="211"/>
      <c r="AP574" s="211"/>
      <c r="AQ574" s="211"/>
      <c r="AR574" s="211"/>
      <c r="AS574" s="211"/>
      <c r="AT574" s="211"/>
      <c r="AU574" s="211"/>
      <c r="AV574" s="211"/>
      <c r="AW574" s="211"/>
      <c r="AX574" s="211"/>
      <c r="AY574" s="211"/>
      <c r="AZ574" s="211"/>
      <c r="BA574" s="211"/>
      <c r="BB574" s="211"/>
      <c r="BC574" s="211"/>
      <c r="BD574" s="333">
        <v>43088</v>
      </c>
      <c r="BE574" s="82">
        <f t="shared" si="74"/>
        <v>870000</v>
      </c>
      <c r="BF574" s="13"/>
      <c r="BG574" s="1"/>
    </row>
    <row r="575" spans="1:59" s="54" customFormat="1" ht="51" hidden="1" x14ac:dyDescent="0.3">
      <c r="A575" s="56"/>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197">
        <f>+'Base de Datos'!I575</f>
        <v>40817000</v>
      </c>
      <c r="G575" s="196">
        <f>+'Base de Datos'!M575</f>
        <v>43040</v>
      </c>
      <c r="H575" s="196">
        <f>+'Base de Datos'!N575</f>
        <v>43132</v>
      </c>
      <c r="I575" s="196"/>
      <c r="J575" s="158"/>
      <c r="K575" s="333"/>
      <c r="L575" s="211"/>
      <c r="M575" s="336"/>
      <c r="N575" s="158"/>
      <c r="O575" s="333"/>
      <c r="P575" s="158"/>
      <c r="Q575" s="338"/>
      <c r="R575" s="81">
        <f t="shared" si="67"/>
        <v>0</v>
      </c>
      <c r="S575" s="258" t="s">
        <v>381</v>
      </c>
      <c r="T575" s="333">
        <v>43160</v>
      </c>
      <c r="U575" s="158"/>
      <c r="V575" s="333"/>
      <c r="W575" s="158"/>
      <c r="X575" s="333"/>
      <c r="Y575" s="158"/>
      <c r="Z575" s="333"/>
      <c r="AA575" s="326" t="s">
        <v>381</v>
      </c>
      <c r="AB575" s="1004">
        <f t="shared" si="68"/>
        <v>43160</v>
      </c>
      <c r="AC575" s="1082" t="str">
        <f t="shared" si="69"/>
        <v/>
      </c>
      <c r="AD575" s="1077"/>
      <c r="AE575" s="1077"/>
      <c r="AF575" s="1084" t="str">
        <f t="shared" si="70"/>
        <v/>
      </c>
      <c r="AG575" s="1082" t="str">
        <f t="shared" si="71"/>
        <v/>
      </c>
      <c r="AH575" s="1091"/>
      <c r="AI575" s="1087"/>
      <c r="AJ575" s="1084" t="str">
        <f t="shared" si="72"/>
        <v/>
      </c>
      <c r="AK575" s="1083" t="str">
        <f t="shared" si="73"/>
        <v/>
      </c>
      <c r="AL575" s="211">
        <v>8613400</v>
      </c>
      <c r="AM575" s="211"/>
      <c r="AN575" s="211"/>
      <c r="AO575" s="211"/>
      <c r="AP575" s="211"/>
      <c r="AQ575" s="211"/>
      <c r="AR575" s="211"/>
      <c r="AS575" s="211"/>
      <c r="AT575" s="211"/>
      <c r="AU575" s="211"/>
      <c r="AV575" s="211"/>
      <c r="AW575" s="211"/>
      <c r="AX575" s="211"/>
      <c r="AY575" s="211"/>
      <c r="AZ575" s="211"/>
      <c r="BA575" s="211"/>
      <c r="BB575" s="211"/>
      <c r="BC575" s="211"/>
      <c r="BD575" s="333">
        <v>43059</v>
      </c>
      <c r="BE575" s="82">
        <f t="shared" si="74"/>
        <v>8613400</v>
      </c>
      <c r="BF575" s="13"/>
      <c r="BG575" s="1"/>
    </row>
    <row r="576" spans="1:59" s="54" customFormat="1" ht="51" hidden="1" x14ac:dyDescent="0.3">
      <c r="A576" s="56"/>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197">
        <f>+'Base de Datos'!I576</f>
        <v>38989000</v>
      </c>
      <c r="G576" s="196">
        <f>+'Base de Datos'!M576</f>
        <v>43048</v>
      </c>
      <c r="H576" s="196">
        <f>+'Base de Datos'!N576</f>
        <v>43259</v>
      </c>
      <c r="I576" s="196"/>
      <c r="J576" s="158"/>
      <c r="K576" s="333"/>
      <c r="L576" s="211"/>
      <c r="M576" s="336"/>
      <c r="N576" s="158"/>
      <c r="O576" s="333"/>
      <c r="P576" s="158"/>
      <c r="Q576" s="338"/>
      <c r="R576" s="81">
        <f t="shared" si="67"/>
        <v>0</v>
      </c>
      <c r="S576" s="820" t="s">
        <v>976</v>
      </c>
      <c r="T576" s="333">
        <v>43343</v>
      </c>
      <c r="U576" s="158"/>
      <c r="V576" s="333"/>
      <c r="W576" s="158"/>
      <c r="X576" s="333"/>
      <c r="Y576" s="158"/>
      <c r="Z576" s="333"/>
      <c r="AA576" s="820" t="s">
        <v>976</v>
      </c>
      <c r="AB576" s="1004">
        <f t="shared" si="68"/>
        <v>43343</v>
      </c>
      <c r="AC576" s="1082" t="str">
        <f t="shared" si="69"/>
        <v/>
      </c>
      <c r="AD576" s="1077"/>
      <c r="AE576" s="1077"/>
      <c r="AF576" s="1084" t="str">
        <f t="shared" si="70"/>
        <v/>
      </c>
      <c r="AG576" s="1082" t="str">
        <f t="shared" si="71"/>
        <v/>
      </c>
      <c r="AH576" s="1091"/>
      <c r="AI576" s="1087"/>
      <c r="AJ576" s="1084" t="str">
        <f t="shared" si="72"/>
        <v/>
      </c>
      <c r="AK576" s="1083" t="str">
        <f t="shared" si="73"/>
        <v/>
      </c>
      <c r="AL576" s="211">
        <v>1727098</v>
      </c>
      <c r="AM576" s="211">
        <v>1338500</v>
      </c>
      <c r="AN576" s="211">
        <v>1940225</v>
      </c>
      <c r="AO576" s="211">
        <v>2070446</v>
      </c>
      <c r="AP576" s="211">
        <v>1663131</v>
      </c>
      <c r="AQ576" s="211">
        <v>2212512</v>
      </c>
      <c r="AR576" s="211">
        <v>1671313</v>
      </c>
      <c r="AS576" s="211">
        <v>1777333</v>
      </c>
      <c r="AT576" s="211">
        <v>1607003</v>
      </c>
      <c r="AU576" s="211">
        <v>1823632</v>
      </c>
      <c r="AV576" s="211"/>
      <c r="AW576" s="211"/>
      <c r="AX576" s="211"/>
      <c r="AY576" s="211"/>
      <c r="AZ576" s="211"/>
      <c r="BA576" s="211"/>
      <c r="BB576" s="211"/>
      <c r="BC576" s="211"/>
      <c r="BD576" s="333">
        <v>43364</v>
      </c>
      <c r="BE576" s="82">
        <f t="shared" si="74"/>
        <v>17831193</v>
      </c>
      <c r="BF576" s="13"/>
      <c r="BG576" s="1"/>
    </row>
    <row r="577" spans="1:59" s="54" customFormat="1" ht="30.6" hidden="1" x14ac:dyDescent="0.3">
      <c r="A577" s="56"/>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197">
        <f>+'Base de Datos'!I577</f>
        <v>7000000</v>
      </c>
      <c r="G577" s="196">
        <f>+'Base de Datos'!M577</f>
        <v>43048</v>
      </c>
      <c r="H577" s="196">
        <f>+'Base de Datos'!N577</f>
        <v>43108</v>
      </c>
      <c r="I577" s="196"/>
      <c r="J577" s="158"/>
      <c r="K577" s="333"/>
      <c r="L577" s="211"/>
      <c r="M577" s="336"/>
      <c r="N577" s="158"/>
      <c r="O577" s="333"/>
      <c r="P577" s="158"/>
      <c r="Q577" s="338"/>
      <c r="R577" s="81">
        <f t="shared" ref="R577:R588" si="75">SUM(J577,L577,N577,P577)</f>
        <v>0</v>
      </c>
      <c r="S577" s="258"/>
      <c r="T577" s="333"/>
      <c r="U577" s="158"/>
      <c r="V577" s="333"/>
      <c r="W577" s="158"/>
      <c r="X577" s="333"/>
      <c r="Y577" s="158"/>
      <c r="Z577" s="333"/>
      <c r="AA577" s="326"/>
      <c r="AB577" s="1004" t="str">
        <f t="shared" si="68"/>
        <v/>
      </c>
      <c r="AC577" s="1082" t="str">
        <f t="shared" si="69"/>
        <v/>
      </c>
      <c r="AD577" s="1077"/>
      <c r="AE577" s="1077"/>
      <c r="AF577" s="1084" t="str">
        <f t="shared" si="70"/>
        <v/>
      </c>
      <c r="AG577" s="1082" t="str">
        <f t="shared" si="71"/>
        <v/>
      </c>
      <c r="AH577" s="1091"/>
      <c r="AI577" s="1087"/>
      <c r="AJ577" s="1084" t="str">
        <f t="shared" si="72"/>
        <v/>
      </c>
      <c r="AK577" s="1083" t="str">
        <f t="shared" si="73"/>
        <v/>
      </c>
      <c r="AL577" s="211">
        <v>2800000</v>
      </c>
      <c r="AM577" s="211">
        <v>4200000</v>
      </c>
      <c r="AN577" s="211"/>
      <c r="AO577" s="211"/>
      <c r="AP577" s="211"/>
      <c r="AQ577" s="211"/>
      <c r="AR577" s="211"/>
      <c r="AS577" s="211"/>
      <c r="AT577" s="211"/>
      <c r="AU577" s="211"/>
      <c r="AV577" s="211"/>
      <c r="AW577" s="211"/>
      <c r="AX577" s="211"/>
      <c r="AY577" s="211"/>
      <c r="AZ577" s="211"/>
      <c r="BA577" s="211"/>
      <c r="BB577" s="211"/>
      <c r="BC577" s="211"/>
      <c r="BD577" s="333">
        <v>43146</v>
      </c>
      <c r="BE577" s="82">
        <f t="shared" si="74"/>
        <v>7000000</v>
      </c>
      <c r="BF577" s="13"/>
      <c r="BG577" s="1"/>
    </row>
    <row r="578" spans="1:59" s="54" customFormat="1" ht="20.399999999999999" hidden="1" x14ac:dyDescent="0.3">
      <c r="A578" s="56"/>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197">
        <f>+'Base de Datos'!I578</f>
        <v>228000000</v>
      </c>
      <c r="G578" s="196">
        <f>+'Base de Datos'!M578</f>
        <v>43075</v>
      </c>
      <c r="H578" s="196">
        <f>+'Base de Datos'!N578</f>
        <v>43439</v>
      </c>
      <c r="I578" s="196"/>
      <c r="J578" s="158"/>
      <c r="K578" s="333"/>
      <c r="L578" s="211"/>
      <c r="M578" s="336"/>
      <c r="N578" s="158"/>
      <c r="O578" s="333"/>
      <c r="P578" s="158"/>
      <c r="Q578" s="338"/>
      <c r="R578" s="81">
        <f t="shared" si="75"/>
        <v>0</v>
      </c>
      <c r="S578" s="258"/>
      <c r="T578" s="333"/>
      <c r="U578" s="158"/>
      <c r="V578" s="333"/>
      <c r="W578" s="158"/>
      <c r="X578" s="333"/>
      <c r="Y578" s="158"/>
      <c r="Z578" s="333"/>
      <c r="AA578" s="326"/>
      <c r="AB578" s="1004" t="str">
        <f t="shared" si="68"/>
        <v/>
      </c>
      <c r="AC578" s="1082" t="str">
        <f t="shared" si="69"/>
        <v/>
      </c>
      <c r="AD578" s="1077"/>
      <c r="AE578" s="1077"/>
      <c r="AF578" s="1084" t="str">
        <f t="shared" si="70"/>
        <v/>
      </c>
      <c r="AG578" s="1082" t="str">
        <f t="shared" si="71"/>
        <v/>
      </c>
      <c r="AH578" s="1091"/>
      <c r="AI578" s="1087"/>
      <c r="AJ578" s="1084" t="str">
        <f t="shared" si="72"/>
        <v/>
      </c>
      <c r="AK578" s="1083" t="str">
        <f t="shared" si="73"/>
        <v/>
      </c>
      <c r="AL578" s="211">
        <v>38000000</v>
      </c>
      <c r="AM578" s="211">
        <v>38000000</v>
      </c>
      <c r="AN578" s="211">
        <v>38000000</v>
      </c>
      <c r="AO578" s="211">
        <v>38000000</v>
      </c>
      <c r="AP578" s="211">
        <v>38000000</v>
      </c>
      <c r="AQ578" s="211">
        <v>38000000</v>
      </c>
      <c r="AR578" s="211"/>
      <c r="AS578" s="211"/>
      <c r="AT578" s="211"/>
      <c r="AU578" s="211"/>
      <c r="AV578" s="211"/>
      <c r="AW578" s="211"/>
      <c r="AX578" s="211"/>
      <c r="AY578" s="211"/>
      <c r="AZ578" s="211"/>
      <c r="BA578" s="211"/>
      <c r="BB578" s="211"/>
      <c r="BC578" s="211"/>
      <c r="BD578" s="333">
        <v>43453</v>
      </c>
      <c r="BE578" s="82">
        <f t="shared" si="74"/>
        <v>228000000</v>
      </c>
      <c r="BF578" s="13"/>
      <c r="BG578" s="1"/>
    </row>
    <row r="579" spans="1:59" s="54" customFormat="1" ht="40.799999999999997" hidden="1" x14ac:dyDescent="0.3">
      <c r="A579" s="56"/>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197">
        <f>+'Base de Datos'!I579</f>
        <v>79741000</v>
      </c>
      <c r="G579" s="196">
        <f>+'Base de Datos'!M579</f>
        <v>43059</v>
      </c>
      <c r="H579" s="196">
        <f>+'Base de Datos'!N579</f>
        <v>43286</v>
      </c>
      <c r="I579" s="196"/>
      <c r="J579" s="158"/>
      <c r="K579" s="333"/>
      <c r="L579" s="211"/>
      <c r="M579" s="336"/>
      <c r="N579" s="158"/>
      <c r="O579" s="333"/>
      <c r="P579" s="158"/>
      <c r="Q579" s="338"/>
      <c r="R579" s="81">
        <f t="shared" si="75"/>
        <v>0</v>
      </c>
      <c r="S579" s="258"/>
      <c r="T579" s="333"/>
      <c r="U579" s="158"/>
      <c r="V579" s="333"/>
      <c r="W579" s="158"/>
      <c r="X579" s="333"/>
      <c r="Y579" s="158"/>
      <c r="Z579" s="333"/>
      <c r="AA579" s="326"/>
      <c r="AB579" s="1004" t="str">
        <f t="shared" si="68"/>
        <v/>
      </c>
      <c r="AC579" s="1082" t="str">
        <f t="shared" si="69"/>
        <v/>
      </c>
      <c r="AD579" s="1077"/>
      <c r="AE579" s="1077"/>
      <c r="AF579" s="1084" t="str">
        <f t="shared" si="70"/>
        <v/>
      </c>
      <c r="AG579" s="1082" t="str">
        <f t="shared" si="71"/>
        <v/>
      </c>
      <c r="AH579" s="1091"/>
      <c r="AI579" s="1087"/>
      <c r="AJ579" s="1084" t="str">
        <f t="shared" si="72"/>
        <v/>
      </c>
      <c r="AK579" s="1083" t="str">
        <f t="shared" si="73"/>
        <v/>
      </c>
      <c r="AL579" s="211">
        <v>14178779</v>
      </c>
      <c r="AM579" s="211">
        <v>8312278</v>
      </c>
      <c r="AN579" s="211">
        <v>3007467</v>
      </c>
      <c r="AO579" s="211">
        <v>16075982</v>
      </c>
      <c r="AP579" s="211">
        <v>38166493</v>
      </c>
      <c r="AQ579" s="211"/>
      <c r="AR579" s="211"/>
      <c r="AS579" s="211"/>
      <c r="AT579" s="211"/>
      <c r="AU579" s="211"/>
      <c r="AV579" s="211"/>
      <c r="AW579" s="211"/>
      <c r="AX579" s="211"/>
      <c r="AY579" s="211"/>
      <c r="AZ579" s="211"/>
      <c r="BA579" s="211"/>
      <c r="BB579" s="211"/>
      <c r="BC579" s="211"/>
      <c r="BD579" s="333">
        <v>43350</v>
      </c>
      <c r="BE579" s="82">
        <f t="shared" si="74"/>
        <v>79740999</v>
      </c>
      <c r="BF579" s="13"/>
      <c r="BG579" s="1"/>
    </row>
    <row r="580" spans="1:59" s="54" customFormat="1" ht="51" hidden="1" x14ac:dyDescent="0.3">
      <c r="A580" s="56"/>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197">
        <f>+'Base de Datos'!I580</f>
        <v>2840000000</v>
      </c>
      <c r="G580" s="196">
        <f>+'Base de Datos'!M580</f>
        <v>43101</v>
      </c>
      <c r="H580" s="196">
        <f>+'Base de Datos'!N580</f>
        <v>43312</v>
      </c>
      <c r="I580" s="196"/>
      <c r="J580" s="158"/>
      <c r="K580" s="333"/>
      <c r="L580" s="211"/>
      <c r="M580" s="336"/>
      <c r="N580" s="158"/>
      <c r="O580" s="333"/>
      <c r="P580" s="158"/>
      <c r="Q580" s="338"/>
      <c r="R580" s="81">
        <f t="shared" si="75"/>
        <v>0</v>
      </c>
      <c r="S580" s="258"/>
      <c r="T580" s="333"/>
      <c r="U580" s="158"/>
      <c r="V580" s="333"/>
      <c r="W580" s="158"/>
      <c r="X580" s="333"/>
      <c r="Y580" s="158"/>
      <c r="Z580" s="333"/>
      <c r="AA580" s="326"/>
      <c r="AB580" s="1004" t="str">
        <f t="shared" si="68"/>
        <v/>
      </c>
      <c r="AC580" s="1082" t="str">
        <f t="shared" si="69"/>
        <v/>
      </c>
      <c r="AD580" s="1077"/>
      <c r="AE580" s="1077"/>
      <c r="AF580" s="1084" t="str">
        <f t="shared" si="70"/>
        <v/>
      </c>
      <c r="AG580" s="1082" t="str">
        <f t="shared" si="71"/>
        <v/>
      </c>
      <c r="AH580" s="1091"/>
      <c r="AI580" s="1087"/>
      <c r="AJ580" s="1084" t="str">
        <f t="shared" si="72"/>
        <v/>
      </c>
      <c r="AK580" s="1083" t="str">
        <f t="shared" si="73"/>
        <v/>
      </c>
      <c r="AL580" s="211">
        <v>1136000000</v>
      </c>
      <c r="AM580" s="211">
        <v>568000000</v>
      </c>
      <c r="AN580" s="211">
        <v>568000000</v>
      </c>
      <c r="AO580" s="211">
        <v>520222710</v>
      </c>
      <c r="AP580" s="211"/>
      <c r="AQ580" s="211"/>
      <c r="AR580" s="211"/>
      <c r="AS580" s="211"/>
      <c r="AT580" s="211"/>
      <c r="AU580" s="211"/>
      <c r="AV580" s="211"/>
      <c r="AW580" s="211"/>
      <c r="AX580" s="211"/>
      <c r="AY580" s="211"/>
      <c r="AZ580" s="211"/>
      <c r="BA580" s="211"/>
      <c r="BB580" s="211"/>
      <c r="BC580" s="211"/>
      <c r="BD580" s="333">
        <v>43357</v>
      </c>
      <c r="BE580" s="82">
        <f t="shared" si="74"/>
        <v>2792222710</v>
      </c>
      <c r="BF580" s="13"/>
      <c r="BG580" s="1"/>
    </row>
    <row r="581" spans="1:59" s="54" customFormat="1" ht="30.6" hidden="1" x14ac:dyDescent="0.3">
      <c r="A581" s="56"/>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197">
        <f>+'Base de Datos'!I581</f>
        <v>191000000</v>
      </c>
      <c r="G581" s="196">
        <f>+'Base de Datos'!M581</f>
        <v>43061</v>
      </c>
      <c r="H581" s="196">
        <f>+'Base de Datos'!N581</f>
        <v>43425</v>
      </c>
      <c r="I581" s="196"/>
      <c r="J581" s="158"/>
      <c r="K581" s="333"/>
      <c r="L581" s="211"/>
      <c r="M581" s="336"/>
      <c r="N581" s="158"/>
      <c r="O581" s="333"/>
      <c r="P581" s="158"/>
      <c r="Q581" s="338"/>
      <c r="R581" s="81">
        <f t="shared" si="75"/>
        <v>0</v>
      </c>
      <c r="S581" s="258" t="s">
        <v>1854</v>
      </c>
      <c r="T581" s="333">
        <v>43667</v>
      </c>
      <c r="U581" s="158" t="s">
        <v>544</v>
      </c>
      <c r="V581" s="333">
        <v>43820</v>
      </c>
      <c r="W581" s="157" t="s">
        <v>5548</v>
      </c>
      <c r="X581" s="333">
        <v>43936</v>
      </c>
      <c r="Y581" s="158"/>
      <c r="Z581" s="333"/>
      <c r="AA581" s="820" t="s">
        <v>5549</v>
      </c>
      <c r="AB581" s="1004">
        <f t="shared" si="68"/>
        <v>43936</v>
      </c>
      <c r="AC581" s="1082" t="str">
        <f t="shared" si="69"/>
        <v/>
      </c>
      <c r="AD581" s="1077"/>
      <c r="AE581" s="1077"/>
      <c r="AF581" s="1084" t="str">
        <f t="shared" si="70"/>
        <v/>
      </c>
      <c r="AG581" s="1082" t="str">
        <f t="shared" si="71"/>
        <v/>
      </c>
      <c r="AH581" s="1091"/>
      <c r="AI581" s="1087"/>
      <c r="AJ581" s="1084" t="str">
        <f t="shared" si="72"/>
        <v/>
      </c>
      <c r="AK581" s="1083" t="str">
        <f t="shared" si="73"/>
        <v/>
      </c>
      <c r="AL581" s="211">
        <v>191000000</v>
      </c>
      <c r="AM581" s="211"/>
      <c r="AN581" s="211"/>
      <c r="AO581" s="211"/>
      <c r="AP581" s="211"/>
      <c r="AQ581" s="211"/>
      <c r="AR581" s="211"/>
      <c r="AS581" s="211"/>
      <c r="AT581" s="211"/>
      <c r="AU581" s="211"/>
      <c r="AV581" s="211"/>
      <c r="AW581" s="211"/>
      <c r="AX581" s="211"/>
      <c r="AY581" s="211"/>
      <c r="AZ581" s="211"/>
      <c r="BA581" s="211"/>
      <c r="BB581" s="211"/>
      <c r="BC581" s="211"/>
      <c r="BD581" s="333"/>
      <c r="BE581" s="82">
        <f t="shared" si="74"/>
        <v>191000000</v>
      </c>
      <c r="BF581" s="13"/>
      <c r="BG581" s="1"/>
    </row>
    <row r="582" spans="1:59" s="54" customFormat="1" ht="30.6" hidden="1" x14ac:dyDescent="0.3">
      <c r="A582" s="56"/>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197">
        <f>+'Base de Datos'!I582</f>
        <v>68129166</v>
      </c>
      <c r="G582" s="196">
        <f>+'Base de Datos'!M582</f>
        <v>43053</v>
      </c>
      <c r="H582" s="196">
        <f>+'Base de Datos'!N582</f>
        <v>43234</v>
      </c>
      <c r="I582" s="196"/>
      <c r="J582" s="158">
        <v>22709722</v>
      </c>
      <c r="K582" s="333">
        <v>43228</v>
      </c>
      <c r="L582" s="211"/>
      <c r="M582" s="336"/>
      <c r="N582" s="158"/>
      <c r="O582" s="333"/>
      <c r="P582" s="158"/>
      <c r="Q582" s="338"/>
      <c r="R582" s="81">
        <f t="shared" si="75"/>
        <v>22709722</v>
      </c>
      <c r="S582" s="258" t="s">
        <v>378</v>
      </c>
      <c r="T582" s="333">
        <v>43294</v>
      </c>
      <c r="U582" s="158"/>
      <c r="V582" s="333"/>
      <c r="W582" s="158"/>
      <c r="X582" s="333"/>
      <c r="Y582" s="158"/>
      <c r="Z582" s="333"/>
      <c r="AA582" s="326" t="s">
        <v>378</v>
      </c>
      <c r="AB582" s="1004">
        <f t="shared" si="68"/>
        <v>43294</v>
      </c>
      <c r="AC582" s="1082" t="str">
        <f t="shared" si="69"/>
        <v/>
      </c>
      <c r="AD582" s="1077"/>
      <c r="AE582" s="1077"/>
      <c r="AF582" s="1084" t="str">
        <f t="shared" si="70"/>
        <v/>
      </c>
      <c r="AG582" s="1082" t="str">
        <f t="shared" si="71"/>
        <v/>
      </c>
      <c r="AH582" s="1091"/>
      <c r="AI582" s="1087"/>
      <c r="AJ582" s="1084" t="str">
        <f t="shared" si="72"/>
        <v/>
      </c>
      <c r="AK582" s="1083" t="str">
        <f t="shared" si="73"/>
        <v/>
      </c>
      <c r="AL582" s="211">
        <v>11354861</v>
      </c>
      <c r="AM582" s="211">
        <v>11354860</v>
      </c>
      <c r="AN582" s="211">
        <v>11354860</v>
      </c>
      <c r="AO582" s="211">
        <v>11354861</v>
      </c>
      <c r="AP582" s="211">
        <v>11354860</v>
      </c>
      <c r="AQ582" s="211">
        <v>11354860</v>
      </c>
      <c r="AR582" s="211">
        <v>11354861</v>
      </c>
      <c r="AS582" s="211">
        <v>11354861</v>
      </c>
      <c r="AT582" s="211"/>
      <c r="AU582" s="211"/>
      <c r="AV582" s="211"/>
      <c r="AW582" s="211"/>
      <c r="AX582" s="211"/>
      <c r="AY582" s="211"/>
      <c r="AZ582" s="211"/>
      <c r="BA582" s="211"/>
      <c r="BB582" s="211"/>
      <c r="BC582" s="211"/>
      <c r="BD582" s="333">
        <v>43340</v>
      </c>
      <c r="BE582" s="82">
        <f t="shared" si="74"/>
        <v>90838884</v>
      </c>
      <c r="BF582" s="13"/>
      <c r="BG582" s="1"/>
    </row>
    <row r="583" spans="1:59" s="54" customFormat="1" ht="20.399999999999999" hidden="1" x14ac:dyDescent="0.3">
      <c r="A583" s="56"/>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197">
        <f>+'Base de Datos'!I583</f>
        <v>1380207</v>
      </c>
      <c r="G583" s="196">
        <f>+'Base de Datos'!M583</f>
        <v>43060</v>
      </c>
      <c r="H583" s="196">
        <f>+'Base de Datos'!N583</f>
        <v>43089</v>
      </c>
      <c r="I583" s="196"/>
      <c r="J583" s="158"/>
      <c r="K583" s="333"/>
      <c r="L583" s="211"/>
      <c r="M583" s="336"/>
      <c r="N583" s="158"/>
      <c r="O583" s="333"/>
      <c r="P583" s="158"/>
      <c r="Q583" s="338"/>
      <c r="R583" s="81">
        <f t="shared" si="75"/>
        <v>0</v>
      </c>
      <c r="S583" s="258"/>
      <c r="T583" s="333"/>
      <c r="U583" s="158"/>
      <c r="V583" s="333"/>
      <c r="W583" s="158"/>
      <c r="X583" s="333"/>
      <c r="Y583" s="158"/>
      <c r="Z583" s="333"/>
      <c r="AA583" s="326"/>
      <c r="AB583" s="1004" t="str">
        <f t="shared" ref="AB583:AB646" si="76">IF(ISNUMBER(T583),MAX(T583,V583,X583,Z583),"")</f>
        <v/>
      </c>
      <c r="AC583" s="1082" t="str">
        <f t="shared" ref="AC583:AC646" si="77">IF(ISNUMBER(AD583),ABS(AD583-AE583)+1,"")</f>
        <v/>
      </c>
      <c r="AD583" s="1077"/>
      <c r="AE583" s="1077"/>
      <c r="AF583" s="1084" t="str">
        <f t="shared" ref="AF583:AF646" si="78">IFERROR(IF(MAX(H583,I583)&lt;AE583,MAX(H583,I583)-AE583+AC583+AE583,MAX(H583,I583)+AC583),"")</f>
        <v/>
      </c>
      <c r="AG583" s="1082" t="str">
        <f t="shared" ref="AG583:AG646" si="79">IF(ISNUMBER(AH583),ABS(AH583-AI583)+1,"")</f>
        <v/>
      </c>
      <c r="AH583" s="1091"/>
      <c r="AI583" s="1087"/>
      <c r="AJ583" s="1084" t="str">
        <f t="shared" ref="AJ583:AJ646" si="80">IFERROR(IF(AF583&lt;AI583,((AF583-AI583)+AG583)+(AI583),AF583+AG583),"")</f>
        <v/>
      </c>
      <c r="AK583" s="1083" t="str">
        <f t="shared" ref="AK583:AK646" si="81">IF(ISNUMBER(AF583),MAX(AB583,AF583,AJ583),"")</f>
        <v/>
      </c>
      <c r="AL583" s="211">
        <v>1380207</v>
      </c>
      <c r="AM583" s="211"/>
      <c r="AN583" s="211"/>
      <c r="AO583" s="211"/>
      <c r="AP583" s="211"/>
      <c r="AQ583" s="211"/>
      <c r="AR583" s="211"/>
      <c r="AS583" s="211"/>
      <c r="AT583" s="211"/>
      <c r="AU583" s="211"/>
      <c r="AV583" s="211"/>
      <c r="AW583" s="211"/>
      <c r="AX583" s="211"/>
      <c r="AY583" s="211"/>
      <c r="AZ583" s="211"/>
      <c r="BA583" s="211"/>
      <c r="BB583" s="211"/>
      <c r="BC583" s="211"/>
      <c r="BD583" s="333">
        <v>43136</v>
      </c>
      <c r="BE583" s="82">
        <f t="shared" si="74"/>
        <v>1380207</v>
      </c>
      <c r="BF583" s="13"/>
      <c r="BG583" s="1"/>
    </row>
    <row r="584" spans="1:59" s="54" customFormat="1" ht="30.6" hidden="1" x14ac:dyDescent="0.3">
      <c r="A584" s="56"/>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197">
        <f>+'Base de Datos'!I584</f>
        <v>6512000</v>
      </c>
      <c r="G584" s="196">
        <f>+'Base de Datos'!M584</f>
        <v>43070</v>
      </c>
      <c r="H584" s="196">
        <f>+'Base de Datos'!N584</f>
        <v>43190</v>
      </c>
      <c r="I584" s="196"/>
      <c r="J584" s="158"/>
      <c r="K584" s="333"/>
      <c r="L584" s="211"/>
      <c r="M584" s="336"/>
      <c r="N584" s="158"/>
      <c r="O584" s="333"/>
      <c r="P584" s="158"/>
      <c r="Q584" s="338"/>
      <c r="R584" s="81">
        <f t="shared" si="75"/>
        <v>0</v>
      </c>
      <c r="S584" s="258" t="s">
        <v>378</v>
      </c>
      <c r="T584" s="333">
        <v>43251</v>
      </c>
      <c r="U584" s="158" t="s">
        <v>381</v>
      </c>
      <c r="V584" s="333">
        <v>43281</v>
      </c>
      <c r="W584" s="158"/>
      <c r="X584" s="333"/>
      <c r="Y584" s="158"/>
      <c r="Z584" s="333"/>
      <c r="AA584" s="326" t="s">
        <v>379</v>
      </c>
      <c r="AB584" s="1004">
        <f t="shared" si="76"/>
        <v>43281</v>
      </c>
      <c r="AC584" s="1082" t="str">
        <f t="shared" si="77"/>
        <v/>
      </c>
      <c r="AD584" s="1077"/>
      <c r="AE584" s="1077"/>
      <c r="AF584" s="1084" t="str">
        <f t="shared" si="78"/>
        <v/>
      </c>
      <c r="AG584" s="1082" t="str">
        <f t="shared" si="79"/>
        <v/>
      </c>
      <c r="AH584" s="1091"/>
      <c r="AI584" s="1087"/>
      <c r="AJ584" s="1084" t="str">
        <f t="shared" si="80"/>
        <v/>
      </c>
      <c r="AK584" s="1083" t="str">
        <f t="shared" si="81"/>
        <v/>
      </c>
      <c r="AL584" s="211">
        <v>300000</v>
      </c>
      <c r="AM584" s="211">
        <v>900000</v>
      </c>
      <c r="AN584" s="211">
        <v>1500000</v>
      </c>
      <c r="AO584" s="211">
        <v>300000</v>
      </c>
      <c r="AP584" s="211"/>
      <c r="AQ584" s="211"/>
      <c r="AR584" s="211"/>
      <c r="AS584" s="211"/>
      <c r="AT584" s="211"/>
      <c r="AU584" s="211"/>
      <c r="AV584" s="211"/>
      <c r="AW584" s="211"/>
      <c r="AX584" s="211"/>
      <c r="AY584" s="211"/>
      <c r="AZ584" s="211"/>
      <c r="BA584" s="211"/>
      <c r="BB584" s="211"/>
      <c r="BC584" s="211"/>
      <c r="BD584" s="333">
        <v>43311</v>
      </c>
      <c r="BE584" s="82">
        <f t="shared" si="74"/>
        <v>3000000</v>
      </c>
      <c r="BF584" s="13"/>
      <c r="BG584" s="1"/>
    </row>
    <row r="585" spans="1:59" s="54" customFormat="1" ht="30.6" hidden="1" x14ac:dyDescent="0.3">
      <c r="A585" s="56"/>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197">
        <f>+'Base de Datos'!I585</f>
        <v>405331000</v>
      </c>
      <c r="G585" s="196">
        <f>+'Base de Datos'!M585</f>
        <v>43070</v>
      </c>
      <c r="H585" s="196">
        <f>+'Base de Datos'!N585</f>
        <v>43312</v>
      </c>
      <c r="I585" s="196"/>
      <c r="J585" s="158"/>
      <c r="K585" s="333"/>
      <c r="L585" s="211"/>
      <c r="M585" s="336"/>
      <c r="N585" s="158"/>
      <c r="O585" s="333"/>
      <c r="P585" s="158"/>
      <c r="Q585" s="338"/>
      <c r="R585" s="81">
        <f t="shared" si="75"/>
        <v>0</v>
      </c>
      <c r="S585" s="258" t="s">
        <v>379</v>
      </c>
      <c r="T585" s="333">
        <v>43404</v>
      </c>
      <c r="U585" s="158"/>
      <c r="V585" s="333"/>
      <c r="W585" s="158"/>
      <c r="X585" s="333"/>
      <c r="Y585" s="158"/>
      <c r="Z585" s="333"/>
      <c r="AA585" s="326" t="s">
        <v>379</v>
      </c>
      <c r="AB585" s="1004">
        <f t="shared" si="76"/>
        <v>43404</v>
      </c>
      <c r="AC585" s="1082" t="str">
        <f t="shared" si="77"/>
        <v/>
      </c>
      <c r="AD585" s="1077"/>
      <c r="AE585" s="1077"/>
      <c r="AF585" s="1084" t="str">
        <f t="shared" si="78"/>
        <v/>
      </c>
      <c r="AG585" s="1082" t="str">
        <f t="shared" si="79"/>
        <v/>
      </c>
      <c r="AH585" s="1091"/>
      <c r="AI585" s="1087"/>
      <c r="AJ585" s="1084" t="str">
        <f t="shared" si="80"/>
        <v/>
      </c>
      <c r="AK585" s="1083" t="str">
        <f t="shared" si="81"/>
        <v/>
      </c>
      <c r="AL585" s="211">
        <v>60950000</v>
      </c>
      <c r="AM585" s="211">
        <v>15640000</v>
      </c>
      <c r="AN585" s="211">
        <v>77740000</v>
      </c>
      <c r="AO585" s="211">
        <v>78046000</v>
      </c>
      <c r="AP585" s="211"/>
      <c r="AQ585" s="211"/>
      <c r="AR585" s="211"/>
      <c r="AS585" s="211"/>
      <c r="AT585" s="211"/>
      <c r="AU585" s="211"/>
      <c r="AV585" s="211"/>
      <c r="AW585" s="211"/>
      <c r="AX585" s="211"/>
      <c r="AY585" s="211"/>
      <c r="AZ585" s="211"/>
      <c r="BA585" s="211"/>
      <c r="BB585" s="211"/>
      <c r="BC585" s="211"/>
      <c r="BD585" s="333">
        <v>43451</v>
      </c>
      <c r="BE585" s="82">
        <f t="shared" si="74"/>
        <v>232376000</v>
      </c>
      <c r="BF585" s="13"/>
      <c r="BG585" s="1"/>
    </row>
    <row r="586" spans="1:59" s="54" customFormat="1" ht="20.399999999999999" hidden="1" x14ac:dyDescent="0.3">
      <c r="A586" s="56"/>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197">
        <f>+'Base de Datos'!I586</f>
        <v>242533577</v>
      </c>
      <c r="G586" s="196">
        <f>+'Base de Datos'!M586</f>
        <v>43068</v>
      </c>
      <c r="H586" s="196">
        <f>+'Base de Datos'!N586</f>
        <v>43082</v>
      </c>
      <c r="I586" s="196"/>
      <c r="J586" s="158"/>
      <c r="K586" s="333"/>
      <c r="L586" s="211"/>
      <c r="M586" s="336"/>
      <c r="N586" s="158"/>
      <c r="O586" s="333"/>
      <c r="P586" s="158"/>
      <c r="Q586" s="338"/>
      <c r="R586" s="81">
        <f t="shared" si="75"/>
        <v>0</v>
      </c>
      <c r="S586" s="258"/>
      <c r="T586" s="333"/>
      <c r="U586" s="158"/>
      <c r="V586" s="333"/>
      <c r="W586" s="158"/>
      <c r="X586" s="333"/>
      <c r="Y586" s="158"/>
      <c r="Z586" s="333"/>
      <c r="AA586" s="326"/>
      <c r="AB586" s="1004" t="str">
        <f t="shared" si="76"/>
        <v/>
      </c>
      <c r="AC586" s="1082" t="str">
        <f t="shared" si="77"/>
        <v/>
      </c>
      <c r="AD586" s="1077"/>
      <c r="AE586" s="1077"/>
      <c r="AF586" s="1084" t="str">
        <f t="shared" si="78"/>
        <v/>
      </c>
      <c r="AG586" s="1082" t="str">
        <f t="shared" si="79"/>
        <v/>
      </c>
      <c r="AH586" s="1091"/>
      <c r="AI586" s="1087"/>
      <c r="AJ586" s="1084" t="str">
        <f t="shared" si="80"/>
        <v/>
      </c>
      <c r="AK586" s="1083" t="str">
        <f t="shared" si="81"/>
        <v/>
      </c>
      <c r="AL586" s="211">
        <v>242531342</v>
      </c>
      <c r="AM586" s="211"/>
      <c r="AN586" s="211"/>
      <c r="AO586" s="211"/>
      <c r="AP586" s="211"/>
      <c r="AQ586" s="211"/>
      <c r="AR586" s="211"/>
      <c r="AS586" s="211"/>
      <c r="AT586" s="211"/>
      <c r="AU586" s="211"/>
      <c r="AV586" s="211"/>
      <c r="AW586" s="211"/>
      <c r="AX586" s="211"/>
      <c r="AY586" s="211"/>
      <c r="AZ586" s="211"/>
      <c r="BA586" s="211"/>
      <c r="BB586" s="211"/>
      <c r="BC586" s="211"/>
      <c r="BD586" s="333">
        <v>43158</v>
      </c>
      <c r="BE586" s="82">
        <f t="shared" ref="BE586:BE649" si="82">SUM(AL586:BC586)</f>
        <v>242531342</v>
      </c>
      <c r="BF586" s="13"/>
      <c r="BG586" s="1"/>
    </row>
    <row r="587" spans="1:59" s="54" customFormat="1" ht="30.6" hidden="1" x14ac:dyDescent="0.3">
      <c r="A587" s="56"/>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197">
        <f>+'Base de Datos'!I587</f>
        <v>102161000</v>
      </c>
      <c r="G587" s="196">
        <f>+'Base de Datos'!M587</f>
        <v>43080</v>
      </c>
      <c r="H587" s="196">
        <f>+'Base de Datos'!N587</f>
        <v>43322</v>
      </c>
      <c r="I587" s="196"/>
      <c r="J587" s="158"/>
      <c r="K587" s="333"/>
      <c r="L587" s="211"/>
      <c r="M587" s="336"/>
      <c r="N587" s="158"/>
      <c r="O587" s="333"/>
      <c r="P587" s="158"/>
      <c r="Q587" s="338"/>
      <c r="R587" s="81">
        <f t="shared" si="75"/>
        <v>0</v>
      </c>
      <c r="S587" s="258" t="s">
        <v>379</v>
      </c>
      <c r="T587" s="333">
        <v>43414</v>
      </c>
      <c r="U587" s="158"/>
      <c r="V587" s="333"/>
      <c r="W587" s="158"/>
      <c r="X587" s="333"/>
      <c r="Y587" s="158"/>
      <c r="Z587" s="333"/>
      <c r="AA587" s="326" t="s">
        <v>379</v>
      </c>
      <c r="AB587" s="1004">
        <f t="shared" si="76"/>
        <v>43414</v>
      </c>
      <c r="AC587" s="1082" t="str">
        <f t="shared" si="77"/>
        <v/>
      </c>
      <c r="AD587" s="1077"/>
      <c r="AE587" s="1077"/>
      <c r="AF587" s="1084" t="str">
        <f t="shared" si="78"/>
        <v/>
      </c>
      <c r="AG587" s="1082" t="str">
        <f t="shared" si="79"/>
        <v/>
      </c>
      <c r="AH587" s="1091"/>
      <c r="AI587" s="1087"/>
      <c r="AJ587" s="1084" t="str">
        <f t="shared" si="80"/>
        <v/>
      </c>
      <c r="AK587" s="1083" t="str">
        <f t="shared" si="81"/>
        <v/>
      </c>
      <c r="AL587" s="211">
        <v>26958260</v>
      </c>
      <c r="AM587" s="211">
        <v>29805930</v>
      </c>
      <c r="AN587" s="211"/>
      <c r="AO587" s="211"/>
      <c r="AP587" s="211"/>
      <c r="AQ587" s="211"/>
      <c r="AR587" s="211"/>
      <c r="AS587" s="211"/>
      <c r="AT587" s="211"/>
      <c r="AU587" s="211"/>
      <c r="AV587" s="211"/>
      <c r="AW587" s="211"/>
      <c r="AX587" s="211"/>
      <c r="AY587" s="211"/>
      <c r="AZ587" s="211"/>
      <c r="BA587" s="211"/>
      <c r="BB587" s="211"/>
      <c r="BC587" s="211"/>
      <c r="BD587" s="333">
        <v>43451</v>
      </c>
      <c r="BE587" s="82">
        <f t="shared" si="82"/>
        <v>56764190</v>
      </c>
      <c r="BF587" s="13"/>
      <c r="BG587" s="1"/>
    </row>
    <row r="588" spans="1:59" s="54" customFormat="1" ht="21" hidden="1" customHeight="1" x14ac:dyDescent="0.3">
      <c r="A588" s="56"/>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197">
        <f>+'Base de Datos'!I588</f>
        <v>120149000</v>
      </c>
      <c r="G588" s="196">
        <f>+'Base de Datos'!M588</f>
        <v>43083</v>
      </c>
      <c r="H588" s="196">
        <f>+'Base de Datos'!N588</f>
        <v>43447</v>
      </c>
      <c r="I588" s="196"/>
      <c r="J588" s="158">
        <v>30037250</v>
      </c>
      <c r="K588" s="333">
        <v>43446</v>
      </c>
      <c r="L588" s="211"/>
      <c r="M588" s="336"/>
      <c r="N588" s="158"/>
      <c r="O588" s="333"/>
      <c r="P588" s="158"/>
      <c r="Q588" s="338"/>
      <c r="R588" s="81">
        <f t="shared" si="75"/>
        <v>30037250</v>
      </c>
      <c r="S588" s="258" t="s">
        <v>379</v>
      </c>
      <c r="T588" s="333">
        <v>43537</v>
      </c>
      <c r="U588" s="158"/>
      <c r="V588" s="333"/>
      <c r="W588" s="158"/>
      <c r="X588" s="333"/>
      <c r="Y588" s="158"/>
      <c r="Z588" s="333"/>
      <c r="AA588" s="326" t="s">
        <v>379</v>
      </c>
      <c r="AB588" s="1004">
        <f t="shared" si="76"/>
        <v>43537</v>
      </c>
      <c r="AC588" s="1082" t="str">
        <f t="shared" si="77"/>
        <v/>
      </c>
      <c r="AD588" s="1077"/>
      <c r="AE588" s="1077"/>
      <c r="AF588" s="1084" t="str">
        <f t="shared" si="78"/>
        <v/>
      </c>
      <c r="AG588" s="1082" t="str">
        <f t="shared" si="79"/>
        <v/>
      </c>
      <c r="AH588" s="1091"/>
      <c r="AI588" s="1087"/>
      <c r="AJ588" s="1084" t="str">
        <f t="shared" si="80"/>
        <v/>
      </c>
      <c r="AK588" s="1083" t="str">
        <f t="shared" si="81"/>
        <v/>
      </c>
      <c r="AL588" s="211">
        <v>32563747</v>
      </c>
      <c r="AM588" s="211">
        <v>32563747</v>
      </c>
      <c r="AN588" s="211">
        <v>32563747</v>
      </c>
      <c r="AO588" s="211">
        <v>2943822</v>
      </c>
      <c r="AP588" s="211">
        <v>30037250</v>
      </c>
      <c r="AQ588" s="211"/>
      <c r="AR588" s="211"/>
      <c r="AS588" s="211"/>
      <c r="AT588" s="211"/>
      <c r="AU588" s="211"/>
      <c r="AV588" s="211"/>
      <c r="AW588" s="211"/>
      <c r="AX588" s="211"/>
      <c r="AY588" s="211"/>
      <c r="AZ588" s="211"/>
      <c r="BA588" s="211"/>
      <c r="BB588" s="211"/>
      <c r="BC588" s="211"/>
      <c r="BD588" s="333">
        <v>43550</v>
      </c>
      <c r="BE588" s="82">
        <f t="shared" si="82"/>
        <v>130672313</v>
      </c>
      <c r="BF588" s="13"/>
      <c r="BG588" s="1"/>
    </row>
    <row r="589" spans="1:59" ht="30.6" hidden="1" x14ac:dyDescent="0.3">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197">
        <f>+'Base de Datos'!I589</f>
        <v>11637012</v>
      </c>
      <c r="G589" s="196">
        <f>+'Base de Datos'!M589</f>
        <v>43096</v>
      </c>
      <c r="H589" s="196">
        <f>+'Base de Datos'!N589</f>
        <v>43369</v>
      </c>
      <c r="I589" s="196"/>
      <c r="J589" s="158"/>
      <c r="K589" s="333"/>
      <c r="L589" s="211"/>
      <c r="M589" s="336"/>
      <c r="N589" s="158"/>
      <c r="O589" s="333"/>
      <c r="P589" s="158"/>
      <c r="Q589" s="338"/>
      <c r="R589" s="81">
        <f t="shared" ref="R589:R601" si="83">SUM(J589,L589,N589,P589)</f>
        <v>0</v>
      </c>
      <c r="S589" s="258"/>
      <c r="T589" s="333"/>
      <c r="U589" s="158"/>
      <c r="V589" s="333"/>
      <c r="W589" s="158"/>
      <c r="X589" s="333"/>
      <c r="Y589" s="158"/>
      <c r="Z589" s="333"/>
      <c r="AA589" s="326"/>
      <c r="AB589" s="1004" t="str">
        <f t="shared" si="76"/>
        <v/>
      </c>
      <c r="AC589" s="1082" t="str">
        <f t="shared" si="77"/>
        <v/>
      </c>
      <c r="AD589" s="1077"/>
      <c r="AE589" s="1077"/>
      <c r="AF589" s="1084" t="str">
        <f t="shared" si="78"/>
        <v/>
      </c>
      <c r="AG589" s="1082" t="str">
        <f t="shared" si="79"/>
        <v/>
      </c>
      <c r="AH589" s="1091"/>
      <c r="AI589" s="1087"/>
      <c r="AJ589" s="1084" t="str">
        <f t="shared" si="80"/>
        <v/>
      </c>
      <c r="AK589" s="1083" t="str">
        <f t="shared" si="81"/>
        <v/>
      </c>
      <c r="AL589" s="211">
        <v>3488701</v>
      </c>
      <c r="AM589" s="211">
        <v>6864623</v>
      </c>
      <c r="AN589" s="211">
        <v>1283688</v>
      </c>
      <c r="AO589" s="211"/>
      <c r="AP589" s="211"/>
      <c r="AQ589" s="211"/>
      <c r="AR589" s="211"/>
      <c r="AS589" s="211"/>
      <c r="AT589" s="211"/>
      <c r="AU589" s="211"/>
      <c r="AV589" s="211"/>
      <c r="AW589" s="211"/>
      <c r="AX589" s="211"/>
      <c r="AY589" s="211"/>
      <c r="AZ589" s="211"/>
      <c r="BA589" s="211"/>
      <c r="BB589" s="211"/>
      <c r="BC589" s="211"/>
      <c r="BD589" s="333">
        <v>43455</v>
      </c>
      <c r="BE589" s="82">
        <f t="shared" si="82"/>
        <v>11637012</v>
      </c>
    </row>
    <row r="590" spans="1:59" ht="30.6" hidden="1" x14ac:dyDescent="0.3">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197">
        <f>+'Base de Datos'!I590</f>
        <v>571200</v>
      </c>
      <c r="G590" s="196">
        <f>+'Base de Datos'!M590</f>
        <v>43088</v>
      </c>
      <c r="H590" s="196">
        <f>+'Base de Datos'!N590</f>
        <v>43269</v>
      </c>
      <c r="I590" s="196"/>
      <c r="J590" s="158"/>
      <c r="K590" s="333"/>
      <c r="L590" s="211"/>
      <c r="M590" s="336"/>
      <c r="N590" s="158"/>
      <c r="O590" s="333"/>
      <c r="P590" s="158"/>
      <c r="Q590" s="338"/>
      <c r="R590" s="81">
        <f t="shared" si="83"/>
        <v>0</v>
      </c>
      <c r="S590" s="258"/>
      <c r="T590" s="333"/>
      <c r="U590" s="158"/>
      <c r="V590" s="333"/>
      <c r="W590" s="158"/>
      <c r="X590" s="333"/>
      <c r="Y590" s="158"/>
      <c r="Z590" s="333"/>
      <c r="AA590" s="326"/>
      <c r="AB590" s="1004" t="str">
        <f t="shared" si="76"/>
        <v/>
      </c>
      <c r="AC590" s="1082" t="str">
        <f t="shared" si="77"/>
        <v/>
      </c>
      <c r="AD590" s="1077"/>
      <c r="AE590" s="1077"/>
      <c r="AF590" s="1084" t="str">
        <f t="shared" si="78"/>
        <v/>
      </c>
      <c r="AG590" s="1082" t="str">
        <f t="shared" si="79"/>
        <v/>
      </c>
      <c r="AH590" s="1091"/>
      <c r="AI590" s="1087"/>
      <c r="AJ590" s="1084" t="str">
        <f t="shared" si="80"/>
        <v/>
      </c>
      <c r="AK590" s="1083" t="str">
        <f t="shared" si="81"/>
        <v/>
      </c>
      <c r="AL590" s="211"/>
      <c r="AM590" s="211"/>
      <c r="AN590" s="211"/>
      <c r="AO590" s="211"/>
      <c r="AP590" s="211"/>
      <c r="AQ590" s="211"/>
      <c r="AR590" s="211"/>
      <c r="AS590" s="211"/>
      <c r="AT590" s="211"/>
      <c r="AU590" s="211"/>
      <c r="AV590" s="211"/>
      <c r="AW590" s="211"/>
      <c r="AX590" s="211"/>
      <c r="AY590" s="211"/>
      <c r="AZ590" s="211"/>
      <c r="BA590" s="211"/>
      <c r="BB590" s="211"/>
      <c r="BC590" s="211"/>
      <c r="BD590" s="333"/>
      <c r="BE590" s="82">
        <f t="shared" si="82"/>
        <v>0</v>
      </c>
    </row>
    <row r="591" spans="1:59" ht="40.799999999999997" hidden="1" x14ac:dyDescent="0.3">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197">
        <f>+'Base de Datos'!I591</f>
        <v>12500004</v>
      </c>
      <c r="G591" s="196">
        <f>+'Base de Datos'!M591</f>
        <v>43096</v>
      </c>
      <c r="H591" s="196">
        <f>+'Base de Datos'!N591</f>
        <v>43460</v>
      </c>
      <c r="I591" s="196"/>
      <c r="J591" s="158">
        <v>3125001</v>
      </c>
      <c r="K591" s="333">
        <v>43460</v>
      </c>
      <c r="L591" s="211"/>
      <c r="M591" s="336"/>
      <c r="N591" s="158"/>
      <c r="O591" s="333"/>
      <c r="P591" s="158"/>
      <c r="Q591" s="338"/>
      <c r="R591" s="81">
        <f t="shared" si="83"/>
        <v>3125001</v>
      </c>
      <c r="S591" s="258" t="s">
        <v>379</v>
      </c>
      <c r="T591" s="333">
        <v>43550</v>
      </c>
      <c r="U591" s="158"/>
      <c r="V591" s="333"/>
      <c r="W591" s="158"/>
      <c r="X591" s="333"/>
      <c r="Y591" s="158"/>
      <c r="Z591" s="333"/>
      <c r="AA591" s="326" t="s">
        <v>379</v>
      </c>
      <c r="AB591" s="1004">
        <f t="shared" si="76"/>
        <v>43550</v>
      </c>
      <c r="AC591" s="1082" t="str">
        <f t="shared" si="77"/>
        <v/>
      </c>
      <c r="AD591" s="1077"/>
      <c r="AE591" s="1077"/>
      <c r="AF591" s="1084" t="str">
        <f t="shared" si="78"/>
        <v/>
      </c>
      <c r="AG591" s="1082" t="str">
        <f t="shared" si="79"/>
        <v/>
      </c>
      <c r="AH591" s="1091"/>
      <c r="AI591" s="1087"/>
      <c r="AJ591" s="1084" t="str">
        <f t="shared" si="80"/>
        <v/>
      </c>
      <c r="AK591" s="1083" t="str">
        <f t="shared" si="81"/>
        <v/>
      </c>
      <c r="AL591" s="211">
        <v>1041667</v>
      </c>
      <c r="AM591" s="211">
        <v>1041667</v>
      </c>
      <c r="AN591" s="211">
        <v>1041667</v>
      </c>
      <c r="AO591" s="211">
        <v>1041667</v>
      </c>
      <c r="AP591" s="211">
        <v>1041667</v>
      </c>
      <c r="AQ591" s="211">
        <v>1041667</v>
      </c>
      <c r="AR591" s="211">
        <v>1041667</v>
      </c>
      <c r="AS591" s="211">
        <v>1041667</v>
      </c>
      <c r="AT591" s="211">
        <v>1041667</v>
      </c>
      <c r="AU591" s="211">
        <v>1041667</v>
      </c>
      <c r="AV591" s="211">
        <v>1041667</v>
      </c>
      <c r="AW591" s="211">
        <v>1041667</v>
      </c>
      <c r="AX591" s="211">
        <v>1041667</v>
      </c>
      <c r="AY591" s="211">
        <v>1041667</v>
      </c>
      <c r="AZ591" s="211">
        <v>1041667</v>
      </c>
      <c r="BA591" s="211"/>
      <c r="BB591" s="211"/>
      <c r="BC591" s="211"/>
      <c r="BD591" s="333">
        <v>43585</v>
      </c>
      <c r="BE591" s="82">
        <f t="shared" si="82"/>
        <v>15625005</v>
      </c>
    </row>
    <row r="592" spans="1:59" ht="20.399999999999999" hidden="1" x14ac:dyDescent="0.3">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197">
        <f>+'Base de Datos'!I592</f>
        <v>16300000</v>
      </c>
      <c r="G592" s="196">
        <f>+'Base de Datos'!M592</f>
        <v>43091</v>
      </c>
      <c r="H592" s="196">
        <f>+'Base de Datos'!N592</f>
        <v>43152</v>
      </c>
      <c r="I592" s="196"/>
      <c r="J592" s="158"/>
      <c r="K592" s="333"/>
      <c r="L592" s="211"/>
      <c r="M592" s="336"/>
      <c r="N592" s="158"/>
      <c r="O592" s="333"/>
      <c r="P592" s="158"/>
      <c r="Q592" s="338"/>
      <c r="R592" s="81">
        <f t="shared" si="83"/>
        <v>0</v>
      </c>
      <c r="S592" s="258"/>
      <c r="T592" s="333"/>
      <c r="U592" s="158"/>
      <c r="V592" s="333"/>
      <c r="W592" s="158"/>
      <c r="X592" s="333"/>
      <c r="Y592" s="158"/>
      <c r="Z592" s="333"/>
      <c r="AA592" s="326"/>
      <c r="AB592" s="1004" t="str">
        <f t="shared" si="76"/>
        <v/>
      </c>
      <c r="AC592" s="1082" t="str">
        <f t="shared" si="77"/>
        <v/>
      </c>
      <c r="AD592" s="1077"/>
      <c r="AE592" s="1077"/>
      <c r="AF592" s="1084" t="str">
        <f t="shared" si="78"/>
        <v/>
      </c>
      <c r="AG592" s="1082" t="str">
        <f t="shared" si="79"/>
        <v/>
      </c>
      <c r="AH592" s="1091"/>
      <c r="AI592" s="1087"/>
      <c r="AJ592" s="1084" t="str">
        <f t="shared" si="80"/>
        <v/>
      </c>
      <c r="AK592" s="1083" t="str">
        <f t="shared" si="81"/>
        <v/>
      </c>
      <c r="AL592" s="211"/>
      <c r="AM592" s="211">
        <v>16300000</v>
      </c>
      <c r="AN592" s="211"/>
      <c r="AO592" s="211"/>
      <c r="AP592" s="211"/>
      <c r="AQ592" s="211"/>
      <c r="AR592" s="211"/>
      <c r="AS592" s="211"/>
      <c r="AT592" s="211"/>
      <c r="AU592" s="211"/>
      <c r="AV592" s="211"/>
      <c r="AW592" s="211"/>
      <c r="AX592" s="211"/>
      <c r="AY592" s="211"/>
      <c r="AZ592" s="211"/>
      <c r="BA592" s="211"/>
      <c r="BB592" s="211"/>
      <c r="BC592" s="211"/>
      <c r="BD592" s="333">
        <v>43124</v>
      </c>
      <c r="BE592" s="82">
        <f t="shared" si="82"/>
        <v>16300000</v>
      </c>
    </row>
    <row r="593" spans="2:57" ht="20.399999999999999" hidden="1" x14ac:dyDescent="0.3">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197">
        <f>+'Base de Datos'!I593</f>
        <v>35410320</v>
      </c>
      <c r="G593" s="196">
        <f>+'Base de Datos'!M593</f>
        <v>43091</v>
      </c>
      <c r="H593" s="196">
        <f>+'Base de Datos'!N593</f>
        <v>43211</v>
      </c>
      <c r="I593" s="196"/>
      <c r="J593" s="158"/>
      <c r="K593" s="333"/>
      <c r="L593" s="211"/>
      <c r="M593" s="336"/>
      <c r="N593" s="158"/>
      <c r="O593" s="333"/>
      <c r="P593" s="158"/>
      <c r="Q593" s="338"/>
      <c r="R593" s="81">
        <f t="shared" si="83"/>
        <v>0</v>
      </c>
      <c r="S593" s="258"/>
      <c r="T593" s="333"/>
      <c r="U593" s="158"/>
      <c r="V593" s="333"/>
      <c r="W593" s="158"/>
      <c r="X593" s="333"/>
      <c r="Y593" s="158"/>
      <c r="Z593" s="333"/>
      <c r="AA593" s="326"/>
      <c r="AB593" s="1004" t="str">
        <f t="shared" si="76"/>
        <v/>
      </c>
      <c r="AC593" s="1082" t="str">
        <f t="shared" si="77"/>
        <v/>
      </c>
      <c r="AD593" s="1077"/>
      <c r="AE593" s="1077"/>
      <c r="AF593" s="1084" t="str">
        <f t="shared" si="78"/>
        <v/>
      </c>
      <c r="AG593" s="1082" t="str">
        <f t="shared" si="79"/>
        <v/>
      </c>
      <c r="AH593" s="1091"/>
      <c r="AI593" s="1087"/>
      <c r="AJ593" s="1084" t="str">
        <f t="shared" si="80"/>
        <v/>
      </c>
      <c r="AK593" s="1083" t="str">
        <f t="shared" si="81"/>
        <v/>
      </c>
      <c r="AL593" s="211">
        <v>30535881</v>
      </c>
      <c r="AM593" s="211"/>
      <c r="AN593" s="211"/>
      <c r="AO593" s="211"/>
      <c r="AP593" s="211"/>
      <c r="AQ593" s="211"/>
      <c r="AR593" s="211"/>
      <c r="AS593" s="211">
        <v>590172</v>
      </c>
      <c r="AT593" s="211"/>
      <c r="AU593" s="211"/>
      <c r="AV593" s="211"/>
      <c r="AW593" s="211"/>
      <c r="AX593" s="211"/>
      <c r="AY593" s="211"/>
      <c r="AZ593" s="211"/>
      <c r="BA593" s="211"/>
      <c r="BB593" s="211"/>
      <c r="BC593" s="211"/>
      <c r="BD593" s="333">
        <v>43231</v>
      </c>
      <c r="BE593" s="82">
        <f t="shared" si="82"/>
        <v>31126053</v>
      </c>
    </row>
    <row r="594" spans="2:57" ht="40.799999999999997" hidden="1" x14ac:dyDescent="0.3">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197">
        <f>+'Base de Datos'!I594</f>
        <v>165980000</v>
      </c>
      <c r="G594" s="196">
        <f>+'Base de Datos'!M594</f>
        <v>43092</v>
      </c>
      <c r="H594" s="196">
        <f>+'Base de Datos'!N594</f>
        <v>43402</v>
      </c>
      <c r="I594" s="196"/>
      <c r="J594" s="158"/>
      <c r="K594" s="333"/>
      <c r="L594" s="211"/>
      <c r="M594" s="336"/>
      <c r="N594" s="158"/>
      <c r="O594" s="333"/>
      <c r="P594" s="158"/>
      <c r="Q594" s="338"/>
      <c r="R594" s="81">
        <f t="shared" si="83"/>
        <v>0</v>
      </c>
      <c r="S594" s="258"/>
      <c r="T594" s="333"/>
      <c r="U594" s="158"/>
      <c r="V594" s="333"/>
      <c r="W594" s="158"/>
      <c r="X594" s="333"/>
      <c r="Y594" s="158"/>
      <c r="Z594" s="333"/>
      <c r="AA594" s="326"/>
      <c r="AB594" s="1004" t="str">
        <f t="shared" si="76"/>
        <v/>
      </c>
      <c r="AC594" s="1082" t="str">
        <f t="shared" si="77"/>
        <v/>
      </c>
      <c r="AD594" s="1077"/>
      <c r="AE594" s="1077"/>
      <c r="AF594" s="1084" t="str">
        <f t="shared" si="78"/>
        <v/>
      </c>
      <c r="AG594" s="1082" t="str">
        <f t="shared" si="79"/>
        <v/>
      </c>
      <c r="AH594" s="1091"/>
      <c r="AI594" s="1087"/>
      <c r="AJ594" s="1084" t="str">
        <f t="shared" si="80"/>
        <v/>
      </c>
      <c r="AK594" s="1083" t="str">
        <f t="shared" si="81"/>
        <v/>
      </c>
      <c r="AL594" s="211">
        <v>162615666</v>
      </c>
      <c r="AM594" s="211"/>
      <c r="AN594" s="211"/>
      <c r="AO594" s="211"/>
      <c r="AP594" s="211"/>
      <c r="AQ594" s="211"/>
      <c r="AR594" s="211"/>
      <c r="AS594" s="211"/>
      <c r="AT594" s="211"/>
      <c r="AU594" s="211"/>
      <c r="AV594" s="211"/>
      <c r="AW594" s="211"/>
      <c r="AX594" s="211"/>
      <c r="AY594" s="211"/>
      <c r="AZ594" s="211"/>
      <c r="BA594" s="211"/>
      <c r="BB594" s="211"/>
      <c r="BC594" s="211"/>
      <c r="BD594" s="333">
        <v>43119</v>
      </c>
      <c r="BE594" s="82">
        <f t="shared" si="82"/>
        <v>162615666</v>
      </c>
    </row>
    <row r="595" spans="2:57" ht="30.6" hidden="1" x14ac:dyDescent="0.3">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197">
        <f>+'Base de Datos'!I595</f>
        <v>219937796</v>
      </c>
      <c r="G595" s="196">
        <f>+'Base de Datos'!M595</f>
        <v>43089</v>
      </c>
      <c r="H595" s="196">
        <f>+'Base de Datos'!N595</f>
        <v>43144</v>
      </c>
      <c r="I595" s="196"/>
      <c r="J595" s="158"/>
      <c r="K595" s="333"/>
      <c r="L595" s="211"/>
      <c r="M595" s="336"/>
      <c r="N595" s="158"/>
      <c r="O595" s="333"/>
      <c r="P595" s="158"/>
      <c r="Q595" s="338"/>
      <c r="R595" s="81">
        <f t="shared" si="83"/>
        <v>0</v>
      </c>
      <c r="S595" s="258"/>
      <c r="T595" s="333"/>
      <c r="U595" s="158"/>
      <c r="V595" s="333"/>
      <c r="W595" s="158"/>
      <c r="X595" s="333"/>
      <c r="Y595" s="158"/>
      <c r="Z595" s="333"/>
      <c r="AA595" s="326"/>
      <c r="AB595" s="1004" t="str">
        <f t="shared" si="76"/>
        <v/>
      </c>
      <c r="AC595" s="1082" t="str">
        <f t="shared" si="77"/>
        <v/>
      </c>
      <c r="AD595" s="1077"/>
      <c r="AE595" s="1077"/>
      <c r="AF595" s="1084" t="str">
        <f t="shared" si="78"/>
        <v/>
      </c>
      <c r="AG595" s="1082" t="str">
        <f t="shared" si="79"/>
        <v/>
      </c>
      <c r="AH595" s="1091"/>
      <c r="AI595" s="1087"/>
      <c r="AJ595" s="1084" t="str">
        <f t="shared" si="80"/>
        <v/>
      </c>
      <c r="AK595" s="1083" t="str">
        <f t="shared" si="81"/>
        <v/>
      </c>
      <c r="AL595" s="211">
        <v>219785882</v>
      </c>
      <c r="AM595" s="211"/>
      <c r="AN595" s="211"/>
      <c r="AO595" s="211"/>
      <c r="AP595" s="211"/>
      <c r="AQ595" s="211"/>
      <c r="AR595" s="211"/>
      <c r="AS595" s="211"/>
      <c r="AT595" s="211"/>
      <c r="AU595" s="211"/>
      <c r="AV595" s="211"/>
      <c r="AW595" s="211"/>
      <c r="AX595" s="211"/>
      <c r="AY595" s="211"/>
      <c r="AZ595" s="211"/>
      <c r="BA595" s="211"/>
      <c r="BB595" s="211"/>
      <c r="BC595" s="211"/>
      <c r="BD595" s="333">
        <v>43199</v>
      </c>
      <c r="BE595" s="82">
        <f t="shared" si="82"/>
        <v>219785882</v>
      </c>
    </row>
    <row r="596" spans="2:57" ht="102" hidden="1" x14ac:dyDescent="0.3">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197">
        <f>+'Base de Datos'!I596</f>
        <v>147000000</v>
      </c>
      <c r="G596" s="196">
        <f>+'Base de Datos'!M596</f>
        <v>43092</v>
      </c>
      <c r="H596" s="196">
        <f>+'Base de Datos'!N596</f>
        <v>43356</v>
      </c>
      <c r="I596" s="196"/>
      <c r="J596" s="158">
        <v>2639250</v>
      </c>
      <c r="K596" s="333">
        <v>43312</v>
      </c>
      <c r="L596" s="211">
        <v>26000000</v>
      </c>
      <c r="M596" s="336">
        <v>43355</v>
      </c>
      <c r="N596" s="158"/>
      <c r="O596" s="333"/>
      <c r="P596" s="158"/>
      <c r="Q596" s="338"/>
      <c r="R596" s="81">
        <f t="shared" si="83"/>
        <v>28639250</v>
      </c>
      <c r="S596" s="820" t="s">
        <v>4270</v>
      </c>
      <c r="T596" s="333">
        <v>43402</v>
      </c>
      <c r="U596" s="158"/>
      <c r="V596" s="333"/>
      <c r="W596" s="158"/>
      <c r="X596" s="333"/>
      <c r="Y596" s="158"/>
      <c r="Z596" s="333"/>
      <c r="AA596" s="820" t="s">
        <v>4270</v>
      </c>
      <c r="AB596" s="1004">
        <f t="shared" si="76"/>
        <v>43402</v>
      </c>
      <c r="AC596" s="1082" t="str">
        <f t="shared" si="77"/>
        <v/>
      </c>
      <c r="AD596" s="1077"/>
      <c r="AE596" s="1077"/>
      <c r="AF596" s="1084" t="str">
        <f t="shared" si="78"/>
        <v/>
      </c>
      <c r="AG596" s="1082" t="str">
        <f t="shared" si="79"/>
        <v/>
      </c>
      <c r="AH596" s="1091"/>
      <c r="AI596" s="1087"/>
      <c r="AJ596" s="1084" t="str">
        <f t="shared" si="80"/>
        <v/>
      </c>
      <c r="AK596" s="1083" t="str">
        <f t="shared" si="81"/>
        <v/>
      </c>
      <c r="AL596" s="211">
        <v>7064218</v>
      </c>
      <c r="AM596" s="211">
        <v>138488182</v>
      </c>
      <c r="AN596" s="211">
        <v>19729</v>
      </c>
      <c r="AO596" s="211">
        <v>1427870</v>
      </c>
      <c r="AP596" s="211">
        <v>1043230</v>
      </c>
      <c r="AQ596" s="211">
        <v>353052</v>
      </c>
      <c r="AR596" s="211">
        <v>26469124</v>
      </c>
      <c r="AS596" s="211"/>
      <c r="AT596" s="211"/>
      <c r="AU596" s="211"/>
      <c r="AV596" s="211"/>
      <c r="AW596" s="211"/>
      <c r="AX596" s="211"/>
      <c r="AY596" s="211"/>
      <c r="AZ596" s="211"/>
      <c r="BA596" s="211"/>
      <c r="BB596" s="211"/>
      <c r="BC596" s="211"/>
      <c r="BD596" s="333">
        <v>43390</v>
      </c>
      <c r="BE596" s="82">
        <f t="shared" si="82"/>
        <v>174865405</v>
      </c>
    </row>
    <row r="597" spans="2:57" hidden="1" x14ac:dyDescent="0.3">
      <c r="B597" s="2" t="str">
        <f>+'Base de Datos'!E597</f>
        <v>170359-0-2017</v>
      </c>
      <c r="C597" s="2" t="str">
        <f>+'Base de Datos'!F597</f>
        <v xml:space="preserve">DELL COLOMBIA INC </v>
      </c>
      <c r="D597" s="2" t="str">
        <f>+'Base de Datos'!G597</f>
        <v>830035246-7</v>
      </c>
      <c r="E597" s="2" t="str">
        <f>+'Base de Datos'!H597</f>
        <v>Proveer o actualizar licencias para servidores</v>
      </c>
      <c r="F597" s="197">
        <f>+'Base de Datos'!I597</f>
        <v>43945784</v>
      </c>
      <c r="G597" s="196">
        <f>+'Base de Datos'!M597</f>
        <v>43090</v>
      </c>
      <c r="H597" s="196">
        <f>+'Base de Datos'!N597</f>
        <v>43137</v>
      </c>
      <c r="I597" s="196"/>
      <c r="J597" s="158"/>
      <c r="K597" s="333"/>
      <c r="L597" s="211"/>
      <c r="M597" s="336"/>
      <c r="N597" s="158"/>
      <c r="O597" s="333"/>
      <c r="P597" s="158"/>
      <c r="Q597" s="338"/>
      <c r="R597" s="81">
        <f t="shared" si="83"/>
        <v>0</v>
      </c>
      <c r="S597" s="258"/>
      <c r="T597" s="333"/>
      <c r="U597" s="158"/>
      <c r="V597" s="333"/>
      <c r="W597" s="158"/>
      <c r="X597" s="333"/>
      <c r="Y597" s="158"/>
      <c r="Z597" s="333"/>
      <c r="AA597" s="326"/>
      <c r="AB597" s="1004" t="str">
        <f t="shared" si="76"/>
        <v/>
      </c>
      <c r="AC597" s="1082" t="str">
        <f t="shared" si="77"/>
        <v/>
      </c>
      <c r="AD597" s="1077"/>
      <c r="AE597" s="1077"/>
      <c r="AF597" s="1084" t="str">
        <f t="shared" si="78"/>
        <v/>
      </c>
      <c r="AG597" s="1082" t="str">
        <f t="shared" si="79"/>
        <v/>
      </c>
      <c r="AH597" s="1091"/>
      <c r="AI597" s="1087"/>
      <c r="AJ597" s="1084" t="str">
        <f t="shared" si="80"/>
        <v/>
      </c>
      <c r="AK597" s="1083" t="str">
        <f t="shared" si="81"/>
        <v/>
      </c>
      <c r="AL597" s="211">
        <v>43945455</v>
      </c>
      <c r="AM597" s="211"/>
      <c r="AN597" s="211"/>
      <c r="AO597" s="211"/>
      <c r="AP597" s="211"/>
      <c r="AQ597" s="211"/>
      <c r="AR597" s="211"/>
      <c r="AS597" s="211"/>
      <c r="AT597" s="211"/>
      <c r="AU597" s="211"/>
      <c r="AV597" s="211"/>
      <c r="AW597" s="211"/>
      <c r="AX597" s="211"/>
      <c r="AY597" s="211"/>
      <c r="AZ597" s="211"/>
      <c r="BA597" s="211"/>
      <c r="BB597" s="211"/>
      <c r="BC597" s="211"/>
      <c r="BD597" s="333">
        <v>43200</v>
      </c>
      <c r="BE597" s="82">
        <f t="shared" si="82"/>
        <v>43945455</v>
      </c>
    </row>
    <row r="598" spans="2:57" ht="30.6" hidden="1" x14ac:dyDescent="0.3">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197">
        <f>+'Base de Datos'!I598</f>
        <v>474509835</v>
      </c>
      <c r="G598" s="196">
        <f>+'Base de Datos'!M598</f>
        <v>43104</v>
      </c>
      <c r="H598" s="196">
        <f>+'Base de Datos'!N598</f>
        <v>43468</v>
      </c>
      <c r="I598" s="196"/>
      <c r="J598" s="158"/>
      <c r="K598" s="333"/>
      <c r="L598" s="211"/>
      <c r="M598" s="336"/>
      <c r="N598" s="158"/>
      <c r="O598" s="333"/>
      <c r="P598" s="158"/>
      <c r="Q598" s="338"/>
      <c r="R598" s="81">
        <f t="shared" si="83"/>
        <v>0</v>
      </c>
      <c r="S598" s="258"/>
      <c r="T598" s="333"/>
      <c r="U598" s="158"/>
      <c r="V598" s="333"/>
      <c r="W598" s="158"/>
      <c r="X598" s="333"/>
      <c r="Y598" s="158"/>
      <c r="Z598" s="333"/>
      <c r="AA598" s="326"/>
      <c r="AB598" s="1004" t="str">
        <f t="shared" si="76"/>
        <v/>
      </c>
      <c r="AC598" s="1082" t="str">
        <f t="shared" si="77"/>
        <v/>
      </c>
      <c r="AD598" s="1077"/>
      <c r="AE598" s="1077"/>
      <c r="AF598" s="1084" t="str">
        <f t="shared" si="78"/>
        <v/>
      </c>
      <c r="AG598" s="1082" t="str">
        <f t="shared" si="79"/>
        <v/>
      </c>
      <c r="AH598" s="1091"/>
      <c r="AI598" s="1087"/>
      <c r="AJ598" s="1084" t="str">
        <f t="shared" si="80"/>
        <v/>
      </c>
      <c r="AK598" s="1083" t="str">
        <f t="shared" si="81"/>
        <v/>
      </c>
      <c r="AL598" s="211">
        <v>368383008</v>
      </c>
      <c r="AM598" s="211">
        <v>52431769</v>
      </c>
      <c r="AN598" s="211">
        <v>53695058</v>
      </c>
      <c r="AO598" s="211"/>
      <c r="AP598" s="211"/>
      <c r="AQ598" s="211"/>
      <c r="AR598" s="211"/>
      <c r="AS598" s="211"/>
      <c r="AT598" s="211"/>
      <c r="AU598" s="211"/>
      <c r="AV598" s="211"/>
      <c r="AW598" s="211"/>
      <c r="AX598" s="211"/>
      <c r="AY598" s="211"/>
      <c r="AZ598" s="211"/>
      <c r="BA598" s="211"/>
      <c r="BB598" s="211"/>
      <c r="BC598" s="211"/>
      <c r="BD598" s="333">
        <v>43390</v>
      </c>
      <c r="BE598" s="82">
        <f t="shared" si="82"/>
        <v>474509835</v>
      </c>
    </row>
    <row r="599" spans="2:57" ht="51" hidden="1" x14ac:dyDescent="0.3">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197">
        <f>+'Base de Datos'!I599</f>
        <v>259718863</v>
      </c>
      <c r="G599" s="196">
        <f>+'Base de Datos'!M599</f>
        <v>43116</v>
      </c>
      <c r="H599" s="196">
        <f>+'Base de Datos'!N599</f>
        <v>43235</v>
      </c>
      <c r="I599" s="196"/>
      <c r="J599" s="158">
        <v>97171827</v>
      </c>
      <c r="K599" s="333">
        <v>43235</v>
      </c>
      <c r="L599" s="211"/>
      <c r="M599" s="336"/>
      <c r="N599" s="158"/>
      <c r="O599" s="333"/>
      <c r="P599" s="158"/>
      <c r="Q599" s="338"/>
      <c r="R599" s="81">
        <f t="shared" si="83"/>
        <v>97171827</v>
      </c>
      <c r="S599" s="258" t="s">
        <v>378</v>
      </c>
      <c r="T599" s="333">
        <v>43296</v>
      </c>
      <c r="U599" s="158"/>
      <c r="V599" s="333"/>
      <c r="W599" s="158"/>
      <c r="X599" s="333"/>
      <c r="Y599" s="158"/>
      <c r="Z599" s="333"/>
      <c r="AA599" s="326" t="s">
        <v>378</v>
      </c>
      <c r="AB599" s="1004">
        <f t="shared" si="76"/>
        <v>43296</v>
      </c>
      <c r="AC599" s="1082" t="str">
        <f t="shared" si="77"/>
        <v/>
      </c>
      <c r="AD599" s="1077"/>
      <c r="AE599" s="1077"/>
      <c r="AF599" s="1084" t="str">
        <f t="shared" si="78"/>
        <v/>
      </c>
      <c r="AG599" s="1082" t="str">
        <f t="shared" si="79"/>
        <v/>
      </c>
      <c r="AH599" s="1091"/>
      <c r="AI599" s="1087"/>
      <c r="AJ599" s="1084" t="str">
        <f t="shared" si="80"/>
        <v/>
      </c>
      <c r="AK599" s="1083" t="str">
        <f t="shared" si="81"/>
        <v/>
      </c>
      <c r="AL599" s="211">
        <v>51943773</v>
      </c>
      <c r="AM599" s="211">
        <v>77915659</v>
      </c>
      <c r="AN599" s="211">
        <v>51943773</v>
      </c>
      <c r="AO599" s="211">
        <v>97171827</v>
      </c>
      <c r="AP599" s="211">
        <v>77915658</v>
      </c>
      <c r="AQ599" s="211"/>
      <c r="AR599" s="211"/>
      <c r="AS599" s="211"/>
      <c r="AT599" s="211"/>
      <c r="AU599" s="211"/>
      <c r="AV599" s="211"/>
      <c r="AW599" s="211"/>
      <c r="AX599" s="211"/>
      <c r="AY599" s="211"/>
      <c r="AZ599" s="211"/>
      <c r="BA599" s="211"/>
      <c r="BB599" s="211"/>
      <c r="BC599" s="211"/>
      <c r="BD599" s="333">
        <v>43270</v>
      </c>
      <c r="BE599" s="82">
        <f t="shared" si="82"/>
        <v>356890690</v>
      </c>
    </row>
    <row r="600" spans="2:57" ht="40.799999999999997" hidden="1" x14ac:dyDescent="0.3">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197">
        <f>+'Base de Datos'!I600</f>
        <v>223899975</v>
      </c>
      <c r="G600" s="196">
        <f>+'Base de Datos'!M600</f>
        <v>43112</v>
      </c>
      <c r="H600" s="196">
        <f>+'Base de Datos'!N600</f>
        <v>43201</v>
      </c>
      <c r="I600" s="196"/>
      <c r="J600" s="158"/>
      <c r="K600" s="333"/>
      <c r="L600" s="211"/>
      <c r="M600" s="336"/>
      <c r="N600" s="158"/>
      <c r="O600" s="333"/>
      <c r="P600" s="158"/>
      <c r="Q600" s="338"/>
      <c r="R600" s="81">
        <f t="shared" si="83"/>
        <v>0</v>
      </c>
      <c r="S600" s="258"/>
      <c r="T600" s="333"/>
      <c r="U600" s="158"/>
      <c r="V600" s="333"/>
      <c r="W600" s="158"/>
      <c r="X600" s="333"/>
      <c r="Y600" s="158"/>
      <c r="Z600" s="333"/>
      <c r="AA600" s="326"/>
      <c r="AB600" s="1004" t="str">
        <f t="shared" si="76"/>
        <v/>
      </c>
      <c r="AC600" s="1082" t="str">
        <f t="shared" si="77"/>
        <v/>
      </c>
      <c r="AD600" s="1077"/>
      <c r="AE600" s="1077"/>
      <c r="AF600" s="1084" t="str">
        <f t="shared" si="78"/>
        <v/>
      </c>
      <c r="AG600" s="1082" t="str">
        <f t="shared" si="79"/>
        <v/>
      </c>
      <c r="AH600" s="1091"/>
      <c r="AI600" s="1087"/>
      <c r="AJ600" s="1084" t="str">
        <f t="shared" si="80"/>
        <v/>
      </c>
      <c r="AK600" s="1083" t="str">
        <f t="shared" si="81"/>
        <v/>
      </c>
      <c r="AL600" s="211">
        <v>223899974</v>
      </c>
      <c r="AM600" s="211"/>
      <c r="AN600" s="211"/>
      <c r="AO600" s="211"/>
      <c r="AP600" s="211"/>
      <c r="AQ600" s="211"/>
      <c r="AR600" s="211"/>
      <c r="AS600" s="211"/>
      <c r="AT600" s="211"/>
      <c r="AU600" s="211"/>
      <c r="AV600" s="211"/>
      <c r="AW600" s="211"/>
      <c r="AX600" s="211"/>
      <c r="AY600" s="211"/>
      <c r="AZ600" s="211"/>
      <c r="BA600" s="211"/>
      <c r="BB600" s="211"/>
      <c r="BC600" s="211"/>
      <c r="BD600" s="333">
        <v>43223</v>
      </c>
      <c r="BE600" s="82">
        <f t="shared" si="82"/>
        <v>223899974</v>
      </c>
    </row>
    <row r="601" spans="2:57" hidden="1" x14ac:dyDescent="0.3">
      <c r="B601" s="2" t="str">
        <f>+'Base de Datos'!E601</f>
        <v>180007-0-2018</v>
      </c>
      <c r="C601" s="2" t="str">
        <f>+'Base de Datos'!F601</f>
        <v>GRUPO EDS AUTOGAS S.A.S.</v>
      </c>
      <c r="D601" s="2" t="str">
        <f>+'Base de Datos'!G601</f>
        <v>900459737-5</v>
      </c>
      <c r="E601" s="2" t="str">
        <f>+'Base de Datos'!H601</f>
        <v>Suministro de combustible para el Concejo de Bogotá D.C.</v>
      </c>
      <c r="F601" s="197">
        <f>+'Base de Datos'!I601</f>
        <v>344000000</v>
      </c>
      <c r="G601" s="196">
        <f>+'Base de Datos'!M601</f>
        <v>43121</v>
      </c>
      <c r="H601" s="196">
        <f>+'Base de Datos'!N601</f>
        <v>43378</v>
      </c>
      <c r="I601" s="196"/>
      <c r="J601" s="158"/>
      <c r="K601" s="333"/>
      <c r="L601" s="211"/>
      <c r="M601" s="336"/>
      <c r="N601" s="158"/>
      <c r="O601" s="333"/>
      <c r="P601" s="158"/>
      <c r="Q601" s="338"/>
      <c r="R601" s="81">
        <f t="shared" si="83"/>
        <v>0</v>
      </c>
      <c r="S601" s="258"/>
      <c r="T601" s="333"/>
      <c r="U601" s="158"/>
      <c r="V601" s="333"/>
      <c r="W601" s="158"/>
      <c r="X601" s="333"/>
      <c r="Y601" s="158"/>
      <c r="Z601" s="333"/>
      <c r="AA601" s="326"/>
      <c r="AB601" s="1004" t="str">
        <f t="shared" si="76"/>
        <v/>
      </c>
      <c r="AC601" s="1082" t="str">
        <f t="shared" si="77"/>
        <v/>
      </c>
      <c r="AD601" s="1077"/>
      <c r="AE601" s="1077"/>
      <c r="AF601" s="1084" t="str">
        <f t="shared" si="78"/>
        <v/>
      </c>
      <c r="AG601" s="1082" t="str">
        <f t="shared" si="79"/>
        <v/>
      </c>
      <c r="AH601" s="1091"/>
      <c r="AI601" s="1087"/>
      <c r="AJ601" s="1084" t="str">
        <f t="shared" si="80"/>
        <v/>
      </c>
      <c r="AK601" s="1083" t="str">
        <f t="shared" si="81"/>
        <v/>
      </c>
      <c r="AL601" s="211">
        <v>13971853</v>
      </c>
      <c r="AM601" s="211">
        <v>40648026</v>
      </c>
      <c r="AN601" s="211">
        <v>37551189</v>
      </c>
      <c r="AO601" s="211">
        <v>38889568</v>
      </c>
      <c r="AP601" s="211">
        <v>40457650</v>
      </c>
      <c r="AQ601" s="211">
        <v>36821848</v>
      </c>
      <c r="AR601" s="211">
        <v>37230787</v>
      </c>
      <c r="AS601" s="211">
        <v>41067596</v>
      </c>
      <c r="AT601" s="211">
        <v>41360031</v>
      </c>
      <c r="AU601" s="211">
        <v>9992762</v>
      </c>
      <c r="AV601" s="211"/>
      <c r="AW601" s="211"/>
      <c r="AX601" s="211"/>
      <c r="AY601" s="211"/>
      <c r="AZ601" s="211"/>
      <c r="BA601" s="211"/>
      <c r="BB601" s="211"/>
      <c r="BC601" s="211"/>
      <c r="BD601" s="333">
        <v>43453</v>
      </c>
      <c r="BE601" s="82">
        <f t="shared" si="82"/>
        <v>337991310</v>
      </c>
    </row>
    <row r="602" spans="2:57" ht="30.6" hidden="1" x14ac:dyDescent="0.3">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197">
        <f>+'Base de Datos'!I602</f>
        <v>7300000</v>
      </c>
      <c r="G602" s="196">
        <f>+'Base de Datos'!M602</f>
        <v>43129</v>
      </c>
      <c r="H602" s="196">
        <f>+'Base de Datos'!N602</f>
        <v>43187</v>
      </c>
      <c r="I602" s="196"/>
      <c r="J602" s="158"/>
      <c r="K602" s="333"/>
      <c r="L602" s="211"/>
      <c r="M602" s="336"/>
      <c r="N602" s="158"/>
      <c r="O602" s="333"/>
      <c r="P602" s="158"/>
      <c r="Q602" s="338"/>
      <c r="R602" s="81">
        <f t="shared" ref="R602:R665" si="84">SUM(J602,L602,N602,P602)</f>
        <v>0</v>
      </c>
      <c r="S602" s="258"/>
      <c r="T602" s="333"/>
      <c r="U602" s="158"/>
      <c r="V602" s="333"/>
      <c r="W602" s="158"/>
      <c r="X602" s="333"/>
      <c r="Y602" s="158"/>
      <c r="Z602" s="333"/>
      <c r="AA602" s="326"/>
      <c r="AB602" s="1004" t="str">
        <f t="shared" si="76"/>
        <v/>
      </c>
      <c r="AC602" s="1082" t="str">
        <f t="shared" si="77"/>
        <v/>
      </c>
      <c r="AD602" s="1077"/>
      <c r="AE602" s="1077"/>
      <c r="AF602" s="1084" t="str">
        <f t="shared" si="78"/>
        <v/>
      </c>
      <c r="AG602" s="1082" t="str">
        <f t="shared" si="79"/>
        <v/>
      </c>
      <c r="AH602" s="1091"/>
      <c r="AI602" s="1087"/>
      <c r="AJ602" s="1084" t="str">
        <f t="shared" si="80"/>
        <v/>
      </c>
      <c r="AK602" s="1083" t="str">
        <f t="shared" si="81"/>
        <v/>
      </c>
      <c r="AL602" s="211">
        <v>2920000</v>
      </c>
      <c r="AM602" s="211">
        <v>4380000</v>
      </c>
      <c r="AN602" s="211"/>
      <c r="AO602" s="211"/>
      <c r="AP602" s="211"/>
      <c r="AQ602" s="211"/>
      <c r="AR602" s="211"/>
      <c r="AS602" s="211"/>
      <c r="AT602" s="211"/>
      <c r="AU602" s="211"/>
      <c r="AV602" s="211"/>
      <c r="AW602" s="211"/>
      <c r="AX602" s="211"/>
      <c r="AY602" s="211"/>
      <c r="AZ602" s="211"/>
      <c r="BA602" s="211"/>
      <c r="BB602" s="211"/>
      <c r="BC602" s="211"/>
      <c r="BD602" s="333">
        <v>43235</v>
      </c>
      <c r="BE602" s="82">
        <f t="shared" si="82"/>
        <v>7300000</v>
      </c>
    </row>
    <row r="603" spans="2:57" ht="30.6" hidden="1" x14ac:dyDescent="0.3">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197">
        <f>+'Base de Datos'!I603</f>
        <v>4300000</v>
      </c>
      <c r="G603" s="196">
        <f>+'Base de Datos'!M603</f>
        <v>43133</v>
      </c>
      <c r="H603" s="196">
        <f>+'Base de Datos'!N603</f>
        <v>43252</v>
      </c>
      <c r="I603" s="196"/>
      <c r="J603" s="158"/>
      <c r="K603" s="333"/>
      <c r="L603" s="211"/>
      <c r="M603" s="336"/>
      <c r="N603" s="158"/>
      <c r="O603" s="333"/>
      <c r="P603" s="158"/>
      <c r="Q603" s="338"/>
      <c r="R603" s="81">
        <f t="shared" si="84"/>
        <v>0</v>
      </c>
      <c r="S603" s="258" t="s">
        <v>378</v>
      </c>
      <c r="T603" s="333">
        <v>43313</v>
      </c>
      <c r="U603" s="158" t="s">
        <v>4189</v>
      </c>
      <c r="V603" s="333">
        <v>43342</v>
      </c>
      <c r="W603" s="158"/>
      <c r="X603" s="333"/>
      <c r="Y603" s="158"/>
      <c r="Z603" s="333"/>
      <c r="AA603" s="326" t="s">
        <v>4190</v>
      </c>
      <c r="AB603" s="1004">
        <f t="shared" si="76"/>
        <v>43342</v>
      </c>
      <c r="AC603" s="1082" t="str">
        <f t="shared" si="77"/>
        <v/>
      </c>
      <c r="AD603" s="1077"/>
      <c r="AE603" s="1077"/>
      <c r="AF603" s="1084" t="str">
        <f t="shared" si="78"/>
        <v/>
      </c>
      <c r="AG603" s="1082" t="str">
        <f t="shared" si="79"/>
        <v/>
      </c>
      <c r="AH603" s="1091"/>
      <c r="AI603" s="1087"/>
      <c r="AJ603" s="1084" t="str">
        <f t="shared" si="80"/>
        <v/>
      </c>
      <c r="AK603" s="1083" t="str">
        <f t="shared" si="81"/>
        <v/>
      </c>
      <c r="AL603" s="211">
        <v>4300000</v>
      </c>
      <c r="AM603" s="211"/>
      <c r="AN603" s="211"/>
      <c r="AO603" s="211"/>
      <c r="AP603" s="211"/>
      <c r="AQ603" s="211"/>
      <c r="AR603" s="211"/>
      <c r="AS603" s="211"/>
      <c r="AT603" s="211"/>
      <c r="AU603" s="211"/>
      <c r="AV603" s="211"/>
      <c r="AW603" s="211"/>
      <c r="AX603" s="211"/>
      <c r="AY603" s="211"/>
      <c r="AZ603" s="211"/>
      <c r="BA603" s="211"/>
      <c r="BB603" s="211"/>
      <c r="BC603" s="211"/>
      <c r="BD603" s="333">
        <v>43364</v>
      </c>
      <c r="BE603" s="82">
        <f t="shared" si="82"/>
        <v>4300000</v>
      </c>
    </row>
    <row r="604" spans="2:57" ht="40.799999999999997" hidden="1" x14ac:dyDescent="0.3">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197">
        <f>+'Base de Datos'!I604</f>
        <v>9982000</v>
      </c>
      <c r="G604" s="196">
        <f>+'Base de Datos'!M604</f>
        <v>43129</v>
      </c>
      <c r="H604" s="196">
        <f>+'Base de Datos'!N604</f>
        <v>43284</v>
      </c>
      <c r="I604" s="196"/>
      <c r="J604" s="158"/>
      <c r="K604" s="333"/>
      <c r="L604" s="211"/>
      <c r="M604" s="336"/>
      <c r="N604" s="158"/>
      <c r="O604" s="333"/>
      <c r="P604" s="158"/>
      <c r="Q604" s="338"/>
      <c r="R604" s="81">
        <f t="shared" si="84"/>
        <v>0</v>
      </c>
      <c r="S604" s="258"/>
      <c r="T604" s="333"/>
      <c r="U604" s="158"/>
      <c r="V604" s="333"/>
      <c r="W604" s="158"/>
      <c r="X604" s="333"/>
      <c r="Y604" s="158"/>
      <c r="Z604" s="333"/>
      <c r="AA604" s="326"/>
      <c r="AB604" s="1004" t="str">
        <f t="shared" si="76"/>
        <v/>
      </c>
      <c r="AC604" s="1082" t="str">
        <f t="shared" si="77"/>
        <v/>
      </c>
      <c r="AD604" s="1077"/>
      <c r="AE604" s="1077"/>
      <c r="AF604" s="1084" t="str">
        <f t="shared" si="78"/>
        <v/>
      </c>
      <c r="AG604" s="1082" t="str">
        <f t="shared" si="79"/>
        <v/>
      </c>
      <c r="AH604" s="1091"/>
      <c r="AI604" s="1087"/>
      <c r="AJ604" s="1084" t="str">
        <f t="shared" si="80"/>
        <v/>
      </c>
      <c r="AK604" s="1083" t="str">
        <f t="shared" si="81"/>
        <v/>
      </c>
      <c r="AL604" s="211">
        <v>128800</v>
      </c>
      <c r="AM604" s="211">
        <v>1932000</v>
      </c>
      <c r="AN604" s="211">
        <v>1932000</v>
      </c>
      <c r="AO604" s="211">
        <v>1932000</v>
      </c>
      <c r="AP604" s="211">
        <v>1932000</v>
      </c>
      <c r="AQ604" s="211">
        <v>1932000</v>
      </c>
      <c r="AR604" s="211">
        <v>193200</v>
      </c>
      <c r="AS604" s="211"/>
      <c r="AT604" s="211"/>
      <c r="AU604" s="211"/>
      <c r="AV604" s="211"/>
      <c r="AW604" s="211"/>
      <c r="AX604" s="211"/>
      <c r="AY604" s="211"/>
      <c r="AZ604" s="211"/>
      <c r="BA604" s="211"/>
      <c r="BB604" s="211"/>
      <c r="BC604" s="211"/>
      <c r="BD604" s="333">
        <v>43258</v>
      </c>
      <c r="BE604" s="82">
        <f t="shared" si="82"/>
        <v>9982000</v>
      </c>
    </row>
    <row r="605" spans="2:57" ht="30.6" hidden="1" x14ac:dyDescent="0.3">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197">
        <f>+'Base de Datos'!I605</f>
        <v>70452000</v>
      </c>
      <c r="G605" s="196">
        <f>+'Base de Datos'!M605</f>
        <v>43132</v>
      </c>
      <c r="H605" s="196">
        <f>+'Base de Datos'!N605</f>
        <v>43496</v>
      </c>
      <c r="I605" s="196"/>
      <c r="J605" s="158"/>
      <c r="K605" s="333"/>
      <c r="L605" s="211"/>
      <c r="M605" s="336"/>
      <c r="N605" s="158"/>
      <c r="O605" s="333"/>
      <c r="P605" s="158"/>
      <c r="Q605" s="338"/>
      <c r="R605" s="81">
        <f t="shared" si="84"/>
        <v>0</v>
      </c>
      <c r="S605" s="258"/>
      <c r="T605" s="333"/>
      <c r="U605" s="158"/>
      <c r="V605" s="333"/>
      <c r="W605" s="158"/>
      <c r="X605" s="333"/>
      <c r="Y605" s="158"/>
      <c r="Z605" s="333"/>
      <c r="AA605" s="326"/>
      <c r="AB605" s="1004" t="str">
        <f t="shared" si="76"/>
        <v/>
      </c>
      <c r="AC605" s="1082" t="str">
        <f t="shared" si="77"/>
        <v/>
      </c>
      <c r="AD605" s="1077"/>
      <c r="AE605" s="1077"/>
      <c r="AF605" s="1084" t="str">
        <f t="shared" si="78"/>
        <v/>
      </c>
      <c r="AG605" s="1082" t="str">
        <f t="shared" si="79"/>
        <v/>
      </c>
      <c r="AH605" s="1091"/>
      <c r="AI605" s="1087"/>
      <c r="AJ605" s="1084" t="str">
        <f t="shared" si="80"/>
        <v/>
      </c>
      <c r="AK605" s="1083" t="str">
        <f t="shared" si="81"/>
        <v/>
      </c>
      <c r="AL605" s="211">
        <v>5871000</v>
      </c>
      <c r="AM605" s="211">
        <v>5871000</v>
      </c>
      <c r="AN605" s="211">
        <v>5871000</v>
      </c>
      <c r="AO605" s="211">
        <v>5871000</v>
      </c>
      <c r="AP605" s="211">
        <v>5871000</v>
      </c>
      <c r="AQ605" s="211">
        <v>5871000</v>
      </c>
      <c r="AR605" s="211">
        <v>5871000</v>
      </c>
      <c r="AS605" s="211">
        <v>5871000</v>
      </c>
      <c r="AT605" s="211">
        <v>5871000</v>
      </c>
      <c r="AU605" s="211">
        <v>5871000</v>
      </c>
      <c r="AV605" s="211">
        <v>5871000</v>
      </c>
      <c r="AW605" s="211">
        <v>5871000</v>
      </c>
      <c r="AX605" s="211"/>
      <c r="AY605" s="211"/>
      <c r="AZ605" s="211"/>
      <c r="BA605" s="211"/>
      <c r="BB605" s="211"/>
      <c r="BC605" s="211"/>
      <c r="BD605" s="333">
        <v>43508</v>
      </c>
      <c r="BE605" s="82">
        <f t="shared" si="82"/>
        <v>70452000</v>
      </c>
    </row>
    <row r="606" spans="2:57" ht="20.399999999999999" hidden="1" x14ac:dyDescent="0.3">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197">
        <f>+'Base de Datos'!I606</f>
        <v>1379700</v>
      </c>
      <c r="G606" s="196">
        <f>+'Base de Datos'!M606</f>
        <v>43185</v>
      </c>
      <c r="H606" s="196">
        <f>+'Base de Datos'!N606</f>
        <v>43549</v>
      </c>
      <c r="I606" s="196"/>
      <c r="J606" s="158"/>
      <c r="K606" s="333"/>
      <c r="L606" s="211"/>
      <c r="M606" s="336"/>
      <c r="N606" s="158"/>
      <c r="O606" s="333"/>
      <c r="P606" s="158"/>
      <c r="Q606" s="338"/>
      <c r="R606" s="81">
        <f t="shared" si="84"/>
        <v>0</v>
      </c>
      <c r="S606" s="258"/>
      <c r="T606" s="333"/>
      <c r="U606" s="158"/>
      <c r="V606" s="333"/>
      <c r="W606" s="158"/>
      <c r="X606" s="333"/>
      <c r="Y606" s="158"/>
      <c r="Z606" s="333"/>
      <c r="AA606" s="326"/>
      <c r="AB606" s="1004" t="str">
        <f t="shared" si="76"/>
        <v/>
      </c>
      <c r="AC606" s="1082" t="str">
        <f t="shared" si="77"/>
        <v/>
      </c>
      <c r="AD606" s="1077"/>
      <c r="AE606" s="1077"/>
      <c r="AF606" s="1084" t="str">
        <f t="shared" si="78"/>
        <v/>
      </c>
      <c r="AG606" s="1082" t="str">
        <f t="shared" si="79"/>
        <v/>
      </c>
      <c r="AH606" s="1091"/>
      <c r="AI606" s="1087"/>
      <c r="AJ606" s="1084" t="str">
        <f t="shared" si="80"/>
        <v/>
      </c>
      <c r="AK606" s="1083" t="str">
        <f t="shared" si="81"/>
        <v/>
      </c>
      <c r="AL606" s="211">
        <v>1379700</v>
      </c>
      <c r="AM606" s="211"/>
      <c r="AN606" s="211"/>
      <c r="AO606" s="211"/>
      <c r="AP606" s="211"/>
      <c r="AQ606" s="211"/>
      <c r="AR606" s="211"/>
      <c r="AS606" s="211"/>
      <c r="AT606" s="211"/>
      <c r="AU606" s="211"/>
      <c r="AV606" s="211"/>
      <c r="AW606" s="211"/>
      <c r="AX606" s="211"/>
      <c r="AY606" s="211"/>
      <c r="AZ606" s="211"/>
      <c r="BA606" s="211"/>
      <c r="BB606" s="211"/>
      <c r="BC606" s="211"/>
      <c r="BD606" s="333">
        <v>43215</v>
      </c>
      <c r="BE606" s="82">
        <f t="shared" si="82"/>
        <v>1379700</v>
      </c>
    </row>
    <row r="607" spans="2:57" ht="40.799999999999997" hidden="1" x14ac:dyDescent="0.3">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197">
        <f>+'Base de Datos'!I607</f>
        <v>77000000</v>
      </c>
      <c r="G607" s="196">
        <f>+'Base de Datos'!M607</f>
        <v>43132</v>
      </c>
      <c r="H607" s="196">
        <f>+'Base de Datos'!N607</f>
        <v>43326</v>
      </c>
      <c r="I607" s="196"/>
      <c r="J607" s="158"/>
      <c r="K607" s="333"/>
      <c r="L607" s="211"/>
      <c r="M607" s="336"/>
      <c r="N607" s="158"/>
      <c r="O607" s="333"/>
      <c r="P607" s="158"/>
      <c r="Q607" s="338"/>
      <c r="R607" s="81">
        <f t="shared" si="84"/>
        <v>0</v>
      </c>
      <c r="S607" s="258"/>
      <c r="T607" s="333"/>
      <c r="U607" s="158"/>
      <c r="V607" s="333"/>
      <c r="W607" s="158"/>
      <c r="X607" s="333"/>
      <c r="Y607" s="158"/>
      <c r="Z607" s="333"/>
      <c r="AA607" s="326"/>
      <c r="AB607" s="1004" t="str">
        <f t="shared" si="76"/>
        <v/>
      </c>
      <c r="AC607" s="1082" t="str">
        <f t="shared" si="77"/>
        <v/>
      </c>
      <c r="AD607" s="1077"/>
      <c r="AE607" s="1077"/>
      <c r="AF607" s="1084" t="str">
        <f t="shared" si="78"/>
        <v/>
      </c>
      <c r="AG607" s="1082" t="str">
        <f t="shared" si="79"/>
        <v/>
      </c>
      <c r="AH607" s="1091"/>
      <c r="AI607" s="1087"/>
      <c r="AJ607" s="1084" t="str">
        <f t="shared" si="80"/>
        <v/>
      </c>
      <c r="AK607" s="1083" t="str">
        <f t="shared" si="81"/>
        <v/>
      </c>
      <c r="AL607" s="211">
        <v>7000000</v>
      </c>
      <c r="AM607" s="211">
        <v>7000000</v>
      </c>
      <c r="AN607" s="211">
        <v>7000000</v>
      </c>
      <c r="AO607" s="211">
        <v>7000000</v>
      </c>
      <c r="AP607" s="211">
        <v>7000000</v>
      </c>
      <c r="AQ607" s="211">
        <v>7000000</v>
      </c>
      <c r="AR607" s="211">
        <v>3266667</v>
      </c>
      <c r="AS607" s="211"/>
      <c r="AT607" s="211"/>
      <c r="AU607" s="211"/>
      <c r="AV607" s="211"/>
      <c r="AW607" s="211"/>
      <c r="AX607" s="211"/>
      <c r="AY607" s="211"/>
      <c r="AZ607" s="211"/>
      <c r="BA607" s="211"/>
      <c r="BB607" s="211"/>
      <c r="BC607" s="211"/>
      <c r="BD607" s="333">
        <v>43392</v>
      </c>
      <c r="BE607" s="82">
        <f t="shared" si="82"/>
        <v>45266667</v>
      </c>
    </row>
    <row r="608" spans="2:57" ht="51" hidden="1" x14ac:dyDescent="0.3">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197">
        <f>+'Base de Datos'!I608</f>
        <v>70452000</v>
      </c>
      <c r="G608" s="196">
        <f>+'Base de Datos'!M608</f>
        <v>43136</v>
      </c>
      <c r="H608" s="196">
        <f>+'Base de Datos'!N608</f>
        <v>43500</v>
      </c>
      <c r="I608" s="196"/>
      <c r="J608" s="158"/>
      <c r="K608" s="333"/>
      <c r="L608" s="211"/>
      <c r="M608" s="336"/>
      <c r="N608" s="158"/>
      <c r="O608" s="333"/>
      <c r="P608" s="158"/>
      <c r="Q608" s="338"/>
      <c r="R608" s="81">
        <f t="shared" si="84"/>
        <v>0</v>
      </c>
      <c r="S608" s="258"/>
      <c r="T608" s="333"/>
      <c r="U608" s="158"/>
      <c r="V608" s="333"/>
      <c r="W608" s="158"/>
      <c r="X608" s="333"/>
      <c r="Y608" s="158"/>
      <c r="Z608" s="333"/>
      <c r="AA608" s="326"/>
      <c r="AB608" s="1004" t="str">
        <f t="shared" si="76"/>
        <v/>
      </c>
      <c r="AC608" s="1082" t="str">
        <f t="shared" si="77"/>
        <v/>
      </c>
      <c r="AD608" s="1077"/>
      <c r="AE608" s="1077"/>
      <c r="AF608" s="1084" t="str">
        <f t="shared" si="78"/>
        <v/>
      </c>
      <c r="AG608" s="1082" t="str">
        <f t="shared" si="79"/>
        <v/>
      </c>
      <c r="AH608" s="1091"/>
      <c r="AI608" s="1087"/>
      <c r="AJ608" s="1084" t="str">
        <f t="shared" si="80"/>
        <v/>
      </c>
      <c r="AK608" s="1083" t="str">
        <f t="shared" si="81"/>
        <v/>
      </c>
      <c r="AL608" s="211">
        <v>5088200</v>
      </c>
      <c r="AM608" s="211">
        <v>5871000</v>
      </c>
      <c r="AN608" s="211">
        <v>5871000</v>
      </c>
      <c r="AO608" s="211">
        <v>5871000</v>
      </c>
      <c r="AP608" s="211">
        <v>5871000</v>
      </c>
      <c r="AQ608" s="211">
        <v>5871000</v>
      </c>
      <c r="AR608" s="211">
        <v>5871000</v>
      </c>
      <c r="AS608" s="211">
        <v>5871000</v>
      </c>
      <c r="AT608" s="211">
        <v>5871000</v>
      </c>
      <c r="AU608" s="211">
        <v>5871000</v>
      </c>
      <c r="AV608" s="211">
        <v>5871000</v>
      </c>
      <c r="AW608" s="211">
        <v>5871000</v>
      </c>
      <c r="AX608" s="211">
        <v>782800</v>
      </c>
      <c r="AY608" s="211"/>
      <c r="AZ608" s="211"/>
      <c r="BA608" s="211"/>
      <c r="BB608" s="211"/>
      <c r="BC608" s="211"/>
      <c r="BD608" s="333">
        <v>43536</v>
      </c>
      <c r="BE608" s="82">
        <f t="shared" si="82"/>
        <v>70452000</v>
      </c>
    </row>
    <row r="609" spans="2:57" ht="30.6" hidden="1" x14ac:dyDescent="0.3">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197">
        <f>+'Base de Datos'!I609</f>
        <v>21286908</v>
      </c>
      <c r="G609" s="196">
        <f>+'Base de Datos'!M609</f>
        <v>43132</v>
      </c>
      <c r="H609" s="196">
        <f>+'Base de Datos'!N609</f>
        <v>43312</v>
      </c>
      <c r="I609" s="196"/>
      <c r="J609" s="158"/>
      <c r="K609" s="333"/>
      <c r="L609" s="211"/>
      <c r="M609" s="336"/>
      <c r="N609" s="158"/>
      <c r="O609" s="333"/>
      <c r="P609" s="158"/>
      <c r="Q609" s="338"/>
      <c r="R609" s="81">
        <f t="shared" si="84"/>
        <v>0</v>
      </c>
      <c r="S609" s="258"/>
      <c r="T609" s="333"/>
      <c r="U609" s="158"/>
      <c r="V609" s="333"/>
      <c r="W609" s="158"/>
      <c r="X609" s="333"/>
      <c r="Y609" s="158"/>
      <c r="Z609" s="333"/>
      <c r="AA609" s="326"/>
      <c r="AB609" s="1004" t="str">
        <f t="shared" si="76"/>
        <v/>
      </c>
      <c r="AC609" s="1082" t="str">
        <f t="shared" si="77"/>
        <v/>
      </c>
      <c r="AD609" s="1077"/>
      <c r="AE609" s="1077"/>
      <c r="AF609" s="1084" t="str">
        <f t="shared" si="78"/>
        <v/>
      </c>
      <c r="AG609" s="1082" t="str">
        <f t="shared" si="79"/>
        <v/>
      </c>
      <c r="AH609" s="1091"/>
      <c r="AI609" s="1087"/>
      <c r="AJ609" s="1084" t="str">
        <f t="shared" si="80"/>
        <v/>
      </c>
      <c r="AK609" s="1083" t="str">
        <f t="shared" si="81"/>
        <v/>
      </c>
      <c r="AL609" s="211">
        <v>3547818</v>
      </c>
      <c r="AM609" s="211">
        <v>3547818</v>
      </c>
      <c r="AN609" s="211">
        <v>3547818</v>
      </c>
      <c r="AO609" s="211">
        <v>3547818</v>
      </c>
      <c r="AP609" s="211">
        <v>3547818</v>
      </c>
      <c r="AQ609" s="211">
        <v>3547818</v>
      </c>
      <c r="AR609" s="211"/>
      <c r="AS609" s="211"/>
      <c r="AT609" s="211"/>
      <c r="AU609" s="211"/>
      <c r="AV609" s="211"/>
      <c r="AW609" s="211"/>
      <c r="AX609" s="211"/>
      <c r="AY609" s="211"/>
      <c r="AZ609" s="211"/>
      <c r="BA609" s="211"/>
      <c r="BB609" s="211"/>
      <c r="BC609" s="211"/>
      <c r="BD609" s="333">
        <v>43326</v>
      </c>
      <c r="BE609" s="82">
        <f t="shared" si="82"/>
        <v>21286908</v>
      </c>
    </row>
    <row r="610" spans="2:57" ht="40.799999999999997" hidden="1" x14ac:dyDescent="0.3">
      <c r="B610" s="2" t="str">
        <f>+'Base de Datos'!E610</f>
        <v>180129-0-2018</v>
      </c>
      <c r="C610" s="2" t="str">
        <f>+'Base de Datos'!F610</f>
        <v>HIUSTY NAYET LOPEZ VELEZ (Cesionaria) / YOANA INES TRUJILLO AGUDELO (Antes)</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197">
        <f>+'Base de Datos'!I610</f>
        <v>56100000</v>
      </c>
      <c r="G610" s="196">
        <f>+'Base de Datos'!M610</f>
        <v>43140</v>
      </c>
      <c r="H610" s="196">
        <f>+'Base de Datos'!N610</f>
        <v>43473</v>
      </c>
      <c r="I610" s="196"/>
      <c r="J610" s="158"/>
      <c r="K610" s="333"/>
      <c r="L610" s="211"/>
      <c r="M610" s="336"/>
      <c r="N610" s="158"/>
      <c r="O610" s="333"/>
      <c r="P610" s="158"/>
      <c r="Q610" s="338"/>
      <c r="R610" s="81">
        <f t="shared" si="84"/>
        <v>0</v>
      </c>
      <c r="S610" s="820" t="s">
        <v>3888</v>
      </c>
      <c r="T610" s="333">
        <v>43518</v>
      </c>
      <c r="U610" s="158"/>
      <c r="V610" s="333"/>
      <c r="W610" s="158"/>
      <c r="X610" s="333"/>
      <c r="Y610" s="158"/>
      <c r="Z610" s="333"/>
      <c r="AA610" s="820" t="s">
        <v>3888</v>
      </c>
      <c r="AB610" s="1004">
        <f t="shared" si="76"/>
        <v>43518</v>
      </c>
      <c r="AC610" s="1082" t="str">
        <f t="shared" si="77"/>
        <v/>
      </c>
      <c r="AD610" s="1077"/>
      <c r="AE610" s="1077"/>
      <c r="AF610" s="1084" t="str">
        <f t="shared" si="78"/>
        <v/>
      </c>
      <c r="AG610" s="1082" t="str">
        <f t="shared" si="79"/>
        <v/>
      </c>
      <c r="AH610" s="1091"/>
      <c r="AI610" s="1087"/>
      <c r="AJ610" s="1084" t="str">
        <f t="shared" si="80"/>
        <v/>
      </c>
      <c r="AK610" s="1083" t="str">
        <f t="shared" si="81"/>
        <v/>
      </c>
      <c r="AL610" s="211">
        <v>5100000</v>
      </c>
      <c r="AM610" s="211">
        <v>1190000</v>
      </c>
      <c r="AN610" s="211">
        <v>5100000</v>
      </c>
      <c r="AO610" s="211">
        <v>5100000</v>
      </c>
      <c r="AP610" s="211">
        <v>5100000</v>
      </c>
      <c r="AQ610" s="211">
        <v>5100000</v>
      </c>
      <c r="AR610" s="211">
        <v>5100000</v>
      </c>
      <c r="AS610" s="211">
        <v>5100000</v>
      </c>
      <c r="AT610" s="211">
        <v>5100000</v>
      </c>
      <c r="AU610" s="211">
        <v>5100000</v>
      </c>
      <c r="AV610" s="211">
        <v>5100000</v>
      </c>
      <c r="AW610" s="211">
        <v>3740000</v>
      </c>
      <c r="AX610" s="211"/>
      <c r="AY610" s="211"/>
      <c r="AZ610" s="211"/>
      <c r="BA610" s="211"/>
      <c r="BB610" s="211"/>
      <c r="BC610" s="211"/>
      <c r="BD610" s="333">
        <v>43567</v>
      </c>
      <c r="BE610" s="82">
        <f t="shared" si="82"/>
        <v>55930000</v>
      </c>
    </row>
    <row r="611" spans="2:57" ht="61.2" hidden="1" x14ac:dyDescent="0.3">
      <c r="B611" s="2" t="str">
        <f>+'Base de Datos'!E611</f>
        <v>180123-0-2018</v>
      </c>
      <c r="C611" s="2" t="str">
        <f>+'Base de Datos'!F611</f>
        <v>MARIA ALEJANDRA GAITÁN NAVARRETE (Cesionaria) / ÁNGELA MARÍA CANIZALEZ HERRERA (Antes)</v>
      </c>
      <c r="D611" s="2">
        <f>+'Base de Datos'!G611</f>
        <v>52334577</v>
      </c>
      <c r="E611" s="2" t="str">
        <f>+'Base de Datos'!H611</f>
        <v>Prestar servicios profesionales de apoyo a la oficina de comunicaciones del Concejo de Bogotá, en la generación de estrategias que permitan la socialización divulagación y comunicación de la ley de transparencia y demás políticas institucionales, así como prestar apoyo en el cubrimiento mediático de las diferentes sesiones de la corporación.</v>
      </c>
      <c r="F611" s="197">
        <f>+'Base de Datos'!I611</f>
        <v>49440000</v>
      </c>
      <c r="G611" s="196">
        <f>+'Base de Datos'!M611</f>
        <v>43196</v>
      </c>
      <c r="H611" s="196">
        <f>+'Base de Datos'!N611</f>
        <v>43560</v>
      </c>
      <c r="I611" s="196"/>
      <c r="J611" s="158"/>
      <c r="K611" s="333"/>
      <c r="L611" s="211"/>
      <c r="M611" s="336"/>
      <c r="N611" s="158"/>
      <c r="O611" s="333"/>
      <c r="P611" s="158"/>
      <c r="Q611" s="338"/>
      <c r="R611" s="81">
        <f t="shared" si="84"/>
        <v>0</v>
      </c>
      <c r="S611" s="258"/>
      <c r="T611" s="333"/>
      <c r="U611" s="158"/>
      <c r="V611" s="333"/>
      <c r="W611" s="158"/>
      <c r="X611" s="333"/>
      <c r="Y611" s="158"/>
      <c r="Z611" s="333"/>
      <c r="AA611" s="326"/>
      <c r="AB611" s="1004" t="str">
        <f t="shared" si="76"/>
        <v/>
      </c>
      <c r="AC611" s="1082" t="str">
        <f t="shared" si="77"/>
        <v/>
      </c>
      <c r="AD611" s="1077"/>
      <c r="AE611" s="1077"/>
      <c r="AF611" s="1084" t="str">
        <f t="shared" si="78"/>
        <v/>
      </c>
      <c r="AG611" s="1082" t="str">
        <f t="shared" si="79"/>
        <v/>
      </c>
      <c r="AH611" s="1091"/>
      <c r="AI611" s="1087"/>
      <c r="AJ611" s="1084" t="str">
        <f t="shared" si="80"/>
        <v/>
      </c>
      <c r="AK611" s="1083" t="str">
        <f t="shared" si="81"/>
        <v/>
      </c>
      <c r="AL611" s="211">
        <v>3433333</v>
      </c>
      <c r="AM611" s="211">
        <v>4120000</v>
      </c>
      <c r="AN611" s="211">
        <v>4120000</v>
      </c>
      <c r="AO611" s="211">
        <v>4120000</v>
      </c>
      <c r="AP611" s="211">
        <v>4120000</v>
      </c>
      <c r="AQ611" s="211">
        <v>4120000</v>
      </c>
      <c r="AR611" s="211">
        <v>4120000</v>
      </c>
      <c r="AS611" s="211">
        <v>4120000</v>
      </c>
      <c r="AT611" s="211">
        <v>4120000</v>
      </c>
      <c r="AU611" s="211">
        <v>4120000</v>
      </c>
      <c r="AV611" s="211">
        <v>4120000</v>
      </c>
      <c r="AW611" s="211">
        <v>4120000</v>
      </c>
      <c r="AX611" s="211">
        <v>686667</v>
      </c>
      <c r="AY611" s="211"/>
      <c r="AZ611" s="211"/>
      <c r="BA611" s="211"/>
      <c r="BB611" s="211"/>
      <c r="BC611" s="211"/>
      <c r="BD611" s="333">
        <v>43612</v>
      </c>
      <c r="BE611" s="82">
        <f t="shared" si="82"/>
        <v>49440000</v>
      </c>
    </row>
    <row r="612" spans="2:57" ht="20.399999999999999" hidden="1" x14ac:dyDescent="0.3">
      <c r="B612" s="2" t="str">
        <f>+'Base de Datos'!E612</f>
        <v>180087-0-2018</v>
      </c>
      <c r="C612" s="2" t="str">
        <f>+'Base de Datos'!F612</f>
        <v>ORACLE COLOMBIA LTDA</v>
      </c>
      <c r="D612" s="2">
        <f>+'Base de Datos'!G612</f>
        <v>800103052</v>
      </c>
      <c r="E612" s="2" t="str">
        <f>+'Base de Datos'!H612</f>
        <v>Prestar servicios de soporte y mantenimiento de todos los productos Oracle adquiridos por el Concejo de Bogotá.</v>
      </c>
      <c r="F612" s="197">
        <f>+'Base de Datos'!I612</f>
        <v>203714167</v>
      </c>
      <c r="G612" s="196">
        <f>+'Base de Datos'!M612</f>
        <v>43126</v>
      </c>
      <c r="H612" s="196">
        <f>+'Base de Datos'!N612</f>
        <v>43465</v>
      </c>
      <c r="I612" s="196"/>
      <c r="J612" s="158"/>
      <c r="K612" s="333"/>
      <c r="L612" s="211"/>
      <c r="M612" s="336"/>
      <c r="N612" s="158"/>
      <c r="O612" s="333"/>
      <c r="P612" s="158"/>
      <c r="Q612" s="338"/>
      <c r="R612" s="81">
        <f t="shared" si="84"/>
        <v>0</v>
      </c>
      <c r="S612" s="258"/>
      <c r="T612" s="333"/>
      <c r="U612" s="158"/>
      <c r="V612" s="333"/>
      <c r="W612" s="158"/>
      <c r="X612" s="333"/>
      <c r="Y612" s="158"/>
      <c r="Z612" s="333"/>
      <c r="AA612" s="326"/>
      <c r="AB612" s="1004" t="str">
        <f t="shared" si="76"/>
        <v/>
      </c>
      <c r="AC612" s="1082" t="str">
        <f t="shared" si="77"/>
        <v/>
      </c>
      <c r="AD612" s="1077"/>
      <c r="AE612" s="1077"/>
      <c r="AF612" s="1084" t="str">
        <f t="shared" si="78"/>
        <v/>
      </c>
      <c r="AG612" s="1082" t="str">
        <f t="shared" si="79"/>
        <v/>
      </c>
      <c r="AH612" s="1091"/>
      <c r="AI612" s="1087"/>
      <c r="AJ612" s="1084" t="str">
        <f t="shared" si="80"/>
        <v/>
      </c>
      <c r="AK612" s="1083" t="str">
        <f t="shared" si="81"/>
        <v/>
      </c>
      <c r="AL612" s="211">
        <v>203714167</v>
      </c>
      <c r="AM612" s="211"/>
      <c r="AN612" s="211"/>
      <c r="AO612" s="211"/>
      <c r="AP612" s="211"/>
      <c r="AQ612" s="211"/>
      <c r="AR612" s="211"/>
      <c r="AS612" s="211"/>
      <c r="AT612" s="211"/>
      <c r="AU612" s="211"/>
      <c r="AV612" s="211"/>
      <c r="AW612" s="211"/>
      <c r="AX612" s="211"/>
      <c r="AY612" s="211"/>
      <c r="AZ612" s="211"/>
      <c r="BA612" s="211"/>
      <c r="BB612" s="211"/>
      <c r="BC612" s="211"/>
      <c r="BD612" s="333">
        <v>43242</v>
      </c>
      <c r="BE612" s="82">
        <f t="shared" si="82"/>
        <v>203714167</v>
      </c>
    </row>
    <row r="613" spans="2:57" ht="20.399999999999999" hidden="1" x14ac:dyDescent="0.3">
      <c r="B613" s="2" t="str">
        <f>+'Base de Datos'!E613</f>
        <v>180140-0-2018</v>
      </c>
      <c r="C613" s="2" t="str">
        <f>+'Base de Datos'!F613</f>
        <v>SIIGO S.A.</v>
      </c>
      <c r="D613" s="2" t="str">
        <f>+'Base de Datos'!G613</f>
        <v>830048145-8</v>
      </c>
      <c r="E613" s="2" t="str">
        <f>+'Base de Datos'!H613</f>
        <v>Prestar servicios de mantenimiento y actualización de módulo de contabilidad programa SIIGO</v>
      </c>
      <c r="F613" s="197">
        <f>+'Base de Datos'!I613</f>
        <v>426827</v>
      </c>
      <c r="G613" s="196">
        <f>+'Base de Datos'!M613</f>
        <v>43220</v>
      </c>
      <c r="H613" s="196">
        <f>+'Base de Datos'!N613</f>
        <v>43584</v>
      </c>
      <c r="I613" s="196"/>
      <c r="J613" s="158"/>
      <c r="K613" s="333"/>
      <c r="L613" s="211"/>
      <c r="M613" s="336"/>
      <c r="N613" s="158"/>
      <c r="O613" s="333"/>
      <c r="P613" s="158"/>
      <c r="Q613" s="338"/>
      <c r="R613" s="81">
        <f t="shared" si="84"/>
        <v>0</v>
      </c>
      <c r="S613" s="258"/>
      <c r="T613" s="333"/>
      <c r="U613" s="158"/>
      <c r="V613" s="333"/>
      <c r="W613" s="158"/>
      <c r="X613" s="333"/>
      <c r="Y613" s="158"/>
      <c r="Z613" s="333"/>
      <c r="AA613" s="326"/>
      <c r="AB613" s="1004" t="str">
        <f t="shared" si="76"/>
        <v/>
      </c>
      <c r="AC613" s="1082" t="str">
        <f t="shared" si="77"/>
        <v/>
      </c>
      <c r="AD613" s="1077"/>
      <c r="AE613" s="1077"/>
      <c r="AF613" s="1084" t="str">
        <f t="shared" si="78"/>
        <v/>
      </c>
      <c r="AG613" s="1082" t="str">
        <f t="shared" si="79"/>
        <v/>
      </c>
      <c r="AH613" s="1091"/>
      <c r="AI613" s="1087"/>
      <c r="AJ613" s="1084" t="str">
        <f t="shared" si="80"/>
        <v/>
      </c>
      <c r="AK613" s="1083" t="str">
        <f t="shared" si="81"/>
        <v/>
      </c>
      <c r="AL613" s="211">
        <v>426827</v>
      </c>
      <c r="AM613" s="211"/>
      <c r="AN613" s="211"/>
      <c r="AO613" s="211"/>
      <c r="AP613" s="211"/>
      <c r="AQ613" s="211"/>
      <c r="AR613" s="211"/>
      <c r="AS613" s="211"/>
      <c r="AT613" s="211"/>
      <c r="AU613" s="211"/>
      <c r="AV613" s="211"/>
      <c r="AW613" s="211"/>
      <c r="AX613" s="211"/>
      <c r="AY613" s="211"/>
      <c r="AZ613" s="211"/>
      <c r="BA613" s="211"/>
      <c r="BB613" s="211"/>
      <c r="BC613" s="211"/>
      <c r="BD613" s="333">
        <v>43252</v>
      </c>
      <c r="BE613" s="82">
        <f t="shared" si="82"/>
        <v>426827</v>
      </c>
    </row>
    <row r="614" spans="2:57" ht="20.399999999999999" hidden="1" x14ac:dyDescent="0.3">
      <c r="B614" s="2" t="str">
        <f>+'Base de Datos'!E614</f>
        <v>180149-0-2018</v>
      </c>
      <c r="C614" s="2" t="str">
        <f>+'Base de Datos'!F614</f>
        <v>EL RINCON DEPORTIVO DE LA 24 / CLAUDIA ROCIO MARIN ROJAS</v>
      </c>
      <c r="D614" s="2">
        <f>+'Base de Datos'!G614</f>
        <v>52713367</v>
      </c>
      <c r="E614" s="2" t="str">
        <f>+'Base de Datos'!H614</f>
        <v>Suministro de uniformes y elementos deportivos para los funcionarios del Concejo de Bogotá.</v>
      </c>
      <c r="F614" s="197">
        <f>+'Base de Datos'!I614</f>
        <v>11634980</v>
      </c>
      <c r="G614" s="196">
        <f>+'Base de Datos'!M614</f>
        <v>43194</v>
      </c>
      <c r="H614" s="196">
        <f>+'Base de Datos'!N614</f>
        <v>43254</v>
      </c>
      <c r="I614" s="196"/>
      <c r="J614" s="158"/>
      <c r="K614" s="333"/>
      <c r="L614" s="211"/>
      <c r="M614" s="336"/>
      <c r="N614" s="158"/>
      <c r="O614" s="333"/>
      <c r="P614" s="158"/>
      <c r="Q614" s="338"/>
      <c r="R614" s="81">
        <f t="shared" si="84"/>
        <v>0</v>
      </c>
      <c r="S614" s="258"/>
      <c r="T614" s="333"/>
      <c r="U614" s="158"/>
      <c r="V614" s="333"/>
      <c r="W614" s="158"/>
      <c r="X614" s="333"/>
      <c r="Y614" s="158"/>
      <c r="Z614" s="333"/>
      <c r="AA614" s="326"/>
      <c r="AB614" s="1004" t="str">
        <f t="shared" si="76"/>
        <v/>
      </c>
      <c r="AC614" s="1082" t="str">
        <f t="shared" si="77"/>
        <v/>
      </c>
      <c r="AD614" s="1077"/>
      <c r="AE614" s="1077"/>
      <c r="AF614" s="1084" t="str">
        <f t="shared" si="78"/>
        <v/>
      </c>
      <c r="AG614" s="1082" t="str">
        <f t="shared" si="79"/>
        <v/>
      </c>
      <c r="AH614" s="1091"/>
      <c r="AI614" s="1087"/>
      <c r="AJ614" s="1084" t="str">
        <f t="shared" si="80"/>
        <v/>
      </c>
      <c r="AK614" s="1083" t="str">
        <f t="shared" si="81"/>
        <v/>
      </c>
      <c r="AL614" s="211">
        <v>11618540</v>
      </c>
      <c r="AM614" s="211"/>
      <c r="AN614" s="211"/>
      <c r="AO614" s="211"/>
      <c r="AP614" s="211"/>
      <c r="AQ614" s="211"/>
      <c r="AR614" s="211"/>
      <c r="AS614" s="211"/>
      <c r="AT614" s="211"/>
      <c r="AU614" s="211"/>
      <c r="AV614" s="211"/>
      <c r="AW614" s="211"/>
      <c r="AX614" s="211"/>
      <c r="AY614" s="211"/>
      <c r="AZ614" s="211"/>
      <c r="BA614" s="211"/>
      <c r="BB614" s="211"/>
      <c r="BC614" s="211"/>
      <c r="BD614" s="333">
        <v>43311</v>
      </c>
      <c r="BE614" s="82">
        <f t="shared" si="82"/>
        <v>11618540</v>
      </c>
    </row>
    <row r="615" spans="2:57" ht="40.799999999999997" hidden="1" x14ac:dyDescent="0.3">
      <c r="B615" s="2" t="str">
        <f>+'Base de Datos'!E615</f>
        <v>180151-0-2018</v>
      </c>
      <c r="C615" s="2" t="str">
        <f>+'Base de Datos'!F615</f>
        <v>INGENIERIA DE BOMBAS Y PLANTAS LIMITADA</v>
      </c>
      <c r="D615" s="2" t="str">
        <f>+'Base de Datos'!G615</f>
        <v>900152368-1</v>
      </c>
      <c r="E615" s="2" t="str">
        <f>+'Base de Datos'!H615</f>
        <v xml:space="preserve">Prestar servicios de mantenimiento preventivo y correctivo al sistema eléctrico del centro Administrativo Distrital CAD y al sistema de generación y transferencia eléctrica de emergencia del Concejo de Bogotá. </v>
      </c>
      <c r="F615" s="197">
        <f>+'Base de Datos'!I615</f>
        <v>9705000</v>
      </c>
      <c r="G615" s="196">
        <f>+'Base de Datos'!M615</f>
        <v>43201</v>
      </c>
      <c r="H615" s="196">
        <f>+'Base de Datos'!N615</f>
        <v>43565</v>
      </c>
      <c r="I615" s="196"/>
      <c r="J615" s="158"/>
      <c r="K615" s="333"/>
      <c r="L615" s="211"/>
      <c r="M615" s="336"/>
      <c r="N615" s="158"/>
      <c r="O615" s="333"/>
      <c r="P615" s="158"/>
      <c r="Q615" s="338"/>
      <c r="R615" s="81">
        <f t="shared" si="84"/>
        <v>0</v>
      </c>
      <c r="S615" s="258" t="s">
        <v>378</v>
      </c>
      <c r="T615" s="333">
        <v>43626</v>
      </c>
      <c r="U615" s="158"/>
      <c r="V615" s="333"/>
      <c r="W615" s="158"/>
      <c r="X615" s="333"/>
      <c r="Y615" s="158"/>
      <c r="Z615" s="333"/>
      <c r="AA615" s="258" t="s">
        <v>378</v>
      </c>
      <c r="AB615" s="1004">
        <f t="shared" si="76"/>
        <v>43626</v>
      </c>
      <c r="AC615" s="1082" t="str">
        <f t="shared" si="77"/>
        <v/>
      </c>
      <c r="AD615" s="1077"/>
      <c r="AE615" s="1077"/>
      <c r="AF615" s="1084" t="str">
        <f t="shared" si="78"/>
        <v/>
      </c>
      <c r="AG615" s="1082" t="str">
        <f t="shared" si="79"/>
        <v/>
      </c>
      <c r="AH615" s="1091"/>
      <c r="AI615" s="1087"/>
      <c r="AJ615" s="1084" t="str">
        <f t="shared" si="80"/>
        <v/>
      </c>
      <c r="AK615" s="1083" t="str">
        <f t="shared" si="81"/>
        <v/>
      </c>
      <c r="AL615" s="211">
        <v>700000</v>
      </c>
      <c r="AM615" s="211">
        <v>1250000</v>
      </c>
      <c r="AN615" s="211">
        <v>500000</v>
      </c>
      <c r="AO615" s="211">
        <v>700000</v>
      </c>
      <c r="AP615" s="211"/>
      <c r="AQ615" s="211"/>
      <c r="AR615" s="211"/>
      <c r="AS615" s="211">
        <v>4495000</v>
      </c>
      <c r="AT615" s="211"/>
      <c r="AU615" s="211"/>
      <c r="AV615" s="211"/>
      <c r="AW615" s="211"/>
      <c r="AX615" s="211"/>
      <c r="AY615" s="211"/>
      <c r="AZ615" s="211"/>
      <c r="BA615" s="211"/>
      <c r="BB615" s="211"/>
      <c r="BC615" s="211"/>
      <c r="BD615" s="333">
        <v>43906</v>
      </c>
      <c r="BE615" s="82">
        <f t="shared" si="82"/>
        <v>7645000</v>
      </c>
    </row>
    <row r="616" spans="2:57" hidden="1" x14ac:dyDescent="0.3">
      <c r="B616" s="2" t="str">
        <f>+'Base de Datos'!E616</f>
        <v>180156-0-2018</v>
      </c>
      <c r="C616" s="2" t="str">
        <f>+'Base de Datos'!F616</f>
        <v xml:space="preserve">CENCOSUD COLOMBIA </v>
      </c>
      <c r="D616" s="2" t="str">
        <f>+'Base de Datos'!G616</f>
        <v>900155107-1</v>
      </c>
      <c r="E616" s="2" t="str">
        <f>+'Base de Datos'!H616</f>
        <v>Proveer televisores para el Concejo de Bogotá</v>
      </c>
      <c r="F616" s="197">
        <f>+'Base de Datos'!I616</f>
        <v>18899730</v>
      </c>
      <c r="G616" s="196">
        <f>+'Base de Datos'!M616</f>
        <v>43182</v>
      </c>
      <c r="H616" s="196">
        <f>+'Base de Datos'!N616</f>
        <v>43193</v>
      </c>
      <c r="I616" s="196"/>
      <c r="J616" s="158"/>
      <c r="K616" s="333"/>
      <c r="L616" s="211"/>
      <c r="M616" s="336"/>
      <c r="N616" s="158"/>
      <c r="O616" s="333"/>
      <c r="P616" s="158"/>
      <c r="Q616" s="338"/>
      <c r="R616" s="81">
        <f t="shared" si="84"/>
        <v>0</v>
      </c>
      <c r="S616" s="258"/>
      <c r="T616" s="333"/>
      <c r="U616" s="158"/>
      <c r="V616" s="333"/>
      <c r="W616" s="158"/>
      <c r="X616" s="333"/>
      <c r="Y616" s="158"/>
      <c r="Z616" s="333"/>
      <c r="AA616" s="326"/>
      <c r="AB616" s="1004" t="str">
        <f t="shared" si="76"/>
        <v/>
      </c>
      <c r="AC616" s="1082" t="str">
        <f t="shared" si="77"/>
        <v/>
      </c>
      <c r="AD616" s="1077"/>
      <c r="AE616" s="1077"/>
      <c r="AF616" s="1084" t="str">
        <f t="shared" si="78"/>
        <v/>
      </c>
      <c r="AG616" s="1082" t="str">
        <f t="shared" si="79"/>
        <v/>
      </c>
      <c r="AH616" s="1091"/>
      <c r="AI616" s="1087"/>
      <c r="AJ616" s="1084" t="str">
        <f t="shared" si="80"/>
        <v/>
      </c>
      <c r="AK616" s="1083" t="str">
        <f t="shared" si="81"/>
        <v/>
      </c>
      <c r="AL616" s="211">
        <v>18899730</v>
      </c>
      <c r="AM616" s="211"/>
      <c r="AN616" s="211"/>
      <c r="AO616" s="211"/>
      <c r="AP616" s="211"/>
      <c r="AQ616" s="211"/>
      <c r="AR616" s="211"/>
      <c r="AS616" s="211"/>
      <c r="AT616" s="211"/>
      <c r="AU616" s="211"/>
      <c r="AV616" s="211"/>
      <c r="AW616" s="211"/>
      <c r="AX616" s="211"/>
      <c r="AY616" s="211"/>
      <c r="AZ616" s="211"/>
      <c r="BA616" s="211"/>
      <c r="BB616" s="211"/>
      <c r="BC616" s="211"/>
      <c r="BD616" s="333">
        <v>43222</v>
      </c>
      <c r="BE616" s="82">
        <f t="shared" si="82"/>
        <v>18899730</v>
      </c>
    </row>
    <row r="617" spans="2:57" ht="30.6" hidden="1" x14ac:dyDescent="0.3">
      <c r="B617" s="2" t="str">
        <f>+'Base de Datos'!E617</f>
        <v>180163-0-2018</v>
      </c>
      <c r="C617" s="2" t="str">
        <f>+'Base de Datos'!F617</f>
        <v>ACOMEDIOS PUBLICIDAD Y MERCADEO</v>
      </c>
      <c r="D617" s="2">
        <f>+'Base de Datos'!G617</f>
        <v>800000457</v>
      </c>
      <c r="E617" s="2" t="str">
        <f>+'Base de Datos'!H617</f>
        <v>Prestar servicios de diseño, producción y ejecución de estrategias de divulgación en medios de comunicación de carácter masivo y alternativo para el Concejo de Bogotá; D.C.</v>
      </c>
      <c r="F617" s="197">
        <f>+'Base de Datos'!I617</f>
        <v>490000000</v>
      </c>
      <c r="G617" s="196">
        <f>+'Base de Datos'!M617</f>
        <v>43213</v>
      </c>
      <c r="H617" s="196">
        <f>+'Base de Datos'!N617</f>
        <v>43577</v>
      </c>
      <c r="I617" s="196"/>
      <c r="J617" s="158">
        <v>100000000</v>
      </c>
      <c r="K617" s="333">
        <v>43462</v>
      </c>
      <c r="L617" s="158">
        <v>22000000</v>
      </c>
      <c r="M617" s="333">
        <v>43536</v>
      </c>
      <c r="N617" s="158"/>
      <c r="O617" s="333"/>
      <c r="P617" s="158"/>
      <c r="Q617" s="338"/>
      <c r="R617" s="81">
        <f t="shared" si="84"/>
        <v>122000000</v>
      </c>
      <c r="S617" s="258"/>
      <c r="T617" s="333"/>
      <c r="U617" s="158"/>
      <c r="V617" s="333"/>
      <c r="W617" s="158"/>
      <c r="X617" s="333"/>
      <c r="Y617" s="158"/>
      <c r="Z617" s="333"/>
      <c r="AA617" s="326"/>
      <c r="AB617" s="1004" t="str">
        <f t="shared" si="76"/>
        <v/>
      </c>
      <c r="AC617" s="1082" t="str">
        <f t="shared" si="77"/>
        <v/>
      </c>
      <c r="AD617" s="1077"/>
      <c r="AE617" s="1077"/>
      <c r="AF617" s="1084" t="str">
        <f t="shared" si="78"/>
        <v/>
      </c>
      <c r="AG617" s="1082" t="str">
        <f t="shared" si="79"/>
        <v/>
      </c>
      <c r="AH617" s="1091"/>
      <c r="AI617" s="1087"/>
      <c r="AJ617" s="1084" t="str">
        <f t="shared" si="80"/>
        <v/>
      </c>
      <c r="AK617" s="1083" t="str">
        <f t="shared" si="81"/>
        <v/>
      </c>
      <c r="AL617" s="211">
        <v>197922875</v>
      </c>
      <c r="AM617" s="211">
        <v>181498659</v>
      </c>
      <c r="AN617" s="211">
        <v>74290591</v>
      </c>
      <c r="AO617" s="211">
        <v>36287875</v>
      </c>
      <c r="AP617" s="211">
        <v>97457315</v>
      </c>
      <c r="AQ617" s="211">
        <v>2542685</v>
      </c>
      <c r="AR617" s="211">
        <v>21999638</v>
      </c>
      <c r="AS617" s="211"/>
      <c r="AT617" s="211"/>
      <c r="AU617" s="211"/>
      <c r="AV617" s="211"/>
      <c r="AW617" s="211"/>
      <c r="AX617" s="211"/>
      <c r="AY617" s="211"/>
      <c r="AZ617" s="211"/>
      <c r="BA617" s="211"/>
      <c r="BB617" s="211"/>
      <c r="BC617" s="211"/>
      <c r="BD617" s="333">
        <v>43724</v>
      </c>
      <c r="BE617" s="82">
        <f t="shared" si="82"/>
        <v>611999638</v>
      </c>
    </row>
    <row r="618" spans="2:57" ht="20.399999999999999" hidden="1" x14ac:dyDescent="0.3">
      <c r="B618" s="2" t="str">
        <f>+'Base de Datos'!E618</f>
        <v>180162-0-2018</v>
      </c>
      <c r="C618" s="2" t="str">
        <f>+'Base de Datos'!F618</f>
        <v>SOLUCIONES ICG SAS</v>
      </c>
      <c r="D618" s="2" t="str">
        <f>+'Base de Datos'!G618</f>
        <v>900981247-9</v>
      </c>
      <c r="E618" s="2" t="str">
        <f>+'Base de Datos'!H618</f>
        <v>Prestar servicios de soporte y actualización del software antivirus para el Concejo de Bogotá</v>
      </c>
      <c r="F618" s="197">
        <f>+'Base de Datos'!I618</f>
        <v>69997918</v>
      </c>
      <c r="G618" s="196">
        <f>+'Base de Datos'!M618</f>
        <v>43214</v>
      </c>
      <c r="H618" s="196">
        <f>+'Base de Datos'!N618</f>
        <v>43578</v>
      </c>
      <c r="I618" s="196"/>
      <c r="J618" s="158"/>
      <c r="K618" s="333"/>
      <c r="L618" s="211"/>
      <c r="M618" s="336"/>
      <c r="N618" s="158"/>
      <c r="O618" s="333"/>
      <c r="P618" s="158"/>
      <c r="Q618" s="338"/>
      <c r="R618" s="81">
        <f t="shared" si="84"/>
        <v>0</v>
      </c>
      <c r="S618" s="258"/>
      <c r="T618" s="333"/>
      <c r="U618" s="158"/>
      <c r="V618" s="333"/>
      <c r="W618" s="158"/>
      <c r="X618" s="333"/>
      <c r="Y618" s="158"/>
      <c r="Z618" s="333"/>
      <c r="AA618" s="326"/>
      <c r="AB618" s="1004" t="str">
        <f t="shared" si="76"/>
        <v/>
      </c>
      <c r="AC618" s="1082" t="str">
        <f t="shared" si="77"/>
        <v/>
      </c>
      <c r="AD618" s="1077"/>
      <c r="AE618" s="1077"/>
      <c r="AF618" s="1084" t="str">
        <f t="shared" si="78"/>
        <v/>
      </c>
      <c r="AG618" s="1082" t="str">
        <f t="shared" si="79"/>
        <v/>
      </c>
      <c r="AH618" s="1091"/>
      <c r="AI618" s="1087"/>
      <c r="AJ618" s="1084" t="str">
        <f t="shared" si="80"/>
        <v/>
      </c>
      <c r="AK618" s="1083" t="str">
        <f t="shared" si="81"/>
        <v/>
      </c>
      <c r="AL618" s="211">
        <v>65521138</v>
      </c>
      <c r="AM618" s="211">
        <v>2238390</v>
      </c>
      <c r="AN618" s="211">
        <v>2238390</v>
      </c>
      <c r="AO618" s="211"/>
      <c r="AP618" s="211"/>
      <c r="AQ618" s="211"/>
      <c r="AR618" s="211"/>
      <c r="AS618" s="211"/>
      <c r="AT618" s="211"/>
      <c r="AU618" s="211"/>
      <c r="AV618" s="211"/>
      <c r="AW618" s="211"/>
      <c r="AX618" s="211"/>
      <c r="AY618" s="211"/>
      <c r="AZ618" s="211"/>
      <c r="BA618" s="211"/>
      <c r="BB618" s="211"/>
      <c r="BC618" s="211"/>
      <c r="BD618" s="333">
        <v>43362</v>
      </c>
      <c r="BE618" s="82">
        <f t="shared" si="82"/>
        <v>69997918</v>
      </c>
    </row>
    <row r="619" spans="2:57" ht="20.399999999999999" hidden="1" x14ac:dyDescent="0.3">
      <c r="B619" s="2" t="str">
        <f>+'Base de Datos'!E619</f>
        <v>180169-0-2018</v>
      </c>
      <c r="C619" s="2" t="str">
        <f>+'Base de Datos'!F619</f>
        <v>KEY MARKET SAS EN REORGANIZACION</v>
      </c>
      <c r="D619" s="2">
        <f>+'Base de Datos'!G619</f>
        <v>830073623</v>
      </c>
      <c r="E619" s="2" t="str">
        <f>+'Base de Datos'!H619</f>
        <v>Proveer medios magnéticos para copias de respaldo para el Concejo de Bogotá.</v>
      </c>
      <c r="F619" s="197">
        <f>+'Base de Datos'!I619</f>
        <v>26614000</v>
      </c>
      <c r="G619" s="196">
        <f>+'Base de Datos'!M619</f>
        <v>43227</v>
      </c>
      <c r="H619" s="196">
        <f>+'Base de Datos'!N619</f>
        <v>43287</v>
      </c>
      <c r="I619" s="196"/>
      <c r="J619" s="158"/>
      <c r="K619" s="333"/>
      <c r="L619" s="211"/>
      <c r="M619" s="336"/>
      <c r="N619" s="158"/>
      <c r="O619" s="333"/>
      <c r="P619" s="158"/>
      <c r="Q619" s="338"/>
      <c r="R619" s="81">
        <f t="shared" si="84"/>
        <v>0</v>
      </c>
      <c r="S619" s="258"/>
      <c r="T619" s="333"/>
      <c r="U619" s="158"/>
      <c r="V619" s="333"/>
      <c r="W619" s="158"/>
      <c r="X619" s="333"/>
      <c r="Y619" s="158"/>
      <c r="Z619" s="333"/>
      <c r="AA619" s="326"/>
      <c r="AB619" s="1004" t="str">
        <f t="shared" si="76"/>
        <v/>
      </c>
      <c r="AC619" s="1082" t="str">
        <f t="shared" si="77"/>
        <v/>
      </c>
      <c r="AD619" s="1077"/>
      <c r="AE619" s="1077"/>
      <c r="AF619" s="1084" t="str">
        <f t="shared" si="78"/>
        <v/>
      </c>
      <c r="AG619" s="1082" t="str">
        <f t="shared" si="79"/>
        <v/>
      </c>
      <c r="AH619" s="1091"/>
      <c r="AI619" s="1087"/>
      <c r="AJ619" s="1084" t="str">
        <f t="shared" si="80"/>
        <v/>
      </c>
      <c r="AK619" s="1083" t="str">
        <f t="shared" si="81"/>
        <v/>
      </c>
      <c r="AL619" s="211">
        <v>26614000</v>
      </c>
      <c r="AM619" s="211"/>
      <c r="AN619" s="211"/>
      <c r="AO619" s="211"/>
      <c r="AP619" s="211"/>
      <c r="AQ619" s="211"/>
      <c r="AR619" s="211"/>
      <c r="AS619" s="211"/>
      <c r="AT619" s="211"/>
      <c r="AU619" s="211"/>
      <c r="AV619" s="211"/>
      <c r="AW619" s="211"/>
      <c r="AX619" s="211"/>
      <c r="AY619" s="211"/>
      <c r="AZ619" s="211"/>
      <c r="BA619" s="211"/>
      <c r="BB619" s="211"/>
      <c r="BC619" s="211"/>
      <c r="BD619" s="333">
        <v>43266</v>
      </c>
      <c r="BE619" s="82">
        <f t="shared" si="82"/>
        <v>26614000</v>
      </c>
    </row>
    <row r="620" spans="2:57" ht="20.399999999999999" hidden="1" x14ac:dyDescent="0.3">
      <c r="B620" s="2" t="str">
        <f>+'Base de Datos'!E620</f>
        <v>180158-0-2018</v>
      </c>
      <c r="C620" s="2" t="str">
        <f>+'Base de Datos'!F620</f>
        <v>CAR SCANNERS SAS</v>
      </c>
      <c r="D620" s="2">
        <f>+'Base de Datos'!G620</f>
        <v>900693270</v>
      </c>
      <c r="E620" s="2" t="str">
        <f>+'Base de Datos'!H620</f>
        <v>Prestar los servicios de mantenimiento periódico preventivo para los vehículos del Concejo de Bogotá D.C.</v>
      </c>
      <c r="F620" s="197">
        <f>+'Base de Datos'!I620</f>
        <v>35650000</v>
      </c>
      <c r="G620" s="196">
        <f>+'Base de Datos'!M620</f>
        <v>43217</v>
      </c>
      <c r="H620" s="196">
        <f>+'Base de Datos'!N620</f>
        <v>43581</v>
      </c>
      <c r="I620" s="196"/>
      <c r="J620" s="158"/>
      <c r="K620" s="333"/>
      <c r="L620" s="211"/>
      <c r="M620" s="336"/>
      <c r="N620" s="158"/>
      <c r="O620" s="333"/>
      <c r="P620" s="158"/>
      <c r="Q620" s="338"/>
      <c r="R620" s="81">
        <f t="shared" si="84"/>
        <v>0</v>
      </c>
      <c r="S620" s="258"/>
      <c r="T620" s="333"/>
      <c r="U620" s="158"/>
      <c r="V620" s="333"/>
      <c r="W620" s="158"/>
      <c r="X620" s="333"/>
      <c r="Y620" s="158"/>
      <c r="Z620" s="333"/>
      <c r="AA620" s="326"/>
      <c r="AB620" s="1004" t="str">
        <f t="shared" si="76"/>
        <v/>
      </c>
      <c r="AC620" s="1082" t="str">
        <f t="shared" si="77"/>
        <v/>
      </c>
      <c r="AD620" s="1077"/>
      <c r="AE620" s="1077"/>
      <c r="AF620" s="1084" t="str">
        <f t="shared" si="78"/>
        <v/>
      </c>
      <c r="AG620" s="1082" t="str">
        <f t="shared" si="79"/>
        <v/>
      </c>
      <c r="AH620" s="1091"/>
      <c r="AI620" s="1087"/>
      <c r="AJ620" s="1084" t="str">
        <f t="shared" si="80"/>
        <v/>
      </c>
      <c r="AK620" s="1083" t="str">
        <f t="shared" si="81"/>
        <v/>
      </c>
      <c r="AL620" s="211">
        <v>803361</v>
      </c>
      <c r="AM620" s="211">
        <v>521350</v>
      </c>
      <c r="AN620" s="211">
        <v>2599524</v>
      </c>
      <c r="AO620" s="211">
        <v>1051401</v>
      </c>
      <c r="AP620" s="211">
        <v>1047254</v>
      </c>
      <c r="AQ620" s="211">
        <v>870754</v>
      </c>
      <c r="AR620" s="211">
        <v>739643</v>
      </c>
      <c r="AS620" s="211">
        <v>801415</v>
      </c>
      <c r="AT620" s="211">
        <v>628341</v>
      </c>
      <c r="AU620" s="211"/>
      <c r="AV620" s="211"/>
      <c r="AW620" s="211"/>
      <c r="AX620" s="211"/>
      <c r="AY620" s="211"/>
      <c r="AZ620" s="211"/>
      <c r="BA620" s="211"/>
      <c r="BB620" s="211"/>
      <c r="BC620" s="211"/>
      <c r="BD620" s="333">
        <v>43717</v>
      </c>
      <c r="BE620" s="82">
        <f t="shared" si="82"/>
        <v>9063043</v>
      </c>
    </row>
    <row r="621" spans="2:57" ht="61.2" hidden="1" x14ac:dyDescent="0.3">
      <c r="B621" s="2" t="str">
        <f>+'Base de Datos'!E621</f>
        <v>180172-0-2018</v>
      </c>
      <c r="C621" s="2" t="str">
        <f>+'Base de Datos'!F621</f>
        <v>J Y F INVERSIONES SAS</v>
      </c>
      <c r="D621" s="2">
        <f>+'Base de Datos'!G621</f>
        <v>900424713</v>
      </c>
      <c r="E621" s="2" t="str">
        <f>+'Base de Datos'!H621</f>
        <v>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v>
      </c>
      <c r="F621" s="197">
        <f>+'Base de Datos'!I621</f>
        <v>55000000</v>
      </c>
      <c r="G621" s="196">
        <f>+'Base de Datos'!M621</f>
        <v>43227</v>
      </c>
      <c r="H621" s="196">
        <f>+'Base de Datos'!N621</f>
        <v>43287</v>
      </c>
      <c r="I621" s="196"/>
      <c r="J621" s="158"/>
      <c r="K621" s="333"/>
      <c r="L621" s="211"/>
      <c r="M621" s="336"/>
      <c r="N621" s="158"/>
      <c r="O621" s="333"/>
      <c r="P621" s="158"/>
      <c r="Q621" s="338"/>
      <c r="R621" s="81">
        <f t="shared" si="84"/>
        <v>0</v>
      </c>
      <c r="S621" s="258" t="s">
        <v>4121</v>
      </c>
      <c r="T621" s="333">
        <v>43322</v>
      </c>
      <c r="U621" s="158"/>
      <c r="V621" s="333"/>
      <c r="W621" s="158"/>
      <c r="X621" s="333"/>
      <c r="Y621" s="158"/>
      <c r="Z621" s="333"/>
      <c r="AA621" s="258" t="s">
        <v>4121</v>
      </c>
      <c r="AB621" s="1004">
        <f t="shared" si="76"/>
        <v>43322</v>
      </c>
      <c r="AC621" s="1082" t="str">
        <f t="shared" si="77"/>
        <v/>
      </c>
      <c r="AD621" s="1077"/>
      <c r="AE621" s="1077"/>
      <c r="AF621" s="1084" t="str">
        <f t="shared" si="78"/>
        <v/>
      </c>
      <c r="AG621" s="1082" t="str">
        <f t="shared" si="79"/>
        <v/>
      </c>
      <c r="AH621" s="1091"/>
      <c r="AI621" s="1087"/>
      <c r="AJ621" s="1084" t="str">
        <f t="shared" si="80"/>
        <v/>
      </c>
      <c r="AK621" s="1083" t="str">
        <f t="shared" si="81"/>
        <v/>
      </c>
      <c r="AL621" s="211">
        <v>34774800</v>
      </c>
      <c r="AM621" s="211">
        <v>2425500</v>
      </c>
      <c r="AN621" s="211"/>
      <c r="AO621" s="211"/>
      <c r="AP621" s="211"/>
      <c r="AQ621" s="211"/>
      <c r="AR621" s="211"/>
      <c r="AS621" s="211"/>
      <c r="AT621" s="211"/>
      <c r="AU621" s="211"/>
      <c r="AV621" s="211"/>
      <c r="AW621" s="211"/>
      <c r="AX621" s="211"/>
      <c r="AY621" s="211"/>
      <c r="AZ621" s="211"/>
      <c r="BA621" s="211"/>
      <c r="BB621" s="211"/>
      <c r="BC621" s="211"/>
      <c r="BD621" s="333">
        <v>43413</v>
      </c>
      <c r="BE621" s="82">
        <f t="shared" si="82"/>
        <v>37200300</v>
      </c>
    </row>
    <row r="622" spans="2:57" ht="20.399999999999999" hidden="1" x14ac:dyDescent="0.3">
      <c r="B622" s="2" t="str">
        <f>+'Base de Datos'!E622</f>
        <v>180171-0-2018</v>
      </c>
      <c r="C622" s="2" t="str">
        <f>+'Base de Datos'!F622</f>
        <v>M.A. ELECTRONIKA SAS</v>
      </c>
      <c r="D622" s="2">
        <f>+'Base de Datos'!G622</f>
        <v>900011339</v>
      </c>
      <c r="E622" s="2" t="str">
        <f>+'Base de Datos'!H622</f>
        <v>Adquisición de monitores industriales para el Concejo de Bogotá</v>
      </c>
      <c r="F622" s="197">
        <f>+'Base de Datos'!I622</f>
        <v>19027386</v>
      </c>
      <c r="G622" s="196">
        <f>+'Base de Datos'!M622</f>
        <v>43231</v>
      </c>
      <c r="H622" s="196">
        <f>+'Base de Datos'!N622</f>
        <v>43322</v>
      </c>
      <c r="I622" s="196"/>
      <c r="J622" s="158"/>
      <c r="K622" s="333"/>
      <c r="L622" s="211"/>
      <c r="M622" s="336"/>
      <c r="N622" s="158"/>
      <c r="O622" s="333"/>
      <c r="P622" s="158"/>
      <c r="Q622" s="338"/>
      <c r="R622" s="81">
        <f t="shared" si="84"/>
        <v>0</v>
      </c>
      <c r="S622" s="258"/>
      <c r="T622" s="333"/>
      <c r="U622" s="158"/>
      <c r="V622" s="333"/>
      <c r="W622" s="158"/>
      <c r="X622" s="333"/>
      <c r="Y622" s="158"/>
      <c r="Z622" s="333"/>
      <c r="AA622" s="326"/>
      <c r="AB622" s="1004" t="str">
        <f t="shared" si="76"/>
        <v/>
      </c>
      <c r="AC622" s="1082" t="str">
        <f t="shared" si="77"/>
        <v/>
      </c>
      <c r="AD622" s="1077"/>
      <c r="AE622" s="1077"/>
      <c r="AF622" s="1084" t="str">
        <f t="shared" si="78"/>
        <v/>
      </c>
      <c r="AG622" s="1082" t="str">
        <f t="shared" si="79"/>
        <v/>
      </c>
      <c r="AH622" s="1091"/>
      <c r="AI622" s="1087"/>
      <c r="AJ622" s="1084" t="str">
        <f t="shared" si="80"/>
        <v/>
      </c>
      <c r="AK622" s="1083" t="str">
        <f t="shared" si="81"/>
        <v/>
      </c>
      <c r="AL622" s="211">
        <v>19027386</v>
      </c>
      <c r="AM622" s="211"/>
      <c r="AN622" s="211"/>
      <c r="AO622" s="211"/>
      <c r="AP622" s="211"/>
      <c r="AQ622" s="211"/>
      <c r="AR622" s="211"/>
      <c r="AS622" s="211"/>
      <c r="AT622" s="211"/>
      <c r="AU622" s="211"/>
      <c r="AV622" s="211"/>
      <c r="AW622" s="211"/>
      <c r="AX622" s="211"/>
      <c r="AY622" s="211"/>
      <c r="AZ622" s="211"/>
      <c r="BA622" s="211"/>
      <c r="BB622" s="211"/>
      <c r="BC622" s="211"/>
      <c r="BD622" s="333">
        <v>43293</v>
      </c>
      <c r="BE622" s="82">
        <f t="shared" si="82"/>
        <v>19027386</v>
      </c>
    </row>
    <row r="623" spans="2:57" ht="71.400000000000006" hidden="1" x14ac:dyDescent="0.3">
      <c r="B623" s="2" t="str">
        <f>+'Base de Datos'!E623</f>
        <v>180177-0-2018</v>
      </c>
      <c r="C623" s="2" t="str">
        <f>+'Base de Datos'!F623</f>
        <v>UT ZONA SECANCOL 2018</v>
      </c>
      <c r="D623" s="2" t="str">
        <f>+'Base de Datos'!G623</f>
        <v>901179382-6</v>
      </c>
      <c r="E623" s="2" t="str">
        <f>+'Base de Datos'!H623</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v>
      </c>
      <c r="F623" s="197">
        <f>+'Base de Datos'!I623</f>
        <v>1083000000</v>
      </c>
      <c r="G623" s="196">
        <f>+'Base de Datos'!M623</f>
        <v>43232</v>
      </c>
      <c r="H623" s="196">
        <f>+'Base de Datos'!N623</f>
        <v>43523</v>
      </c>
      <c r="I623" s="196"/>
      <c r="J623" s="158">
        <v>25500000</v>
      </c>
      <c r="K623" s="333">
        <v>43584</v>
      </c>
      <c r="L623" s="211"/>
      <c r="M623" s="336"/>
      <c r="N623" s="158"/>
      <c r="O623" s="333"/>
      <c r="P623" s="158"/>
      <c r="Q623" s="338"/>
      <c r="R623" s="81">
        <f t="shared" si="84"/>
        <v>25500000</v>
      </c>
      <c r="S623" s="820" t="s">
        <v>4686</v>
      </c>
      <c r="T623" s="333">
        <v>43585</v>
      </c>
      <c r="U623" s="158" t="s">
        <v>381</v>
      </c>
      <c r="V623" s="333">
        <v>43615</v>
      </c>
      <c r="W623" s="158"/>
      <c r="X623" s="333"/>
      <c r="Y623" s="158"/>
      <c r="Z623" s="333"/>
      <c r="AA623" s="820" t="s">
        <v>2974</v>
      </c>
      <c r="AB623" s="1004">
        <f t="shared" si="76"/>
        <v>43615</v>
      </c>
      <c r="AC623" s="1082" t="str">
        <f t="shared" si="77"/>
        <v/>
      </c>
      <c r="AD623" s="1077"/>
      <c r="AE623" s="1077"/>
      <c r="AF623" s="1084" t="str">
        <f t="shared" si="78"/>
        <v/>
      </c>
      <c r="AG623" s="1082" t="str">
        <f t="shared" si="79"/>
        <v/>
      </c>
      <c r="AH623" s="1091"/>
      <c r="AI623" s="1087"/>
      <c r="AJ623" s="1084" t="str">
        <f t="shared" si="80"/>
        <v/>
      </c>
      <c r="AK623" s="1083" t="str">
        <f t="shared" si="81"/>
        <v/>
      </c>
      <c r="AL623" s="211">
        <v>53615657</v>
      </c>
      <c r="AM623" s="211">
        <v>85869199</v>
      </c>
      <c r="AN623" s="211">
        <v>84656413</v>
      </c>
      <c r="AO623" s="211">
        <v>1241135</v>
      </c>
      <c r="AP623" s="211">
        <v>85262865</v>
      </c>
      <c r="AQ623" s="211">
        <v>84959639</v>
      </c>
      <c r="AR623" s="211">
        <v>85262865</v>
      </c>
      <c r="AS623" s="211">
        <v>84656413</v>
      </c>
      <c r="AT623" s="211">
        <v>303226</v>
      </c>
      <c r="AU623" s="211">
        <v>85791942</v>
      </c>
      <c r="AV623" s="211">
        <v>90401128</v>
      </c>
      <c r="AW623" s="211">
        <v>89758293</v>
      </c>
      <c r="AX623" s="211">
        <v>89436877</v>
      </c>
      <c r="AY623" s="211"/>
      <c r="AZ623" s="211">
        <v>90079711</v>
      </c>
      <c r="BA623" s="1034">
        <v>71704637</v>
      </c>
      <c r="BB623" s="1034">
        <v>18053656</v>
      </c>
      <c r="BC623" s="211"/>
      <c r="BD623" s="333">
        <v>43654</v>
      </c>
      <c r="BE623" s="82">
        <f t="shared" si="82"/>
        <v>1101053656</v>
      </c>
    </row>
    <row r="624" spans="2:57" hidden="1" x14ac:dyDescent="0.3">
      <c r="B624" s="2" t="str">
        <f>+'Base de Datos'!E624</f>
        <v>180175-0-2018</v>
      </c>
      <c r="C624" s="2" t="str">
        <f>+'Base de Datos'!F624</f>
        <v>ALKOSTO SA</v>
      </c>
      <c r="D624" s="2" t="str">
        <f>+'Base de Datos'!G624</f>
        <v>8908900943-1</v>
      </c>
      <c r="E624" s="2" t="str">
        <f>+'Base de Datos'!H624</f>
        <v>Adquirir tablets para el Concejo de Bogotá</v>
      </c>
      <c r="F624" s="197">
        <f>+'Base de Datos'!I624</f>
        <v>6682215</v>
      </c>
      <c r="G624" s="196">
        <f>+'Base de Datos'!M624</f>
        <v>43228</v>
      </c>
      <c r="H624" s="196">
        <f>+'Base de Datos'!N624</f>
        <v>43236</v>
      </c>
      <c r="I624" s="196"/>
      <c r="J624" s="158"/>
      <c r="K624" s="333"/>
      <c r="L624" s="211"/>
      <c r="M624" s="336"/>
      <c r="N624" s="158"/>
      <c r="O624" s="333"/>
      <c r="P624" s="158"/>
      <c r="Q624" s="338"/>
      <c r="R624" s="81">
        <f t="shared" si="84"/>
        <v>0</v>
      </c>
      <c r="S624" s="258"/>
      <c r="T624" s="333"/>
      <c r="U624" s="158"/>
      <c r="V624" s="333"/>
      <c r="W624" s="158"/>
      <c r="X624" s="333"/>
      <c r="Y624" s="158"/>
      <c r="Z624" s="333"/>
      <c r="AA624" s="326"/>
      <c r="AB624" s="1004" t="str">
        <f t="shared" si="76"/>
        <v/>
      </c>
      <c r="AC624" s="1082" t="str">
        <f t="shared" si="77"/>
        <v/>
      </c>
      <c r="AD624" s="1077"/>
      <c r="AE624" s="1077"/>
      <c r="AF624" s="1084" t="str">
        <f t="shared" si="78"/>
        <v/>
      </c>
      <c r="AG624" s="1082" t="str">
        <f t="shared" si="79"/>
        <v/>
      </c>
      <c r="AH624" s="1091"/>
      <c r="AI624" s="1087"/>
      <c r="AJ624" s="1084" t="str">
        <f t="shared" si="80"/>
        <v/>
      </c>
      <c r="AK624" s="1083" t="str">
        <f t="shared" si="81"/>
        <v/>
      </c>
      <c r="AL624" s="211">
        <v>6682215</v>
      </c>
      <c r="AM624" s="211"/>
      <c r="AN624" s="211"/>
      <c r="AO624" s="211"/>
      <c r="AP624" s="211"/>
      <c r="AQ624" s="211"/>
      <c r="AR624" s="211"/>
      <c r="AS624" s="211"/>
      <c r="AT624" s="211"/>
      <c r="AU624" s="211"/>
      <c r="AV624" s="211"/>
      <c r="AW624" s="211"/>
      <c r="AX624" s="211"/>
      <c r="AY624" s="211"/>
      <c r="AZ624" s="211"/>
      <c r="BA624" s="211"/>
      <c r="BB624" s="211"/>
      <c r="BC624" s="211"/>
      <c r="BD624" s="333">
        <v>43241</v>
      </c>
      <c r="BE624" s="82">
        <f t="shared" si="82"/>
        <v>6682215</v>
      </c>
    </row>
    <row r="625" spans="2:57" ht="20.399999999999999" hidden="1" x14ac:dyDescent="0.3">
      <c r="B625" s="2" t="str">
        <f>+'Base de Datos'!E625</f>
        <v>180174-0-2018</v>
      </c>
      <c r="C625" s="2" t="str">
        <f>+'Base de Datos'!F625</f>
        <v>MACHINETRONICS SAS</v>
      </c>
      <c r="D625" s="2" t="str">
        <f>+'Base de Datos'!G625</f>
        <v>900042114-6</v>
      </c>
      <c r="E625" s="2" t="str">
        <f>+'Base de Datos'!H625</f>
        <v>Proveer solución de pantallas Video Wall para el Concejo de Bogotá</v>
      </c>
      <c r="F625" s="197">
        <f>+'Base de Datos'!I625</f>
        <v>49203666</v>
      </c>
      <c r="G625" s="196">
        <f>+'Base de Datos'!M625</f>
        <v>43237</v>
      </c>
      <c r="H625" s="196">
        <f>+'Base de Datos'!N625</f>
        <v>43328</v>
      </c>
      <c r="I625" s="196"/>
      <c r="J625" s="158"/>
      <c r="K625" s="333"/>
      <c r="L625" s="211"/>
      <c r="M625" s="336"/>
      <c r="N625" s="158"/>
      <c r="O625" s="333"/>
      <c r="P625" s="158"/>
      <c r="Q625" s="338"/>
      <c r="R625" s="81">
        <f t="shared" si="84"/>
        <v>0</v>
      </c>
      <c r="S625" s="258"/>
      <c r="T625" s="333"/>
      <c r="U625" s="158"/>
      <c r="V625" s="333"/>
      <c r="W625" s="158"/>
      <c r="X625" s="333"/>
      <c r="Y625" s="158"/>
      <c r="Z625" s="333"/>
      <c r="AA625" s="326"/>
      <c r="AB625" s="1004" t="str">
        <f t="shared" si="76"/>
        <v/>
      </c>
      <c r="AC625" s="1082" t="str">
        <f t="shared" si="77"/>
        <v/>
      </c>
      <c r="AD625" s="1077"/>
      <c r="AE625" s="1077"/>
      <c r="AF625" s="1084" t="str">
        <f t="shared" si="78"/>
        <v/>
      </c>
      <c r="AG625" s="1082" t="str">
        <f t="shared" si="79"/>
        <v/>
      </c>
      <c r="AH625" s="1091"/>
      <c r="AI625" s="1087"/>
      <c r="AJ625" s="1084" t="str">
        <f t="shared" si="80"/>
        <v/>
      </c>
      <c r="AK625" s="1083" t="str">
        <f t="shared" si="81"/>
        <v/>
      </c>
      <c r="AL625" s="211">
        <v>36743666</v>
      </c>
      <c r="AM625" s="211">
        <v>12460000</v>
      </c>
      <c r="AN625" s="211"/>
      <c r="AO625" s="211"/>
      <c r="AP625" s="211"/>
      <c r="AQ625" s="211"/>
      <c r="AR625" s="211"/>
      <c r="AS625" s="211"/>
      <c r="AT625" s="211"/>
      <c r="AU625" s="211"/>
      <c r="AV625" s="211"/>
      <c r="AW625" s="211"/>
      <c r="AX625" s="211"/>
      <c r="AY625" s="211"/>
      <c r="AZ625" s="211"/>
      <c r="BA625" s="211"/>
      <c r="BB625" s="211"/>
      <c r="BC625" s="211"/>
      <c r="BD625" s="333"/>
      <c r="BE625" s="82">
        <f t="shared" si="82"/>
        <v>49203666</v>
      </c>
    </row>
    <row r="626" spans="2:57" ht="40.799999999999997" hidden="1" x14ac:dyDescent="0.3">
      <c r="B626" s="2" t="str">
        <f>+'Base de Datos'!E626</f>
        <v>180176-0-2018</v>
      </c>
      <c r="C626" s="2" t="str">
        <f>+'Base de Datos'!F626</f>
        <v xml:space="preserve">COMERCIALIZADORA, SERVICIOS Y MANTENIMIENTO "DICXON ALEXANDER PATIÑO MORENO" SAS- COSERMAN SAS CC </v>
      </c>
      <c r="D626" s="2" t="str">
        <f>+'Base de Datos'!G626</f>
        <v>901148476-1</v>
      </c>
      <c r="E626" s="2" t="str">
        <f>+'Base de Datos'!H626</f>
        <v xml:space="preserve">Prestar los servicios de mantenimiento correctivo  correspondiente a la reparación y corrección de las sillas existentes en el Concejo de Bogotá, D.C., con el suministro de repuestos necesarios para su correcto funcionamiento. </v>
      </c>
      <c r="F626" s="197">
        <f>+'Base de Datos'!I626</f>
        <v>33190000</v>
      </c>
      <c r="G626" s="196">
        <f>+'Base de Datos'!M626</f>
        <v>43241</v>
      </c>
      <c r="H626" s="196">
        <f>+'Base de Datos'!N626</f>
        <v>43516</v>
      </c>
      <c r="I626" s="196"/>
      <c r="J626" s="158"/>
      <c r="K626" s="333"/>
      <c r="L626" s="211"/>
      <c r="M626" s="336"/>
      <c r="N626" s="158"/>
      <c r="O626" s="333"/>
      <c r="P626" s="158"/>
      <c r="Q626" s="338"/>
      <c r="R626" s="81">
        <f t="shared" si="84"/>
        <v>0</v>
      </c>
      <c r="S626" s="258"/>
      <c r="T626" s="333"/>
      <c r="U626" s="158"/>
      <c r="V626" s="333"/>
      <c r="W626" s="158"/>
      <c r="X626" s="333"/>
      <c r="Y626" s="158"/>
      <c r="Z626" s="333"/>
      <c r="AA626" s="326"/>
      <c r="AB626" s="1004" t="str">
        <f t="shared" si="76"/>
        <v/>
      </c>
      <c r="AC626" s="1082" t="str">
        <f t="shared" si="77"/>
        <v/>
      </c>
      <c r="AD626" s="1077"/>
      <c r="AE626" s="1077"/>
      <c r="AF626" s="1084" t="str">
        <f t="shared" si="78"/>
        <v/>
      </c>
      <c r="AG626" s="1082" t="str">
        <f t="shared" si="79"/>
        <v/>
      </c>
      <c r="AH626" s="1091"/>
      <c r="AI626" s="1087"/>
      <c r="AJ626" s="1084" t="str">
        <f t="shared" si="80"/>
        <v/>
      </c>
      <c r="AK626" s="1083" t="str">
        <f t="shared" si="81"/>
        <v/>
      </c>
      <c r="AL626" s="211">
        <v>5454796</v>
      </c>
      <c r="AM626" s="211">
        <v>4432417</v>
      </c>
      <c r="AN626" s="211">
        <v>3868360</v>
      </c>
      <c r="AO626" s="211">
        <v>7505912</v>
      </c>
      <c r="AP626" s="211">
        <v>5521880</v>
      </c>
      <c r="AQ626" s="211">
        <v>4404240</v>
      </c>
      <c r="AR626" s="211">
        <v>2002320</v>
      </c>
      <c r="AS626" s="211"/>
      <c r="AT626" s="211"/>
      <c r="AU626" s="211"/>
      <c r="AV626" s="211"/>
      <c r="AW626" s="211"/>
      <c r="AX626" s="211"/>
      <c r="AY626" s="211"/>
      <c r="AZ626" s="211"/>
      <c r="BA626" s="211"/>
      <c r="BB626" s="211"/>
      <c r="BC626" s="211"/>
      <c r="BD626" s="333">
        <v>43566</v>
      </c>
      <c r="BE626" s="82">
        <f t="shared" si="82"/>
        <v>33189925</v>
      </c>
    </row>
    <row r="627" spans="2:57" ht="20.399999999999999" hidden="1" x14ac:dyDescent="0.3">
      <c r="B627" s="2" t="str">
        <f>+'Base de Datos'!E627</f>
        <v>180179-0-2018</v>
      </c>
      <c r="C627" s="2" t="str">
        <f>+'Base de Datos'!F627</f>
        <v>GRUPO JARVAN Y DYS SAS</v>
      </c>
      <c r="D627" s="2" t="str">
        <f>+'Base de Datos'!G627</f>
        <v>900921716-1</v>
      </c>
      <c r="E627" s="2" t="str">
        <f>+'Base de Datos'!H627</f>
        <v>Suministro de elementos de promoción institucional y actos protocolarios del Concejo de Bogotá</v>
      </c>
      <c r="F627" s="197">
        <f>+'Base de Datos'!I627</f>
        <v>46208000</v>
      </c>
      <c r="G627" s="196">
        <f>+'Base de Datos'!M627</f>
        <v>43244</v>
      </c>
      <c r="H627" s="196">
        <f>+'Base de Datos'!N627</f>
        <v>43608</v>
      </c>
      <c r="I627" s="196"/>
      <c r="J627" s="158"/>
      <c r="K627" s="333"/>
      <c r="L627" s="211"/>
      <c r="M627" s="336"/>
      <c r="N627" s="158"/>
      <c r="O627" s="333"/>
      <c r="P627" s="158"/>
      <c r="Q627" s="338"/>
      <c r="R627" s="81">
        <f t="shared" si="84"/>
        <v>0</v>
      </c>
      <c r="S627" s="258"/>
      <c r="T627" s="333"/>
      <c r="U627" s="158"/>
      <c r="V627" s="333"/>
      <c r="W627" s="158"/>
      <c r="X627" s="333"/>
      <c r="Y627" s="158"/>
      <c r="Z627" s="333"/>
      <c r="AA627" s="326"/>
      <c r="AB627" s="1004" t="str">
        <f t="shared" si="76"/>
        <v/>
      </c>
      <c r="AC627" s="1082" t="str">
        <f t="shared" si="77"/>
        <v/>
      </c>
      <c r="AD627" s="1077"/>
      <c r="AE627" s="1077"/>
      <c r="AF627" s="1084" t="str">
        <f t="shared" si="78"/>
        <v/>
      </c>
      <c r="AG627" s="1082" t="str">
        <f t="shared" si="79"/>
        <v/>
      </c>
      <c r="AH627" s="1091"/>
      <c r="AI627" s="1087"/>
      <c r="AJ627" s="1084" t="str">
        <f t="shared" si="80"/>
        <v/>
      </c>
      <c r="AK627" s="1083" t="str">
        <f t="shared" si="81"/>
        <v/>
      </c>
      <c r="AL627" s="211">
        <v>22730000</v>
      </c>
      <c r="AM627" s="211">
        <v>19193940</v>
      </c>
      <c r="AN627" s="211">
        <v>4280991</v>
      </c>
      <c r="AO627" s="211"/>
      <c r="AP627" s="211"/>
      <c r="AQ627" s="211"/>
      <c r="AR627" s="211"/>
      <c r="AS627" s="211"/>
      <c r="AT627" s="211"/>
      <c r="AU627" s="211"/>
      <c r="AV627" s="211"/>
      <c r="AW627" s="211"/>
      <c r="AX627" s="211"/>
      <c r="AY627" s="211"/>
      <c r="AZ627" s="211"/>
      <c r="BA627" s="211"/>
      <c r="BB627" s="211"/>
      <c r="BC627" s="211"/>
      <c r="BD627" s="333">
        <v>43676</v>
      </c>
      <c r="BE627" s="82">
        <f t="shared" si="82"/>
        <v>46204931</v>
      </c>
    </row>
    <row r="628" spans="2:57" ht="51" hidden="1" x14ac:dyDescent="0.3">
      <c r="B628" s="2" t="str">
        <f>+'Base de Datos'!E628</f>
        <v>180181-0-2018</v>
      </c>
      <c r="C628" s="2" t="str">
        <f>+'Base de Datos'!F628</f>
        <v>ASEAR S.A. ESP</v>
      </c>
      <c r="D628" s="2">
        <f>+'Base de Datos'!G628</f>
        <v>811044253</v>
      </c>
      <c r="E628" s="2" t="str">
        <f>+'Base de Datos'!H628</f>
        <v>Prestar servicios integrales de aseo y cafetería y servicio de fumigación para las instalaciones del Concejo de Bogotá, D.C., de conformidad con lo establecido en el pliego de condiciones de la Licitación Pública No. SDH-LP-02-2018 y la propuesta presentada por el contratista.</v>
      </c>
      <c r="F628" s="197">
        <f>+'Base de Datos'!I628</f>
        <v>314000000</v>
      </c>
      <c r="G628" s="196">
        <f>+'Base de Datos'!M628</f>
        <v>43252</v>
      </c>
      <c r="H628" s="196">
        <f>+'Base de Datos'!N628</f>
        <v>43510</v>
      </c>
      <c r="I628" s="196"/>
      <c r="J628" s="158">
        <v>72000000</v>
      </c>
      <c r="K628" s="333">
        <v>43539</v>
      </c>
      <c r="L628" s="211">
        <v>25744384</v>
      </c>
      <c r="M628" s="336">
        <v>43600</v>
      </c>
      <c r="N628" s="158"/>
      <c r="O628" s="333"/>
      <c r="P628" s="158"/>
      <c r="Q628" s="338"/>
      <c r="R628" s="81">
        <f t="shared" si="84"/>
        <v>97744384</v>
      </c>
      <c r="S628" s="258" t="s">
        <v>381</v>
      </c>
      <c r="T628" s="333">
        <v>43539</v>
      </c>
      <c r="U628" s="158" t="s">
        <v>378</v>
      </c>
      <c r="V628" s="333">
        <v>43600</v>
      </c>
      <c r="W628" s="158" t="s">
        <v>381</v>
      </c>
      <c r="X628" s="333">
        <v>43631</v>
      </c>
      <c r="Y628" s="158"/>
      <c r="Z628" s="333"/>
      <c r="AA628" s="326" t="s">
        <v>4917</v>
      </c>
      <c r="AB628" s="1004">
        <f t="shared" si="76"/>
        <v>43631</v>
      </c>
      <c r="AC628" s="1082" t="str">
        <f t="shared" si="77"/>
        <v/>
      </c>
      <c r="AD628" s="1077"/>
      <c r="AE628" s="1077"/>
      <c r="AF628" s="1084" t="str">
        <f t="shared" si="78"/>
        <v/>
      </c>
      <c r="AG628" s="1082" t="str">
        <f t="shared" si="79"/>
        <v/>
      </c>
      <c r="AH628" s="1091"/>
      <c r="AI628" s="1087"/>
      <c r="AJ628" s="1084" t="str">
        <f t="shared" si="80"/>
        <v/>
      </c>
      <c r="AK628" s="1083" t="str">
        <f t="shared" si="81"/>
        <v/>
      </c>
      <c r="AL628" s="211">
        <v>33141016</v>
      </c>
      <c r="AM628" s="211">
        <v>32397351</v>
      </c>
      <c r="AN628" s="211">
        <v>35404576</v>
      </c>
      <c r="AO628" s="211">
        <v>37757829</v>
      </c>
      <c r="AP628" s="211">
        <v>29912535</v>
      </c>
      <c r="AQ628" s="211">
        <v>28760330</v>
      </c>
      <c r="AR628" s="211">
        <v>30763865</v>
      </c>
      <c r="AS628" s="211">
        <v>33154594</v>
      </c>
      <c r="AT628" s="211">
        <v>32272294</v>
      </c>
      <c r="AU628" s="211">
        <v>16390711</v>
      </c>
      <c r="AV628" s="211">
        <v>14657609</v>
      </c>
      <c r="AW628" s="211">
        <v>4044836</v>
      </c>
      <c r="AX628" s="211">
        <v>26051467</v>
      </c>
      <c r="AY628" s="211">
        <v>31476090</v>
      </c>
      <c r="AZ628" s="211">
        <v>19977650</v>
      </c>
      <c r="BA628" s="211"/>
      <c r="BB628" s="211"/>
      <c r="BC628" s="211"/>
      <c r="BD628" s="333">
        <v>43804</v>
      </c>
      <c r="BE628" s="82">
        <f t="shared" si="82"/>
        <v>406162753</v>
      </c>
    </row>
    <row r="629" spans="2:57" ht="30.6" hidden="1" x14ac:dyDescent="0.3">
      <c r="B629" s="2" t="str">
        <f>+'Base de Datos'!E629</f>
        <v>180184-0-2018</v>
      </c>
      <c r="C629" s="2" t="str">
        <f>+'Base de Datos'!F629</f>
        <v>INGENIERIA DE BOMBAS Y PLANTAS SAS</v>
      </c>
      <c r="D629" s="2">
        <f>+'Base de Datos'!G629</f>
        <v>900152368</v>
      </c>
      <c r="E629" s="2" t="str">
        <f>+'Base de Datos'!H629</f>
        <v>Prestar servicios de mantenimiento para los tanques de almacenamiento y equipos de bombeo hidráulicos de agua potable, residual y aguas negras del Concejo de Bogotá.</v>
      </c>
      <c r="F629" s="197">
        <f>+'Base de Datos'!I629</f>
        <v>4600000</v>
      </c>
      <c r="G629" s="196">
        <f>+'Base de Datos'!M629</f>
        <v>43272</v>
      </c>
      <c r="H629" s="196">
        <f>+'Base de Datos'!N629</f>
        <v>43636</v>
      </c>
      <c r="I629" s="196"/>
      <c r="J629" s="158"/>
      <c r="K629" s="333"/>
      <c r="L629" s="211"/>
      <c r="M629" s="336"/>
      <c r="N629" s="158"/>
      <c r="O629" s="333"/>
      <c r="P629" s="158"/>
      <c r="Q629" s="338"/>
      <c r="R629" s="81">
        <f t="shared" si="84"/>
        <v>0</v>
      </c>
      <c r="S629" s="258" t="s">
        <v>5055</v>
      </c>
      <c r="T629" s="333">
        <v>43666</v>
      </c>
      <c r="U629" s="158"/>
      <c r="V629" s="333"/>
      <c r="W629" s="158"/>
      <c r="X629" s="333"/>
      <c r="Y629" s="158"/>
      <c r="Z629" s="333"/>
      <c r="AA629" s="326"/>
      <c r="AB629" s="1004">
        <f t="shared" si="76"/>
        <v>43666</v>
      </c>
      <c r="AC629" s="1082" t="str">
        <f t="shared" si="77"/>
        <v/>
      </c>
      <c r="AD629" s="1077"/>
      <c r="AE629" s="1077"/>
      <c r="AF629" s="1084" t="str">
        <f t="shared" si="78"/>
        <v/>
      </c>
      <c r="AG629" s="1082" t="str">
        <f t="shared" si="79"/>
        <v/>
      </c>
      <c r="AH629" s="1091"/>
      <c r="AI629" s="1087"/>
      <c r="AJ629" s="1084" t="str">
        <f t="shared" si="80"/>
        <v/>
      </c>
      <c r="AK629" s="1083" t="str">
        <f t="shared" si="81"/>
        <v/>
      </c>
      <c r="AL629" s="211">
        <v>360000</v>
      </c>
      <c r="AM629" s="211"/>
      <c r="AN629" s="211"/>
      <c r="AO629" s="211"/>
      <c r="AP629" s="211"/>
      <c r="AQ629" s="211"/>
      <c r="AR629" s="211"/>
      <c r="AS629" s="211">
        <v>2792651</v>
      </c>
      <c r="AT629" s="211">
        <v>782969</v>
      </c>
      <c r="AU629" s="211"/>
      <c r="AV629" s="211"/>
      <c r="AW629" s="211"/>
      <c r="AX629" s="211"/>
      <c r="AY629" s="211"/>
      <c r="AZ629" s="211"/>
      <c r="BA629" s="211"/>
      <c r="BB629" s="211"/>
      <c r="BC629" s="211"/>
      <c r="BD629" s="333">
        <v>44025</v>
      </c>
      <c r="BE629" s="82">
        <f t="shared" si="82"/>
        <v>3935620</v>
      </c>
    </row>
    <row r="630" spans="2:57" ht="20.399999999999999" hidden="1" x14ac:dyDescent="0.3">
      <c r="B630" s="2" t="str">
        <f>+'Base de Datos'!E630</f>
        <v>180182-0-2018</v>
      </c>
      <c r="C630" s="2" t="str">
        <f>+'Base de Datos'!F630</f>
        <v>SGS COLOMBIA SAS</v>
      </c>
      <c r="D630" s="2" t="str">
        <f>+'Base de Datos'!G630</f>
        <v>860049921-0</v>
      </c>
      <c r="E630" s="2" t="str">
        <f>+'Base de Datos'!H630</f>
        <v>Realizar las auditorias para la recertificación del Sistema de Gestión de Calidad del Concejo de Bogotá</v>
      </c>
      <c r="F630" s="197">
        <f>+'Base de Datos'!I630</f>
        <v>7663600</v>
      </c>
      <c r="G630" s="196">
        <f>+'Base de Datos'!M630</f>
        <v>43263</v>
      </c>
      <c r="H630" s="196">
        <f>+'Base de Datos'!N630</f>
        <v>43384</v>
      </c>
      <c r="I630" s="196"/>
      <c r="J630" s="158"/>
      <c r="K630" s="333"/>
      <c r="L630" s="211"/>
      <c r="M630" s="336"/>
      <c r="N630" s="158"/>
      <c r="O630" s="333"/>
      <c r="P630" s="158"/>
      <c r="Q630" s="338"/>
      <c r="R630" s="81">
        <f t="shared" si="84"/>
        <v>0</v>
      </c>
      <c r="S630" s="258" t="s">
        <v>378</v>
      </c>
      <c r="T630" s="333">
        <v>43445</v>
      </c>
      <c r="U630" s="158"/>
      <c r="V630" s="333"/>
      <c r="W630" s="158"/>
      <c r="X630" s="333"/>
      <c r="Y630" s="158"/>
      <c r="Z630" s="333"/>
      <c r="AA630" s="326" t="s">
        <v>378</v>
      </c>
      <c r="AB630" s="1004">
        <f t="shared" si="76"/>
        <v>43445</v>
      </c>
      <c r="AC630" s="1082" t="str">
        <f t="shared" si="77"/>
        <v/>
      </c>
      <c r="AD630" s="1077"/>
      <c r="AE630" s="1077"/>
      <c r="AF630" s="1084" t="str">
        <f t="shared" si="78"/>
        <v/>
      </c>
      <c r="AG630" s="1082" t="str">
        <f t="shared" si="79"/>
        <v/>
      </c>
      <c r="AH630" s="1091"/>
      <c r="AI630" s="1087"/>
      <c r="AJ630" s="1084" t="str">
        <f t="shared" si="80"/>
        <v/>
      </c>
      <c r="AK630" s="1083" t="str">
        <f t="shared" si="81"/>
        <v/>
      </c>
      <c r="AL630" s="211">
        <v>7663600</v>
      </c>
      <c r="AM630" s="211"/>
      <c r="AN630" s="211"/>
      <c r="AO630" s="211"/>
      <c r="AP630" s="211"/>
      <c r="AQ630" s="211"/>
      <c r="AR630" s="211"/>
      <c r="AS630" s="211"/>
      <c r="AT630" s="211"/>
      <c r="AU630" s="211"/>
      <c r="AV630" s="211"/>
      <c r="AW630" s="211"/>
      <c r="AX630" s="211"/>
      <c r="AY630" s="211"/>
      <c r="AZ630" s="211"/>
      <c r="BA630" s="211"/>
      <c r="BB630" s="211"/>
      <c r="BC630" s="211"/>
      <c r="BD630" s="333">
        <v>43483</v>
      </c>
      <c r="BE630" s="82">
        <f t="shared" si="82"/>
        <v>7663600</v>
      </c>
    </row>
    <row r="631" spans="2:57" ht="30.6" hidden="1" x14ac:dyDescent="0.3">
      <c r="B631" s="2" t="str">
        <f>+'Base de Datos'!E631</f>
        <v>180173-0-2018</v>
      </c>
      <c r="C631" s="2" t="str">
        <f>+'Base de Datos'!F631</f>
        <v>COLOMBIANA DE SOFTWARE Y HARDWARE COLSOF S.A.</v>
      </c>
      <c r="D631" s="2">
        <f>+'Base de Datos'!G631</f>
        <v>800015583</v>
      </c>
      <c r="E631" s="2" t="str">
        <f>+'Base de Datos'!H631</f>
        <v>Proveer Licenciamiento Data protector, de conformidad con lo establecido en la invitación pública del proceso citado en el asunto y la propuesta por usted presentada.</v>
      </c>
      <c r="F631" s="197">
        <f>+'Base de Datos'!I631</f>
        <v>13499360</v>
      </c>
      <c r="G631" s="196">
        <f>+'Base de Datos'!M631</f>
        <v>43332</v>
      </c>
      <c r="H631" s="196">
        <f>+'Base de Datos'!N631</f>
        <v>43392</v>
      </c>
      <c r="I631" s="196"/>
      <c r="J631" s="158"/>
      <c r="K631" s="333"/>
      <c r="L631" s="211"/>
      <c r="M631" s="336"/>
      <c r="N631" s="158"/>
      <c r="O631" s="333"/>
      <c r="P631" s="158"/>
      <c r="Q631" s="338"/>
      <c r="R631" s="81">
        <f t="shared" si="84"/>
        <v>0</v>
      </c>
      <c r="S631" s="258"/>
      <c r="T631" s="333"/>
      <c r="U631" s="158"/>
      <c r="V631" s="333"/>
      <c r="W631" s="158"/>
      <c r="X631" s="333"/>
      <c r="Y631" s="158"/>
      <c r="Z631" s="333"/>
      <c r="AA631" s="326"/>
      <c r="AB631" s="1004" t="str">
        <f t="shared" si="76"/>
        <v/>
      </c>
      <c r="AC631" s="1082" t="str">
        <f t="shared" si="77"/>
        <v/>
      </c>
      <c r="AD631" s="1077"/>
      <c r="AE631" s="1077"/>
      <c r="AF631" s="1084" t="str">
        <f t="shared" si="78"/>
        <v/>
      </c>
      <c r="AG631" s="1082" t="str">
        <f t="shared" si="79"/>
        <v/>
      </c>
      <c r="AH631" s="1091"/>
      <c r="AI631" s="1087"/>
      <c r="AJ631" s="1084" t="str">
        <f t="shared" si="80"/>
        <v/>
      </c>
      <c r="AK631" s="1083" t="str">
        <f t="shared" si="81"/>
        <v/>
      </c>
      <c r="AL631" s="211">
        <v>13499360</v>
      </c>
      <c r="AM631" s="211"/>
      <c r="AN631" s="211"/>
      <c r="AO631" s="211"/>
      <c r="AP631" s="211"/>
      <c r="AQ631" s="211"/>
      <c r="AR631" s="211"/>
      <c r="AS631" s="211"/>
      <c r="AT631" s="211"/>
      <c r="AU631" s="211"/>
      <c r="AV631" s="211"/>
      <c r="AW631" s="211"/>
      <c r="AX631" s="211"/>
      <c r="AY631" s="211"/>
      <c r="AZ631" s="211"/>
      <c r="BA631" s="211"/>
      <c r="BB631" s="211"/>
      <c r="BC631" s="211"/>
      <c r="BD631" s="333">
        <v>43395</v>
      </c>
      <c r="BE631" s="82">
        <f t="shared" si="82"/>
        <v>13499360</v>
      </c>
    </row>
    <row r="632" spans="2:57" ht="30.6" hidden="1" x14ac:dyDescent="0.3">
      <c r="B632" s="2" t="str">
        <f>+'Base de Datos'!E632</f>
        <v>180205-0-2018</v>
      </c>
      <c r="C632" s="2" t="str">
        <f>+'Base de Datos'!F632</f>
        <v xml:space="preserve">ARANDA SOFTWARE ANDINA SAS  </v>
      </c>
      <c r="D632" s="2">
        <f>+'Base de Datos'!G632</f>
        <v>830099766</v>
      </c>
      <c r="E632" s="2" t="str">
        <f>+'Base de Datos'!H632</f>
        <v>Prestar servicios de actualización y soporte para el software para la gestión de la mesa de servicios - Aranda para el Concejo de Bogotá</v>
      </c>
      <c r="F632" s="197">
        <f>+'Base de Datos'!I632</f>
        <v>57462030</v>
      </c>
      <c r="G632" s="196">
        <f>+'Base de Datos'!M632</f>
        <v>43304</v>
      </c>
      <c r="H632" s="196">
        <f>+'Base de Datos'!N632</f>
        <v>43577</v>
      </c>
      <c r="I632" s="196"/>
      <c r="J632" s="158"/>
      <c r="K632" s="333"/>
      <c r="L632" s="211"/>
      <c r="M632" s="336"/>
      <c r="N632" s="158"/>
      <c r="O632" s="333"/>
      <c r="P632" s="158"/>
      <c r="Q632" s="338"/>
      <c r="R632" s="81">
        <f t="shared" si="84"/>
        <v>0</v>
      </c>
      <c r="S632" s="258"/>
      <c r="T632" s="333"/>
      <c r="U632" s="158"/>
      <c r="V632" s="333"/>
      <c r="W632" s="158"/>
      <c r="X632" s="333"/>
      <c r="Y632" s="158"/>
      <c r="Z632" s="333"/>
      <c r="AA632" s="326"/>
      <c r="AB632" s="1004" t="str">
        <f t="shared" si="76"/>
        <v/>
      </c>
      <c r="AC632" s="1082" t="str">
        <f t="shared" si="77"/>
        <v/>
      </c>
      <c r="AD632" s="1077"/>
      <c r="AE632" s="1077"/>
      <c r="AF632" s="1084" t="str">
        <f t="shared" si="78"/>
        <v/>
      </c>
      <c r="AG632" s="1082" t="str">
        <f t="shared" si="79"/>
        <v/>
      </c>
      <c r="AH632" s="1091"/>
      <c r="AI632" s="1087"/>
      <c r="AJ632" s="1084" t="str">
        <f t="shared" si="80"/>
        <v/>
      </c>
      <c r="AK632" s="1083" t="str">
        <f t="shared" si="81"/>
        <v/>
      </c>
      <c r="AL632" s="211">
        <v>32137050</v>
      </c>
      <c r="AM632" s="211">
        <v>14069433</v>
      </c>
      <c r="AN632" s="211">
        <v>11255547</v>
      </c>
      <c r="AO632" s="211"/>
      <c r="AP632" s="211"/>
      <c r="AQ632" s="211"/>
      <c r="AR632" s="211"/>
      <c r="AS632" s="211"/>
      <c r="AT632" s="211"/>
      <c r="AU632" s="211"/>
      <c r="AV632" s="211"/>
      <c r="AW632" s="211"/>
      <c r="AX632" s="211"/>
      <c r="AY632" s="211"/>
      <c r="AZ632" s="211"/>
      <c r="BA632" s="211"/>
      <c r="BB632" s="211"/>
      <c r="BC632" s="211"/>
      <c r="BD632" s="333">
        <v>43675</v>
      </c>
      <c r="BE632" s="82">
        <f t="shared" si="82"/>
        <v>57462030</v>
      </c>
    </row>
    <row r="633" spans="2:57" ht="40.799999999999997" hidden="1" x14ac:dyDescent="0.3">
      <c r="B633" s="2" t="str">
        <f>+'Base de Datos'!E633</f>
        <v>180195-0-2018</v>
      </c>
      <c r="C633" s="2" t="str">
        <f>+'Base de Datos'!F633</f>
        <v>HECTOR MANUEL LEON URQUIJO</v>
      </c>
      <c r="D633" s="2">
        <f>+'Base de Datos'!G633</f>
        <v>19258732</v>
      </c>
      <c r="E633" s="2" t="str">
        <f>+'Base de Datos'!H633</f>
        <v>Adquisición e instalación de mobiliario y adeacuación de las áreas para los servicios ubicados en el sotano de parqueaderos y para la oficina de presidencia del Concejo de Bogotá.</v>
      </c>
      <c r="F633" s="197">
        <f>+'Base de Datos'!I633</f>
        <v>52348000</v>
      </c>
      <c r="G633" s="196">
        <f>+'Base de Datos'!M633</f>
        <v>43297</v>
      </c>
      <c r="H633" s="196">
        <f>+'Base de Datos'!N633</f>
        <v>43358</v>
      </c>
      <c r="I633" s="196"/>
      <c r="J633" s="158"/>
      <c r="K633" s="333"/>
      <c r="L633" s="211"/>
      <c r="M633" s="336"/>
      <c r="N633" s="158"/>
      <c r="O633" s="333"/>
      <c r="P633" s="158"/>
      <c r="Q633" s="338"/>
      <c r="R633" s="81">
        <f t="shared" si="84"/>
        <v>0</v>
      </c>
      <c r="S633" s="258"/>
      <c r="T633" s="333"/>
      <c r="U633" s="158"/>
      <c r="V633" s="333"/>
      <c r="W633" s="158"/>
      <c r="X633" s="333"/>
      <c r="Y633" s="158"/>
      <c r="Z633" s="333"/>
      <c r="AA633" s="326"/>
      <c r="AB633" s="1004" t="str">
        <f t="shared" si="76"/>
        <v/>
      </c>
      <c r="AC633" s="1082" t="str">
        <f t="shared" si="77"/>
        <v/>
      </c>
      <c r="AD633" s="1077"/>
      <c r="AE633" s="1077"/>
      <c r="AF633" s="1084" t="str">
        <f t="shared" si="78"/>
        <v/>
      </c>
      <c r="AG633" s="1082" t="str">
        <f t="shared" si="79"/>
        <v/>
      </c>
      <c r="AH633" s="1091"/>
      <c r="AI633" s="1087"/>
      <c r="AJ633" s="1084" t="str">
        <f t="shared" si="80"/>
        <v/>
      </c>
      <c r="AK633" s="1083" t="str">
        <f t="shared" si="81"/>
        <v/>
      </c>
      <c r="AL633" s="211">
        <v>52348000</v>
      </c>
      <c r="AM633" s="211"/>
      <c r="AN633" s="211"/>
      <c r="AO633" s="211"/>
      <c r="AP633" s="211"/>
      <c r="AQ633" s="211"/>
      <c r="AR633" s="211"/>
      <c r="AS633" s="211"/>
      <c r="AT633" s="211"/>
      <c r="AU633" s="211"/>
      <c r="AV633" s="211"/>
      <c r="AW633" s="211"/>
      <c r="AX633" s="211"/>
      <c r="AY633" s="211"/>
      <c r="AZ633" s="211"/>
      <c r="BA633" s="211"/>
      <c r="BB633" s="211"/>
      <c r="BC633" s="211"/>
      <c r="BD633" s="333">
        <v>43454</v>
      </c>
      <c r="BE633" s="82">
        <f t="shared" si="82"/>
        <v>52348000</v>
      </c>
    </row>
    <row r="634" spans="2:57" ht="20.399999999999999" hidden="1" x14ac:dyDescent="0.3">
      <c r="B634" s="2" t="str">
        <f>+'Base de Datos'!E634</f>
        <v>180192-0-2018</v>
      </c>
      <c r="C634" s="2" t="str">
        <f>+'Base de Datos'!F634</f>
        <v>TEAM MANAGEMENT INFRASTRUCTURE SAS</v>
      </c>
      <c r="D634" s="2">
        <f>+'Base de Datos'!G634</f>
        <v>900220002</v>
      </c>
      <c r="E634" s="2" t="str">
        <f>+'Base de Datos'!H634</f>
        <v>Prestar servicios de soporte y mantenimiento para la plataforma VMware del Concejo de Bogotá.</v>
      </c>
      <c r="F634" s="197">
        <f>+'Base de Datos'!I634</f>
        <v>43000000</v>
      </c>
      <c r="G634" s="196">
        <f>+'Base de Datos'!M634</f>
        <v>43286</v>
      </c>
      <c r="H634" s="196">
        <f>+'Base de Datos'!N634</f>
        <v>43650</v>
      </c>
      <c r="I634" s="196"/>
      <c r="J634" s="158"/>
      <c r="K634" s="333"/>
      <c r="L634" s="211"/>
      <c r="M634" s="336"/>
      <c r="N634" s="158"/>
      <c r="O634" s="333"/>
      <c r="P634" s="158"/>
      <c r="Q634" s="338"/>
      <c r="R634" s="81">
        <f t="shared" si="84"/>
        <v>0</v>
      </c>
      <c r="S634" s="258"/>
      <c r="T634" s="333"/>
      <c r="U634" s="158"/>
      <c r="V634" s="333"/>
      <c r="W634" s="158"/>
      <c r="X634" s="333"/>
      <c r="Y634" s="158"/>
      <c r="Z634" s="333"/>
      <c r="AA634" s="326"/>
      <c r="AB634" s="1004" t="str">
        <f t="shared" si="76"/>
        <v/>
      </c>
      <c r="AC634" s="1082" t="str">
        <f t="shared" si="77"/>
        <v/>
      </c>
      <c r="AD634" s="1077"/>
      <c r="AE634" s="1077"/>
      <c r="AF634" s="1084" t="str">
        <f t="shared" si="78"/>
        <v/>
      </c>
      <c r="AG634" s="1082" t="str">
        <f t="shared" si="79"/>
        <v/>
      </c>
      <c r="AH634" s="1091"/>
      <c r="AI634" s="1087"/>
      <c r="AJ634" s="1084" t="str">
        <f t="shared" si="80"/>
        <v/>
      </c>
      <c r="AK634" s="1083" t="str">
        <f t="shared" si="81"/>
        <v/>
      </c>
      <c r="AL634" s="211">
        <v>38022658</v>
      </c>
      <c r="AM634" s="211">
        <v>1095015</v>
      </c>
      <c r="AN634" s="211">
        <v>1095015</v>
      </c>
      <c r="AO634" s="211">
        <v>1493202</v>
      </c>
      <c r="AP634" s="211">
        <v>995468</v>
      </c>
      <c r="AQ634" s="211"/>
      <c r="AR634" s="211"/>
      <c r="AS634" s="211"/>
      <c r="AT634" s="211"/>
      <c r="AU634" s="211"/>
      <c r="AV634" s="211"/>
      <c r="AW634" s="211"/>
      <c r="AX634" s="211"/>
      <c r="AY634" s="211"/>
      <c r="AZ634" s="211"/>
      <c r="BA634" s="211"/>
      <c r="BB634" s="211"/>
      <c r="BC634" s="211"/>
      <c r="BD634" s="333">
        <v>43556</v>
      </c>
      <c r="BE634" s="82">
        <f t="shared" si="82"/>
        <v>42701358</v>
      </c>
    </row>
    <row r="635" spans="2:57" ht="40.799999999999997" hidden="1" x14ac:dyDescent="0.3">
      <c r="B635" s="2" t="str">
        <f>+'Base de Datos'!E635</f>
        <v>180186-0-2018</v>
      </c>
      <c r="C635" s="2" t="str">
        <f>+'Base de Datos'!F635</f>
        <v>PURIFICADORES Y FILTROS INTERNACIONAL LTDA</v>
      </c>
      <c r="D635" s="2" t="str">
        <f>+'Base de Datos'!G635</f>
        <v>830021842-6</v>
      </c>
      <c r="E635" s="2" t="str">
        <f>+'Base de Datos'!H635</f>
        <v>Prestar servicios de mantenimiento preventivo con suministro de repuestos para plantas purificadoras semi-industriales de agua de la Secretaría Distrital de Hacienda y el Concejo de Bogotá.</v>
      </c>
      <c r="F635" s="197">
        <f>+'Base de Datos'!I635</f>
        <v>3059584</v>
      </c>
      <c r="G635" s="196">
        <f>+'Base de Datos'!M635</f>
        <v>43277</v>
      </c>
      <c r="H635" s="196">
        <f>+'Base de Datos'!N635</f>
        <v>43459</v>
      </c>
      <c r="I635" s="196"/>
      <c r="J635" s="158"/>
      <c r="K635" s="333"/>
      <c r="L635" s="211"/>
      <c r="M635" s="336"/>
      <c r="N635" s="158"/>
      <c r="O635" s="333"/>
      <c r="P635" s="158"/>
      <c r="Q635" s="338"/>
      <c r="R635" s="81">
        <f t="shared" si="84"/>
        <v>0</v>
      </c>
      <c r="S635" s="258" t="s">
        <v>381</v>
      </c>
      <c r="T635" s="333">
        <v>43490</v>
      </c>
      <c r="U635" s="158"/>
      <c r="V635" s="333"/>
      <c r="W635" s="158"/>
      <c r="X635" s="333"/>
      <c r="Y635" s="158"/>
      <c r="Z635" s="333"/>
      <c r="AA635" s="258" t="s">
        <v>381</v>
      </c>
      <c r="AB635" s="1004">
        <f t="shared" si="76"/>
        <v>43490</v>
      </c>
      <c r="AC635" s="1082" t="str">
        <f t="shared" si="77"/>
        <v/>
      </c>
      <c r="AD635" s="1077"/>
      <c r="AE635" s="1077"/>
      <c r="AF635" s="1084" t="str">
        <f t="shared" si="78"/>
        <v/>
      </c>
      <c r="AG635" s="1082" t="str">
        <f t="shared" si="79"/>
        <v/>
      </c>
      <c r="AH635" s="1091"/>
      <c r="AI635" s="1087"/>
      <c r="AJ635" s="1084" t="str">
        <f t="shared" si="80"/>
        <v/>
      </c>
      <c r="AK635" s="1083" t="str">
        <f t="shared" si="81"/>
        <v/>
      </c>
      <c r="AL635" s="211">
        <v>578530</v>
      </c>
      <c r="AM635" s="211">
        <v>517569</v>
      </c>
      <c r="AN635" s="211">
        <v>1337784</v>
      </c>
      <c r="AO635" s="211"/>
      <c r="AP635" s="211"/>
      <c r="AQ635" s="211"/>
      <c r="AR635" s="211"/>
      <c r="AS635" s="211"/>
      <c r="AT635" s="211"/>
      <c r="AU635" s="211"/>
      <c r="AV635" s="211"/>
      <c r="AW635" s="211"/>
      <c r="AX635" s="211"/>
      <c r="AY635" s="211"/>
      <c r="AZ635" s="211"/>
      <c r="BA635" s="211"/>
      <c r="BB635" s="211"/>
      <c r="BC635" s="211"/>
      <c r="BD635" s="333">
        <v>43669</v>
      </c>
      <c r="BE635" s="82">
        <f t="shared" si="82"/>
        <v>2433883</v>
      </c>
    </row>
    <row r="636" spans="2:57" ht="30.6" hidden="1" x14ac:dyDescent="0.3">
      <c r="B636" s="2" t="str">
        <f>+'Base de Datos'!E636</f>
        <v>180207-0-2018</v>
      </c>
      <c r="C636" s="2" t="str">
        <f>+'Base de Datos'!F636</f>
        <v>TRANSPORTES COCOCARGA LTDA</v>
      </c>
      <c r="D636" s="2">
        <f>+'Base de Datos'!G636</f>
        <v>900332934</v>
      </c>
      <c r="E636" s="2" t="str">
        <f>+'Base de Datos'!H636</f>
        <v>Prestar servicio de transporte de bienes muebles, equipos de oficina y cajas de archivo documental para el Concejo de Bogotá</v>
      </c>
      <c r="F636" s="197">
        <f>+'Base de Datos'!I636</f>
        <v>2810000</v>
      </c>
      <c r="G636" s="196">
        <f>+'Base de Datos'!M636</f>
        <v>43311</v>
      </c>
      <c r="H636" s="196">
        <f>+'Base de Datos'!N636</f>
        <v>43494</v>
      </c>
      <c r="I636" s="196"/>
      <c r="J636" s="158"/>
      <c r="K636" s="333"/>
      <c r="L636" s="211"/>
      <c r="M636" s="336"/>
      <c r="N636" s="158"/>
      <c r="O636" s="333"/>
      <c r="P636" s="158"/>
      <c r="Q636" s="338"/>
      <c r="R636" s="81">
        <f t="shared" si="84"/>
        <v>0</v>
      </c>
      <c r="S636" s="258"/>
      <c r="T636" s="333"/>
      <c r="U636" s="158"/>
      <c r="V636" s="333"/>
      <c r="W636" s="158"/>
      <c r="X636" s="333"/>
      <c r="Y636" s="158"/>
      <c r="Z636" s="333"/>
      <c r="AA636" s="326"/>
      <c r="AB636" s="1004" t="str">
        <f t="shared" si="76"/>
        <v/>
      </c>
      <c r="AC636" s="1082" t="str">
        <f t="shared" si="77"/>
        <v/>
      </c>
      <c r="AD636" s="1077"/>
      <c r="AE636" s="1077"/>
      <c r="AF636" s="1084" t="str">
        <f t="shared" si="78"/>
        <v/>
      </c>
      <c r="AG636" s="1082" t="str">
        <f t="shared" si="79"/>
        <v/>
      </c>
      <c r="AH636" s="1091"/>
      <c r="AI636" s="1087"/>
      <c r="AJ636" s="1084" t="str">
        <f t="shared" si="80"/>
        <v/>
      </c>
      <c r="AK636" s="1083" t="str">
        <f t="shared" si="81"/>
        <v/>
      </c>
      <c r="AL636" s="211">
        <v>520000</v>
      </c>
      <c r="AM636" s="211">
        <v>1910000</v>
      </c>
      <c r="AN636" s="211"/>
      <c r="AO636" s="211"/>
      <c r="AP636" s="211"/>
      <c r="AQ636" s="211"/>
      <c r="AR636" s="211"/>
      <c r="AS636" s="211"/>
      <c r="AT636" s="211"/>
      <c r="AU636" s="211"/>
      <c r="AV636" s="211"/>
      <c r="AW636" s="211"/>
      <c r="AX636" s="211"/>
      <c r="AY636" s="211"/>
      <c r="AZ636" s="211"/>
      <c r="BA636" s="211"/>
      <c r="BB636" s="211"/>
      <c r="BC636" s="211"/>
      <c r="BD636" s="333">
        <v>43552</v>
      </c>
      <c r="BE636" s="82">
        <f t="shared" si="82"/>
        <v>2430000</v>
      </c>
    </row>
    <row r="637" spans="2:57" ht="20.399999999999999" hidden="1" x14ac:dyDescent="0.3">
      <c r="B637" s="2" t="str">
        <f>+'Base de Datos'!E637</f>
        <v>180208-0-2018</v>
      </c>
      <c r="C637" s="2" t="str">
        <f>+'Base de Datos'!F637</f>
        <v>HANS OLIVER BELTRAN PALMA</v>
      </c>
      <c r="D637" s="2">
        <f>+'Base de Datos'!G637</f>
        <v>79667596</v>
      </c>
      <c r="E637" s="2" t="str">
        <f>+'Base de Datos'!H637</f>
        <v>Contratar la adqusición, entrega y montaje de mobiliario para el salón Lara Bonilla del Concejo de Bogotá</v>
      </c>
      <c r="F637" s="197">
        <f>+'Base de Datos'!I637</f>
        <v>55138787</v>
      </c>
      <c r="G637" s="196">
        <f>+'Base de Datos'!M637</f>
        <v>43306</v>
      </c>
      <c r="H637" s="196">
        <f>+'Base de Datos'!N637</f>
        <v>43367</v>
      </c>
      <c r="I637" s="196"/>
      <c r="J637" s="158">
        <v>5125473</v>
      </c>
      <c r="K637" s="333">
        <v>43378</v>
      </c>
      <c r="L637" s="211"/>
      <c r="M637" s="336"/>
      <c r="N637" s="158"/>
      <c r="O637" s="333"/>
      <c r="P637" s="158"/>
      <c r="Q637" s="338"/>
      <c r="R637" s="81">
        <f t="shared" si="84"/>
        <v>5125473</v>
      </c>
      <c r="S637" s="820" t="s">
        <v>4291</v>
      </c>
      <c r="T637" s="333">
        <v>43378</v>
      </c>
      <c r="U637" s="157" t="s">
        <v>2951</v>
      </c>
      <c r="V637" s="333">
        <v>43398</v>
      </c>
      <c r="W637" s="158"/>
      <c r="X637" s="333"/>
      <c r="Y637" s="158"/>
      <c r="Z637" s="333"/>
      <c r="AA637" s="820" t="s">
        <v>4339</v>
      </c>
      <c r="AB637" s="1004">
        <f t="shared" si="76"/>
        <v>43398</v>
      </c>
      <c r="AC637" s="1082" t="str">
        <f t="shared" si="77"/>
        <v/>
      </c>
      <c r="AD637" s="1077"/>
      <c r="AE637" s="1077"/>
      <c r="AF637" s="1084" t="str">
        <f t="shared" si="78"/>
        <v/>
      </c>
      <c r="AG637" s="1082" t="str">
        <f t="shared" si="79"/>
        <v/>
      </c>
      <c r="AH637" s="1091"/>
      <c r="AI637" s="1087"/>
      <c r="AJ637" s="1084" t="str">
        <f t="shared" si="80"/>
        <v/>
      </c>
      <c r="AK637" s="1083" t="str">
        <f t="shared" si="81"/>
        <v/>
      </c>
      <c r="AL637" s="211">
        <v>60179424</v>
      </c>
      <c r="AM637" s="211"/>
      <c r="AN637" s="211"/>
      <c r="AO637" s="211"/>
      <c r="AP637" s="211"/>
      <c r="AQ637" s="211"/>
      <c r="AR637" s="211"/>
      <c r="AS637" s="211"/>
      <c r="AT637" s="211"/>
      <c r="AU637" s="211"/>
      <c r="AV637" s="211"/>
      <c r="AW637" s="211"/>
      <c r="AX637" s="211"/>
      <c r="AY637" s="211"/>
      <c r="AZ637" s="211"/>
      <c r="BA637" s="211"/>
      <c r="BB637" s="211"/>
      <c r="BC637" s="211"/>
      <c r="BD637" s="333">
        <v>43452</v>
      </c>
      <c r="BE637" s="82">
        <f t="shared" si="82"/>
        <v>60179424</v>
      </c>
    </row>
    <row r="638" spans="2:57" ht="20.399999999999999" hidden="1" x14ac:dyDescent="0.3">
      <c r="B638" s="2" t="str">
        <f>+'Base de Datos'!E638</f>
        <v>180210-0-2018</v>
      </c>
      <c r="C638" s="2" t="str">
        <f>+'Base de Datos'!F638</f>
        <v>PC MICROS SAS</v>
      </c>
      <c r="D638" s="2">
        <f>+'Base de Datos'!G638</f>
        <v>860403052</v>
      </c>
      <c r="E638" s="2" t="str">
        <f>+'Base de Datos'!H638</f>
        <v>Proveer el servicio de migración de Microsoft Exchange 2010 a 2016 para el Concejo de Bogotá</v>
      </c>
      <c r="F638" s="197">
        <f>+'Base de Datos'!I638</f>
        <v>32450000</v>
      </c>
      <c r="G638" s="196">
        <f>+'Base de Datos'!M638</f>
        <v>43308</v>
      </c>
      <c r="H638" s="196">
        <f>+'Base de Datos'!N638</f>
        <v>43399</v>
      </c>
      <c r="I638" s="196"/>
      <c r="J638" s="158"/>
      <c r="K638" s="333"/>
      <c r="L638" s="211"/>
      <c r="M638" s="336"/>
      <c r="N638" s="158"/>
      <c r="O638" s="333"/>
      <c r="P638" s="158"/>
      <c r="Q638" s="338"/>
      <c r="R638" s="81">
        <f t="shared" si="84"/>
        <v>0</v>
      </c>
      <c r="S638" s="820" t="s">
        <v>4390</v>
      </c>
      <c r="T638" s="333">
        <v>43441</v>
      </c>
      <c r="U638" s="158"/>
      <c r="V638" s="333"/>
      <c r="W638" s="158"/>
      <c r="X638" s="333"/>
      <c r="Y638" s="158"/>
      <c r="Z638" s="333"/>
      <c r="AA638" s="820" t="s">
        <v>4390</v>
      </c>
      <c r="AB638" s="1004">
        <f t="shared" si="76"/>
        <v>43441</v>
      </c>
      <c r="AC638" s="1082" t="str">
        <f t="shared" si="77"/>
        <v/>
      </c>
      <c r="AD638" s="1077"/>
      <c r="AE638" s="1077"/>
      <c r="AF638" s="1084" t="str">
        <f t="shared" si="78"/>
        <v/>
      </c>
      <c r="AG638" s="1082" t="str">
        <f t="shared" si="79"/>
        <v/>
      </c>
      <c r="AH638" s="1091"/>
      <c r="AI638" s="1087"/>
      <c r="AJ638" s="1084" t="str">
        <f t="shared" si="80"/>
        <v/>
      </c>
      <c r="AK638" s="1083" t="str">
        <f t="shared" si="81"/>
        <v/>
      </c>
      <c r="AL638" s="211">
        <v>27450000</v>
      </c>
      <c r="AM638" s="211">
        <v>5000000</v>
      </c>
      <c r="AN638" s="211"/>
      <c r="AO638" s="211"/>
      <c r="AP638" s="211"/>
      <c r="AQ638" s="211"/>
      <c r="AR638" s="211"/>
      <c r="AS638" s="211"/>
      <c r="AT638" s="211"/>
      <c r="AU638" s="211"/>
      <c r="AV638" s="211"/>
      <c r="AW638" s="211"/>
      <c r="AX638" s="211"/>
      <c r="AY638" s="211"/>
      <c r="AZ638" s="211"/>
      <c r="BA638" s="211"/>
      <c r="BB638" s="211"/>
      <c r="BC638" s="211"/>
      <c r="BD638" s="333">
        <v>43553</v>
      </c>
      <c r="BE638" s="82">
        <f t="shared" si="82"/>
        <v>32450000</v>
      </c>
    </row>
    <row r="639" spans="2:57" ht="30.6" hidden="1" x14ac:dyDescent="0.3">
      <c r="B639" s="2" t="str">
        <f>+'Base de Datos'!E639</f>
        <v>180197-0-2018</v>
      </c>
      <c r="C639" s="2" t="str">
        <f>+'Base de Datos'!F639</f>
        <v xml:space="preserve">LUZ ANGELA CARDENAS MORENO </v>
      </c>
      <c r="D639" s="2">
        <f>+'Base de Datos'!G639</f>
        <v>52911222</v>
      </c>
      <c r="E639" s="2" t="str">
        <f>+'Base de Datos'!H639</f>
        <v>Prestar servicios profesionales para apoyar a la oficina de comunicaciones del Concejo de Bogotá para el cumplimiento al plan de comunicaciones internas y externas de la entidad.</v>
      </c>
      <c r="F639" s="197">
        <f>+'Base de Datos'!I639</f>
        <v>41097000</v>
      </c>
      <c r="G639" s="196">
        <f>+'Base de Datos'!M639</f>
        <v>43287</v>
      </c>
      <c r="H639" s="196">
        <f>+'Base de Datos'!N639</f>
        <v>43496</v>
      </c>
      <c r="I639" s="196"/>
      <c r="J639" s="158"/>
      <c r="K639" s="333"/>
      <c r="L639" s="211"/>
      <c r="M639" s="336"/>
      <c r="N639" s="158"/>
      <c r="O639" s="333"/>
      <c r="P639" s="158"/>
      <c r="Q639" s="338"/>
      <c r="R639" s="81">
        <f t="shared" si="84"/>
        <v>0</v>
      </c>
      <c r="S639" s="258"/>
      <c r="T639" s="333"/>
      <c r="U639" s="158"/>
      <c r="V639" s="333"/>
      <c r="W639" s="158"/>
      <c r="X639" s="333"/>
      <c r="Y639" s="158"/>
      <c r="Z639" s="333"/>
      <c r="AA639" s="326"/>
      <c r="AB639" s="1004" t="str">
        <f t="shared" si="76"/>
        <v/>
      </c>
      <c r="AC639" s="1082" t="str">
        <f t="shared" si="77"/>
        <v/>
      </c>
      <c r="AD639" s="1077"/>
      <c r="AE639" s="1077"/>
      <c r="AF639" s="1084" t="str">
        <f t="shared" si="78"/>
        <v/>
      </c>
      <c r="AG639" s="1082" t="str">
        <f t="shared" si="79"/>
        <v/>
      </c>
      <c r="AH639" s="1091"/>
      <c r="AI639" s="1087"/>
      <c r="AJ639" s="1084" t="str">
        <f t="shared" si="80"/>
        <v/>
      </c>
      <c r="AK639" s="1083" t="str">
        <f t="shared" si="81"/>
        <v/>
      </c>
      <c r="AL639" s="211">
        <v>4892500</v>
      </c>
      <c r="AM639" s="211">
        <v>5871000</v>
      </c>
      <c r="AN639" s="211">
        <v>5871000</v>
      </c>
      <c r="AO639" s="211">
        <v>5871000</v>
      </c>
      <c r="AP639" s="211">
        <v>5871000</v>
      </c>
      <c r="AQ639" s="211">
        <v>5871000</v>
      </c>
      <c r="AR639" s="211">
        <v>5871000</v>
      </c>
      <c r="AS639" s="211"/>
      <c r="AT639" s="211"/>
      <c r="AU639" s="211"/>
      <c r="AV639" s="211"/>
      <c r="AW639" s="211"/>
      <c r="AX639" s="211"/>
      <c r="AY639" s="211"/>
      <c r="AZ639" s="211"/>
      <c r="BA639" s="211"/>
      <c r="BB639" s="211"/>
      <c r="BC639" s="211"/>
      <c r="BD639" s="333">
        <v>43496</v>
      </c>
      <c r="BE639" s="82">
        <f t="shared" si="82"/>
        <v>40118500</v>
      </c>
    </row>
    <row r="640" spans="2:57" ht="30.6" hidden="1" x14ac:dyDescent="0.3">
      <c r="B640" s="2" t="str">
        <f>+'Base de Datos'!E640</f>
        <v>180200-0-2018</v>
      </c>
      <c r="C640" s="2" t="str">
        <f>+'Base de Datos'!F640</f>
        <v>EMPRESA DE TELECOMUNICACIONES DE BOGOTA S.A.   ESP</v>
      </c>
      <c r="D640" s="2" t="str">
        <f>+'Base de Datos'!G640</f>
        <v>899999115-8</v>
      </c>
      <c r="E640" s="2" t="str">
        <f>+'Base de Datos'!H640</f>
        <v>Proveer servicios de canales dedicados e internet y servicios complementarios para el Concejo de Bogotá.</v>
      </c>
      <c r="F640" s="197">
        <f>+'Base de Datos'!I640</f>
        <v>88608961</v>
      </c>
      <c r="G640" s="196">
        <f>+'Base de Datos'!M640</f>
        <v>43295</v>
      </c>
      <c r="H640" s="196">
        <f>+'Base de Datos'!N640</f>
        <v>43537</v>
      </c>
      <c r="I640" s="196"/>
      <c r="J640" s="158"/>
      <c r="K640" s="333"/>
      <c r="L640" s="211"/>
      <c r="M640" s="336"/>
      <c r="N640" s="158"/>
      <c r="O640" s="333"/>
      <c r="P640" s="158"/>
      <c r="Q640" s="338"/>
      <c r="R640" s="81">
        <f t="shared" si="84"/>
        <v>0</v>
      </c>
      <c r="S640" s="258"/>
      <c r="T640" s="333"/>
      <c r="U640" s="158"/>
      <c r="V640" s="333"/>
      <c r="W640" s="158"/>
      <c r="X640" s="333"/>
      <c r="Y640" s="158"/>
      <c r="Z640" s="333"/>
      <c r="AA640" s="326"/>
      <c r="AB640" s="1004" t="str">
        <f t="shared" si="76"/>
        <v/>
      </c>
      <c r="AC640" s="1082" t="str">
        <f t="shared" si="77"/>
        <v/>
      </c>
      <c r="AD640" s="1077"/>
      <c r="AE640" s="1077"/>
      <c r="AF640" s="1084" t="str">
        <f t="shared" si="78"/>
        <v/>
      </c>
      <c r="AG640" s="1082" t="str">
        <f t="shared" si="79"/>
        <v/>
      </c>
      <c r="AH640" s="1091"/>
      <c r="AI640" s="1087"/>
      <c r="AJ640" s="1084" t="str">
        <f t="shared" si="80"/>
        <v/>
      </c>
      <c r="AK640" s="1083" t="str">
        <f t="shared" si="81"/>
        <v/>
      </c>
      <c r="AL640" s="211">
        <v>11076120</v>
      </c>
      <c r="AM640" s="211">
        <v>11076120</v>
      </c>
      <c r="AN640" s="211">
        <v>11076120</v>
      </c>
      <c r="AO640" s="211">
        <v>11076120</v>
      </c>
      <c r="AP640" s="211">
        <v>33228356</v>
      </c>
      <c r="AQ640" s="211">
        <v>11076121</v>
      </c>
      <c r="AR640" s="211"/>
      <c r="AS640" s="211"/>
      <c r="AT640" s="211"/>
      <c r="AU640" s="211"/>
      <c r="AV640" s="211"/>
      <c r="AW640" s="211"/>
      <c r="AX640" s="211"/>
      <c r="AY640" s="211"/>
      <c r="AZ640" s="211"/>
      <c r="BA640" s="211"/>
      <c r="BB640" s="211"/>
      <c r="BC640" s="211"/>
      <c r="BD640" s="333">
        <v>43556</v>
      </c>
      <c r="BE640" s="82">
        <f t="shared" si="82"/>
        <v>88608957</v>
      </c>
    </row>
    <row r="641" spans="2:57" ht="20.399999999999999" hidden="1" x14ac:dyDescent="0.3">
      <c r="B641" s="2" t="str">
        <f>+'Base de Datos'!E641</f>
        <v>180206-0-2018</v>
      </c>
      <c r="C641" s="2" t="str">
        <f>+'Base de Datos'!F641</f>
        <v>OPENLINK SISTEMA DE REDES DE DATOS SA</v>
      </c>
      <c r="D641" s="2">
        <f>+'Base de Datos'!G641</f>
        <v>900254691</v>
      </c>
      <c r="E641" s="2" t="str">
        <f>+'Base de Datos'!H641</f>
        <v>Adquirir switches de acceso para el Concejo de Bogotá</v>
      </c>
      <c r="F641" s="197">
        <f>+'Base de Datos'!I641</f>
        <v>135000000</v>
      </c>
      <c r="G641" s="196">
        <f>+'Base de Datos'!M641</f>
        <v>43297</v>
      </c>
      <c r="H641" s="196">
        <f>+'Base de Datos'!N641</f>
        <v>43419</v>
      </c>
      <c r="I641" s="196"/>
      <c r="J641" s="158"/>
      <c r="K641" s="333"/>
      <c r="L641" s="211"/>
      <c r="M641" s="336"/>
      <c r="N641" s="158"/>
      <c r="O641" s="333"/>
      <c r="P641" s="158"/>
      <c r="Q641" s="338"/>
      <c r="R641" s="81">
        <f t="shared" si="84"/>
        <v>0</v>
      </c>
      <c r="S641" s="258"/>
      <c r="T641" s="333"/>
      <c r="U641" s="158"/>
      <c r="V641" s="333"/>
      <c r="W641" s="158"/>
      <c r="X641" s="333"/>
      <c r="Y641" s="158"/>
      <c r="Z641" s="333"/>
      <c r="AA641" s="326"/>
      <c r="AB641" s="1004" t="str">
        <f t="shared" si="76"/>
        <v/>
      </c>
      <c r="AC641" s="1082" t="str">
        <f t="shared" si="77"/>
        <v/>
      </c>
      <c r="AD641" s="1077"/>
      <c r="AE641" s="1077"/>
      <c r="AF641" s="1084" t="str">
        <f t="shared" si="78"/>
        <v/>
      </c>
      <c r="AG641" s="1082" t="str">
        <f t="shared" si="79"/>
        <v/>
      </c>
      <c r="AH641" s="1091"/>
      <c r="AI641" s="1087"/>
      <c r="AJ641" s="1084" t="str">
        <f t="shared" si="80"/>
        <v/>
      </c>
      <c r="AK641" s="1083" t="str">
        <f t="shared" si="81"/>
        <v/>
      </c>
      <c r="AL641" s="211">
        <v>104045323</v>
      </c>
      <c r="AM641" s="211"/>
      <c r="AN641" s="211">
        <v>30954677</v>
      </c>
      <c r="AO641" s="211"/>
      <c r="AP641" s="211"/>
      <c r="AQ641" s="211"/>
      <c r="AR641" s="211"/>
      <c r="AS641" s="211"/>
      <c r="AT641" s="211"/>
      <c r="AU641" s="211"/>
      <c r="AV641" s="211"/>
      <c r="AW641" s="211"/>
      <c r="AX641" s="211"/>
      <c r="AY641" s="211"/>
      <c r="AZ641" s="211"/>
      <c r="BA641" s="211"/>
      <c r="BB641" s="211"/>
      <c r="BC641" s="211"/>
      <c r="BD641" s="333">
        <v>43444</v>
      </c>
      <c r="BE641" s="82">
        <f t="shared" si="82"/>
        <v>135000000</v>
      </c>
    </row>
    <row r="642" spans="2:57" ht="40.799999999999997" hidden="1" x14ac:dyDescent="0.3">
      <c r="B642" s="2" t="str">
        <f>+'Base de Datos'!E642</f>
        <v>180212-0-2018</v>
      </c>
      <c r="C642" s="2" t="str">
        <f>+'Base de Datos'!F642</f>
        <v>MARTHA PATRICIA ORTIZ CASTAÑO</v>
      </c>
      <c r="D642" s="2">
        <f>+'Base de Datos'!G642</f>
        <v>41690000</v>
      </c>
      <c r="E642" s="2" t="str">
        <f>+'Base de Datos'!H642</f>
        <v>Prestar los servicios profesionales para apoyar a la Secretaria General del Concejo de Bogotá, en la respuesta a derechos de petición, solicitudes, quejas, consultas y reclamos que reciba la corporación.</v>
      </c>
      <c r="F642" s="197">
        <f>+'Base de Datos'!I642</f>
        <v>27120000</v>
      </c>
      <c r="G642" s="196">
        <f>+'Base de Datos'!M642</f>
        <v>43313</v>
      </c>
      <c r="H642" s="196">
        <f>+'Base de Datos'!N642</f>
        <v>43496</v>
      </c>
      <c r="I642" s="196"/>
      <c r="J642" s="158">
        <v>13560000</v>
      </c>
      <c r="K642" s="333">
        <v>43496</v>
      </c>
      <c r="L642" s="211"/>
      <c r="M642" s="336"/>
      <c r="N642" s="158"/>
      <c r="O642" s="333"/>
      <c r="P642" s="158"/>
      <c r="Q642" s="338"/>
      <c r="R642" s="81">
        <f t="shared" si="84"/>
        <v>13560000</v>
      </c>
      <c r="S642" s="258" t="s">
        <v>379</v>
      </c>
      <c r="T642" s="333">
        <v>43585</v>
      </c>
      <c r="U642" s="158"/>
      <c r="V642" s="333"/>
      <c r="W642" s="158"/>
      <c r="X642" s="333"/>
      <c r="Y642" s="158"/>
      <c r="Z642" s="333"/>
      <c r="AA642" s="258" t="s">
        <v>379</v>
      </c>
      <c r="AB642" s="1004">
        <f t="shared" si="76"/>
        <v>43585</v>
      </c>
      <c r="AC642" s="1082" t="str">
        <f t="shared" si="77"/>
        <v/>
      </c>
      <c r="AD642" s="1077"/>
      <c r="AE642" s="1077"/>
      <c r="AF642" s="1084" t="str">
        <f t="shared" si="78"/>
        <v/>
      </c>
      <c r="AG642" s="1082" t="str">
        <f t="shared" si="79"/>
        <v/>
      </c>
      <c r="AH642" s="1091"/>
      <c r="AI642" s="1087"/>
      <c r="AJ642" s="1084" t="str">
        <f t="shared" si="80"/>
        <v/>
      </c>
      <c r="AK642" s="1083" t="str">
        <f t="shared" si="81"/>
        <v/>
      </c>
      <c r="AL642" s="211">
        <v>4520000</v>
      </c>
      <c r="AM642" s="211">
        <v>4520000</v>
      </c>
      <c r="AN642" s="211">
        <v>4520000</v>
      </c>
      <c r="AO642" s="211">
        <v>4520000</v>
      </c>
      <c r="AP642" s="211">
        <v>4520000</v>
      </c>
      <c r="AQ642" s="211">
        <v>4520000</v>
      </c>
      <c r="AR642" s="211">
        <v>4520000</v>
      </c>
      <c r="AS642" s="211">
        <v>4520000</v>
      </c>
      <c r="AT642" s="211">
        <v>4520000</v>
      </c>
      <c r="AU642" s="211"/>
      <c r="AV642" s="211"/>
      <c r="AW642" s="211"/>
      <c r="AX642" s="211"/>
      <c r="AY642" s="211"/>
      <c r="AZ642" s="211"/>
      <c r="BA642" s="211"/>
      <c r="BB642" s="211"/>
      <c r="BC642" s="211"/>
      <c r="BD642" s="333">
        <v>43605</v>
      </c>
      <c r="BE642" s="82">
        <f t="shared" si="82"/>
        <v>40680000</v>
      </c>
    </row>
    <row r="643" spans="2:57" ht="40.799999999999997" hidden="1" x14ac:dyDescent="0.3">
      <c r="B643" s="2" t="str">
        <f>+'Base de Datos'!E643</f>
        <v>180218-0-2018</v>
      </c>
      <c r="C643" s="2" t="str">
        <f>+'Base de Datos'!F643</f>
        <v xml:space="preserve">DIEGO EDUARDO PABON BULLA </v>
      </c>
      <c r="D643" s="2">
        <f>+'Base de Datos'!G643</f>
        <v>1032424231</v>
      </c>
      <c r="E643" s="2" t="str">
        <f>+'Base de Datos'!H643</f>
        <v>Prestar los servicios Profesionales para apoyar al Concejo de Bogotá en la adopción y manejo de las estrategias y acciones de cooperación para posicionar a la Corporación en el ámbito Nacional e Internacional</v>
      </c>
      <c r="F643" s="197">
        <f>+'Base de Datos'!I643</f>
        <v>32814000</v>
      </c>
      <c r="G643" s="196">
        <f>+'Base de Datos'!M643</f>
        <v>43313</v>
      </c>
      <c r="H643" s="196">
        <f>+'Base de Datos'!N643</f>
        <v>43496</v>
      </c>
      <c r="I643" s="196"/>
      <c r="J643" s="158"/>
      <c r="K643" s="333"/>
      <c r="L643" s="211"/>
      <c r="M643" s="336"/>
      <c r="N643" s="158"/>
      <c r="O643" s="333"/>
      <c r="P643" s="158"/>
      <c r="Q643" s="338"/>
      <c r="R643" s="81">
        <f t="shared" si="84"/>
        <v>0</v>
      </c>
      <c r="S643" s="258"/>
      <c r="T643" s="333"/>
      <c r="U643" s="158"/>
      <c r="V643" s="333"/>
      <c r="W643" s="158"/>
      <c r="X643" s="333"/>
      <c r="Y643" s="158"/>
      <c r="Z643" s="333"/>
      <c r="AA643" s="326"/>
      <c r="AB643" s="1004" t="str">
        <f t="shared" si="76"/>
        <v/>
      </c>
      <c r="AC643" s="1082" t="str">
        <f t="shared" si="77"/>
        <v/>
      </c>
      <c r="AD643" s="1077"/>
      <c r="AE643" s="1077"/>
      <c r="AF643" s="1084" t="str">
        <f t="shared" si="78"/>
        <v/>
      </c>
      <c r="AG643" s="1082" t="str">
        <f t="shared" si="79"/>
        <v/>
      </c>
      <c r="AH643" s="1091"/>
      <c r="AI643" s="1087"/>
      <c r="AJ643" s="1084" t="str">
        <f t="shared" si="80"/>
        <v/>
      </c>
      <c r="AK643" s="1083" t="str">
        <f t="shared" si="81"/>
        <v/>
      </c>
      <c r="AL643" s="211">
        <v>5469000</v>
      </c>
      <c r="AM643" s="211">
        <v>5469000</v>
      </c>
      <c r="AN643" s="211">
        <v>5469000</v>
      </c>
      <c r="AO643" s="211">
        <v>5469000</v>
      </c>
      <c r="AP643" s="211">
        <v>5469000</v>
      </c>
      <c r="AQ643" s="211">
        <v>5469000</v>
      </c>
      <c r="AR643" s="211"/>
      <c r="AS643" s="211"/>
      <c r="AT643" s="211"/>
      <c r="AU643" s="211"/>
      <c r="AV643" s="211"/>
      <c r="AW643" s="211"/>
      <c r="AX643" s="211"/>
      <c r="AY643" s="211"/>
      <c r="AZ643" s="211"/>
      <c r="BA643" s="211"/>
      <c r="BB643" s="211"/>
      <c r="BC643" s="211"/>
      <c r="BD643" s="333">
        <v>43510</v>
      </c>
      <c r="BE643" s="82">
        <f t="shared" si="82"/>
        <v>32814000</v>
      </c>
    </row>
    <row r="644" spans="2:57" ht="51" hidden="1" x14ac:dyDescent="0.3">
      <c r="B644" s="2" t="str">
        <f>+'Base de Datos'!E644</f>
        <v>180221-0-2018</v>
      </c>
      <c r="C644" s="2" t="str">
        <f>+'Base de Datos'!F644</f>
        <v>UNIDAD NACIONAL DE PROTECCION - UNP</v>
      </c>
      <c r="D644" s="2">
        <f>+'Base de Datos'!G644</f>
        <v>900475780</v>
      </c>
      <c r="E644" s="2" t="str">
        <f>+'Base de Datos'!H644</f>
        <v>Aunar esfuerzos humanos, técnicos, logísticos y administrativos para garantizar el esquema de seguridad, en su componente vehículos, requerido por los Concejales del Distrito Capital, como consecuencia directa del ejercicio de sus funciones.</v>
      </c>
      <c r="F644" s="197">
        <f>+'Base de Datos'!I644</f>
        <v>2414107000</v>
      </c>
      <c r="G644" s="196">
        <f>+'Base de Datos'!M644</f>
        <v>43313</v>
      </c>
      <c r="H644" s="196">
        <f>+'Base de Datos'!N644</f>
        <v>43488</v>
      </c>
      <c r="I644" s="196"/>
      <c r="J644" s="158"/>
      <c r="K644" s="333"/>
      <c r="L644" s="211"/>
      <c r="M644" s="336"/>
      <c r="N644" s="158"/>
      <c r="O644" s="333"/>
      <c r="P644" s="158"/>
      <c r="Q644" s="338"/>
      <c r="R644" s="81">
        <f t="shared" si="84"/>
        <v>0</v>
      </c>
      <c r="S644" s="258"/>
      <c r="T644" s="333"/>
      <c r="U644" s="158"/>
      <c r="V644" s="333"/>
      <c r="W644" s="158"/>
      <c r="X644" s="333"/>
      <c r="Y644" s="158"/>
      <c r="Z644" s="333"/>
      <c r="AA644" s="326"/>
      <c r="AB644" s="1004" t="str">
        <f t="shared" si="76"/>
        <v/>
      </c>
      <c r="AC644" s="1082" t="str">
        <f t="shared" si="77"/>
        <v/>
      </c>
      <c r="AD644" s="1077"/>
      <c r="AE644" s="1077"/>
      <c r="AF644" s="1084" t="str">
        <f t="shared" si="78"/>
        <v/>
      </c>
      <c r="AG644" s="1082" t="str">
        <f t="shared" si="79"/>
        <v/>
      </c>
      <c r="AH644" s="1091"/>
      <c r="AI644" s="1087"/>
      <c r="AJ644" s="1084" t="str">
        <f t="shared" si="80"/>
        <v/>
      </c>
      <c r="AK644" s="1083" t="str">
        <f t="shared" si="81"/>
        <v/>
      </c>
      <c r="AL644" s="211">
        <v>965642800</v>
      </c>
      <c r="AM644" s="211">
        <v>724232100</v>
      </c>
      <c r="AN644" s="211">
        <v>482821400</v>
      </c>
      <c r="AO644" s="211">
        <v>142169313</v>
      </c>
      <c r="AP644" s="211"/>
      <c r="AQ644" s="211"/>
      <c r="AR644" s="211"/>
      <c r="AS644" s="211"/>
      <c r="AT644" s="211"/>
      <c r="AU644" s="211"/>
      <c r="AV644" s="211"/>
      <c r="AW644" s="211"/>
      <c r="AX644" s="211"/>
      <c r="AY644" s="211"/>
      <c r="AZ644" s="211"/>
      <c r="BA644" s="211"/>
      <c r="BB644" s="211"/>
      <c r="BC644" s="211"/>
      <c r="BD644" s="333">
        <v>43642</v>
      </c>
      <c r="BE644" s="82">
        <f t="shared" si="82"/>
        <v>2314865613</v>
      </c>
    </row>
    <row r="645" spans="2:57" ht="61.2" hidden="1" x14ac:dyDescent="0.3">
      <c r="B645" s="2" t="str">
        <f>+'Base de Datos'!E645</f>
        <v>180216-0-2018</v>
      </c>
      <c r="C645" s="2" t="str">
        <f>+'Base de Datos'!F645</f>
        <v>AURA ELISA GUERRERO MORENO</v>
      </c>
      <c r="D645" s="2">
        <f>+'Base de Datos'!G645</f>
        <v>35510194</v>
      </c>
      <c r="E645" s="2" t="str">
        <f>+'Base de Datos'!H645</f>
        <v>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645" s="197">
        <f>+'Base de Datos'!I645</f>
        <v>32812164</v>
      </c>
      <c r="G645" s="196">
        <f>+'Base de Datos'!M645</f>
        <v>43313</v>
      </c>
      <c r="H645" s="196">
        <f>+'Base de Datos'!N645</f>
        <v>43496</v>
      </c>
      <c r="I645" s="196"/>
      <c r="J645" s="158">
        <v>10937388</v>
      </c>
      <c r="K645" s="333">
        <v>43496</v>
      </c>
      <c r="L645" s="211"/>
      <c r="M645" s="336"/>
      <c r="N645" s="158"/>
      <c r="O645" s="333"/>
      <c r="P645" s="158"/>
      <c r="Q645" s="338"/>
      <c r="R645" s="81">
        <f t="shared" si="84"/>
        <v>10937388</v>
      </c>
      <c r="S645" s="258" t="s">
        <v>378</v>
      </c>
      <c r="T645" s="333">
        <v>43554</v>
      </c>
      <c r="U645" s="158"/>
      <c r="V645" s="333"/>
      <c r="W645" s="158"/>
      <c r="X645" s="333"/>
      <c r="Y645" s="158"/>
      <c r="Z645" s="333"/>
      <c r="AA645" s="258" t="s">
        <v>378</v>
      </c>
      <c r="AB645" s="1004">
        <f t="shared" si="76"/>
        <v>43554</v>
      </c>
      <c r="AC645" s="1082" t="str">
        <f t="shared" si="77"/>
        <v/>
      </c>
      <c r="AD645" s="1077"/>
      <c r="AE645" s="1077"/>
      <c r="AF645" s="1084" t="str">
        <f t="shared" si="78"/>
        <v/>
      </c>
      <c r="AG645" s="1082" t="str">
        <f t="shared" si="79"/>
        <v/>
      </c>
      <c r="AH645" s="1091"/>
      <c r="AI645" s="1087"/>
      <c r="AJ645" s="1084" t="str">
        <f t="shared" si="80"/>
        <v/>
      </c>
      <c r="AK645" s="1083" t="str">
        <f t="shared" si="81"/>
        <v/>
      </c>
      <c r="AL645" s="211">
        <v>5468694</v>
      </c>
      <c r="AM645" s="211">
        <v>5468694</v>
      </c>
      <c r="AN645" s="211">
        <v>5468694</v>
      </c>
      <c r="AO645" s="211">
        <v>5468694</v>
      </c>
      <c r="AP645" s="211">
        <v>5468694</v>
      </c>
      <c r="AQ645" s="211">
        <v>5468694</v>
      </c>
      <c r="AR645" s="211">
        <v>5468694</v>
      </c>
      <c r="AS645" s="211">
        <v>5468694</v>
      </c>
      <c r="AT645" s="211"/>
      <c r="AU645" s="211"/>
      <c r="AV645" s="211"/>
      <c r="AW645" s="211"/>
      <c r="AX645" s="211"/>
      <c r="AY645" s="211"/>
      <c r="AZ645" s="211"/>
      <c r="BA645" s="211"/>
      <c r="BB645" s="211"/>
      <c r="BC645" s="211"/>
      <c r="BD645" s="333">
        <v>43556</v>
      </c>
      <c r="BE645" s="82">
        <f t="shared" si="82"/>
        <v>43749552</v>
      </c>
    </row>
    <row r="646" spans="2:57" ht="40.799999999999997" hidden="1" x14ac:dyDescent="0.3">
      <c r="B646" s="2" t="str">
        <f>+'Base de Datos'!E646</f>
        <v>180209-0-2018</v>
      </c>
      <c r="C646" s="2" t="str">
        <f>+'Base de Datos'!F646</f>
        <v>SGS COLOMBIA SAS</v>
      </c>
      <c r="D646" s="2">
        <f>+'Base de Datos'!G646</f>
        <v>860049921</v>
      </c>
      <c r="E646" s="2" t="str">
        <f>+'Base de Datos'!H646</f>
        <v>Realizar las auditorías para el seguimiento de la certificación para los sistemas de Gestión Ambiental y Seguridad y Salud Ocupacional bajo las normas ISO 14001:2004 y OHSAS 18001:2007 al Concejo de Bogotá D.C.</v>
      </c>
      <c r="F646" s="197">
        <f>+'Base de Datos'!I646</f>
        <v>9055900</v>
      </c>
      <c r="G646" s="196">
        <f>+'Base de Datos'!M646</f>
        <v>43315</v>
      </c>
      <c r="H646" s="196">
        <f>+'Base de Datos'!N646</f>
        <v>43436</v>
      </c>
      <c r="I646" s="196"/>
      <c r="J646" s="158"/>
      <c r="K646" s="333"/>
      <c r="L646" s="211"/>
      <c r="M646" s="336"/>
      <c r="N646" s="158"/>
      <c r="O646" s="333"/>
      <c r="P646" s="158"/>
      <c r="Q646" s="338"/>
      <c r="R646" s="81">
        <f t="shared" si="84"/>
        <v>0</v>
      </c>
      <c r="S646" s="258"/>
      <c r="T646" s="333"/>
      <c r="U646" s="158"/>
      <c r="V646" s="333"/>
      <c r="W646" s="158"/>
      <c r="X646" s="333"/>
      <c r="Y646" s="158"/>
      <c r="Z646" s="333"/>
      <c r="AA646" s="326"/>
      <c r="AB646" s="1004" t="str">
        <f t="shared" si="76"/>
        <v/>
      </c>
      <c r="AC646" s="1082" t="str">
        <f t="shared" si="77"/>
        <v/>
      </c>
      <c r="AD646" s="1077"/>
      <c r="AE646" s="1077"/>
      <c r="AF646" s="1084" t="str">
        <f t="shared" si="78"/>
        <v/>
      </c>
      <c r="AG646" s="1082" t="str">
        <f t="shared" si="79"/>
        <v/>
      </c>
      <c r="AH646" s="1091"/>
      <c r="AI646" s="1087"/>
      <c r="AJ646" s="1084" t="str">
        <f t="shared" si="80"/>
        <v/>
      </c>
      <c r="AK646" s="1083" t="str">
        <f t="shared" si="81"/>
        <v/>
      </c>
      <c r="AL646" s="211">
        <v>9055900</v>
      </c>
      <c r="AM646" s="211"/>
      <c r="AN646" s="211"/>
      <c r="AO646" s="211"/>
      <c r="AP646" s="211"/>
      <c r="AQ646" s="211"/>
      <c r="AR646" s="211"/>
      <c r="AS646" s="211"/>
      <c r="AT646" s="211"/>
      <c r="AU646" s="211"/>
      <c r="AV646" s="211"/>
      <c r="AW646" s="211"/>
      <c r="AX646" s="211"/>
      <c r="AY646" s="211"/>
      <c r="AZ646" s="211"/>
      <c r="BA646" s="211"/>
      <c r="BB646" s="211"/>
      <c r="BC646" s="211"/>
      <c r="BD646" s="333">
        <v>43483</v>
      </c>
      <c r="BE646" s="82">
        <f t="shared" si="82"/>
        <v>9055900</v>
      </c>
    </row>
    <row r="647" spans="2:57" ht="40.799999999999997" hidden="1" x14ac:dyDescent="0.3">
      <c r="B647" s="2" t="str">
        <f>+'Base de Datos'!E647</f>
        <v>180217-0-2018</v>
      </c>
      <c r="C647" s="2" t="str">
        <f>+'Base de Datos'!F647</f>
        <v>ANDRES FELIPE CORZO VILLAMIZAR</v>
      </c>
      <c r="D647" s="2">
        <f>+'Base de Datos'!G647</f>
        <v>1098792121</v>
      </c>
      <c r="E647" s="2" t="str">
        <f>+'Base de Datos'!H647</f>
        <v>Prestar los servicios profesionales para apoyar la Dirección Financiera en la gestión de las actividades relacionadas con el seguimiento a la ejecución contractual del Concejo de Bogotá D.C.</v>
      </c>
      <c r="F647" s="197">
        <f>+'Base de Datos'!I647</f>
        <v>18750000</v>
      </c>
      <c r="G647" s="196">
        <f>+'Base de Datos'!M647</f>
        <v>43313</v>
      </c>
      <c r="H647" s="196">
        <f>+'Base de Datos'!N647</f>
        <v>43496</v>
      </c>
      <c r="I647" s="196"/>
      <c r="J647" s="158"/>
      <c r="K647" s="333"/>
      <c r="L647" s="211"/>
      <c r="M647" s="336"/>
      <c r="N647" s="158"/>
      <c r="O647" s="333"/>
      <c r="P647" s="158"/>
      <c r="Q647" s="338"/>
      <c r="R647" s="81">
        <f t="shared" si="84"/>
        <v>0</v>
      </c>
      <c r="S647" s="258"/>
      <c r="T647" s="333"/>
      <c r="U647" s="158"/>
      <c r="V647" s="333"/>
      <c r="W647" s="158"/>
      <c r="X647" s="333"/>
      <c r="Y647" s="158"/>
      <c r="Z647" s="333"/>
      <c r="AA647" s="326"/>
      <c r="AB647" s="1004" t="str">
        <f t="shared" ref="AB647:AB710" si="85">IF(ISNUMBER(T647),MAX(T647,V647,X647,Z647),"")</f>
        <v/>
      </c>
      <c r="AC647" s="1082" t="str">
        <f t="shared" ref="AC647:AC710" si="86">IF(ISNUMBER(AD647),ABS(AD647-AE647)+1,"")</f>
        <v/>
      </c>
      <c r="AD647" s="1077"/>
      <c r="AE647" s="1077"/>
      <c r="AF647" s="1084" t="str">
        <f t="shared" ref="AF647:AF710" si="87">IFERROR(IF(MAX(H647,I647)&lt;AE647,MAX(H647,I647)-AE647+AC647+AE647,MAX(H647,I647)+AC647),"")</f>
        <v/>
      </c>
      <c r="AG647" s="1082" t="str">
        <f t="shared" ref="AG647:AG710" si="88">IF(ISNUMBER(AH647),ABS(AH647-AI647)+1,"")</f>
        <v/>
      </c>
      <c r="AH647" s="1091"/>
      <c r="AI647" s="1087"/>
      <c r="AJ647" s="1084" t="str">
        <f t="shared" ref="AJ647:AJ710" si="89">IFERROR(IF(AF647&lt;AI647,((AF647-AI647)+AG647)+(AI647),AF647+AG647),"")</f>
        <v/>
      </c>
      <c r="AK647" s="1083" t="str">
        <f t="shared" ref="AK647:AK710" si="90">IF(ISNUMBER(AF647),MAX(AB647,AF647,AJ647),"")</f>
        <v/>
      </c>
      <c r="AL647" s="211">
        <v>3125000</v>
      </c>
      <c r="AM647" s="211">
        <v>3125000</v>
      </c>
      <c r="AN647" s="211">
        <v>3125000</v>
      </c>
      <c r="AO647" s="211">
        <v>3125000</v>
      </c>
      <c r="AP647" s="211">
        <v>3125000</v>
      </c>
      <c r="AQ647" s="211">
        <v>3125000</v>
      </c>
      <c r="AR647" s="211"/>
      <c r="AS647" s="211"/>
      <c r="AT647" s="211"/>
      <c r="AU647" s="211"/>
      <c r="AV647" s="211"/>
      <c r="AW647" s="211"/>
      <c r="AX647" s="211"/>
      <c r="AY647" s="211"/>
      <c r="AZ647" s="211"/>
      <c r="BA647" s="211"/>
      <c r="BB647" s="211"/>
      <c r="BC647" s="211"/>
      <c r="BD647" s="333">
        <v>43503</v>
      </c>
      <c r="BE647" s="82">
        <f t="shared" si="82"/>
        <v>18750000</v>
      </c>
    </row>
    <row r="648" spans="2:57" ht="40.799999999999997" hidden="1" x14ac:dyDescent="0.3">
      <c r="B648" s="2" t="str">
        <f>+'Base de Datos'!E648</f>
        <v>180232-0-2018</v>
      </c>
      <c r="C648" s="2" t="str">
        <f>+'Base de Datos'!F648</f>
        <v>NIDIA GOMÉS CORTÉS</v>
      </c>
      <c r="D648" s="2">
        <f>+'Base de Datos'!G648</f>
        <v>39812526</v>
      </c>
      <c r="E648" s="2" t="str">
        <f>+'Base de Datos'!H648</f>
        <v>Prestar servicios profesionales para apoyar en las diferentes comisiones permanentes del Concejo de Bogotá en la respuesta a los derechos de petición, solicitudes, quejas, consultas y reclamos que reciba la corporación.</v>
      </c>
      <c r="F648" s="197">
        <f>+'Base de Datos'!I648</f>
        <v>32814000</v>
      </c>
      <c r="G648" s="196">
        <f>+'Base de Datos'!M648</f>
        <v>43315</v>
      </c>
      <c r="H648" s="196">
        <f>+'Base de Datos'!N648</f>
        <v>43496</v>
      </c>
      <c r="I648" s="196"/>
      <c r="J648" s="158">
        <v>16042400</v>
      </c>
      <c r="K648" s="333">
        <v>43496</v>
      </c>
      <c r="L648" s="211"/>
      <c r="M648" s="336"/>
      <c r="N648" s="158"/>
      <c r="O648" s="333"/>
      <c r="P648" s="158"/>
      <c r="Q648" s="338"/>
      <c r="R648" s="81">
        <f t="shared" si="84"/>
        <v>16042400</v>
      </c>
      <c r="S648" s="820" t="s">
        <v>4591</v>
      </c>
      <c r="T648" s="333">
        <v>43585</v>
      </c>
      <c r="U648" s="158"/>
      <c r="V648" s="333"/>
      <c r="W648" s="158"/>
      <c r="X648" s="333"/>
      <c r="Y648" s="158"/>
      <c r="Z648" s="333"/>
      <c r="AA648" s="820" t="s">
        <v>4591</v>
      </c>
      <c r="AB648" s="1004">
        <f t="shared" si="85"/>
        <v>43585</v>
      </c>
      <c r="AC648" s="1082" t="str">
        <f t="shared" si="86"/>
        <v/>
      </c>
      <c r="AD648" s="1077"/>
      <c r="AE648" s="1077"/>
      <c r="AF648" s="1084" t="str">
        <f t="shared" si="87"/>
        <v/>
      </c>
      <c r="AG648" s="1082" t="str">
        <f t="shared" si="88"/>
        <v/>
      </c>
      <c r="AH648" s="1091"/>
      <c r="AI648" s="1087"/>
      <c r="AJ648" s="1084" t="str">
        <f t="shared" si="89"/>
        <v/>
      </c>
      <c r="AK648" s="1083" t="str">
        <f t="shared" si="90"/>
        <v/>
      </c>
      <c r="AL648" s="211">
        <v>5104400</v>
      </c>
      <c r="AM648" s="211">
        <v>5469000</v>
      </c>
      <c r="AN648" s="211">
        <v>5469000</v>
      </c>
      <c r="AO648" s="211">
        <v>5469000</v>
      </c>
      <c r="AP648" s="211">
        <v>5469000</v>
      </c>
      <c r="AQ648" s="211">
        <v>5469000</v>
      </c>
      <c r="AR648" s="211">
        <v>5469000</v>
      </c>
      <c r="AS648" s="211">
        <v>364600</v>
      </c>
      <c r="AT648" s="211">
        <v>5104400</v>
      </c>
      <c r="AU648" s="211">
        <v>5468600</v>
      </c>
      <c r="AV648" s="211"/>
      <c r="AW648" s="211"/>
      <c r="AX648" s="211"/>
      <c r="AY648" s="211"/>
      <c r="AZ648" s="211"/>
      <c r="BA648" s="211"/>
      <c r="BB648" s="211"/>
      <c r="BC648" s="211"/>
      <c r="BD648" s="333">
        <v>43634</v>
      </c>
      <c r="BE648" s="82">
        <f t="shared" si="82"/>
        <v>48856000</v>
      </c>
    </row>
    <row r="649" spans="2:57" ht="30.6" hidden="1" x14ac:dyDescent="0.3">
      <c r="B649" s="2" t="str">
        <f>+'Base de Datos'!E649</f>
        <v>180231-0-2018</v>
      </c>
      <c r="C649" s="2" t="str">
        <f>+'Base de Datos'!F649</f>
        <v>DANIEL ALBERTO PIEDRAHITA NUÑEZ</v>
      </c>
      <c r="D649" s="2">
        <f>+'Base de Datos'!G649</f>
        <v>92030702</v>
      </c>
      <c r="E649" s="2" t="str">
        <f>+'Base de Datos'!H649</f>
        <v>Prestar los servicios profesionales para apoyar el proceso de auditorías internas en el área de control interno del Concejo de Bogotá.</v>
      </c>
      <c r="F649" s="197">
        <f>+'Base de Datos'!I649</f>
        <v>32814000</v>
      </c>
      <c r="G649" s="196">
        <f>+'Base de Datos'!M649</f>
        <v>43315</v>
      </c>
      <c r="H649" s="196">
        <f>+'Base de Datos'!N649</f>
        <v>43496</v>
      </c>
      <c r="I649" s="196"/>
      <c r="J649" s="158">
        <v>16042400</v>
      </c>
      <c r="K649" s="333">
        <v>43496</v>
      </c>
      <c r="L649" s="211"/>
      <c r="M649" s="336"/>
      <c r="N649" s="158"/>
      <c r="O649" s="333"/>
      <c r="P649" s="158"/>
      <c r="Q649" s="338"/>
      <c r="R649" s="81">
        <f t="shared" si="84"/>
        <v>16042400</v>
      </c>
      <c r="S649" s="820" t="s">
        <v>4603</v>
      </c>
      <c r="T649" s="333">
        <v>43585</v>
      </c>
      <c r="U649" s="158"/>
      <c r="V649" s="333"/>
      <c r="W649" s="158"/>
      <c r="X649" s="333"/>
      <c r="Y649" s="158"/>
      <c r="Z649" s="333"/>
      <c r="AA649" s="820" t="s">
        <v>4603</v>
      </c>
      <c r="AB649" s="1004">
        <f t="shared" si="85"/>
        <v>43585</v>
      </c>
      <c r="AC649" s="1082" t="str">
        <f t="shared" si="86"/>
        <v/>
      </c>
      <c r="AD649" s="1077"/>
      <c r="AE649" s="1077"/>
      <c r="AF649" s="1084" t="str">
        <f t="shared" si="87"/>
        <v/>
      </c>
      <c r="AG649" s="1082" t="str">
        <f t="shared" si="88"/>
        <v/>
      </c>
      <c r="AH649" s="1091"/>
      <c r="AI649" s="1087"/>
      <c r="AJ649" s="1084" t="str">
        <f t="shared" si="89"/>
        <v/>
      </c>
      <c r="AK649" s="1083" t="str">
        <f t="shared" si="90"/>
        <v/>
      </c>
      <c r="AL649" s="211">
        <v>5104400</v>
      </c>
      <c r="AM649" s="211">
        <v>5469000</v>
      </c>
      <c r="AN649" s="211">
        <v>5469000</v>
      </c>
      <c r="AO649" s="211">
        <v>5469000</v>
      </c>
      <c r="AP649" s="211">
        <v>5469000</v>
      </c>
      <c r="AQ649" s="211">
        <v>5469000</v>
      </c>
      <c r="AR649" s="211">
        <v>364600</v>
      </c>
      <c r="AS649" s="211">
        <v>5104400</v>
      </c>
      <c r="AT649" s="211">
        <v>5469000</v>
      </c>
      <c r="AU649" s="211">
        <v>5469000</v>
      </c>
      <c r="AV649" s="211"/>
      <c r="AW649" s="211"/>
      <c r="AX649" s="211"/>
      <c r="AY649" s="211"/>
      <c r="AZ649" s="211"/>
      <c r="BA649" s="211"/>
      <c r="BB649" s="211"/>
      <c r="BC649" s="211"/>
      <c r="BD649" s="333">
        <v>43613</v>
      </c>
      <c r="BE649" s="82">
        <f t="shared" si="82"/>
        <v>48856400</v>
      </c>
    </row>
    <row r="650" spans="2:57" ht="30.6" hidden="1" x14ac:dyDescent="0.3">
      <c r="B650" s="2" t="str">
        <f>+'Base de Datos'!E650</f>
        <v>180229-0-2018</v>
      </c>
      <c r="C650" s="2" t="str">
        <f>+'Base de Datos'!F650</f>
        <v>JEFFERSON FARUK CAMPOS RAMIREZ</v>
      </c>
      <c r="D650" s="2">
        <f>+'Base de Datos'!G650</f>
        <v>1013610856</v>
      </c>
      <c r="E650" s="2" t="str">
        <f>+'Base de Datos'!H650</f>
        <v>Prestar los servicios profesionales para apoyar el proceso de sistemas y seguridad de la información del Concejo de Bogotá en materia de seguridad informática.</v>
      </c>
      <c r="F650" s="197">
        <f>+'Base de Datos'!I650</f>
        <v>21286909</v>
      </c>
      <c r="G650" s="196">
        <f>+'Base de Datos'!M650</f>
        <v>43315</v>
      </c>
      <c r="H650" s="196">
        <f>+'Base de Datos'!N650</f>
        <v>43496</v>
      </c>
      <c r="I650" s="196"/>
      <c r="J650" s="158">
        <v>6740854</v>
      </c>
      <c r="K650" s="333">
        <v>43496</v>
      </c>
      <c r="L650" s="211"/>
      <c r="M650" s="336"/>
      <c r="N650" s="158"/>
      <c r="O650" s="333"/>
      <c r="P650" s="158"/>
      <c r="Q650" s="338"/>
      <c r="R650" s="81">
        <f t="shared" si="84"/>
        <v>6740854</v>
      </c>
      <c r="S650" s="258" t="s">
        <v>4590</v>
      </c>
      <c r="T650" s="333">
        <v>43554</v>
      </c>
      <c r="U650" s="158"/>
      <c r="V650" s="333"/>
      <c r="W650" s="158"/>
      <c r="X650" s="333"/>
      <c r="Y650" s="158"/>
      <c r="Z650" s="333"/>
      <c r="AA650" s="258" t="s">
        <v>4590</v>
      </c>
      <c r="AB650" s="1004">
        <f t="shared" si="85"/>
        <v>43554</v>
      </c>
      <c r="AC650" s="1082" t="str">
        <f t="shared" si="86"/>
        <v/>
      </c>
      <c r="AD650" s="1077"/>
      <c r="AE650" s="1077"/>
      <c r="AF650" s="1084" t="str">
        <f t="shared" si="87"/>
        <v/>
      </c>
      <c r="AG650" s="1082" t="str">
        <f t="shared" si="88"/>
        <v/>
      </c>
      <c r="AH650" s="1091"/>
      <c r="AI650" s="1087"/>
      <c r="AJ650" s="1084" t="str">
        <f t="shared" si="89"/>
        <v/>
      </c>
      <c r="AK650" s="1083" t="str">
        <f t="shared" si="90"/>
        <v/>
      </c>
      <c r="AL650" s="211">
        <v>3311297</v>
      </c>
      <c r="AM650" s="211">
        <v>3547818</v>
      </c>
      <c r="AN650" s="211">
        <v>3547818</v>
      </c>
      <c r="AO650" s="211">
        <v>3547818</v>
      </c>
      <c r="AP650" s="211">
        <v>3547818</v>
      </c>
      <c r="AQ650" s="211">
        <v>3547818</v>
      </c>
      <c r="AR650" s="211">
        <v>3547818</v>
      </c>
      <c r="AS650" s="211">
        <v>236522</v>
      </c>
      <c r="AT650" s="211">
        <v>3193036</v>
      </c>
      <c r="AU650" s="211"/>
      <c r="AV650" s="211"/>
      <c r="AW650" s="211"/>
      <c r="AX650" s="211"/>
      <c r="AY650" s="211"/>
      <c r="AZ650" s="211"/>
      <c r="BA650" s="211"/>
      <c r="BB650" s="211"/>
      <c r="BC650" s="211"/>
      <c r="BD650" s="333">
        <v>43556</v>
      </c>
      <c r="BE650" s="82">
        <f t="shared" ref="BE650:BE713" si="91">SUM(AL650:BC650)</f>
        <v>28027763</v>
      </c>
    </row>
    <row r="651" spans="2:57" ht="51" hidden="1" x14ac:dyDescent="0.3">
      <c r="B651" s="2" t="str">
        <f>+'Base de Datos'!E651</f>
        <v>180228-0-2018</v>
      </c>
      <c r="C651" s="2" t="str">
        <f>+'Base de Datos'!F651</f>
        <v>DANY ALEXANDER FONSECA SANABRIA</v>
      </c>
      <c r="D651" s="2">
        <f>+'Base de Datos'!G651</f>
        <v>79629653</v>
      </c>
      <c r="E651" s="2" t="str">
        <f>+'Base de Datos'!H651</f>
        <v>Prestar servicios profesionales para acompañar al Concejo de Bogotá D.C., en la revisión y estudio de las historias laborales de los funcionarios para la definición técnica y jurídica del cumplimiento de requisitos en los diferentes regímenes de pensión.</v>
      </c>
      <c r="F651" s="197">
        <f>+'Base de Datos'!I651</f>
        <v>37500000</v>
      </c>
      <c r="G651" s="196">
        <f>+'Base de Datos'!M651</f>
        <v>43315</v>
      </c>
      <c r="H651" s="196">
        <f>+'Base de Datos'!N651</f>
        <v>43496</v>
      </c>
      <c r="I651" s="196"/>
      <c r="J651" s="158">
        <v>18333333</v>
      </c>
      <c r="K651" s="333">
        <v>43496</v>
      </c>
      <c r="L651" s="211"/>
      <c r="M651" s="336"/>
      <c r="N651" s="158"/>
      <c r="O651" s="333"/>
      <c r="P651" s="158"/>
      <c r="Q651" s="338"/>
      <c r="R651" s="81">
        <f t="shared" si="84"/>
        <v>18333333</v>
      </c>
      <c r="S651" s="820" t="s">
        <v>4591</v>
      </c>
      <c r="T651" s="333">
        <v>43585</v>
      </c>
      <c r="U651" s="158"/>
      <c r="V651" s="333"/>
      <c r="W651" s="158"/>
      <c r="X651" s="333"/>
      <c r="Y651" s="158"/>
      <c r="Z651" s="333"/>
      <c r="AA651" s="820" t="s">
        <v>4591</v>
      </c>
      <c r="AB651" s="1004">
        <f t="shared" si="85"/>
        <v>43585</v>
      </c>
      <c r="AC651" s="1082" t="str">
        <f t="shared" si="86"/>
        <v/>
      </c>
      <c r="AD651" s="1077"/>
      <c r="AE651" s="1077"/>
      <c r="AF651" s="1084" t="str">
        <f t="shared" si="87"/>
        <v/>
      </c>
      <c r="AG651" s="1082" t="str">
        <f t="shared" si="88"/>
        <v/>
      </c>
      <c r="AH651" s="1091"/>
      <c r="AI651" s="1087"/>
      <c r="AJ651" s="1084" t="str">
        <f t="shared" si="89"/>
        <v/>
      </c>
      <c r="AK651" s="1083" t="str">
        <f t="shared" si="90"/>
        <v/>
      </c>
      <c r="AL651" s="211">
        <v>5833333</v>
      </c>
      <c r="AM651" s="211">
        <v>6250000</v>
      </c>
      <c r="AN651" s="211">
        <v>6250000</v>
      </c>
      <c r="AO651" s="211">
        <v>6250000</v>
      </c>
      <c r="AP651" s="211">
        <v>6250000</v>
      </c>
      <c r="AQ651" s="211">
        <v>6250000</v>
      </c>
      <c r="AR651" s="211">
        <v>6250000</v>
      </c>
      <c r="AS651" s="211">
        <v>416667</v>
      </c>
      <c r="AT651" s="211">
        <v>5833333</v>
      </c>
      <c r="AU651" s="211">
        <v>6250000</v>
      </c>
      <c r="AV651" s="211"/>
      <c r="AW651" s="211"/>
      <c r="AX651" s="211"/>
      <c r="AY651" s="211"/>
      <c r="AZ651" s="211"/>
      <c r="BA651" s="211"/>
      <c r="BB651" s="211"/>
      <c r="BC651" s="211"/>
      <c r="BD651" s="333">
        <v>43585</v>
      </c>
      <c r="BE651" s="82">
        <f t="shared" si="91"/>
        <v>55833333</v>
      </c>
    </row>
    <row r="652" spans="2:57" ht="40.799999999999997" hidden="1" x14ac:dyDescent="0.3">
      <c r="B652" s="2" t="str">
        <f>+'Base de Datos'!E652</f>
        <v>180223-0-2018</v>
      </c>
      <c r="C652" s="2" t="str">
        <f>+'Base de Datos'!F652</f>
        <v>JOSE GABRIEL PARRA PIRAZAN</v>
      </c>
      <c r="D652" s="2">
        <f>+'Base de Datos'!G652</f>
        <v>79436393</v>
      </c>
      <c r="E652" s="2" t="str">
        <f>+'Base de Datos'!H652</f>
        <v xml:space="preserve">Prestar servicios profesionales para apoyar a la Dirección Jurídica del Concejo de Bogotá, en la asesoría y respuesta a derechos de petición, solicitudes, denuncias, quejas, consultas y reclamos que reciba la corporación. </v>
      </c>
      <c r="F652" s="197">
        <f>+'Base de Datos'!I652</f>
        <v>23819958</v>
      </c>
      <c r="G652" s="196">
        <f>+'Base de Datos'!M652</f>
        <v>43315</v>
      </c>
      <c r="H652" s="196">
        <f>+'Base de Datos'!N652</f>
        <v>43496</v>
      </c>
      <c r="I652" s="196"/>
      <c r="J652" s="158">
        <v>11645313</v>
      </c>
      <c r="K652" s="333">
        <v>43495</v>
      </c>
      <c r="L652" s="211"/>
      <c r="M652" s="336"/>
      <c r="N652" s="158"/>
      <c r="O652" s="333"/>
      <c r="P652" s="158"/>
      <c r="Q652" s="338"/>
      <c r="R652" s="81">
        <f t="shared" si="84"/>
        <v>11645313</v>
      </c>
      <c r="S652" s="820" t="s">
        <v>4603</v>
      </c>
      <c r="T652" s="333">
        <v>43585</v>
      </c>
      <c r="U652" s="158"/>
      <c r="V652" s="333"/>
      <c r="W652" s="158"/>
      <c r="X652" s="333"/>
      <c r="Y652" s="158"/>
      <c r="Z652" s="333"/>
      <c r="AA652" s="820" t="s">
        <v>4603</v>
      </c>
      <c r="AB652" s="1004">
        <f t="shared" si="85"/>
        <v>43585</v>
      </c>
      <c r="AC652" s="1082" t="str">
        <f t="shared" si="86"/>
        <v/>
      </c>
      <c r="AD652" s="1077"/>
      <c r="AE652" s="1077"/>
      <c r="AF652" s="1084" t="str">
        <f t="shared" si="87"/>
        <v/>
      </c>
      <c r="AG652" s="1082" t="str">
        <f t="shared" si="88"/>
        <v/>
      </c>
      <c r="AH652" s="1091"/>
      <c r="AI652" s="1087"/>
      <c r="AJ652" s="1084" t="str">
        <f t="shared" si="89"/>
        <v/>
      </c>
      <c r="AK652" s="1083" t="str">
        <f t="shared" si="90"/>
        <v/>
      </c>
      <c r="AL652" s="211">
        <v>3705327</v>
      </c>
      <c r="AM652" s="211">
        <v>3969993</v>
      </c>
      <c r="AN652" s="211">
        <v>3969993</v>
      </c>
      <c r="AO652" s="211">
        <v>3969993</v>
      </c>
      <c r="AP652" s="211">
        <v>3969993</v>
      </c>
      <c r="AQ652" s="211">
        <v>3969993</v>
      </c>
      <c r="AR652" s="211">
        <v>3969993</v>
      </c>
      <c r="AS652" s="211">
        <v>264666</v>
      </c>
      <c r="AT652" s="211">
        <v>3705327</v>
      </c>
      <c r="AU652" s="211">
        <v>3969993</v>
      </c>
      <c r="AV652" s="211"/>
      <c r="AW652" s="211"/>
      <c r="AX652" s="211"/>
      <c r="AY652" s="211"/>
      <c r="AZ652" s="211"/>
      <c r="BA652" s="211"/>
      <c r="BB652" s="211"/>
      <c r="BC652" s="211"/>
      <c r="BD652" s="333">
        <v>43592</v>
      </c>
      <c r="BE652" s="82">
        <f t="shared" si="91"/>
        <v>35465271</v>
      </c>
    </row>
    <row r="653" spans="2:57" ht="30.6" hidden="1" x14ac:dyDescent="0.3">
      <c r="B653" s="2" t="str">
        <f>+'Base de Datos'!E653</f>
        <v>180227-0-2018</v>
      </c>
      <c r="C653" s="2" t="str">
        <f>+'Base de Datos'!F653</f>
        <v>ANABIA JULIETH ANGARITA GALINDO</v>
      </c>
      <c r="D653" s="2">
        <f>+'Base de Datos'!G653</f>
        <v>1013625644</v>
      </c>
      <c r="E653" s="2" t="str">
        <f>+'Base de Datos'!H653</f>
        <v>Prestar servicios profesionales para apoyar la gestión administrativa, documental y contractual en los asuntos de competencia del Concejo de Bogotá, D.C.</v>
      </c>
      <c r="F653" s="197">
        <f>+'Base de Datos'!I653</f>
        <v>15613500</v>
      </c>
      <c r="G653" s="196">
        <f>+'Base de Datos'!M653</f>
        <v>43315</v>
      </c>
      <c r="H653" s="196">
        <f>+'Base de Datos'!N653</f>
        <v>43496</v>
      </c>
      <c r="I653" s="196"/>
      <c r="J653" s="158">
        <v>5031017</v>
      </c>
      <c r="K653" s="333">
        <v>43496</v>
      </c>
      <c r="L653" s="211"/>
      <c r="M653" s="336"/>
      <c r="N653" s="158"/>
      <c r="O653" s="333"/>
      <c r="P653" s="158"/>
      <c r="Q653" s="338"/>
      <c r="R653" s="81">
        <f t="shared" si="84"/>
        <v>5031017</v>
      </c>
      <c r="S653" s="258" t="s">
        <v>4596</v>
      </c>
      <c r="T653" s="333">
        <v>43554</v>
      </c>
      <c r="U653" s="158"/>
      <c r="V653" s="333"/>
      <c r="W653" s="158"/>
      <c r="X653" s="333"/>
      <c r="Y653" s="158"/>
      <c r="Z653" s="333"/>
      <c r="AA653" s="258" t="s">
        <v>4596</v>
      </c>
      <c r="AB653" s="1004">
        <f t="shared" si="85"/>
        <v>43554</v>
      </c>
      <c r="AC653" s="1082" t="str">
        <f t="shared" si="86"/>
        <v/>
      </c>
      <c r="AD653" s="1077"/>
      <c r="AE653" s="1077"/>
      <c r="AF653" s="1084" t="str">
        <f t="shared" si="87"/>
        <v/>
      </c>
      <c r="AG653" s="1082" t="str">
        <f t="shared" si="88"/>
        <v/>
      </c>
      <c r="AH653" s="1091"/>
      <c r="AI653" s="1087"/>
      <c r="AJ653" s="1084" t="str">
        <f t="shared" si="89"/>
        <v/>
      </c>
      <c r="AK653" s="1083" t="str">
        <f t="shared" si="90"/>
        <v/>
      </c>
      <c r="AL653" s="211">
        <v>2428767</v>
      </c>
      <c r="AM653" s="211">
        <v>2602250</v>
      </c>
      <c r="AN653" s="211">
        <v>2602250</v>
      </c>
      <c r="AO653" s="211">
        <v>2602250</v>
      </c>
      <c r="AP653" s="211">
        <v>2602250</v>
      </c>
      <c r="AQ653" s="211">
        <v>2602250</v>
      </c>
      <c r="AR653" s="211">
        <v>2602250</v>
      </c>
      <c r="AS653" s="211">
        <v>173483</v>
      </c>
      <c r="AT653" s="211">
        <v>2428766</v>
      </c>
      <c r="AU653" s="211"/>
      <c r="AV653" s="211"/>
      <c r="AW653" s="211"/>
      <c r="AX653" s="211"/>
      <c r="AY653" s="211"/>
      <c r="AZ653" s="211"/>
      <c r="BA653" s="211"/>
      <c r="BB653" s="211"/>
      <c r="BC653" s="211"/>
      <c r="BD653" s="333">
        <v>43555</v>
      </c>
      <c r="BE653" s="82">
        <f t="shared" si="91"/>
        <v>20644516</v>
      </c>
    </row>
    <row r="654" spans="2:57" ht="61.2" hidden="1" x14ac:dyDescent="0.3">
      <c r="B654" s="2" t="str">
        <f>+'Base de Datos'!E654</f>
        <v>180222-0-2018</v>
      </c>
      <c r="C654" s="2" t="str">
        <f>+'Base de Datos'!F654</f>
        <v>JEAN CLAUDE WILLINGTON CORTES MANCERA (Cesionario) /  HALIA CLIMENE ZAMBRANO ACOSTA (Antes)</v>
      </c>
      <c r="D654" s="2">
        <f>+'Base de Datos'!G654</f>
        <v>79965574</v>
      </c>
      <c r="E654" s="2" t="str">
        <f>+'Base de Datos'!H654</f>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
      <c r="F654" s="197">
        <f>+'Base de Datos'!I654</f>
        <v>28122000</v>
      </c>
      <c r="G654" s="196">
        <f>+'Base de Datos'!M654</f>
        <v>43315</v>
      </c>
      <c r="H654" s="196">
        <f>+'Base de Datos'!N654</f>
        <v>43496</v>
      </c>
      <c r="I654" s="196"/>
      <c r="J654" s="158">
        <v>9061533</v>
      </c>
      <c r="K654" s="333">
        <v>43496</v>
      </c>
      <c r="L654" s="211"/>
      <c r="M654" s="336"/>
      <c r="N654" s="158"/>
      <c r="O654" s="333"/>
      <c r="P654" s="158"/>
      <c r="Q654" s="338"/>
      <c r="R654" s="81">
        <f t="shared" si="84"/>
        <v>9061533</v>
      </c>
      <c r="S654" s="258" t="s">
        <v>4596</v>
      </c>
      <c r="T654" s="333">
        <v>43554</v>
      </c>
      <c r="U654" s="158"/>
      <c r="V654" s="333"/>
      <c r="W654" s="158"/>
      <c r="X654" s="333"/>
      <c r="Y654" s="158"/>
      <c r="Z654" s="333"/>
      <c r="AA654" s="258" t="s">
        <v>4596</v>
      </c>
      <c r="AB654" s="1004">
        <f t="shared" si="85"/>
        <v>43554</v>
      </c>
      <c r="AC654" s="1082" t="str">
        <f t="shared" si="86"/>
        <v/>
      </c>
      <c r="AD654" s="1077"/>
      <c r="AE654" s="1077"/>
      <c r="AF654" s="1084" t="str">
        <f t="shared" si="87"/>
        <v/>
      </c>
      <c r="AG654" s="1082" t="str">
        <f t="shared" si="88"/>
        <v/>
      </c>
      <c r="AH654" s="1091"/>
      <c r="AI654" s="1087"/>
      <c r="AJ654" s="1084" t="str">
        <f t="shared" si="89"/>
        <v/>
      </c>
      <c r="AK654" s="1083" t="str">
        <f t="shared" si="90"/>
        <v/>
      </c>
      <c r="AL654" s="211">
        <v>4374533</v>
      </c>
      <c r="AM654" s="211">
        <v>4687000</v>
      </c>
      <c r="AN654" s="211">
        <v>2968433</v>
      </c>
      <c r="AO654" s="211">
        <v>4687000</v>
      </c>
      <c r="AP654" s="211">
        <v>4687000</v>
      </c>
      <c r="AQ654" s="211">
        <v>4687000</v>
      </c>
      <c r="AR654" s="211">
        <v>2031033</v>
      </c>
      <c r="AS654" s="211">
        <v>2655967</v>
      </c>
      <c r="AT654" s="211">
        <v>4687000</v>
      </c>
      <c r="AU654" s="211"/>
      <c r="AV654" s="211"/>
      <c r="AW654" s="211"/>
      <c r="AX654" s="211"/>
      <c r="AY654" s="211"/>
      <c r="AZ654" s="211"/>
      <c r="BA654" s="211"/>
      <c r="BB654" s="211"/>
      <c r="BC654" s="211"/>
      <c r="BD654" s="333">
        <v>43555</v>
      </c>
      <c r="BE654" s="82">
        <f t="shared" si="91"/>
        <v>35464966</v>
      </c>
    </row>
    <row r="655" spans="2:57" ht="40.799999999999997" hidden="1" x14ac:dyDescent="0.3">
      <c r="B655" s="2" t="str">
        <f>+'Base de Datos'!E655</f>
        <v>180234-0-2018</v>
      </c>
      <c r="C655" s="2" t="str">
        <f>+'Base de Datos'!F655</f>
        <v>CONSTANZA BRIGITTE MAHECHA JIMENEZ</v>
      </c>
      <c r="D655" s="2">
        <f>+'Base de Datos'!G655</f>
        <v>1030532647</v>
      </c>
      <c r="E655" s="2" t="str">
        <f>+'Base de Datos'!H655</f>
        <v>Prestar los servicios de apoyo al proceso de recursos físicos de la Dirección Administrativa del Concejo de Bogotá, para coadyuvar con las actividades de actualización y administración de la información del área de mantenimiento.</v>
      </c>
      <c r="F655" s="197">
        <f>+'Base de Datos'!I655</f>
        <v>9765000</v>
      </c>
      <c r="G655" s="196">
        <f>+'Base de Datos'!M655</f>
        <v>43320</v>
      </c>
      <c r="H655" s="196">
        <f>+'Base de Datos'!N655</f>
        <v>43472</v>
      </c>
      <c r="I655" s="196"/>
      <c r="J655" s="158">
        <v>4882500</v>
      </c>
      <c r="K655" s="333">
        <v>43479</v>
      </c>
      <c r="L655" s="211"/>
      <c r="M655" s="336"/>
      <c r="N655" s="158"/>
      <c r="O655" s="333"/>
      <c r="P655" s="158"/>
      <c r="Q655" s="338"/>
      <c r="R655" s="81">
        <f t="shared" si="84"/>
        <v>4882500</v>
      </c>
      <c r="S655" s="820" t="s">
        <v>966</v>
      </c>
      <c r="T655" s="333">
        <v>43553</v>
      </c>
      <c r="U655" s="158"/>
      <c r="V655" s="333"/>
      <c r="W655" s="158"/>
      <c r="X655" s="333"/>
      <c r="Y655" s="158"/>
      <c r="Z655" s="333"/>
      <c r="AA655" s="820" t="s">
        <v>966</v>
      </c>
      <c r="AB655" s="1004">
        <f t="shared" si="85"/>
        <v>43553</v>
      </c>
      <c r="AC655" s="1082" t="str">
        <f t="shared" si="86"/>
        <v/>
      </c>
      <c r="AD655" s="1077"/>
      <c r="AE655" s="1077"/>
      <c r="AF655" s="1084" t="str">
        <f t="shared" si="87"/>
        <v/>
      </c>
      <c r="AG655" s="1082" t="str">
        <f t="shared" si="88"/>
        <v/>
      </c>
      <c r="AH655" s="1091"/>
      <c r="AI655" s="1087"/>
      <c r="AJ655" s="1084" t="str">
        <f t="shared" si="89"/>
        <v/>
      </c>
      <c r="AK655" s="1083" t="str">
        <f t="shared" si="90"/>
        <v/>
      </c>
      <c r="AL655" s="211">
        <v>1497300</v>
      </c>
      <c r="AM655" s="211">
        <v>1953000</v>
      </c>
      <c r="AN655" s="211">
        <v>1953000</v>
      </c>
      <c r="AO655" s="211">
        <v>1953000</v>
      </c>
      <c r="AP655" s="211">
        <v>1953000</v>
      </c>
      <c r="AQ655" s="211">
        <v>1497300</v>
      </c>
      <c r="AR655" s="211">
        <v>1953000</v>
      </c>
      <c r="AS655" s="211"/>
      <c r="AT655" s="211">
        <v>1887900</v>
      </c>
      <c r="AU655" s="211"/>
      <c r="AV655" s="211"/>
      <c r="AW655" s="211"/>
      <c r="AX655" s="211"/>
      <c r="AY655" s="211"/>
      <c r="AZ655" s="211"/>
      <c r="BA655" s="211"/>
      <c r="BB655" s="211"/>
      <c r="BC655" s="211"/>
      <c r="BD655" s="333">
        <v>43567</v>
      </c>
      <c r="BE655" s="82">
        <f t="shared" si="91"/>
        <v>14647500</v>
      </c>
    </row>
    <row r="656" spans="2:57" ht="30.6" hidden="1" x14ac:dyDescent="0.3">
      <c r="B656" s="2" t="str">
        <f>+'Base de Datos'!E656</f>
        <v>180263-0-2018</v>
      </c>
      <c r="C656" s="2" t="str">
        <f>+'Base de Datos'!F656</f>
        <v>VIVIANA MARCELA RODRIGUEZ OTAVO</v>
      </c>
      <c r="D656" s="2">
        <f>+'Base de Datos'!G656</f>
        <v>1016064307</v>
      </c>
      <c r="E656" s="2" t="str">
        <f>+'Base de Datos'!H656</f>
        <v>Prestar apoyo a la Dirección Jurídica del Concejo de Bogotá en los procesos y proyectos  en respuesta para la atención de los requerimientos de la ciudadania.</v>
      </c>
      <c r="F656" s="197">
        <f>+'Base de Datos'!I656</f>
        <v>11718000</v>
      </c>
      <c r="G656" s="196">
        <f>+'Base de Datos'!M656</f>
        <v>43320</v>
      </c>
      <c r="H656" s="196">
        <f>+'Base de Datos'!N656</f>
        <v>43496</v>
      </c>
      <c r="I656" s="196"/>
      <c r="J656" s="158">
        <v>3450300</v>
      </c>
      <c r="K656" s="333">
        <v>43494</v>
      </c>
      <c r="L656" s="211"/>
      <c r="M656" s="336"/>
      <c r="N656" s="158"/>
      <c r="O656" s="333"/>
      <c r="P656" s="158"/>
      <c r="Q656" s="338"/>
      <c r="R656" s="81">
        <f t="shared" si="84"/>
        <v>3450300</v>
      </c>
      <c r="S656" s="258" t="s">
        <v>2610</v>
      </c>
      <c r="T656" s="333">
        <v>43554</v>
      </c>
      <c r="U656" s="158"/>
      <c r="V656" s="333"/>
      <c r="W656" s="158"/>
      <c r="X656" s="333"/>
      <c r="Y656" s="158"/>
      <c r="Z656" s="333"/>
      <c r="AA656" s="258" t="s">
        <v>2610</v>
      </c>
      <c r="AB656" s="1004">
        <f t="shared" si="85"/>
        <v>43554</v>
      </c>
      <c r="AC656" s="1082" t="str">
        <f t="shared" si="86"/>
        <v/>
      </c>
      <c r="AD656" s="1077"/>
      <c r="AE656" s="1077"/>
      <c r="AF656" s="1084" t="str">
        <f t="shared" si="87"/>
        <v/>
      </c>
      <c r="AG656" s="1082" t="str">
        <f t="shared" si="88"/>
        <v/>
      </c>
      <c r="AH656" s="1091"/>
      <c r="AI656" s="1087"/>
      <c r="AJ656" s="1084" t="str">
        <f t="shared" si="89"/>
        <v/>
      </c>
      <c r="AK656" s="1083" t="str">
        <f t="shared" si="90"/>
        <v/>
      </c>
      <c r="AL656" s="211">
        <v>1497300</v>
      </c>
      <c r="AM656" s="211">
        <v>1953000</v>
      </c>
      <c r="AN656" s="211">
        <v>1953000</v>
      </c>
      <c r="AO656" s="211">
        <v>1953000</v>
      </c>
      <c r="AP656" s="211">
        <v>1953000</v>
      </c>
      <c r="AQ656" s="211">
        <v>1953000</v>
      </c>
      <c r="AR656" s="211">
        <v>1953000</v>
      </c>
      <c r="AS656" s="211">
        <v>455700</v>
      </c>
      <c r="AT656" s="211">
        <v>1497300</v>
      </c>
      <c r="AU656" s="211"/>
      <c r="AV656" s="211"/>
      <c r="AW656" s="211"/>
      <c r="AX656" s="211"/>
      <c r="AY656" s="211"/>
      <c r="AZ656" s="211"/>
      <c r="BA656" s="211"/>
      <c r="BB656" s="211"/>
      <c r="BC656" s="211"/>
      <c r="BD656" s="333">
        <v>43504</v>
      </c>
      <c r="BE656" s="82">
        <f t="shared" si="91"/>
        <v>15168300</v>
      </c>
    </row>
    <row r="657" spans="2:57" ht="30.6" hidden="1" x14ac:dyDescent="0.3">
      <c r="B657" s="2" t="str">
        <f>+'Base de Datos'!E657</f>
        <v>180280-0-2018</v>
      </c>
      <c r="C657" s="2" t="str">
        <f>+'Base de Datos'!F657</f>
        <v>ANDRES FERNANDO ZUÑIGA FORERO</v>
      </c>
      <c r="D657" s="2">
        <f>+'Base de Datos'!G657</f>
        <v>1032397721</v>
      </c>
      <c r="E657" s="2" t="str">
        <f>+'Base de Datos'!H657</f>
        <v>Prestar los servicios como apoyo administrativo a la Comisión del Plan de desarrollo y ordenamiento Territorial del Concejo de Bogotá.</v>
      </c>
      <c r="F657" s="197">
        <f>+'Base de Datos'!I657</f>
        <v>11718000</v>
      </c>
      <c r="G657" s="196">
        <f>+'Base de Datos'!M657</f>
        <v>43326</v>
      </c>
      <c r="H657" s="196">
        <f>+'Base de Datos'!N657</f>
        <v>43496</v>
      </c>
      <c r="I657" s="196"/>
      <c r="J657" s="158">
        <v>3059700</v>
      </c>
      <c r="K657" s="333">
        <v>43495</v>
      </c>
      <c r="L657" s="211"/>
      <c r="M657" s="336"/>
      <c r="N657" s="158"/>
      <c r="O657" s="333"/>
      <c r="P657" s="158"/>
      <c r="Q657" s="338"/>
      <c r="R657" s="81">
        <f t="shared" si="84"/>
        <v>3059700</v>
      </c>
      <c r="S657" s="258" t="s">
        <v>4641</v>
      </c>
      <c r="T657" s="333">
        <v>43554</v>
      </c>
      <c r="U657" s="158"/>
      <c r="V657" s="333"/>
      <c r="W657" s="158"/>
      <c r="X657" s="333"/>
      <c r="Y657" s="158"/>
      <c r="Z657" s="333"/>
      <c r="AA657" s="258" t="s">
        <v>4641</v>
      </c>
      <c r="AB657" s="1004">
        <f t="shared" si="85"/>
        <v>43554</v>
      </c>
      <c r="AC657" s="1082" t="str">
        <f t="shared" si="86"/>
        <v/>
      </c>
      <c r="AD657" s="1077"/>
      <c r="AE657" s="1077"/>
      <c r="AF657" s="1084" t="str">
        <f t="shared" si="87"/>
        <v/>
      </c>
      <c r="AG657" s="1082" t="str">
        <f t="shared" si="88"/>
        <v/>
      </c>
      <c r="AH657" s="1091"/>
      <c r="AI657" s="1087"/>
      <c r="AJ657" s="1084" t="str">
        <f t="shared" si="89"/>
        <v/>
      </c>
      <c r="AK657" s="1083" t="str">
        <f t="shared" si="90"/>
        <v/>
      </c>
      <c r="AL657" s="211">
        <v>1106700</v>
      </c>
      <c r="AM657" s="211">
        <v>1953000</v>
      </c>
      <c r="AN657" s="211">
        <v>1953000</v>
      </c>
      <c r="AO657" s="211">
        <v>1953000</v>
      </c>
      <c r="AP657" s="211">
        <v>1953000</v>
      </c>
      <c r="AQ657" s="211">
        <v>1953000</v>
      </c>
      <c r="AR657" s="211">
        <v>846300</v>
      </c>
      <c r="AS657" s="211">
        <v>1106700</v>
      </c>
      <c r="AT657" s="211">
        <v>1953000</v>
      </c>
      <c r="AU657" s="211"/>
      <c r="AV657" s="211"/>
      <c r="AW657" s="211"/>
      <c r="AX657" s="211"/>
      <c r="AY657" s="211"/>
      <c r="AZ657" s="211"/>
      <c r="BA657" s="211"/>
      <c r="BB657" s="211"/>
      <c r="BC657" s="211"/>
      <c r="BD657" s="333">
        <v>43587</v>
      </c>
      <c r="BE657" s="82">
        <f t="shared" si="91"/>
        <v>14777700</v>
      </c>
    </row>
    <row r="658" spans="2:57" ht="30.6" hidden="1" x14ac:dyDescent="0.3">
      <c r="B658" s="2" t="str">
        <f>+'Base de Datos'!E658</f>
        <v>180211-0-2018</v>
      </c>
      <c r="C658" s="2" t="str">
        <f>+'Base de Datos'!F658</f>
        <v>HERNANDO BULLA ORJUELA</v>
      </c>
      <c r="D658" s="2">
        <f>+'Base de Datos'!G658</f>
        <v>4831</v>
      </c>
      <c r="E658" s="2" t="str">
        <f>+'Base de Datos'!H658</f>
        <v>Prestar los servicios de mantenimiento preventivo y correctivo con suministro de repuestos para los vehículos marca chevrolet al servicio del Concejo de Bogotá, D.C.</v>
      </c>
      <c r="F658" s="197">
        <f>+'Base de Datos'!I658</f>
        <v>8400000</v>
      </c>
      <c r="G658" s="196">
        <f>+'Base de Datos'!M658</f>
        <v>43327</v>
      </c>
      <c r="H658" s="196">
        <f>+'Base de Datos'!N658</f>
        <v>43569</v>
      </c>
      <c r="I658" s="196"/>
      <c r="J658" s="158"/>
      <c r="K658" s="333"/>
      <c r="L658" s="211"/>
      <c r="M658" s="336"/>
      <c r="N658" s="158"/>
      <c r="O658" s="333"/>
      <c r="P658" s="158"/>
      <c r="Q658" s="338"/>
      <c r="R658" s="81">
        <f t="shared" si="84"/>
        <v>0</v>
      </c>
      <c r="S658" s="258"/>
      <c r="T658" s="333"/>
      <c r="U658" s="158"/>
      <c r="V658" s="333"/>
      <c r="W658" s="158"/>
      <c r="X658" s="333"/>
      <c r="Y658" s="158"/>
      <c r="Z658" s="333"/>
      <c r="AA658" s="326"/>
      <c r="AB658" s="1004" t="str">
        <f t="shared" si="85"/>
        <v/>
      </c>
      <c r="AC658" s="1082" t="str">
        <f t="shared" si="86"/>
        <v/>
      </c>
      <c r="AD658" s="1077"/>
      <c r="AE658" s="1077"/>
      <c r="AF658" s="1084" t="str">
        <f t="shared" si="87"/>
        <v/>
      </c>
      <c r="AG658" s="1082" t="str">
        <f t="shared" si="88"/>
        <v/>
      </c>
      <c r="AH658" s="1091"/>
      <c r="AI658" s="1087"/>
      <c r="AJ658" s="1084" t="str">
        <f t="shared" si="89"/>
        <v/>
      </c>
      <c r="AK658" s="1083" t="str">
        <f t="shared" si="90"/>
        <v/>
      </c>
      <c r="AL658" s="211">
        <v>4348636</v>
      </c>
      <c r="AM658" s="211"/>
      <c r="AN658" s="211"/>
      <c r="AO658" s="211"/>
      <c r="AP658" s="211"/>
      <c r="AQ658" s="211"/>
      <c r="AR658" s="211"/>
      <c r="AS658" s="211"/>
      <c r="AT658" s="211"/>
      <c r="AU658" s="211"/>
      <c r="AV658" s="211"/>
      <c r="AW658" s="211"/>
      <c r="AX658" s="211"/>
      <c r="AY658" s="211"/>
      <c r="AZ658" s="211"/>
      <c r="BA658" s="211"/>
      <c r="BB658" s="211"/>
      <c r="BC658" s="211"/>
      <c r="BD658" s="333">
        <v>43542</v>
      </c>
      <c r="BE658" s="82">
        <f t="shared" si="91"/>
        <v>4348636</v>
      </c>
    </row>
    <row r="659" spans="2:57" ht="20.399999999999999" hidden="1" x14ac:dyDescent="0.3">
      <c r="B659" s="2" t="str">
        <f>+'Base de Datos'!E659</f>
        <v>180213-0-2018</v>
      </c>
      <c r="C659" s="2" t="str">
        <f>+'Base de Datos'!F659</f>
        <v>CANAL CAPITAL</v>
      </c>
      <c r="D659" s="2" t="str">
        <f>+'Base de Datos'!G659</f>
        <v>830012587-4</v>
      </c>
      <c r="E659" s="2" t="str">
        <f>+'Base de Datos'!H659</f>
        <v xml:space="preserve">Prestar servicios de producción y trasmisión de programas de televisión para el Concejo de Bogotá. </v>
      </c>
      <c r="F659" s="197">
        <f>+'Base de Datos'!I659</f>
        <v>969949607</v>
      </c>
      <c r="G659" s="196">
        <f>+'Base de Datos'!M659</f>
        <v>43327</v>
      </c>
      <c r="H659" s="196">
        <f>+'Base de Datos'!N659</f>
        <v>43538</v>
      </c>
      <c r="I659" s="196"/>
      <c r="J659" s="158"/>
      <c r="K659" s="333"/>
      <c r="L659" s="211"/>
      <c r="M659" s="336"/>
      <c r="N659" s="158"/>
      <c r="O659" s="333"/>
      <c r="P659" s="158"/>
      <c r="Q659" s="338"/>
      <c r="R659" s="81">
        <f t="shared" si="84"/>
        <v>0</v>
      </c>
      <c r="S659" s="258" t="s">
        <v>381</v>
      </c>
      <c r="T659" s="333">
        <v>43569</v>
      </c>
      <c r="U659" s="158" t="s">
        <v>381</v>
      </c>
      <c r="V659" s="333">
        <v>43599</v>
      </c>
      <c r="W659" s="158"/>
      <c r="X659" s="333"/>
      <c r="Y659" s="158"/>
      <c r="Z659" s="333"/>
      <c r="AA659" s="258" t="s">
        <v>378</v>
      </c>
      <c r="AB659" s="1004">
        <f t="shared" si="85"/>
        <v>43599</v>
      </c>
      <c r="AC659" s="1082" t="str">
        <f t="shared" si="86"/>
        <v/>
      </c>
      <c r="AD659" s="1077"/>
      <c r="AE659" s="1077"/>
      <c r="AF659" s="1084" t="str">
        <f t="shared" si="87"/>
        <v/>
      </c>
      <c r="AG659" s="1082" t="str">
        <f t="shared" si="88"/>
        <v/>
      </c>
      <c r="AH659" s="1091"/>
      <c r="AI659" s="1087"/>
      <c r="AJ659" s="1084" t="str">
        <f t="shared" si="89"/>
        <v/>
      </c>
      <c r="AK659" s="1083" t="str">
        <f t="shared" si="90"/>
        <v/>
      </c>
      <c r="AL659" s="211">
        <v>130988415</v>
      </c>
      <c r="AM659" s="211">
        <v>130117359</v>
      </c>
      <c r="AN659" s="211">
        <v>120468609</v>
      </c>
      <c r="AO659" s="211">
        <v>110318053</v>
      </c>
      <c r="AP659" s="211">
        <v>93511540</v>
      </c>
      <c r="AQ659" s="211">
        <v>108766337</v>
      </c>
      <c r="AR659" s="211">
        <v>113098948</v>
      </c>
      <c r="AS659" s="211">
        <v>54292553</v>
      </c>
      <c r="AT659" s="211">
        <v>23636820</v>
      </c>
      <c r="AU659" s="211"/>
      <c r="AV659" s="211"/>
      <c r="AW659" s="211"/>
      <c r="AX659" s="211"/>
      <c r="AY659" s="211"/>
      <c r="AZ659" s="211"/>
      <c r="BA659" s="211"/>
      <c r="BB659" s="211"/>
      <c r="BC659" s="211"/>
      <c r="BD659" s="333">
        <v>43703</v>
      </c>
      <c r="BE659" s="82">
        <f t="shared" si="91"/>
        <v>885198634</v>
      </c>
    </row>
    <row r="660" spans="2:57" ht="71.400000000000006" hidden="1" x14ac:dyDescent="0.3">
      <c r="B660" s="2" t="str">
        <f>+'Base de Datos'!E660</f>
        <v>180226-0-2018</v>
      </c>
      <c r="C660" s="2" t="str">
        <f>+'Base de Datos'!F660</f>
        <v>J Y F INVERSIONES SAS</v>
      </c>
      <c r="D660" s="2">
        <f>+'Base de Datos'!G660</f>
        <v>900424713</v>
      </c>
      <c r="E660" s="2" t="str">
        <f>+'Base de Datos'!H660</f>
        <v>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v>
      </c>
      <c r="F660" s="197">
        <f>+'Base de Datos'!I660</f>
        <v>91200000</v>
      </c>
      <c r="G660" s="196">
        <f>+'Base de Datos'!M660</f>
        <v>43325</v>
      </c>
      <c r="H660" s="196">
        <f>+'Base de Datos'!N660</f>
        <v>43567</v>
      </c>
      <c r="I660" s="196"/>
      <c r="J660" s="158">
        <v>17000000</v>
      </c>
      <c r="K660" s="333">
        <v>43567</v>
      </c>
      <c r="L660" s="211"/>
      <c r="M660" s="336"/>
      <c r="N660" s="158"/>
      <c r="O660" s="333"/>
      <c r="P660" s="158"/>
      <c r="Q660" s="338"/>
      <c r="R660" s="81">
        <f t="shared" si="84"/>
        <v>17000000</v>
      </c>
      <c r="S660" s="258" t="s">
        <v>4845</v>
      </c>
      <c r="T660" s="333">
        <v>43605</v>
      </c>
      <c r="U660" s="157" t="s">
        <v>4924</v>
      </c>
      <c r="V660" s="333">
        <v>43617</v>
      </c>
      <c r="W660" s="158"/>
      <c r="X660" s="333"/>
      <c r="Y660" s="158"/>
      <c r="Z660" s="333"/>
      <c r="AA660" s="258" t="s">
        <v>1322</v>
      </c>
      <c r="AB660" s="1004">
        <f t="shared" si="85"/>
        <v>43617</v>
      </c>
      <c r="AC660" s="1082" t="str">
        <f t="shared" si="86"/>
        <v/>
      </c>
      <c r="AD660" s="1077"/>
      <c r="AE660" s="1077"/>
      <c r="AF660" s="1084" t="str">
        <f t="shared" si="87"/>
        <v/>
      </c>
      <c r="AG660" s="1082" t="str">
        <f t="shared" si="88"/>
        <v/>
      </c>
      <c r="AH660" s="1091"/>
      <c r="AI660" s="1087"/>
      <c r="AJ660" s="1084" t="str">
        <f t="shared" si="89"/>
        <v/>
      </c>
      <c r="AK660" s="1083" t="str">
        <f t="shared" si="90"/>
        <v/>
      </c>
      <c r="AL660" s="211">
        <v>1981500</v>
      </c>
      <c r="AM660" s="211">
        <v>2388999</v>
      </c>
      <c r="AN660" s="211">
        <v>4003000</v>
      </c>
      <c r="AO660" s="211"/>
      <c r="AP660" s="211">
        <v>2545000</v>
      </c>
      <c r="AQ660" s="211"/>
      <c r="AR660" s="211">
        <v>47471000</v>
      </c>
      <c r="AS660" s="211">
        <v>5217500</v>
      </c>
      <c r="AT660" s="211">
        <v>4244500</v>
      </c>
      <c r="AU660" s="211">
        <v>917976</v>
      </c>
      <c r="AV660" s="211">
        <v>23348501</v>
      </c>
      <c r="AW660" s="211">
        <v>15847500</v>
      </c>
      <c r="AX660" s="211"/>
      <c r="AY660" s="211"/>
      <c r="AZ660" s="211"/>
      <c r="BA660" s="211"/>
      <c r="BB660" s="211"/>
      <c r="BC660" s="211"/>
      <c r="BD660" s="333">
        <v>43725</v>
      </c>
      <c r="BE660" s="82">
        <f t="shared" si="91"/>
        <v>107965476</v>
      </c>
    </row>
    <row r="661" spans="2:57" ht="30.6" hidden="1" x14ac:dyDescent="0.3">
      <c r="B661" s="2" t="str">
        <f>+'Base de Datos'!E661</f>
        <v>180284-0-2018</v>
      </c>
      <c r="C661" s="2" t="str">
        <f>+'Base de Datos'!F661</f>
        <v>VICTOR MANUEL BARAHONA ARIZA</v>
      </c>
      <c r="D661" s="2">
        <f>+'Base de Datos'!G661</f>
        <v>1077970840</v>
      </c>
      <c r="E661" s="2" t="str">
        <f>+'Base de Datos'!H661</f>
        <v>Prestar servicios de apoyo para sistematizar y verificar la información relacionada con la generación de la nómina y los registros contables.</v>
      </c>
      <c r="F661" s="197">
        <f>+'Base de Datos'!I661</f>
        <v>13200000</v>
      </c>
      <c r="G661" s="196">
        <f>+'Base de Datos'!M661</f>
        <v>43326</v>
      </c>
      <c r="H661" s="196">
        <f>+'Base de Datos'!N661</f>
        <v>43496</v>
      </c>
      <c r="I661" s="196"/>
      <c r="J661" s="158">
        <v>5646667</v>
      </c>
      <c r="K661" s="333">
        <v>43496</v>
      </c>
      <c r="L661" s="211"/>
      <c r="M661" s="336"/>
      <c r="N661" s="158"/>
      <c r="O661" s="333"/>
      <c r="P661" s="158"/>
      <c r="Q661" s="338"/>
      <c r="R661" s="81">
        <f t="shared" si="84"/>
        <v>5646667</v>
      </c>
      <c r="S661" s="820" t="s">
        <v>4654</v>
      </c>
      <c r="T661" s="333">
        <v>43585</v>
      </c>
      <c r="U661" s="158"/>
      <c r="V661" s="333"/>
      <c r="W661" s="158"/>
      <c r="X661" s="333"/>
      <c r="Y661" s="158"/>
      <c r="Z661" s="333"/>
      <c r="AA661" s="820" t="s">
        <v>4654</v>
      </c>
      <c r="AB661" s="1004">
        <f t="shared" si="85"/>
        <v>43585</v>
      </c>
      <c r="AC661" s="1082" t="str">
        <f t="shared" si="86"/>
        <v/>
      </c>
      <c r="AD661" s="1077"/>
      <c r="AE661" s="1077"/>
      <c r="AF661" s="1084" t="str">
        <f t="shared" si="87"/>
        <v/>
      </c>
      <c r="AG661" s="1082" t="str">
        <f t="shared" si="88"/>
        <v/>
      </c>
      <c r="AH661" s="1091"/>
      <c r="AI661" s="1087"/>
      <c r="AJ661" s="1084" t="str">
        <f t="shared" si="89"/>
        <v/>
      </c>
      <c r="AK661" s="1083" t="str">
        <f t="shared" si="90"/>
        <v/>
      </c>
      <c r="AL661" s="211">
        <v>1246667</v>
      </c>
      <c r="AM661" s="211">
        <v>2200000</v>
      </c>
      <c r="AN661" s="211">
        <v>2200000</v>
      </c>
      <c r="AO661" s="211">
        <v>2200000</v>
      </c>
      <c r="AP661" s="211">
        <v>2200000</v>
      </c>
      <c r="AQ661" s="211">
        <v>2200000</v>
      </c>
      <c r="AR661" s="211">
        <v>953333</v>
      </c>
      <c r="AS661" s="211">
        <v>1246667</v>
      </c>
      <c r="AT661" s="211">
        <v>2200000</v>
      </c>
      <c r="AU661" s="211">
        <v>2200000</v>
      </c>
      <c r="AV661" s="211"/>
      <c r="AW661" s="211"/>
      <c r="AX661" s="211"/>
      <c r="AY661" s="211"/>
      <c r="AZ661" s="211"/>
      <c r="BA661" s="211"/>
      <c r="BB661" s="211"/>
      <c r="BC661" s="211"/>
      <c r="BD661" s="333">
        <v>43710</v>
      </c>
      <c r="BE661" s="82">
        <f t="shared" si="91"/>
        <v>18846667</v>
      </c>
    </row>
    <row r="662" spans="2:57" ht="40.799999999999997" hidden="1" x14ac:dyDescent="0.3">
      <c r="B662" s="2" t="str">
        <f>+'Base de Datos'!E662</f>
        <v>180281-0-2018</v>
      </c>
      <c r="C662" s="2" t="str">
        <f>+'Base de Datos'!F662</f>
        <v>ANDREA PAOLA MELENDEZ PINEDA</v>
      </c>
      <c r="D662" s="2">
        <f>+'Base de Datos'!G663</f>
        <v>1065587417</v>
      </c>
      <c r="E662" s="2" t="str">
        <f>+'Base de Datos'!H662</f>
        <v xml:space="preserve">Prestar servicios profesionales para apoyar jurídicamente a la Dirección Administrativa del Concejo de Bogotá en el seguimiento a los procesos contractuales y ejecución de los contratos a cargo del área. </v>
      </c>
      <c r="F662" s="197">
        <f>+'Base de Datos'!I662</f>
        <v>37500000</v>
      </c>
      <c r="G662" s="196">
        <f>+'Base de Datos'!M662</f>
        <v>43322</v>
      </c>
      <c r="H662" s="196">
        <f>+'Base de Datos'!N662</f>
        <v>43496</v>
      </c>
      <c r="I662" s="196"/>
      <c r="J662" s="158"/>
      <c r="K662" s="333"/>
      <c r="L662" s="211"/>
      <c r="M662" s="336"/>
      <c r="N662" s="158"/>
      <c r="O662" s="333"/>
      <c r="P662" s="158"/>
      <c r="Q662" s="338"/>
      <c r="R662" s="81">
        <f t="shared" si="84"/>
        <v>0</v>
      </c>
      <c r="S662" s="258"/>
      <c r="T662" s="333"/>
      <c r="U662" s="158"/>
      <c r="V662" s="333"/>
      <c r="W662" s="158"/>
      <c r="X662" s="333"/>
      <c r="Y662" s="158"/>
      <c r="Z662" s="333"/>
      <c r="AA662" s="326"/>
      <c r="AB662" s="1004" t="str">
        <f t="shared" si="85"/>
        <v/>
      </c>
      <c r="AC662" s="1082" t="str">
        <f t="shared" si="86"/>
        <v/>
      </c>
      <c r="AD662" s="1077"/>
      <c r="AE662" s="1077"/>
      <c r="AF662" s="1084" t="str">
        <f t="shared" si="87"/>
        <v/>
      </c>
      <c r="AG662" s="1082" t="str">
        <f t="shared" si="88"/>
        <v/>
      </c>
      <c r="AH662" s="1091"/>
      <c r="AI662" s="1087"/>
      <c r="AJ662" s="1084" t="str">
        <f t="shared" si="89"/>
        <v/>
      </c>
      <c r="AK662" s="1083" t="str">
        <f t="shared" si="90"/>
        <v/>
      </c>
      <c r="AL662" s="211">
        <v>4375000</v>
      </c>
      <c r="AM662" s="211">
        <v>6250000</v>
      </c>
      <c r="AN662" s="211">
        <v>6250000</v>
      </c>
      <c r="AO662" s="211">
        <v>6250000</v>
      </c>
      <c r="AP662" s="211">
        <v>6250000</v>
      </c>
      <c r="AQ662" s="211">
        <v>6250000</v>
      </c>
      <c r="AR662" s="211"/>
      <c r="AS662" s="211"/>
      <c r="AT662" s="211"/>
      <c r="AU662" s="211"/>
      <c r="AV662" s="211"/>
      <c r="AW662" s="211"/>
      <c r="AX662" s="211"/>
      <c r="AY662" s="211"/>
      <c r="AZ662" s="211"/>
      <c r="BA662" s="211"/>
      <c r="BB662" s="211"/>
      <c r="BC662" s="211"/>
      <c r="BD662" s="333">
        <v>43504</v>
      </c>
      <c r="BE662" s="82">
        <f t="shared" si="91"/>
        <v>35625000</v>
      </c>
    </row>
    <row r="663" spans="2:57" ht="40.799999999999997" hidden="1" x14ac:dyDescent="0.3">
      <c r="B663" s="2" t="str">
        <f>+'Base de Datos'!E663</f>
        <v>180279-0-2018</v>
      </c>
      <c r="C663" s="2" t="str">
        <f>+'Base de Datos'!F663</f>
        <v>LUIS FERNANDO MEZA DAZA</v>
      </c>
      <c r="D663" s="2" t="e">
        <f>+'Base de Datos'!#REF!</f>
        <v>#REF!</v>
      </c>
      <c r="E663" s="2" t="str">
        <f>+'Base de Datos'!H663</f>
        <v>Prestar servicios profesionales para apoyar  a la Dirección Administrativa en la gestión de las actividades relacionadas con el seguimiento  a los temas de infraestructura física que requiera el Concejo de Bogotá.</v>
      </c>
      <c r="F663" s="197">
        <f>+'Base de Datos'!I663</f>
        <v>16404000</v>
      </c>
      <c r="G663" s="196">
        <f>+'Base de Datos'!M663</f>
        <v>43322</v>
      </c>
      <c r="H663" s="196">
        <f>+'Base de Datos'!N663</f>
        <v>43496</v>
      </c>
      <c r="I663" s="196"/>
      <c r="J663" s="158"/>
      <c r="K663" s="333"/>
      <c r="L663" s="211"/>
      <c r="M663" s="336"/>
      <c r="N663" s="158"/>
      <c r="O663" s="333"/>
      <c r="P663" s="158"/>
      <c r="Q663" s="338"/>
      <c r="R663" s="81">
        <f t="shared" si="84"/>
        <v>0</v>
      </c>
      <c r="S663" s="258"/>
      <c r="T663" s="333"/>
      <c r="U663" s="158"/>
      <c r="V663" s="333"/>
      <c r="W663" s="158"/>
      <c r="X663" s="333"/>
      <c r="Y663" s="158"/>
      <c r="Z663" s="333"/>
      <c r="AA663" s="326"/>
      <c r="AB663" s="1004" t="str">
        <f t="shared" si="85"/>
        <v/>
      </c>
      <c r="AC663" s="1082" t="str">
        <f t="shared" si="86"/>
        <v/>
      </c>
      <c r="AD663" s="1077"/>
      <c r="AE663" s="1077"/>
      <c r="AF663" s="1084" t="str">
        <f t="shared" si="87"/>
        <v/>
      </c>
      <c r="AG663" s="1082" t="str">
        <f t="shared" si="88"/>
        <v/>
      </c>
      <c r="AH663" s="1091"/>
      <c r="AI663" s="1087"/>
      <c r="AJ663" s="1084" t="str">
        <f t="shared" si="89"/>
        <v/>
      </c>
      <c r="AK663" s="1083" t="str">
        <f t="shared" si="90"/>
        <v/>
      </c>
      <c r="AL663" s="211">
        <v>1913800</v>
      </c>
      <c r="AM663" s="211">
        <v>2734000</v>
      </c>
      <c r="AN663" s="211">
        <v>2734000</v>
      </c>
      <c r="AO663" s="211">
        <v>2734000</v>
      </c>
      <c r="AP663" s="211">
        <v>2734000</v>
      </c>
      <c r="AQ663" s="211">
        <v>2734000</v>
      </c>
      <c r="AR663" s="211"/>
      <c r="AS663" s="211"/>
      <c r="AT663" s="211"/>
      <c r="AU663" s="211"/>
      <c r="AV663" s="211"/>
      <c r="AW663" s="211"/>
      <c r="AX663" s="211"/>
      <c r="AY663" s="211"/>
      <c r="AZ663" s="211"/>
      <c r="BA663" s="211"/>
      <c r="BB663" s="211"/>
      <c r="BC663" s="211"/>
      <c r="BD663" s="333">
        <v>43500</v>
      </c>
      <c r="BE663" s="82">
        <f t="shared" si="91"/>
        <v>15583800</v>
      </c>
    </row>
    <row r="664" spans="2:57" ht="40.799999999999997" hidden="1" x14ac:dyDescent="0.3">
      <c r="B664" s="2" t="str">
        <f>+'Base de Datos'!E664</f>
        <v>180214-0-2018</v>
      </c>
      <c r="C664" s="2" t="str">
        <f>+'Base de Datos'!F664</f>
        <v>SISDATA SAS</v>
      </c>
      <c r="D664" s="2">
        <f>+'Base de Datos'!G664</f>
        <v>900534413</v>
      </c>
      <c r="E664" s="2" t="str">
        <f>+'Base de Datos'!H664</f>
        <v>Proveer computadores al Concejo de Bogotá, de acuerdo con lo establecido en el pliego de condiciones de la Subasta inversa electrónica SDH-SIE-07-2018 y la propuesta presentada por el contratista.</v>
      </c>
      <c r="F664" s="197">
        <f>+'Base de Datos'!I664</f>
        <v>393873426</v>
      </c>
      <c r="G664" s="196">
        <f>+'Base de Datos'!M664</f>
        <v>43322</v>
      </c>
      <c r="H664" s="196">
        <f>+'Base de Datos'!N664</f>
        <v>43366</v>
      </c>
      <c r="I664" s="196"/>
      <c r="J664" s="158">
        <v>184923315</v>
      </c>
      <c r="K664" s="333">
        <v>43378</v>
      </c>
      <c r="L664" s="211"/>
      <c r="M664" s="336"/>
      <c r="N664" s="158"/>
      <c r="O664" s="333"/>
      <c r="P664" s="158"/>
      <c r="Q664" s="338"/>
      <c r="R664" s="81">
        <f t="shared" si="84"/>
        <v>184923315</v>
      </c>
      <c r="S664" s="258" t="s">
        <v>4292</v>
      </c>
      <c r="T664" s="333">
        <v>43378</v>
      </c>
      <c r="U664" s="157" t="s">
        <v>4339</v>
      </c>
      <c r="V664" s="333"/>
      <c r="W664" s="158"/>
      <c r="X664" s="333"/>
      <c r="Y664" s="158"/>
      <c r="Z664" s="333"/>
      <c r="AA664" s="258" t="s">
        <v>4343</v>
      </c>
      <c r="AB664" s="1004">
        <f t="shared" si="85"/>
        <v>43378</v>
      </c>
      <c r="AC664" s="1082" t="str">
        <f t="shared" si="86"/>
        <v/>
      </c>
      <c r="AD664" s="1077"/>
      <c r="AE664" s="1077"/>
      <c r="AF664" s="1084" t="str">
        <f t="shared" si="87"/>
        <v/>
      </c>
      <c r="AG664" s="1082" t="str">
        <f t="shared" si="88"/>
        <v/>
      </c>
      <c r="AH664" s="1091"/>
      <c r="AI664" s="1087"/>
      <c r="AJ664" s="1084" t="str">
        <f t="shared" si="89"/>
        <v/>
      </c>
      <c r="AK664" s="1083" t="str">
        <f t="shared" si="90"/>
        <v/>
      </c>
      <c r="AL664" s="211">
        <v>393873426</v>
      </c>
      <c r="AM664" s="211">
        <v>184923315</v>
      </c>
      <c r="AN664" s="211"/>
      <c r="AO664" s="211"/>
      <c r="AP664" s="211"/>
      <c r="AQ664" s="211"/>
      <c r="AR664" s="211"/>
      <c r="AS664" s="211"/>
      <c r="AT664" s="211"/>
      <c r="AU664" s="211"/>
      <c r="AV664" s="211"/>
      <c r="AW664" s="211"/>
      <c r="AX664" s="211"/>
      <c r="AY664" s="211"/>
      <c r="AZ664" s="211"/>
      <c r="BA664" s="211"/>
      <c r="BB664" s="211"/>
      <c r="BC664" s="211"/>
      <c r="BD664" s="333">
        <v>43418</v>
      </c>
      <c r="BE664" s="82">
        <f t="shared" si="91"/>
        <v>578796741</v>
      </c>
    </row>
    <row r="665" spans="2:57" ht="20.399999999999999" hidden="1" x14ac:dyDescent="0.3">
      <c r="B665" s="2" t="str">
        <f>+'Base de Datos'!E665</f>
        <v>180283-0-2018</v>
      </c>
      <c r="C665" s="2" t="str">
        <f>+'Base de Datos'!F665</f>
        <v xml:space="preserve">INFORMATICA DOCUMENTAL SAS </v>
      </c>
      <c r="D665" s="2">
        <f>+'Base de Datos'!G665</f>
        <v>830083523</v>
      </c>
      <c r="E665" s="2" t="str">
        <f>+'Base de Datos'!H665</f>
        <v>Prestar servicios de actualización y soporte para el software para el manejo documental Infodoc para el Concejo de Bogotá</v>
      </c>
      <c r="F665" s="197">
        <f>+'Base de Datos'!I665</f>
        <v>6735778</v>
      </c>
      <c r="G665" s="196">
        <f>+'Base de Datos'!M665</f>
        <v>43333</v>
      </c>
      <c r="H665" s="196">
        <f>+'Base de Datos'!N665</f>
        <v>43544</v>
      </c>
      <c r="I665" s="196"/>
      <c r="J665" s="158"/>
      <c r="K665" s="333"/>
      <c r="L665" s="211"/>
      <c r="M665" s="336"/>
      <c r="N665" s="158"/>
      <c r="O665" s="333"/>
      <c r="P665" s="158"/>
      <c r="Q665" s="338"/>
      <c r="R665" s="81">
        <f t="shared" si="84"/>
        <v>0</v>
      </c>
      <c r="S665" s="258"/>
      <c r="T665" s="333"/>
      <c r="U665" s="158"/>
      <c r="V665" s="333"/>
      <c r="W665" s="158"/>
      <c r="X665" s="333"/>
      <c r="Y665" s="158"/>
      <c r="Z665" s="333"/>
      <c r="AA665" s="326"/>
      <c r="AB665" s="1004" t="str">
        <f t="shared" si="85"/>
        <v/>
      </c>
      <c r="AC665" s="1082" t="str">
        <f t="shared" si="86"/>
        <v/>
      </c>
      <c r="AD665" s="1077"/>
      <c r="AE665" s="1077"/>
      <c r="AF665" s="1084" t="str">
        <f t="shared" si="87"/>
        <v/>
      </c>
      <c r="AG665" s="1082" t="str">
        <f t="shared" si="88"/>
        <v/>
      </c>
      <c r="AH665" s="1091"/>
      <c r="AI665" s="1087"/>
      <c r="AJ665" s="1084" t="str">
        <f t="shared" si="89"/>
        <v/>
      </c>
      <c r="AK665" s="1083" t="str">
        <f t="shared" si="90"/>
        <v/>
      </c>
      <c r="AL665" s="211">
        <v>6735778</v>
      </c>
      <c r="AM665" s="211"/>
      <c r="AN665" s="211"/>
      <c r="AO665" s="211"/>
      <c r="AP665" s="211"/>
      <c r="AQ665" s="211"/>
      <c r="AR665" s="211"/>
      <c r="AS665" s="211"/>
      <c r="AT665" s="211"/>
      <c r="AU665" s="211"/>
      <c r="AV665" s="211"/>
      <c r="AW665" s="211"/>
      <c r="AX665" s="211"/>
      <c r="AY665" s="211"/>
      <c r="AZ665" s="211"/>
      <c r="BA665" s="211"/>
      <c r="BB665" s="211"/>
      <c r="BC665" s="211"/>
      <c r="BD665" s="333">
        <v>43595</v>
      </c>
      <c r="BE665" s="82">
        <f t="shared" si="91"/>
        <v>6735778</v>
      </c>
    </row>
    <row r="666" spans="2:57" ht="20.399999999999999" hidden="1" x14ac:dyDescent="0.3">
      <c r="B666" s="2" t="str">
        <f>+'Base de Datos'!E666</f>
        <v>180290-0-2018</v>
      </c>
      <c r="C666" s="2" t="str">
        <f>+'Base de Datos'!F666</f>
        <v>AUTOMOTORES COMAGRO SA</v>
      </c>
      <c r="D666" s="2">
        <f>+'Base de Datos'!G666</f>
        <v>830006901</v>
      </c>
      <c r="E666" s="2" t="str">
        <f>+'Base de Datos'!H666</f>
        <v>Entregar a título de compraventa vehículos con destino al parque automotor del Concejo de Bogotá D.C.</v>
      </c>
      <c r="F666" s="197">
        <f>+'Base de Datos'!I666</f>
        <v>200870570</v>
      </c>
      <c r="G666" s="196">
        <f>+'Base de Datos'!M666</f>
        <v>43325</v>
      </c>
      <c r="H666" s="196">
        <f>+'Base de Datos'!N666</f>
        <v>43385</v>
      </c>
      <c r="I666" s="196"/>
      <c r="J666" s="158"/>
      <c r="K666" s="333"/>
      <c r="L666" s="211"/>
      <c r="M666" s="336"/>
      <c r="N666" s="158"/>
      <c r="O666" s="333"/>
      <c r="P666" s="158"/>
      <c r="Q666" s="338"/>
      <c r="R666" s="81">
        <f t="shared" ref="R666:R676" si="92">SUM(J666,L666,N666,P666)</f>
        <v>0</v>
      </c>
      <c r="S666" s="258"/>
      <c r="T666" s="333"/>
      <c r="U666" s="158"/>
      <c r="V666" s="333"/>
      <c r="W666" s="158"/>
      <c r="X666" s="333"/>
      <c r="Y666" s="158"/>
      <c r="Z666" s="333"/>
      <c r="AA666" s="326"/>
      <c r="AB666" s="1004" t="str">
        <f t="shared" si="85"/>
        <v/>
      </c>
      <c r="AC666" s="1082" t="str">
        <f t="shared" si="86"/>
        <v/>
      </c>
      <c r="AD666" s="1077"/>
      <c r="AE666" s="1077"/>
      <c r="AF666" s="1084" t="str">
        <f t="shared" si="87"/>
        <v/>
      </c>
      <c r="AG666" s="1082" t="str">
        <f t="shared" si="88"/>
        <v/>
      </c>
      <c r="AH666" s="1091"/>
      <c r="AI666" s="1087"/>
      <c r="AJ666" s="1084" t="str">
        <f t="shared" si="89"/>
        <v/>
      </c>
      <c r="AK666" s="1083" t="str">
        <f t="shared" si="90"/>
        <v/>
      </c>
      <c r="AL666" s="211">
        <v>200870204</v>
      </c>
      <c r="AM666" s="211"/>
      <c r="AN666" s="211"/>
      <c r="AO666" s="211"/>
      <c r="AP666" s="211"/>
      <c r="AQ666" s="211"/>
      <c r="AR666" s="211"/>
      <c r="AS666" s="211"/>
      <c r="AT666" s="211"/>
      <c r="AU666" s="211"/>
      <c r="AV666" s="211"/>
      <c r="AW666" s="211"/>
      <c r="AX666" s="211"/>
      <c r="AY666" s="211"/>
      <c r="AZ666" s="211"/>
      <c r="BA666" s="211"/>
      <c r="BB666" s="211"/>
      <c r="BC666" s="211"/>
      <c r="BD666" s="333">
        <v>43364</v>
      </c>
      <c r="BE666" s="82">
        <f t="shared" si="91"/>
        <v>200870204</v>
      </c>
    </row>
    <row r="667" spans="2:57" ht="30.6" hidden="1" x14ac:dyDescent="0.3">
      <c r="B667" s="2" t="str">
        <f>+'Base de Datos'!E667</f>
        <v>180291-0-2018</v>
      </c>
      <c r="C667" s="2" t="str">
        <f>+'Base de Datos'!F667</f>
        <v>SONIA MARINA SAAVEDRA CACERES</v>
      </c>
      <c r="D667" s="2">
        <f>+'Base de Datos'!G667</f>
        <v>40031917</v>
      </c>
      <c r="E667" s="2" t="str">
        <f>+'Base de Datos'!H667</f>
        <v>Prestar servicios profesionales para apoyar el seguimiento a los procesos de adquisición de bienes y servicios y la ejecución de los contratos para el Concejo de Bogotá.</v>
      </c>
      <c r="F667" s="197">
        <f>+'Base de Datos'!I667</f>
        <v>37500000</v>
      </c>
      <c r="G667" s="196">
        <f>+'Base de Datos'!M667</f>
        <v>43328</v>
      </c>
      <c r="H667" s="196">
        <f>+'Base de Datos'!N667</f>
        <v>43496</v>
      </c>
      <c r="I667" s="196"/>
      <c r="J667" s="158">
        <v>9375000</v>
      </c>
      <c r="K667" s="333">
        <v>43495</v>
      </c>
      <c r="L667" s="211"/>
      <c r="M667" s="336"/>
      <c r="N667" s="158"/>
      <c r="O667" s="333"/>
      <c r="P667" s="158"/>
      <c r="Q667" s="338"/>
      <c r="R667" s="81">
        <f t="shared" si="92"/>
        <v>9375000</v>
      </c>
      <c r="S667" s="258" t="s">
        <v>978</v>
      </c>
      <c r="T667" s="333">
        <v>43554</v>
      </c>
      <c r="U667" s="158"/>
      <c r="V667" s="333"/>
      <c r="W667" s="158"/>
      <c r="X667" s="333"/>
      <c r="Y667" s="158"/>
      <c r="Z667" s="333"/>
      <c r="AA667" s="258" t="s">
        <v>978</v>
      </c>
      <c r="AB667" s="1004">
        <f t="shared" si="85"/>
        <v>43554</v>
      </c>
      <c r="AC667" s="1082" t="str">
        <f t="shared" si="86"/>
        <v/>
      </c>
      <c r="AD667" s="1077"/>
      <c r="AE667" s="1077"/>
      <c r="AF667" s="1084" t="str">
        <f t="shared" si="87"/>
        <v/>
      </c>
      <c r="AG667" s="1082" t="str">
        <f t="shared" si="88"/>
        <v/>
      </c>
      <c r="AH667" s="1091"/>
      <c r="AI667" s="1087"/>
      <c r="AJ667" s="1084" t="str">
        <f t="shared" si="89"/>
        <v/>
      </c>
      <c r="AK667" s="1083" t="str">
        <f t="shared" si="90"/>
        <v/>
      </c>
      <c r="AL667" s="211">
        <v>3125000</v>
      </c>
      <c r="AM667" s="211">
        <v>6250000</v>
      </c>
      <c r="AN667" s="211">
        <v>6250000</v>
      </c>
      <c r="AO667" s="211">
        <v>6250000</v>
      </c>
      <c r="AP667" s="211">
        <v>6250000</v>
      </c>
      <c r="AQ667" s="211">
        <v>6250000</v>
      </c>
      <c r="AR667" s="211">
        <v>6250000</v>
      </c>
      <c r="AS667" s="211">
        <v>3125000</v>
      </c>
      <c r="AT667" s="211">
        <v>3125000</v>
      </c>
      <c r="AU667" s="211"/>
      <c r="AV667" s="211"/>
      <c r="AW667" s="211"/>
      <c r="AX667" s="211"/>
      <c r="AY667" s="211"/>
      <c r="AZ667" s="211"/>
      <c r="BA667" s="211"/>
      <c r="BB667" s="211"/>
      <c r="BC667" s="211"/>
      <c r="BD667" s="333">
        <v>43555</v>
      </c>
      <c r="BE667" s="82">
        <f t="shared" si="91"/>
        <v>46875000</v>
      </c>
    </row>
    <row r="668" spans="2:57" ht="30.6" hidden="1" x14ac:dyDescent="0.3">
      <c r="B668" s="2" t="str">
        <f>+'Base de Datos'!E668</f>
        <v>180287-0-2018</v>
      </c>
      <c r="C668" s="2" t="str">
        <f>+'Base de Datos'!F668</f>
        <v>DIEGO ARMANDO PRECIADO PUENTES</v>
      </c>
      <c r="D668" s="2">
        <f>+'Base de Datos'!G668</f>
        <v>1030565608</v>
      </c>
      <c r="E668" s="2" t="str">
        <f>+'Base de Datos'!H668</f>
        <v>Prestar servicios profesionales para apoyar operativa y técnicamente la infraestructura tecnológica e informática del Concejo de Bogotá.</v>
      </c>
      <c r="F668" s="197">
        <f>+'Base de Datos'!I668</f>
        <v>23819958</v>
      </c>
      <c r="G668" s="196">
        <f>+'Base de Datos'!M668</f>
        <v>43327</v>
      </c>
      <c r="H668" s="196">
        <f>+'Base de Datos'!N668</f>
        <v>43496</v>
      </c>
      <c r="I668" s="196"/>
      <c r="J668" s="158"/>
      <c r="K668" s="333"/>
      <c r="L668" s="211"/>
      <c r="M668" s="336"/>
      <c r="N668" s="158"/>
      <c r="O668" s="333"/>
      <c r="P668" s="158"/>
      <c r="Q668" s="338"/>
      <c r="R668" s="81">
        <f t="shared" si="92"/>
        <v>0</v>
      </c>
      <c r="S668" s="258"/>
      <c r="T668" s="333"/>
      <c r="U668" s="158"/>
      <c r="V668" s="333"/>
      <c r="W668" s="158"/>
      <c r="X668" s="333"/>
      <c r="Y668" s="158"/>
      <c r="Z668" s="333"/>
      <c r="AA668" s="326"/>
      <c r="AB668" s="1004" t="str">
        <f t="shared" si="85"/>
        <v/>
      </c>
      <c r="AC668" s="1082" t="str">
        <f t="shared" si="86"/>
        <v/>
      </c>
      <c r="AD668" s="1077"/>
      <c r="AE668" s="1077"/>
      <c r="AF668" s="1084" t="str">
        <f t="shared" si="87"/>
        <v/>
      </c>
      <c r="AG668" s="1082" t="str">
        <f t="shared" si="88"/>
        <v/>
      </c>
      <c r="AH668" s="1091"/>
      <c r="AI668" s="1087"/>
      <c r="AJ668" s="1084" t="str">
        <f t="shared" si="89"/>
        <v/>
      </c>
      <c r="AK668" s="1083" t="str">
        <f t="shared" si="90"/>
        <v/>
      </c>
      <c r="AL668" s="211">
        <v>2117330</v>
      </c>
      <c r="AM668" s="211">
        <v>3969993</v>
      </c>
      <c r="AN668" s="211">
        <v>3969993</v>
      </c>
      <c r="AO668" s="211">
        <v>3969993</v>
      </c>
      <c r="AP668" s="211">
        <v>3969993</v>
      </c>
      <c r="AQ668" s="211">
        <v>3969993</v>
      </c>
      <c r="AR668" s="211"/>
      <c r="AS668" s="211"/>
      <c r="AT668" s="211"/>
      <c r="AU668" s="211"/>
      <c r="AV668" s="211"/>
      <c r="AW668" s="211"/>
      <c r="AX668" s="211"/>
      <c r="AY668" s="211"/>
      <c r="AZ668" s="211"/>
      <c r="BA668" s="211"/>
      <c r="BB668" s="211"/>
      <c r="BC668" s="211"/>
      <c r="BD668" s="333">
        <v>43510</v>
      </c>
      <c r="BE668" s="82">
        <f t="shared" si="91"/>
        <v>21967295</v>
      </c>
    </row>
    <row r="669" spans="2:57" ht="30.6" hidden="1" x14ac:dyDescent="0.3">
      <c r="B669" s="2" t="str">
        <f>+'Base de Datos'!E669</f>
        <v>180293-0-2018</v>
      </c>
      <c r="C669" s="2" t="str">
        <f>+'Base de Datos'!F669</f>
        <v>MEDICAL PROTECTION LTDA. SALUD OCUPACIONAL</v>
      </c>
      <c r="D669" s="2">
        <f>+'Base de Datos'!G669</f>
        <v>900170405</v>
      </c>
      <c r="E669" s="2" t="str">
        <f>+'Base de Datos'!H669</f>
        <v>Realizar exámenes médicos ocupacionales y complementarios y aplicación de vacunas para los funcionarios del Concejo de Bogotá.</v>
      </c>
      <c r="F669" s="197">
        <f>+'Base de Datos'!I669</f>
        <v>52412300</v>
      </c>
      <c r="G669" s="196">
        <f>+'Base de Datos'!M669</f>
        <v>43335</v>
      </c>
      <c r="H669" s="196">
        <f>+'Base de Datos'!N669</f>
        <v>43577</v>
      </c>
      <c r="I669" s="196"/>
      <c r="J669" s="158"/>
      <c r="K669" s="333"/>
      <c r="L669" s="211"/>
      <c r="M669" s="336"/>
      <c r="N669" s="158"/>
      <c r="O669" s="333"/>
      <c r="P669" s="158"/>
      <c r="Q669" s="338"/>
      <c r="R669" s="81">
        <f t="shared" si="92"/>
        <v>0</v>
      </c>
      <c r="S669" s="258" t="s">
        <v>378</v>
      </c>
      <c r="T669" s="333">
        <v>43638</v>
      </c>
      <c r="U669" s="158"/>
      <c r="V669" s="333"/>
      <c r="W669" s="158"/>
      <c r="X669" s="333"/>
      <c r="Y669" s="158"/>
      <c r="Z669" s="333"/>
      <c r="AA669" s="258" t="s">
        <v>378</v>
      </c>
      <c r="AB669" s="1004">
        <f t="shared" si="85"/>
        <v>43638</v>
      </c>
      <c r="AC669" s="1082" t="str">
        <f t="shared" si="86"/>
        <v/>
      </c>
      <c r="AD669" s="1077"/>
      <c r="AE669" s="1077"/>
      <c r="AF669" s="1084" t="str">
        <f t="shared" si="87"/>
        <v/>
      </c>
      <c r="AG669" s="1082" t="str">
        <f t="shared" si="88"/>
        <v/>
      </c>
      <c r="AH669" s="1091"/>
      <c r="AI669" s="1087"/>
      <c r="AJ669" s="1084" t="str">
        <f t="shared" si="89"/>
        <v/>
      </c>
      <c r="AK669" s="1083" t="str">
        <f t="shared" si="90"/>
        <v/>
      </c>
      <c r="AL669" s="211">
        <v>1069000</v>
      </c>
      <c r="AM669" s="211">
        <v>1023000</v>
      </c>
      <c r="AN669" s="211">
        <v>1191600</v>
      </c>
      <c r="AO669" s="211">
        <v>10108600</v>
      </c>
      <c r="AP669" s="211">
        <v>8513100</v>
      </c>
      <c r="AQ669" s="211">
        <v>1045800</v>
      </c>
      <c r="AR669" s="211">
        <v>1737600</v>
      </c>
      <c r="AS669" s="211">
        <v>1538800</v>
      </c>
      <c r="AT669" s="211">
        <v>1792900</v>
      </c>
      <c r="AU669" s="211">
        <v>2038900</v>
      </c>
      <c r="AV669" s="211">
        <v>11996484</v>
      </c>
      <c r="AW669" s="211"/>
      <c r="AX669" s="211"/>
      <c r="AY669" s="211"/>
      <c r="AZ669" s="211"/>
      <c r="BA669" s="211"/>
      <c r="BB669" s="211"/>
      <c r="BC669" s="211"/>
      <c r="BD669" s="333">
        <v>43812</v>
      </c>
      <c r="BE669" s="82">
        <f t="shared" si="91"/>
        <v>42055784</v>
      </c>
    </row>
    <row r="670" spans="2:57" ht="30.6" hidden="1" x14ac:dyDescent="0.3">
      <c r="B670" s="2" t="str">
        <f>+'Base de Datos'!E670</f>
        <v>180295-0-2018</v>
      </c>
      <c r="C670" s="2" t="str">
        <f>+'Base de Datos'!F670</f>
        <v>ANA MARIA MONROY MORA</v>
      </c>
      <c r="D670" s="2">
        <f>+'Base de Datos'!G670</f>
        <v>1018414677</v>
      </c>
      <c r="E670" s="2" t="str">
        <f>+'Base de Datos'!H670</f>
        <v>Prestar servicios profesionales para apoyar la ejecución de las actividades contenidas en el Plan de Bienestar Social del Concejo de Bogotá.</v>
      </c>
      <c r="F670" s="197">
        <f>+'Base de Datos'!I670</f>
        <v>32814000</v>
      </c>
      <c r="G670" s="196">
        <f>+'Base de Datos'!M670</f>
        <v>43335</v>
      </c>
      <c r="H670" s="196">
        <f>+'Base de Datos'!N670</f>
        <v>43496</v>
      </c>
      <c r="I670" s="196"/>
      <c r="J670" s="158"/>
      <c r="K670" s="333"/>
      <c r="L670" s="211"/>
      <c r="M670" s="336"/>
      <c r="N670" s="158"/>
      <c r="O670" s="333"/>
      <c r="P670" s="158"/>
      <c r="Q670" s="338"/>
      <c r="R670" s="81">
        <f t="shared" si="92"/>
        <v>0</v>
      </c>
      <c r="S670" s="258"/>
      <c r="T670" s="333"/>
      <c r="U670" s="158"/>
      <c r="V670" s="333"/>
      <c r="W670" s="158"/>
      <c r="X670" s="333"/>
      <c r="Y670" s="158"/>
      <c r="Z670" s="333"/>
      <c r="AA670" s="326"/>
      <c r="AB670" s="1004" t="str">
        <f t="shared" si="85"/>
        <v/>
      </c>
      <c r="AC670" s="1082" t="str">
        <f t="shared" si="86"/>
        <v/>
      </c>
      <c r="AD670" s="1077"/>
      <c r="AE670" s="1077"/>
      <c r="AF670" s="1084" t="str">
        <f t="shared" si="87"/>
        <v/>
      </c>
      <c r="AG670" s="1082" t="str">
        <f t="shared" si="88"/>
        <v/>
      </c>
      <c r="AH670" s="1091"/>
      <c r="AI670" s="1087"/>
      <c r="AJ670" s="1084" t="str">
        <f t="shared" si="89"/>
        <v/>
      </c>
      <c r="AK670" s="1083" t="str">
        <f t="shared" si="90"/>
        <v/>
      </c>
      <c r="AL670" s="211">
        <v>1458400</v>
      </c>
      <c r="AM670" s="211">
        <v>5469000</v>
      </c>
      <c r="AN670" s="211">
        <v>5469000</v>
      </c>
      <c r="AO670" s="211">
        <v>5469000</v>
      </c>
      <c r="AP670" s="211">
        <v>5469000</v>
      </c>
      <c r="AQ670" s="211">
        <v>5469000</v>
      </c>
      <c r="AR670" s="211"/>
      <c r="AS670" s="211"/>
      <c r="AT670" s="211"/>
      <c r="AU670" s="211"/>
      <c r="AV670" s="211"/>
      <c r="AW670" s="211"/>
      <c r="AX670" s="211"/>
      <c r="AY670" s="211"/>
      <c r="AZ670" s="211"/>
      <c r="BA670" s="211"/>
      <c r="BB670" s="211"/>
      <c r="BC670" s="211"/>
      <c r="BD670" s="333">
        <v>43496</v>
      </c>
      <c r="BE670" s="82">
        <f t="shared" si="91"/>
        <v>28803400</v>
      </c>
    </row>
    <row r="671" spans="2:57" ht="20.399999999999999" hidden="1" x14ac:dyDescent="0.3">
      <c r="B671" s="2" t="str">
        <f>+'Base de Datos'!E671</f>
        <v>180224-0-2018</v>
      </c>
      <c r="C671" s="2" t="str">
        <f>+'Base de Datos'!F671</f>
        <v>SERVICIOS POSTALES NACIONALES S.A.</v>
      </c>
      <c r="D671" s="2">
        <f>+'Base de Datos'!G671</f>
        <v>900062917</v>
      </c>
      <c r="E671" s="2" t="str">
        <f>+'Base de Datos'!H671</f>
        <v>Prestar servicios para la gestión de correspondencia y mensajería expresa masiva para el Concejo de Bogotá</v>
      </c>
      <c r="F671" s="197">
        <f>+'Base de Datos'!I671</f>
        <v>40935600</v>
      </c>
      <c r="G671" s="196">
        <f>+'Base de Datos'!M671</f>
        <v>43322</v>
      </c>
      <c r="H671" s="196">
        <f>+'Base de Datos'!N671</f>
        <v>43505</v>
      </c>
      <c r="I671" s="196"/>
      <c r="J671" s="158"/>
      <c r="K671" s="333"/>
      <c r="L671" s="211"/>
      <c r="M671" s="336"/>
      <c r="N671" s="158"/>
      <c r="O671" s="333"/>
      <c r="P671" s="158"/>
      <c r="Q671" s="338"/>
      <c r="R671" s="81">
        <f t="shared" si="92"/>
        <v>0</v>
      </c>
      <c r="S671" s="820" t="s">
        <v>4655</v>
      </c>
      <c r="T671" s="333">
        <v>43521</v>
      </c>
      <c r="U671" s="158"/>
      <c r="V671" s="333"/>
      <c r="W671" s="158"/>
      <c r="X671" s="333"/>
      <c r="Y671" s="158"/>
      <c r="Z671" s="333"/>
      <c r="AA671" s="820" t="s">
        <v>4655</v>
      </c>
      <c r="AB671" s="1004">
        <f t="shared" si="85"/>
        <v>43521</v>
      </c>
      <c r="AC671" s="1082" t="str">
        <f t="shared" si="86"/>
        <v/>
      </c>
      <c r="AD671" s="1077"/>
      <c r="AE671" s="1077"/>
      <c r="AF671" s="1084" t="str">
        <f t="shared" si="87"/>
        <v/>
      </c>
      <c r="AG671" s="1082" t="str">
        <f t="shared" si="88"/>
        <v/>
      </c>
      <c r="AH671" s="1091"/>
      <c r="AI671" s="1087"/>
      <c r="AJ671" s="1084" t="str">
        <f t="shared" si="89"/>
        <v/>
      </c>
      <c r="AK671" s="1083" t="str">
        <f t="shared" si="90"/>
        <v/>
      </c>
      <c r="AL671" s="211">
        <v>4861354</v>
      </c>
      <c r="AM671" s="211">
        <v>5025754</v>
      </c>
      <c r="AN671" s="211">
        <v>3655554</v>
      </c>
      <c r="AO671" s="211">
        <v>7592721</v>
      </c>
      <c r="AP671" s="211">
        <v>7914587</v>
      </c>
      <c r="AQ671" s="211">
        <v>3628029</v>
      </c>
      <c r="AR671" s="211">
        <v>3540524</v>
      </c>
      <c r="AS671" s="211"/>
      <c r="AT671" s="211"/>
      <c r="AU671" s="211"/>
      <c r="AV671" s="211"/>
      <c r="AW671" s="211"/>
      <c r="AX671" s="211"/>
      <c r="AY671" s="211"/>
      <c r="AZ671" s="211"/>
      <c r="BA671" s="211"/>
      <c r="BB671" s="211"/>
      <c r="BC671" s="211"/>
      <c r="BD671" s="333">
        <v>43628</v>
      </c>
      <c r="BE671" s="82">
        <f t="shared" si="91"/>
        <v>36218523</v>
      </c>
    </row>
    <row r="672" spans="2:57" ht="20.399999999999999" hidden="1" x14ac:dyDescent="0.3">
      <c r="B672" s="2" t="str">
        <f>+'Base de Datos'!E672</f>
        <v>180296-0-2018</v>
      </c>
      <c r="C672" s="2" t="str">
        <f>+'Base de Datos'!F672</f>
        <v>FELIPE RUEDA POSADA</v>
      </c>
      <c r="D672" s="2">
        <f>+'Base de Datos'!G672</f>
        <v>79569100</v>
      </c>
      <c r="E672" s="2" t="str">
        <f>+'Base de Datos'!H672</f>
        <v>Prestar servicios profesionales para apoyar la formulación al plan estratégico de tecnología (PETIC) del Concejo de Bogotá.</v>
      </c>
      <c r="F672" s="197">
        <f>+'Base de Datos'!I672</f>
        <v>34375000</v>
      </c>
      <c r="G672" s="196">
        <f>+'Base de Datos'!M672</f>
        <v>43340</v>
      </c>
      <c r="H672" s="196">
        <f>+'Base de Datos'!N672</f>
        <v>43496</v>
      </c>
      <c r="I672" s="196"/>
      <c r="J672" s="158"/>
      <c r="K672" s="333"/>
      <c r="L672" s="211"/>
      <c r="M672" s="336"/>
      <c r="N672" s="158"/>
      <c r="O672" s="333"/>
      <c r="P672" s="158"/>
      <c r="Q672" s="338"/>
      <c r="R672" s="81">
        <f t="shared" si="92"/>
        <v>0</v>
      </c>
      <c r="S672" s="258"/>
      <c r="T672" s="333"/>
      <c r="U672" s="158"/>
      <c r="V672" s="333"/>
      <c r="W672" s="158"/>
      <c r="X672" s="333"/>
      <c r="Y672" s="158"/>
      <c r="Z672" s="333"/>
      <c r="AA672" s="326"/>
      <c r="AB672" s="1004" t="str">
        <f t="shared" si="85"/>
        <v/>
      </c>
      <c r="AC672" s="1082" t="str">
        <f t="shared" si="86"/>
        <v/>
      </c>
      <c r="AD672" s="1077"/>
      <c r="AE672" s="1077"/>
      <c r="AF672" s="1084" t="str">
        <f t="shared" si="87"/>
        <v/>
      </c>
      <c r="AG672" s="1082" t="str">
        <f t="shared" si="88"/>
        <v/>
      </c>
      <c r="AH672" s="1091"/>
      <c r="AI672" s="1087"/>
      <c r="AJ672" s="1084" t="str">
        <f t="shared" si="89"/>
        <v/>
      </c>
      <c r="AK672" s="1083" t="str">
        <f t="shared" si="90"/>
        <v/>
      </c>
      <c r="AL672" s="211">
        <v>833333</v>
      </c>
      <c r="AM672" s="211">
        <v>6250000</v>
      </c>
      <c r="AN672" s="211">
        <v>6250000</v>
      </c>
      <c r="AO672" s="211">
        <v>6250000</v>
      </c>
      <c r="AP672" s="211">
        <v>6250000</v>
      </c>
      <c r="AQ672" s="211">
        <v>6250000</v>
      </c>
      <c r="AR672" s="211"/>
      <c r="AS672" s="211"/>
      <c r="AT672" s="211"/>
      <c r="AU672" s="211"/>
      <c r="AV672" s="211"/>
      <c r="AW672" s="211"/>
      <c r="AX672" s="211"/>
      <c r="AY672" s="211"/>
      <c r="AZ672" s="211"/>
      <c r="BA672" s="211"/>
      <c r="BB672" s="211"/>
      <c r="BC672" s="211"/>
      <c r="BD672" s="333">
        <v>43511</v>
      </c>
      <c r="BE672" s="82">
        <f t="shared" si="91"/>
        <v>32083333</v>
      </c>
    </row>
    <row r="673" spans="2:57" ht="20.399999999999999" hidden="1" x14ac:dyDescent="0.3">
      <c r="B673" s="2" t="str">
        <f>+'Base de Datos'!E673</f>
        <v>180302-0-2018</v>
      </c>
      <c r="C673" s="2" t="str">
        <f>+'Base de Datos'!F673</f>
        <v>PANAMERICANA LIBRERÍA Y PAPELERIA SA</v>
      </c>
      <c r="D673" s="2" t="str">
        <f>+'Base de Datos'!G673</f>
        <v>830037946-3</v>
      </c>
      <c r="E673" s="2" t="str">
        <f>+'Base de Datos'!H673</f>
        <v>Proveer de equipos y elementos para dotar la sala de lactancia  del Concejo de Bogotá.</v>
      </c>
      <c r="F673" s="197">
        <f>+'Base de Datos'!I673</f>
        <v>966456</v>
      </c>
      <c r="G673" s="196">
        <f>+'Base de Datos'!M673</f>
        <v>43340</v>
      </c>
      <c r="H673" s="196">
        <f>+'Base de Datos'!N673</f>
        <v>43349</v>
      </c>
      <c r="I673" s="196"/>
      <c r="J673" s="158"/>
      <c r="K673" s="333"/>
      <c r="L673" s="211"/>
      <c r="M673" s="336"/>
      <c r="N673" s="158"/>
      <c r="O673" s="333"/>
      <c r="P673" s="158"/>
      <c r="Q673" s="338"/>
      <c r="R673" s="81">
        <f t="shared" si="92"/>
        <v>0</v>
      </c>
      <c r="S673" s="258"/>
      <c r="T673" s="333"/>
      <c r="U673" s="158"/>
      <c r="V673" s="333"/>
      <c r="W673" s="158"/>
      <c r="X673" s="333"/>
      <c r="Y673" s="158"/>
      <c r="Z673" s="333"/>
      <c r="AA673" s="326"/>
      <c r="AB673" s="1004" t="str">
        <f t="shared" si="85"/>
        <v/>
      </c>
      <c r="AC673" s="1082" t="str">
        <f t="shared" si="86"/>
        <v/>
      </c>
      <c r="AD673" s="1077"/>
      <c r="AE673" s="1077"/>
      <c r="AF673" s="1084" t="str">
        <f t="shared" si="87"/>
        <v/>
      </c>
      <c r="AG673" s="1082" t="str">
        <f t="shared" si="88"/>
        <v/>
      </c>
      <c r="AH673" s="1091"/>
      <c r="AI673" s="1087"/>
      <c r="AJ673" s="1084" t="str">
        <f t="shared" si="89"/>
        <v/>
      </c>
      <c r="AK673" s="1083" t="str">
        <f t="shared" si="90"/>
        <v/>
      </c>
      <c r="AL673" s="211">
        <v>966456</v>
      </c>
      <c r="AM673" s="211"/>
      <c r="AN673" s="211"/>
      <c r="AO673" s="211"/>
      <c r="AP673" s="211"/>
      <c r="AQ673" s="211"/>
      <c r="AR673" s="211"/>
      <c r="AS673" s="211"/>
      <c r="AT673" s="211"/>
      <c r="AU673" s="211"/>
      <c r="AV673" s="211"/>
      <c r="AW673" s="211"/>
      <c r="AX673" s="211"/>
      <c r="AY673" s="211"/>
      <c r="AZ673" s="211"/>
      <c r="BA673" s="211"/>
      <c r="BB673" s="211"/>
      <c r="BC673" s="211"/>
      <c r="BD673" s="333">
        <v>43392</v>
      </c>
      <c r="BE673" s="82">
        <f t="shared" si="91"/>
        <v>966456</v>
      </c>
    </row>
    <row r="674" spans="2:57" ht="51" hidden="1" x14ac:dyDescent="0.3">
      <c r="B674" s="2" t="str">
        <f>+'Base de Datos'!E674</f>
        <v>180306-0-2018</v>
      </c>
      <c r="C674" s="2" t="str">
        <f>+'Base de Datos'!F674</f>
        <v>SOLUTION COPY LTDA</v>
      </c>
      <c r="D674" s="2">
        <f>+'Base de Datos'!G674</f>
        <v>830053669</v>
      </c>
      <c r="E674" s="2" t="str">
        <f>+'Base de Datos'!H674</f>
        <v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v>
      </c>
      <c r="F674" s="197">
        <f>+'Base de Datos'!I674</f>
        <v>17287703</v>
      </c>
      <c r="G674" s="196">
        <f>+'Base de Datos'!M674</f>
        <v>43346</v>
      </c>
      <c r="H674" s="196">
        <f>+'Base de Datos'!N674</f>
        <v>43557</v>
      </c>
      <c r="I674" s="196"/>
      <c r="J674" s="158"/>
      <c r="K674" s="333"/>
      <c r="L674" s="211"/>
      <c r="M674" s="336"/>
      <c r="N674" s="158"/>
      <c r="O674" s="333"/>
      <c r="P674" s="158"/>
      <c r="Q674" s="338"/>
      <c r="R674" s="81">
        <f t="shared" si="92"/>
        <v>0</v>
      </c>
      <c r="S674" s="258" t="s">
        <v>2456</v>
      </c>
      <c r="T674" s="333">
        <v>43587</v>
      </c>
      <c r="U674" s="158"/>
      <c r="V674" s="333"/>
      <c r="W674" s="158"/>
      <c r="X674" s="333"/>
      <c r="Y674" s="158"/>
      <c r="Z674" s="333"/>
      <c r="AA674" s="258" t="s">
        <v>2456</v>
      </c>
      <c r="AB674" s="1004">
        <f t="shared" si="85"/>
        <v>43587</v>
      </c>
      <c r="AC674" s="1082" t="str">
        <f t="shared" si="86"/>
        <v/>
      </c>
      <c r="AD674" s="1077"/>
      <c r="AE674" s="1077"/>
      <c r="AF674" s="1084" t="str">
        <f t="shared" si="87"/>
        <v/>
      </c>
      <c r="AG674" s="1082" t="str">
        <f t="shared" si="88"/>
        <v/>
      </c>
      <c r="AH674" s="1091"/>
      <c r="AI674" s="1087"/>
      <c r="AJ674" s="1084" t="str">
        <f t="shared" si="89"/>
        <v/>
      </c>
      <c r="AK674" s="1083" t="str">
        <f t="shared" si="90"/>
        <v/>
      </c>
      <c r="AL674" s="211">
        <v>2196308</v>
      </c>
      <c r="AM674" s="211">
        <v>4224224</v>
      </c>
      <c r="AN674" s="211">
        <v>1722936</v>
      </c>
      <c r="AO674" s="211">
        <v>1586409</v>
      </c>
      <c r="AP674" s="211">
        <v>2115652</v>
      </c>
      <c r="AQ674" s="211">
        <v>2203210</v>
      </c>
      <c r="AR674" s="211">
        <v>2984082</v>
      </c>
      <c r="AS674" s="211"/>
      <c r="AT674" s="211"/>
      <c r="AU674" s="211"/>
      <c r="AV674" s="211"/>
      <c r="AW674" s="211"/>
      <c r="AX674" s="211"/>
      <c r="AY674" s="211"/>
      <c r="AZ674" s="211"/>
      <c r="BA674" s="211"/>
      <c r="BB674" s="211"/>
      <c r="BC674" s="211"/>
      <c r="BD674" s="333">
        <v>43626</v>
      </c>
      <c r="BE674" s="82">
        <f t="shared" si="91"/>
        <v>17032821</v>
      </c>
    </row>
    <row r="675" spans="2:57" ht="20.399999999999999" hidden="1" x14ac:dyDescent="0.3">
      <c r="B675" s="2" t="str">
        <f>+'Base de Datos'!E675</f>
        <v>180309-0-2018</v>
      </c>
      <c r="C675" s="2" t="str">
        <f>+'Base de Datos'!F675</f>
        <v xml:space="preserve">COMUNICAN SA </v>
      </c>
      <c r="D675" s="2">
        <f>+'Base de Datos'!G675</f>
        <v>860007590</v>
      </c>
      <c r="E675" s="2" t="str">
        <f>+'Base de Datos'!H675</f>
        <v>Suscripción al diario EL ESPECTADOR para el Concejo de Bogotá.</v>
      </c>
      <c r="F675" s="197">
        <f>+'Base de Datos'!I675</f>
        <v>1029000</v>
      </c>
      <c r="G675" s="196">
        <f>+'Base de Datos'!M675</f>
        <v>43376</v>
      </c>
      <c r="H675" s="196">
        <f>+'Base de Datos'!N675</f>
        <v>43740</v>
      </c>
      <c r="I675" s="196"/>
      <c r="J675" s="158"/>
      <c r="K675" s="333"/>
      <c r="L675" s="211"/>
      <c r="M675" s="336"/>
      <c r="N675" s="158"/>
      <c r="O675" s="333"/>
      <c r="P675" s="158"/>
      <c r="Q675" s="338"/>
      <c r="R675" s="81">
        <f t="shared" si="92"/>
        <v>0</v>
      </c>
      <c r="S675" s="258"/>
      <c r="T675" s="333"/>
      <c r="U675" s="158"/>
      <c r="V675" s="333"/>
      <c r="W675" s="158"/>
      <c r="X675" s="333"/>
      <c r="Y675" s="158"/>
      <c r="Z675" s="333"/>
      <c r="AA675" s="326"/>
      <c r="AB675" s="1004" t="str">
        <f t="shared" si="85"/>
        <v/>
      </c>
      <c r="AC675" s="1082" t="str">
        <f t="shared" si="86"/>
        <v/>
      </c>
      <c r="AD675" s="1077"/>
      <c r="AE675" s="1077"/>
      <c r="AF675" s="1084" t="str">
        <f t="shared" si="87"/>
        <v/>
      </c>
      <c r="AG675" s="1082" t="str">
        <f t="shared" si="88"/>
        <v/>
      </c>
      <c r="AH675" s="1091"/>
      <c r="AI675" s="1087"/>
      <c r="AJ675" s="1084" t="str">
        <f t="shared" si="89"/>
        <v/>
      </c>
      <c r="AK675" s="1083" t="str">
        <f t="shared" si="90"/>
        <v/>
      </c>
      <c r="AL675" s="211">
        <v>1029000</v>
      </c>
      <c r="AM675" s="211"/>
      <c r="AN675" s="211"/>
      <c r="AO675" s="211"/>
      <c r="AP675" s="211"/>
      <c r="AQ675" s="211"/>
      <c r="AR675" s="211"/>
      <c r="AS675" s="211"/>
      <c r="AT675" s="211"/>
      <c r="AU675" s="211"/>
      <c r="AV675" s="211"/>
      <c r="AW675" s="211"/>
      <c r="AX675" s="211"/>
      <c r="AY675" s="211"/>
      <c r="AZ675" s="211"/>
      <c r="BA675" s="211"/>
      <c r="BB675" s="211"/>
      <c r="BC675" s="211"/>
      <c r="BD675" s="333">
        <v>43553</v>
      </c>
      <c r="BE675" s="82">
        <f t="shared" si="91"/>
        <v>1029000</v>
      </c>
    </row>
    <row r="676" spans="2:57" ht="30.6" hidden="1" x14ac:dyDescent="0.3">
      <c r="B676" s="2" t="str">
        <f>+'Base de Datos'!E676</f>
        <v>180204-0-2018</v>
      </c>
      <c r="C676" s="2" t="str">
        <f>+'Base de Datos'!F676</f>
        <v xml:space="preserve">MOTORES Y MAQUINAS S.A. MOTORYSA </v>
      </c>
      <c r="D676" s="2">
        <f>+'Base de Datos'!G676</f>
        <v>860019063</v>
      </c>
      <c r="E676" s="2" t="str">
        <f>+'Base de Datos'!H676</f>
        <v>Prestar servicios de mantenimiento correctivo con suministro de repuestos para los vehículos marca Mitsubshi al servicio del Concejo de Bogotá.</v>
      </c>
      <c r="F676" s="197">
        <f>+'Base de Datos'!I676</f>
        <v>18450000</v>
      </c>
      <c r="G676" s="196">
        <f>+'Base de Datos'!M676</f>
        <v>43357</v>
      </c>
      <c r="H676" s="196">
        <f>+'Base de Datos'!N676</f>
        <v>43721</v>
      </c>
      <c r="I676" s="196"/>
      <c r="J676" s="158"/>
      <c r="K676" s="333"/>
      <c r="L676" s="211"/>
      <c r="M676" s="336"/>
      <c r="N676" s="158"/>
      <c r="O676" s="333"/>
      <c r="P676" s="158"/>
      <c r="Q676" s="338"/>
      <c r="R676" s="81">
        <f t="shared" si="92"/>
        <v>0</v>
      </c>
      <c r="S676" s="258"/>
      <c r="T676" s="333"/>
      <c r="U676" s="158"/>
      <c r="V676" s="333"/>
      <c r="W676" s="158"/>
      <c r="X676" s="333"/>
      <c r="Y676" s="158"/>
      <c r="Z676" s="333"/>
      <c r="AA676" s="326"/>
      <c r="AB676" s="1004" t="str">
        <f t="shared" si="85"/>
        <v/>
      </c>
      <c r="AC676" s="1082" t="str">
        <f t="shared" si="86"/>
        <v/>
      </c>
      <c r="AD676" s="1077"/>
      <c r="AE676" s="1077"/>
      <c r="AF676" s="1084" t="str">
        <f t="shared" si="87"/>
        <v/>
      </c>
      <c r="AG676" s="1082" t="str">
        <f t="shared" si="88"/>
        <v/>
      </c>
      <c r="AH676" s="1091"/>
      <c r="AI676" s="1087"/>
      <c r="AJ676" s="1084" t="str">
        <f t="shared" si="89"/>
        <v/>
      </c>
      <c r="AK676" s="1083" t="str">
        <f t="shared" si="90"/>
        <v/>
      </c>
      <c r="AL676" s="211">
        <v>5909550</v>
      </c>
      <c r="AM676" s="211">
        <v>6515251</v>
      </c>
      <c r="AN676" s="211">
        <v>2504952</v>
      </c>
      <c r="AO676" s="211"/>
      <c r="AP676" s="211"/>
      <c r="AQ676" s="211"/>
      <c r="AR676" s="211"/>
      <c r="AS676" s="211"/>
      <c r="AT676" s="211"/>
      <c r="AU676" s="211"/>
      <c r="AV676" s="211"/>
      <c r="AW676" s="211"/>
      <c r="AX676" s="211"/>
      <c r="AY676" s="211"/>
      <c r="AZ676" s="211"/>
      <c r="BA676" s="211"/>
      <c r="BB676" s="211"/>
      <c r="BC676" s="211"/>
      <c r="BD676" s="333">
        <v>43756</v>
      </c>
      <c r="BE676" s="82">
        <f t="shared" si="91"/>
        <v>14929753</v>
      </c>
    </row>
    <row r="677" spans="2:57" ht="51" hidden="1" x14ac:dyDescent="0.3">
      <c r="B677" s="2" t="str">
        <f>+'Base de Datos'!E677</f>
        <v>180308-0-2018</v>
      </c>
      <c r="C677" s="2" t="str">
        <f>+'Base de Datos'!F677</f>
        <v>EDGAR OSIRIS QUIJANO GOMEZ</v>
      </c>
      <c r="D677" s="2">
        <f>+'Base de Datos'!G677</f>
        <v>79352706</v>
      </c>
      <c r="E677" s="2" t="str">
        <f>+'Base de Datos'!H677</f>
        <v>Prestar servicios profesionales para apoyar técnicamente al Concejo de Bogotá en la estructuración de las solicitudes de contratción, definición y seguimiento de los procesos relacionados con la infraestructura física que requiera el Concejo de Bogotá.</v>
      </c>
      <c r="F677" s="197">
        <f>+'Base de Datos'!I677</f>
        <v>27345000</v>
      </c>
      <c r="G677" s="196">
        <f>+'Base de Datos'!M677</f>
        <v>43349</v>
      </c>
      <c r="H677" s="196">
        <f>+'Base de Datos'!N677</f>
        <v>43496</v>
      </c>
      <c r="I677" s="196"/>
      <c r="J677" s="158"/>
      <c r="K677" s="333"/>
      <c r="L677" s="211"/>
      <c r="M677" s="336"/>
      <c r="N677" s="158"/>
      <c r="O677" s="333"/>
      <c r="P677" s="158"/>
      <c r="Q677" s="338"/>
      <c r="R677" s="81">
        <f t="shared" ref="R677:R726" si="93">SUM(J677,L677,N677,P677)</f>
        <v>0</v>
      </c>
      <c r="S677" s="258"/>
      <c r="T677" s="333"/>
      <c r="U677" s="158"/>
      <c r="V677" s="333"/>
      <c r="W677" s="158"/>
      <c r="X677" s="333"/>
      <c r="Y677" s="158"/>
      <c r="Z677" s="333"/>
      <c r="AA677" s="326"/>
      <c r="AB677" s="1004" t="str">
        <f t="shared" si="85"/>
        <v/>
      </c>
      <c r="AC677" s="1082" t="str">
        <f t="shared" si="86"/>
        <v/>
      </c>
      <c r="AD677" s="1077"/>
      <c r="AE677" s="1077"/>
      <c r="AF677" s="1084" t="str">
        <f t="shared" si="87"/>
        <v/>
      </c>
      <c r="AG677" s="1082" t="str">
        <f t="shared" si="88"/>
        <v/>
      </c>
      <c r="AH677" s="1091"/>
      <c r="AI677" s="1087"/>
      <c r="AJ677" s="1084" t="str">
        <f t="shared" si="89"/>
        <v/>
      </c>
      <c r="AK677" s="1083" t="str">
        <f t="shared" si="90"/>
        <v/>
      </c>
      <c r="AL677" s="211">
        <v>4557500</v>
      </c>
      <c r="AM677" s="211">
        <v>5469000</v>
      </c>
      <c r="AN677" s="211">
        <v>5469000</v>
      </c>
      <c r="AO677" s="211">
        <v>5469000</v>
      </c>
      <c r="AP677" s="211">
        <v>5469000</v>
      </c>
      <c r="AQ677" s="211"/>
      <c r="AR677" s="211"/>
      <c r="AS677" s="211"/>
      <c r="AT677" s="211"/>
      <c r="AU677" s="211"/>
      <c r="AV677" s="211"/>
      <c r="AW677" s="211"/>
      <c r="AX677" s="211"/>
      <c r="AY677" s="211"/>
      <c r="AZ677" s="211"/>
      <c r="BA677" s="211"/>
      <c r="BB677" s="211"/>
      <c r="BC677" s="211"/>
      <c r="BD677" s="333">
        <v>43543</v>
      </c>
      <c r="BE677" s="82">
        <f t="shared" si="91"/>
        <v>26433500</v>
      </c>
    </row>
    <row r="678" spans="2:57" ht="51" hidden="1" x14ac:dyDescent="0.3">
      <c r="B678" s="2" t="str">
        <f>+'Base de Datos'!E678</f>
        <v>180301-0-2018</v>
      </c>
      <c r="C678" s="2" t="str">
        <f>+'Base de Datos'!F678</f>
        <v>CONTRONET LTDA</v>
      </c>
      <c r="D678" s="2" t="str">
        <f>+'Base de Datos'!G678</f>
        <v>800230639-4</v>
      </c>
      <c r="E678" s="2" t="str">
        <f>+'Base de Datos'!H678</f>
        <v>Prestar servicios de actualización, mantenimiento y soporte con el suministro de repuestos para la infraestructura de telecomunicaciones , cableado estructurado (voz y datos), fibra óptica, energía normal y regulada del Concejo de Bogotá, D.C.</v>
      </c>
      <c r="F678" s="197">
        <f>+'Base de Datos'!I678</f>
        <v>30000000</v>
      </c>
      <c r="G678" s="196">
        <f>+'Base de Datos'!M678</f>
        <v>43355</v>
      </c>
      <c r="H678" s="196">
        <f>+'Base de Datos'!N678</f>
        <v>43535</v>
      </c>
      <c r="I678" s="196"/>
      <c r="J678" s="158">
        <v>15000000</v>
      </c>
      <c r="K678" s="333">
        <v>43532</v>
      </c>
      <c r="L678" s="211"/>
      <c r="M678" s="336"/>
      <c r="N678" s="158"/>
      <c r="O678" s="333"/>
      <c r="P678" s="158"/>
      <c r="Q678" s="338"/>
      <c r="R678" s="81">
        <f t="shared" si="93"/>
        <v>15000000</v>
      </c>
      <c r="S678" s="258" t="s">
        <v>379</v>
      </c>
      <c r="T678" s="333">
        <v>43626</v>
      </c>
      <c r="U678" s="158"/>
      <c r="V678" s="333"/>
      <c r="W678" s="158"/>
      <c r="X678" s="333"/>
      <c r="Y678" s="158"/>
      <c r="Z678" s="333"/>
      <c r="AA678" s="258" t="s">
        <v>379</v>
      </c>
      <c r="AB678" s="1004">
        <f t="shared" si="85"/>
        <v>43626</v>
      </c>
      <c r="AC678" s="1082" t="str">
        <f t="shared" si="86"/>
        <v/>
      </c>
      <c r="AD678" s="1077"/>
      <c r="AE678" s="1077"/>
      <c r="AF678" s="1084" t="str">
        <f t="shared" si="87"/>
        <v/>
      </c>
      <c r="AG678" s="1082" t="str">
        <f t="shared" si="88"/>
        <v/>
      </c>
      <c r="AH678" s="1091"/>
      <c r="AI678" s="1087"/>
      <c r="AJ678" s="1084" t="str">
        <f t="shared" si="89"/>
        <v/>
      </c>
      <c r="AK678" s="1083" t="str">
        <f t="shared" si="90"/>
        <v/>
      </c>
      <c r="AL678" s="211">
        <v>15328260</v>
      </c>
      <c r="AM678" s="211">
        <v>11175000</v>
      </c>
      <c r="AN678" s="211">
        <v>6488100</v>
      </c>
      <c r="AO678" s="211">
        <v>4565900</v>
      </c>
      <c r="AP678" s="211">
        <v>3751500</v>
      </c>
      <c r="AQ678" s="211"/>
      <c r="AR678" s="211"/>
      <c r="AS678" s="211"/>
      <c r="AT678" s="211"/>
      <c r="AU678" s="211"/>
      <c r="AV678" s="211"/>
      <c r="AW678" s="211"/>
      <c r="AX678" s="211"/>
      <c r="AY678" s="211"/>
      <c r="AZ678" s="211"/>
      <c r="BA678" s="211"/>
      <c r="BB678" s="211"/>
      <c r="BC678" s="211"/>
      <c r="BD678" s="333">
        <v>43676</v>
      </c>
      <c r="BE678" s="82">
        <f t="shared" si="91"/>
        <v>41308760</v>
      </c>
    </row>
    <row r="679" spans="2:57" ht="20.399999999999999" hidden="1" x14ac:dyDescent="0.3">
      <c r="B679" s="2" t="str">
        <f>+'Base de Datos'!E679</f>
        <v>180203-0-2018</v>
      </c>
      <c r="C679" s="2" t="str">
        <f>+'Base de Datos'!F679</f>
        <v>MITSUBISHI ELECTRIC DE COLOMBIA LTDA</v>
      </c>
      <c r="D679" s="2">
        <f>+'Base de Datos'!G679</f>
        <v>860025639</v>
      </c>
      <c r="E679" s="2" t="str">
        <f>+'Base de Datos'!H679</f>
        <v>Prestar servicios de mantenimiento preventivo y correctivo a los ascensores marca Mitsubishi del Concejo de Bogotá.</v>
      </c>
      <c r="F679" s="197">
        <f>+'Base de Datos'!I679</f>
        <v>15450000</v>
      </c>
      <c r="G679" s="196">
        <f>+'Base de Datos'!M679</f>
        <v>43360</v>
      </c>
      <c r="H679" s="196">
        <f>+'Base de Datos'!N679</f>
        <v>43632</v>
      </c>
      <c r="I679" s="196"/>
      <c r="J679" s="158"/>
      <c r="K679" s="333"/>
      <c r="L679" s="211"/>
      <c r="M679" s="336"/>
      <c r="N679" s="158"/>
      <c r="O679" s="333"/>
      <c r="P679" s="158"/>
      <c r="Q679" s="338"/>
      <c r="R679" s="81">
        <f t="shared" si="93"/>
        <v>0</v>
      </c>
      <c r="S679" s="258"/>
      <c r="T679" s="333"/>
      <c r="U679" s="158"/>
      <c r="V679" s="333"/>
      <c r="W679" s="158"/>
      <c r="X679" s="333"/>
      <c r="Y679" s="158"/>
      <c r="Z679" s="333"/>
      <c r="AA679" s="326"/>
      <c r="AB679" s="1004" t="str">
        <f t="shared" si="85"/>
        <v/>
      </c>
      <c r="AC679" s="1082" t="str">
        <f t="shared" si="86"/>
        <v/>
      </c>
      <c r="AD679" s="1077"/>
      <c r="AE679" s="1077"/>
      <c r="AF679" s="1084" t="str">
        <f t="shared" si="87"/>
        <v/>
      </c>
      <c r="AG679" s="1082" t="str">
        <f t="shared" si="88"/>
        <v/>
      </c>
      <c r="AH679" s="1091"/>
      <c r="AI679" s="1087"/>
      <c r="AJ679" s="1084" t="str">
        <f t="shared" si="89"/>
        <v/>
      </c>
      <c r="AK679" s="1083" t="str">
        <f t="shared" si="90"/>
        <v/>
      </c>
      <c r="AL679" s="211">
        <v>1619464</v>
      </c>
      <c r="AM679" s="211">
        <v>1619464</v>
      </c>
      <c r="AN679" s="211">
        <v>1619464</v>
      </c>
      <c r="AO679" s="211"/>
      <c r="AP679" s="211"/>
      <c r="AQ679" s="211"/>
      <c r="AR679" s="211"/>
      <c r="AS679" s="211">
        <v>8097320</v>
      </c>
      <c r="AT679" s="211"/>
      <c r="AU679" s="211"/>
      <c r="AV679" s="211"/>
      <c r="AW679" s="211"/>
      <c r="AX679" s="211"/>
      <c r="AY679" s="211"/>
      <c r="AZ679" s="211"/>
      <c r="BA679" s="211"/>
      <c r="BB679" s="211"/>
      <c r="BC679" s="211"/>
      <c r="BD679" s="333">
        <v>43698</v>
      </c>
      <c r="BE679" s="82">
        <f t="shared" si="91"/>
        <v>12955712</v>
      </c>
    </row>
    <row r="680" spans="2:57" ht="30.6" hidden="1" x14ac:dyDescent="0.3">
      <c r="B680" s="2" t="str">
        <f>+'Base de Datos'!E680</f>
        <v>180316-0-2018</v>
      </c>
      <c r="C680" s="2" t="str">
        <f>+'Base de Datos'!F680</f>
        <v>NANCY MORENO LOPEZ</v>
      </c>
      <c r="D680" s="2">
        <f>+'Base de Datos'!G680</f>
        <v>51964728</v>
      </c>
      <c r="E680" s="2" t="str">
        <f>+'Base de Datos'!H680</f>
        <v>Prestar servicios profesionales para apoyar la actualización y publicación de la información en la página WEB e intranet y otros medios que disponga el Concejo de Bogotá, D.C.</v>
      </c>
      <c r="F680" s="197">
        <f>+'Base de Datos'!I680</f>
        <v>17139090</v>
      </c>
      <c r="G680" s="196">
        <f>+'Base de Datos'!M680</f>
        <v>43355</v>
      </c>
      <c r="H680" s="196">
        <f>+'Base de Datos'!N680</f>
        <v>43496</v>
      </c>
      <c r="I680" s="196"/>
      <c r="J680" s="158"/>
      <c r="K680" s="333"/>
      <c r="L680" s="211"/>
      <c r="M680" s="336"/>
      <c r="N680" s="158"/>
      <c r="O680" s="333"/>
      <c r="P680" s="158"/>
      <c r="Q680" s="338"/>
      <c r="R680" s="81">
        <f t="shared" si="93"/>
        <v>0</v>
      </c>
      <c r="S680" s="258"/>
      <c r="T680" s="333"/>
      <c r="U680" s="158"/>
      <c r="V680" s="333"/>
      <c r="W680" s="158"/>
      <c r="X680" s="333"/>
      <c r="Y680" s="158"/>
      <c r="Z680" s="333"/>
      <c r="AA680" s="326"/>
      <c r="AB680" s="1004" t="str">
        <f t="shared" si="85"/>
        <v/>
      </c>
      <c r="AC680" s="1082" t="str">
        <f t="shared" si="86"/>
        <v/>
      </c>
      <c r="AD680" s="1077"/>
      <c r="AE680" s="1077"/>
      <c r="AF680" s="1084" t="str">
        <f t="shared" si="87"/>
        <v/>
      </c>
      <c r="AG680" s="1082" t="str">
        <f t="shared" si="88"/>
        <v/>
      </c>
      <c r="AH680" s="1091"/>
      <c r="AI680" s="1087"/>
      <c r="AJ680" s="1084" t="str">
        <f t="shared" si="89"/>
        <v/>
      </c>
      <c r="AK680" s="1083" t="str">
        <f t="shared" si="90"/>
        <v/>
      </c>
      <c r="AL680" s="211">
        <v>2246951</v>
      </c>
      <c r="AM680" s="211">
        <v>3547818</v>
      </c>
      <c r="AN680" s="211">
        <v>3547818</v>
      </c>
      <c r="AO680" s="211">
        <v>3547818</v>
      </c>
      <c r="AP680" s="211">
        <v>3547818</v>
      </c>
      <c r="AQ680" s="211"/>
      <c r="AR680" s="211"/>
      <c r="AS680" s="211"/>
      <c r="AT680" s="211"/>
      <c r="AU680" s="211"/>
      <c r="AV680" s="211"/>
      <c r="AW680" s="211"/>
      <c r="AX680" s="211"/>
      <c r="AY680" s="211"/>
      <c r="AZ680" s="211"/>
      <c r="BA680" s="211"/>
      <c r="BB680" s="211"/>
      <c r="BC680" s="211"/>
      <c r="BD680" s="333">
        <v>43503</v>
      </c>
      <c r="BE680" s="82">
        <f t="shared" si="91"/>
        <v>16438223</v>
      </c>
    </row>
    <row r="681" spans="2:57" ht="20.399999999999999" hidden="1" x14ac:dyDescent="0.3">
      <c r="B681" s="2" t="str">
        <f>+'Base de Datos'!E681</f>
        <v>180315-0-2018</v>
      </c>
      <c r="C681" s="2" t="str">
        <f>+'Base de Datos'!F681</f>
        <v>BUSINESSMIND COLOMBIA SA - BMIND COLOMBIA SA</v>
      </c>
      <c r="D681" s="2">
        <f>+'Base de Datos'!G681</f>
        <v>900105979</v>
      </c>
      <c r="E681" s="2" t="str">
        <f>+'Base de Datos'!H681</f>
        <v>Prestar servicios de administración y operación de la plataforma oracle del Concejo de Bogotá</v>
      </c>
      <c r="F681" s="197">
        <f>+'Base de Datos'!I681</f>
        <v>61010740</v>
      </c>
      <c r="G681" s="196">
        <f>+'Base de Datos'!M681</f>
        <v>43361</v>
      </c>
      <c r="H681" s="196">
        <f>+'Base de Datos'!N681</f>
        <v>43513</v>
      </c>
      <c r="I681" s="196"/>
      <c r="J681" s="158">
        <v>24404296</v>
      </c>
      <c r="K681" s="333">
        <v>43511</v>
      </c>
      <c r="L681" s="211"/>
      <c r="M681" s="336"/>
      <c r="N681" s="158"/>
      <c r="O681" s="333"/>
      <c r="P681" s="158"/>
      <c r="Q681" s="338"/>
      <c r="R681" s="81">
        <f t="shared" si="93"/>
        <v>24404296</v>
      </c>
      <c r="S681" s="258" t="s">
        <v>378</v>
      </c>
      <c r="T681" s="333">
        <v>43572</v>
      </c>
      <c r="U681" s="158"/>
      <c r="V681" s="333"/>
      <c r="W681" s="158"/>
      <c r="X681" s="333"/>
      <c r="Y681" s="158"/>
      <c r="Z681" s="333"/>
      <c r="AA681" s="258" t="s">
        <v>378</v>
      </c>
      <c r="AB681" s="1004">
        <f t="shared" si="85"/>
        <v>43572</v>
      </c>
      <c r="AC681" s="1082" t="str">
        <f t="shared" si="86"/>
        <v/>
      </c>
      <c r="AD681" s="1077"/>
      <c r="AE681" s="1077"/>
      <c r="AF681" s="1084" t="str">
        <f t="shared" si="87"/>
        <v/>
      </c>
      <c r="AG681" s="1082" t="str">
        <f t="shared" si="88"/>
        <v/>
      </c>
      <c r="AH681" s="1091"/>
      <c r="AI681" s="1087"/>
      <c r="AJ681" s="1084" t="str">
        <f t="shared" si="89"/>
        <v/>
      </c>
      <c r="AK681" s="1083" t="str">
        <f t="shared" si="90"/>
        <v/>
      </c>
      <c r="AL681" s="211">
        <v>12202148</v>
      </c>
      <c r="AM681" s="211">
        <v>12202148</v>
      </c>
      <c r="AN681" s="211">
        <v>12202148</v>
      </c>
      <c r="AO681" s="211">
        <v>12202148</v>
      </c>
      <c r="AP681" s="211">
        <v>12202148</v>
      </c>
      <c r="AQ681" s="211">
        <v>12202148</v>
      </c>
      <c r="AR681" s="211">
        <v>12202148</v>
      </c>
      <c r="AS681" s="211"/>
      <c r="AT681" s="211"/>
      <c r="AU681" s="211"/>
      <c r="AV681" s="211"/>
      <c r="AW681" s="211"/>
      <c r="AX681" s="211"/>
      <c r="AY681" s="211"/>
      <c r="AZ681" s="211"/>
      <c r="BA681" s="211"/>
      <c r="BB681" s="211"/>
      <c r="BC681" s="211"/>
      <c r="BD681" s="333">
        <v>43598</v>
      </c>
      <c r="BE681" s="82">
        <f t="shared" si="91"/>
        <v>85415036</v>
      </c>
    </row>
    <row r="682" spans="2:57" ht="30.6" hidden="1" x14ac:dyDescent="0.3">
      <c r="B682" s="2" t="str">
        <f>+'Base de Datos'!E682</f>
        <v>180320-0-2018</v>
      </c>
      <c r="C682" s="2" t="str">
        <f>+'Base de Datos'!F682</f>
        <v>ERIKA ALEXANDRA MORALES VASQUEZ</v>
      </c>
      <c r="D682" s="2">
        <f>+'Base de Datos'!G682</f>
        <v>52888971</v>
      </c>
      <c r="E682" s="2" t="str">
        <f>+'Base de Datos'!H682</f>
        <v>Prestar los servicios profesionales en la realización de las actividades requeridas para el análisis y estudio de cargas laborales para el Concejo de Bogotá.</v>
      </c>
      <c r="F682" s="197">
        <f>+'Base de Datos'!I682</f>
        <v>18748000</v>
      </c>
      <c r="G682" s="196">
        <f>+'Base de Datos'!M682</f>
        <v>43367</v>
      </c>
      <c r="H682" s="196">
        <f>+'Base de Datos'!N682</f>
        <v>43488</v>
      </c>
      <c r="I682" s="196"/>
      <c r="J682" s="158"/>
      <c r="K682" s="333"/>
      <c r="L682" s="211"/>
      <c r="M682" s="336"/>
      <c r="N682" s="158"/>
      <c r="O682" s="333"/>
      <c r="P682" s="158"/>
      <c r="Q682" s="338"/>
      <c r="R682" s="81">
        <f t="shared" si="93"/>
        <v>0</v>
      </c>
      <c r="S682" s="258"/>
      <c r="T682" s="333"/>
      <c r="U682" s="158"/>
      <c r="V682" s="333"/>
      <c r="W682" s="158"/>
      <c r="X682" s="333"/>
      <c r="Y682" s="158"/>
      <c r="Z682" s="333"/>
      <c r="AA682" s="326"/>
      <c r="AB682" s="1004" t="str">
        <f t="shared" si="85"/>
        <v/>
      </c>
      <c r="AC682" s="1082" t="str">
        <f t="shared" si="86"/>
        <v/>
      </c>
      <c r="AD682" s="1077"/>
      <c r="AE682" s="1077"/>
      <c r="AF682" s="1084" t="str">
        <f t="shared" si="87"/>
        <v/>
      </c>
      <c r="AG682" s="1082" t="str">
        <f t="shared" si="88"/>
        <v/>
      </c>
      <c r="AH682" s="1091"/>
      <c r="AI682" s="1087"/>
      <c r="AJ682" s="1084" t="str">
        <f t="shared" si="89"/>
        <v/>
      </c>
      <c r="AK682" s="1083" t="str">
        <f t="shared" si="90"/>
        <v/>
      </c>
      <c r="AL682" s="211">
        <v>1093633</v>
      </c>
      <c r="AM682" s="211">
        <v>4687000</v>
      </c>
      <c r="AN682" s="211">
        <v>4687000</v>
      </c>
      <c r="AO682" s="211">
        <v>4687000</v>
      </c>
      <c r="AP682" s="211">
        <v>3593367</v>
      </c>
      <c r="AQ682" s="211"/>
      <c r="AR682" s="211"/>
      <c r="AS682" s="211"/>
      <c r="AT682" s="211"/>
      <c r="AU682" s="211"/>
      <c r="AV682" s="211"/>
      <c r="AW682" s="211"/>
      <c r="AX682" s="211"/>
      <c r="AY682" s="211"/>
      <c r="AZ682" s="211"/>
      <c r="BA682" s="211"/>
      <c r="BB682" s="211"/>
      <c r="BC682" s="211"/>
      <c r="BD682" s="333">
        <v>43524</v>
      </c>
      <c r="BE682" s="82">
        <f t="shared" si="91"/>
        <v>18748000</v>
      </c>
    </row>
    <row r="683" spans="2:57" ht="30.6" hidden="1" x14ac:dyDescent="0.3">
      <c r="B683" s="2" t="str">
        <f>+'Base de Datos'!E683</f>
        <v>180319-0-2018</v>
      </c>
      <c r="C683" s="2" t="str">
        <f>+'Base de Datos'!F683</f>
        <v>LINA ADELAIDA JIMENEZ AVELLANEDA</v>
      </c>
      <c r="D683" s="2">
        <f>+'Base de Datos'!G683</f>
        <v>52959805</v>
      </c>
      <c r="E683" s="2" t="str">
        <f>+'Base de Datos'!H683</f>
        <v>Prestar los servicios profesionales en la realización de las actividades requeridas para el análisis y estudio de cargas laborales para el Concejo de Bogotá.</v>
      </c>
      <c r="F683" s="197">
        <f>+'Base de Datos'!I683</f>
        <v>18748000</v>
      </c>
      <c r="G683" s="196">
        <f>+'Base de Datos'!M683</f>
        <v>43367</v>
      </c>
      <c r="H683" s="196">
        <f>+'Base de Datos'!N683</f>
        <v>43488</v>
      </c>
      <c r="I683" s="196"/>
      <c r="J683" s="158"/>
      <c r="K683" s="333"/>
      <c r="L683" s="211"/>
      <c r="M683" s="336"/>
      <c r="N683" s="158"/>
      <c r="O683" s="333"/>
      <c r="P683" s="158"/>
      <c r="Q683" s="338"/>
      <c r="R683" s="81">
        <f t="shared" si="93"/>
        <v>0</v>
      </c>
      <c r="S683" s="258"/>
      <c r="T683" s="333"/>
      <c r="U683" s="158"/>
      <c r="V683" s="333"/>
      <c r="W683" s="158"/>
      <c r="X683" s="333"/>
      <c r="Y683" s="158"/>
      <c r="Z683" s="333"/>
      <c r="AA683" s="326"/>
      <c r="AB683" s="1004" t="str">
        <f t="shared" si="85"/>
        <v/>
      </c>
      <c r="AC683" s="1082" t="str">
        <f t="shared" si="86"/>
        <v/>
      </c>
      <c r="AD683" s="1077"/>
      <c r="AE683" s="1077"/>
      <c r="AF683" s="1084" t="str">
        <f t="shared" si="87"/>
        <v/>
      </c>
      <c r="AG683" s="1082" t="str">
        <f t="shared" si="88"/>
        <v/>
      </c>
      <c r="AH683" s="1091"/>
      <c r="AI683" s="1087"/>
      <c r="AJ683" s="1084" t="str">
        <f t="shared" si="89"/>
        <v/>
      </c>
      <c r="AK683" s="1083" t="str">
        <f t="shared" si="90"/>
        <v/>
      </c>
      <c r="AL683" s="211">
        <v>1093633</v>
      </c>
      <c r="AM683" s="211">
        <v>4687000</v>
      </c>
      <c r="AN683" s="211">
        <v>4687000</v>
      </c>
      <c r="AO683" s="211">
        <v>4687000</v>
      </c>
      <c r="AP683" s="211">
        <v>3593367</v>
      </c>
      <c r="AQ683" s="211"/>
      <c r="AR683" s="211"/>
      <c r="AS683" s="211"/>
      <c r="AT683" s="211"/>
      <c r="AU683" s="211"/>
      <c r="AV683" s="211"/>
      <c r="AW683" s="211"/>
      <c r="AX683" s="211"/>
      <c r="AY683" s="211"/>
      <c r="AZ683" s="211"/>
      <c r="BA683" s="211"/>
      <c r="BB683" s="211"/>
      <c r="BC683" s="211"/>
      <c r="BD683" s="333">
        <v>43602</v>
      </c>
      <c r="BE683" s="82">
        <f t="shared" si="91"/>
        <v>18748000</v>
      </c>
    </row>
    <row r="684" spans="2:57" ht="20.399999999999999" hidden="1" x14ac:dyDescent="0.3">
      <c r="B684" s="2" t="str">
        <f>+'Base de Datos'!E684</f>
        <v>180340-0-2018</v>
      </c>
      <c r="C684" s="2" t="str">
        <f>+'Base de Datos'!F684</f>
        <v>ORGANIZACIÓN TERPEL SA</v>
      </c>
      <c r="D684" s="2">
        <f>+'Base de Datos'!G684</f>
        <v>830095213</v>
      </c>
      <c r="E684" s="2" t="str">
        <f>+'Base de Datos'!H684</f>
        <v>Suministro de combustible para el parque automotor asignado al Concejo de Bogotá D.C.</v>
      </c>
      <c r="F684" s="197">
        <f>+'Base de Datos'!I684</f>
        <v>144000000</v>
      </c>
      <c r="G684" s="196">
        <f>+'Base de Datos'!M684</f>
        <v>43379</v>
      </c>
      <c r="H684" s="196">
        <f>+'Base de Datos'!N684</f>
        <v>43491</v>
      </c>
      <c r="I684" s="196"/>
      <c r="J684" s="158"/>
      <c r="K684" s="333"/>
      <c r="L684" s="211"/>
      <c r="M684" s="336"/>
      <c r="N684" s="158"/>
      <c r="O684" s="333"/>
      <c r="P684" s="158"/>
      <c r="Q684" s="338"/>
      <c r="R684" s="81">
        <f t="shared" si="93"/>
        <v>0</v>
      </c>
      <c r="S684" s="258"/>
      <c r="T684" s="333"/>
      <c r="U684" s="158"/>
      <c r="V684" s="333"/>
      <c r="W684" s="158"/>
      <c r="X684" s="333"/>
      <c r="Y684" s="158"/>
      <c r="Z684" s="333"/>
      <c r="AA684" s="326"/>
      <c r="AB684" s="1004" t="str">
        <f t="shared" si="85"/>
        <v/>
      </c>
      <c r="AC684" s="1082" t="str">
        <f t="shared" si="86"/>
        <v/>
      </c>
      <c r="AD684" s="1077"/>
      <c r="AE684" s="1077"/>
      <c r="AF684" s="1084" t="str">
        <f t="shared" si="87"/>
        <v/>
      </c>
      <c r="AG684" s="1082" t="str">
        <f t="shared" si="88"/>
        <v/>
      </c>
      <c r="AH684" s="1091"/>
      <c r="AI684" s="1087"/>
      <c r="AJ684" s="1084" t="str">
        <f t="shared" si="89"/>
        <v/>
      </c>
      <c r="AK684" s="1083" t="str">
        <f t="shared" si="90"/>
        <v/>
      </c>
      <c r="AL684" s="211">
        <v>33055338</v>
      </c>
      <c r="AM684" s="211">
        <v>21086586</v>
      </c>
      <c r="AN684" s="211">
        <v>20714008</v>
      </c>
      <c r="AO684" s="211">
        <v>24754329</v>
      </c>
      <c r="AP684" s="211">
        <v>15385616</v>
      </c>
      <c r="AQ684" s="211">
        <v>12525396</v>
      </c>
      <c r="AR684" s="211">
        <v>16478727</v>
      </c>
      <c r="AS684" s="211"/>
      <c r="AT684" s="211"/>
      <c r="AU684" s="211"/>
      <c r="AV684" s="211"/>
      <c r="AW684" s="211"/>
      <c r="AX684" s="211"/>
      <c r="AY684" s="211"/>
      <c r="AZ684" s="211"/>
      <c r="BA684" s="211"/>
      <c r="BB684" s="211"/>
      <c r="BC684" s="211"/>
      <c r="BD684" s="333">
        <v>43535</v>
      </c>
      <c r="BE684" s="82">
        <f t="shared" si="91"/>
        <v>144000000</v>
      </c>
    </row>
    <row r="685" spans="2:57" hidden="1" x14ac:dyDescent="0.3">
      <c r="B685" s="2" t="str">
        <f>+'Base de Datos'!E685</f>
        <v>180335-0-2018</v>
      </c>
      <c r="C685" s="2" t="str">
        <f>+'Base de Datos'!F685</f>
        <v>PUBLICACIONES SEMANA S.A.</v>
      </c>
      <c r="D685" s="2">
        <f>+'Base de Datos'!G685</f>
        <v>860509265</v>
      </c>
      <c r="E685" s="2" t="str">
        <f>+'Base de Datos'!H685</f>
        <v>Suscripción a la Revista Semana, para el Concejo de Bogotá.</v>
      </c>
      <c r="F685" s="197">
        <f>+'Base de Datos'!I685</f>
        <v>885000</v>
      </c>
      <c r="G685" s="196">
        <f>+'Base de Datos'!M685</f>
        <v>43406</v>
      </c>
      <c r="H685" s="196">
        <f>+'Base de Datos'!N685</f>
        <v>43770</v>
      </c>
      <c r="I685" s="196"/>
      <c r="J685" s="158"/>
      <c r="K685" s="333"/>
      <c r="L685" s="211"/>
      <c r="M685" s="336"/>
      <c r="N685" s="158"/>
      <c r="O685" s="333"/>
      <c r="P685" s="158"/>
      <c r="Q685" s="338"/>
      <c r="R685" s="81">
        <f t="shared" si="93"/>
        <v>0</v>
      </c>
      <c r="S685" s="258"/>
      <c r="T685" s="333"/>
      <c r="U685" s="158"/>
      <c r="V685" s="333"/>
      <c r="W685" s="158"/>
      <c r="X685" s="333"/>
      <c r="Y685" s="158"/>
      <c r="Z685" s="333"/>
      <c r="AA685" s="326"/>
      <c r="AB685" s="1004" t="str">
        <f t="shared" si="85"/>
        <v/>
      </c>
      <c r="AC685" s="1082" t="str">
        <f t="shared" si="86"/>
        <v/>
      </c>
      <c r="AD685" s="1077"/>
      <c r="AE685" s="1077"/>
      <c r="AF685" s="1084" t="str">
        <f t="shared" si="87"/>
        <v/>
      </c>
      <c r="AG685" s="1082" t="str">
        <f t="shared" si="88"/>
        <v/>
      </c>
      <c r="AH685" s="1091"/>
      <c r="AI685" s="1087"/>
      <c r="AJ685" s="1084" t="str">
        <f t="shared" si="89"/>
        <v/>
      </c>
      <c r="AK685" s="1083" t="str">
        <f t="shared" si="90"/>
        <v/>
      </c>
      <c r="AL685" s="211">
        <v>885000</v>
      </c>
      <c r="AM685" s="211"/>
      <c r="AN685" s="211"/>
      <c r="AO685" s="211"/>
      <c r="AP685" s="211"/>
      <c r="AQ685" s="211"/>
      <c r="AR685" s="211"/>
      <c r="AS685" s="211"/>
      <c r="AT685" s="211"/>
      <c r="AU685" s="211"/>
      <c r="AV685" s="211"/>
      <c r="AW685" s="211"/>
      <c r="AX685" s="211"/>
      <c r="AY685" s="211"/>
      <c r="AZ685" s="211"/>
      <c r="BA685" s="211"/>
      <c r="BB685" s="211"/>
      <c r="BC685" s="211"/>
      <c r="BD685" s="333">
        <v>43451</v>
      </c>
      <c r="BE685" s="82">
        <f t="shared" si="91"/>
        <v>885000</v>
      </c>
    </row>
    <row r="686" spans="2:57" ht="20.399999999999999" hidden="1" x14ac:dyDescent="0.3">
      <c r="B686" s="2" t="str">
        <f>+'Base de Datos'!E686</f>
        <v>180333-0-2018</v>
      </c>
      <c r="C686" s="2" t="str">
        <f>+'Base de Datos'!F686</f>
        <v>ABC INTERCARGO SAS</v>
      </c>
      <c r="D686" s="2" t="str">
        <f>+'Base de Datos'!G686</f>
        <v>900654487-4</v>
      </c>
      <c r="E686" s="2" t="str">
        <f>+'Base de Datos'!H686</f>
        <v>Suministro de elementos de protección personal para los servidores del Concejo de Bogotá.</v>
      </c>
      <c r="F686" s="197">
        <f>+'Base de Datos'!I686</f>
        <v>11297490</v>
      </c>
      <c r="G686" s="196">
        <f>+'Base de Datos'!M686</f>
        <v>43384</v>
      </c>
      <c r="H686" s="196">
        <f>+'Base de Datos'!N686</f>
        <v>43506</v>
      </c>
      <c r="I686" s="196"/>
      <c r="J686" s="158"/>
      <c r="K686" s="333"/>
      <c r="L686" s="211"/>
      <c r="M686" s="336"/>
      <c r="N686" s="158"/>
      <c r="O686" s="333"/>
      <c r="P686" s="158"/>
      <c r="Q686" s="338"/>
      <c r="R686" s="81">
        <f t="shared" si="93"/>
        <v>0</v>
      </c>
      <c r="S686" s="258"/>
      <c r="T686" s="333"/>
      <c r="U686" s="158"/>
      <c r="V686" s="333"/>
      <c r="W686" s="158"/>
      <c r="X686" s="333"/>
      <c r="Y686" s="158"/>
      <c r="Z686" s="333"/>
      <c r="AA686" s="326"/>
      <c r="AB686" s="1004" t="str">
        <f t="shared" si="85"/>
        <v/>
      </c>
      <c r="AC686" s="1082" t="str">
        <f t="shared" si="86"/>
        <v/>
      </c>
      <c r="AD686" s="1077"/>
      <c r="AE686" s="1077"/>
      <c r="AF686" s="1084" t="str">
        <f t="shared" si="87"/>
        <v/>
      </c>
      <c r="AG686" s="1082" t="str">
        <f t="shared" si="88"/>
        <v/>
      </c>
      <c r="AH686" s="1091"/>
      <c r="AI686" s="1087"/>
      <c r="AJ686" s="1084" t="str">
        <f t="shared" si="89"/>
        <v/>
      </c>
      <c r="AK686" s="1083" t="str">
        <f t="shared" si="90"/>
        <v/>
      </c>
      <c r="AL686" s="211">
        <v>11297489</v>
      </c>
      <c r="AM686" s="211"/>
      <c r="AN686" s="211"/>
      <c r="AO686" s="211"/>
      <c r="AP686" s="211"/>
      <c r="AQ686" s="211"/>
      <c r="AR686" s="211"/>
      <c r="AS686" s="211"/>
      <c r="AT686" s="211"/>
      <c r="AU686" s="211"/>
      <c r="AV686" s="211"/>
      <c r="AW686" s="211"/>
      <c r="AX686" s="211"/>
      <c r="AY686" s="211"/>
      <c r="AZ686" s="211"/>
      <c r="BA686" s="211"/>
      <c r="BB686" s="211"/>
      <c r="BC686" s="211"/>
      <c r="BD686" s="333">
        <v>43662</v>
      </c>
      <c r="BE686" s="82">
        <f t="shared" si="91"/>
        <v>11297489</v>
      </c>
    </row>
    <row r="687" spans="2:57" ht="61.2" hidden="1" x14ac:dyDescent="0.3">
      <c r="B687" s="2" t="str">
        <f>+'Base de Datos'!E687</f>
        <v>180339-0-2018</v>
      </c>
      <c r="C687" s="2" t="str">
        <f>+'Base de Datos'!F687</f>
        <v>BLANCA LISBETH CAMARGO BARRERA</v>
      </c>
      <c r="D687" s="2">
        <f>+'Base de Datos'!G687</f>
        <v>52196310</v>
      </c>
      <c r="E687" s="2" t="str">
        <f>+'Base de Datos'!H687</f>
        <v>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v>
      </c>
      <c r="F687" s="197">
        <f>+'Base de Datos'!I687</f>
        <v>31200000</v>
      </c>
      <c r="G687" s="196">
        <f>+'Base de Datos'!M687</f>
        <v>43383</v>
      </c>
      <c r="H687" s="196">
        <f>+'Base de Datos'!N687</f>
        <v>43496</v>
      </c>
      <c r="I687" s="196"/>
      <c r="J687" s="158"/>
      <c r="K687" s="333"/>
      <c r="L687" s="211"/>
      <c r="M687" s="336"/>
      <c r="N687" s="158"/>
      <c r="O687" s="333"/>
      <c r="P687" s="158"/>
      <c r="Q687" s="338"/>
      <c r="R687" s="81">
        <f t="shared" si="93"/>
        <v>0</v>
      </c>
      <c r="S687" s="258"/>
      <c r="T687" s="333"/>
      <c r="U687" s="158"/>
      <c r="V687" s="333"/>
      <c r="W687" s="158"/>
      <c r="X687" s="333"/>
      <c r="Y687" s="158"/>
      <c r="Z687" s="333"/>
      <c r="AA687" s="326"/>
      <c r="AB687" s="1004" t="str">
        <f t="shared" si="85"/>
        <v/>
      </c>
      <c r="AC687" s="1082" t="str">
        <f t="shared" si="86"/>
        <v/>
      </c>
      <c r="AD687" s="1077"/>
      <c r="AE687" s="1077"/>
      <c r="AF687" s="1084" t="str">
        <f t="shared" si="87"/>
        <v/>
      </c>
      <c r="AG687" s="1082" t="str">
        <f t="shared" si="88"/>
        <v/>
      </c>
      <c r="AH687" s="1091"/>
      <c r="AI687" s="1087"/>
      <c r="AJ687" s="1084" t="str">
        <f t="shared" si="89"/>
        <v/>
      </c>
      <c r="AK687" s="1083" t="str">
        <f t="shared" si="90"/>
        <v/>
      </c>
      <c r="AL687" s="211">
        <v>5460000</v>
      </c>
      <c r="AM687" s="211">
        <v>7800000</v>
      </c>
      <c r="AN687" s="211">
        <v>7800000</v>
      </c>
      <c r="AO687" s="211">
        <v>7800000</v>
      </c>
      <c r="AP687" s="211"/>
      <c r="AQ687" s="211"/>
      <c r="AR687" s="211"/>
      <c r="AS687" s="211"/>
      <c r="AT687" s="211"/>
      <c r="AU687" s="211"/>
      <c r="AV687" s="211"/>
      <c r="AW687" s="211"/>
      <c r="AX687" s="211"/>
      <c r="AY687" s="211"/>
      <c r="AZ687" s="211"/>
      <c r="BA687" s="211"/>
      <c r="BB687" s="211"/>
      <c r="BC687" s="211"/>
      <c r="BD687" s="333">
        <v>43504</v>
      </c>
      <c r="BE687" s="82">
        <f t="shared" si="91"/>
        <v>28860000</v>
      </c>
    </row>
    <row r="688" spans="2:57" ht="40.799999999999997" hidden="1" x14ac:dyDescent="0.3">
      <c r="B688" s="2" t="str">
        <f>+'Base de Datos'!E688</f>
        <v>180337-0-2018</v>
      </c>
      <c r="C688" s="2" t="str">
        <f>+'Base de Datos'!F688</f>
        <v>JAMES RINCON CASTAÑO</v>
      </c>
      <c r="D688" s="2">
        <f>+'Base de Datos'!G688</f>
        <v>80830146</v>
      </c>
      <c r="E688" s="2" t="str">
        <f>+'Base de Datos'!H688</f>
        <v>Prestar servicios profesionales para apoyar al Director Jurídico del Concejo de Bogotá en el marco de los asuntos jurídicos y de la defensa judicial con el fin de desarrollar las actividades de acuerdo a la normatividad vigente.</v>
      </c>
      <c r="F688" s="197">
        <f>+'Base de Datos'!I688</f>
        <v>21876000</v>
      </c>
      <c r="G688" s="196">
        <f>+'Base de Datos'!M688</f>
        <v>43383</v>
      </c>
      <c r="H688" s="196">
        <f>+'Base de Datos'!N688</f>
        <v>43496</v>
      </c>
      <c r="I688" s="196"/>
      <c r="J688" s="158"/>
      <c r="K688" s="333"/>
      <c r="L688" s="211"/>
      <c r="M688" s="336"/>
      <c r="N688" s="158"/>
      <c r="O688" s="333"/>
      <c r="P688" s="158"/>
      <c r="Q688" s="338"/>
      <c r="R688" s="81">
        <f t="shared" si="93"/>
        <v>0</v>
      </c>
      <c r="S688" s="258"/>
      <c r="T688" s="333"/>
      <c r="U688" s="158"/>
      <c r="V688" s="333"/>
      <c r="W688" s="158"/>
      <c r="X688" s="333"/>
      <c r="Y688" s="158"/>
      <c r="Z688" s="333"/>
      <c r="AA688" s="326"/>
      <c r="AB688" s="1004" t="str">
        <f t="shared" si="85"/>
        <v/>
      </c>
      <c r="AC688" s="1082" t="str">
        <f t="shared" si="86"/>
        <v/>
      </c>
      <c r="AD688" s="1077"/>
      <c r="AE688" s="1077"/>
      <c r="AF688" s="1084" t="str">
        <f t="shared" si="87"/>
        <v/>
      </c>
      <c r="AG688" s="1082" t="str">
        <f t="shared" si="88"/>
        <v/>
      </c>
      <c r="AH688" s="1091"/>
      <c r="AI688" s="1087"/>
      <c r="AJ688" s="1084" t="str">
        <f t="shared" si="89"/>
        <v/>
      </c>
      <c r="AK688" s="1083" t="str">
        <f t="shared" si="90"/>
        <v/>
      </c>
      <c r="AL688" s="211">
        <v>3828300</v>
      </c>
      <c r="AM688" s="211">
        <v>5469000</v>
      </c>
      <c r="AN688" s="211">
        <v>5469000</v>
      </c>
      <c r="AO688" s="211">
        <v>5469000</v>
      </c>
      <c r="AP688" s="211"/>
      <c r="AQ688" s="211"/>
      <c r="AR688" s="211"/>
      <c r="AS688" s="211"/>
      <c r="AT688" s="211"/>
      <c r="AU688" s="211"/>
      <c r="AV688" s="211"/>
      <c r="AW688" s="211"/>
      <c r="AX688" s="211"/>
      <c r="AY688" s="211"/>
      <c r="AZ688" s="211"/>
      <c r="BA688" s="211"/>
      <c r="BB688" s="211"/>
      <c r="BC688" s="211"/>
      <c r="BD688" s="333">
        <v>43508</v>
      </c>
      <c r="BE688" s="82">
        <f t="shared" si="91"/>
        <v>20235300</v>
      </c>
    </row>
    <row r="689" spans="2:57" ht="30.6" hidden="1" x14ac:dyDescent="0.3">
      <c r="B689" s="2" t="str">
        <f>+'Base de Datos'!E689</f>
        <v>180336-0-2018</v>
      </c>
      <c r="C689" s="2" t="str">
        <f>+'Base de Datos'!F689</f>
        <v>SEGURIDAD PERCOL LTDA</v>
      </c>
      <c r="D689" s="2" t="str">
        <f>+'Base de Datos'!G689</f>
        <v>900230597-6</v>
      </c>
      <c r="E689" s="2" t="str">
        <f>+'Base de Datos'!H689</f>
        <v>Prestar servicios de mantenimiento preventivo y correctivo de las alarmas de emergencia ubicadas en la sede principal del Concejo de Bogotá.</v>
      </c>
      <c r="F689" s="197">
        <f>+'Base de Datos'!I689</f>
        <v>2200000</v>
      </c>
      <c r="G689" s="196">
        <f>+'Base de Datos'!M689</f>
        <v>43389</v>
      </c>
      <c r="H689" s="196">
        <f>+'Base de Datos'!N689</f>
        <v>43511</v>
      </c>
      <c r="I689" s="196"/>
      <c r="J689" s="158"/>
      <c r="K689" s="333"/>
      <c r="L689" s="211"/>
      <c r="M689" s="336"/>
      <c r="N689" s="158"/>
      <c r="O689" s="333"/>
      <c r="P689" s="158"/>
      <c r="Q689" s="338"/>
      <c r="R689" s="81">
        <f t="shared" si="93"/>
        <v>0</v>
      </c>
      <c r="S689" s="258"/>
      <c r="T689" s="333"/>
      <c r="U689" s="158"/>
      <c r="V689" s="333"/>
      <c r="W689" s="158"/>
      <c r="X689" s="333"/>
      <c r="Y689" s="158"/>
      <c r="Z689" s="333"/>
      <c r="AA689" s="326"/>
      <c r="AB689" s="1004" t="str">
        <f t="shared" si="85"/>
        <v/>
      </c>
      <c r="AC689" s="1082" t="str">
        <f t="shared" si="86"/>
        <v/>
      </c>
      <c r="AD689" s="1077"/>
      <c r="AE689" s="1077"/>
      <c r="AF689" s="1084" t="str">
        <f t="shared" si="87"/>
        <v/>
      </c>
      <c r="AG689" s="1082" t="str">
        <f t="shared" si="88"/>
        <v/>
      </c>
      <c r="AH689" s="1091"/>
      <c r="AI689" s="1087"/>
      <c r="AJ689" s="1084" t="str">
        <f t="shared" si="89"/>
        <v/>
      </c>
      <c r="AK689" s="1083" t="str">
        <f t="shared" si="90"/>
        <v/>
      </c>
      <c r="AL689" s="211">
        <v>1447247</v>
      </c>
      <c r="AM689" s="211"/>
      <c r="AN689" s="211"/>
      <c r="AO689" s="211"/>
      <c r="AP689" s="211"/>
      <c r="AQ689" s="211"/>
      <c r="AR689" s="211"/>
      <c r="AS689" s="211"/>
      <c r="AT689" s="211"/>
      <c r="AU689" s="211"/>
      <c r="AV689" s="211"/>
      <c r="AW689" s="211"/>
      <c r="AX689" s="211"/>
      <c r="AY689" s="211"/>
      <c r="AZ689" s="211"/>
      <c r="BA689" s="211"/>
      <c r="BB689" s="211"/>
      <c r="BC689" s="211"/>
      <c r="BD689" s="333">
        <v>43622</v>
      </c>
      <c r="BE689" s="82">
        <f t="shared" si="91"/>
        <v>1447247</v>
      </c>
    </row>
    <row r="690" spans="2:57" ht="51" hidden="1" x14ac:dyDescent="0.3">
      <c r="B690" s="2" t="str">
        <f>+'Base de Datos'!E690</f>
        <v>180347-0-2018</v>
      </c>
      <c r="C690" s="2" t="str">
        <f>+'Base de Datos'!F690</f>
        <v>JOSE FERNANDO PARRA ORDUS</v>
      </c>
      <c r="D690" s="2">
        <f>+'Base de Datos'!G690</f>
        <v>91206998</v>
      </c>
      <c r="E690" s="2" t="str">
        <f>+'Base de Datos'!H690</f>
        <v>Prestar servicios profesionales para apooyar la proposición de mejores prácticas que mejoren la experiencia de usuario  y usabilidad de la página Web del Concejo y realizar la administración y salvaguarda de la información publicada en la página web e Intranet del Concjeo de Bogotá D.C.</v>
      </c>
      <c r="F690" s="197">
        <f>+'Base de Datos'!I690</f>
        <v>31200000</v>
      </c>
      <c r="G690" s="196">
        <f>+'Base de Datos'!M690</f>
        <v>43385</v>
      </c>
      <c r="H690" s="196">
        <f>+'Base de Datos'!N690</f>
        <v>43496</v>
      </c>
      <c r="I690" s="196"/>
      <c r="J690" s="158">
        <v>12480000</v>
      </c>
      <c r="K690" s="333">
        <v>43496</v>
      </c>
      <c r="L690" s="211"/>
      <c r="M690" s="336"/>
      <c r="N690" s="158"/>
      <c r="O690" s="333"/>
      <c r="P690" s="158"/>
      <c r="Q690" s="338"/>
      <c r="R690" s="81">
        <f t="shared" si="93"/>
        <v>12480000</v>
      </c>
      <c r="S690" s="258" t="s">
        <v>2087</v>
      </c>
      <c r="T690" s="333">
        <v>43554</v>
      </c>
      <c r="U690" s="158"/>
      <c r="V690" s="333"/>
      <c r="W690" s="158"/>
      <c r="X690" s="333"/>
      <c r="Y690" s="158"/>
      <c r="Z690" s="333"/>
      <c r="AA690" s="258" t="s">
        <v>2087</v>
      </c>
      <c r="AB690" s="1004">
        <f t="shared" si="85"/>
        <v>43554</v>
      </c>
      <c r="AC690" s="1082" t="str">
        <f t="shared" si="86"/>
        <v/>
      </c>
      <c r="AD690" s="1077"/>
      <c r="AE690" s="1077"/>
      <c r="AF690" s="1084" t="str">
        <f t="shared" si="87"/>
        <v/>
      </c>
      <c r="AG690" s="1082" t="str">
        <f t="shared" si="88"/>
        <v/>
      </c>
      <c r="AH690" s="1091"/>
      <c r="AI690" s="1087"/>
      <c r="AJ690" s="1084" t="str">
        <f t="shared" si="89"/>
        <v/>
      </c>
      <c r="AK690" s="1083" t="str">
        <f t="shared" si="90"/>
        <v/>
      </c>
      <c r="AL690" s="211">
        <v>4940000</v>
      </c>
      <c r="AM690" s="211">
        <v>7800000</v>
      </c>
      <c r="AN690" s="211">
        <v>7800000</v>
      </c>
      <c r="AO690" s="211">
        <v>7800000</v>
      </c>
      <c r="AP690" s="211">
        <v>2860000</v>
      </c>
      <c r="AQ690" s="211">
        <v>4940000</v>
      </c>
      <c r="AR690" s="211">
        <v>7540000</v>
      </c>
      <c r="AS690" s="211"/>
      <c r="AT690" s="211"/>
      <c r="AU690" s="211"/>
      <c r="AV690" s="211"/>
      <c r="AW690" s="211"/>
      <c r="AX690" s="211"/>
      <c r="AY690" s="211"/>
      <c r="AZ690" s="211"/>
      <c r="BA690" s="211"/>
      <c r="BB690" s="211"/>
      <c r="BC690" s="211"/>
      <c r="BD690" s="333">
        <v>43560</v>
      </c>
      <c r="BE690" s="82">
        <f t="shared" si="91"/>
        <v>43680000</v>
      </c>
    </row>
    <row r="691" spans="2:57" ht="40.799999999999997" hidden="1" x14ac:dyDescent="0.3">
      <c r="B691" s="2" t="str">
        <f>+'Base de Datos'!E691</f>
        <v>180342-0-2018</v>
      </c>
      <c r="C691" s="2" t="str">
        <f>+'Base de Datos'!F691</f>
        <v>MANUEL FELIPE VEGA NOVOA</v>
      </c>
      <c r="D691" s="2">
        <f>+'Base de Datos'!G691</f>
        <v>1014264880</v>
      </c>
      <c r="E691" s="2" t="str">
        <f>+'Base de Datos'!H691</f>
        <v>Prestar servicios para apoyar el procedimiento de bonos pensionales para coadyuvar con las actualización y administración de la información de los funcionarios y exfuncionarios en cuanto a los trámites pensionales.</v>
      </c>
      <c r="F691" s="197">
        <f>+'Base de Datos'!I691</f>
        <v>7486640</v>
      </c>
      <c r="G691" s="196">
        <f>+'Base de Datos'!M691</f>
        <v>43385</v>
      </c>
      <c r="H691" s="196">
        <f>+'Base de Datos'!N691</f>
        <v>43496</v>
      </c>
      <c r="I691" s="196"/>
      <c r="J691" s="158"/>
      <c r="K691" s="333"/>
      <c r="L691" s="211"/>
      <c r="M691" s="336"/>
      <c r="N691" s="158"/>
      <c r="O691" s="333"/>
      <c r="P691" s="158"/>
      <c r="Q691" s="338"/>
      <c r="R691" s="81">
        <f t="shared" si="93"/>
        <v>0</v>
      </c>
      <c r="S691" s="258"/>
      <c r="T691" s="333"/>
      <c r="U691" s="158"/>
      <c r="V691" s="333"/>
      <c r="W691" s="158"/>
      <c r="X691" s="333"/>
      <c r="Y691" s="158"/>
      <c r="Z691" s="333"/>
      <c r="AA691" s="326"/>
      <c r="AB691" s="1004" t="str">
        <f t="shared" si="85"/>
        <v/>
      </c>
      <c r="AC691" s="1082" t="str">
        <f t="shared" si="86"/>
        <v/>
      </c>
      <c r="AD691" s="1077"/>
      <c r="AE691" s="1077"/>
      <c r="AF691" s="1084" t="str">
        <f t="shared" si="87"/>
        <v/>
      </c>
      <c r="AG691" s="1082" t="str">
        <f t="shared" si="88"/>
        <v/>
      </c>
      <c r="AH691" s="1091"/>
      <c r="AI691" s="1087"/>
      <c r="AJ691" s="1084" t="str">
        <f t="shared" si="89"/>
        <v/>
      </c>
      <c r="AK691" s="1083" t="str">
        <f t="shared" si="90"/>
        <v/>
      </c>
      <c r="AL691" s="211">
        <v>1185385</v>
      </c>
      <c r="AM691" s="211">
        <v>1871660</v>
      </c>
      <c r="AN691" s="211">
        <v>1871660</v>
      </c>
      <c r="AO691" s="211">
        <v>1871660</v>
      </c>
      <c r="AP691" s="211"/>
      <c r="AQ691" s="211"/>
      <c r="AR691" s="211"/>
      <c r="AS691" s="211"/>
      <c r="AT691" s="211"/>
      <c r="AU691" s="211"/>
      <c r="AV691" s="211"/>
      <c r="AW691" s="211"/>
      <c r="AX691" s="211"/>
      <c r="AY691" s="211"/>
      <c r="AZ691" s="211"/>
      <c r="BA691" s="211"/>
      <c r="BB691" s="211"/>
      <c r="BC691" s="211"/>
      <c r="BD691" s="333">
        <v>43502</v>
      </c>
      <c r="BE691" s="82">
        <f t="shared" si="91"/>
        <v>6800365</v>
      </c>
    </row>
    <row r="692" spans="2:57" ht="40.799999999999997" hidden="1" x14ac:dyDescent="0.3">
      <c r="B692" s="2" t="str">
        <f>+'Base de Datos'!E692</f>
        <v>180341-0-2018</v>
      </c>
      <c r="C692" s="2" t="str">
        <f>+'Base de Datos'!F692</f>
        <v>PATRICIA VILLEGAS RODRIGUEZ</v>
      </c>
      <c r="D692" s="2">
        <f>+'Base de Datos'!G692</f>
        <v>52095685</v>
      </c>
      <c r="E692" s="2" t="str">
        <f>+'Base de Datos'!H692</f>
        <v>Prestar servicios profesionales para apoyar en el desarrollo e implementación de los sistemas de información requeridos construidos bajo la plataforma Oracle en el Concejo de Bogotá D.C.</v>
      </c>
      <c r="F692" s="197">
        <f>+'Base de Datos'!I692</f>
        <v>24273392</v>
      </c>
      <c r="G692" s="196">
        <f>+'Base de Datos'!M692</f>
        <v>43389</v>
      </c>
      <c r="H692" s="196">
        <f>+'Base de Datos'!N692</f>
        <v>43496</v>
      </c>
      <c r="I692" s="196"/>
      <c r="J692" s="158">
        <v>12136696</v>
      </c>
      <c r="K692" s="333">
        <v>43511</v>
      </c>
      <c r="L692" s="211"/>
      <c r="M692" s="336"/>
      <c r="N692" s="158"/>
      <c r="O692" s="333"/>
      <c r="P692" s="158"/>
      <c r="Q692" s="338"/>
      <c r="R692" s="81">
        <f t="shared" si="93"/>
        <v>12136696</v>
      </c>
      <c r="S692" s="258" t="s">
        <v>378</v>
      </c>
      <c r="T692" s="333">
        <v>43570</v>
      </c>
      <c r="U692" s="158"/>
      <c r="V692" s="333"/>
      <c r="W692" s="158"/>
      <c r="X692" s="333"/>
      <c r="Y692" s="158"/>
      <c r="Z692" s="333"/>
      <c r="AA692" s="258" t="s">
        <v>378</v>
      </c>
      <c r="AB692" s="1004">
        <f t="shared" si="85"/>
        <v>43570</v>
      </c>
      <c r="AC692" s="1082" t="str">
        <f t="shared" si="86"/>
        <v/>
      </c>
      <c r="AD692" s="1077"/>
      <c r="AE692" s="1077"/>
      <c r="AF692" s="1084" t="str">
        <f t="shared" si="87"/>
        <v/>
      </c>
      <c r="AG692" s="1082" t="str">
        <f t="shared" si="88"/>
        <v/>
      </c>
      <c r="AH692" s="1091"/>
      <c r="AI692" s="1087"/>
      <c r="AJ692" s="1084" t="str">
        <f t="shared" si="89"/>
        <v/>
      </c>
      <c r="AK692" s="1083" t="str">
        <f t="shared" si="90"/>
        <v/>
      </c>
      <c r="AL692" s="211">
        <v>3034174</v>
      </c>
      <c r="AM692" s="211">
        <v>6068348</v>
      </c>
      <c r="AN692" s="211">
        <v>6068348</v>
      </c>
      <c r="AO692" s="211">
        <v>6068348</v>
      </c>
      <c r="AP692" s="211">
        <v>3034174</v>
      </c>
      <c r="AQ692" s="211">
        <v>3034174</v>
      </c>
      <c r="AR692" s="211">
        <v>6068348</v>
      </c>
      <c r="AS692" s="211">
        <v>3034174</v>
      </c>
      <c r="AT692" s="211"/>
      <c r="AU692" s="211"/>
      <c r="AV692" s="211"/>
      <c r="AW692" s="211"/>
      <c r="AX692" s="211"/>
      <c r="AY692" s="211"/>
      <c r="AZ692" s="211"/>
      <c r="BA692" s="211"/>
      <c r="BB692" s="211"/>
      <c r="BC692" s="211"/>
      <c r="BD692" s="333">
        <v>43620</v>
      </c>
      <c r="BE692" s="82">
        <f t="shared" si="91"/>
        <v>36410088</v>
      </c>
    </row>
    <row r="693" spans="2:57" ht="30.6" hidden="1" x14ac:dyDescent="0.3">
      <c r="B693" s="2" t="str">
        <f>+'Base de Datos'!E693</f>
        <v>180343-0-2018</v>
      </c>
      <c r="C693" s="2" t="str">
        <f>+'Base de Datos'!F693</f>
        <v>EDITORIAL LA UNIDAD S.A EN EJECUCIÓN DEL ACUERDO DE REESTRUCTURACIÓN</v>
      </c>
      <c r="D693" s="2">
        <f>+'Base de Datos'!G693</f>
        <v>860536029</v>
      </c>
      <c r="E693" s="2" t="str">
        <f>+'Base de Datos'!H693</f>
        <v>Suscripción al diario el Nuevo Siglo para el Concejo de Bogotá.</v>
      </c>
      <c r="F693" s="197">
        <f>+'Base de Datos'!I693</f>
        <v>990000</v>
      </c>
      <c r="G693" s="196">
        <f>+'Base de Datos'!M693</f>
        <v>43384</v>
      </c>
      <c r="H693" s="196">
        <f>+'Base de Datos'!N693</f>
        <v>43748</v>
      </c>
      <c r="I693" s="196"/>
      <c r="J693" s="158"/>
      <c r="K693" s="333"/>
      <c r="L693" s="211"/>
      <c r="M693" s="336"/>
      <c r="N693" s="158"/>
      <c r="O693" s="333"/>
      <c r="P693" s="158"/>
      <c r="Q693" s="338"/>
      <c r="R693" s="81">
        <f t="shared" si="93"/>
        <v>0</v>
      </c>
      <c r="S693" s="258"/>
      <c r="T693" s="333"/>
      <c r="U693" s="158"/>
      <c r="V693" s="333"/>
      <c r="W693" s="158"/>
      <c r="X693" s="333"/>
      <c r="Y693" s="158"/>
      <c r="Z693" s="333"/>
      <c r="AA693" s="326"/>
      <c r="AB693" s="1004" t="str">
        <f t="shared" si="85"/>
        <v/>
      </c>
      <c r="AC693" s="1082" t="str">
        <f t="shared" si="86"/>
        <v/>
      </c>
      <c r="AD693" s="1077"/>
      <c r="AE693" s="1077"/>
      <c r="AF693" s="1084" t="str">
        <f t="shared" si="87"/>
        <v/>
      </c>
      <c r="AG693" s="1082" t="str">
        <f t="shared" si="88"/>
        <v/>
      </c>
      <c r="AH693" s="1091"/>
      <c r="AI693" s="1087"/>
      <c r="AJ693" s="1084" t="str">
        <f t="shared" si="89"/>
        <v/>
      </c>
      <c r="AK693" s="1083" t="str">
        <f t="shared" si="90"/>
        <v/>
      </c>
      <c r="AL693" s="211">
        <v>990000</v>
      </c>
      <c r="AM693" s="211"/>
      <c r="AN693" s="211"/>
      <c r="AO693" s="211"/>
      <c r="AP693" s="211"/>
      <c r="AQ693" s="211"/>
      <c r="AR693" s="211"/>
      <c r="AS693" s="211"/>
      <c r="AT693" s="211"/>
      <c r="AU693" s="211"/>
      <c r="AV693" s="211"/>
      <c r="AW693" s="211"/>
      <c r="AX693" s="211"/>
      <c r="AY693" s="211"/>
      <c r="AZ693" s="211"/>
      <c r="BA693" s="211"/>
      <c r="BB693" s="211"/>
      <c r="BC693" s="211"/>
      <c r="BD693" s="333">
        <v>43739</v>
      </c>
      <c r="BE693" s="82">
        <f t="shared" si="91"/>
        <v>990000</v>
      </c>
    </row>
    <row r="694" spans="2:57" hidden="1" x14ac:dyDescent="0.3">
      <c r="B694" s="2" t="str">
        <f>+'Base de Datos'!E694</f>
        <v>180344-0-2018</v>
      </c>
      <c r="C694" s="2" t="str">
        <f>+'Base de Datos'!F694</f>
        <v>EDITORIAL LA REPUBLICA SAS</v>
      </c>
      <c r="D694" s="2">
        <f>+'Base de Datos'!G694</f>
        <v>901017183</v>
      </c>
      <c r="E694" s="2" t="str">
        <f>+'Base de Datos'!H694</f>
        <v xml:space="preserve">Suscripción al diario  La República para el Concejo de Bogotá. </v>
      </c>
      <c r="F694" s="197">
        <f>+'Base de Datos'!I694</f>
        <v>870000</v>
      </c>
      <c r="G694" s="196">
        <f>+'Base de Datos'!M694</f>
        <v>43437</v>
      </c>
      <c r="H694" s="196">
        <f>+'Base de Datos'!N694</f>
        <v>43801</v>
      </c>
      <c r="I694" s="196"/>
      <c r="J694" s="158"/>
      <c r="K694" s="333"/>
      <c r="L694" s="211"/>
      <c r="M694" s="336"/>
      <c r="N694" s="158"/>
      <c r="O694" s="333"/>
      <c r="P694" s="158"/>
      <c r="Q694" s="338"/>
      <c r="R694" s="81">
        <f t="shared" si="93"/>
        <v>0</v>
      </c>
      <c r="S694" s="258"/>
      <c r="T694" s="333"/>
      <c r="U694" s="158"/>
      <c r="V694" s="333"/>
      <c r="W694" s="158"/>
      <c r="X694" s="333"/>
      <c r="Y694" s="158"/>
      <c r="Z694" s="333"/>
      <c r="AA694" s="326"/>
      <c r="AB694" s="1004" t="str">
        <f t="shared" si="85"/>
        <v/>
      </c>
      <c r="AC694" s="1082" t="str">
        <f t="shared" si="86"/>
        <v/>
      </c>
      <c r="AD694" s="1077"/>
      <c r="AE694" s="1077"/>
      <c r="AF694" s="1084" t="str">
        <f t="shared" si="87"/>
        <v/>
      </c>
      <c r="AG694" s="1082" t="str">
        <f t="shared" si="88"/>
        <v/>
      </c>
      <c r="AH694" s="1091"/>
      <c r="AI694" s="1087"/>
      <c r="AJ694" s="1084" t="str">
        <f t="shared" si="89"/>
        <v/>
      </c>
      <c r="AK694" s="1083" t="str">
        <f t="shared" si="90"/>
        <v/>
      </c>
      <c r="AL694" s="211">
        <v>870000</v>
      </c>
      <c r="AM694" s="211"/>
      <c r="AN694" s="211"/>
      <c r="AO694" s="211"/>
      <c r="AP694" s="211"/>
      <c r="AQ694" s="211"/>
      <c r="AR694" s="211"/>
      <c r="AS694" s="211"/>
      <c r="AT694" s="211"/>
      <c r="AU694" s="211"/>
      <c r="AV694" s="211"/>
      <c r="AW694" s="211"/>
      <c r="AX694" s="211"/>
      <c r="AY694" s="211"/>
      <c r="AZ694" s="211"/>
      <c r="BA694" s="211"/>
      <c r="BB694" s="211"/>
      <c r="BC694" s="211"/>
      <c r="BD694" s="333">
        <v>43523</v>
      </c>
      <c r="BE694" s="82">
        <f t="shared" si="91"/>
        <v>870000</v>
      </c>
    </row>
    <row r="695" spans="2:57" ht="30.6" hidden="1" x14ac:dyDescent="0.3">
      <c r="B695" s="2" t="str">
        <f>+'Base de Datos'!E695</f>
        <v>180323-0-2018</v>
      </c>
      <c r="C695" s="2" t="str">
        <f>+'Base de Datos'!F695</f>
        <v>SGS COLOMBIA SAS</v>
      </c>
      <c r="D695" s="2">
        <f>+'Base de Datos'!G695</f>
        <v>860049921</v>
      </c>
      <c r="E695" s="2" t="str">
        <f>+'Base de Datos'!H695</f>
        <v>Realizar la auditoria de certficación de la norma ISO27001:2013 sobre el sistema de gestión de seguridad de la Información del Concejo de Bogotá.</v>
      </c>
      <c r="F695" s="197">
        <f>+'Base de Datos'!I695</f>
        <v>11305000</v>
      </c>
      <c r="G695" s="196">
        <f>+'Base de Datos'!M695</f>
        <v>43391</v>
      </c>
      <c r="H695" s="196">
        <f>+'Base de Datos'!N695</f>
        <v>43513</v>
      </c>
      <c r="I695" s="196"/>
      <c r="J695" s="158"/>
      <c r="K695" s="333"/>
      <c r="L695" s="211"/>
      <c r="M695" s="336"/>
      <c r="N695" s="158"/>
      <c r="O695" s="333"/>
      <c r="P695" s="158"/>
      <c r="Q695" s="338"/>
      <c r="R695" s="81">
        <f t="shared" si="93"/>
        <v>0</v>
      </c>
      <c r="S695" s="258"/>
      <c r="T695" s="333"/>
      <c r="U695" s="158"/>
      <c r="V695" s="333"/>
      <c r="W695" s="158"/>
      <c r="X695" s="333"/>
      <c r="Y695" s="158"/>
      <c r="Z695" s="333"/>
      <c r="AA695" s="326"/>
      <c r="AB695" s="1004" t="str">
        <f t="shared" si="85"/>
        <v/>
      </c>
      <c r="AC695" s="1082" t="str">
        <f t="shared" si="86"/>
        <v/>
      </c>
      <c r="AD695" s="1077"/>
      <c r="AE695" s="1077"/>
      <c r="AF695" s="1084" t="str">
        <f t="shared" si="87"/>
        <v/>
      </c>
      <c r="AG695" s="1082" t="str">
        <f t="shared" si="88"/>
        <v/>
      </c>
      <c r="AH695" s="1091"/>
      <c r="AI695" s="1087"/>
      <c r="AJ695" s="1084" t="str">
        <f t="shared" si="89"/>
        <v/>
      </c>
      <c r="AK695" s="1083" t="str">
        <f t="shared" si="90"/>
        <v/>
      </c>
      <c r="AL695" s="211">
        <v>11305000</v>
      </c>
      <c r="AM695" s="211"/>
      <c r="AN695" s="211"/>
      <c r="AO695" s="211"/>
      <c r="AP695" s="211"/>
      <c r="AQ695" s="211"/>
      <c r="AR695" s="211"/>
      <c r="AS695" s="211"/>
      <c r="AT695" s="211"/>
      <c r="AU695" s="211"/>
      <c r="AV695" s="211"/>
      <c r="AW695" s="211"/>
      <c r="AX695" s="211"/>
      <c r="AY695" s="211"/>
      <c r="AZ695" s="211"/>
      <c r="BA695" s="211"/>
      <c r="BB695" s="211"/>
      <c r="BC695" s="211"/>
      <c r="BD695" s="333">
        <v>43697</v>
      </c>
      <c r="BE695" s="82">
        <f t="shared" si="91"/>
        <v>11305000</v>
      </c>
    </row>
    <row r="696" spans="2:57" ht="61.2" hidden="1" x14ac:dyDescent="0.3">
      <c r="B696" s="2" t="str">
        <f>+'Base de Datos'!E696</f>
        <v>180353-0-2018</v>
      </c>
      <c r="C696" s="2" t="str">
        <f>+'Base de Datos'!F696</f>
        <v>UT- SDH- TSSYRTECT-2018</v>
      </c>
      <c r="D696" s="2" t="str">
        <f>+'Base de Datos'!G696</f>
        <v>901222588-1</v>
      </c>
      <c r="E696" s="2" t="str">
        <f>+'Base de Datos'!H696</f>
        <v xml:space="preserve">Prestar el outsoursing integral para los servicios de mesa de ayuda y gestión de impresión para el Concejo de Bogotá, de conformidad con lo establecido en el complemento del pliego de condiciones, de la selección abreviada de menor cuantía No. SDH-SAMC-06-2018 y la propuesta presentada por el contratista. </v>
      </c>
      <c r="F696" s="197">
        <f>+'Base de Datos'!I696</f>
        <v>455925360</v>
      </c>
      <c r="G696" s="196">
        <f>+'Base de Datos'!M696</f>
        <v>43396</v>
      </c>
      <c r="H696" s="196">
        <f>+'Base de Datos'!N696</f>
        <v>43607</v>
      </c>
      <c r="I696" s="196"/>
      <c r="J696" s="158"/>
      <c r="K696" s="333"/>
      <c r="L696" s="211"/>
      <c r="M696" s="336"/>
      <c r="N696" s="158"/>
      <c r="O696" s="333"/>
      <c r="P696" s="158"/>
      <c r="Q696" s="338"/>
      <c r="R696" s="81">
        <f t="shared" si="93"/>
        <v>0</v>
      </c>
      <c r="S696" s="258" t="s">
        <v>1324</v>
      </c>
      <c r="T696" s="333">
        <v>43627</v>
      </c>
      <c r="U696" s="158"/>
      <c r="V696" s="333"/>
      <c r="W696" s="158"/>
      <c r="X696" s="333"/>
      <c r="Y696" s="158"/>
      <c r="Z696" s="333"/>
      <c r="AA696" s="258" t="s">
        <v>1324</v>
      </c>
      <c r="AB696" s="1004">
        <f t="shared" si="85"/>
        <v>43627</v>
      </c>
      <c r="AC696" s="1082" t="str">
        <f t="shared" si="86"/>
        <v/>
      </c>
      <c r="AD696" s="1077"/>
      <c r="AE696" s="1077"/>
      <c r="AF696" s="1084" t="str">
        <f t="shared" si="87"/>
        <v/>
      </c>
      <c r="AG696" s="1082" t="str">
        <f t="shared" si="88"/>
        <v/>
      </c>
      <c r="AH696" s="1091"/>
      <c r="AI696" s="1087"/>
      <c r="AJ696" s="1084" t="str">
        <f t="shared" si="89"/>
        <v/>
      </c>
      <c r="AK696" s="1083" t="str">
        <f t="shared" si="90"/>
        <v/>
      </c>
      <c r="AL696" s="211">
        <v>86660409</v>
      </c>
      <c r="AM696" s="211">
        <v>35593232</v>
      </c>
      <c r="AN696" s="211">
        <v>45456373</v>
      </c>
      <c r="AO696" s="211">
        <v>48044183</v>
      </c>
      <c r="AP696" s="211">
        <v>50719095</v>
      </c>
      <c r="AQ696" s="211">
        <v>50837070</v>
      </c>
      <c r="AR696" s="211">
        <v>13577627</v>
      </c>
      <c r="AS696" s="211">
        <v>59128590</v>
      </c>
      <c r="AT696" s="211">
        <v>15138927</v>
      </c>
      <c r="AU696" s="211"/>
      <c r="AV696" s="211"/>
      <c r="AW696" s="211"/>
      <c r="AX696" s="211"/>
      <c r="AY696" s="211"/>
      <c r="AZ696" s="211"/>
      <c r="BA696" s="211"/>
      <c r="BB696" s="211"/>
      <c r="BC696" s="211"/>
      <c r="BD696" s="333">
        <v>43690</v>
      </c>
      <c r="BE696" s="82">
        <f t="shared" si="91"/>
        <v>405155506</v>
      </c>
    </row>
    <row r="697" spans="2:57" ht="20.399999999999999" hidden="1" x14ac:dyDescent="0.3">
      <c r="B697" s="2" t="str">
        <f>+'Base de Datos'!E697</f>
        <v>180351-0-2018</v>
      </c>
      <c r="C697" s="2" t="str">
        <f>+'Base de Datos'!F697</f>
        <v>OPENLINK SISTEMAS DE REDES DE DATOS S A S</v>
      </c>
      <c r="D697" s="2" t="str">
        <f>+'Base de Datos'!G697</f>
        <v>900254691-4</v>
      </c>
      <c r="E697" s="2" t="str">
        <f>+'Base de Datos'!H697</f>
        <v>Actualizar la solución Fortianalyzer para el Concejo de Bogotá.</v>
      </c>
      <c r="F697" s="197">
        <f>+'Base de Datos'!I697</f>
        <v>77878170</v>
      </c>
      <c r="G697" s="196">
        <f>+'Base de Datos'!M697</f>
        <v>43396</v>
      </c>
      <c r="H697" s="196">
        <f>+'Base de Datos'!N697</f>
        <v>43760</v>
      </c>
      <c r="I697" s="196"/>
      <c r="J697" s="158"/>
      <c r="K697" s="333"/>
      <c r="L697" s="211"/>
      <c r="M697" s="336"/>
      <c r="N697" s="158"/>
      <c r="O697" s="333"/>
      <c r="P697" s="158"/>
      <c r="Q697" s="338"/>
      <c r="R697" s="81">
        <f t="shared" si="93"/>
        <v>0</v>
      </c>
      <c r="S697" s="258"/>
      <c r="T697" s="333"/>
      <c r="U697" s="158"/>
      <c r="V697" s="333"/>
      <c r="W697" s="158"/>
      <c r="X697" s="333"/>
      <c r="Y697" s="158"/>
      <c r="Z697" s="333"/>
      <c r="AA697" s="326"/>
      <c r="AB697" s="1004" t="str">
        <f t="shared" si="85"/>
        <v/>
      </c>
      <c r="AC697" s="1082" t="str">
        <f t="shared" si="86"/>
        <v/>
      </c>
      <c r="AD697" s="1077"/>
      <c r="AE697" s="1077"/>
      <c r="AF697" s="1084" t="str">
        <f t="shared" si="87"/>
        <v/>
      </c>
      <c r="AG697" s="1082" t="str">
        <f t="shared" si="88"/>
        <v/>
      </c>
      <c r="AH697" s="1091"/>
      <c r="AI697" s="1087"/>
      <c r="AJ697" s="1084" t="str">
        <f t="shared" si="89"/>
        <v/>
      </c>
      <c r="AK697" s="1083" t="str">
        <f t="shared" si="90"/>
        <v/>
      </c>
      <c r="AL697" s="211">
        <v>77878170</v>
      </c>
      <c r="AM697" s="211"/>
      <c r="AN697" s="211"/>
      <c r="AO697" s="211"/>
      <c r="AP697" s="211"/>
      <c r="AQ697" s="211"/>
      <c r="AR697" s="211"/>
      <c r="AS697" s="211"/>
      <c r="AT697" s="211"/>
      <c r="AU697" s="211"/>
      <c r="AV697" s="211"/>
      <c r="AW697" s="211"/>
      <c r="AX697" s="211"/>
      <c r="AY697" s="211"/>
      <c r="AZ697" s="211"/>
      <c r="BA697" s="211"/>
      <c r="BB697" s="211"/>
      <c r="BC697" s="211"/>
      <c r="BD697" s="333">
        <v>43501</v>
      </c>
      <c r="BE697" s="82">
        <f t="shared" si="91"/>
        <v>77878170</v>
      </c>
    </row>
    <row r="698" spans="2:57" ht="30.6" hidden="1" x14ac:dyDescent="0.3">
      <c r="B698" s="2" t="str">
        <f>+'Base de Datos'!E698</f>
        <v>180348-0-2018</v>
      </c>
      <c r="C698" s="2" t="str">
        <f>+'Base de Datos'!F698</f>
        <v>FACTOR VISUAL EAT</v>
      </c>
      <c r="D698" s="2">
        <f>+'Base de Datos'!G698</f>
        <v>830112518</v>
      </c>
      <c r="E698" s="2" t="str">
        <f>+'Base de Datos'!H698</f>
        <v>Prestar los servicios de mantenimiento, actualización y soporte al sitio WEB e Intranet del Concejo de Bogotá, de conformidad con lo establecido en los estudios previos</v>
      </c>
      <c r="F698" s="197">
        <f>+'Base de Datos'!I698</f>
        <v>32011000</v>
      </c>
      <c r="G698" s="196">
        <f>+'Base de Datos'!M698</f>
        <v>43396</v>
      </c>
      <c r="H698" s="196">
        <f>+'Base de Datos'!N698</f>
        <v>43607</v>
      </c>
      <c r="I698" s="196"/>
      <c r="J698" s="158"/>
      <c r="K698" s="333"/>
      <c r="L698" s="211"/>
      <c r="M698" s="336"/>
      <c r="N698" s="158"/>
      <c r="O698" s="333"/>
      <c r="P698" s="158"/>
      <c r="Q698" s="338"/>
      <c r="R698" s="81">
        <f t="shared" si="93"/>
        <v>0</v>
      </c>
      <c r="S698" s="258"/>
      <c r="T698" s="333"/>
      <c r="U698" s="158"/>
      <c r="V698" s="333"/>
      <c r="W698" s="158"/>
      <c r="X698" s="333"/>
      <c r="Y698" s="158"/>
      <c r="Z698" s="333"/>
      <c r="AA698" s="326"/>
      <c r="AB698" s="1004" t="str">
        <f t="shared" si="85"/>
        <v/>
      </c>
      <c r="AC698" s="1082" t="str">
        <f t="shared" si="86"/>
        <v/>
      </c>
      <c r="AD698" s="1077"/>
      <c r="AE698" s="1077"/>
      <c r="AF698" s="1084" t="str">
        <f t="shared" si="87"/>
        <v/>
      </c>
      <c r="AG698" s="1082" t="str">
        <f t="shared" si="88"/>
        <v/>
      </c>
      <c r="AH698" s="1091"/>
      <c r="AI698" s="1087"/>
      <c r="AJ698" s="1084" t="str">
        <f t="shared" si="89"/>
        <v/>
      </c>
      <c r="AK698" s="1083" t="str">
        <f t="shared" si="90"/>
        <v/>
      </c>
      <c r="AL698" s="211">
        <v>2499000</v>
      </c>
      <c r="AM698" s="211">
        <v>3808000</v>
      </c>
      <c r="AN698" s="211">
        <v>3808000</v>
      </c>
      <c r="AO698" s="211">
        <v>3808000</v>
      </c>
      <c r="AP698" s="211">
        <v>3808000</v>
      </c>
      <c r="AQ698" s="211">
        <v>2856000</v>
      </c>
      <c r="AR698" s="211">
        <v>3808000</v>
      </c>
      <c r="AS698" s="211">
        <v>3808000</v>
      </c>
      <c r="AT698" s="211">
        <v>3808000</v>
      </c>
      <c r="AU698" s="211"/>
      <c r="AV698" s="211"/>
      <c r="AW698" s="211"/>
      <c r="AX698" s="211"/>
      <c r="AY698" s="211"/>
      <c r="AZ698" s="211"/>
      <c r="BA698" s="211"/>
      <c r="BB698" s="211"/>
      <c r="BC698" s="211"/>
      <c r="BD698" s="333">
        <v>43620</v>
      </c>
      <c r="BE698" s="82">
        <f t="shared" si="91"/>
        <v>32011000</v>
      </c>
    </row>
    <row r="699" spans="2:57" ht="30.6" hidden="1" x14ac:dyDescent="0.3">
      <c r="B699" s="2" t="str">
        <f>+'Base de Datos'!E699</f>
        <v>180352-0-2018</v>
      </c>
      <c r="C699" s="2" t="str">
        <f>+'Base de Datos'!F699</f>
        <v>MONRAK INGENIERIA LTDA</v>
      </c>
      <c r="D699" s="2" t="str">
        <f>+'Base de Datos'!G699</f>
        <v>800140671-4</v>
      </c>
      <c r="E699" s="2" t="str">
        <f>+'Base de Datos'!H699</f>
        <v>Prestar servicios de mantenimiento correctivo y preventivo para las  máquinas: Guillotina y cizalla manual, ubicada en la oficina de anales y publicaciones del Concejo de Bogotá D.C.</v>
      </c>
      <c r="F699" s="197">
        <f>+'Base de Datos'!I699</f>
        <v>1800000</v>
      </c>
      <c r="G699" s="196">
        <f>+'Base de Datos'!M699</f>
        <v>43397</v>
      </c>
      <c r="H699" s="196">
        <f>+'Base de Datos'!N699</f>
        <v>43761</v>
      </c>
      <c r="I699" s="196"/>
      <c r="J699" s="158">
        <v>500000</v>
      </c>
      <c r="K699" s="333">
        <v>43761</v>
      </c>
      <c r="L699" s="211"/>
      <c r="M699" s="336"/>
      <c r="N699" s="158"/>
      <c r="O699" s="333"/>
      <c r="P699" s="158"/>
      <c r="Q699" s="338"/>
      <c r="R699" s="81">
        <f t="shared" si="93"/>
        <v>500000</v>
      </c>
      <c r="S699" s="258" t="s">
        <v>544</v>
      </c>
      <c r="T699" s="333">
        <v>43913</v>
      </c>
      <c r="U699" s="158"/>
      <c r="V699" s="333"/>
      <c r="W699" s="158"/>
      <c r="X699" s="333"/>
      <c r="Y699" s="158"/>
      <c r="Z699" s="333"/>
      <c r="AA699" s="326" t="s">
        <v>5381</v>
      </c>
      <c r="AB699" s="1004">
        <f t="shared" si="85"/>
        <v>43913</v>
      </c>
      <c r="AC699" s="1082" t="str">
        <f t="shared" si="86"/>
        <v/>
      </c>
      <c r="AD699" s="1077"/>
      <c r="AE699" s="1077"/>
      <c r="AF699" s="1084" t="str">
        <f t="shared" si="87"/>
        <v/>
      </c>
      <c r="AG699" s="1082" t="str">
        <f t="shared" si="88"/>
        <v/>
      </c>
      <c r="AH699" s="1091"/>
      <c r="AI699" s="1087"/>
      <c r="AJ699" s="1084" t="str">
        <f t="shared" si="89"/>
        <v/>
      </c>
      <c r="AK699" s="1083" t="str">
        <f t="shared" si="90"/>
        <v/>
      </c>
      <c r="AL699" s="211">
        <v>240000</v>
      </c>
      <c r="AM699" s="211">
        <v>240000</v>
      </c>
      <c r="AN699" s="211">
        <v>240000</v>
      </c>
      <c r="AO699" s="211">
        <v>590000</v>
      </c>
      <c r="AP699" s="211"/>
      <c r="AQ699" s="211"/>
      <c r="AR699" s="211"/>
      <c r="AS699" s="211"/>
      <c r="AT699" s="211"/>
      <c r="AU699" s="211"/>
      <c r="AV699" s="211"/>
      <c r="AW699" s="211"/>
      <c r="AX699" s="211"/>
      <c r="AY699" s="211"/>
      <c r="AZ699" s="211"/>
      <c r="BA699" s="211"/>
      <c r="BB699" s="211"/>
      <c r="BC699" s="211"/>
      <c r="BD699" s="333">
        <v>43755</v>
      </c>
      <c r="BE699" s="82">
        <f t="shared" si="91"/>
        <v>1310000</v>
      </c>
    </row>
    <row r="700" spans="2:57" ht="30.6" hidden="1" x14ac:dyDescent="0.3">
      <c r="B700" s="2" t="str">
        <f>+'Base de Datos'!E700</f>
        <v>180350-0-2018</v>
      </c>
      <c r="C700" s="2" t="str">
        <f>+'Base de Datos'!F700</f>
        <v>INVERSION Y HOGAR SAS</v>
      </c>
      <c r="D700" s="2">
        <f>+'Base de Datos'!G700</f>
        <v>900349363</v>
      </c>
      <c r="E700" s="2" t="str">
        <f>+'Base de Datos'!H700</f>
        <v>Proveer los elementos e insumos necesarios para atender los primeros auxilios y dotar los botiquines de la Secretaria de Hacienda y  del Concejo de Bogotá, D.C.</v>
      </c>
      <c r="F700" s="197">
        <f>+'Base de Datos'!I700</f>
        <v>13629367</v>
      </c>
      <c r="G700" s="196">
        <f>+'Base de Datos'!M700</f>
        <v>43399</v>
      </c>
      <c r="H700" s="196">
        <f>+'Base de Datos'!N700</f>
        <v>43490</v>
      </c>
      <c r="I700" s="196"/>
      <c r="J700" s="158"/>
      <c r="K700" s="333"/>
      <c r="L700" s="211"/>
      <c r="M700" s="336"/>
      <c r="N700" s="158"/>
      <c r="O700" s="333"/>
      <c r="P700" s="158"/>
      <c r="Q700" s="338"/>
      <c r="R700" s="81">
        <f t="shared" si="93"/>
        <v>0</v>
      </c>
      <c r="S700" s="258"/>
      <c r="T700" s="333"/>
      <c r="U700" s="158"/>
      <c r="V700" s="333"/>
      <c r="W700" s="158"/>
      <c r="X700" s="333"/>
      <c r="Y700" s="158"/>
      <c r="Z700" s="333"/>
      <c r="AA700" s="326"/>
      <c r="AB700" s="1004" t="str">
        <f t="shared" si="85"/>
        <v/>
      </c>
      <c r="AC700" s="1082" t="str">
        <f t="shared" si="86"/>
        <v/>
      </c>
      <c r="AD700" s="1077"/>
      <c r="AE700" s="1077"/>
      <c r="AF700" s="1084" t="str">
        <f t="shared" si="87"/>
        <v/>
      </c>
      <c r="AG700" s="1082" t="str">
        <f t="shared" si="88"/>
        <v/>
      </c>
      <c r="AH700" s="1091"/>
      <c r="AI700" s="1087"/>
      <c r="AJ700" s="1084" t="str">
        <f t="shared" si="89"/>
        <v/>
      </c>
      <c r="AK700" s="1083" t="str">
        <f t="shared" si="90"/>
        <v/>
      </c>
      <c r="AL700" s="211">
        <v>10989707</v>
      </c>
      <c r="AM700" s="211"/>
      <c r="AN700" s="211"/>
      <c r="AO700" s="211"/>
      <c r="AP700" s="211"/>
      <c r="AQ700" s="211"/>
      <c r="AR700" s="211"/>
      <c r="AS700" s="211"/>
      <c r="AT700" s="211"/>
      <c r="AU700" s="211"/>
      <c r="AV700" s="211"/>
      <c r="AW700" s="211"/>
      <c r="AX700" s="211"/>
      <c r="AY700" s="211"/>
      <c r="AZ700" s="211"/>
      <c r="BA700" s="211"/>
      <c r="BB700" s="211"/>
      <c r="BC700" s="211"/>
      <c r="BD700" s="333">
        <v>43633</v>
      </c>
      <c r="BE700" s="82">
        <f t="shared" si="91"/>
        <v>10989707</v>
      </c>
    </row>
    <row r="701" spans="2:57" ht="20.399999999999999" hidden="1" x14ac:dyDescent="0.3">
      <c r="B701" s="2" t="str">
        <f>+'Base de Datos'!E701</f>
        <v>180361-0-2018</v>
      </c>
      <c r="C701" s="2" t="str">
        <f>+'Base de Datos'!F701</f>
        <v>FALABELLA DE COLOMBIA SA</v>
      </c>
      <c r="D701" s="2" t="str">
        <f>+'Base de Datos'!G701</f>
        <v>900017447-8</v>
      </c>
      <c r="E701" s="2" t="str">
        <f>+'Base de Datos'!H701</f>
        <v>Proveer computadores especializados para el Concejo de Bogotá y software correspondiente.</v>
      </c>
      <c r="F701" s="197">
        <f>+'Base de Datos'!I701</f>
        <v>14648124</v>
      </c>
      <c r="G701" s="196">
        <f>+'Base de Datos'!M701</f>
        <v>43397</v>
      </c>
      <c r="H701" s="196">
        <f>+'Base de Datos'!N701</f>
        <v>43404</v>
      </c>
      <c r="I701" s="196"/>
      <c r="J701" s="158"/>
      <c r="K701" s="333"/>
      <c r="L701" s="211"/>
      <c r="M701" s="336"/>
      <c r="N701" s="158"/>
      <c r="O701" s="333"/>
      <c r="P701" s="158"/>
      <c r="Q701" s="338"/>
      <c r="R701" s="81">
        <f t="shared" si="93"/>
        <v>0</v>
      </c>
      <c r="S701" s="258"/>
      <c r="T701" s="333"/>
      <c r="U701" s="158"/>
      <c r="V701" s="333"/>
      <c r="W701" s="158"/>
      <c r="X701" s="333"/>
      <c r="Y701" s="158"/>
      <c r="Z701" s="333"/>
      <c r="AA701" s="326"/>
      <c r="AB701" s="1004" t="str">
        <f t="shared" si="85"/>
        <v/>
      </c>
      <c r="AC701" s="1082" t="str">
        <f t="shared" si="86"/>
        <v/>
      </c>
      <c r="AD701" s="1077"/>
      <c r="AE701" s="1077"/>
      <c r="AF701" s="1084" t="str">
        <f t="shared" si="87"/>
        <v/>
      </c>
      <c r="AG701" s="1082" t="str">
        <f t="shared" si="88"/>
        <v/>
      </c>
      <c r="AH701" s="1091"/>
      <c r="AI701" s="1087"/>
      <c r="AJ701" s="1084" t="str">
        <f t="shared" si="89"/>
        <v/>
      </c>
      <c r="AK701" s="1083" t="str">
        <f t="shared" si="90"/>
        <v/>
      </c>
      <c r="AL701" s="211">
        <v>14648124</v>
      </c>
      <c r="AM701" s="211"/>
      <c r="AN701" s="211"/>
      <c r="AO701" s="211"/>
      <c r="AP701" s="211"/>
      <c r="AQ701" s="211"/>
      <c r="AR701" s="211"/>
      <c r="AS701" s="211"/>
      <c r="AT701" s="211"/>
      <c r="AU701" s="211"/>
      <c r="AV701" s="211"/>
      <c r="AW701" s="211"/>
      <c r="AX701" s="211"/>
      <c r="AY701" s="211"/>
      <c r="AZ701" s="211"/>
      <c r="BA701" s="211"/>
      <c r="BB701" s="211"/>
      <c r="BC701" s="211"/>
      <c r="BD701" s="333">
        <v>43420</v>
      </c>
      <c r="BE701" s="82">
        <f t="shared" si="91"/>
        <v>14648124</v>
      </c>
    </row>
    <row r="702" spans="2:57" ht="30.6" hidden="1" x14ac:dyDescent="0.3">
      <c r="B702" s="2" t="str">
        <f>+'Base de Datos'!E702</f>
        <v>180360-0-2018</v>
      </c>
      <c r="C702" s="2" t="str">
        <f>+'Base de Datos'!F702</f>
        <v xml:space="preserve">CENCOSUD COLOMBIA </v>
      </c>
      <c r="D702" s="2" t="str">
        <f>+'Base de Datos'!G702</f>
        <v>900155107-1</v>
      </c>
      <c r="E702" s="2" t="str">
        <f>+'Base de Datos'!H702</f>
        <v>Adquirir televisores para áreas sociales del Concejo de Bogotá y televisor de gran formato para el salón presidentes del Concejo de Bogotá</v>
      </c>
      <c r="F702" s="197">
        <f>+'Base de Datos'!I702</f>
        <v>16025870</v>
      </c>
      <c r="G702" s="196">
        <f>+'Base de Datos'!M702</f>
        <v>43397</v>
      </c>
      <c r="H702" s="196">
        <f>+'Base de Datos'!N702</f>
        <v>43404</v>
      </c>
      <c r="I702" s="196"/>
      <c r="J702" s="158"/>
      <c r="K702" s="333"/>
      <c r="L702" s="211"/>
      <c r="M702" s="336"/>
      <c r="N702" s="158"/>
      <c r="O702" s="333"/>
      <c r="P702" s="158"/>
      <c r="Q702" s="338"/>
      <c r="R702" s="81">
        <f t="shared" si="93"/>
        <v>0</v>
      </c>
      <c r="S702" s="258"/>
      <c r="T702" s="333"/>
      <c r="U702" s="158"/>
      <c r="V702" s="333"/>
      <c r="W702" s="158"/>
      <c r="X702" s="333"/>
      <c r="Y702" s="158"/>
      <c r="Z702" s="333"/>
      <c r="AA702" s="326"/>
      <c r="AB702" s="1004" t="str">
        <f t="shared" si="85"/>
        <v/>
      </c>
      <c r="AC702" s="1082" t="str">
        <f t="shared" si="86"/>
        <v/>
      </c>
      <c r="AD702" s="1077"/>
      <c r="AE702" s="1077"/>
      <c r="AF702" s="1084" t="str">
        <f t="shared" si="87"/>
        <v/>
      </c>
      <c r="AG702" s="1082" t="str">
        <f t="shared" si="88"/>
        <v/>
      </c>
      <c r="AH702" s="1091"/>
      <c r="AI702" s="1087"/>
      <c r="AJ702" s="1084" t="str">
        <f t="shared" si="89"/>
        <v/>
      </c>
      <c r="AK702" s="1083" t="str">
        <f t="shared" si="90"/>
        <v/>
      </c>
      <c r="AL702" s="211">
        <v>16025870</v>
      </c>
      <c r="AM702" s="211"/>
      <c r="AN702" s="211"/>
      <c r="AO702" s="211"/>
      <c r="AP702" s="211"/>
      <c r="AQ702" s="211"/>
      <c r="AR702" s="211"/>
      <c r="AS702" s="211"/>
      <c r="AT702" s="211"/>
      <c r="AU702" s="211"/>
      <c r="AV702" s="211"/>
      <c r="AW702" s="211"/>
      <c r="AX702" s="211"/>
      <c r="AY702" s="211"/>
      <c r="AZ702" s="211"/>
      <c r="BA702" s="211"/>
      <c r="BB702" s="211"/>
      <c r="BC702" s="211"/>
      <c r="BD702" s="333"/>
      <c r="BE702" s="82">
        <f t="shared" si="91"/>
        <v>16025870</v>
      </c>
    </row>
    <row r="703" spans="2:57" ht="40.799999999999997" hidden="1" x14ac:dyDescent="0.3">
      <c r="B703" s="2" t="str">
        <f>+'Base de Datos'!E703</f>
        <v>180346-0-2018</v>
      </c>
      <c r="C703" s="2" t="str">
        <f>+'Base de Datos'!F703</f>
        <v>A &amp; G INGENIERIA Y SOLUCIONES</v>
      </c>
      <c r="D703" s="2" t="str">
        <f>+'Base de Datos'!G703</f>
        <v>901020853-1</v>
      </c>
      <c r="E703" s="2" t="str">
        <f>+'Base de Datos'!H703</f>
        <v>Prestar servicios de revisión, mantenimiento y recarga de extintores y gabinetes contra incendio con suministro de repuestos y otros elementos de seguridad para el Concejo de Bogotá.</v>
      </c>
      <c r="F703" s="197">
        <f>+'Base de Datos'!I703</f>
        <v>8830300</v>
      </c>
      <c r="G703" s="196">
        <f>+'Base de Datos'!M703</f>
        <v>43402</v>
      </c>
      <c r="H703" s="196">
        <f>+'Base de Datos'!N703</f>
        <v>43524</v>
      </c>
      <c r="I703" s="196"/>
      <c r="J703" s="158"/>
      <c r="K703" s="333"/>
      <c r="L703" s="211"/>
      <c r="M703" s="336"/>
      <c r="N703" s="158"/>
      <c r="O703" s="333"/>
      <c r="P703" s="158"/>
      <c r="Q703" s="338"/>
      <c r="R703" s="81">
        <f t="shared" si="93"/>
        <v>0</v>
      </c>
      <c r="S703" s="258" t="s">
        <v>962</v>
      </c>
      <c r="T703" s="333">
        <v>43539</v>
      </c>
      <c r="U703" s="158"/>
      <c r="V703" s="333"/>
      <c r="W703" s="158"/>
      <c r="X703" s="333"/>
      <c r="Y703" s="158"/>
      <c r="Z703" s="333"/>
      <c r="AA703" s="258" t="s">
        <v>962</v>
      </c>
      <c r="AB703" s="1004">
        <f t="shared" si="85"/>
        <v>43539</v>
      </c>
      <c r="AC703" s="1082" t="str">
        <f t="shared" si="86"/>
        <v/>
      </c>
      <c r="AD703" s="1077"/>
      <c r="AE703" s="1077"/>
      <c r="AF703" s="1084" t="str">
        <f t="shared" si="87"/>
        <v/>
      </c>
      <c r="AG703" s="1082" t="str">
        <f t="shared" si="88"/>
        <v/>
      </c>
      <c r="AH703" s="1091"/>
      <c r="AI703" s="1087"/>
      <c r="AJ703" s="1084" t="str">
        <f t="shared" si="89"/>
        <v/>
      </c>
      <c r="AK703" s="1083" t="str">
        <f t="shared" si="90"/>
        <v/>
      </c>
      <c r="AL703" s="211">
        <v>7859399</v>
      </c>
      <c r="AM703" s="211">
        <v>970800</v>
      </c>
      <c r="AN703" s="211"/>
      <c r="AO703" s="211"/>
      <c r="AP703" s="211"/>
      <c r="AQ703" s="211"/>
      <c r="AR703" s="211"/>
      <c r="AS703" s="211"/>
      <c r="AT703" s="211"/>
      <c r="AU703" s="211"/>
      <c r="AV703" s="211"/>
      <c r="AW703" s="211"/>
      <c r="AX703" s="211"/>
      <c r="AY703" s="211"/>
      <c r="AZ703" s="211"/>
      <c r="BA703" s="211"/>
      <c r="BB703" s="211"/>
      <c r="BC703" s="211"/>
      <c r="BD703" s="333">
        <v>43655</v>
      </c>
      <c r="BE703" s="82">
        <f t="shared" si="91"/>
        <v>8830199</v>
      </c>
    </row>
    <row r="704" spans="2:57" ht="122.4" hidden="1" x14ac:dyDescent="0.3">
      <c r="B704" s="2" t="str">
        <f>+'Base de Datos'!E704</f>
        <v>180369-0-2018</v>
      </c>
      <c r="C704" s="2" t="str">
        <f>+'Base de Datos'!F704</f>
        <v>UNIÓN TEMPORAL LA PREVISORA SA. COMPAÑÍA DE SEGUROS  - AXA COLPATRIA SEGUROS SA</v>
      </c>
      <c r="D704" s="2" t="str">
        <f>+'Base de Datos'!G704</f>
        <v>860002184-6</v>
      </c>
      <c r="E704" s="2" t="str">
        <f>+'Base de Datos'!H704</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así como el seguro de vida para los Concejales de Bogotá, D.C. y cualquier otra póliza de seguros que requieran las entidades en el desarrollo de su actividad, de conformidad con lo establecido en el pliego de condiciones electrónico y el complemento de del Proceso de Selección Abreviada Menor Cuantía No. SDH - SAMC- 07-2018 y la propuesta presentada por el contratista.  </v>
      </c>
      <c r="F704" s="197">
        <f>+'Base de Datos'!I704</f>
        <v>424000000</v>
      </c>
      <c r="G704" s="196">
        <f>+'Base de Datos'!M704</f>
        <v>43403</v>
      </c>
      <c r="H704" s="196">
        <f>+'Base de Datos'!N704</f>
        <v>43857</v>
      </c>
      <c r="I704" s="196"/>
      <c r="J704" s="158">
        <v>147386567</v>
      </c>
      <c r="K704" s="333">
        <v>43769</v>
      </c>
      <c r="L704" s="211"/>
      <c r="M704" s="336"/>
      <c r="N704" s="158"/>
      <c r="O704" s="333"/>
      <c r="P704" s="158"/>
      <c r="Q704" s="338"/>
      <c r="R704" s="81">
        <f t="shared" si="93"/>
        <v>147386567</v>
      </c>
      <c r="S704" s="820" t="s">
        <v>5432</v>
      </c>
      <c r="T704" s="333">
        <v>43951</v>
      </c>
      <c r="U704" s="158"/>
      <c r="V704" s="333"/>
      <c r="W704" s="158"/>
      <c r="X704" s="333"/>
      <c r="Y704" s="158"/>
      <c r="Z704" s="333"/>
      <c r="AA704" s="820" t="s">
        <v>5432</v>
      </c>
      <c r="AB704" s="1004">
        <f t="shared" si="85"/>
        <v>43951</v>
      </c>
      <c r="AC704" s="1082" t="str">
        <f t="shared" si="86"/>
        <v/>
      </c>
      <c r="AD704" s="1077"/>
      <c r="AE704" s="1077"/>
      <c r="AF704" s="1084" t="str">
        <f t="shared" si="87"/>
        <v/>
      </c>
      <c r="AG704" s="1082" t="str">
        <f t="shared" si="88"/>
        <v/>
      </c>
      <c r="AH704" s="1091"/>
      <c r="AI704" s="1087"/>
      <c r="AJ704" s="1084" t="str">
        <f t="shared" si="89"/>
        <v/>
      </c>
      <c r="AK704" s="1083" t="str">
        <f t="shared" si="90"/>
        <v/>
      </c>
      <c r="AL704" s="211">
        <v>420033530</v>
      </c>
      <c r="AM704" s="211">
        <v>3966470</v>
      </c>
      <c r="AN704" s="211">
        <v>143419497</v>
      </c>
      <c r="AO704" s="211"/>
      <c r="AP704" s="211"/>
      <c r="AQ704" s="211"/>
      <c r="AR704" s="211"/>
      <c r="AS704" s="211"/>
      <c r="AT704" s="211"/>
      <c r="AU704" s="211"/>
      <c r="AV704" s="211"/>
      <c r="AW704" s="211"/>
      <c r="AX704" s="211"/>
      <c r="AY704" s="211"/>
      <c r="AZ704" s="211"/>
      <c r="BA704" s="211"/>
      <c r="BB704" s="211"/>
      <c r="BC704" s="211"/>
      <c r="BD704" s="333">
        <v>43818</v>
      </c>
      <c r="BE704" s="82">
        <f t="shared" si="91"/>
        <v>567419497</v>
      </c>
    </row>
    <row r="705" spans="2:57" ht="51" hidden="1" x14ac:dyDescent="0.3">
      <c r="B705" s="2" t="str">
        <f>+'Base de Datos'!E705</f>
        <v>180357-0-2018</v>
      </c>
      <c r="C705" s="2" t="str">
        <f>+'Base de Datos'!F705</f>
        <v>CAJA DE COMPENSACION FAMILIAR COMPENSAR</v>
      </c>
      <c r="D705" s="2">
        <f>+'Base de Datos'!G705</f>
        <v>8600669427</v>
      </c>
      <c r="E705" s="2" t="str">
        <f>+'Base de Datos'!H705</f>
        <v>Prestación de servicios de apoyo a la gestión para el desarrollo y apoyo logístico de las actividades contenidas dentro de los programas de bienestar, incentivos y mejoramiento del clima laboral para los servidores (as) del Concejo de Bogotá y sus familias.</v>
      </c>
      <c r="F705" s="197">
        <f>+'Base de Datos'!I705</f>
        <v>1283380716</v>
      </c>
      <c r="G705" s="196">
        <f>+'Base de Datos'!M705</f>
        <v>43404</v>
      </c>
      <c r="H705" s="196">
        <f>+'Base de Datos'!N705</f>
        <v>43768</v>
      </c>
      <c r="I705" s="196"/>
      <c r="J705" s="158">
        <v>606391218</v>
      </c>
      <c r="K705" s="333"/>
      <c r="L705" s="211"/>
      <c r="M705" s="336"/>
      <c r="N705" s="158"/>
      <c r="O705" s="333"/>
      <c r="P705" s="158"/>
      <c r="Q705" s="338"/>
      <c r="R705" s="81">
        <f t="shared" si="93"/>
        <v>606391218</v>
      </c>
      <c r="S705" s="258" t="s">
        <v>380</v>
      </c>
      <c r="T705" s="333">
        <v>43890</v>
      </c>
      <c r="U705" s="158" t="s">
        <v>378</v>
      </c>
      <c r="V705" s="333">
        <v>43950</v>
      </c>
      <c r="W705" s="158" t="s">
        <v>379</v>
      </c>
      <c r="X705" s="333">
        <v>44089</v>
      </c>
      <c r="Y705" s="157" t="s">
        <v>6443</v>
      </c>
      <c r="Z705" s="333">
        <v>44165</v>
      </c>
      <c r="AA705" s="326" t="s">
        <v>2092</v>
      </c>
      <c r="AB705" s="1004">
        <f t="shared" si="85"/>
        <v>44165</v>
      </c>
      <c r="AC705" s="1082" t="str">
        <f t="shared" si="86"/>
        <v/>
      </c>
      <c r="AD705" s="1077"/>
      <c r="AE705" s="1077"/>
      <c r="AF705" s="1084" t="str">
        <f t="shared" si="87"/>
        <v/>
      </c>
      <c r="AG705" s="1082" t="str">
        <f t="shared" si="88"/>
        <v/>
      </c>
      <c r="AH705" s="1091"/>
      <c r="AI705" s="1087"/>
      <c r="AJ705" s="1084" t="str">
        <f t="shared" si="89"/>
        <v/>
      </c>
      <c r="AK705" s="1083" t="str">
        <f t="shared" si="90"/>
        <v/>
      </c>
      <c r="AL705" s="211">
        <v>11894250</v>
      </c>
      <c r="AM705" s="211">
        <v>338647370</v>
      </c>
      <c r="AN705" s="211"/>
      <c r="AO705" s="211"/>
      <c r="AP705" s="211"/>
      <c r="AQ705" s="211"/>
      <c r="AR705" s="211"/>
      <c r="AS705" s="211"/>
      <c r="AT705" s="211"/>
      <c r="AU705" s="211"/>
      <c r="AV705" s="211"/>
      <c r="AW705" s="211"/>
      <c r="AX705" s="211"/>
      <c r="AY705" s="211"/>
      <c r="AZ705" s="211">
        <v>208100366</v>
      </c>
      <c r="BA705" s="211"/>
      <c r="BB705" s="211"/>
      <c r="BC705" s="211">
        <f>63624583+126581051+46354617+28125089+107120288+25608912+327324190+80971139+289451421+4830280+34489662+8670620+9295994+10838859+805501+10869402+1680000+15111881+2383775+1059300+10515544+80968+2714200+589981+19183199+7200000+3700836+191590+241500+14126800+35612418+19821642+1958978+19960203</f>
        <v>1331094423</v>
      </c>
      <c r="BD705" s="333">
        <v>44185</v>
      </c>
      <c r="BE705" s="82">
        <f t="shared" si="91"/>
        <v>1889736409</v>
      </c>
    </row>
    <row r="706" spans="2:57" ht="20.399999999999999" hidden="1" x14ac:dyDescent="0.3">
      <c r="B706" s="2" t="str">
        <f>+'Base de Datos'!E706</f>
        <v>180370-0-2018</v>
      </c>
      <c r="C706" s="2" t="str">
        <f>+'Base de Datos'!F706</f>
        <v>ALKOSTO SA</v>
      </c>
      <c r="D706" s="2" t="str">
        <f>+'Base de Datos'!G706</f>
        <v>890900943-1</v>
      </c>
      <c r="E706" s="2" t="str">
        <f>+'Base de Datos'!H706</f>
        <v>Proveer computadores especializados para el Concejo de Bogotá y software correspondiente.</v>
      </c>
      <c r="F706" s="197">
        <f>+'Base de Datos'!I706</f>
        <v>956795</v>
      </c>
      <c r="G706" s="196">
        <f>+'Base de Datos'!M706</f>
        <v>43403</v>
      </c>
      <c r="H706" s="196">
        <f>+'Base de Datos'!N706</f>
        <v>43411</v>
      </c>
      <c r="I706" s="196"/>
      <c r="J706" s="158"/>
      <c r="K706" s="333"/>
      <c r="L706" s="211"/>
      <c r="M706" s="336"/>
      <c r="N706" s="158"/>
      <c r="O706" s="333"/>
      <c r="P706" s="158"/>
      <c r="Q706" s="338"/>
      <c r="R706" s="81">
        <f t="shared" si="93"/>
        <v>0</v>
      </c>
      <c r="S706" s="258"/>
      <c r="T706" s="333"/>
      <c r="U706" s="158"/>
      <c r="V706" s="333"/>
      <c r="W706" s="158"/>
      <c r="X706" s="333"/>
      <c r="Y706" s="158"/>
      <c r="Z706" s="333"/>
      <c r="AA706" s="326"/>
      <c r="AB706" s="1004" t="str">
        <f t="shared" si="85"/>
        <v/>
      </c>
      <c r="AC706" s="1082" t="str">
        <f t="shared" si="86"/>
        <v/>
      </c>
      <c r="AD706" s="1077"/>
      <c r="AE706" s="1077"/>
      <c r="AF706" s="1084" t="str">
        <f t="shared" si="87"/>
        <v/>
      </c>
      <c r="AG706" s="1082" t="str">
        <f t="shared" si="88"/>
        <v/>
      </c>
      <c r="AH706" s="1091"/>
      <c r="AI706" s="1087"/>
      <c r="AJ706" s="1084" t="str">
        <f t="shared" si="89"/>
        <v/>
      </c>
      <c r="AK706" s="1083" t="str">
        <f t="shared" si="90"/>
        <v/>
      </c>
      <c r="AL706" s="211">
        <v>956795</v>
      </c>
      <c r="AM706" s="211"/>
      <c r="AN706" s="211"/>
      <c r="AO706" s="211"/>
      <c r="AP706" s="211"/>
      <c r="AQ706" s="211"/>
      <c r="AR706" s="211"/>
      <c r="AS706" s="211"/>
      <c r="AT706" s="211"/>
      <c r="AU706" s="211"/>
      <c r="AV706" s="211"/>
      <c r="AW706" s="211"/>
      <c r="AX706" s="211"/>
      <c r="AY706" s="211"/>
      <c r="AZ706" s="211"/>
      <c r="BA706" s="211"/>
      <c r="BB706" s="211"/>
      <c r="BC706" s="211"/>
      <c r="BD706" s="333">
        <v>43418</v>
      </c>
      <c r="BE706" s="82">
        <f t="shared" si="91"/>
        <v>956795</v>
      </c>
    </row>
    <row r="707" spans="2:57" ht="20.399999999999999" hidden="1" x14ac:dyDescent="0.3">
      <c r="B707" s="2" t="str">
        <f>+'Base de Datos'!E707</f>
        <v>180371-0-2018</v>
      </c>
      <c r="C707" s="2" t="str">
        <f>+'Base de Datos'!F707</f>
        <v>PANAMERICANA LIBRERÍA Y PAPELERIA SA</v>
      </c>
      <c r="D707" s="2" t="str">
        <f>+'Base de Datos'!G707</f>
        <v>830037946-3</v>
      </c>
      <c r="E707" s="2" t="str">
        <f>+'Base de Datos'!H707</f>
        <v>Proveer computadores especializados para el Concejo de Bogotá y software correspondiente.</v>
      </c>
      <c r="F707" s="197">
        <f>+'Base de Datos'!I707</f>
        <v>2890908</v>
      </c>
      <c r="G707" s="196">
        <f>+'Base de Datos'!M707</f>
        <v>43403</v>
      </c>
      <c r="H707" s="196">
        <f>+'Base de Datos'!N707</f>
        <v>43419</v>
      </c>
      <c r="I707" s="196"/>
      <c r="J707" s="158"/>
      <c r="K707" s="333"/>
      <c r="L707" s="211"/>
      <c r="M707" s="336"/>
      <c r="N707" s="158"/>
      <c r="O707" s="333"/>
      <c r="P707" s="158"/>
      <c r="Q707" s="338"/>
      <c r="R707" s="81">
        <f t="shared" si="93"/>
        <v>0</v>
      </c>
      <c r="S707" s="258" t="s">
        <v>4429</v>
      </c>
      <c r="T707" s="333">
        <v>43427</v>
      </c>
      <c r="U707" s="158"/>
      <c r="V707" s="333"/>
      <c r="W707" s="158"/>
      <c r="X707" s="333"/>
      <c r="Y707" s="158"/>
      <c r="Z707" s="333"/>
      <c r="AA707" s="326" t="s">
        <v>4429</v>
      </c>
      <c r="AB707" s="1004">
        <f t="shared" si="85"/>
        <v>43427</v>
      </c>
      <c r="AC707" s="1082" t="str">
        <f t="shared" si="86"/>
        <v/>
      </c>
      <c r="AD707" s="1077"/>
      <c r="AE707" s="1077"/>
      <c r="AF707" s="1084" t="str">
        <f t="shared" si="87"/>
        <v/>
      </c>
      <c r="AG707" s="1082" t="str">
        <f t="shared" si="88"/>
        <v/>
      </c>
      <c r="AH707" s="1091"/>
      <c r="AI707" s="1087"/>
      <c r="AJ707" s="1084" t="str">
        <f t="shared" si="89"/>
        <v/>
      </c>
      <c r="AK707" s="1083" t="str">
        <f t="shared" si="90"/>
        <v/>
      </c>
      <c r="AL707" s="211">
        <v>2890908</v>
      </c>
      <c r="AM707" s="211"/>
      <c r="AN707" s="211"/>
      <c r="AO707" s="211"/>
      <c r="AP707" s="211"/>
      <c r="AQ707" s="211"/>
      <c r="AR707" s="211"/>
      <c r="AS707" s="211"/>
      <c r="AT707" s="211"/>
      <c r="AU707" s="211"/>
      <c r="AV707" s="211"/>
      <c r="AW707" s="211"/>
      <c r="AX707" s="211"/>
      <c r="AY707" s="211"/>
      <c r="AZ707" s="211"/>
      <c r="BA707" s="211"/>
      <c r="BB707" s="211"/>
      <c r="BC707" s="211"/>
      <c r="BD707" s="333">
        <v>43453</v>
      </c>
      <c r="BE707" s="82">
        <f t="shared" si="91"/>
        <v>2890908</v>
      </c>
    </row>
    <row r="708" spans="2:57" ht="20.399999999999999" hidden="1" x14ac:dyDescent="0.3">
      <c r="B708" s="2" t="str">
        <f>+'Base de Datos'!E708</f>
        <v>180368-0-2018</v>
      </c>
      <c r="C708" s="2" t="str">
        <f>+'Base de Datos'!F708</f>
        <v>INGEAL S.A.</v>
      </c>
      <c r="D708" s="2">
        <f>+'Base de Datos'!G708</f>
        <v>800039398</v>
      </c>
      <c r="E708" s="2" t="str">
        <f>+'Base de Datos'!H708</f>
        <v>Proveer aires acondicionados para el centro de datos y de cableado para el Concejo de Bogotá.</v>
      </c>
      <c r="F708" s="197">
        <f>+'Base de Datos'!I708</f>
        <v>170000000</v>
      </c>
      <c r="G708" s="196">
        <f>+'Base de Datos'!M708</f>
        <v>43411</v>
      </c>
      <c r="H708" s="196">
        <f>+'Base de Datos'!N708</f>
        <v>43530</v>
      </c>
      <c r="I708" s="196"/>
      <c r="J708" s="158"/>
      <c r="K708" s="333"/>
      <c r="L708" s="211"/>
      <c r="M708" s="336"/>
      <c r="N708" s="158"/>
      <c r="O708" s="333"/>
      <c r="P708" s="158"/>
      <c r="Q708" s="338"/>
      <c r="R708" s="81">
        <f t="shared" si="93"/>
        <v>0</v>
      </c>
      <c r="S708" s="258"/>
      <c r="T708" s="333"/>
      <c r="U708" s="158"/>
      <c r="V708" s="333"/>
      <c r="W708" s="158"/>
      <c r="X708" s="333"/>
      <c r="Y708" s="158"/>
      <c r="Z708" s="333"/>
      <c r="AA708" s="326"/>
      <c r="AB708" s="1004" t="str">
        <f t="shared" si="85"/>
        <v/>
      </c>
      <c r="AC708" s="1082" t="str">
        <f t="shared" si="86"/>
        <v/>
      </c>
      <c r="AD708" s="1077"/>
      <c r="AE708" s="1077"/>
      <c r="AF708" s="1084" t="str">
        <f t="shared" si="87"/>
        <v/>
      </c>
      <c r="AG708" s="1082" t="str">
        <f t="shared" si="88"/>
        <v/>
      </c>
      <c r="AH708" s="1091"/>
      <c r="AI708" s="1087"/>
      <c r="AJ708" s="1084" t="str">
        <f t="shared" si="89"/>
        <v/>
      </c>
      <c r="AK708" s="1083" t="str">
        <f t="shared" si="90"/>
        <v/>
      </c>
      <c r="AL708" s="211">
        <v>170000000</v>
      </c>
      <c r="AM708" s="211"/>
      <c r="AN708" s="211"/>
      <c r="AO708" s="211"/>
      <c r="AP708" s="211"/>
      <c r="AQ708" s="211"/>
      <c r="AR708" s="211"/>
      <c r="AS708" s="211"/>
      <c r="AT708" s="211"/>
      <c r="AU708" s="211"/>
      <c r="AV708" s="211"/>
      <c r="AW708" s="211"/>
      <c r="AX708" s="211"/>
      <c r="AY708" s="211"/>
      <c r="AZ708" s="211"/>
      <c r="BA708" s="211"/>
      <c r="BB708" s="211"/>
      <c r="BC708" s="211"/>
      <c r="BD708" s="333">
        <v>43577</v>
      </c>
      <c r="BE708" s="82">
        <f t="shared" si="91"/>
        <v>170000000</v>
      </c>
    </row>
    <row r="709" spans="2:57" ht="20.399999999999999" hidden="1" x14ac:dyDescent="0.3">
      <c r="B709" s="2" t="str">
        <f>+'Base de Datos'!E709</f>
        <v>180359-0-2018</v>
      </c>
      <c r="C709" s="2" t="str">
        <f>+'Base de Datos'!F709</f>
        <v>ENLACES INALAMBRICOS DIGITALES SAS</v>
      </c>
      <c r="D709" s="2" t="str">
        <f>+'Base de Datos'!G709</f>
        <v>900408815-3</v>
      </c>
      <c r="E709" s="2" t="str">
        <f>+'Base de Datos'!H709</f>
        <v>Proveer equipos portátiles de comunicación para la brigada de emergencias del Concejo de Bogotá</v>
      </c>
      <c r="F709" s="197">
        <f>+'Base de Datos'!I709</f>
        <v>4141200</v>
      </c>
      <c r="G709" s="196">
        <f>+'Base de Datos'!M709</f>
        <v>43413</v>
      </c>
      <c r="H709" s="196">
        <f>+'Base de Datos'!N709</f>
        <v>43473</v>
      </c>
      <c r="I709" s="196"/>
      <c r="J709" s="158"/>
      <c r="K709" s="333"/>
      <c r="L709" s="211"/>
      <c r="M709" s="336"/>
      <c r="N709" s="158"/>
      <c r="O709" s="333"/>
      <c r="P709" s="158"/>
      <c r="Q709" s="338"/>
      <c r="R709" s="81">
        <f t="shared" si="93"/>
        <v>0</v>
      </c>
      <c r="S709" s="258"/>
      <c r="T709" s="333"/>
      <c r="U709" s="158"/>
      <c r="V709" s="333"/>
      <c r="W709" s="158"/>
      <c r="X709" s="333"/>
      <c r="Y709" s="158"/>
      <c r="Z709" s="333"/>
      <c r="AA709" s="326"/>
      <c r="AB709" s="1004" t="str">
        <f t="shared" si="85"/>
        <v/>
      </c>
      <c r="AC709" s="1082" t="str">
        <f t="shared" si="86"/>
        <v/>
      </c>
      <c r="AD709" s="1077"/>
      <c r="AE709" s="1077"/>
      <c r="AF709" s="1084" t="str">
        <f t="shared" si="87"/>
        <v/>
      </c>
      <c r="AG709" s="1082" t="str">
        <f t="shared" si="88"/>
        <v/>
      </c>
      <c r="AH709" s="1091"/>
      <c r="AI709" s="1087"/>
      <c r="AJ709" s="1084" t="str">
        <f t="shared" si="89"/>
        <v/>
      </c>
      <c r="AK709" s="1083" t="str">
        <f t="shared" si="90"/>
        <v/>
      </c>
      <c r="AL709" s="211">
        <v>4141200</v>
      </c>
      <c r="AM709" s="211"/>
      <c r="AN709" s="211"/>
      <c r="AO709" s="211"/>
      <c r="AP709" s="211"/>
      <c r="AQ709" s="211"/>
      <c r="AR709" s="211"/>
      <c r="AS709" s="211"/>
      <c r="AT709" s="211"/>
      <c r="AU709" s="211"/>
      <c r="AV709" s="211"/>
      <c r="AW709" s="211"/>
      <c r="AX709" s="211"/>
      <c r="AY709" s="211"/>
      <c r="AZ709" s="211"/>
      <c r="BA709" s="211"/>
      <c r="BB709" s="211"/>
      <c r="BC709" s="211"/>
      <c r="BD709" s="333">
        <v>43636</v>
      </c>
      <c r="BE709" s="82">
        <f t="shared" si="91"/>
        <v>4141200</v>
      </c>
    </row>
    <row r="710" spans="2:57" ht="20.399999999999999" hidden="1" x14ac:dyDescent="0.3">
      <c r="B710" s="2" t="str">
        <f>+'Base de Datos'!E710</f>
        <v>180374-0-2018</v>
      </c>
      <c r="C710" s="2" t="str">
        <f>+'Base de Datos'!F710</f>
        <v>PANAMERICANA LIBRERÍA Y PAPELERIA SA</v>
      </c>
      <c r="D710" s="2" t="str">
        <f>+'Base de Datos'!G710</f>
        <v>830037946-3</v>
      </c>
      <c r="E710" s="2" t="str">
        <f>+'Base de Datos'!H710</f>
        <v>Adquirir cámara fotográfica y elementos para la oficina de prensa del Concejo de Bogotá</v>
      </c>
      <c r="F710" s="197">
        <f>+'Base de Datos'!I710</f>
        <v>9127570</v>
      </c>
      <c r="G710" s="196">
        <f>+'Base de Datos'!M710</f>
        <v>43406</v>
      </c>
      <c r="H710" s="196">
        <f>+'Base de Datos'!N710</f>
        <v>43417</v>
      </c>
      <c r="I710" s="196"/>
      <c r="J710" s="158">
        <v>188804</v>
      </c>
      <c r="K710" s="333">
        <v>43420</v>
      </c>
      <c r="L710" s="211"/>
      <c r="M710" s="336"/>
      <c r="N710" s="158"/>
      <c r="O710" s="333"/>
      <c r="P710" s="158"/>
      <c r="Q710" s="338"/>
      <c r="R710" s="81">
        <f t="shared" si="93"/>
        <v>188804</v>
      </c>
      <c r="S710" s="258" t="s">
        <v>4429</v>
      </c>
      <c r="T710" s="333">
        <v>43427</v>
      </c>
      <c r="U710" s="158"/>
      <c r="V710" s="333"/>
      <c r="W710" s="158"/>
      <c r="X710" s="333"/>
      <c r="Y710" s="158"/>
      <c r="Z710" s="333"/>
      <c r="AA710" s="326" t="s">
        <v>4429</v>
      </c>
      <c r="AB710" s="1004">
        <f t="shared" si="85"/>
        <v>43427</v>
      </c>
      <c r="AC710" s="1082" t="str">
        <f t="shared" si="86"/>
        <v/>
      </c>
      <c r="AD710" s="1077"/>
      <c r="AE710" s="1077"/>
      <c r="AF710" s="1084" t="str">
        <f t="shared" si="87"/>
        <v/>
      </c>
      <c r="AG710" s="1082" t="str">
        <f t="shared" si="88"/>
        <v/>
      </c>
      <c r="AH710" s="1091"/>
      <c r="AI710" s="1087"/>
      <c r="AJ710" s="1084" t="str">
        <f t="shared" si="89"/>
        <v/>
      </c>
      <c r="AK710" s="1083" t="str">
        <f t="shared" si="90"/>
        <v/>
      </c>
      <c r="AL710" s="211">
        <v>9316374</v>
      </c>
      <c r="AM710" s="211"/>
      <c r="AN710" s="211"/>
      <c r="AO710" s="211"/>
      <c r="AP710" s="211"/>
      <c r="AQ710" s="211"/>
      <c r="AR710" s="211"/>
      <c r="AS710" s="211"/>
      <c r="AT710" s="211"/>
      <c r="AU710" s="211"/>
      <c r="AV710" s="211"/>
      <c r="AW710" s="211"/>
      <c r="AX710" s="211"/>
      <c r="AY710" s="211"/>
      <c r="AZ710" s="211"/>
      <c r="BA710" s="211"/>
      <c r="BB710" s="211"/>
      <c r="BC710" s="211"/>
      <c r="BD710" s="333">
        <v>43448</v>
      </c>
      <c r="BE710" s="82">
        <f t="shared" si="91"/>
        <v>9316374</v>
      </c>
    </row>
    <row r="711" spans="2:57" ht="20.399999999999999" hidden="1" x14ac:dyDescent="0.3">
      <c r="B711" s="2" t="str">
        <f>+'Base de Datos'!E711</f>
        <v>180321-0-2018</v>
      </c>
      <c r="C711" s="2" t="str">
        <f>+'Base de Datos'!F711</f>
        <v>DIRECTV COLOMBIA</v>
      </c>
      <c r="D711" s="2">
        <f>+'Base de Datos'!G711</f>
        <v>805006014</v>
      </c>
      <c r="E711" s="2" t="str">
        <f>+'Base de Datos'!H711</f>
        <v xml:space="preserve">Suscripción al sistema de televisión satelital para el Concejo de Bogotá. </v>
      </c>
      <c r="F711" s="197">
        <f>+'Base de Datos'!I711</f>
        <v>2166888</v>
      </c>
      <c r="G711" s="196">
        <f>+'Base de Datos'!M711</f>
        <v>43419</v>
      </c>
      <c r="H711" s="196">
        <f>+'Base de Datos'!N711</f>
        <v>43783</v>
      </c>
      <c r="I711" s="196"/>
      <c r="J711" s="158"/>
      <c r="K711" s="333"/>
      <c r="L711" s="211"/>
      <c r="M711" s="336"/>
      <c r="N711" s="158"/>
      <c r="O711" s="333"/>
      <c r="P711" s="158"/>
      <c r="Q711" s="338"/>
      <c r="R711" s="81">
        <f t="shared" si="93"/>
        <v>0</v>
      </c>
      <c r="S711" s="258"/>
      <c r="T711" s="333"/>
      <c r="U711" s="158"/>
      <c r="V711" s="333"/>
      <c r="W711" s="158"/>
      <c r="X711" s="333"/>
      <c r="Y711" s="158"/>
      <c r="Z711" s="333"/>
      <c r="AA711" s="326"/>
      <c r="AB711" s="1004" t="str">
        <f t="shared" ref="AB711:AB757" si="94">IF(ISNUMBER(T711),MAX(T711,V711,X711,Z711),"")</f>
        <v/>
      </c>
      <c r="AC711" s="1082" t="str">
        <f t="shared" ref="AC711:AC763" si="95">IF(ISNUMBER(AD711),ABS(AD711-AE711)+1,"")</f>
        <v/>
      </c>
      <c r="AD711" s="1077"/>
      <c r="AE711" s="1077"/>
      <c r="AF711" s="1084" t="str">
        <f t="shared" ref="AF711:AF763" si="96">IFERROR(IF(MAX(H711,I711)&lt;AE711,MAX(H711,I711)-AE711+AC711+AE711,MAX(H711,I711)+AC711),"")</f>
        <v/>
      </c>
      <c r="AG711" s="1082" t="str">
        <f t="shared" ref="AG711:AG763" si="97">IF(ISNUMBER(AH711),ABS(AH711-AI711)+1,"")</f>
        <v/>
      </c>
      <c r="AH711" s="1091"/>
      <c r="AI711" s="1087"/>
      <c r="AJ711" s="1084" t="str">
        <f t="shared" ref="AJ711:AJ763" si="98">IFERROR(IF(AF711&lt;AI711,((AF711-AI711)+AG711)+(AI711),AF711+AG711),"")</f>
        <v/>
      </c>
      <c r="AK711" s="1083" t="str">
        <f t="shared" ref="AK711:AK763" si="99">IF(ISNUMBER(AF711),MAX(AB711,AF711,AJ711),"")</f>
        <v/>
      </c>
      <c r="AL711" s="211">
        <v>2150577</v>
      </c>
      <c r="AM711" s="211"/>
      <c r="AN711" s="211"/>
      <c r="AO711" s="211"/>
      <c r="AP711" s="211"/>
      <c r="AQ711" s="211"/>
      <c r="AR711" s="211"/>
      <c r="AS711" s="211"/>
      <c r="AT711" s="211"/>
      <c r="AU711" s="211"/>
      <c r="AV711" s="211"/>
      <c r="AW711" s="211"/>
      <c r="AX711" s="211"/>
      <c r="AY711" s="211"/>
      <c r="AZ711" s="211"/>
      <c r="BA711" s="211"/>
      <c r="BB711" s="211"/>
      <c r="BC711" s="211"/>
      <c r="BD711" s="333">
        <v>43551</v>
      </c>
      <c r="BE711" s="82">
        <f t="shared" si="91"/>
        <v>2150577</v>
      </c>
    </row>
    <row r="712" spans="2:57" ht="30.6" hidden="1" x14ac:dyDescent="0.3">
      <c r="B712" s="2" t="str">
        <f>+'Base de Datos'!E712</f>
        <v>180380-0-2018</v>
      </c>
      <c r="C712" s="2" t="str">
        <f>+'Base de Datos'!F712</f>
        <v>LINDA ROSA CAMPO RODRIGUEZ</v>
      </c>
      <c r="D712" s="2">
        <f>+'Base de Datos'!G712</f>
        <v>36454156</v>
      </c>
      <c r="E712" s="2" t="str">
        <f>+'Base de Datos'!H712</f>
        <v>Prestar servicios profesionales para apoyar al proceso de nómina de Concejo de Bogotá, y a la Dirección Financiera en los asuntos propios de la dependencia.</v>
      </c>
      <c r="F712" s="197">
        <f>+'Base de Datos'!I712</f>
        <v>23436000</v>
      </c>
      <c r="G712" s="196">
        <f>+'Base de Datos'!M712</f>
        <v>43419</v>
      </c>
      <c r="H712" s="196">
        <f>+'Base de Datos'!N712</f>
        <v>43496</v>
      </c>
      <c r="I712" s="196"/>
      <c r="J712" s="158">
        <v>11718000</v>
      </c>
      <c r="K712" s="333">
        <v>43493</v>
      </c>
      <c r="L712" s="211"/>
      <c r="M712" s="336"/>
      <c r="N712" s="158"/>
      <c r="O712" s="333"/>
      <c r="P712" s="158"/>
      <c r="Q712" s="338"/>
      <c r="R712" s="81">
        <f t="shared" si="93"/>
        <v>11718000</v>
      </c>
      <c r="S712" s="820" t="s">
        <v>2585</v>
      </c>
      <c r="T712" s="333">
        <v>43554</v>
      </c>
      <c r="U712" s="158"/>
      <c r="V712" s="333"/>
      <c r="W712" s="158"/>
      <c r="X712" s="333"/>
      <c r="Y712" s="158"/>
      <c r="Z712" s="333"/>
      <c r="AA712" s="820" t="s">
        <v>2585</v>
      </c>
      <c r="AB712" s="1004">
        <f t="shared" si="94"/>
        <v>43554</v>
      </c>
      <c r="AC712" s="1082" t="str">
        <f t="shared" si="95"/>
        <v/>
      </c>
      <c r="AD712" s="1077"/>
      <c r="AE712" s="1077"/>
      <c r="AF712" s="1084" t="str">
        <f t="shared" si="96"/>
        <v/>
      </c>
      <c r="AG712" s="1082" t="str">
        <f t="shared" si="97"/>
        <v/>
      </c>
      <c r="AH712" s="1091"/>
      <c r="AI712" s="1087"/>
      <c r="AJ712" s="1084" t="str">
        <f t="shared" si="98"/>
        <v/>
      </c>
      <c r="AK712" s="1083" t="str">
        <f t="shared" si="99"/>
        <v/>
      </c>
      <c r="AL712" s="211">
        <v>4166400</v>
      </c>
      <c r="AM712" s="211">
        <v>7812000</v>
      </c>
      <c r="AN712" s="211">
        <v>7812000</v>
      </c>
      <c r="AO712" s="211">
        <v>7812000</v>
      </c>
      <c r="AP712" s="211">
        <v>3645600</v>
      </c>
      <c r="AQ712" s="211">
        <v>3906000</v>
      </c>
      <c r="AR712" s="211"/>
      <c r="AS712" s="211"/>
      <c r="AT712" s="211"/>
      <c r="AU712" s="211"/>
      <c r="AV712" s="211"/>
      <c r="AW712" s="211"/>
      <c r="AX712" s="211"/>
      <c r="AY712" s="211"/>
      <c r="AZ712" s="211"/>
      <c r="BA712" s="211"/>
      <c r="BB712" s="211"/>
      <c r="BC712" s="211"/>
      <c r="BD712" s="333">
        <v>43555</v>
      </c>
      <c r="BE712" s="82">
        <f t="shared" si="91"/>
        <v>35154000</v>
      </c>
    </row>
    <row r="713" spans="2:57" ht="20.399999999999999" hidden="1" x14ac:dyDescent="0.3">
      <c r="B713" s="2" t="str">
        <f>+'Base de Datos'!E713</f>
        <v>180378-0-2018</v>
      </c>
      <c r="C713" s="2" t="str">
        <f>+'Base de Datos'!F713</f>
        <v>UNIVERSAL DE PRODUCTOS Y SERVICIOS LTDA. UNIPRODUCTOS</v>
      </c>
      <c r="D713" s="2">
        <f>+'Base de Datos'!G713</f>
        <v>800200439</v>
      </c>
      <c r="E713" s="2" t="str">
        <f>+'Base de Datos'!H713</f>
        <v>Proveer un sistema de detención de incendios para el centro de cableado del edificio del Concejo de Bogotá</v>
      </c>
      <c r="F713" s="197">
        <f>+'Base de Datos'!I713</f>
        <v>7176890</v>
      </c>
      <c r="G713" s="196">
        <f>+'Base de Datos'!M713</f>
        <v>43424</v>
      </c>
      <c r="H713" s="196">
        <f>+'Base de Datos'!N713</f>
        <v>43515</v>
      </c>
      <c r="I713" s="196"/>
      <c r="J713" s="158"/>
      <c r="K713" s="333"/>
      <c r="L713" s="211"/>
      <c r="M713" s="336"/>
      <c r="N713" s="158"/>
      <c r="O713" s="333"/>
      <c r="P713" s="158"/>
      <c r="Q713" s="338"/>
      <c r="R713" s="81">
        <f t="shared" si="93"/>
        <v>0</v>
      </c>
      <c r="S713" s="258"/>
      <c r="T713" s="333"/>
      <c r="U713" s="158"/>
      <c r="V713" s="333"/>
      <c r="W713" s="158"/>
      <c r="X713" s="333"/>
      <c r="Y713" s="158"/>
      <c r="Z713" s="333"/>
      <c r="AA713" s="326"/>
      <c r="AB713" s="1004" t="str">
        <f t="shared" si="94"/>
        <v/>
      </c>
      <c r="AC713" s="1082" t="str">
        <f t="shared" si="95"/>
        <v/>
      </c>
      <c r="AD713" s="1077"/>
      <c r="AE713" s="1077"/>
      <c r="AF713" s="1084" t="str">
        <f t="shared" si="96"/>
        <v/>
      </c>
      <c r="AG713" s="1082" t="str">
        <f t="shared" si="97"/>
        <v/>
      </c>
      <c r="AH713" s="1091"/>
      <c r="AI713" s="1087"/>
      <c r="AJ713" s="1084" t="str">
        <f t="shared" si="98"/>
        <v/>
      </c>
      <c r="AK713" s="1083" t="str">
        <f t="shared" si="99"/>
        <v/>
      </c>
      <c r="AL713" s="211">
        <v>3920724</v>
      </c>
      <c r="AM713" s="211">
        <v>3256166</v>
      </c>
      <c r="AN713" s="211"/>
      <c r="AO713" s="211"/>
      <c r="AP713" s="211"/>
      <c r="AQ713" s="211"/>
      <c r="AR713" s="211"/>
      <c r="AS713" s="211"/>
      <c r="AT713" s="211"/>
      <c r="AU713" s="211"/>
      <c r="AV713" s="211"/>
      <c r="AW713" s="211"/>
      <c r="AX713" s="211"/>
      <c r="AY713" s="211"/>
      <c r="AZ713" s="211"/>
      <c r="BA713" s="211"/>
      <c r="BB713" s="211"/>
      <c r="BC713" s="211"/>
      <c r="BD713" s="333"/>
      <c r="BE713" s="82">
        <f t="shared" si="91"/>
        <v>7176890</v>
      </c>
    </row>
    <row r="714" spans="2:57" ht="40.799999999999997" hidden="1" x14ac:dyDescent="0.3">
      <c r="B714" s="2" t="str">
        <f>+'Base de Datos'!E714</f>
        <v>180379-0-2018</v>
      </c>
      <c r="C714" s="2" t="str">
        <f>+'Base de Datos'!F714</f>
        <v>UNION TEMPORAL SICVEL VIDEO HACIENDA 2018</v>
      </c>
      <c r="D714" s="2">
        <f>+'Base de Datos'!G714</f>
        <v>901227876</v>
      </c>
      <c r="E714" s="2" t="str">
        <f>+'Base de Datos'!H714</f>
        <v>Proveer un sistema de audio y video para el Concejo de Bogotá, de conformidad con lo establecido en el pliego de condiciones de la subasta inversa electrónica No. SDH-SIE-16-2018</v>
      </c>
      <c r="F714" s="197">
        <f>+'Base de Datos'!I714</f>
        <v>375000000</v>
      </c>
      <c r="G714" s="196">
        <f>+'Base de Datos'!M714</f>
        <v>43425</v>
      </c>
      <c r="H714" s="196">
        <f>+'Base de Datos'!N714</f>
        <v>43516</v>
      </c>
      <c r="I714" s="196"/>
      <c r="J714" s="158"/>
      <c r="K714" s="333"/>
      <c r="L714" s="211"/>
      <c r="M714" s="336"/>
      <c r="N714" s="158"/>
      <c r="O714" s="333"/>
      <c r="P714" s="158"/>
      <c r="Q714" s="338"/>
      <c r="R714" s="81">
        <f t="shared" si="93"/>
        <v>0</v>
      </c>
      <c r="S714" s="258"/>
      <c r="T714" s="333"/>
      <c r="U714" s="158"/>
      <c r="V714" s="333"/>
      <c r="W714" s="158"/>
      <c r="X714" s="333"/>
      <c r="Y714" s="158"/>
      <c r="Z714" s="333"/>
      <c r="AA714" s="326"/>
      <c r="AB714" s="1004" t="str">
        <f t="shared" si="94"/>
        <v/>
      </c>
      <c r="AC714" s="1082" t="str">
        <f t="shared" si="95"/>
        <v/>
      </c>
      <c r="AD714" s="1077"/>
      <c r="AE714" s="1077"/>
      <c r="AF714" s="1084" t="str">
        <f t="shared" si="96"/>
        <v/>
      </c>
      <c r="AG714" s="1082" t="str">
        <f t="shared" si="97"/>
        <v/>
      </c>
      <c r="AH714" s="1091"/>
      <c r="AI714" s="1087"/>
      <c r="AJ714" s="1084" t="str">
        <f t="shared" si="98"/>
        <v/>
      </c>
      <c r="AK714" s="1083" t="str">
        <f t="shared" si="99"/>
        <v/>
      </c>
      <c r="AL714" s="211">
        <v>358800000</v>
      </c>
      <c r="AM714" s="211">
        <v>16200000</v>
      </c>
      <c r="AN714" s="211"/>
      <c r="AO714" s="211"/>
      <c r="AP714" s="211"/>
      <c r="AQ714" s="211"/>
      <c r="AR714" s="211"/>
      <c r="AS714" s="211"/>
      <c r="AT714" s="211"/>
      <c r="AU714" s="211"/>
      <c r="AV714" s="211"/>
      <c r="AW714" s="211"/>
      <c r="AX714" s="211"/>
      <c r="AY714" s="211"/>
      <c r="AZ714" s="211"/>
      <c r="BA714" s="211"/>
      <c r="BB714" s="211"/>
      <c r="BC714" s="211"/>
      <c r="BD714" s="333">
        <v>43766</v>
      </c>
      <c r="BE714" s="82">
        <f t="shared" ref="BE714:BE777" si="100">SUM(AL714:BC714)</f>
        <v>375000000</v>
      </c>
    </row>
    <row r="715" spans="2:57" ht="20.399999999999999" hidden="1" x14ac:dyDescent="0.3">
      <c r="B715" s="2" t="str">
        <f>+'Base de Datos'!E715</f>
        <v>180382-0-2018</v>
      </c>
      <c r="C715" s="2" t="str">
        <f>+'Base de Datos'!F715</f>
        <v>PANAMERICANA LIBRERÍA Y PAPELERIA SA</v>
      </c>
      <c r="D715" s="2" t="str">
        <f>+'Base de Datos'!G715</f>
        <v>830037946-3</v>
      </c>
      <c r="E715" s="2" t="str">
        <f>+'Base de Datos'!H715</f>
        <v>Adquisición de sillas para el salon presidentes del Concejo de Bogotá D.C.</v>
      </c>
      <c r="F715" s="197">
        <f>+'Base de Datos'!I715</f>
        <v>17713692</v>
      </c>
      <c r="G715" s="196">
        <f>+'Base de Datos'!M715</f>
        <v>43417</v>
      </c>
      <c r="H715" s="196">
        <f>+'Base de Datos'!N715</f>
        <v>43424</v>
      </c>
      <c r="I715" s="196"/>
      <c r="J715" s="158"/>
      <c r="K715" s="333"/>
      <c r="L715" s="211"/>
      <c r="M715" s="336"/>
      <c r="N715" s="158"/>
      <c r="O715" s="333"/>
      <c r="P715" s="158"/>
      <c r="Q715" s="338"/>
      <c r="R715" s="81">
        <f t="shared" si="93"/>
        <v>0</v>
      </c>
      <c r="S715" s="258"/>
      <c r="T715" s="333"/>
      <c r="U715" s="158"/>
      <c r="V715" s="333"/>
      <c r="W715" s="158"/>
      <c r="X715" s="333"/>
      <c r="Y715" s="158"/>
      <c r="Z715" s="333"/>
      <c r="AA715" s="326"/>
      <c r="AB715" s="1004" t="str">
        <f t="shared" si="94"/>
        <v/>
      </c>
      <c r="AC715" s="1082" t="str">
        <f t="shared" si="95"/>
        <v/>
      </c>
      <c r="AD715" s="1077"/>
      <c r="AE715" s="1077"/>
      <c r="AF715" s="1084" t="str">
        <f t="shared" si="96"/>
        <v/>
      </c>
      <c r="AG715" s="1082" t="str">
        <f t="shared" si="97"/>
        <v/>
      </c>
      <c r="AH715" s="1091"/>
      <c r="AI715" s="1087"/>
      <c r="AJ715" s="1084" t="str">
        <f t="shared" si="98"/>
        <v/>
      </c>
      <c r="AK715" s="1083" t="str">
        <f t="shared" si="99"/>
        <v/>
      </c>
      <c r="AL715" s="211">
        <v>17615413</v>
      </c>
      <c r="AM715" s="211"/>
      <c r="AN715" s="211"/>
      <c r="AO715" s="211"/>
      <c r="AP715" s="211"/>
      <c r="AQ715" s="211"/>
      <c r="AR715" s="211"/>
      <c r="AS715" s="211"/>
      <c r="AT715" s="211"/>
      <c r="AU715" s="211"/>
      <c r="AV715" s="211"/>
      <c r="AW715" s="211"/>
      <c r="AX715" s="211"/>
      <c r="AY715" s="211"/>
      <c r="AZ715" s="211"/>
      <c r="BA715" s="211"/>
      <c r="BB715" s="211"/>
      <c r="BC715" s="211"/>
      <c r="BD715" s="333">
        <v>43453</v>
      </c>
      <c r="BE715" s="82">
        <f t="shared" si="100"/>
        <v>17615413</v>
      </c>
    </row>
    <row r="716" spans="2:57" ht="30.6" hidden="1" x14ac:dyDescent="0.3">
      <c r="B716" s="2" t="str">
        <f>+'Base de Datos'!E716</f>
        <v>180375-0-2018</v>
      </c>
      <c r="C716" s="2" t="str">
        <f>+'Base de Datos'!F716</f>
        <v>COLOMBIANA DE SOFTWARE Y HARDWARE COLSOF S.A.</v>
      </c>
      <c r="D716" s="2">
        <f>+'Base de Datos'!G716</f>
        <v>800015583</v>
      </c>
      <c r="E716" s="2" t="str">
        <f>+'Base de Datos'!H716</f>
        <v>Prestar servicios de soporte técnico especializado y mantenimiento preventivo, correctivo para los servidores y sus dispositivos del Concejo de Bogotá.</v>
      </c>
      <c r="F716" s="197">
        <f>+'Base de Datos'!I716</f>
        <v>147499998</v>
      </c>
      <c r="G716" s="196">
        <f>+'Base de Datos'!M716</f>
        <v>43425</v>
      </c>
      <c r="H716" s="196">
        <f>+'Base de Datos'!N716</f>
        <v>43605</v>
      </c>
      <c r="I716" s="196"/>
      <c r="J716" s="158">
        <v>49166666</v>
      </c>
      <c r="K716" s="333">
        <v>43602</v>
      </c>
      <c r="L716" s="211"/>
      <c r="M716" s="336"/>
      <c r="N716" s="158"/>
      <c r="O716" s="333"/>
      <c r="P716" s="158"/>
      <c r="Q716" s="338"/>
      <c r="R716" s="81">
        <f t="shared" si="93"/>
        <v>49166666</v>
      </c>
      <c r="S716" s="258" t="s">
        <v>378</v>
      </c>
      <c r="T716" s="333">
        <v>43666</v>
      </c>
      <c r="U716" s="158"/>
      <c r="V716" s="333"/>
      <c r="W716" s="158"/>
      <c r="X716" s="333"/>
      <c r="Y716" s="158"/>
      <c r="Z716" s="333"/>
      <c r="AA716" s="326" t="s">
        <v>378</v>
      </c>
      <c r="AB716" s="1004">
        <f t="shared" si="94"/>
        <v>43666</v>
      </c>
      <c r="AC716" s="1082" t="str">
        <f t="shared" si="95"/>
        <v/>
      </c>
      <c r="AD716" s="1077"/>
      <c r="AE716" s="1077"/>
      <c r="AF716" s="1084" t="str">
        <f t="shared" si="96"/>
        <v/>
      </c>
      <c r="AG716" s="1082" t="str">
        <f t="shared" si="97"/>
        <v/>
      </c>
      <c r="AH716" s="1091"/>
      <c r="AI716" s="1087"/>
      <c r="AJ716" s="1084" t="str">
        <f t="shared" si="98"/>
        <v/>
      </c>
      <c r="AK716" s="1083" t="str">
        <f t="shared" si="99"/>
        <v/>
      </c>
      <c r="AL716" s="211">
        <v>73749999</v>
      </c>
      <c r="AM716" s="211">
        <v>73749999</v>
      </c>
      <c r="AN716" s="211">
        <v>49166666</v>
      </c>
      <c r="AO716" s="211"/>
      <c r="AP716" s="211"/>
      <c r="AQ716" s="211"/>
      <c r="AR716" s="211"/>
      <c r="AS716" s="211"/>
      <c r="AT716" s="211"/>
      <c r="AU716" s="211"/>
      <c r="AV716" s="211"/>
      <c r="AW716" s="211"/>
      <c r="AX716" s="211"/>
      <c r="AY716" s="211"/>
      <c r="AZ716" s="211"/>
      <c r="BA716" s="211"/>
      <c r="BB716" s="211"/>
      <c r="BC716" s="211"/>
      <c r="BD716" s="333">
        <v>43704</v>
      </c>
      <c r="BE716" s="82">
        <f t="shared" si="100"/>
        <v>196666664</v>
      </c>
    </row>
    <row r="717" spans="2:57" ht="20.399999999999999" hidden="1" x14ac:dyDescent="0.3">
      <c r="B717" s="2" t="str">
        <f>+'Base de Datos'!E717</f>
        <v>180377-0-2018</v>
      </c>
      <c r="C717" s="2" t="str">
        <f>+'Base de Datos'!F717</f>
        <v>MAP INGENIEROS Y/O MARIA FERNANDA CORTES EU</v>
      </c>
      <c r="D717" s="2">
        <f>+'Base de Datos'!G717</f>
        <v>830135234</v>
      </c>
      <c r="E717" s="2" t="str">
        <f>+'Base de Datos'!H717</f>
        <v>Proveer elementos ergonómicos para los puestos de trabajo de los servidores públicos del Concejo de Bogotá, D.C.</v>
      </c>
      <c r="F717" s="197">
        <f>+'Base de Datos'!I717</f>
        <v>7000000</v>
      </c>
      <c r="G717" s="196">
        <f>+'Base de Datos'!M717</f>
        <v>43427</v>
      </c>
      <c r="H717" s="196">
        <f>+'Base de Datos'!N717</f>
        <v>43518</v>
      </c>
      <c r="I717" s="196"/>
      <c r="J717" s="158"/>
      <c r="K717" s="333"/>
      <c r="L717" s="211"/>
      <c r="M717" s="336"/>
      <c r="N717" s="158"/>
      <c r="O717" s="333"/>
      <c r="P717" s="158"/>
      <c r="Q717" s="338"/>
      <c r="R717" s="81">
        <f t="shared" si="93"/>
        <v>0</v>
      </c>
      <c r="S717" s="258"/>
      <c r="T717" s="333"/>
      <c r="U717" s="158"/>
      <c r="V717" s="333"/>
      <c r="W717" s="158"/>
      <c r="X717" s="333"/>
      <c r="Y717" s="158"/>
      <c r="Z717" s="333"/>
      <c r="AA717" s="326"/>
      <c r="AB717" s="1004" t="str">
        <f t="shared" si="94"/>
        <v/>
      </c>
      <c r="AC717" s="1082" t="str">
        <f t="shared" si="95"/>
        <v/>
      </c>
      <c r="AD717" s="1077"/>
      <c r="AE717" s="1077"/>
      <c r="AF717" s="1084" t="str">
        <f t="shared" si="96"/>
        <v/>
      </c>
      <c r="AG717" s="1082" t="str">
        <f t="shared" si="97"/>
        <v/>
      </c>
      <c r="AH717" s="1091"/>
      <c r="AI717" s="1087"/>
      <c r="AJ717" s="1084" t="str">
        <f t="shared" si="98"/>
        <v/>
      </c>
      <c r="AK717" s="1083" t="str">
        <f t="shared" si="99"/>
        <v/>
      </c>
      <c r="AL717" s="211">
        <v>6994400</v>
      </c>
      <c r="AM717" s="211"/>
      <c r="AN717" s="211"/>
      <c r="AO717" s="211"/>
      <c r="AP717" s="211"/>
      <c r="AQ717" s="211"/>
      <c r="AR717" s="211"/>
      <c r="AS717" s="211"/>
      <c r="AT717" s="211"/>
      <c r="AU717" s="211"/>
      <c r="AV717" s="211"/>
      <c r="AW717" s="211"/>
      <c r="AX717" s="211"/>
      <c r="AY717" s="211"/>
      <c r="AZ717" s="211"/>
      <c r="BA717" s="211"/>
      <c r="BB717" s="211"/>
      <c r="BC717" s="211"/>
      <c r="BD717" s="333">
        <v>43601</v>
      </c>
      <c r="BE717" s="82">
        <f t="shared" si="100"/>
        <v>6994400</v>
      </c>
    </row>
    <row r="718" spans="2:57" ht="30.6" hidden="1" x14ac:dyDescent="0.3">
      <c r="B718" s="2" t="str">
        <f>+'Base de Datos'!E718</f>
        <v>180383-0-2018</v>
      </c>
      <c r="C718" s="2" t="str">
        <f>+'Base de Datos'!F718</f>
        <v>AXEDE S.A.</v>
      </c>
      <c r="D718" s="2" t="str">
        <f>+'Base de Datos'!G718</f>
        <v>830077975-8</v>
      </c>
      <c r="E718" s="2" t="str">
        <f>+'Base de Datos'!H718</f>
        <v>Prestar los servicios de manteniemiento, suministro de partes, repuestos y soporte para la planta telefónica y terminlaes telefónicos del Concejo de Bogotá.</v>
      </c>
      <c r="F718" s="197">
        <f>+'Base de Datos'!I718</f>
        <v>112602000</v>
      </c>
      <c r="G718" s="196">
        <f>+'Base de Datos'!M718</f>
        <v>43430</v>
      </c>
      <c r="H718" s="196">
        <f>+'Base de Datos'!N718</f>
        <v>43794</v>
      </c>
      <c r="I718" s="196"/>
      <c r="J718" s="158">
        <v>46917000</v>
      </c>
      <c r="K718" s="333">
        <v>43753</v>
      </c>
      <c r="L718" s="211"/>
      <c r="M718" s="336"/>
      <c r="N718" s="158"/>
      <c r="O718" s="333"/>
      <c r="P718" s="158"/>
      <c r="Q718" s="338"/>
      <c r="R718" s="81">
        <f t="shared" si="93"/>
        <v>46917000</v>
      </c>
      <c r="S718" s="258" t="s">
        <v>544</v>
      </c>
      <c r="T718" s="333">
        <v>43946</v>
      </c>
      <c r="U718" s="158"/>
      <c r="V718" s="333"/>
      <c r="W718" s="158"/>
      <c r="X718" s="333"/>
      <c r="Y718" s="158"/>
      <c r="Z718" s="333"/>
      <c r="AA718" s="326" t="s">
        <v>544</v>
      </c>
      <c r="AB718" s="1004">
        <f t="shared" si="94"/>
        <v>43946</v>
      </c>
      <c r="AC718" s="1082">
        <f t="shared" si="95"/>
        <v>30</v>
      </c>
      <c r="AD718" s="1077">
        <v>43939</v>
      </c>
      <c r="AE718" s="1077">
        <v>43968</v>
      </c>
      <c r="AF718" s="1077">
        <f t="shared" si="96"/>
        <v>43824</v>
      </c>
      <c r="AG718" s="1082" t="str">
        <f t="shared" si="97"/>
        <v/>
      </c>
      <c r="AH718" s="1091"/>
      <c r="AI718" s="1087"/>
      <c r="AJ718" s="1084" t="str">
        <f t="shared" si="98"/>
        <v/>
      </c>
      <c r="AK718" s="1083">
        <f t="shared" si="99"/>
        <v>43946</v>
      </c>
      <c r="AL718" s="211">
        <v>25828673</v>
      </c>
      <c r="AM718" s="211">
        <v>25828673</v>
      </c>
      <c r="AN718" s="211">
        <v>25828673</v>
      </c>
      <c r="AO718" s="211">
        <v>25828673</v>
      </c>
      <c r="AP718" s="211">
        <v>46917000</v>
      </c>
      <c r="AQ718" s="211"/>
      <c r="AR718" s="211"/>
      <c r="AS718" s="211"/>
      <c r="AT718" s="211"/>
      <c r="AU718" s="211"/>
      <c r="AV718" s="211"/>
      <c r="AW718" s="211"/>
      <c r="AX718" s="211"/>
      <c r="AY718" s="211"/>
      <c r="AZ718" s="211"/>
      <c r="BA718" s="211"/>
      <c r="BB718" s="211"/>
      <c r="BC718" s="211"/>
      <c r="BD718" s="333">
        <v>44013</v>
      </c>
      <c r="BE718" s="82">
        <f t="shared" si="100"/>
        <v>150231692</v>
      </c>
    </row>
    <row r="719" spans="2:57" ht="51" hidden="1" x14ac:dyDescent="0.3">
      <c r="B719" s="2" t="str">
        <f>+'Base de Datos'!E719</f>
        <v>180388-0-2018</v>
      </c>
      <c r="C719" s="2" t="str">
        <f>+'Base de Datos'!F719</f>
        <v>RONALD STIVE SANCHEZ POSADA</v>
      </c>
      <c r="D719" s="2">
        <f>+'Base de Datos'!G719</f>
        <v>79883661</v>
      </c>
      <c r="E719" s="2" t="str">
        <f>+'Base de Datos'!H719</f>
        <v>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v>
      </c>
      <c r="F719" s="197">
        <f>+'Base de Datos'!I719</f>
        <v>21093000</v>
      </c>
      <c r="G719" s="196">
        <f>+'Base de Datos'!M719</f>
        <v>43430</v>
      </c>
      <c r="H719" s="196">
        <f>+'Base de Datos'!N719</f>
        <v>43496</v>
      </c>
      <c r="I719" s="196"/>
      <c r="J719" s="158"/>
      <c r="K719" s="333"/>
      <c r="L719" s="211"/>
      <c r="M719" s="336"/>
      <c r="N719" s="158"/>
      <c r="O719" s="333"/>
      <c r="P719" s="158"/>
      <c r="Q719" s="338"/>
      <c r="R719" s="81">
        <f t="shared" si="93"/>
        <v>0</v>
      </c>
      <c r="S719" s="258"/>
      <c r="T719" s="333"/>
      <c r="U719" s="158"/>
      <c r="V719" s="333"/>
      <c r="W719" s="158"/>
      <c r="X719" s="333"/>
      <c r="Y719" s="158"/>
      <c r="Z719" s="333"/>
      <c r="AA719" s="326"/>
      <c r="AB719" s="1004" t="str">
        <f t="shared" si="94"/>
        <v/>
      </c>
      <c r="AC719" s="1082" t="str">
        <f t="shared" si="95"/>
        <v/>
      </c>
      <c r="AD719" s="1077"/>
      <c r="AE719" s="1077"/>
      <c r="AF719" s="1084" t="str">
        <f t="shared" si="96"/>
        <v/>
      </c>
      <c r="AG719" s="1082" t="str">
        <f t="shared" si="97"/>
        <v/>
      </c>
      <c r="AH719" s="1091"/>
      <c r="AI719" s="1087"/>
      <c r="AJ719" s="1084" t="str">
        <f t="shared" si="98"/>
        <v/>
      </c>
      <c r="AK719" s="1083" t="str">
        <f t="shared" si="99"/>
        <v/>
      </c>
      <c r="AL719" s="211">
        <v>1171833</v>
      </c>
      <c r="AM719" s="211">
        <v>7031000</v>
      </c>
      <c r="AN719" s="211">
        <v>7031000</v>
      </c>
      <c r="AO719" s="211"/>
      <c r="AP719" s="211"/>
      <c r="AQ719" s="211"/>
      <c r="AR719" s="211"/>
      <c r="AS719" s="211"/>
      <c r="AT719" s="211"/>
      <c r="AU719" s="211"/>
      <c r="AV719" s="211"/>
      <c r="AW719" s="211"/>
      <c r="AX719" s="211"/>
      <c r="AY719" s="211"/>
      <c r="AZ719" s="211"/>
      <c r="BA719" s="211"/>
      <c r="BB719" s="211"/>
      <c r="BC719" s="211"/>
      <c r="BD719" s="333">
        <v>43514</v>
      </c>
      <c r="BE719" s="82">
        <f t="shared" si="100"/>
        <v>15233833</v>
      </c>
    </row>
    <row r="720" spans="2:57" ht="20.399999999999999" hidden="1" x14ac:dyDescent="0.3">
      <c r="B720" s="2" t="str">
        <f>+'Base de Datos'!E720</f>
        <v>180393-0-2018</v>
      </c>
      <c r="C720" s="2" t="str">
        <f>+'Base de Datos'!F720</f>
        <v>SOLUCIONES H &amp; S SAS</v>
      </c>
      <c r="D720" s="2" t="str">
        <f>+'Base de Datos'!G720</f>
        <v>900699012-3</v>
      </c>
      <c r="E720" s="2" t="str">
        <f>+'Base de Datos'!H720</f>
        <v>Prestar el servicio de alquiler, instalación y desmonte de la decoración navideña para el Concejo de Bogotá D.C.</v>
      </c>
      <c r="F720" s="197">
        <f>+'Base de Datos'!I720</f>
        <v>17440000</v>
      </c>
      <c r="G720" s="196">
        <f>+'Base de Datos'!M720</f>
        <v>43441</v>
      </c>
      <c r="H720" s="196">
        <f>+'Base de Datos'!N720</f>
        <v>43502</v>
      </c>
      <c r="I720" s="196"/>
      <c r="J720" s="158"/>
      <c r="K720" s="333"/>
      <c r="L720" s="211"/>
      <c r="M720" s="336"/>
      <c r="N720" s="158"/>
      <c r="O720" s="333"/>
      <c r="P720" s="158"/>
      <c r="Q720" s="338"/>
      <c r="R720" s="81">
        <f t="shared" si="93"/>
        <v>0</v>
      </c>
      <c r="S720" s="258"/>
      <c r="T720" s="333"/>
      <c r="U720" s="158"/>
      <c r="V720" s="333"/>
      <c r="W720" s="158"/>
      <c r="X720" s="333"/>
      <c r="Y720" s="158"/>
      <c r="Z720" s="333"/>
      <c r="AA720" s="326"/>
      <c r="AB720" s="1004" t="str">
        <f t="shared" si="94"/>
        <v/>
      </c>
      <c r="AC720" s="1082" t="str">
        <f t="shared" si="95"/>
        <v/>
      </c>
      <c r="AD720" s="1077"/>
      <c r="AE720" s="1077"/>
      <c r="AF720" s="1084" t="str">
        <f t="shared" si="96"/>
        <v/>
      </c>
      <c r="AG720" s="1082" t="str">
        <f t="shared" si="97"/>
        <v/>
      </c>
      <c r="AH720" s="1091"/>
      <c r="AI720" s="1087"/>
      <c r="AJ720" s="1084" t="str">
        <f t="shared" si="98"/>
        <v/>
      </c>
      <c r="AK720" s="1083" t="str">
        <f t="shared" si="99"/>
        <v/>
      </c>
      <c r="AL720" s="211">
        <v>13952000</v>
      </c>
      <c r="AM720" s="211">
        <v>3488000</v>
      </c>
      <c r="AN720" s="211"/>
      <c r="AO720" s="211"/>
      <c r="AP720" s="211"/>
      <c r="AQ720" s="211"/>
      <c r="AR720" s="211"/>
      <c r="AS720" s="211"/>
      <c r="AT720" s="211"/>
      <c r="AU720" s="211"/>
      <c r="AV720" s="211"/>
      <c r="AW720" s="211"/>
      <c r="AX720" s="211"/>
      <c r="AY720" s="211"/>
      <c r="AZ720" s="211"/>
      <c r="BA720" s="211"/>
      <c r="BB720" s="211"/>
      <c r="BC720" s="211"/>
      <c r="BD720" s="333">
        <v>43566</v>
      </c>
      <c r="BE720" s="82">
        <f t="shared" si="100"/>
        <v>17440000</v>
      </c>
    </row>
    <row r="721" spans="2:57" ht="20.399999999999999" hidden="1" x14ac:dyDescent="0.3">
      <c r="B721" s="2" t="str">
        <f>+'Base de Datos'!E721</f>
        <v>180429-0-2018</v>
      </c>
      <c r="C721" s="2" t="str">
        <f>+'Base de Datos'!F721</f>
        <v>CAJA COLOMBIANA DE SUBSIDIO FAMILIAR COLSUBSIDIO</v>
      </c>
      <c r="D721" s="2" t="str">
        <f>+'Base de Datos'!G721</f>
        <v>860007336-1</v>
      </c>
      <c r="E721" s="2" t="str">
        <f>+'Base de Datos'!H721</f>
        <v>Proveer bonos navideños para los hijos de los funcionarios del Concejo de Bogotá.</v>
      </c>
      <c r="F721" s="197">
        <f>+'Base de Datos'!I721</f>
        <v>39062000</v>
      </c>
      <c r="G721" s="196">
        <f>+'Base de Datos'!M721</f>
        <v>43448</v>
      </c>
      <c r="H721" s="196">
        <f>+'Base de Datos'!N721</f>
        <v>43568</v>
      </c>
      <c r="I721" s="196"/>
      <c r="J721" s="158"/>
      <c r="K721" s="333"/>
      <c r="L721" s="211"/>
      <c r="M721" s="336"/>
      <c r="N721" s="158"/>
      <c r="O721" s="333"/>
      <c r="P721" s="158"/>
      <c r="Q721" s="338"/>
      <c r="R721" s="81">
        <f t="shared" si="93"/>
        <v>0</v>
      </c>
      <c r="S721" s="258"/>
      <c r="T721" s="333"/>
      <c r="U721" s="158"/>
      <c r="V721" s="333"/>
      <c r="W721" s="158"/>
      <c r="X721" s="333"/>
      <c r="Y721" s="158"/>
      <c r="Z721" s="333"/>
      <c r="AA721" s="326"/>
      <c r="AB721" s="1004" t="str">
        <f t="shared" si="94"/>
        <v/>
      </c>
      <c r="AC721" s="1082" t="str">
        <f t="shared" si="95"/>
        <v/>
      </c>
      <c r="AD721" s="1077"/>
      <c r="AE721" s="1077"/>
      <c r="AF721" s="1084" t="str">
        <f t="shared" si="96"/>
        <v/>
      </c>
      <c r="AG721" s="1082" t="str">
        <f t="shared" si="97"/>
        <v/>
      </c>
      <c r="AH721" s="1091"/>
      <c r="AI721" s="1087"/>
      <c r="AJ721" s="1084" t="str">
        <f t="shared" si="98"/>
        <v/>
      </c>
      <c r="AK721" s="1083" t="str">
        <f t="shared" si="99"/>
        <v/>
      </c>
      <c r="AL721" s="211">
        <v>27812144</v>
      </c>
      <c r="AM721" s="211">
        <v>2966050</v>
      </c>
      <c r="AN721" s="211">
        <v>156248</v>
      </c>
      <c r="AO721" s="211"/>
      <c r="AP721" s="211"/>
      <c r="AQ721" s="211"/>
      <c r="AR721" s="211"/>
      <c r="AS721" s="211"/>
      <c r="AT721" s="211"/>
      <c r="AU721" s="211"/>
      <c r="AV721" s="211"/>
      <c r="AW721" s="211"/>
      <c r="AX721" s="211"/>
      <c r="AY721" s="211"/>
      <c r="AZ721" s="211"/>
      <c r="BA721" s="211"/>
      <c r="BB721" s="211"/>
      <c r="BC721" s="211"/>
      <c r="BD721" s="333">
        <v>43642</v>
      </c>
      <c r="BE721" s="82">
        <f t="shared" si="100"/>
        <v>30934442</v>
      </c>
    </row>
    <row r="722" spans="2:57" ht="20.399999999999999" hidden="1" x14ac:dyDescent="0.3">
      <c r="B722" s="2" t="str">
        <f>+'Base de Datos'!E722</f>
        <v>180435-0-2018</v>
      </c>
      <c r="C722" s="2" t="str">
        <f>+'Base de Datos'!F722</f>
        <v>COLOMBIANA DE COMERCIO S.A. Y/O ALKOSTO S.A.</v>
      </c>
      <c r="D722" s="2" t="str">
        <f>+'Base de Datos'!G722</f>
        <v>890900943-1</v>
      </c>
      <c r="E722" s="2" t="str">
        <f>+'Base de Datos'!H722</f>
        <v>Adquirir televisor de gran formato para el salon comuneros</v>
      </c>
      <c r="F722" s="197">
        <f>+'Base de Datos'!I722</f>
        <v>9323897</v>
      </c>
      <c r="G722" s="196">
        <f>+'Base de Datos'!M722</f>
        <v>43446</v>
      </c>
      <c r="H722" s="196">
        <f>+'Base de Datos'!N722</f>
        <v>43452</v>
      </c>
      <c r="I722" s="196"/>
      <c r="J722" s="158"/>
      <c r="K722" s="333"/>
      <c r="L722" s="211"/>
      <c r="M722" s="336"/>
      <c r="N722" s="158"/>
      <c r="O722" s="333"/>
      <c r="P722" s="158"/>
      <c r="Q722" s="338"/>
      <c r="R722" s="81">
        <f t="shared" si="93"/>
        <v>0</v>
      </c>
      <c r="S722" s="258"/>
      <c r="T722" s="333"/>
      <c r="U722" s="158"/>
      <c r="V722" s="333"/>
      <c r="W722" s="158"/>
      <c r="X722" s="333"/>
      <c r="Y722" s="158"/>
      <c r="Z722" s="333"/>
      <c r="AA722" s="326"/>
      <c r="AB722" s="1004" t="str">
        <f t="shared" si="94"/>
        <v/>
      </c>
      <c r="AC722" s="1082" t="str">
        <f t="shared" si="95"/>
        <v/>
      </c>
      <c r="AD722" s="1077"/>
      <c r="AE722" s="1077"/>
      <c r="AF722" s="1084" t="str">
        <f t="shared" si="96"/>
        <v/>
      </c>
      <c r="AG722" s="1082" t="str">
        <f t="shared" si="97"/>
        <v/>
      </c>
      <c r="AH722" s="1091"/>
      <c r="AI722" s="1087"/>
      <c r="AJ722" s="1084" t="str">
        <f t="shared" si="98"/>
        <v/>
      </c>
      <c r="AK722" s="1083" t="str">
        <f t="shared" si="99"/>
        <v/>
      </c>
      <c r="AL722" s="211">
        <v>9323897</v>
      </c>
      <c r="AM722" s="211"/>
      <c r="AN722" s="211"/>
      <c r="AO722" s="211"/>
      <c r="AP722" s="211"/>
      <c r="AQ722" s="211"/>
      <c r="AR722" s="211"/>
      <c r="AS722" s="211"/>
      <c r="AT722" s="211"/>
      <c r="AU722" s="211"/>
      <c r="AV722" s="211"/>
      <c r="AW722" s="211"/>
      <c r="AX722" s="211"/>
      <c r="AY722" s="211"/>
      <c r="AZ722" s="211"/>
      <c r="BA722" s="211"/>
      <c r="BB722" s="211"/>
      <c r="BC722" s="211"/>
      <c r="BD722" s="333">
        <v>43453</v>
      </c>
      <c r="BE722" s="82">
        <f t="shared" si="100"/>
        <v>9323897</v>
      </c>
    </row>
    <row r="723" spans="2:57" ht="20.399999999999999" hidden="1" x14ac:dyDescent="0.3">
      <c r="B723" s="2" t="str">
        <f>+'Base de Datos'!E723</f>
        <v>180437-0-2018</v>
      </c>
      <c r="C723" s="2" t="str">
        <f>+'Base de Datos'!F723</f>
        <v>PANAMERICANA LIBRERÍA Y PAPELERIA SA</v>
      </c>
      <c r="D723" s="2" t="str">
        <f>+'Base de Datos'!G723</f>
        <v>830037946-3</v>
      </c>
      <c r="E723" s="2" t="str">
        <f>+'Base de Datos'!H723</f>
        <v>Adquirir equipo de computo especializado para la Secretaría General del Concejo de Bogotá y software correspondiente.</v>
      </c>
      <c r="F723" s="197">
        <f>+'Base de Datos'!I723</f>
        <v>12599060</v>
      </c>
      <c r="G723" s="196">
        <f>+'Base de Datos'!M723</f>
        <v>43446</v>
      </c>
      <c r="H723" s="196">
        <f>+'Base de Datos'!N723</f>
        <v>43456</v>
      </c>
      <c r="I723" s="196"/>
      <c r="J723" s="158"/>
      <c r="K723" s="333"/>
      <c r="L723" s="211"/>
      <c r="M723" s="336"/>
      <c r="N723" s="158"/>
      <c r="O723" s="333"/>
      <c r="P723" s="158"/>
      <c r="Q723" s="338"/>
      <c r="R723" s="81">
        <f t="shared" si="93"/>
        <v>0</v>
      </c>
      <c r="S723" s="258"/>
      <c r="T723" s="333"/>
      <c r="U723" s="158"/>
      <c r="V723" s="333"/>
      <c r="W723" s="158"/>
      <c r="X723" s="333"/>
      <c r="Y723" s="158"/>
      <c r="Z723" s="333"/>
      <c r="AA723" s="326"/>
      <c r="AB723" s="1004" t="str">
        <f t="shared" si="94"/>
        <v/>
      </c>
      <c r="AC723" s="1082" t="str">
        <f t="shared" si="95"/>
        <v/>
      </c>
      <c r="AD723" s="1077"/>
      <c r="AE723" s="1077"/>
      <c r="AF723" s="1084" t="str">
        <f t="shared" si="96"/>
        <v/>
      </c>
      <c r="AG723" s="1082" t="str">
        <f t="shared" si="97"/>
        <v/>
      </c>
      <c r="AH723" s="1091"/>
      <c r="AI723" s="1087"/>
      <c r="AJ723" s="1084" t="str">
        <f t="shared" si="98"/>
        <v/>
      </c>
      <c r="AK723" s="1083" t="str">
        <f t="shared" si="99"/>
        <v/>
      </c>
      <c r="AL723" s="211">
        <v>12599060</v>
      </c>
      <c r="AM723" s="211"/>
      <c r="AN723" s="211"/>
      <c r="AO723" s="211"/>
      <c r="AP723" s="211"/>
      <c r="AQ723" s="211"/>
      <c r="AR723" s="211"/>
      <c r="AS723" s="211"/>
      <c r="AT723" s="211"/>
      <c r="AU723" s="211"/>
      <c r="AV723" s="211"/>
      <c r="AW723" s="211"/>
      <c r="AX723" s="211"/>
      <c r="AY723" s="211"/>
      <c r="AZ723" s="211"/>
      <c r="BA723" s="211"/>
      <c r="BB723" s="211"/>
      <c r="BC723" s="211"/>
      <c r="BD723" s="333">
        <v>43542</v>
      </c>
      <c r="BE723" s="82">
        <f t="shared" si="100"/>
        <v>12599060</v>
      </c>
    </row>
    <row r="724" spans="2:57" ht="20.399999999999999" hidden="1" x14ac:dyDescent="0.3">
      <c r="B724" s="2" t="str">
        <f>+'Base de Datos'!E724</f>
        <v>180438-0-2018</v>
      </c>
      <c r="C724" s="2" t="str">
        <f>+'Base de Datos'!F724</f>
        <v>SUMIMAS SAS</v>
      </c>
      <c r="D724" s="2" t="str">
        <f>+'Base de Datos'!G724</f>
        <v>830001338-1</v>
      </c>
      <c r="E724" s="2" t="str">
        <f>+'Base de Datos'!H724</f>
        <v>Adquirir impresoras y complementarios para el Concejo de Bogotá</v>
      </c>
      <c r="F724" s="197">
        <f>+'Base de Datos'!I724</f>
        <v>284999697</v>
      </c>
      <c r="G724" s="196">
        <f>+'Base de Datos'!M724</f>
        <v>43446</v>
      </c>
      <c r="H724" s="196">
        <f>+'Base de Datos'!N724</f>
        <v>43784</v>
      </c>
      <c r="I724" s="196"/>
      <c r="J724" s="158"/>
      <c r="K724" s="333"/>
      <c r="L724" s="211"/>
      <c r="M724" s="336"/>
      <c r="N724" s="158"/>
      <c r="O724" s="333"/>
      <c r="P724" s="158"/>
      <c r="Q724" s="338"/>
      <c r="R724" s="81">
        <f t="shared" si="93"/>
        <v>0</v>
      </c>
      <c r="S724" s="258"/>
      <c r="T724" s="333"/>
      <c r="U724" s="158"/>
      <c r="V724" s="333"/>
      <c r="W724" s="158"/>
      <c r="X724" s="333"/>
      <c r="Y724" s="158"/>
      <c r="Z724" s="333"/>
      <c r="AA724" s="326"/>
      <c r="AB724" s="1004" t="str">
        <f t="shared" si="94"/>
        <v/>
      </c>
      <c r="AC724" s="1082" t="str">
        <f t="shared" si="95"/>
        <v/>
      </c>
      <c r="AD724" s="1077"/>
      <c r="AE724" s="1077"/>
      <c r="AF724" s="1084" t="str">
        <f t="shared" si="96"/>
        <v/>
      </c>
      <c r="AG724" s="1082" t="str">
        <f t="shared" si="97"/>
        <v/>
      </c>
      <c r="AH724" s="1091"/>
      <c r="AI724" s="1087"/>
      <c r="AJ724" s="1084" t="str">
        <f t="shared" si="98"/>
        <v/>
      </c>
      <c r="AK724" s="1083" t="str">
        <f t="shared" si="99"/>
        <v/>
      </c>
      <c r="AL724" s="211">
        <v>284999697</v>
      </c>
      <c r="AM724" s="211"/>
      <c r="AN724" s="211"/>
      <c r="AO724" s="211"/>
      <c r="AP724" s="211"/>
      <c r="AQ724" s="211"/>
      <c r="AR724" s="211"/>
      <c r="AS724" s="211"/>
      <c r="AT724" s="211"/>
      <c r="AU724" s="211"/>
      <c r="AV724" s="211"/>
      <c r="AW724" s="211"/>
      <c r="AX724" s="211"/>
      <c r="AY724" s="211"/>
      <c r="AZ724" s="211"/>
      <c r="BA724" s="211"/>
      <c r="BB724" s="211"/>
      <c r="BC724" s="211"/>
      <c r="BD724" s="333"/>
      <c r="BE724" s="82">
        <f t="shared" si="100"/>
        <v>284999697</v>
      </c>
    </row>
    <row r="725" spans="2:57" ht="20.399999999999999" hidden="1" x14ac:dyDescent="0.3">
      <c r="B725" s="2" t="str">
        <f>+'Base de Datos'!E725</f>
        <v>180396-0-2018</v>
      </c>
      <c r="C725" s="2" t="str">
        <f>+'Base de Datos'!F725</f>
        <v>LEGARCHIVO SAS</v>
      </c>
      <c r="D725" s="2">
        <f>+'Base de Datos'!G725</f>
        <v>800216724</v>
      </c>
      <c r="E725" s="2" t="str">
        <f>+'Base de Datos'!H725</f>
        <v xml:space="preserve">Suministro de elementos de protección y embalaje de documentos para el Concejo de Bogotá </v>
      </c>
      <c r="F725" s="197">
        <f>+'Base de Datos'!I725</f>
        <v>8315000</v>
      </c>
      <c r="G725" s="196">
        <f>+'Base de Datos'!M725</f>
        <v>43455</v>
      </c>
      <c r="H725" s="196">
        <f>+'Base de Datos'!N725</f>
        <v>43636</v>
      </c>
      <c r="I725" s="196"/>
      <c r="J725" s="158"/>
      <c r="K725" s="333"/>
      <c r="L725" s="211"/>
      <c r="M725" s="336"/>
      <c r="N725" s="158"/>
      <c r="O725" s="333"/>
      <c r="P725" s="158"/>
      <c r="Q725" s="338"/>
      <c r="R725" s="81">
        <f t="shared" si="93"/>
        <v>0</v>
      </c>
      <c r="S725" s="258"/>
      <c r="T725" s="333"/>
      <c r="U725" s="158"/>
      <c r="V725" s="333"/>
      <c r="W725" s="158"/>
      <c r="X725" s="333"/>
      <c r="Y725" s="158"/>
      <c r="Z725" s="333"/>
      <c r="AA725" s="326"/>
      <c r="AB725" s="1004" t="str">
        <f t="shared" si="94"/>
        <v/>
      </c>
      <c r="AC725" s="1082" t="str">
        <f t="shared" si="95"/>
        <v/>
      </c>
      <c r="AD725" s="1077"/>
      <c r="AE725" s="1077"/>
      <c r="AF725" s="1084" t="str">
        <f t="shared" si="96"/>
        <v/>
      </c>
      <c r="AG725" s="1082" t="str">
        <f t="shared" si="97"/>
        <v/>
      </c>
      <c r="AH725" s="1091"/>
      <c r="AI725" s="1087"/>
      <c r="AJ725" s="1084" t="str">
        <f t="shared" si="98"/>
        <v/>
      </c>
      <c r="AK725" s="1083" t="str">
        <f t="shared" si="99"/>
        <v/>
      </c>
      <c r="AL725" s="211">
        <v>8314992</v>
      </c>
      <c r="AM725" s="211"/>
      <c r="AN725" s="211"/>
      <c r="AO725" s="211"/>
      <c r="AP725" s="211"/>
      <c r="AQ725" s="211"/>
      <c r="AR725" s="211"/>
      <c r="AS725" s="211"/>
      <c r="AT725" s="211"/>
      <c r="AU725" s="211"/>
      <c r="AV725" s="211"/>
      <c r="AW725" s="211"/>
      <c r="AX725" s="211"/>
      <c r="AY725" s="211"/>
      <c r="AZ725" s="211"/>
      <c r="BA725" s="211"/>
      <c r="BB725" s="211"/>
      <c r="BC725" s="211"/>
      <c r="BD725" s="333">
        <v>43661</v>
      </c>
      <c r="BE725" s="82">
        <f t="shared" si="100"/>
        <v>8314992</v>
      </c>
    </row>
    <row r="726" spans="2:57" ht="20.399999999999999" hidden="1" x14ac:dyDescent="0.3">
      <c r="B726" s="2" t="str">
        <f>+'Base de Datos'!E726</f>
        <v>180439-0-2018</v>
      </c>
      <c r="C726" s="2" t="str">
        <f>+'Base de Datos'!F726</f>
        <v>COLOMBIANA DE COMERCIO S.A. Y/O ALKOSTO S.A.</v>
      </c>
      <c r="D726" s="2" t="str">
        <f>+'Base de Datos'!G726</f>
        <v>890900943-1</v>
      </c>
      <c r="E726" s="2" t="str">
        <f>+'Base de Datos'!H726</f>
        <v>Adquirir solución de video conferencia para el Concejo de Bogotá</v>
      </c>
      <c r="F726" s="197">
        <f>+'Base de Datos'!I726</f>
        <v>54468000</v>
      </c>
      <c r="G726" s="196">
        <f>+'Base de Datos'!M726</f>
        <v>43451</v>
      </c>
      <c r="H726" s="196">
        <f>+'Base de Datos'!N726</f>
        <v>43462</v>
      </c>
      <c r="I726" s="196"/>
      <c r="J726" s="158"/>
      <c r="K726" s="333"/>
      <c r="L726" s="211"/>
      <c r="M726" s="336"/>
      <c r="N726" s="158"/>
      <c r="O726" s="333"/>
      <c r="P726" s="158"/>
      <c r="Q726" s="338"/>
      <c r="R726" s="81">
        <f t="shared" si="93"/>
        <v>0</v>
      </c>
      <c r="S726" s="258"/>
      <c r="T726" s="333"/>
      <c r="U726" s="158"/>
      <c r="V726" s="333"/>
      <c r="W726" s="158"/>
      <c r="X726" s="333"/>
      <c r="Y726" s="158"/>
      <c r="Z726" s="333"/>
      <c r="AA726" s="326"/>
      <c r="AB726" s="1004" t="str">
        <f t="shared" si="94"/>
        <v/>
      </c>
      <c r="AC726" s="1082" t="str">
        <f t="shared" si="95"/>
        <v/>
      </c>
      <c r="AD726" s="1077"/>
      <c r="AE726" s="1077"/>
      <c r="AF726" s="1084" t="str">
        <f t="shared" si="96"/>
        <v/>
      </c>
      <c r="AG726" s="1082" t="str">
        <f t="shared" si="97"/>
        <v/>
      </c>
      <c r="AH726" s="1091"/>
      <c r="AI726" s="1087"/>
      <c r="AJ726" s="1084" t="str">
        <f t="shared" si="98"/>
        <v/>
      </c>
      <c r="AK726" s="1083" t="str">
        <f t="shared" si="99"/>
        <v/>
      </c>
      <c r="AL726" s="211">
        <v>54468000</v>
      </c>
      <c r="AM726" s="211"/>
      <c r="AN726" s="211"/>
      <c r="AO726" s="211"/>
      <c r="AP726" s="211"/>
      <c r="AQ726" s="211"/>
      <c r="AR726" s="211"/>
      <c r="AS726" s="211"/>
      <c r="AT726" s="211"/>
      <c r="AU726" s="211"/>
      <c r="AV726" s="211"/>
      <c r="AW726" s="211"/>
      <c r="AX726" s="211"/>
      <c r="AY726" s="211"/>
      <c r="AZ726" s="211"/>
      <c r="BA726" s="211"/>
      <c r="BB726" s="211"/>
      <c r="BC726" s="211"/>
      <c r="BD726" s="333">
        <v>43500</v>
      </c>
      <c r="BE726" s="82">
        <f t="shared" si="100"/>
        <v>54468000</v>
      </c>
    </row>
    <row r="727" spans="2:57" ht="30.6" hidden="1" x14ac:dyDescent="0.3">
      <c r="B727" s="2" t="str">
        <f>+'Base de Datos'!E727</f>
        <v>180431-0-2018</v>
      </c>
      <c r="C727" s="2" t="str">
        <f>+'Base de Datos'!F727</f>
        <v>GOLD SYS LTDA</v>
      </c>
      <c r="D727" s="2" t="str">
        <f>+'Base de Datos'!G727</f>
        <v>830038304-1</v>
      </c>
      <c r="E727" s="2" t="str">
        <f>+'Base de Datos'!H727</f>
        <v>Proveer servicios de soporte y actualización de licencias Corel Draw y suscripción de licencias adobe photoshop del Concejo de Bogotá.</v>
      </c>
      <c r="F727" s="197">
        <f>+'Base de Datos'!I727</f>
        <v>11942000</v>
      </c>
      <c r="G727" s="196">
        <f>+'Base de Datos'!M727</f>
        <v>43460</v>
      </c>
      <c r="H727" s="196">
        <f>+'Base de Datos'!N727</f>
        <v>43824</v>
      </c>
      <c r="I727" s="196"/>
      <c r="J727" s="158"/>
      <c r="K727" s="333"/>
      <c r="L727" s="211"/>
      <c r="M727" s="336"/>
      <c r="N727" s="158"/>
      <c r="O727" s="333"/>
      <c r="P727" s="158"/>
      <c r="Q727" s="338"/>
      <c r="R727" s="81">
        <f t="shared" ref="R727:R764" si="101">SUM(J727,L727,N727,P727)</f>
        <v>0</v>
      </c>
      <c r="S727" s="258"/>
      <c r="T727" s="333"/>
      <c r="U727" s="158"/>
      <c r="V727" s="333"/>
      <c r="W727" s="158"/>
      <c r="X727" s="333"/>
      <c r="Y727" s="158"/>
      <c r="Z727" s="333"/>
      <c r="AA727" s="326"/>
      <c r="AB727" s="1004" t="str">
        <f t="shared" si="94"/>
        <v/>
      </c>
      <c r="AC727" s="1082" t="str">
        <f t="shared" si="95"/>
        <v/>
      </c>
      <c r="AD727" s="1077"/>
      <c r="AE727" s="1077"/>
      <c r="AF727" s="1084" t="str">
        <f t="shared" si="96"/>
        <v/>
      </c>
      <c r="AG727" s="1082" t="str">
        <f t="shared" si="97"/>
        <v/>
      </c>
      <c r="AH727" s="1091"/>
      <c r="AI727" s="1087"/>
      <c r="AJ727" s="1084" t="str">
        <f t="shared" si="98"/>
        <v/>
      </c>
      <c r="AK727" s="1083" t="str">
        <f t="shared" si="99"/>
        <v/>
      </c>
      <c r="AL727" s="211">
        <v>11942000</v>
      </c>
      <c r="AM727" s="211"/>
      <c r="AN727" s="211"/>
      <c r="AO727" s="211"/>
      <c r="AP727" s="211"/>
      <c r="AQ727" s="211"/>
      <c r="AR727" s="211"/>
      <c r="AS727" s="211"/>
      <c r="AT727" s="211"/>
      <c r="AU727" s="211"/>
      <c r="AV727" s="211"/>
      <c r="AW727" s="211"/>
      <c r="AX727" s="211"/>
      <c r="AY727" s="211"/>
      <c r="AZ727" s="211"/>
      <c r="BA727" s="211"/>
      <c r="BB727" s="211"/>
      <c r="BC727" s="211"/>
      <c r="BD727" s="333">
        <v>43501</v>
      </c>
      <c r="BE727" s="82">
        <f t="shared" si="100"/>
        <v>11942000</v>
      </c>
    </row>
    <row r="728" spans="2:57" ht="20.399999999999999" hidden="1" x14ac:dyDescent="0.3">
      <c r="B728" s="2" t="str">
        <f>+'Base de Datos'!E728</f>
        <v>180436-0-2018</v>
      </c>
      <c r="C728" s="2" t="str">
        <f>+'Base de Datos'!F728</f>
        <v>TECHNOLOGY SERVICES LTDA</v>
      </c>
      <c r="D728" s="2">
        <f>+'Base de Datos'!G728</f>
        <v>830067814</v>
      </c>
      <c r="E728" s="2" t="str">
        <f>+'Base de Datos'!H728</f>
        <v xml:space="preserve">Prestar servicios de recuperación de información de cintas históricas del Concejo de Bogotá </v>
      </c>
      <c r="F728" s="197">
        <f>+'Base de Datos'!I728</f>
        <v>68580000</v>
      </c>
      <c r="G728" s="196">
        <f>+'Base de Datos'!M728</f>
        <v>43462</v>
      </c>
      <c r="H728" s="196">
        <f>+'Base de Datos'!N728</f>
        <v>43643</v>
      </c>
      <c r="I728" s="196"/>
      <c r="J728" s="158"/>
      <c r="K728" s="333"/>
      <c r="L728" s="211"/>
      <c r="M728" s="336"/>
      <c r="N728" s="158"/>
      <c r="O728" s="333"/>
      <c r="P728" s="158"/>
      <c r="Q728" s="338"/>
      <c r="R728" s="81">
        <f t="shared" si="101"/>
        <v>0</v>
      </c>
      <c r="S728" s="258"/>
      <c r="T728" s="333"/>
      <c r="U728" s="158"/>
      <c r="V728" s="333"/>
      <c r="W728" s="158"/>
      <c r="X728" s="333"/>
      <c r="Y728" s="158"/>
      <c r="Z728" s="333"/>
      <c r="AA728" s="326"/>
      <c r="AB728" s="1004" t="str">
        <f t="shared" si="94"/>
        <v/>
      </c>
      <c r="AC728" s="1082" t="str">
        <f t="shared" si="95"/>
        <v/>
      </c>
      <c r="AD728" s="1077"/>
      <c r="AE728" s="1077"/>
      <c r="AF728" s="1084" t="str">
        <f t="shared" si="96"/>
        <v/>
      </c>
      <c r="AG728" s="1082" t="str">
        <f t="shared" si="97"/>
        <v/>
      </c>
      <c r="AH728" s="1091"/>
      <c r="AI728" s="1087"/>
      <c r="AJ728" s="1084" t="str">
        <f t="shared" si="98"/>
        <v/>
      </c>
      <c r="AK728" s="1083" t="str">
        <f t="shared" si="99"/>
        <v/>
      </c>
      <c r="AL728" s="211">
        <v>22837140</v>
      </c>
      <c r="AM728" s="211">
        <v>22837140</v>
      </c>
      <c r="AN728" s="211">
        <v>22905720</v>
      </c>
      <c r="AO728" s="211"/>
      <c r="AP728" s="211"/>
      <c r="AQ728" s="211"/>
      <c r="AR728" s="211"/>
      <c r="AS728" s="211"/>
      <c r="AT728" s="211"/>
      <c r="AU728" s="211"/>
      <c r="AV728" s="211"/>
      <c r="AW728" s="211"/>
      <c r="AX728" s="211"/>
      <c r="AY728" s="211"/>
      <c r="AZ728" s="211"/>
      <c r="BA728" s="211"/>
      <c r="BB728" s="211"/>
      <c r="BC728" s="211"/>
      <c r="BD728" s="333">
        <v>43691</v>
      </c>
      <c r="BE728" s="82">
        <f t="shared" si="100"/>
        <v>68580000</v>
      </c>
    </row>
    <row r="729" spans="2:57" ht="71.400000000000006" hidden="1" x14ac:dyDescent="0.3">
      <c r="B729" s="2" t="str">
        <f>+'Base de Datos'!E729</f>
        <v>180451-0-2018</v>
      </c>
      <c r="C729" s="2" t="str">
        <f>+'Base de Datos'!F729</f>
        <v>JARDIN BOTÁNICO JOSE CELESTINO MUTIS</v>
      </c>
      <c r="D729" s="2" t="str">
        <f>+'Base de Datos'!G729</f>
        <v>860030197-0</v>
      </c>
      <c r="E729" s="2" t="str">
        <f>+'Base de Datos'!H729</f>
        <v>Aunar esfuerzos institucionales, técnicos y financieros para realizar actividades de jardinería integral en las instalaciones del Concejo de Bogotá y manejo integral del arbolado antiguo, de conformidad con lo establecido en los estudios previos y las especificaciones técnicas establecidas en la propuesta técnico - financiera del convenio interadministrativo presentada por el Jardín Botánico.</v>
      </c>
      <c r="F729" s="197">
        <f>+'Base de Datos'!I729</f>
        <v>45787937</v>
      </c>
      <c r="G729" s="196">
        <f>+'Base de Datos'!M729</f>
        <v>43507</v>
      </c>
      <c r="H729" s="196">
        <f>+'Base de Datos'!N729</f>
        <v>43871</v>
      </c>
      <c r="I729" s="196"/>
      <c r="J729" s="158"/>
      <c r="K729" s="333"/>
      <c r="L729" s="211"/>
      <c r="M729" s="336"/>
      <c r="N729" s="158"/>
      <c r="O729" s="333"/>
      <c r="P729" s="158"/>
      <c r="Q729" s="338"/>
      <c r="R729" s="81">
        <f t="shared" si="101"/>
        <v>0</v>
      </c>
      <c r="S729" s="258"/>
      <c r="T729" s="333"/>
      <c r="U729" s="158"/>
      <c r="V729" s="333"/>
      <c r="W729" s="158"/>
      <c r="X729" s="333"/>
      <c r="Y729" s="158"/>
      <c r="Z729" s="333"/>
      <c r="AA729" s="326"/>
      <c r="AB729" s="1004" t="str">
        <f t="shared" si="94"/>
        <v/>
      </c>
      <c r="AC729" s="1082" t="str">
        <f t="shared" si="95"/>
        <v/>
      </c>
      <c r="AD729" s="1077"/>
      <c r="AE729" s="1077"/>
      <c r="AF729" s="1084" t="str">
        <f t="shared" si="96"/>
        <v/>
      </c>
      <c r="AG729" s="1082" t="str">
        <f t="shared" si="97"/>
        <v/>
      </c>
      <c r="AH729" s="1091"/>
      <c r="AI729" s="1087"/>
      <c r="AJ729" s="1084" t="str">
        <f t="shared" si="98"/>
        <v/>
      </c>
      <c r="AK729" s="1083" t="str">
        <f t="shared" si="99"/>
        <v/>
      </c>
      <c r="AL729" s="211">
        <v>45787937</v>
      </c>
      <c r="AM729" s="211"/>
      <c r="AN729" s="211"/>
      <c r="AO729" s="211"/>
      <c r="AP729" s="211"/>
      <c r="AQ729" s="211"/>
      <c r="AR729" s="211"/>
      <c r="AS729" s="211"/>
      <c r="AT729" s="211"/>
      <c r="AU729" s="211"/>
      <c r="AV729" s="211"/>
      <c r="AW729" s="211"/>
      <c r="AX729" s="211"/>
      <c r="AY729" s="211"/>
      <c r="AZ729" s="211"/>
      <c r="BA729" s="211"/>
      <c r="BB729" s="211"/>
      <c r="BC729" s="211"/>
      <c r="BD729" s="333">
        <v>43679</v>
      </c>
      <c r="BE729" s="82">
        <f t="shared" si="100"/>
        <v>45787937</v>
      </c>
    </row>
    <row r="730" spans="2:57" ht="51" hidden="1" x14ac:dyDescent="0.3">
      <c r="B730" s="2" t="str">
        <f>+'Base de Datos'!E730</f>
        <v>180454-0-2018</v>
      </c>
      <c r="C730" s="2" t="str">
        <f>+'Base de Datos'!F730</f>
        <v xml:space="preserve">UT SDH COMUNEROS MATIZZO KEY MARKET </v>
      </c>
      <c r="D730" s="2">
        <f>+'Base de Datos'!G730</f>
        <v>90241452</v>
      </c>
      <c r="E730" s="2" t="str">
        <f>+'Base de Datos'!H730</f>
        <v>Adquisición de una solución integral de conferencia y debate para el Concejo de Boogtá, D.C., de conformidad con lo establecido en el pliego electrónico y su complemento de la licitación pública No. SDH-LP-04-2018_3 y la propuesta presentada por el contratista.</v>
      </c>
      <c r="F730" s="197">
        <f>+'Base de Datos'!I730</f>
        <v>2559764239</v>
      </c>
      <c r="G730" s="196">
        <f>+'Base de Datos'!M730</f>
        <v>43476</v>
      </c>
      <c r="H730" s="196">
        <f>+'Base de Datos'!N730</f>
        <v>43656</v>
      </c>
      <c r="I730" s="196"/>
      <c r="J730" s="158">
        <v>343030709</v>
      </c>
      <c r="K730" s="333">
        <v>43609</v>
      </c>
      <c r="L730" s="211">
        <v>244850832</v>
      </c>
      <c r="M730" s="336">
        <v>43621</v>
      </c>
      <c r="N730" s="158"/>
      <c r="O730" s="333"/>
      <c r="P730" s="158"/>
      <c r="Q730" s="338"/>
      <c r="R730" s="81">
        <f t="shared" si="101"/>
        <v>587881541</v>
      </c>
      <c r="S730" s="258" t="s">
        <v>379</v>
      </c>
      <c r="T730" s="333">
        <v>43748</v>
      </c>
      <c r="U730" s="158" t="s">
        <v>5284</v>
      </c>
      <c r="V730" s="333">
        <v>43770</v>
      </c>
      <c r="W730" s="158"/>
      <c r="X730" s="333"/>
      <c r="Y730" s="158"/>
      <c r="Z730" s="333"/>
      <c r="AA730" s="326" t="s">
        <v>5285</v>
      </c>
      <c r="AB730" s="1004">
        <f t="shared" si="94"/>
        <v>43770</v>
      </c>
      <c r="AC730" s="1082" t="str">
        <f t="shared" si="95"/>
        <v/>
      </c>
      <c r="AD730" s="1077"/>
      <c r="AE730" s="1077"/>
      <c r="AF730" s="1084" t="str">
        <f t="shared" si="96"/>
        <v/>
      </c>
      <c r="AG730" s="1082" t="str">
        <f t="shared" si="97"/>
        <v/>
      </c>
      <c r="AH730" s="1091"/>
      <c r="AI730" s="1087"/>
      <c r="AJ730" s="1084" t="str">
        <f t="shared" si="98"/>
        <v/>
      </c>
      <c r="AK730" s="1083" t="str">
        <f t="shared" si="99"/>
        <v/>
      </c>
      <c r="AL730" s="211">
        <v>1257326460</v>
      </c>
      <c r="AM730" s="211">
        <v>1291557671</v>
      </c>
      <c r="AN730" s="211">
        <v>10880108</v>
      </c>
      <c r="AO730" s="211">
        <v>239522832</v>
      </c>
      <c r="AP730" s="211">
        <v>5328000</v>
      </c>
      <c r="AQ730" s="211">
        <v>333122117</v>
      </c>
      <c r="AR730" s="211"/>
      <c r="AS730" s="211"/>
      <c r="AT730" s="211"/>
      <c r="AU730" s="211"/>
      <c r="AV730" s="211"/>
      <c r="AW730" s="211"/>
      <c r="AX730" s="211"/>
      <c r="AY730" s="211"/>
      <c r="AZ730" s="211"/>
      <c r="BA730" s="211"/>
      <c r="BB730" s="211"/>
      <c r="BC730" s="211"/>
      <c r="BD730" s="333">
        <v>43783</v>
      </c>
      <c r="BE730" s="82">
        <f t="shared" si="100"/>
        <v>3137737188</v>
      </c>
    </row>
    <row r="731" spans="2:57" ht="40.799999999999997" hidden="1" x14ac:dyDescent="0.3">
      <c r="B731" s="2" t="str">
        <f>+'Base de Datos'!E731</f>
        <v>180443-0-2018</v>
      </c>
      <c r="C731" s="2" t="str">
        <f>+'Base de Datos'!F731</f>
        <v>SPEED WIRELESS NETWORKS SAS</v>
      </c>
      <c r="D731" s="2">
        <f>+'Base de Datos'!G731</f>
        <v>900038614</v>
      </c>
      <c r="E731" s="2" t="str">
        <f>+'Base de Datos'!H731</f>
        <v>Proveer un sistema de wifi para el Concejo de Bogotá D.C., de conformidad con lo establecido en el pliego de condiciones del proceso de selección abreviada - Subasta inversa electrónica N. SDH-SIE-13-2018 y la oferta presentada por el contratista.</v>
      </c>
      <c r="F731" s="197">
        <f>+'Base de Datos'!I731</f>
        <v>201000000</v>
      </c>
      <c r="G731" s="196">
        <f>+'Base de Datos'!M731</f>
        <v>43476</v>
      </c>
      <c r="H731" s="196">
        <f>+'Base de Datos'!N731</f>
        <v>43565</v>
      </c>
      <c r="I731" s="196"/>
      <c r="J731" s="158"/>
      <c r="K731" s="333"/>
      <c r="L731" s="211"/>
      <c r="M731" s="336"/>
      <c r="N731" s="158"/>
      <c r="O731" s="333"/>
      <c r="P731" s="158"/>
      <c r="Q731" s="338"/>
      <c r="R731" s="81">
        <f t="shared" si="101"/>
        <v>0</v>
      </c>
      <c r="S731" s="258"/>
      <c r="T731" s="333"/>
      <c r="U731" s="158"/>
      <c r="V731" s="333"/>
      <c r="W731" s="158"/>
      <c r="X731" s="333"/>
      <c r="Y731" s="158"/>
      <c r="Z731" s="333"/>
      <c r="AA731" s="326"/>
      <c r="AB731" s="1004" t="str">
        <f t="shared" si="94"/>
        <v/>
      </c>
      <c r="AC731" s="1082" t="str">
        <f t="shared" si="95"/>
        <v/>
      </c>
      <c r="AD731" s="1077"/>
      <c r="AE731" s="1077"/>
      <c r="AF731" s="1084" t="str">
        <f t="shared" si="96"/>
        <v/>
      </c>
      <c r="AG731" s="1082" t="str">
        <f t="shared" si="97"/>
        <v/>
      </c>
      <c r="AH731" s="1091"/>
      <c r="AI731" s="1087"/>
      <c r="AJ731" s="1084" t="str">
        <f t="shared" si="98"/>
        <v/>
      </c>
      <c r="AK731" s="1083" t="str">
        <f t="shared" si="99"/>
        <v/>
      </c>
      <c r="AL731" s="211">
        <v>119043078</v>
      </c>
      <c r="AM731" s="211">
        <v>81956922</v>
      </c>
      <c r="AN731" s="211"/>
      <c r="AO731" s="211"/>
      <c r="AP731" s="211"/>
      <c r="AQ731" s="211"/>
      <c r="AR731" s="211"/>
      <c r="AS731" s="211"/>
      <c r="AT731" s="211"/>
      <c r="AU731" s="211"/>
      <c r="AV731" s="211"/>
      <c r="AW731" s="211"/>
      <c r="AX731" s="211"/>
      <c r="AY731" s="211"/>
      <c r="AZ731" s="211"/>
      <c r="BA731" s="211"/>
      <c r="BB731" s="211"/>
      <c r="BC731" s="211"/>
      <c r="BD731" s="333">
        <v>43768</v>
      </c>
      <c r="BE731" s="82">
        <f t="shared" si="100"/>
        <v>201000000</v>
      </c>
    </row>
    <row r="732" spans="2:57" ht="40.799999999999997" hidden="1" x14ac:dyDescent="0.3">
      <c r="B732" s="2" t="str">
        <f>+'Base de Datos'!E732</f>
        <v>180450-0-2018</v>
      </c>
      <c r="C732" s="2" t="str">
        <f>+'Base de Datos'!F732</f>
        <v>AGENCIA NACIONAL INMOBILIARIA VIRGILIO BARCO</v>
      </c>
      <c r="D732" s="2" t="str">
        <f>+'Base de Datos'!G732</f>
        <v>900483991-0</v>
      </c>
      <c r="E732" s="2" t="str">
        <f>+'Base de Datos'!H732</f>
        <v>Aunar esfuerzos para formular, estructurar y ejecutar proyectos de infraestructura física y usos complementarios que requiera la Secretaría Distrital de Hacienda para el Concejo de Bogotá</v>
      </c>
      <c r="F732" s="197">
        <f>+'Base de Datos'!I732</f>
        <v>1235000000</v>
      </c>
      <c r="G732" s="196">
        <f>+'Base de Datos'!M732</f>
        <v>43462</v>
      </c>
      <c r="H732" s="196">
        <f>+'Base de Datos'!N732</f>
        <v>44557</v>
      </c>
      <c r="I732" s="196"/>
      <c r="J732" s="158">
        <v>23307277664</v>
      </c>
      <c r="K732" s="333">
        <v>43826</v>
      </c>
      <c r="L732" s="211"/>
      <c r="M732" s="336"/>
      <c r="N732" s="158"/>
      <c r="O732" s="333"/>
      <c r="P732" s="158"/>
      <c r="Q732" s="338"/>
      <c r="R732" s="81">
        <f t="shared" si="101"/>
        <v>23307277664</v>
      </c>
      <c r="S732" s="258"/>
      <c r="T732" s="333"/>
      <c r="U732" s="158"/>
      <c r="V732" s="333"/>
      <c r="W732" s="158"/>
      <c r="X732" s="333"/>
      <c r="Y732" s="158"/>
      <c r="Z732" s="333"/>
      <c r="AA732" s="326"/>
      <c r="AB732" s="1004" t="str">
        <f t="shared" si="94"/>
        <v/>
      </c>
      <c r="AC732" s="1082" t="str">
        <f t="shared" si="95"/>
        <v/>
      </c>
      <c r="AD732" s="1077"/>
      <c r="AE732" s="1077"/>
      <c r="AF732" s="1084" t="str">
        <f t="shared" si="96"/>
        <v/>
      </c>
      <c r="AG732" s="1082" t="str">
        <f t="shared" si="97"/>
        <v/>
      </c>
      <c r="AH732" s="1091"/>
      <c r="AI732" s="1087"/>
      <c r="AJ732" s="1084" t="str">
        <f t="shared" si="98"/>
        <v/>
      </c>
      <c r="AK732" s="1083" t="str">
        <f t="shared" si="99"/>
        <v/>
      </c>
      <c r="AL732" s="211">
        <v>1235000000</v>
      </c>
      <c r="AM732" s="211">
        <v>23307277664</v>
      </c>
      <c r="AN732" s="211"/>
      <c r="AO732" s="211"/>
      <c r="AP732" s="211"/>
      <c r="AQ732" s="211"/>
      <c r="AR732" s="211"/>
      <c r="AS732" s="211"/>
      <c r="AT732" s="211"/>
      <c r="AU732" s="211"/>
      <c r="AV732" s="211"/>
      <c r="AW732" s="211"/>
      <c r="AX732" s="211"/>
      <c r="AY732" s="211"/>
      <c r="AZ732" s="211"/>
      <c r="BA732" s="211"/>
      <c r="BB732" s="211"/>
      <c r="BC732" s="211"/>
      <c r="BD732" s="333">
        <v>43829</v>
      </c>
      <c r="BE732" s="82">
        <f t="shared" si="100"/>
        <v>24542277664</v>
      </c>
    </row>
    <row r="733" spans="2:57" ht="40.799999999999997" hidden="1" x14ac:dyDescent="0.3">
      <c r="B733" s="2" t="str">
        <f>+'Base de Datos'!E733</f>
        <v>180387-0-2018</v>
      </c>
      <c r="C733" s="2" t="str">
        <f>+'Base de Datos'!F733</f>
        <v>JOHN ALEJANDRO FRANCO OTERO</v>
      </c>
      <c r="D733" s="2">
        <f>+'Base de Datos'!G733</f>
        <v>79391917</v>
      </c>
      <c r="E733" s="2" t="str">
        <f>+'Base de Datos'!H733</f>
        <v>Proveer muebles archivadores para el almacenamiento de cintas Tape Backup para las cintotecas del Concejo de Bogotá de conformidad con lo establecido en la invitación pública electrónica y su complemento</v>
      </c>
      <c r="F733" s="197">
        <f>+'Base de Datos'!I733</f>
        <v>15767500</v>
      </c>
      <c r="G733" s="196">
        <f>+'Base de Datos'!M733</f>
        <v>43441</v>
      </c>
      <c r="H733" s="196">
        <f>+'Base de Datos'!N733</f>
        <v>43502</v>
      </c>
      <c r="I733" s="196"/>
      <c r="J733" s="158"/>
      <c r="K733" s="333"/>
      <c r="L733" s="211"/>
      <c r="M733" s="336"/>
      <c r="N733" s="158"/>
      <c r="O733" s="333"/>
      <c r="P733" s="158"/>
      <c r="Q733" s="338"/>
      <c r="R733" s="81">
        <f t="shared" si="101"/>
        <v>0</v>
      </c>
      <c r="S733" s="258"/>
      <c r="T733" s="333"/>
      <c r="U733" s="158"/>
      <c r="V733" s="333"/>
      <c r="W733" s="158"/>
      <c r="X733" s="333"/>
      <c r="Y733" s="158"/>
      <c r="Z733" s="333"/>
      <c r="AA733" s="326"/>
      <c r="AB733" s="1004" t="str">
        <f t="shared" si="94"/>
        <v/>
      </c>
      <c r="AC733" s="1082" t="str">
        <f t="shared" si="95"/>
        <v/>
      </c>
      <c r="AD733" s="1077"/>
      <c r="AE733" s="1077"/>
      <c r="AF733" s="1084" t="str">
        <f t="shared" si="96"/>
        <v/>
      </c>
      <c r="AG733" s="1082" t="str">
        <f t="shared" si="97"/>
        <v/>
      </c>
      <c r="AH733" s="1091"/>
      <c r="AI733" s="1087"/>
      <c r="AJ733" s="1084" t="str">
        <f t="shared" si="98"/>
        <v/>
      </c>
      <c r="AK733" s="1083" t="str">
        <f t="shared" si="99"/>
        <v/>
      </c>
      <c r="AL733" s="211">
        <v>15767500</v>
      </c>
      <c r="AM733" s="211"/>
      <c r="AN733" s="211"/>
      <c r="AO733" s="211"/>
      <c r="AP733" s="211"/>
      <c r="AQ733" s="211"/>
      <c r="AR733" s="211"/>
      <c r="AS733" s="211"/>
      <c r="AT733" s="211"/>
      <c r="AU733" s="211"/>
      <c r="AV733" s="211"/>
      <c r="AW733" s="211"/>
      <c r="AX733" s="211"/>
      <c r="AY733" s="211"/>
      <c r="AZ733" s="211"/>
      <c r="BA733" s="211"/>
      <c r="BB733" s="211"/>
      <c r="BC733" s="211"/>
      <c r="BD733" s="333">
        <v>43553</v>
      </c>
      <c r="BE733" s="82">
        <f t="shared" si="100"/>
        <v>15767500</v>
      </c>
    </row>
    <row r="734" spans="2:57" ht="20.399999999999999" hidden="1" x14ac:dyDescent="0.3">
      <c r="B734" s="2" t="str">
        <f>+'Base de Datos'!E734</f>
        <v>180441-0-2018</v>
      </c>
      <c r="C734" s="2" t="str">
        <f>+'Base de Datos'!F734</f>
        <v>GRUPO TITANIUM SAS</v>
      </c>
      <c r="D734" s="2">
        <f>+'Base de Datos'!G734</f>
        <v>900749719</v>
      </c>
      <c r="E734" s="2" t="str">
        <f>+'Base de Datos'!H734</f>
        <v>Realizar la adecuación de los baños 1, 2 y del salón comuneros del Claustro del Concejo de Bogotá</v>
      </c>
      <c r="F734" s="197">
        <f>+'Base de Datos'!I734</f>
        <v>165591151.30000001</v>
      </c>
      <c r="G734" s="196">
        <f>+'Base de Datos'!M734</f>
        <v>43474</v>
      </c>
      <c r="H734" s="196">
        <f>+'Base de Datos'!N734</f>
        <v>43593</v>
      </c>
      <c r="I734" s="196"/>
      <c r="J734" s="158"/>
      <c r="K734" s="333"/>
      <c r="L734" s="211"/>
      <c r="M734" s="336"/>
      <c r="N734" s="158"/>
      <c r="O734" s="333"/>
      <c r="P734" s="158"/>
      <c r="Q734" s="338"/>
      <c r="R734" s="81">
        <f t="shared" si="101"/>
        <v>0</v>
      </c>
      <c r="S734" s="820" t="s">
        <v>4655</v>
      </c>
      <c r="T734" s="333">
        <v>43608</v>
      </c>
      <c r="U734" s="158"/>
      <c r="V734" s="333"/>
      <c r="W734" s="158"/>
      <c r="X734" s="333"/>
      <c r="Y734" s="158"/>
      <c r="Z734" s="333"/>
      <c r="AA734" s="820" t="s">
        <v>4655</v>
      </c>
      <c r="AB734" s="1004">
        <f t="shared" si="94"/>
        <v>43608</v>
      </c>
      <c r="AC734" s="1082" t="str">
        <f t="shared" si="95"/>
        <v/>
      </c>
      <c r="AD734" s="1077"/>
      <c r="AE734" s="1077"/>
      <c r="AF734" s="1084" t="str">
        <f t="shared" si="96"/>
        <v/>
      </c>
      <c r="AG734" s="1082" t="str">
        <f t="shared" si="97"/>
        <v/>
      </c>
      <c r="AH734" s="1091"/>
      <c r="AI734" s="1087"/>
      <c r="AJ734" s="1084" t="str">
        <f t="shared" si="98"/>
        <v/>
      </c>
      <c r="AK734" s="1083" t="str">
        <f t="shared" si="99"/>
        <v/>
      </c>
      <c r="AL734" s="211">
        <v>33118230</v>
      </c>
      <c r="AM734" s="211">
        <v>49677345</v>
      </c>
      <c r="AN734" s="211">
        <v>33118230</v>
      </c>
      <c r="AO734" s="211">
        <v>49677345</v>
      </c>
      <c r="AP734" s="211"/>
      <c r="AQ734" s="211"/>
      <c r="AR734" s="211"/>
      <c r="AS734" s="211"/>
      <c r="AT734" s="211"/>
      <c r="AU734" s="211"/>
      <c r="AV734" s="211"/>
      <c r="AW734" s="211"/>
      <c r="AX734" s="211"/>
      <c r="AY734" s="211"/>
      <c r="AZ734" s="211"/>
      <c r="BA734" s="211"/>
      <c r="BB734" s="211"/>
      <c r="BC734" s="211"/>
      <c r="BD734" s="333">
        <v>43663</v>
      </c>
      <c r="BE734" s="82">
        <f t="shared" si="100"/>
        <v>165591150</v>
      </c>
    </row>
    <row r="735" spans="2:57" ht="40.799999999999997" hidden="1" x14ac:dyDescent="0.3">
      <c r="B735" s="2" t="str">
        <f>+'Base de Datos'!E735</f>
        <v>180448-0-2018</v>
      </c>
      <c r="C735" s="2" t="str">
        <f>+'Base de Datos'!F735</f>
        <v>DOGER HERNAN DAZA MORENO</v>
      </c>
      <c r="D735" s="2">
        <f>+'Base de Datos'!G735</f>
        <v>80751229</v>
      </c>
      <c r="E735" s="2" t="str">
        <f>+'Base de Datos'!H735</f>
        <v>Prestar servicios profesionales para apoyar a la Dirección Financiera del Concejo de Bogotá D.C., en los asuntos propios de la dependencia y en el seguimiento al plan de acción y transparencia de acuerdo con la normatividad vigente.</v>
      </c>
      <c r="F735" s="197">
        <f>+'Base de Datos'!I735</f>
        <v>8203500</v>
      </c>
      <c r="G735" s="196">
        <f>+'Base de Datos'!M735</f>
        <v>43473</v>
      </c>
      <c r="H735" s="196">
        <f>+'Base de Datos'!N735</f>
        <v>43518</v>
      </c>
      <c r="I735" s="196"/>
      <c r="J735" s="158"/>
      <c r="K735" s="333"/>
      <c r="L735" s="211"/>
      <c r="M735" s="336"/>
      <c r="N735" s="158"/>
      <c r="O735" s="333"/>
      <c r="P735" s="158"/>
      <c r="Q735" s="338"/>
      <c r="R735" s="81">
        <f t="shared" si="101"/>
        <v>0</v>
      </c>
      <c r="S735" s="258"/>
      <c r="T735" s="333"/>
      <c r="U735" s="158"/>
      <c r="V735" s="333"/>
      <c r="W735" s="158"/>
      <c r="X735" s="333"/>
      <c r="Y735" s="158"/>
      <c r="Z735" s="333"/>
      <c r="AA735" s="326"/>
      <c r="AB735" s="1004" t="str">
        <f t="shared" si="94"/>
        <v/>
      </c>
      <c r="AC735" s="1082" t="str">
        <f t="shared" si="95"/>
        <v/>
      </c>
      <c r="AD735" s="1077"/>
      <c r="AE735" s="1077"/>
      <c r="AF735" s="1084" t="str">
        <f t="shared" si="96"/>
        <v/>
      </c>
      <c r="AG735" s="1082" t="str">
        <f t="shared" si="97"/>
        <v/>
      </c>
      <c r="AH735" s="1091"/>
      <c r="AI735" s="1087"/>
      <c r="AJ735" s="1084" t="str">
        <f t="shared" si="98"/>
        <v/>
      </c>
      <c r="AK735" s="1083" t="str">
        <f t="shared" si="99"/>
        <v/>
      </c>
      <c r="AL735" s="211">
        <v>4192900</v>
      </c>
      <c r="AM735" s="211">
        <v>4010600</v>
      </c>
      <c r="AN735" s="211"/>
      <c r="AO735" s="211"/>
      <c r="AP735" s="211"/>
      <c r="AQ735" s="211"/>
      <c r="AR735" s="211"/>
      <c r="AS735" s="211"/>
      <c r="AT735" s="211"/>
      <c r="AU735" s="211"/>
      <c r="AV735" s="211"/>
      <c r="AW735" s="211"/>
      <c r="AX735" s="211"/>
      <c r="AY735" s="211"/>
      <c r="AZ735" s="211"/>
      <c r="BA735" s="211"/>
      <c r="BB735" s="211"/>
      <c r="BC735" s="211"/>
      <c r="BD735" s="333">
        <v>43523</v>
      </c>
      <c r="BE735" s="82">
        <f t="shared" si="100"/>
        <v>8203500</v>
      </c>
    </row>
    <row r="736" spans="2:57" ht="71.400000000000006" hidden="1" x14ac:dyDescent="0.3">
      <c r="B736" s="2" t="str">
        <f>+'Base de Datos'!E736</f>
        <v>190018-0-2019</v>
      </c>
      <c r="C736" s="2" t="str">
        <f>+'Base de Datos'!F736</f>
        <v>GRUPO TITANIUM SAS</v>
      </c>
      <c r="D736" s="2">
        <f>+'Base de Datos'!G736</f>
        <v>900749719</v>
      </c>
      <c r="E736" s="2" t="str">
        <f>+'Base de Datos'!H736</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cuantía No. SDH-SAMC-12-2018 y la propuesta presentada por el contratista. </v>
      </c>
      <c r="F736" s="197">
        <f>+'Base de Datos'!I736</f>
        <v>300000000</v>
      </c>
      <c r="G736" s="196">
        <f>+'Base de Datos'!M736</f>
        <v>43490</v>
      </c>
      <c r="H736" s="196">
        <f>+'Base de Datos'!N736</f>
        <v>43854</v>
      </c>
      <c r="I736" s="196"/>
      <c r="J736" s="158">
        <v>150000000</v>
      </c>
      <c r="K736" s="333">
        <v>43797</v>
      </c>
      <c r="L736" s="211"/>
      <c r="M736" s="336"/>
      <c r="N736" s="158"/>
      <c r="O736" s="333"/>
      <c r="P736" s="158"/>
      <c r="Q736" s="338"/>
      <c r="R736" s="81">
        <f t="shared" si="101"/>
        <v>150000000</v>
      </c>
      <c r="S736" s="258" t="s">
        <v>381</v>
      </c>
      <c r="T736" s="333">
        <v>43885</v>
      </c>
      <c r="U736" s="158"/>
      <c r="V736" s="333"/>
      <c r="W736" s="158"/>
      <c r="X736" s="333"/>
      <c r="Y736" s="158"/>
      <c r="Z736" s="333"/>
      <c r="AA736" s="326" t="s">
        <v>381</v>
      </c>
      <c r="AB736" s="1004">
        <f t="shared" si="94"/>
        <v>43885</v>
      </c>
      <c r="AC736" s="1082" t="str">
        <f t="shared" si="95"/>
        <v/>
      </c>
      <c r="AD736" s="1077"/>
      <c r="AE736" s="1077"/>
      <c r="AF736" s="1084" t="str">
        <f t="shared" si="96"/>
        <v/>
      </c>
      <c r="AG736" s="1082" t="str">
        <f t="shared" si="97"/>
        <v/>
      </c>
      <c r="AH736" s="1091"/>
      <c r="AI736" s="1087"/>
      <c r="AJ736" s="1084" t="str">
        <f t="shared" si="98"/>
        <v/>
      </c>
      <c r="AK736" s="1083" t="str">
        <f t="shared" si="99"/>
        <v/>
      </c>
      <c r="AL736" s="211">
        <v>7328595</v>
      </c>
      <c r="AM736" s="211">
        <v>40608560</v>
      </c>
      <c r="AN736" s="211">
        <v>32758372</v>
      </c>
      <c r="AO736" s="211">
        <v>31283726</v>
      </c>
      <c r="AP736" s="211">
        <v>32832267</v>
      </c>
      <c r="AQ736" s="211">
        <v>31802524</v>
      </c>
      <c r="AR736" s="211">
        <v>30478699</v>
      </c>
      <c r="AS736" s="211">
        <v>31644298</v>
      </c>
      <c r="AT736" s="211">
        <v>36389850</v>
      </c>
      <c r="AU736" s="211">
        <v>24834874</v>
      </c>
      <c r="AV736" s="211">
        <v>44744785</v>
      </c>
      <c r="AW736" s="211">
        <v>48983171</v>
      </c>
      <c r="AX736" s="211">
        <f>30334455+5611874</f>
        <v>35946329</v>
      </c>
      <c r="AY736" s="211">
        <f>17184768+3179182</f>
        <v>20363950</v>
      </c>
      <c r="AZ736" s="211"/>
      <c r="BA736" s="211"/>
      <c r="BB736" s="211"/>
      <c r="BC736" s="211"/>
      <c r="BD736" s="333">
        <v>44182</v>
      </c>
      <c r="BE736" s="82">
        <f t="shared" si="100"/>
        <v>450000000</v>
      </c>
    </row>
    <row r="737" spans="2:57" ht="51" hidden="1" x14ac:dyDescent="0.3">
      <c r="B737" s="2" t="str">
        <f>+'Base de Datos'!E737</f>
        <v>190020-0-2019</v>
      </c>
      <c r="C737" s="2" t="str">
        <f>+'Base de Datos'!F737</f>
        <v>UNIDAD NACIONAL DE PROTECCION - UNP</v>
      </c>
      <c r="D737" s="2">
        <f>+'Base de Datos'!G737</f>
        <v>900475780</v>
      </c>
      <c r="E737" s="2" t="str">
        <f>+'Base de Datos'!H737</f>
        <v>Aunar esfuerzos humanos, técnicos, logísticos y administrativos para garantizar el esquema de seguridad, en su componente vehículos, requerido por los Concejales del Distrito Capital, como consecuencia directa del ejercicio de sus funciones.</v>
      </c>
      <c r="F737" s="197">
        <f>+'Base de Datos'!I737</f>
        <v>5429000000</v>
      </c>
      <c r="G737" s="196">
        <f>+'Base de Datos'!M737</f>
        <v>43489</v>
      </c>
      <c r="H737" s="196">
        <f>+'Base de Datos'!N737</f>
        <v>43822</v>
      </c>
      <c r="I737" s="196"/>
      <c r="J737" s="158">
        <v>300000000</v>
      </c>
      <c r="K737" s="333">
        <v>43868</v>
      </c>
      <c r="L737" s="211"/>
      <c r="M737" s="336"/>
      <c r="N737" s="158"/>
      <c r="O737" s="333"/>
      <c r="P737" s="158"/>
      <c r="Q737" s="338"/>
      <c r="R737" s="81">
        <f t="shared" si="101"/>
        <v>300000000</v>
      </c>
      <c r="S737" s="258" t="s">
        <v>5550</v>
      </c>
      <c r="T737" s="333">
        <v>43855</v>
      </c>
      <c r="U737" s="157" t="s">
        <v>5684</v>
      </c>
      <c r="V737" s="333">
        <v>43869</v>
      </c>
      <c r="W737" s="158" t="s">
        <v>963</v>
      </c>
      <c r="X737" s="333">
        <v>43890</v>
      </c>
      <c r="Y737" s="158" t="s">
        <v>5550</v>
      </c>
      <c r="Z737" s="333">
        <v>43921</v>
      </c>
      <c r="AA737" s="820" t="s">
        <v>5764</v>
      </c>
      <c r="AB737" s="1004">
        <f t="shared" si="94"/>
        <v>43921</v>
      </c>
      <c r="AC737" s="1082" t="str">
        <f t="shared" si="95"/>
        <v/>
      </c>
      <c r="AD737" s="1077"/>
      <c r="AE737" s="1077"/>
      <c r="AF737" s="1084" t="str">
        <f t="shared" si="96"/>
        <v/>
      </c>
      <c r="AG737" s="1082" t="str">
        <f t="shared" si="97"/>
        <v/>
      </c>
      <c r="AH737" s="1091"/>
      <c r="AI737" s="1087"/>
      <c r="AJ737" s="1084" t="str">
        <f t="shared" si="98"/>
        <v/>
      </c>
      <c r="AK737" s="1083" t="str">
        <f t="shared" si="99"/>
        <v/>
      </c>
      <c r="AL737" s="211">
        <v>2714500000</v>
      </c>
      <c r="AM737" s="211">
        <v>1386190638</v>
      </c>
      <c r="AN737" s="1119">
        <v>1271266785</v>
      </c>
      <c r="AO737" s="211">
        <v>56665755</v>
      </c>
      <c r="AP737" s="211">
        <v>261039935</v>
      </c>
      <c r="AQ737" s="211"/>
      <c r="AR737" s="211"/>
      <c r="AS737" s="211"/>
      <c r="AT737" s="211"/>
      <c r="AU737" s="211"/>
      <c r="AV737" s="211"/>
      <c r="AW737" s="211"/>
      <c r="AX737" s="211"/>
      <c r="AY737" s="211"/>
      <c r="AZ737" s="211"/>
      <c r="BA737" s="211"/>
      <c r="BB737" s="211"/>
      <c r="BC737" s="211"/>
      <c r="BD737" s="333">
        <v>44027</v>
      </c>
      <c r="BE737" s="82">
        <f t="shared" si="100"/>
        <v>5689663113</v>
      </c>
    </row>
    <row r="738" spans="2:57" ht="20.399999999999999" hidden="1" x14ac:dyDescent="0.3">
      <c r="B738" s="2" t="str">
        <f>+'Base de Datos'!E738</f>
        <v>190023-0-2019</v>
      </c>
      <c r="C738" s="2" t="str">
        <f>+'Base de Datos'!F738</f>
        <v>ORGANIZACIÓN TERPEL SA</v>
      </c>
      <c r="D738" s="2">
        <f>+'Base de Datos'!G738</f>
        <v>830095213</v>
      </c>
      <c r="E738" s="2" t="str">
        <f>+'Base de Datos'!H738</f>
        <v>Suministro de combustible para el parque automotor asignado al Concejo de Bogotá D.C.</v>
      </c>
      <c r="F738" s="197">
        <f>+'Base de Datos'!I738</f>
        <v>480000000</v>
      </c>
      <c r="G738" s="196">
        <f>+'Base de Datos'!M738</f>
        <v>43492</v>
      </c>
      <c r="H738" s="196">
        <f>+'Base de Datos'!N738</f>
        <v>43822</v>
      </c>
      <c r="I738" s="196"/>
      <c r="J738" s="158">
        <v>50000000</v>
      </c>
      <c r="K738" s="333">
        <v>43794</v>
      </c>
      <c r="L738" s="211"/>
      <c r="M738" s="336"/>
      <c r="N738" s="158"/>
      <c r="O738" s="333"/>
      <c r="P738" s="158"/>
      <c r="Q738" s="338"/>
      <c r="R738" s="81">
        <f t="shared" si="101"/>
        <v>50000000</v>
      </c>
      <c r="S738" s="258" t="s">
        <v>4845</v>
      </c>
      <c r="T738" s="333">
        <v>43861</v>
      </c>
      <c r="U738" s="158" t="s">
        <v>381</v>
      </c>
      <c r="V738" s="333">
        <v>43890</v>
      </c>
      <c r="W738" s="158" t="s">
        <v>381</v>
      </c>
      <c r="X738" s="333">
        <v>43921</v>
      </c>
      <c r="Y738" s="158" t="s">
        <v>1854</v>
      </c>
      <c r="Z738" s="333">
        <v>44180</v>
      </c>
      <c r="AA738" s="820" t="s">
        <v>6523</v>
      </c>
      <c r="AB738" s="1004">
        <f t="shared" si="94"/>
        <v>44180</v>
      </c>
      <c r="AC738" s="1082" t="str">
        <f t="shared" si="95"/>
        <v/>
      </c>
      <c r="AD738" s="1077"/>
      <c r="AE738" s="1077"/>
      <c r="AF738" s="1084" t="str">
        <f t="shared" si="96"/>
        <v/>
      </c>
      <c r="AG738" s="1082" t="str">
        <f t="shared" si="97"/>
        <v/>
      </c>
      <c r="AH738" s="1091"/>
      <c r="AI738" s="1087"/>
      <c r="AJ738" s="1084" t="str">
        <f t="shared" si="98"/>
        <v/>
      </c>
      <c r="AK738" s="1083" t="str">
        <f t="shared" si="99"/>
        <v/>
      </c>
      <c r="AL738" s="211">
        <v>7137373</v>
      </c>
      <c r="AM738" s="211">
        <v>21499001</v>
      </c>
      <c r="AN738" s="211">
        <v>17616482</v>
      </c>
      <c r="AO738" s="211">
        <v>23651727</v>
      </c>
      <c r="AP738" s="211"/>
      <c r="AQ738" s="211">
        <v>17760543</v>
      </c>
      <c r="AR738" s="211">
        <v>24364853</v>
      </c>
      <c r="AT738" s="211">
        <v>16128047</v>
      </c>
      <c r="AU738" s="211">
        <v>22107986</v>
      </c>
      <c r="AV738" s="211">
        <v>20041775</v>
      </c>
      <c r="AW738" s="211">
        <v>24411240</v>
      </c>
      <c r="AX738" s="211">
        <v>15839667</v>
      </c>
      <c r="AY738" s="211">
        <v>21122454</v>
      </c>
      <c r="AZ738" s="211">
        <v>22678115</v>
      </c>
      <c r="BA738" s="211"/>
      <c r="BB738" s="211"/>
      <c r="BC738" s="211">
        <f>24492883+18982630+26372983+18254532+28282227+16015736+20286106+17631174+20492147+14548360+6042738+10527856+235290+647209+1395792+645757+452416+254277+381576+228712+70412+332603+212856+20611+126821+267823+348887+42290+602913+144021+213152+1031664</f>
        <v>229584454</v>
      </c>
      <c r="BD738" s="333">
        <v>44180</v>
      </c>
      <c r="BE738" s="82">
        <f t="shared" si="100"/>
        <v>483943717</v>
      </c>
    </row>
    <row r="739" spans="2:57" ht="61.2" hidden="1" x14ac:dyDescent="0.3">
      <c r="B739" s="2" t="str">
        <f>+'Base de Datos'!E739</f>
        <v>190078-0-2019</v>
      </c>
      <c r="C739" s="2" t="str">
        <f>+'Base de Datos'!F739</f>
        <v>BLANCA LISBETH CAMARGO BARRERA</v>
      </c>
      <c r="D739" s="2">
        <f>+'Base de Datos'!G739</f>
        <v>52196310</v>
      </c>
      <c r="E739" s="2" t="str">
        <f>+'Base de Datos'!H739</f>
        <v>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v>
      </c>
      <c r="F739" s="197">
        <f>+'Base de Datos'!I739</f>
        <v>48180000</v>
      </c>
      <c r="G739" s="196">
        <f>+'Base de Datos'!M739</f>
        <v>43500</v>
      </c>
      <c r="H739" s="196">
        <f>+'Base de Datos'!N739</f>
        <v>43641</v>
      </c>
      <c r="I739" s="196"/>
      <c r="J739" s="158"/>
      <c r="K739" s="333"/>
      <c r="L739" s="211"/>
      <c r="M739" s="336"/>
      <c r="N739" s="158"/>
      <c r="O739" s="333"/>
      <c r="P739" s="158"/>
      <c r="Q739" s="338"/>
      <c r="R739" s="81">
        <f t="shared" si="101"/>
        <v>0</v>
      </c>
      <c r="S739" s="258"/>
      <c r="T739" s="333"/>
      <c r="U739" s="158"/>
      <c r="V739" s="333"/>
      <c r="W739" s="158"/>
      <c r="X739" s="333"/>
      <c r="Y739" s="158"/>
      <c r="Z739" s="333"/>
      <c r="AA739" s="326"/>
      <c r="AB739" s="1004" t="str">
        <f t="shared" si="94"/>
        <v/>
      </c>
      <c r="AC739" s="1082" t="str">
        <f t="shared" si="95"/>
        <v/>
      </c>
      <c r="AD739" s="1077"/>
      <c r="AE739" s="1077"/>
      <c r="AF739" s="1084" t="str">
        <f t="shared" si="96"/>
        <v/>
      </c>
      <c r="AG739" s="1082" t="str">
        <f t="shared" si="97"/>
        <v/>
      </c>
      <c r="AH739" s="1091"/>
      <c r="AI739" s="1087"/>
      <c r="AJ739" s="1084" t="str">
        <f t="shared" si="98"/>
        <v/>
      </c>
      <c r="AK739" s="1083" t="str">
        <f t="shared" si="99"/>
        <v/>
      </c>
      <c r="AL739" s="211">
        <v>7227000</v>
      </c>
      <c r="AM739" s="211">
        <v>8030000</v>
      </c>
      <c r="AN739" s="211">
        <v>8030000</v>
      </c>
      <c r="AO739" s="211">
        <v>8030000</v>
      </c>
      <c r="AP739" s="211">
        <v>6691667</v>
      </c>
      <c r="AQ739" s="211"/>
      <c r="AR739" s="211"/>
      <c r="AS739" s="211"/>
      <c r="AT739" s="211"/>
      <c r="AU739" s="211"/>
      <c r="AV739" s="211"/>
      <c r="AW739" s="211"/>
      <c r="AX739" s="211"/>
      <c r="AY739" s="211"/>
      <c r="AZ739" s="211"/>
      <c r="BA739" s="211"/>
      <c r="BB739" s="211"/>
      <c r="BC739" s="211"/>
      <c r="BD739" s="333">
        <v>43648</v>
      </c>
      <c r="BE739" s="82">
        <f t="shared" si="100"/>
        <v>38008667</v>
      </c>
    </row>
    <row r="740" spans="2:57" ht="40.799999999999997" hidden="1" x14ac:dyDescent="0.3">
      <c r="B740" s="2" t="str">
        <f>+'Base de Datos'!E740</f>
        <v>190082-0-2019</v>
      </c>
      <c r="C740" s="2" t="str">
        <f>+'Base de Datos'!F740</f>
        <v>JAMES RINCON CASTAÑO</v>
      </c>
      <c r="D740" s="2">
        <f>+'Base de Datos'!G740</f>
        <v>80830146</v>
      </c>
      <c r="E740" s="2" t="str">
        <f>+'Base de Datos'!H740</f>
        <v>Prestar servicios profesionales para apoyar al Director Jurídico del Concejo de Bogotá en el marco de los asuntos jurídicos y de la defensa judicial con el fin de desarrollar las actividades de acuerdo a la normatividad vigente.</v>
      </c>
      <c r="F740" s="197">
        <f>+'Base de Datos'!I740</f>
        <v>33622600</v>
      </c>
      <c r="G740" s="196">
        <f>+'Base de Datos'!M740</f>
        <v>43500</v>
      </c>
      <c r="H740" s="196">
        <f>+'Base de Datos'!N740</f>
        <v>43641</v>
      </c>
      <c r="I740" s="196"/>
      <c r="J740" s="158"/>
      <c r="K740" s="333"/>
      <c r="L740" s="211"/>
      <c r="M740" s="336"/>
      <c r="N740" s="158"/>
      <c r="O740" s="333"/>
      <c r="P740" s="158"/>
      <c r="Q740" s="338"/>
      <c r="R740" s="81">
        <f t="shared" si="101"/>
        <v>0</v>
      </c>
      <c r="S740" s="258"/>
      <c r="T740" s="333"/>
      <c r="U740" s="158"/>
      <c r="V740" s="333"/>
      <c r="W740" s="158"/>
      <c r="X740" s="333"/>
      <c r="Y740" s="158"/>
      <c r="Z740" s="333"/>
      <c r="AA740" s="326"/>
      <c r="AB740" s="1004" t="str">
        <f t="shared" si="94"/>
        <v/>
      </c>
      <c r="AC740" s="1082" t="str">
        <f t="shared" si="95"/>
        <v/>
      </c>
      <c r="AD740" s="1077"/>
      <c r="AE740" s="1077"/>
      <c r="AF740" s="1084" t="str">
        <f t="shared" si="96"/>
        <v/>
      </c>
      <c r="AG740" s="1082" t="str">
        <f t="shared" si="97"/>
        <v/>
      </c>
      <c r="AH740" s="1091"/>
      <c r="AI740" s="1087"/>
      <c r="AJ740" s="1084" t="str">
        <f t="shared" si="98"/>
        <v/>
      </c>
      <c r="AK740" s="1083" t="str">
        <f t="shared" si="99"/>
        <v/>
      </c>
      <c r="AL740" s="211">
        <v>5217300</v>
      </c>
      <c r="AM740" s="211">
        <v>5797000</v>
      </c>
      <c r="AN740" s="211">
        <v>5797000</v>
      </c>
      <c r="AO740" s="211">
        <v>5797000</v>
      </c>
      <c r="AP740" s="211">
        <v>4830833</v>
      </c>
      <c r="AQ740" s="211"/>
      <c r="AR740" s="211"/>
      <c r="AS740" s="211"/>
      <c r="AT740" s="211"/>
      <c r="AU740" s="211"/>
      <c r="AV740" s="211"/>
      <c r="AW740" s="211"/>
      <c r="AX740" s="211"/>
      <c r="AY740" s="211"/>
      <c r="AZ740" s="211"/>
      <c r="BA740" s="211"/>
      <c r="BB740" s="211"/>
      <c r="BC740" s="211"/>
      <c r="BD740" s="333">
        <v>43665</v>
      </c>
      <c r="BE740" s="82">
        <f t="shared" si="100"/>
        <v>27439133</v>
      </c>
    </row>
    <row r="741" spans="2:57" ht="30.6" hidden="1" x14ac:dyDescent="0.3">
      <c r="B741" s="2" t="str">
        <f>+'Base de Datos'!E741</f>
        <v>190083-0-2019</v>
      </c>
      <c r="C741" s="2" t="str">
        <f>+'Base de Datos'!F741</f>
        <v>LUIS FERNANDO MEZA DAZA</v>
      </c>
      <c r="D741" s="2">
        <f>+'Base de Datos'!G741</f>
        <v>1065587417</v>
      </c>
      <c r="E741" s="2" t="str">
        <f>+'Base de Datos'!H741</f>
        <v>Prestar servicios profesionales para apoyar la definición contratación y seguimiento a los temas de infraestructura física que requiera el Concejo de Bogotá</v>
      </c>
      <c r="F741" s="197">
        <f>+'Base de Datos'!I741</f>
        <v>35117800</v>
      </c>
      <c r="G741" s="196">
        <f>+'Base de Datos'!M741</f>
        <v>43502</v>
      </c>
      <c r="H741" s="196">
        <f>+'Base de Datos'!N741</f>
        <v>43823</v>
      </c>
      <c r="I741" s="196"/>
      <c r="J741" s="158">
        <v>3313000</v>
      </c>
      <c r="K741" s="333">
        <v>43818</v>
      </c>
      <c r="L741" s="211"/>
      <c r="M741" s="336"/>
      <c r="N741" s="158"/>
      <c r="O741" s="333"/>
      <c r="P741" s="158"/>
      <c r="Q741" s="338"/>
      <c r="R741" s="81">
        <f t="shared" si="101"/>
        <v>3313000</v>
      </c>
      <c r="S741" s="258" t="s">
        <v>381</v>
      </c>
      <c r="T741" s="333">
        <v>43854</v>
      </c>
      <c r="U741" s="158"/>
      <c r="V741" s="333"/>
      <c r="W741" s="158"/>
      <c r="X741" s="333"/>
      <c r="Y741" s="158"/>
      <c r="Z741" s="333"/>
      <c r="AA741" s="258" t="s">
        <v>381</v>
      </c>
      <c r="AB741" s="1004">
        <f t="shared" si="94"/>
        <v>43854</v>
      </c>
      <c r="AC741" s="1082" t="str">
        <f t="shared" si="95"/>
        <v/>
      </c>
      <c r="AD741" s="1077"/>
      <c r="AE741" s="1077"/>
      <c r="AF741" s="1084" t="str">
        <f t="shared" si="96"/>
        <v/>
      </c>
      <c r="AG741" s="1082" t="str">
        <f t="shared" si="97"/>
        <v/>
      </c>
      <c r="AH741" s="1091"/>
      <c r="AI741" s="1087"/>
      <c r="AJ741" s="1084" t="str">
        <f t="shared" si="98"/>
        <v/>
      </c>
      <c r="AK741" s="1083" t="str">
        <f t="shared" si="99"/>
        <v/>
      </c>
      <c r="AL741" s="211">
        <v>2760833</v>
      </c>
      <c r="AM741" s="211">
        <v>3313000</v>
      </c>
      <c r="AN741" s="211">
        <v>3313000</v>
      </c>
      <c r="AO741" s="211">
        <v>3313000</v>
      </c>
      <c r="AP741" s="211">
        <v>3313000</v>
      </c>
      <c r="AQ741" s="211">
        <v>3313000</v>
      </c>
      <c r="AR741" s="211">
        <v>3313000</v>
      </c>
      <c r="AS741" s="211">
        <v>3313000</v>
      </c>
      <c r="AT741" s="211">
        <v>3313000</v>
      </c>
      <c r="AU741" s="211">
        <v>3313000</v>
      </c>
      <c r="AV741" s="211">
        <v>3313000</v>
      </c>
      <c r="AW741" s="211">
        <v>2539967</v>
      </c>
      <c r="AX741" s="211"/>
      <c r="AY741" s="211"/>
      <c r="AZ741" s="211"/>
      <c r="BA741" s="211"/>
      <c r="BB741" s="211"/>
      <c r="BC741" s="211"/>
      <c r="BD741" s="333">
        <v>43857</v>
      </c>
      <c r="BE741" s="82">
        <f t="shared" si="100"/>
        <v>38430800</v>
      </c>
    </row>
    <row r="742" spans="2:57" ht="40.799999999999997" hidden="1" x14ac:dyDescent="0.3">
      <c r="B742" s="2" t="str">
        <f>+'Base de Datos'!E742</f>
        <v>190084-0-2019</v>
      </c>
      <c r="C742" s="2" t="str">
        <f>+'Base de Datos'!F742</f>
        <v>ANDRES FELIPE CORZO VILLAMIZAR</v>
      </c>
      <c r="D742" s="2">
        <f>+'Base de Datos'!G742</f>
        <v>1098792121</v>
      </c>
      <c r="E742" s="2" t="str">
        <f>+'Base de Datos'!H742</f>
        <v>Prestar los servicios profesionales para apoyar la Dirección Financiera en la gestión de las actividades relacionadas con el seguimiento a la ejecución contractual del Concejo de Bogotá D.C.</v>
      </c>
      <c r="F742" s="197">
        <f>+'Base de Datos'!I742</f>
        <v>35340000</v>
      </c>
      <c r="G742" s="196">
        <f>+'Base de Datos'!M742</f>
        <v>43502</v>
      </c>
      <c r="H742" s="196">
        <f>+'Base de Datos'!N742</f>
        <v>43825</v>
      </c>
      <c r="I742" s="196"/>
      <c r="J742" s="158">
        <v>6626000</v>
      </c>
      <c r="K742" s="333">
        <v>43818</v>
      </c>
      <c r="L742" s="211"/>
      <c r="M742" s="336"/>
      <c r="N742" s="158"/>
      <c r="O742" s="333"/>
      <c r="P742" s="158"/>
      <c r="Q742" s="338"/>
      <c r="R742" s="81">
        <f t="shared" si="101"/>
        <v>6626000</v>
      </c>
      <c r="S742" s="258" t="s">
        <v>378</v>
      </c>
      <c r="T742" s="333">
        <v>43887</v>
      </c>
      <c r="U742" s="158"/>
      <c r="V742" s="333"/>
      <c r="W742" s="158"/>
      <c r="X742" s="333"/>
      <c r="Y742" s="158"/>
      <c r="Z742" s="333"/>
      <c r="AA742" s="258" t="s">
        <v>378</v>
      </c>
      <c r="AB742" s="1004">
        <f t="shared" si="94"/>
        <v>43887</v>
      </c>
      <c r="AC742" s="1082" t="str">
        <f t="shared" si="95"/>
        <v/>
      </c>
      <c r="AD742" s="1077"/>
      <c r="AE742" s="1077"/>
      <c r="AF742" s="1084" t="str">
        <f t="shared" si="96"/>
        <v/>
      </c>
      <c r="AG742" s="1082" t="str">
        <f t="shared" si="97"/>
        <v/>
      </c>
      <c r="AH742" s="1091"/>
      <c r="AI742" s="1087"/>
      <c r="AJ742" s="1084" t="str">
        <f t="shared" si="98"/>
        <v/>
      </c>
      <c r="AK742" s="1083" t="str">
        <f t="shared" si="99"/>
        <v/>
      </c>
      <c r="AL742" s="211">
        <v>2760833</v>
      </c>
      <c r="AM742" s="211">
        <v>3313000</v>
      </c>
      <c r="AN742" s="211">
        <v>3313000</v>
      </c>
      <c r="AO742" s="211">
        <v>3313000</v>
      </c>
      <c r="AP742" s="211">
        <v>3313000</v>
      </c>
      <c r="AQ742" s="211">
        <v>3313000</v>
      </c>
      <c r="AR742" s="211">
        <v>3313000</v>
      </c>
      <c r="AS742" s="211">
        <v>3313000</v>
      </c>
      <c r="AT742" s="211">
        <v>3313000</v>
      </c>
      <c r="AU742" s="211">
        <v>3313000</v>
      </c>
      <c r="AV742" s="211">
        <v>3313000</v>
      </c>
      <c r="AW742" s="211">
        <v>3313000</v>
      </c>
      <c r="AX742" s="211">
        <v>2762167</v>
      </c>
      <c r="AY742" s="211"/>
      <c r="AZ742" s="211"/>
      <c r="BA742" s="211"/>
      <c r="BB742" s="211"/>
      <c r="BC742" s="211"/>
      <c r="BD742" s="333">
        <v>43900</v>
      </c>
      <c r="BE742" s="82">
        <f t="shared" si="100"/>
        <v>41966000</v>
      </c>
    </row>
    <row r="743" spans="2:57" ht="30.6" hidden="1" x14ac:dyDescent="0.3">
      <c r="B743" s="2" t="str">
        <f>+'Base de Datos'!E743</f>
        <v>190086-0-2019</v>
      </c>
      <c r="C743" s="2" t="str">
        <f>+'Base de Datos'!F743</f>
        <v xml:space="preserve">ANDREA PAOLA MELENDEZ PINEDA </v>
      </c>
      <c r="D743" s="2">
        <f>+'Base de Datos'!G743</f>
        <v>1102812271</v>
      </c>
      <c r="E743" s="2" t="str">
        <f>+'Base de Datos'!H743</f>
        <v>Prestar servicios profesionales en apoyo y acompañamiento en los asuntos inherentes al sistema de control interno del Concejo de Bogotá, D.C.</v>
      </c>
      <c r="F743" s="197">
        <f>+'Base de Datos'!I743</f>
        <v>38508000</v>
      </c>
      <c r="G743" s="196">
        <f>+'Base de Datos'!M743</f>
        <v>43504</v>
      </c>
      <c r="H743" s="196">
        <f>+'Base de Datos'!N743</f>
        <v>43641</v>
      </c>
      <c r="I743" s="196"/>
      <c r="J743" s="158"/>
      <c r="K743" s="333"/>
      <c r="L743" s="211"/>
      <c r="M743" s="336"/>
      <c r="N743" s="158"/>
      <c r="O743" s="333"/>
      <c r="P743" s="158"/>
      <c r="Q743" s="338"/>
      <c r="R743" s="81">
        <f t="shared" si="101"/>
        <v>0</v>
      </c>
      <c r="S743" s="258"/>
      <c r="T743" s="333"/>
      <c r="U743" s="158"/>
      <c r="V743" s="333"/>
      <c r="W743" s="158"/>
      <c r="X743" s="333"/>
      <c r="Y743" s="158"/>
      <c r="Z743" s="333"/>
      <c r="AA743" s="326"/>
      <c r="AB743" s="1004" t="str">
        <f t="shared" si="94"/>
        <v/>
      </c>
      <c r="AC743" s="1082" t="str">
        <f t="shared" si="95"/>
        <v/>
      </c>
      <c r="AD743" s="1077"/>
      <c r="AE743" s="1077"/>
      <c r="AF743" s="1084" t="str">
        <f t="shared" si="96"/>
        <v/>
      </c>
      <c r="AG743" s="1082" t="str">
        <f t="shared" si="97"/>
        <v/>
      </c>
      <c r="AH743" s="1091"/>
      <c r="AI743" s="1087"/>
      <c r="AJ743" s="1084" t="str">
        <f t="shared" si="98"/>
        <v/>
      </c>
      <c r="AK743" s="1083" t="str">
        <f t="shared" si="99"/>
        <v/>
      </c>
      <c r="AL743" s="211">
        <v>4920467</v>
      </c>
      <c r="AM743" s="211">
        <v>6418000</v>
      </c>
      <c r="AN743" s="211">
        <v>6418000</v>
      </c>
      <c r="AO743" s="211">
        <v>6418000</v>
      </c>
      <c r="AP743" s="211">
        <v>5348333</v>
      </c>
      <c r="AQ743" s="211"/>
      <c r="AR743" s="211"/>
      <c r="AS743" s="211"/>
      <c r="AT743" s="211"/>
      <c r="AU743" s="211"/>
      <c r="AV743" s="211"/>
      <c r="AW743" s="211"/>
      <c r="AX743" s="211"/>
      <c r="AY743" s="211"/>
      <c r="AZ743" s="211"/>
      <c r="BA743" s="211"/>
      <c r="BB743" s="211"/>
      <c r="BC743" s="211"/>
      <c r="BD743" s="333">
        <v>43658</v>
      </c>
      <c r="BE743" s="82">
        <f t="shared" si="100"/>
        <v>29522800</v>
      </c>
    </row>
    <row r="744" spans="2:57" ht="30.6" hidden="1" x14ac:dyDescent="0.3">
      <c r="B744" s="2" t="str">
        <f>+'Base de Datos'!E744</f>
        <v>190079-0-2019</v>
      </c>
      <c r="C744" s="2" t="str">
        <f>+'Base de Datos'!F744</f>
        <v>ANIBAL ROBERTO ENDARA RAMIREZ</v>
      </c>
      <c r="D744" s="2">
        <f>+'Base de Datos'!G744</f>
        <v>79328194</v>
      </c>
      <c r="E744" s="2" t="str">
        <f>+'Base de Datos'!H744</f>
        <v>Prestar servicios para la elaboración del retrato sobre lienzo al óleo del Presidente de la mesa directiva del Concejo de Bogotá.</v>
      </c>
      <c r="F744" s="197">
        <f>+'Base de Datos'!I744</f>
        <v>2833530</v>
      </c>
      <c r="G744" s="196">
        <f>+'Base de Datos'!M744</f>
        <v>43504</v>
      </c>
      <c r="H744" s="196">
        <f>+'Base de Datos'!N744</f>
        <v>43562</v>
      </c>
      <c r="I744" s="196"/>
      <c r="J744" s="158"/>
      <c r="K744" s="333"/>
      <c r="L744" s="211"/>
      <c r="M744" s="336"/>
      <c r="N744" s="158"/>
      <c r="O744" s="333"/>
      <c r="P744" s="158"/>
      <c r="Q744" s="338"/>
      <c r="R744" s="81">
        <f t="shared" si="101"/>
        <v>0</v>
      </c>
      <c r="S744" s="258"/>
      <c r="T744" s="333"/>
      <c r="U744" s="158"/>
      <c r="V744" s="333"/>
      <c r="W744" s="158"/>
      <c r="X744" s="333"/>
      <c r="Y744" s="158"/>
      <c r="Z744" s="333"/>
      <c r="AA744" s="326"/>
      <c r="AB744" s="1004" t="str">
        <f t="shared" si="94"/>
        <v/>
      </c>
      <c r="AC744" s="1082" t="str">
        <f t="shared" si="95"/>
        <v/>
      </c>
      <c r="AD744" s="1077"/>
      <c r="AE744" s="1077"/>
      <c r="AF744" s="1084" t="str">
        <f t="shared" si="96"/>
        <v/>
      </c>
      <c r="AG744" s="1082" t="str">
        <f t="shared" si="97"/>
        <v/>
      </c>
      <c r="AH744" s="1091"/>
      <c r="AI744" s="1087"/>
      <c r="AJ744" s="1084" t="str">
        <f t="shared" si="98"/>
        <v/>
      </c>
      <c r="AK744" s="1083" t="str">
        <f t="shared" si="99"/>
        <v/>
      </c>
      <c r="AL744" s="211">
        <v>2833530</v>
      </c>
      <c r="AM744" s="211"/>
      <c r="AN744" s="211"/>
      <c r="AO744" s="211"/>
      <c r="AP744" s="211"/>
      <c r="AQ744" s="211"/>
      <c r="AR744" s="211"/>
      <c r="AS744" s="211"/>
      <c r="AT744" s="211"/>
      <c r="AU744" s="211"/>
      <c r="AV744" s="211"/>
      <c r="AW744" s="211"/>
      <c r="AX744" s="211"/>
      <c r="AY744" s="211"/>
      <c r="AZ744" s="211"/>
      <c r="BA744" s="211"/>
      <c r="BB744" s="211"/>
      <c r="BC744" s="211"/>
      <c r="BD744" s="333">
        <v>43524</v>
      </c>
      <c r="BE744" s="82">
        <f t="shared" si="100"/>
        <v>2833530</v>
      </c>
    </row>
    <row r="745" spans="2:57" ht="40.799999999999997" hidden="1" x14ac:dyDescent="0.3">
      <c r="B745" s="2" t="str">
        <f>+'Base de Datos'!E745</f>
        <v>190087-0-2019</v>
      </c>
      <c r="C745" s="2" t="str">
        <f>+'Base de Datos'!F745</f>
        <v>MANUEL FELIPE VEGA NOVOA</v>
      </c>
      <c r="D745" s="2">
        <f>+'Base de Datos'!G745</f>
        <v>1014264880</v>
      </c>
      <c r="E745" s="2" t="str">
        <f>+'Base de Datos'!H745</f>
        <v>Prestar servicios para apoyar el procedimiento de bonos pensionales para coadyuvar con las actualización y administración de la información de los funcionarios y exfuncionarios en cuanto a los trámites pensionales.</v>
      </c>
      <c r="F745" s="197">
        <f>+'Base de Datos'!I745</f>
        <v>17007466</v>
      </c>
      <c r="G745" s="196">
        <f>+'Base de Datos'!M745</f>
        <v>43504</v>
      </c>
      <c r="H745" s="196">
        <f>+'Base de Datos'!N745</f>
        <v>43641</v>
      </c>
      <c r="I745" s="196"/>
      <c r="J745" s="158"/>
      <c r="K745" s="333"/>
      <c r="L745" s="211"/>
      <c r="M745" s="336"/>
      <c r="N745" s="158"/>
      <c r="O745" s="333"/>
      <c r="P745" s="158"/>
      <c r="Q745" s="338"/>
      <c r="R745" s="81">
        <f t="shared" si="101"/>
        <v>0</v>
      </c>
      <c r="S745" s="258"/>
      <c r="T745" s="333"/>
      <c r="U745" s="158"/>
      <c r="V745" s="333"/>
      <c r="W745" s="158"/>
      <c r="X745" s="333"/>
      <c r="Y745" s="158"/>
      <c r="Z745" s="333"/>
      <c r="AA745" s="326"/>
      <c r="AB745" s="1004" t="str">
        <f t="shared" si="94"/>
        <v/>
      </c>
      <c r="AC745" s="1082" t="str">
        <f t="shared" si="95"/>
        <v/>
      </c>
      <c r="AD745" s="1077"/>
      <c r="AE745" s="1077"/>
      <c r="AF745" s="1084" t="str">
        <f t="shared" si="96"/>
        <v/>
      </c>
      <c r="AG745" s="1082" t="str">
        <f t="shared" si="97"/>
        <v/>
      </c>
      <c r="AH745" s="1091"/>
      <c r="AI745" s="1087"/>
      <c r="AJ745" s="1084" t="str">
        <f t="shared" si="98"/>
        <v/>
      </c>
      <c r="AK745" s="1083" t="str">
        <f t="shared" si="99"/>
        <v/>
      </c>
      <c r="AL745" s="211">
        <v>2222567</v>
      </c>
      <c r="AM745" s="211">
        <v>2899000</v>
      </c>
      <c r="AN745" s="211">
        <v>2899000</v>
      </c>
      <c r="AO745" s="211">
        <v>2899000</v>
      </c>
      <c r="AP745" s="211">
        <v>2415833</v>
      </c>
      <c r="AQ745" s="211"/>
      <c r="AR745" s="211"/>
      <c r="AS745" s="211"/>
      <c r="AT745" s="211"/>
      <c r="AU745" s="211"/>
      <c r="AV745" s="211"/>
      <c r="AW745" s="211"/>
      <c r="AX745" s="211"/>
      <c r="AY745" s="211"/>
      <c r="AZ745" s="211"/>
      <c r="BA745" s="211"/>
      <c r="BB745" s="211"/>
      <c r="BC745" s="211"/>
      <c r="BD745" s="333">
        <v>43648</v>
      </c>
      <c r="BE745" s="82">
        <f t="shared" si="100"/>
        <v>13335400</v>
      </c>
    </row>
    <row r="746" spans="2:57" ht="30.6" hidden="1" x14ac:dyDescent="0.3">
      <c r="B746" s="2" t="str">
        <f>+'Base de Datos'!E746</f>
        <v>190119-0-2019</v>
      </c>
      <c r="C746" s="2" t="str">
        <f>+'Base de Datos'!F746</f>
        <v>JUAN DIEGO ESPITIA ROA</v>
      </c>
      <c r="D746" s="2">
        <f>+'Base de Datos'!G746</f>
        <v>79730476</v>
      </c>
      <c r="E746" s="2" t="str">
        <f>+'Base de Datos'!H746</f>
        <v>Prestar servicios profesionales como enlace con la Unidad Ejecutora 04 de la Secretaria Distrital de Hacienda para la liquidación y cierre de los expedientes contractuales.</v>
      </c>
      <c r="F746" s="197">
        <f>+'Base de Datos'!I746</f>
        <v>36438000</v>
      </c>
      <c r="G746" s="196">
        <f>+'Base de Datos'!M746</f>
        <v>43504</v>
      </c>
      <c r="H746" s="196">
        <f>+'Base de Datos'!N746</f>
        <v>43641</v>
      </c>
      <c r="I746" s="196"/>
      <c r="J746" s="158">
        <v>18219000</v>
      </c>
      <c r="K746" s="333">
        <v>43678</v>
      </c>
      <c r="L746" s="211"/>
      <c r="M746" s="336"/>
      <c r="N746" s="158"/>
      <c r="O746" s="333"/>
      <c r="P746" s="158"/>
      <c r="Q746" s="338"/>
      <c r="R746" s="81">
        <f t="shared" si="101"/>
        <v>18219000</v>
      </c>
      <c r="S746" s="820" t="s">
        <v>5054</v>
      </c>
      <c r="T746" s="333">
        <v>43684</v>
      </c>
      <c r="U746" s="158" t="s">
        <v>379</v>
      </c>
      <c r="V746" s="333">
        <v>43776</v>
      </c>
      <c r="W746" s="158"/>
      <c r="X746" s="333"/>
      <c r="Y746" s="158"/>
      <c r="Z746" s="333"/>
      <c r="AA746" s="326" t="s">
        <v>5175</v>
      </c>
      <c r="AB746" s="1004">
        <f t="shared" si="94"/>
        <v>43776</v>
      </c>
      <c r="AC746" s="1082" t="str">
        <f t="shared" si="95"/>
        <v/>
      </c>
      <c r="AD746" s="1077"/>
      <c r="AE746" s="1077"/>
      <c r="AF746" s="1084" t="str">
        <f t="shared" si="96"/>
        <v/>
      </c>
      <c r="AG746" s="1082" t="str">
        <f t="shared" si="97"/>
        <v/>
      </c>
      <c r="AH746" s="1091"/>
      <c r="AI746" s="1087"/>
      <c r="AJ746" s="1084" t="str">
        <f t="shared" si="98"/>
        <v/>
      </c>
      <c r="AK746" s="1083" t="str">
        <f t="shared" si="99"/>
        <v/>
      </c>
      <c r="AL746" s="211">
        <v>4655967</v>
      </c>
      <c r="AM746" s="211">
        <v>6073000</v>
      </c>
      <c r="AN746" s="211">
        <v>6073000</v>
      </c>
      <c r="AO746" s="211">
        <v>6073000</v>
      </c>
      <c r="AP746" s="211">
        <v>6073000</v>
      </c>
      <c r="AQ746" s="211">
        <v>6073000</v>
      </c>
      <c r="AR746" s="211">
        <v>1417033</v>
      </c>
      <c r="AS746" s="211">
        <v>4655967</v>
      </c>
      <c r="AT746" s="211">
        <v>6073000</v>
      </c>
      <c r="AU746" s="211">
        <v>6073000</v>
      </c>
      <c r="AV746" s="211">
        <v>1417033</v>
      </c>
      <c r="AW746" s="211"/>
      <c r="AX746" s="211"/>
      <c r="AY746" s="211"/>
      <c r="AZ746" s="211"/>
      <c r="BA746" s="211"/>
      <c r="BB746" s="211"/>
      <c r="BC746" s="211"/>
      <c r="BD746" s="333">
        <v>43776</v>
      </c>
      <c r="BE746" s="82">
        <f t="shared" si="100"/>
        <v>54657000</v>
      </c>
    </row>
    <row r="747" spans="2:57" ht="40.799999999999997" hidden="1" x14ac:dyDescent="0.3">
      <c r="B747" s="2" t="str">
        <f>+'Base de Datos'!E747</f>
        <v>190120-0-2019</v>
      </c>
      <c r="C747" s="2" t="str">
        <f>+'Base de Datos'!F747</f>
        <v>DIEGO EDUARDO PABON BULLA</v>
      </c>
      <c r="D747" s="2">
        <f>+'Base de Datos'!G747</f>
        <v>1032424231</v>
      </c>
      <c r="E747" s="2" t="str">
        <f>+'Base de Datos'!H747</f>
        <v>Prestar los servicios Profesionales para apoyar al Concejo de Bogotá en la adopción y manejo de las estrategias y acciones de cooperación para posicionar a la Corporación en el ámbito Nacional e Internacional</v>
      </c>
      <c r="F747" s="197">
        <f>+'Base de Datos'!I747</f>
        <v>33702000</v>
      </c>
      <c r="G747" s="196">
        <f>+'Base de Datos'!M747</f>
        <v>43504</v>
      </c>
      <c r="H747" s="196">
        <f>+'Base de Datos'!N747</f>
        <v>43641</v>
      </c>
      <c r="I747" s="196"/>
      <c r="J747" s="158"/>
      <c r="K747" s="333"/>
      <c r="L747" s="211"/>
      <c r="M747" s="336"/>
      <c r="N747" s="158"/>
      <c r="O747" s="333"/>
      <c r="P747" s="158"/>
      <c r="Q747" s="338"/>
      <c r="R747" s="81">
        <f t="shared" si="101"/>
        <v>0</v>
      </c>
      <c r="S747" s="258"/>
      <c r="T747" s="333"/>
      <c r="U747" s="158"/>
      <c r="V747" s="333"/>
      <c r="W747" s="158"/>
      <c r="X747" s="333"/>
      <c r="Y747" s="158"/>
      <c r="Z747" s="333"/>
      <c r="AA747" s="326"/>
      <c r="AB747" s="1004" t="str">
        <f t="shared" si="94"/>
        <v/>
      </c>
      <c r="AC747" s="1082" t="str">
        <f t="shared" si="95"/>
        <v/>
      </c>
      <c r="AD747" s="1077"/>
      <c r="AE747" s="1077"/>
      <c r="AF747" s="1084" t="str">
        <f t="shared" si="96"/>
        <v/>
      </c>
      <c r="AG747" s="1082" t="str">
        <f t="shared" si="97"/>
        <v/>
      </c>
      <c r="AH747" s="1091"/>
      <c r="AI747" s="1087"/>
      <c r="AJ747" s="1084" t="str">
        <f t="shared" si="98"/>
        <v/>
      </c>
      <c r="AK747" s="1083" t="str">
        <f t="shared" si="99"/>
        <v/>
      </c>
      <c r="AL747" s="211">
        <v>4306367</v>
      </c>
      <c r="AM747" s="211">
        <v>5617000</v>
      </c>
      <c r="AN747" s="211">
        <v>5617000</v>
      </c>
      <c r="AO747" s="211">
        <v>5617000</v>
      </c>
      <c r="AP747" s="211">
        <v>4680833</v>
      </c>
      <c r="AQ747" s="211"/>
      <c r="AR747" s="211"/>
      <c r="AS747" s="211"/>
      <c r="AT747" s="211"/>
      <c r="AU747" s="211"/>
      <c r="AV747" s="211"/>
      <c r="AW747" s="211"/>
      <c r="AX747" s="211"/>
      <c r="AY747" s="211"/>
      <c r="AZ747" s="211"/>
      <c r="BA747" s="211"/>
      <c r="BB747" s="211"/>
      <c r="BC747" s="211"/>
      <c r="BD747" s="333">
        <v>43810</v>
      </c>
      <c r="BE747" s="82">
        <f t="shared" si="100"/>
        <v>25838200</v>
      </c>
    </row>
    <row r="748" spans="2:57" ht="30.6" hidden="1" x14ac:dyDescent="0.3">
      <c r="B748" s="2" t="str">
        <f>+'Base de Datos'!E748</f>
        <v>190118-0-2019</v>
      </c>
      <c r="C748" s="2" t="str">
        <f>+'Base de Datos'!F748</f>
        <v>LUZ ANGELA CARDENAS MORENO</v>
      </c>
      <c r="D748" s="2">
        <f>+'Base de Datos'!G748</f>
        <v>52911222</v>
      </c>
      <c r="E748" s="2" t="str">
        <f>+'Base de Datos'!H748</f>
        <v>Prestar servicios profesionales para apoyar a la oficina de comunicaciones del Concejo de Bogotá para el cumplimiento al plan de comunicaciones internas y externas de la entidad.</v>
      </c>
      <c r="F748" s="197">
        <f>+'Base de Datos'!I748</f>
        <v>36438000</v>
      </c>
      <c r="G748" s="196">
        <f>+'Base de Datos'!M748</f>
        <v>43504</v>
      </c>
      <c r="H748" s="196">
        <f>+'Base de Datos'!N748</f>
        <v>43641</v>
      </c>
      <c r="I748" s="196"/>
      <c r="J748" s="158">
        <v>18219000</v>
      </c>
      <c r="K748" s="333">
        <v>43678</v>
      </c>
      <c r="L748" s="211"/>
      <c r="M748" s="336"/>
      <c r="N748" s="158"/>
      <c r="O748" s="333"/>
      <c r="P748" s="158"/>
      <c r="Q748" s="338"/>
      <c r="R748" s="81">
        <f t="shared" si="101"/>
        <v>18219000</v>
      </c>
      <c r="S748" s="820" t="s">
        <v>5054</v>
      </c>
      <c r="T748" s="333">
        <v>43684</v>
      </c>
      <c r="U748" s="158" t="s">
        <v>379</v>
      </c>
      <c r="V748" s="333">
        <v>43776</v>
      </c>
      <c r="W748" s="158"/>
      <c r="X748" s="333"/>
      <c r="Y748" s="158"/>
      <c r="Z748" s="333"/>
      <c r="AA748" s="326" t="s">
        <v>5175</v>
      </c>
      <c r="AB748" s="1004">
        <f t="shared" si="94"/>
        <v>43776</v>
      </c>
      <c r="AC748" s="1082" t="str">
        <f t="shared" si="95"/>
        <v/>
      </c>
      <c r="AD748" s="1077"/>
      <c r="AE748" s="1077"/>
      <c r="AF748" s="1084" t="str">
        <f t="shared" si="96"/>
        <v/>
      </c>
      <c r="AG748" s="1082" t="str">
        <f t="shared" si="97"/>
        <v/>
      </c>
      <c r="AH748" s="1091"/>
      <c r="AI748" s="1087"/>
      <c r="AJ748" s="1084" t="str">
        <f t="shared" si="98"/>
        <v/>
      </c>
      <c r="AK748" s="1083" t="str">
        <f t="shared" si="99"/>
        <v/>
      </c>
      <c r="AL748" s="211">
        <v>4655967</v>
      </c>
      <c r="AM748" s="211">
        <v>6073000</v>
      </c>
      <c r="AN748" s="211">
        <v>6073000</v>
      </c>
      <c r="AO748" s="211">
        <v>6073000</v>
      </c>
      <c r="AP748" s="211">
        <v>6073000</v>
      </c>
      <c r="AQ748" s="211">
        <v>6073000</v>
      </c>
      <c r="AR748" s="211">
        <v>1417033</v>
      </c>
      <c r="AS748" s="211">
        <v>4655967</v>
      </c>
      <c r="AT748" s="211">
        <v>6073000</v>
      </c>
      <c r="AU748" s="211">
        <v>6073000</v>
      </c>
      <c r="AV748" s="211">
        <v>1417033</v>
      </c>
      <c r="AW748" s="211"/>
      <c r="AX748" s="211"/>
      <c r="AY748" s="211"/>
      <c r="AZ748" s="211"/>
      <c r="BA748" s="211"/>
      <c r="BB748" s="211"/>
      <c r="BC748" s="211"/>
      <c r="BD748" s="333">
        <v>43810</v>
      </c>
      <c r="BE748" s="82">
        <f t="shared" si="100"/>
        <v>54657000</v>
      </c>
    </row>
    <row r="749" spans="2:57" ht="40.799999999999997" hidden="1" x14ac:dyDescent="0.3">
      <c r="B749" s="2" t="str">
        <f>+'Base de Datos'!E749</f>
        <v>190121-0-2019</v>
      </c>
      <c r="C749" s="2" t="str">
        <f>+'Base de Datos'!F749</f>
        <v xml:space="preserve">DIANA CAROLINA RIVEROS BEJARANO  (Cesionaria) / ANA MARIA MONROY MORA (Antes)
</v>
      </c>
      <c r="D749" s="2">
        <f>+'Base de Datos'!G749</f>
        <v>1023898067</v>
      </c>
      <c r="E749" s="2" t="str">
        <f>+'Base de Datos'!H749</f>
        <v>Prestar servicios profesionales para apoyar la ejecución de las actividades contenidas en el Plan de Bienestar Social del Concejo de Bogotá.</v>
      </c>
      <c r="F749" s="197">
        <f>+'Base de Datos'!I749</f>
        <v>33666233</v>
      </c>
      <c r="G749" s="196">
        <f>+'Base de Datos'!M749</f>
        <v>43504</v>
      </c>
      <c r="H749" s="196">
        <f>+'Base de Datos'!N749</f>
        <v>43641</v>
      </c>
      <c r="I749" s="196"/>
      <c r="J749" s="158">
        <v>12782367</v>
      </c>
      <c r="K749" s="333">
        <v>43691</v>
      </c>
      <c r="L749" s="211"/>
      <c r="M749" s="336"/>
      <c r="N749" s="158"/>
      <c r="O749" s="333"/>
      <c r="P749" s="158"/>
      <c r="Q749" s="338"/>
      <c r="R749" s="81">
        <f t="shared" si="101"/>
        <v>12782367</v>
      </c>
      <c r="S749" s="258" t="s">
        <v>5052</v>
      </c>
      <c r="T749" s="333">
        <v>43692</v>
      </c>
      <c r="U749" s="157" t="s">
        <v>5193</v>
      </c>
      <c r="V749" s="333">
        <v>43764</v>
      </c>
      <c r="W749" s="158"/>
      <c r="X749" s="333"/>
      <c r="Y749" s="158"/>
      <c r="Z749" s="333"/>
      <c r="AA749" s="326" t="s">
        <v>380</v>
      </c>
      <c r="AB749" s="1004">
        <f t="shared" si="94"/>
        <v>43764</v>
      </c>
      <c r="AC749" s="1082" t="str">
        <f t="shared" si="95"/>
        <v/>
      </c>
      <c r="AD749" s="1077"/>
      <c r="AE749" s="1077"/>
      <c r="AF749" s="1084" t="str">
        <f t="shared" si="96"/>
        <v/>
      </c>
      <c r="AG749" s="1082" t="str">
        <f t="shared" si="97"/>
        <v/>
      </c>
      <c r="AH749" s="1091"/>
      <c r="AI749" s="1087"/>
      <c r="AJ749" s="1084" t="str">
        <f t="shared" si="98"/>
        <v/>
      </c>
      <c r="AK749" s="1083" t="str">
        <f t="shared" si="99"/>
        <v/>
      </c>
      <c r="AL749" s="211">
        <v>4140767</v>
      </c>
      <c r="AM749" s="211">
        <v>360067</v>
      </c>
      <c r="AN749" s="211">
        <v>5401000</v>
      </c>
      <c r="AO749" s="211">
        <v>4860900</v>
      </c>
      <c r="AP749" s="211">
        <v>5401000</v>
      </c>
      <c r="AQ749" s="211">
        <v>5401000</v>
      </c>
      <c r="AR749" s="211">
        <v>5401000</v>
      </c>
      <c r="AS749" s="211">
        <v>5401000</v>
      </c>
      <c r="AT749" s="211">
        <v>5401000</v>
      </c>
      <c r="AU749" s="211">
        <v>4680866</v>
      </c>
      <c r="AV749" s="211"/>
      <c r="AW749" s="211"/>
      <c r="AX749" s="211"/>
      <c r="AY749" s="211"/>
      <c r="AZ749" s="211"/>
      <c r="BA749" s="211"/>
      <c r="BB749" s="211"/>
      <c r="BC749" s="211"/>
      <c r="BD749" s="333">
        <v>43775</v>
      </c>
      <c r="BE749" s="82">
        <f t="shared" si="100"/>
        <v>46448600</v>
      </c>
    </row>
    <row r="750" spans="2:57" ht="40.799999999999997" hidden="1" x14ac:dyDescent="0.3">
      <c r="B750" s="2" t="str">
        <f>+'Base de Datos'!E750</f>
        <v>190122-0-2019</v>
      </c>
      <c r="C750" s="2" t="str">
        <f>+'Base de Datos'!F750</f>
        <v>ANGELA IBETH DÍAZ REY (Cesionaria) /MARICELA CASTRO DELGADO  (Antes)</v>
      </c>
      <c r="D750" s="2">
        <f>+'Base de Datos'!G750</f>
        <v>52379113</v>
      </c>
      <c r="E750" s="2" t="str">
        <f>+'Base de Datos'!H750</f>
        <v xml:space="preserve">Prestar servicios profesionales para apoyar la Dirección Administrativa en la gestión de las actividades relacionadas con el seguimiento a la ejecución contractual relacionada con técnología e informática del Concejo de Bogotá </v>
      </c>
      <c r="F750" s="197">
        <f>+'Base de Datos'!I750</f>
        <v>17394000</v>
      </c>
      <c r="G750" s="196">
        <f>+'Base de Datos'!M750</f>
        <v>43504</v>
      </c>
      <c r="H750" s="196">
        <f>+'Base de Datos'!N750</f>
        <v>43641</v>
      </c>
      <c r="I750" s="196"/>
      <c r="J750" s="158">
        <v>8697000</v>
      </c>
      <c r="K750" s="333">
        <v>43680</v>
      </c>
      <c r="L750" s="211"/>
      <c r="M750" s="336"/>
      <c r="N750" s="158"/>
      <c r="O750" s="333"/>
      <c r="P750" s="158"/>
      <c r="Q750" s="338"/>
      <c r="R750" s="81">
        <f t="shared" si="101"/>
        <v>8697000</v>
      </c>
      <c r="S750" s="158" t="s">
        <v>5064</v>
      </c>
      <c r="T750" s="333">
        <v>43685</v>
      </c>
      <c r="U750" s="158" t="s">
        <v>379</v>
      </c>
      <c r="V750" s="333">
        <v>43776</v>
      </c>
      <c r="W750" s="158"/>
      <c r="X750" s="333"/>
      <c r="Y750" s="158"/>
      <c r="Z750" s="333"/>
      <c r="AA750" s="326" t="s">
        <v>5175</v>
      </c>
      <c r="AB750" s="1004">
        <f t="shared" si="94"/>
        <v>43776</v>
      </c>
      <c r="AC750" s="1082" t="str">
        <f t="shared" si="95"/>
        <v/>
      </c>
      <c r="AD750" s="1077"/>
      <c r="AE750" s="1077"/>
      <c r="AF750" s="1084" t="str">
        <f t="shared" si="96"/>
        <v/>
      </c>
      <c r="AG750" s="1082" t="str">
        <f t="shared" si="97"/>
        <v/>
      </c>
      <c r="AH750" s="1091"/>
      <c r="AI750" s="1087"/>
      <c r="AJ750" s="1084" t="str">
        <f t="shared" si="98"/>
        <v/>
      </c>
      <c r="AK750" s="1083" t="str">
        <f t="shared" si="99"/>
        <v/>
      </c>
      <c r="AL750" s="211">
        <v>2222567</v>
      </c>
      <c r="AM750" s="211">
        <v>2899000</v>
      </c>
      <c r="AN750" s="211">
        <v>2222567</v>
      </c>
      <c r="AO750" s="211">
        <v>2899000</v>
      </c>
      <c r="AP750" s="211">
        <v>193267</v>
      </c>
      <c r="AQ750" s="211">
        <v>2899000</v>
      </c>
      <c r="AR750" s="211">
        <v>2899000</v>
      </c>
      <c r="AS750" s="211">
        <v>1159599</v>
      </c>
      <c r="AT750" s="211">
        <v>1739401</v>
      </c>
      <c r="AU750" s="211">
        <v>2899000</v>
      </c>
      <c r="AV750" s="211">
        <v>2899000</v>
      </c>
      <c r="AW750" s="211">
        <v>676433</v>
      </c>
      <c r="AX750" s="211"/>
      <c r="AY750" s="211"/>
      <c r="AZ750" s="211"/>
      <c r="BA750" s="211"/>
      <c r="BB750" s="211"/>
      <c r="BC750" s="211"/>
      <c r="BD750" s="333">
        <v>43816</v>
      </c>
      <c r="BE750" s="82">
        <f t="shared" si="100"/>
        <v>25607834</v>
      </c>
    </row>
    <row r="751" spans="2:57" ht="40.799999999999997" hidden="1" x14ac:dyDescent="0.3">
      <c r="B751" s="2" t="str">
        <f>+'Base de Datos'!E751</f>
        <v>190123-0-2019</v>
      </c>
      <c r="C751" s="2" t="str">
        <f>+'Base de Datos'!F751</f>
        <v>FELIPE RUEDA POSADA</v>
      </c>
      <c r="D751" s="2">
        <f>+'Base de Datos'!G751</f>
        <v>79569100</v>
      </c>
      <c r="E751" s="2" t="str">
        <f>+'Base de Datos'!H751</f>
        <v>Prestar servicios profesionales para apoyar la formulación, implementación y seguimiento al plan estratégico de tecnología, información y comunicaciones - PETIC del Concejo de Bogotá.</v>
      </c>
      <c r="F751" s="197">
        <f>+'Base de Datos'!I751</f>
        <v>74800000</v>
      </c>
      <c r="G751" s="196">
        <f>+'Base de Datos'!M751</f>
        <v>43504</v>
      </c>
      <c r="H751" s="196">
        <f>+'Base de Datos'!N751</f>
        <v>43830</v>
      </c>
      <c r="I751" s="196"/>
      <c r="J751" s="158"/>
      <c r="K751" s="333"/>
      <c r="L751" s="211"/>
      <c r="M751" s="336"/>
      <c r="N751" s="158"/>
      <c r="O751" s="333"/>
      <c r="P751" s="158"/>
      <c r="Q751" s="338"/>
      <c r="R751" s="81">
        <f t="shared" si="101"/>
        <v>0</v>
      </c>
      <c r="S751" s="258"/>
      <c r="T751" s="333"/>
      <c r="U751" s="158"/>
      <c r="V751" s="333"/>
      <c r="W751" s="158"/>
      <c r="X751" s="333"/>
      <c r="Y751" s="158"/>
      <c r="Z751" s="333"/>
      <c r="AA751" s="326"/>
      <c r="AB751" s="1004" t="str">
        <f t="shared" si="94"/>
        <v/>
      </c>
      <c r="AC751" s="1082" t="str">
        <f t="shared" si="95"/>
        <v/>
      </c>
      <c r="AD751" s="1077"/>
      <c r="AE751" s="1077"/>
      <c r="AF751" s="1084" t="str">
        <f t="shared" si="96"/>
        <v/>
      </c>
      <c r="AG751" s="1082" t="str">
        <f t="shared" si="97"/>
        <v/>
      </c>
      <c r="AH751" s="1091"/>
      <c r="AI751" s="1087"/>
      <c r="AJ751" s="1084" t="str">
        <f t="shared" si="98"/>
        <v/>
      </c>
      <c r="AK751" s="1083" t="str">
        <f t="shared" si="99"/>
        <v/>
      </c>
      <c r="AL751" s="211">
        <v>5213333</v>
      </c>
      <c r="AM751" s="211">
        <v>6800000</v>
      </c>
      <c r="AN751" s="211">
        <v>6800000</v>
      </c>
      <c r="AO751" s="211">
        <v>6800000</v>
      </c>
      <c r="AP751" s="211">
        <v>6800000</v>
      </c>
      <c r="AQ751" s="211">
        <v>6800000</v>
      </c>
      <c r="AR751" s="211">
        <v>6800000</v>
      </c>
      <c r="AS751" s="211">
        <v>6800000</v>
      </c>
      <c r="AT751" s="211">
        <v>6800000</v>
      </c>
      <c r="AU751" s="211">
        <v>6800000</v>
      </c>
      <c r="AV751" s="211">
        <v>6800000</v>
      </c>
      <c r="AW751" s="211"/>
      <c r="AX751" s="211"/>
      <c r="AY751" s="211"/>
      <c r="AZ751" s="211"/>
      <c r="BA751" s="211"/>
      <c r="BB751" s="211"/>
      <c r="BC751" s="211"/>
      <c r="BD751" s="333">
        <v>43801</v>
      </c>
      <c r="BE751" s="82">
        <f t="shared" si="100"/>
        <v>73213333</v>
      </c>
    </row>
    <row r="752" spans="2:57" ht="51" hidden="1" x14ac:dyDescent="0.3">
      <c r="B752" s="2" t="str">
        <f>+'Base de Datos'!E752</f>
        <v>190145-0-2019</v>
      </c>
      <c r="C752" s="2" t="str">
        <f>+'Base de Datos'!F752</f>
        <v>RONALD STIVE SANCHEZ POSADA</v>
      </c>
      <c r="D752" s="2">
        <f>+'Base de Datos'!G752</f>
        <v>79883661</v>
      </c>
      <c r="E752" s="2" t="str">
        <f>+'Base de Datos'!H752</f>
        <v>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v>
      </c>
      <c r="F752" s="197">
        <f>+'Base de Datos'!I752</f>
        <v>79618000</v>
      </c>
      <c r="G752" s="196">
        <f>+'Base de Datos'!M752</f>
        <v>43504</v>
      </c>
      <c r="H752" s="196">
        <f>+'Base de Datos'!N752</f>
        <v>43616</v>
      </c>
      <c r="I752" s="196"/>
      <c r="J752" s="158"/>
      <c r="K752" s="333"/>
      <c r="L752" s="211"/>
      <c r="M752" s="336"/>
      <c r="N752" s="158"/>
      <c r="O752" s="333"/>
      <c r="P752" s="158"/>
      <c r="Q752" s="338"/>
      <c r="R752" s="81">
        <f t="shared" si="101"/>
        <v>0</v>
      </c>
      <c r="S752" s="258"/>
      <c r="T752" s="333"/>
      <c r="U752" s="158"/>
      <c r="V752" s="333"/>
      <c r="W752" s="158"/>
      <c r="X752" s="333"/>
      <c r="Y752" s="158"/>
      <c r="Z752" s="333"/>
      <c r="AA752" s="326"/>
      <c r="AB752" s="1004" t="str">
        <f t="shared" si="94"/>
        <v/>
      </c>
      <c r="AC752" s="1082" t="str">
        <f t="shared" si="95"/>
        <v/>
      </c>
      <c r="AD752" s="1077"/>
      <c r="AE752" s="1077"/>
      <c r="AF752" s="1084" t="str">
        <f t="shared" si="96"/>
        <v/>
      </c>
      <c r="AG752" s="1082" t="str">
        <f t="shared" si="97"/>
        <v/>
      </c>
      <c r="AH752" s="1091"/>
      <c r="AI752" s="1087"/>
      <c r="AJ752" s="1084" t="str">
        <f t="shared" si="98"/>
        <v/>
      </c>
      <c r="AK752" s="1083" t="str">
        <f t="shared" si="99"/>
        <v/>
      </c>
      <c r="AL752" s="211">
        <v>5549133</v>
      </c>
      <c r="AM752" s="211">
        <v>7238000</v>
      </c>
      <c r="AN752" s="211">
        <v>7238000</v>
      </c>
      <c r="AO752" s="211">
        <v>7238000</v>
      </c>
      <c r="AP752" s="211"/>
      <c r="AQ752" s="211"/>
      <c r="AR752" s="211"/>
      <c r="AS752" s="211"/>
      <c r="AT752" s="211"/>
      <c r="AU752" s="211"/>
      <c r="AV752" s="211"/>
      <c r="AW752" s="211"/>
      <c r="AX752" s="211"/>
      <c r="AY752" s="211"/>
      <c r="AZ752" s="211"/>
      <c r="BA752" s="211"/>
      <c r="BB752" s="211"/>
      <c r="BC752" s="211"/>
      <c r="BD752" s="333">
        <v>43630</v>
      </c>
      <c r="BE752" s="82">
        <f t="shared" si="100"/>
        <v>27263133</v>
      </c>
    </row>
    <row r="753" spans="2:57" ht="30.6" hidden="1" x14ac:dyDescent="0.3">
      <c r="B753" s="2" t="str">
        <f>+'Base de Datos'!E753</f>
        <v>180452-0-2018</v>
      </c>
      <c r="C753" s="2" t="str">
        <f>+'Base de Datos'!F753</f>
        <v>PRACO DIDACOL SAS</v>
      </c>
      <c r="D753" s="2">
        <f>+'Base de Datos'!G753</f>
        <v>860047657</v>
      </c>
      <c r="E753" s="2" t="str">
        <f>+'Base de Datos'!H753</f>
        <v>Prestar el servicio de mantenimiento correctivo con suministro de repuestos para los vehículos marca SUBARU al servicio del Concejo de Bogotá</v>
      </c>
      <c r="F753" s="197">
        <f>+'Base de Datos'!I753</f>
        <v>4906000</v>
      </c>
      <c r="G753" s="196">
        <f>+'Base de Datos'!M753</f>
        <v>43508</v>
      </c>
      <c r="H753" s="196">
        <f>+'Base de Datos'!N753</f>
        <v>43596</v>
      </c>
      <c r="I753" s="196"/>
      <c r="J753" s="158"/>
      <c r="K753" s="333"/>
      <c r="L753" s="211"/>
      <c r="M753" s="336"/>
      <c r="N753" s="158"/>
      <c r="O753" s="333"/>
      <c r="P753" s="158"/>
      <c r="Q753" s="338"/>
      <c r="R753" s="81">
        <f t="shared" si="101"/>
        <v>0</v>
      </c>
      <c r="S753" s="258" t="s">
        <v>978</v>
      </c>
      <c r="T753" s="333">
        <v>43642</v>
      </c>
      <c r="U753" s="158"/>
      <c r="V753" s="333"/>
      <c r="W753" s="158"/>
      <c r="X753" s="333"/>
      <c r="Y753" s="158"/>
      <c r="Z753" s="333"/>
      <c r="AA753" s="258" t="s">
        <v>978</v>
      </c>
      <c r="AB753" s="1004">
        <f t="shared" si="94"/>
        <v>43642</v>
      </c>
      <c r="AC753" s="1082" t="str">
        <f t="shared" si="95"/>
        <v/>
      </c>
      <c r="AD753" s="1077"/>
      <c r="AE753" s="1077"/>
      <c r="AF753" s="1084" t="str">
        <f t="shared" si="96"/>
        <v/>
      </c>
      <c r="AG753" s="1082" t="str">
        <f t="shared" si="97"/>
        <v/>
      </c>
      <c r="AH753" s="1091"/>
      <c r="AI753" s="1087"/>
      <c r="AJ753" s="1084" t="str">
        <f t="shared" si="98"/>
        <v/>
      </c>
      <c r="AK753" s="1083" t="str">
        <f t="shared" si="99"/>
        <v/>
      </c>
      <c r="AL753" s="211">
        <v>2158277</v>
      </c>
      <c r="AM753" s="211">
        <v>1836176</v>
      </c>
      <c r="AN753" s="211"/>
      <c r="AO753" s="211"/>
      <c r="AP753" s="211"/>
      <c r="AQ753" s="211"/>
      <c r="AR753" s="211"/>
      <c r="AS753" s="211"/>
      <c r="AT753" s="211"/>
      <c r="AU753" s="211"/>
      <c r="AV753" s="211"/>
      <c r="AW753" s="211"/>
      <c r="AX753" s="211"/>
      <c r="AY753" s="211"/>
      <c r="AZ753" s="211"/>
      <c r="BA753" s="211"/>
      <c r="BB753" s="211"/>
      <c r="BC753" s="211"/>
      <c r="BD753" s="333">
        <v>43817</v>
      </c>
      <c r="BE753" s="82">
        <f t="shared" si="100"/>
        <v>3994453</v>
      </c>
    </row>
    <row r="754" spans="2:57" ht="20.399999999999999" hidden="1" x14ac:dyDescent="0.3">
      <c r="B754" s="2" t="str">
        <f>+'Base de Datos'!E754</f>
        <v>190163-0-2019</v>
      </c>
      <c r="C754" s="2" t="str">
        <f>+'Base de Datos'!F754</f>
        <v>ORACLE COLOMBIA LTDA</v>
      </c>
      <c r="D754" s="2" t="str">
        <f>+'Base de Datos'!G754</f>
        <v>800103052-8</v>
      </c>
      <c r="E754" s="2" t="str">
        <f>+'Base de Datos'!H754</f>
        <v>Prestar servicios de soporte y mantenimiento de todos los productos Oracle adquiridos por el Concejo de Bogotá.</v>
      </c>
      <c r="F754" s="197">
        <f>+'Base de Datos'!I754</f>
        <v>211862734</v>
      </c>
      <c r="G754" s="196">
        <f>+'Base de Datos'!M754</f>
        <v>43507</v>
      </c>
      <c r="H754" s="196">
        <f>+'Base de Datos'!N754</f>
        <v>43830</v>
      </c>
      <c r="I754" s="196"/>
      <c r="J754" s="158"/>
      <c r="K754" s="333"/>
      <c r="L754" s="211"/>
      <c r="M754" s="336"/>
      <c r="N754" s="158"/>
      <c r="O754" s="333"/>
      <c r="P754" s="158"/>
      <c r="Q754" s="338"/>
      <c r="R754" s="81">
        <f t="shared" si="101"/>
        <v>0</v>
      </c>
      <c r="S754" s="258"/>
      <c r="T754" s="333"/>
      <c r="U754" s="158"/>
      <c r="V754" s="333"/>
      <c r="W754" s="158"/>
      <c r="X754" s="333"/>
      <c r="Y754" s="158"/>
      <c r="Z754" s="333"/>
      <c r="AA754" s="326"/>
      <c r="AB754" s="1004" t="str">
        <f t="shared" si="94"/>
        <v/>
      </c>
      <c r="AC754" s="1082" t="str">
        <f t="shared" si="95"/>
        <v/>
      </c>
      <c r="AD754" s="1077"/>
      <c r="AE754" s="1077"/>
      <c r="AF754" s="1084" t="str">
        <f t="shared" si="96"/>
        <v/>
      </c>
      <c r="AG754" s="1082" t="str">
        <f t="shared" si="97"/>
        <v/>
      </c>
      <c r="AH754" s="1091"/>
      <c r="AI754" s="1087"/>
      <c r="AJ754" s="1084" t="str">
        <f t="shared" si="98"/>
        <v/>
      </c>
      <c r="AK754" s="1083" t="str">
        <f t="shared" si="99"/>
        <v/>
      </c>
      <c r="AL754" s="211">
        <v>211862734</v>
      </c>
      <c r="AM754" s="211"/>
      <c r="AN754" s="211"/>
      <c r="AO754" s="211"/>
      <c r="AP754" s="211"/>
      <c r="AQ754" s="211"/>
      <c r="AR754" s="211"/>
      <c r="AS754" s="211"/>
      <c r="AT754" s="211"/>
      <c r="AU754" s="211"/>
      <c r="AV754" s="211"/>
      <c r="AW754" s="211"/>
      <c r="AX754" s="211"/>
      <c r="AY754" s="211"/>
      <c r="AZ754" s="211"/>
      <c r="BA754" s="211"/>
      <c r="BB754" s="211"/>
      <c r="BC754" s="211"/>
      <c r="BD754" s="333">
        <v>43766</v>
      </c>
      <c r="BE754" s="82">
        <f t="shared" si="100"/>
        <v>211862734</v>
      </c>
    </row>
    <row r="755" spans="2:57" ht="30.6" hidden="1" x14ac:dyDescent="0.3">
      <c r="B755" s="2" t="str">
        <f>+'Base de Datos'!E755</f>
        <v>190170-0-2019</v>
      </c>
      <c r="C755" s="2" t="str">
        <f>+'Base de Datos'!F755</f>
        <v>PABLO RAUL RODRIGUEZ MOJICA</v>
      </c>
      <c r="D755" s="2">
        <f>+'Base de Datos'!G755</f>
        <v>79411495</v>
      </c>
      <c r="E755" s="2" t="str">
        <f>+'Base de Datos'!H755</f>
        <v>Prestar servicios para apoyar el proceso de grabación y sonido en el recinto los comuneros del Concejo de Bogotá en los asuntos propios de la dependencia</v>
      </c>
      <c r="F755" s="197">
        <f>+'Base de Datos'!I755</f>
        <v>3934000</v>
      </c>
      <c r="G755" s="196">
        <f>+'Base de Datos'!M755</f>
        <v>43511</v>
      </c>
      <c r="H755" s="196">
        <f>+'Base de Datos'!N755</f>
        <v>43569</v>
      </c>
      <c r="I755" s="196"/>
      <c r="J755" s="158"/>
      <c r="K755" s="333"/>
      <c r="L755" s="211"/>
      <c r="M755" s="336"/>
      <c r="N755" s="158"/>
      <c r="O755" s="333"/>
      <c r="P755" s="158"/>
      <c r="Q755" s="338"/>
      <c r="R755" s="81">
        <f t="shared" si="101"/>
        <v>0</v>
      </c>
      <c r="S755" s="258"/>
      <c r="T755" s="333"/>
      <c r="U755" s="158"/>
      <c r="V755" s="333"/>
      <c r="W755" s="158"/>
      <c r="X755" s="333"/>
      <c r="Y755" s="158"/>
      <c r="Z755" s="333"/>
      <c r="AA755" s="326"/>
      <c r="AB755" s="1004" t="str">
        <f t="shared" si="94"/>
        <v/>
      </c>
      <c r="AC755" s="1082" t="str">
        <f t="shared" si="95"/>
        <v/>
      </c>
      <c r="AD755" s="1077"/>
      <c r="AE755" s="1077"/>
      <c r="AF755" s="1084" t="str">
        <f t="shared" si="96"/>
        <v/>
      </c>
      <c r="AG755" s="1082" t="str">
        <f t="shared" si="97"/>
        <v/>
      </c>
      <c r="AH755" s="1091"/>
      <c r="AI755" s="1087"/>
      <c r="AJ755" s="1084" t="str">
        <f t="shared" si="98"/>
        <v/>
      </c>
      <c r="AK755" s="1083" t="str">
        <f t="shared" si="99"/>
        <v/>
      </c>
      <c r="AL755" s="211">
        <v>1049066</v>
      </c>
      <c r="AM755" s="211">
        <v>1967000</v>
      </c>
      <c r="AN755" s="211">
        <v>917934</v>
      </c>
      <c r="AO755" s="211"/>
      <c r="AP755" s="211"/>
      <c r="AQ755" s="211"/>
      <c r="AR755" s="211"/>
      <c r="AS755" s="211"/>
      <c r="AT755" s="211"/>
      <c r="AU755" s="211"/>
      <c r="AV755" s="211"/>
      <c r="AW755" s="211"/>
      <c r="AX755" s="211"/>
      <c r="AY755" s="211"/>
      <c r="AZ755" s="211"/>
      <c r="BA755" s="211"/>
      <c r="BB755" s="211"/>
      <c r="BC755" s="211"/>
      <c r="BD755" s="333">
        <v>43608</v>
      </c>
      <c r="BE755" s="82">
        <f t="shared" si="100"/>
        <v>3934000</v>
      </c>
    </row>
    <row r="756" spans="2:57" ht="26.25" hidden="1" customHeight="1" x14ac:dyDescent="0.3">
      <c r="B756" s="2" t="str">
        <f>+'Base de Datos'!E756</f>
        <v>190193-0-2019</v>
      </c>
      <c r="C756" s="2" t="str">
        <f>+'Base de Datos'!F756</f>
        <v>SERVICIOS POSTALES NACIONALES S.A.</v>
      </c>
      <c r="D756" s="2" t="str">
        <f>+'Base de Datos'!G756</f>
        <v>900062917-9</v>
      </c>
      <c r="E756" s="2" t="str">
        <f>+'Base de Datos'!H756</f>
        <v>Prestar servicios para la gestión de correspondencia y mensajería expresa masiva para el Concejo de Bogotá</v>
      </c>
      <c r="F756" s="197">
        <f>+'Base de Datos'!I756</f>
        <v>108816948</v>
      </c>
      <c r="G756" s="196">
        <f>+'Base de Datos'!M756</f>
        <v>43524</v>
      </c>
      <c r="H756" s="196">
        <f>+'Base de Datos'!N756</f>
        <v>43888</v>
      </c>
      <c r="I756" s="196"/>
      <c r="J756" s="158">
        <v>25000000</v>
      </c>
      <c r="K756" s="333">
        <v>43945</v>
      </c>
      <c r="L756" s="211"/>
      <c r="M756" s="336"/>
      <c r="N756" s="158"/>
      <c r="O756" s="333"/>
      <c r="P756" s="158"/>
      <c r="Q756" s="338"/>
      <c r="R756" s="81">
        <f t="shared" si="101"/>
        <v>25000000</v>
      </c>
      <c r="S756" s="258" t="s">
        <v>378</v>
      </c>
      <c r="T756" s="333">
        <v>43948</v>
      </c>
      <c r="U756" s="158" t="s">
        <v>379</v>
      </c>
      <c r="V756" s="333">
        <v>44039</v>
      </c>
      <c r="W756" s="158"/>
      <c r="X756" s="333"/>
      <c r="Y756" s="158"/>
      <c r="Z756" s="333"/>
      <c r="AA756" s="258" t="s">
        <v>378</v>
      </c>
      <c r="AB756" s="1004">
        <f t="shared" si="94"/>
        <v>44039</v>
      </c>
      <c r="AC756" s="1082" t="str">
        <f t="shared" si="95"/>
        <v/>
      </c>
      <c r="AD756" s="1077"/>
      <c r="AE756" s="1077"/>
      <c r="AF756" s="1084" t="str">
        <f t="shared" si="96"/>
        <v/>
      </c>
      <c r="AG756" s="1082" t="str">
        <f t="shared" si="97"/>
        <v/>
      </c>
      <c r="AH756" s="1091"/>
      <c r="AI756" s="1087"/>
      <c r="AJ756" s="1084" t="str">
        <f t="shared" si="98"/>
        <v/>
      </c>
      <c r="AK756" s="1083" t="str">
        <f t="shared" si="99"/>
        <v/>
      </c>
      <c r="AL756" s="211">
        <v>393035</v>
      </c>
      <c r="AM756" s="211">
        <v>4829675</v>
      </c>
      <c r="AN756" s="211">
        <v>4262575</v>
      </c>
      <c r="AO756" s="211">
        <v>7004806</v>
      </c>
      <c r="AP756" s="211">
        <v>8512179</v>
      </c>
      <c r="AQ756" s="211">
        <v>8245779</v>
      </c>
      <c r="AR756" s="211">
        <v>8246979</v>
      </c>
      <c r="AS756" s="211">
        <v>8429479</v>
      </c>
      <c r="AT756" s="211">
        <v>8110979</v>
      </c>
      <c r="AU756" s="211">
        <v>7940279</v>
      </c>
      <c r="AV756" s="211">
        <v>9522679</v>
      </c>
      <c r="AW756" s="211">
        <v>8177679</v>
      </c>
      <c r="AX756" s="211">
        <v>9073579</v>
      </c>
      <c r="AY756" s="211">
        <v>7513379</v>
      </c>
      <c r="AZ756" s="211">
        <v>3665854</v>
      </c>
      <c r="BA756" s="211">
        <v>4975729</v>
      </c>
      <c r="BB756" s="211">
        <v>4975729</v>
      </c>
      <c r="BC756" s="211">
        <v>4565481</v>
      </c>
      <c r="BD756" s="333">
        <v>44069</v>
      </c>
      <c r="BE756" s="82">
        <f t="shared" si="100"/>
        <v>118445874</v>
      </c>
    </row>
    <row r="757" spans="2:57" ht="92.25" hidden="1" customHeight="1" x14ac:dyDescent="0.3">
      <c r="B757" s="2" t="str">
        <f>+'Base de Datos'!E757</f>
        <v>190201-0-2019</v>
      </c>
      <c r="C757" s="2" t="str">
        <f>+'Base de Datos'!F757</f>
        <v>INGEAL SA</v>
      </c>
      <c r="D757" s="2">
        <f>+'Base de Datos'!G757</f>
        <v>800039398</v>
      </c>
      <c r="E757" s="2" t="str">
        <f>+'Base de Datos'!H757</f>
        <v>Prestar los servicios de mantenimiento preventivo y correctivo de elementos que soportan la infraestructura tecnológica del centro de cómputo y centros de cableado del Concjeo de Bogotá, de conformidad con lo establecido en el pliego de condiciones de la subasta inversa electrónica SDH-SIE-19-2018 y la propuesta presentada por el contratista.</v>
      </c>
      <c r="F757" s="197">
        <f>+'Base de Datos'!I757</f>
        <v>200000000</v>
      </c>
      <c r="G757" s="196">
        <f>+'Base de Datos'!M757</f>
        <v>43529</v>
      </c>
      <c r="H757" s="196">
        <f>+'Base de Datos'!N757</f>
        <v>43894</v>
      </c>
      <c r="I757" s="196"/>
      <c r="J757" s="158"/>
      <c r="K757" s="333"/>
      <c r="L757" s="211"/>
      <c r="M757" s="336"/>
      <c r="N757" s="158"/>
      <c r="O757" s="333"/>
      <c r="P757" s="158"/>
      <c r="Q757" s="338"/>
      <c r="R757" s="81">
        <f t="shared" si="101"/>
        <v>0</v>
      </c>
      <c r="S757" s="258"/>
      <c r="T757" s="333"/>
      <c r="U757" s="158"/>
      <c r="V757" s="333"/>
      <c r="W757" s="158"/>
      <c r="X757" s="333"/>
      <c r="Y757" s="158"/>
      <c r="Z757" s="333"/>
      <c r="AA757" s="326"/>
      <c r="AB757" s="1004" t="str">
        <f t="shared" si="94"/>
        <v/>
      </c>
      <c r="AC757" s="1082" t="str">
        <f t="shared" si="95"/>
        <v/>
      </c>
      <c r="AD757" s="1077"/>
      <c r="AE757" s="1077"/>
      <c r="AF757" s="1084" t="str">
        <f t="shared" si="96"/>
        <v/>
      </c>
      <c r="AG757" s="1082" t="str">
        <f t="shared" si="97"/>
        <v/>
      </c>
      <c r="AH757" s="1091"/>
      <c r="AI757" s="1087"/>
      <c r="AJ757" s="1084" t="str">
        <f t="shared" si="98"/>
        <v/>
      </c>
      <c r="AK757" s="1083" t="str">
        <f t="shared" si="99"/>
        <v/>
      </c>
      <c r="AL757" s="211">
        <v>5978560</v>
      </c>
      <c r="AM757" s="211">
        <v>28395899</v>
      </c>
      <c r="AN757" s="211">
        <v>28395900</v>
      </c>
      <c r="AO757" s="211">
        <v>77892002</v>
      </c>
      <c r="AP757" s="211">
        <v>28395900</v>
      </c>
      <c r="AQ757" s="211">
        <v>28395900</v>
      </c>
      <c r="AR757" s="211"/>
      <c r="AS757" s="211"/>
      <c r="AT757" s="211"/>
      <c r="AU757" s="211"/>
      <c r="AV757" s="211"/>
      <c r="AW757" s="211"/>
      <c r="AX757" s="211"/>
      <c r="AY757" s="211"/>
      <c r="AZ757" s="211"/>
      <c r="BA757" s="211"/>
      <c r="BB757" s="211"/>
      <c r="BC757" s="211"/>
      <c r="BD757" s="333">
        <v>44006</v>
      </c>
      <c r="BE757" s="82">
        <f t="shared" si="100"/>
        <v>197454161</v>
      </c>
    </row>
    <row r="758" spans="2:57" ht="51" hidden="1" x14ac:dyDescent="0.3">
      <c r="B758" s="2" t="str">
        <f>+'Base de Datos'!E758</f>
        <v>190214-0-2019</v>
      </c>
      <c r="C758" s="2" t="str">
        <f>+'Base de Datos'!F758</f>
        <v>UNIVERSIDAD DE ANTIOQUIA</v>
      </c>
      <c r="D758" s="2" t="str">
        <f>+'Base de Datos'!G758</f>
        <v>890980040-8</v>
      </c>
      <c r="E758" s="2" t="str">
        <f>+'Base de Datos'!H758</f>
        <v xml:space="preserve">Prestar de servicios para adelantar el proceso de convocatoria pública para la elección del Secretario General del Concejo y Subsecretarios de las comisiones del Concejo de Bogotá D.C., conforme al alcance y obligaciones determinados en los estudios previos.  </v>
      </c>
      <c r="F758" s="197">
        <f>+'Base de Datos'!I758</f>
        <v>144262517</v>
      </c>
      <c r="G758" s="196">
        <f>+'Base de Datos'!M758</f>
        <v>43535</v>
      </c>
      <c r="H758" s="196">
        <f>+'Base de Datos'!N758</f>
        <v>43595</v>
      </c>
      <c r="I758" s="196"/>
      <c r="J758" s="158"/>
      <c r="K758" s="333"/>
      <c r="L758" s="211"/>
      <c r="M758" s="336"/>
      <c r="N758" s="158"/>
      <c r="O758" s="333"/>
      <c r="P758" s="158"/>
      <c r="Q758" s="338"/>
      <c r="R758" s="81">
        <f t="shared" si="101"/>
        <v>0</v>
      </c>
      <c r="S758" s="258" t="s">
        <v>381</v>
      </c>
      <c r="T758" s="333">
        <v>43626</v>
      </c>
      <c r="U758" s="158"/>
      <c r="V758" s="333"/>
      <c r="W758" s="158"/>
      <c r="X758" s="333"/>
      <c r="Y758" s="158"/>
      <c r="Z758" s="333"/>
      <c r="AA758" s="326" t="s">
        <v>381</v>
      </c>
      <c r="AB758" s="1004">
        <f t="shared" ref="AB758:AB763" si="102">IF(ISNUMBER(T758),MAX(T758,V758,X758,Z758),"")</f>
        <v>43626</v>
      </c>
      <c r="AC758" s="1082" t="str">
        <f t="shared" si="95"/>
        <v/>
      </c>
      <c r="AD758" s="1077"/>
      <c r="AE758" s="1077"/>
      <c r="AF758" s="1084" t="str">
        <f t="shared" si="96"/>
        <v/>
      </c>
      <c r="AG758" s="1082" t="str">
        <f t="shared" si="97"/>
        <v/>
      </c>
      <c r="AH758" s="1091"/>
      <c r="AI758" s="1087"/>
      <c r="AJ758" s="1084" t="str">
        <f t="shared" si="98"/>
        <v/>
      </c>
      <c r="AK758" s="1083" t="str">
        <f t="shared" si="99"/>
        <v/>
      </c>
      <c r="AL758" s="211">
        <v>57705006</v>
      </c>
      <c r="AM758" s="211">
        <v>57705006</v>
      </c>
      <c r="AN758" s="211">
        <v>28852505</v>
      </c>
      <c r="AO758" s="211"/>
      <c r="AP758" s="211"/>
      <c r="AQ758" s="211"/>
      <c r="AR758" s="211"/>
      <c r="AS758" s="211"/>
      <c r="AT758" s="211"/>
      <c r="AU758" s="211"/>
      <c r="AV758" s="211"/>
      <c r="AW758" s="211"/>
      <c r="AX758" s="211"/>
      <c r="AY758" s="211"/>
      <c r="AZ758" s="211"/>
      <c r="BA758" s="211"/>
      <c r="BB758" s="211"/>
      <c r="BC758" s="211"/>
      <c r="BD758" s="333">
        <v>43705</v>
      </c>
      <c r="BE758" s="82">
        <f t="shared" si="100"/>
        <v>144262517</v>
      </c>
    </row>
    <row r="759" spans="2:57" ht="20.399999999999999" hidden="1" x14ac:dyDescent="0.3">
      <c r="B759" s="2" t="str">
        <f>+'Base de Datos'!E759</f>
        <v>190215-0-2019</v>
      </c>
      <c r="C759" s="2" t="str">
        <f>+'Base de Datos'!F759</f>
        <v>CASA EDITORIAL EL TIEMPO</v>
      </c>
      <c r="D759" s="2">
        <f>+'Base de Datos'!G759</f>
        <v>860001022</v>
      </c>
      <c r="E759" s="2" t="str">
        <f>+'Base de Datos'!H759</f>
        <v>Suscripción a los diarios el TIEMPO Y PORTAFOLIO para el Concejo de Bogotá D.C.</v>
      </c>
      <c r="F759" s="197">
        <f>+'Base de Datos'!I759</f>
        <v>1487700</v>
      </c>
      <c r="G759" s="196">
        <f>+'Base de Datos'!M759</f>
        <v>43550</v>
      </c>
      <c r="H759" s="196">
        <f>+'Base de Datos'!N759</f>
        <v>43915</v>
      </c>
      <c r="I759" s="196"/>
      <c r="J759" s="158"/>
      <c r="K759" s="333"/>
      <c r="L759" s="211"/>
      <c r="M759" s="336"/>
      <c r="N759" s="158"/>
      <c r="O759" s="333"/>
      <c r="P759" s="158"/>
      <c r="Q759" s="338"/>
      <c r="R759" s="81">
        <f t="shared" si="101"/>
        <v>0</v>
      </c>
      <c r="S759" s="258"/>
      <c r="T759" s="333"/>
      <c r="U759" s="158"/>
      <c r="V759" s="333"/>
      <c r="W759" s="158"/>
      <c r="X759" s="333"/>
      <c r="Y759" s="158"/>
      <c r="Z759" s="333"/>
      <c r="AA759" s="326"/>
      <c r="AB759" s="1004" t="str">
        <f t="shared" si="102"/>
        <v/>
      </c>
      <c r="AC759" s="1082" t="str">
        <f t="shared" si="95"/>
        <v/>
      </c>
      <c r="AD759" s="1077"/>
      <c r="AE759" s="1077"/>
      <c r="AF759" s="1084" t="str">
        <f t="shared" si="96"/>
        <v/>
      </c>
      <c r="AG759" s="1082" t="str">
        <f t="shared" si="97"/>
        <v/>
      </c>
      <c r="AH759" s="1091"/>
      <c r="AI759" s="1087"/>
      <c r="AJ759" s="1084" t="str">
        <f t="shared" si="98"/>
        <v/>
      </c>
      <c r="AK759" s="1083" t="str">
        <f t="shared" si="99"/>
        <v/>
      </c>
      <c r="AL759" s="211">
        <v>1487700</v>
      </c>
      <c r="AM759" s="211"/>
      <c r="AN759" s="211"/>
      <c r="AO759" s="211"/>
      <c r="AP759" s="211"/>
      <c r="AQ759" s="211"/>
      <c r="AR759" s="211"/>
      <c r="AS759" s="211"/>
      <c r="AT759" s="211"/>
      <c r="AU759" s="211"/>
      <c r="AV759" s="211"/>
      <c r="AW759" s="211"/>
      <c r="AX759" s="211"/>
      <c r="AY759" s="211"/>
      <c r="AZ759" s="211"/>
      <c r="BA759" s="211"/>
      <c r="BB759" s="211"/>
      <c r="BC759" s="211"/>
      <c r="BD759" s="333">
        <v>43620</v>
      </c>
      <c r="BE759" s="82">
        <f t="shared" si="100"/>
        <v>1487700</v>
      </c>
    </row>
    <row r="760" spans="2:57" ht="20.399999999999999" hidden="1" x14ac:dyDescent="0.3">
      <c r="B760" s="2" t="str">
        <f>+'Base de Datos'!E760</f>
        <v>190217-0-2019</v>
      </c>
      <c r="C760" s="2" t="str">
        <f>+'Base de Datos'!F760</f>
        <v xml:space="preserve">INFORMATICA DOCUMENTAL SAS </v>
      </c>
      <c r="D760" s="2">
        <f>+'Base de Datos'!G760</f>
        <v>830083523</v>
      </c>
      <c r="E760" s="2" t="str">
        <f>+'Base de Datos'!H760</f>
        <v>Prestar servicios de actualización y soporte para el software para el manejo documental Infodoc para el Concejo de Bogotá</v>
      </c>
      <c r="F760" s="197">
        <f>+'Base de Datos'!I760</f>
        <v>10921394</v>
      </c>
      <c r="G760" s="196">
        <f>+'Base de Datos'!M760</f>
        <v>43545</v>
      </c>
      <c r="H760" s="196">
        <f>+'Base de Datos'!N760</f>
        <v>43881</v>
      </c>
      <c r="I760" s="196"/>
      <c r="J760" s="158"/>
      <c r="K760" s="333"/>
      <c r="L760" s="211"/>
      <c r="M760" s="336"/>
      <c r="N760" s="158"/>
      <c r="O760" s="333"/>
      <c r="P760" s="158"/>
      <c r="Q760" s="338"/>
      <c r="R760" s="81">
        <f t="shared" si="101"/>
        <v>0</v>
      </c>
      <c r="S760" s="258"/>
      <c r="T760" s="333"/>
      <c r="U760" s="158"/>
      <c r="V760" s="333"/>
      <c r="W760" s="158"/>
      <c r="X760" s="333"/>
      <c r="Y760" s="158"/>
      <c r="Z760" s="333"/>
      <c r="AA760" s="326"/>
      <c r="AB760" s="1004" t="str">
        <f t="shared" si="102"/>
        <v/>
      </c>
      <c r="AC760" s="1082" t="str">
        <f t="shared" si="95"/>
        <v/>
      </c>
      <c r="AD760" s="1077"/>
      <c r="AE760" s="1077"/>
      <c r="AF760" s="1084" t="str">
        <f t="shared" si="96"/>
        <v/>
      </c>
      <c r="AG760" s="1082" t="str">
        <f t="shared" si="97"/>
        <v/>
      </c>
      <c r="AH760" s="1091"/>
      <c r="AI760" s="1087"/>
      <c r="AJ760" s="1084" t="str">
        <f t="shared" si="98"/>
        <v/>
      </c>
      <c r="AK760" s="1083" t="str">
        <f t="shared" si="99"/>
        <v/>
      </c>
      <c r="AL760" s="211">
        <v>5957124</v>
      </c>
      <c r="AM760" s="211">
        <v>992854</v>
      </c>
      <c r="AN760" s="211">
        <v>992854</v>
      </c>
      <c r="AO760" s="211">
        <v>992854</v>
      </c>
      <c r="AP760" s="211">
        <v>992854</v>
      </c>
      <c r="AQ760" s="211">
        <v>992854</v>
      </c>
      <c r="AR760" s="211"/>
      <c r="AS760" s="211"/>
      <c r="AT760" s="211"/>
      <c r="AU760" s="211"/>
      <c r="AV760" s="211"/>
      <c r="AW760" s="211"/>
      <c r="AX760" s="211"/>
      <c r="AY760" s="211"/>
      <c r="AZ760" s="211"/>
      <c r="BA760" s="211"/>
      <c r="BB760" s="211"/>
      <c r="BC760" s="211"/>
      <c r="BD760" s="333">
        <v>43936</v>
      </c>
      <c r="BE760" s="82">
        <f t="shared" si="100"/>
        <v>10921394</v>
      </c>
    </row>
    <row r="761" spans="2:57" ht="30.6" hidden="1" x14ac:dyDescent="0.3">
      <c r="B761" s="2" t="str">
        <f>+'Base de Datos'!E761</f>
        <v>190221-0-2019</v>
      </c>
      <c r="C761" s="2" t="str">
        <f>+'Base de Datos'!F761</f>
        <v>EMPRESA DE TELECOMUNICACIONES DE BOGOTÁ S.A.-ETB-ESP</v>
      </c>
      <c r="D761" s="2">
        <f>+'Base de Datos'!G761</f>
        <v>899999115</v>
      </c>
      <c r="E761" s="2" t="str">
        <f>+'Base de Datos'!H761</f>
        <v>Proveer servicios de canales dedicados e internet y servicios complementarios para el Concejo de Bogotá.</v>
      </c>
      <c r="F761" s="197">
        <f>+'Base de Datos'!I761</f>
        <v>136841527</v>
      </c>
      <c r="G761" s="196">
        <f>+'Base de Datos'!M761</f>
        <v>43546</v>
      </c>
      <c r="H761" s="196">
        <f>+'Base de Datos'!N761</f>
        <v>43911</v>
      </c>
      <c r="I761" s="196"/>
      <c r="J761" s="158"/>
      <c r="K761" s="333"/>
      <c r="L761" s="211"/>
      <c r="M761" s="336"/>
      <c r="N761" s="158"/>
      <c r="O761" s="333"/>
      <c r="P761" s="158"/>
      <c r="Q761" s="338"/>
      <c r="R761" s="81">
        <f t="shared" si="101"/>
        <v>0</v>
      </c>
      <c r="S761" s="258"/>
      <c r="T761" s="333"/>
      <c r="U761" s="158"/>
      <c r="V761" s="333"/>
      <c r="W761" s="158"/>
      <c r="X761" s="333"/>
      <c r="Y761" s="158"/>
      <c r="Z761" s="333"/>
      <c r="AA761" s="326"/>
      <c r="AB761" s="1004" t="str">
        <f t="shared" si="102"/>
        <v/>
      </c>
      <c r="AC761" s="1082" t="str">
        <f t="shared" si="95"/>
        <v/>
      </c>
      <c r="AD761" s="1077"/>
      <c r="AE761" s="1077"/>
      <c r="AF761" s="1084" t="str">
        <f t="shared" si="96"/>
        <v/>
      </c>
      <c r="AG761" s="1082" t="str">
        <f t="shared" si="97"/>
        <v/>
      </c>
      <c r="AH761" s="1091"/>
      <c r="AI761" s="1087"/>
      <c r="AJ761" s="1084" t="str">
        <f t="shared" si="98"/>
        <v/>
      </c>
      <c r="AK761" s="1083" t="str">
        <f t="shared" si="99"/>
        <v/>
      </c>
      <c r="AL761" s="211">
        <v>11403460</v>
      </c>
      <c r="AM761" s="211">
        <v>11403460</v>
      </c>
      <c r="AN761" s="211">
        <v>11403460</v>
      </c>
      <c r="AO761" s="211">
        <v>11403460</v>
      </c>
      <c r="AP761" s="211">
        <v>11403460</v>
      </c>
      <c r="AQ761" s="211">
        <v>11403460</v>
      </c>
      <c r="AR761" s="211">
        <v>11403460</v>
      </c>
      <c r="AS761" s="211">
        <v>11403460</v>
      </c>
      <c r="AT761" s="211">
        <v>11403460</v>
      </c>
      <c r="AU761" s="211">
        <v>11403460</v>
      </c>
      <c r="AV761" s="211"/>
      <c r="AW761" s="211"/>
      <c r="AX761" s="211"/>
      <c r="AY761" s="211"/>
      <c r="AZ761" s="211"/>
      <c r="BA761" s="211"/>
      <c r="BB761" s="211"/>
      <c r="BC761" s="211"/>
      <c r="BD761" s="333">
        <v>43889</v>
      </c>
      <c r="BE761" s="82">
        <f t="shared" si="100"/>
        <v>114034600</v>
      </c>
    </row>
    <row r="762" spans="2:57" ht="30.6" hidden="1" x14ac:dyDescent="0.3">
      <c r="B762" s="2" t="str">
        <f>+'Base de Datos'!E762</f>
        <v>190225-0-2019</v>
      </c>
      <c r="C762" s="2" t="str">
        <f>+'Base de Datos'!F762</f>
        <v>BUSINESS TECHNOLOGIES COMPANY</v>
      </c>
      <c r="D762" s="2" t="str">
        <f>+'Base de Datos'!G762</f>
        <v>830109807-8</v>
      </c>
      <c r="E762" s="2" t="str">
        <f>+'Base de Datos'!H762</f>
        <v>Suscripción al servicio de información jurídica a través de un boletín informativo por correo electrónico, consulta web y biblioteca digital de legislación colombiana actualizada.</v>
      </c>
      <c r="F762" s="197">
        <f>+'Base de Datos'!I762</f>
        <v>2088604</v>
      </c>
      <c r="G762" s="196">
        <f>+'Base de Datos'!M762</f>
        <v>43552</v>
      </c>
      <c r="H762" s="196">
        <f>+'Base de Datos'!N762</f>
        <v>43917</v>
      </c>
      <c r="I762" s="196"/>
      <c r="J762" s="158"/>
      <c r="K762" s="333"/>
      <c r="L762" s="211"/>
      <c r="M762" s="336"/>
      <c r="N762" s="158"/>
      <c r="O762" s="333"/>
      <c r="P762" s="158"/>
      <c r="Q762" s="338"/>
      <c r="R762" s="81">
        <f t="shared" si="101"/>
        <v>0</v>
      </c>
      <c r="S762" s="258"/>
      <c r="T762" s="333"/>
      <c r="U762" s="158"/>
      <c r="V762" s="333"/>
      <c r="W762" s="158"/>
      <c r="X762" s="333"/>
      <c r="Y762" s="158"/>
      <c r="Z762" s="333"/>
      <c r="AA762" s="326"/>
      <c r="AB762" s="1004" t="str">
        <f t="shared" si="102"/>
        <v/>
      </c>
      <c r="AC762" s="1082" t="str">
        <f t="shared" si="95"/>
        <v/>
      </c>
      <c r="AD762" s="1077"/>
      <c r="AE762" s="1077"/>
      <c r="AF762" s="1084" t="str">
        <f t="shared" si="96"/>
        <v/>
      </c>
      <c r="AG762" s="1082" t="str">
        <f t="shared" si="97"/>
        <v/>
      </c>
      <c r="AH762" s="1091"/>
      <c r="AI762" s="1087"/>
      <c r="AJ762" s="1084" t="str">
        <f t="shared" si="98"/>
        <v/>
      </c>
      <c r="AK762" s="1083" t="str">
        <f t="shared" si="99"/>
        <v/>
      </c>
      <c r="AL762" s="211">
        <v>2088604</v>
      </c>
      <c r="AM762" s="211"/>
      <c r="AN762" s="211"/>
      <c r="AO762" s="211"/>
      <c r="AP762" s="211"/>
      <c r="AQ762" s="211"/>
      <c r="AR762" s="211"/>
      <c r="AS762" s="211"/>
      <c r="AT762" s="211"/>
      <c r="AU762" s="211"/>
      <c r="AV762" s="211"/>
      <c r="AW762" s="211"/>
      <c r="AX762" s="211"/>
      <c r="AY762" s="211"/>
      <c r="AZ762" s="211"/>
      <c r="BA762" s="211"/>
      <c r="BB762" s="211"/>
      <c r="BC762" s="211"/>
      <c r="BD762" s="333">
        <v>43686</v>
      </c>
      <c r="BE762" s="82">
        <f t="shared" si="100"/>
        <v>2088604</v>
      </c>
    </row>
    <row r="763" spans="2:57" ht="61.2" hidden="1" x14ac:dyDescent="0.3">
      <c r="B763" s="2" t="str">
        <f>+'Base de Datos'!E763</f>
        <v>190226-0-2019</v>
      </c>
      <c r="C763" s="2" t="str">
        <f>+'Base de Datos'!F763</f>
        <v>AURA ELISA GUERRERO MORENO</v>
      </c>
      <c r="D763" s="2">
        <f>+'Base de Datos'!G763</f>
        <v>35510194</v>
      </c>
      <c r="E763" s="2" t="str">
        <f>+'Base de Datos'!H763</f>
        <v>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763" s="197">
        <f>+'Base de Datos'!I763</f>
        <v>44072000</v>
      </c>
      <c r="G763" s="196">
        <f>+'Base de Datos'!M763</f>
        <v>43556</v>
      </c>
      <c r="H763" s="196">
        <f>+'Base de Datos'!N763</f>
        <v>43799</v>
      </c>
      <c r="I763" s="196"/>
      <c r="J763" s="158">
        <v>11018000</v>
      </c>
      <c r="K763" s="333">
        <v>43810</v>
      </c>
      <c r="L763" s="211"/>
      <c r="M763" s="336"/>
      <c r="N763" s="158"/>
      <c r="O763" s="333"/>
      <c r="P763" s="158"/>
      <c r="Q763" s="338"/>
      <c r="R763" s="81">
        <f t="shared" si="101"/>
        <v>11018000</v>
      </c>
      <c r="S763" s="258" t="s">
        <v>378</v>
      </c>
      <c r="T763" s="333">
        <v>43872</v>
      </c>
      <c r="U763" s="158"/>
      <c r="V763" s="333"/>
      <c r="W763" s="158"/>
      <c r="X763" s="333"/>
      <c r="Y763" s="158"/>
      <c r="Z763" s="333"/>
      <c r="AA763" s="326" t="s">
        <v>378</v>
      </c>
      <c r="AB763" s="1004">
        <f t="shared" si="102"/>
        <v>43872</v>
      </c>
      <c r="AC763" s="1082">
        <f t="shared" si="95"/>
        <v>11</v>
      </c>
      <c r="AD763" s="1077">
        <v>43798</v>
      </c>
      <c r="AE763" s="1077">
        <v>43808</v>
      </c>
      <c r="AF763" s="1084">
        <f t="shared" si="96"/>
        <v>43810</v>
      </c>
      <c r="AG763" s="1082" t="str">
        <f t="shared" si="97"/>
        <v/>
      </c>
      <c r="AH763" s="1091"/>
      <c r="AI763" s="1087"/>
      <c r="AJ763" s="1084" t="str">
        <f t="shared" si="98"/>
        <v/>
      </c>
      <c r="AK763" s="1083">
        <f t="shared" si="99"/>
        <v>43872</v>
      </c>
      <c r="AL763" s="211">
        <v>5509000</v>
      </c>
      <c r="AM763" s="211">
        <v>5509000</v>
      </c>
      <c r="AN763" s="211">
        <v>5509000</v>
      </c>
      <c r="AO763" s="211">
        <v>5509000</v>
      </c>
      <c r="AP763" s="211">
        <v>5509000</v>
      </c>
      <c r="AQ763" s="211">
        <v>5509000</v>
      </c>
      <c r="AR763" s="211">
        <v>5509000</v>
      </c>
      <c r="AS763" s="211">
        <v>5141733</v>
      </c>
      <c r="AT763" s="211"/>
      <c r="AU763" s="211">
        <v>3856300</v>
      </c>
      <c r="AV763" s="211">
        <v>5509000</v>
      </c>
      <c r="AW763" s="211">
        <v>2019967</v>
      </c>
      <c r="AX763" s="211"/>
      <c r="AY763" s="211"/>
      <c r="AZ763" s="211"/>
      <c r="BA763" s="211"/>
      <c r="BB763" s="211"/>
      <c r="BC763" s="211"/>
      <c r="BD763" s="333">
        <v>43882</v>
      </c>
      <c r="BE763" s="82">
        <f t="shared" si="100"/>
        <v>55090000</v>
      </c>
    </row>
    <row r="764" spans="2:57" ht="40.799999999999997" hidden="1" x14ac:dyDescent="0.3">
      <c r="B764" s="2" t="str">
        <f>+'Base de Datos'!E764</f>
        <v>190228-0-2019</v>
      </c>
      <c r="C764" s="2" t="str">
        <f>+'Base de Datos'!F764</f>
        <v>CONSTANZA BRIGITTE MAHECHA JIMENEZ</v>
      </c>
      <c r="D764" s="2">
        <f>+'Base de Datos'!G764</f>
        <v>1030532647</v>
      </c>
      <c r="E764" s="2" t="str">
        <f>+'Base de Datos'!H764</f>
        <v>Prestar los servicios de apoyo al proceso de recursos físicos de la Dirección Administrativa del Concejo de Bogotá, para coadyuvar con las actividades de actualización y administración de la información del área de mantenimiento.</v>
      </c>
      <c r="F764" s="197">
        <f>+'Base de Datos'!I764</f>
        <v>17672000</v>
      </c>
      <c r="G764" s="196">
        <f>+'Base de Datos'!M764</f>
        <v>43557</v>
      </c>
      <c r="H764" s="196">
        <f>+'Base de Datos'!N764</f>
        <v>43800</v>
      </c>
      <c r="I764" s="196"/>
      <c r="J764" s="158">
        <v>4418000</v>
      </c>
      <c r="K764" s="333">
        <v>43812</v>
      </c>
      <c r="L764" s="211"/>
      <c r="M764" s="336"/>
      <c r="N764" s="158"/>
      <c r="O764" s="333"/>
      <c r="P764" s="158"/>
      <c r="Q764" s="338"/>
      <c r="R764" s="81">
        <f t="shared" si="101"/>
        <v>4418000</v>
      </c>
      <c r="S764" s="258" t="s">
        <v>378</v>
      </c>
      <c r="T764" s="333">
        <v>43875</v>
      </c>
      <c r="U764" s="158"/>
      <c r="V764" s="333"/>
      <c r="W764" s="158"/>
      <c r="X764" s="333"/>
      <c r="Y764" s="158"/>
      <c r="Z764" s="1002"/>
      <c r="AA764" s="1003" t="s">
        <v>378</v>
      </c>
      <c r="AB764" s="1004">
        <f>IF(ISNUMBER(T764),MAX(T764,V764,X764,Z764),"")</f>
        <v>43875</v>
      </c>
      <c r="AC764" s="1082">
        <f>IF(ISNUMBER(AD764),ABS(AD764-AE764)+1,"")</f>
        <v>13</v>
      </c>
      <c r="AD764" s="1004">
        <v>43798</v>
      </c>
      <c r="AE764" s="1004">
        <v>43810</v>
      </c>
      <c r="AF764" s="1084">
        <f>IFERROR(IF(MAX(H764,I764)&lt;AE764,MAX(H764,I764)-AE764+AC764+AE764,MAX(H764,I764)+AC764),"")</f>
        <v>43813</v>
      </c>
      <c r="AG764" s="1082" t="str">
        <f>IF(ISNUMBER(AH764),ABS(AH764-AI764)+1,"")</f>
        <v/>
      </c>
      <c r="AH764" s="1092"/>
      <c r="AI764" s="1092"/>
      <c r="AJ764" s="1084" t="str">
        <f>IFERROR(IF(AF764&lt;AI764,((AF764-AI764)+AG764)+(AI764),AF764+AG764),"")</f>
        <v/>
      </c>
      <c r="AK764" s="1083">
        <f>IF(ISNUMBER(AF764),MAX(AB764,AF764,AJ764),"")</f>
        <v>43875</v>
      </c>
      <c r="AL764" s="211">
        <v>2135367</v>
      </c>
      <c r="AM764" s="211">
        <v>2209000</v>
      </c>
      <c r="AN764" s="211">
        <v>2209000</v>
      </c>
      <c r="AO764" s="211">
        <v>2209000</v>
      </c>
      <c r="AP764" s="211">
        <v>2209000</v>
      </c>
      <c r="AQ764" s="211">
        <v>2209000</v>
      </c>
      <c r="AR764" s="211">
        <v>2209000</v>
      </c>
      <c r="AS764" s="211">
        <v>2209000</v>
      </c>
      <c r="AT764" s="211">
        <v>1399033</v>
      </c>
      <c r="AU764" s="211">
        <v>2209000</v>
      </c>
      <c r="AV764" s="211">
        <v>883600</v>
      </c>
      <c r="AW764" s="211"/>
      <c r="AX764" s="211"/>
      <c r="AY764" s="211"/>
      <c r="AZ764" s="211"/>
      <c r="BA764" s="211"/>
      <c r="BB764" s="211"/>
      <c r="BC764" s="211"/>
      <c r="BD764" s="333">
        <v>43887</v>
      </c>
      <c r="BE764" s="82">
        <f t="shared" si="100"/>
        <v>22090000</v>
      </c>
    </row>
    <row r="765" spans="2:57" ht="40.799999999999997" hidden="1" x14ac:dyDescent="0.3">
      <c r="B765" s="2" t="str">
        <f>+'Base de Datos'!E765</f>
        <v>190231-0-2019</v>
      </c>
      <c r="C765" s="2" t="str">
        <f>+'Base de Datos'!F765</f>
        <v>DOGER HERNAN DAZA MORENO</v>
      </c>
      <c r="D765" s="2">
        <f>+'Base de Datos'!G765</f>
        <v>80751229</v>
      </c>
      <c r="E765" s="2" t="str">
        <f>+'Base de Datos'!H765</f>
        <v>Prestar servicios profesionales para apoyar a la Dirección Financiera del Concejo de Bogotá D.C., en los asuntos propios de la dependencia y en el seguimiento al plan de acción y transparencia de acuerdo con la normatividad vigente.</v>
      </c>
      <c r="F765" s="197">
        <f>+'Base de Datos'!I765</f>
        <v>52173000</v>
      </c>
      <c r="G765" s="196">
        <f>+'Base de Datos'!M765</f>
        <v>43557</v>
      </c>
      <c r="H765" s="196">
        <f>+'Base de Datos'!N765</f>
        <v>43831</v>
      </c>
      <c r="I765" s="196"/>
      <c r="J765" s="158">
        <v>11594000</v>
      </c>
      <c r="K765" s="333">
        <v>43822</v>
      </c>
      <c r="L765" s="211"/>
      <c r="M765" s="336"/>
      <c r="N765" s="158"/>
      <c r="O765" s="333"/>
      <c r="P765" s="158"/>
      <c r="Q765" s="338"/>
      <c r="R765" s="81">
        <f t="shared" ref="R765:R786" si="103">SUM(J765,L765,N765,P765)</f>
        <v>11594000</v>
      </c>
      <c r="S765" s="258" t="s">
        <v>378</v>
      </c>
      <c r="T765" s="333">
        <v>43890</v>
      </c>
      <c r="U765" s="158"/>
      <c r="V765" s="333"/>
      <c r="W765" s="158"/>
      <c r="X765" s="333"/>
      <c r="Y765" s="158"/>
      <c r="Z765" s="333"/>
      <c r="AA765" s="258" t="s">
        <v>378</v>
      </c>
      <c r="AB765" s="1004">
        <f t="shared" ref="AB765:AB828" si="104">IF(ISNUMBER(T765),MAX(T765,V765,X765,Z765),"")</f>
        <v>43890</v>
      </c>
      <c r="AC765" s="1082" t="str">
        <f t="shared" ref="AC765:AC828" si="105">IF(ISNUMBER(AD765),ABS(AD765-AE765)+1,"")</f>
        <v/>
      </c>
      <c r="AD765" s="1077"/>
      <c r="AE765" s="1077"/>
      <c r="AF765" s="1084" t="str">
        <f t="shared" ref="AF765:AF828" si="106">IFERROR(IF(MAX(H765,I765)&lt;AE765,MAX(H765,I765)-AE765+AC765+AE765,MAX(H765,I765)+AC765),"")</f>
        <v/>
      </c>
      <c r="AG765" s="1082" t="str">
        <f t="shared" ref="AG765:AG828" si="107">IF(ISNUMBER(AH765),ABS(AH765-AI765)+1,"")</f>
        <v/>
      </c>
      <c r="AH765" s="1091"/>
      <c r="AI765" s="1087"/>
      <c r="AJ765" s="1084" t="str">
        <f t="shared" ref="AJ765:AJ828" si="108">IFERROR(IF(AF765&lt;AI765,((AF765-AI765)+AG765)+(AI765),AF765+AG765),"")</f>
        <v/>
      </c>
      <c r="AK765" s="1083" t="str">
        <f t="shared" ref="AK765:AK828" si="109">IF(ISNUMBER(AF765),MAX(AB765,AF765,AJ765),"")</f>
        <v/>
      </c>
      <c r="AL765" s="211">
        <v>5797000</v>
      </c>
      <c r="AM765" s="211">
        <v>5797000</v>
      </c>
      <c r="AN765" s="211">
        <v>5797000</v>
      </c>
      <c r="AO765" s="211">
        <v>5797000</v>
      </c>
      <c r="AP765" s="211">
        <v>5797000</v>
      </c>
      <c r="AQ765" s="211">
        <v>5797000</v>
      </c>
      <c r="AR765" s="211">
        <v>5797000</v>
      </c>
      <c r="AS765" s="211">
        <v>5797000</v>
      </c>
      <c r="AT765" s="211">
        <v>5797000</v>
      </c>
      <c r="AU765" s="211">
        <v>5797000</v>
      </c>
      <c r="AV765" s="211">
        <v>5797000</v>
      </c>
      <c r="AW765" s="211"/>
      <c r="AX765" s="211"/>
      <c r="AY765" s="211"/>
      <c r="AZ765" s="211"/>
      <c r="BA765" s="211"/>
      <c r="BB765" s="211"/>
      <c r="BC765" s="211"/>
      <c r="BD765" s="333">
        <v>43893</v>
      </c>
      <c r="BE765" s="82">
        <f t="shared" si="100"/>
        <v>63767000</v>
      </c>
    </row>
    <row r="766" spans="2:57" ht="30.6" hidden="1" x14ac:dyDescent="0.3">
      <c r="B766" s="2" t="str">
        <f>+'Base de Datos'!E766</f>
        <v>190233-0-2019</v>
      </c>
      <c r="C766" s="2" t="str">
        <f>+'Base de Datos'!F766</f>
        <v>LINDA ROSA CAMPO RODRIGUEZ</v>
      </c>
      <c r="D766" s="2">
        <f>+'Base de Datos'!G766</f>
        <v>36454156</v>
      </c>
      <c r="E766" s="2" t="str">
        <f>+'Base de Datos'!H766</f>
        <v>Prestar servicios profesionales para apoyar al proceso de nómina de Concejo de Bogotá, y a la Dirección Financiera en los asuntos propios de la dependencia.</v>
      </c>
      <c r="F766" s="197">
        <f>+'Base de Datos'!I766</f>
        <v>62800000</v>
      </c>
      <c r="G766" s="196">
        <f>+'Base de Datos'!M766</f>
        <v>43556</v>
      </c>
      <c r="H766" s="196">
        <f>+'Base de Datos'!N766</f>
        <v>43799</v>
      </c>
      <c r="I766" s="196"/>
      <c r="J766" s="158">
        <v>23550000</v>
      </c>
      <c r="K766" s="333">
        <v>43797</v>
      </c>
      <c r="L766" s="211"/>
      <c r="M766" s="336"/>
      <c r="N766" s="158"/>
      <c r="O766" s="333"/>
      <c r="P766" s="158"/>
      <c r="Q766" s="338"/>
      <c r="R766" s="81">
        <f t="shared" si="103"/>
        <v>23550000</v>
      </c>
      <c r="S766" s="258" t="s">
        <v>379</v>
      </c>
      <c r="T766" s="333">
        <v>43890</v>
      </c>
      <c r="U766" s="158"/>
      <c r="V766" s="333"/>
      <c r="W766" s="158"/>
      <c r="X766" s="333"/>
      <c r="Y766" s="158"/>
      <c r="Z766" s="333"/>
      <c r="AA766" s="258" t="s">
        <v>379</v>
      </c>
      <c r="AB766" s="1004">
        <f t="shared" si="104"/>
        <v>43890</v>
      </c>
      <c r="AC766" s="1082" t="str">
        <f t="shared" si="105"/>
        <v/>
      </c>
      <c r="AD766" s="1077"/>
      <c r="AE766" s="1077"/>
      <c r="AF766" s="1084" t="str">
        <f t="shared" si="106"/>
        <v/>
      </c>
      <c r="AG766" s="1082" t="str">
        <f t="shared" si="107"/>
        <v/>
      </c>
      <c r="AH766" s="1091"/>
      <c r="AI766" s="1087"/>
      <c r="AJ766" s="1084" t="str">
        <f t="shared" si="108"/>
        <v/>
      </c>
      <c r="AK766" s="1083" t="str">
        <f t="shared" si="109"/>
        <v/>
      </c>
      <c r="AL766" s="211">
        <v>7850000</v>
      </c>
      <c r="AM766" s="211">
        <v>7850000</v>
      </c>
      <c r="AN766" s="211">
        <v>7850000</v>
      </c>
      <c r="AO766" s="211">
        <v>7850000</v>
      </c>
      <c r="AP766" s="211">
        <v>7850000</v>
      </c>
      <c r="AQ766" s="211">
        <v>7850000</v>
      </c>
      <c r="AR766" s="211">
        <v>7850000</v>
      </c>
      <c r="AS766" s="211">
        <v>7850000</v>
      </c>
      <c r="AT766" s="211">
        <v>7850000</v>
      </c>
      <c r="AU766" s="211">
        <v>7850000</v>
      </c>
      <c r="AV766" s="211">
        <v>7850000</v>
      </c>
      <c r="AW766" s="211"/>
      <c r="AX766" s="211"/>
      <c r="AY766" s="211"/>
      <c r="AZ766" s="211"/>
      <c r="BA766" s="211"/>
      <c r="BB766" s="211"/>
      <c r="BC766" s="211"/>
      <c r="BD766" s="333">
        <v>43892</v>
      </c>
      <c r="BE766" s="82">
        <f t="shared" si="100"/>
        <v>86350000</v>
      </c>
    </row>
    <row r="767" spans="2:57" ht="61.2" hidden="1" x14ac:dyDescent="0.3">
      <c r="B767" s="2" t="str">
        <f>+'Base de Datos'!E767</f>
        <v>190237-0-2019</v>
      </c>
      <c r="C767" s="2" t="str">
        <f>+'Base de Datos'!F767</f>
        <v>JEAN CLAUDE WILLINGTON CORTES MANCERA</v>
      </c>
      <c r="D767" s="2">
        <f>+'Base de Datos'!G767</f>
        <v>79965574</v>
      </c>
      <c r="E767" s="2" t="str">
        <f>+'Base de Datos'!H767</f>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
      <c r="F767" s="197">
        <f>+'Base de Datos'!I767</f>
        <v>39752000</v>
      </c>
      <c r="G767" s="196">
        <f>+'Base de Datos'!M767</f>
        <v>43563</v>
      </c>
      <c r="H767" s="196">
        <f>+'Base de Datos'!N767</f>
        <v>43806</v>
      </c>
      <c r="I767" s="196"/>
      <c r="J767" s="158">
        <v>4969000</v>
      </c>
      <c r="K767" s="333">
        <v>43812</v>
      </c>
      <c r="L767" s="211"/>
      <c r="M767" s="336"/>
      <c r="N767" s="158"/>
      <c r="O767" s="333"/>
      <c r="P767" s="158"/>
      <c r="Q767" s="338"/>
      <c r="R767" s="81">
        <f t="shared" si="103"/>
        <v>4969000</v>
      </c>
      <c r="S767" s="258" t="s">
        <v>381</v>
      </c>
      <c r="T767" s="333">
        <v>43850</v>
      </c>
      <c r="U767" s="158"/>
      <c r="V767" s="333"/>
      <c r="W767" s="158"/>
      <c r="X767" s="333"/>
      <c r="Y767" s="158"/>
      <c r="Z767" s="333"/>
      <c r="AA767" s="326" t="s">
        <v>381</v>
      </c>
      <c r="AB767" s="1004">
        <f t="shared" si="104"/>
        <v>43850</v>
      </c>
      <c r="AC767" s="1082">
        <f t="shared" si="105"/>
        <v>13</v>
      </c>
      <c r="AD767" s="1077">
        <v>43690</v>
      </c>
      <c r="AE767" s="1077">
        <v>43702</v>
      </c>
      <c r="AF767" s="1084">
        <f t="shared" si="106"/>
        <v>43819</v>
      </c>
      <c r="AG767" s="1082" t="str">
        <f t="shared" si="107"/>
        <v/>
      </c>
      <c r="AH767" s="1091"/>
      <c r="AI767" s="1087"/>
      <c r="AJ767" s="1084" t="str">
        <f t="shared" si="108"/>
        <v/>
      </c>
      <c r="AK767" s="1083">
        <f t="shared" si="109"/>
        <v>43850</v>
      </c>
      <c r="AL767" s="211">
        <v>3809567</v>
      </c>
      <c r="AM767" s="211">
        <v>4969000</v>
      </c>
      <c r="AN767" s="211">
        <v>4969000</v>
      </c>
      <c r="AO767" s="211">
        <v>4969000</v>
      </c>
      <c r="AP767" s="211">
        <v>2815767</v>
      </c>
      <c r="AQ767" s="211">
        <v>4969000</v>
      </c>
      <c r="AR767" s="211">
        <v>4969000</v>
      </c>
      <c r="AS767" s="211">
        <v>4969000</v>
      </c>
      <c r="AT767" s="211">
        <v>4968999</v>
      </c>
      <c r="AU767" s="211">
        <v>3312667</v>
      </c>
      <c r="AV767" s="211"/>
      <c r="AW767" s="211"/>
      <c r="AX767" s="211"/>
      <c r="AY767" s="211"/>
      <c r="AZ767" s="211"/>
      <c r="BA767" s="211"/>
      <c r="BB767" s="211"/>
      <c r="BC767" s="211"/>
      <c r="BD767" s="333">
        <v>43837</v>
      </c>
      <c r="BE767" s="82">
        <f t="shared" si="100"/>
        <v>44721000</v>
      </c>
    </row>
    <row r="768" spans="2:57" ht="40.799999999999997" hidden="1" x14ac:dyDescent="0.3">
      <c r="B768" s="2" t="str">
        <f>+'Base de Datos'!E768</f>
        <v>190243-0-2019</v>
      </c>
      <c r="C768" s="2" t="str">
        <f>+'Base de Datos'!F768</f>
        <v>MARIA PAULA RODRIGUEZ HERNANDEZ</v>
      </c>
      <c r="D768" s="2">
        <f>+'Base de Datos'!G768</f>
        <v>1032474202</v>
      </c>
      <c r="E768" s="2" t="str">
        <f>+'Base de Datos'!H768</f>
        <v xml:space="preserve">Prestar los servicios profesionales para apoyar al Concejo de Bogotá D.C., en el desarrollo de las actividades protocolarias de los diferentes eventos que lleva a cabo la Corporación en  ejercicio de sus funciones. </v>
      </c>
      <c r="F768" s="197">
        <f>+'Base de Datos'!I768</f>
        <v>23192000</v>
      </c>
      <c r="G768" s="196">
        <f>+'Base de Datos'!M768</f>
        <v>43566</v>
      </c>
      <c r="H768" s="196">
        <f>+'Base de Datos'!N768</f>
        <v>43809</v>
      </c>
      <c r="I768" s="196"/>
      <c r="J768" s="158">
        <v>8697000</v>
      </c>
      <c r="K768" s="333">
        <v>43809</v>
      </c>
      <c r="L768" s="211"/>
      <c r="M768" s="336"/>
      <c r="N768" s="158"/>
      <c r="O768" s="333"/>
      <c r="P768" s="158"/>
      <c r="Q768" s="338"/>
      <c r="R768" s="81">
        <f t="shared" si="103"/>
        <v>8697000</v>
      </c>
      <c r="S768" s="258" t="s">
        <v>379</v>
      </c>
      <c r="T768" s="333">
        <v>43900</v>
      </c>
      <c r="U768" s="158"/>
      <c r="V768" s="333"/>
      <c r="W768" s="158"/>
      <c r="X768" s="333"/>
      <c r="Y768" s="158"/>
      <c r="Z768" s="333"/>
      <c r="AA768" s="258" t="s">
        <v>379</v>
      </c>
      <c r="AB768" s="1004">
        <f t="shared" si="104"/>
        <v>43900</v>
      </c>
      <c r="AC768" s="1082" t="str">
        <f t="shared" si="105"/>
        <v/>
      </c>
      <c r="AD768" s="1077"/>
      <c r="AE768" s="1077"/>
      <c r="AF768" s="1084" t="str">
        <f t="shared" si="106"/>
        <v/>
      </c>
      <c r="AG768" s="1082" t="str">
        <f t="shared" si="107"/>
        <v/>
      </c>
      <c r="AH768" s="1091"/>
      <c r="AI768" s="1087"/>
      <c r="AJ768" s="1084" t="str">
        <f t="shared" si="108"/>
        <v/>
      </c>
      <c r="AK768" s="1083" t="str">
        <f t="shared" si="109"/>
        <v/>
      </c>
      <c r="AL768" s="211">
        <v>1932667</v>
      </c>
      <c r="AM768" s="211">
        <v>2899000</v>
      </c>
      <c r="AN768" s="211">
        <v>2899000</v>
      </c>
      <c r="AO768" s="211">
        <v>2899000</v>
      </c>
      <c r="AP768" s="211">
        <v>2899000</v>
      </c>
      <c r="AQ768" s="211">
        <v>2899000</v>
      </c>
      <c r="AR768" s="211">
        <v>2899000</v>
      </c>
      <c r="AS768" s="211">
        <v>2899000</v>
      </c>
      <c r="AT768" s="211">
        <v>2899000</v>
      </c>
      <c r="AU768" s="211">
        <v>2899000</v>
      </c>
      <c r="AV768" s="211">
        <v>2899000</v>
      </c>
      <c r="AW768" s="211">
        <v>966333</v>
      </c>
      <c r="AX768" s="211"/>
      <c r="AY768" s="211"/>
      <c r="AZ768" s="211"/>
      <c r="BA768" s="211"/>
      <c r="BB768" s="211"/>
      <c r="BC768" s="211"/>
      <c r="BD768" s="333">
        <v>43986</v>
      </c>
      <c r="BE768" s="82">
        <f t="shared" si="100"/>
        <v>31889000</v>
      </c>
    </row>
    <row r="769" spans="2:57" ht="20.399999999999999" hidden="1" x14ac:dyDescent="0.3">
      <c r="B769" s="2" t="str">
        <f>+'Base de Datos'!E769</f>
        <v>190227-0-2019</v>
      </c>
      <c r="C769" s="2" t="str">
        <f>+'Base de Datos'!F769</f>
        <v>GENEVA INGENIERIA SAS</v>
      </c>
      <c r="D769" s="2">
        <f>+'Base de Datos'!G769</f>
        <v>901193330</v>
      </c>
      <c r="E769" s="2" t="str">
        <f>+'Base de Datos'!H769</f>
        <v>adquirir monitores industriales para el salón Lara Bonilla para el Concejo de Bogotá.</v>
      </c>
      <c r="F769" s="197">
        <f>+'Base de Datos'!I769</f>
        <v>10792500</v>
      </c>
      <c r="G769" s="196">
        <f>+'Base de Datos'!M769</f>
        <v>43567</v>
      </c>
      <c r="H769" s="196">
        <f>+'Base de Datos'!N769</f>
        <v>43611</v>
      </c>
      <c r="I769" s="196"/>
      <c r="J769" s="158"/>
      <c r="K769" s="333"/>
      <c r="L769" s="211"/>
      <c r="M769" s="336"/>
      <c r="N769" s="158"/>
      <c r="O769" s="333"/>
      <c r="P769" s="158"/>
      <c r="Q769" s="338"/>
      <c r="R769" s="81">
        <f t="shared" si="103"/>
        <v>0</v>
      </c>
      <c r="S769" s="258"/>
      <c r="T769" s="333"/>
      <c r="U769" s="158"/>
      <c r="V769" s="333"/>
      <c r="W769" s="158"/>
      <c r="X769" s="333"/>
      <c r="Y769" s="158"/>
      <c r="Z769" s="333"/>
      <c r="AA769" s="326"/>
      <c r="AB769" s="1004" t="str">
        <f t="shared" si="104"/>
        <v/>
      </c>
      <c r="AC769" s="1082" t="str">
        <f t="shared" si="105"/>
        <v/>
      </c>
      <c r="AD769" s="1077"/>
      <c r="AE769" s="1077"/>
      <c r="AF769" s="1084" t="str">
        <f t="shared" si="106"/>
        <v/>
      </c>
      <c r="AG769" s="1082" t="str">
        <f t="shared" si="107"/>
        <v/>
      </c>
      <c r="AH769" s="1091"/>
      <c r="AI769" s="1087"/>
      <c r="AJ769" s="1084" t="str">
        <f t="shared" si="108"/>
        <v/>
      </c>
      <c r="AK769" s="1083" t="str">
        <f t="shared" si="109"/>
        <v/>
      </c>
      <c r="AL769" s="211">
        <v>10792500</v>
      </c>
      <c r="AM769" s="211"/>
      <c r="AN769" s="211"/>
      <c r="AO769" s="211"/>
      <c r="AP769" s="211"/>
      <c r="AQ769" s="211"/>
      <c r="AR769" s="211"/>
      <c r="AS769" s="211"/>
      <c r="AT769" s="211"/>
      <c r="AU769" s="211"/>
      <c r="AV769" s="211"/>
      <c r="AW769" s="211"/>
      <c r="AX769" s="211"/>
      <c r="AY769" s="211"/>
      <c r="AZ769" s="211"/>
      <c r="BA769" s="211"/>
      <c r="BB769" s="211"/>
      <c r="BC769" s="211"/>
      <c r="BD769" s="333"/>
      <c r="BE769" s="82">
        <f t="shared" si="100"/>
        <v>10792500</v>
      </c>
    </row>
    <row r="770" spans="2:57" ht="71.400000000000006" hidden="1" x14ac:dyDescent="0.3">
      <c r="B770" s="2" t="str">
        <f>+'Base de Datos'!E770</f>
        <v>190247-0-2019</v>
      </c>
      <c r="C770" s="2" t="str">
        <f>+'Base de Datos'!F770</f>
        <v>MARIA ALEJANDRA GAITAN NAVARRETE</v>
      </c>
      <c r="D770" s="2">
        <f>+'Base de Datos'!G770</f>
        <v>1125228618</v>
      </c>
      <c r="E770" s="2" t="str">
        <f>+'Base de Datos'!H770</f>
        <v>Prestar servicios profesionales para apoyar a la oficina de comunicaciones del Concejo de Bogotá D.C. en la generación de estrategias que permitan la socialización divulgación y comunicación de la Ley de Transparecia y demás políticas institucionales, así como prestar apoyo en el cubrimiento mediático de las diferentes sesiones de la coproración, de conformidad con lo establecido en los estuduios previos.</v>
      </c>
      <c r="F770" s="197">
        <f>+'Base de Datos'!I770</f>
        <v>25278000</v>
      </c>
      <c r="G770" s="196">
        <f>+'Base de Datos'!M770</f>
        <v>43571</v>
      </c>
      <c r="H770" s="196">
        <f>+'Base de Datos'!N770</f>
        <v>43753</v>
      </c>
      <c r="I770" s="196"/>
      <c r="J770" s="158">
        <v>8426000</v>
      </c>
      <c r="K770" s="333">
        <v>43763</v>
      </c>
      <c r="L770" s="211"/>
      <c r="M770" s="336"/>
      <c r="N770" s="158"/>
      <c r="O770" s="333"/>
      <c r="P770" s="158"/>
      <c r="Q770" s="338"/>
      <c r="R770" s="81">
        <f t="shared" si="103"/>
        <v>8426000</v>
      </c>
      <c r="S770" s="258" t="s">
        <v>378</v>
      </c>
      <c r="T770" s="333">
        <v>43824</v>
      </c>
      <c r="U770" s="158"/>
      <c r="V770" s="333"/>
      <c r="W770" s="158"/>
      <c r="X770" s="333"/>
      <c r="Y770" s="158"/>
      <c r="Z770" s="333"/>
      <c r="AA770" s="326" t="s">
        <v>378</v>
      </c>
      <c r="AB770" s="1004">
        <f t="shared" si="104"/>
        <v>43824</v>
      </c>
      <c r="AC770" s="1082">
        <f t="shared" si="105"/>
        <v>11</v>
      </c>
      <c r="AD770" s="1077">
        <v>43749</v>
      </c>
      <c r="AE770" s="1077">
        <v>43759</v>
      </c>
      <c r="AF770" s="1084">
        <f t="shared" si="106"/>
        <v>43764</v>
      </c>
      <c r="AG770" s="1082" t="str">
        <f t="shared" si="107"/>
        <v/>
      </c>
      <c r="AH770" s="1091"/>
      <c r="AI770" s="1087"/>
      <c r="AJ770" s="1084" t="str">
        <f t="shared" si="108"/>
        <v/>
      </c>
      <c r="AK770" s="1083">
        <f t="shared" si="109"/>
        <v>43824</v>
      </c>
      <c r="AL770" s="211">
        <v>2106500</v>
      </c>
      <c r="AM770" s="211">
        <v>4213000</v>
      </c>
      <c r="AN770" s="211">
        <v>4213000</v>
      </c>
      <c r="AO770" s="211">
        <v>4213000</v>
      </c>
      <c r="AP770" s="211">
        <v>4213000</v>
      </c>
      <c r="AQ770" s="211">
        <v>4213000</v>
      </c>
      <c r="AR770" s="211">
        <f>1404333+1263900</f>
        <v>2668233</v>
      </c>
      <c r="AS770" s="211">
        <v>4213000</v>
      </c>
      <c r="AT770" s="211">
        <v>3510833</v>
      </c>
      <c r="AU770" s="211"/>
      <c r="AV770" s="211"/>
      <c r="AW770" s="211"/>
      <c r="AX770" s="211"/>
      <c r="AY770" s="211"/>
      <c r="AZ770" s="211"/>
      <c r="BA770" s="211"/>
      <c r="BB770" s="211"/>
      <c r="BC770" s="211"/>
      <c r="BD770" s="333">
        <v>43862</v>
      </c>
      <c r="BE770" s="82">
        <f t="shared" si="100"/>
        <v>33563566</v>
      </c>
    </row>
    <row r="771" spans="2:57" ht="30.6" hidden="1" x14ac:dyDescent="0.3">
      <c r="B771" s="2" t="str">
        <f>+'Base de Datos'!E771</f>
        <v>190249-0-2019</v>
      </c>
      <c r="C771" s="2" t="str">
        <f>+'Base de Datos'!F771</f>
        <v>ANDRES FERNANDO ZUÑIGA FORERO</v>
      </c>
      <c r="D771" s="2">
        <f>+'Base de Datos'!G771</f>
        <v>1032397721</v>
      </c>
      <c r="E771" s="2" t="str">
        <f>+'Base de Datos'!H771</f>
        <v>Prestar los servicios como apoyo administrativo a la Comisión del Plan de desarrollo y ordenamiento Territorial del Concejo de Bogotá.</v>
      </c>
      <c r="F771" s="197">
        <f>+'Base de Datos'!I771</f>
        <v>12426000</v>
      </c>
      <c r="G771" s="196">
        <f>+'Base de Datos'!M771</f>
        <v>43577</v>
      </c>
      <c r="H771" s="196">
        <f>+'Base de Datos'!N771</f>
        <v>43759</v>
      </c>
      <c r="I771" s="196"/>
      <c r="J771" s="158">
        <v>2071000</v>
      </c>
      <c r="K771" s="333">
        <v>43759</v>
      </c>
      <c r="L771" s="211"/>
      <c r="M771" s="336"/>
      <c r="N771" s="158"/>
      <c r="O771" s="333"/>
      <c r="P771" s="158"/>
      <c r="Q771" s="338"/>
      <c r="R771" s="81">
        <f t="shared" si="103"/>
        <v>2071000</v>
      </c>
      <c r="S771" s="258" t="s">
        <v>381</v>
      </c>
      <c r="T771" s="333">
        <v>43790</v>
      </c>
      <c r="U771" s="158"/>
      <c r="V771" s="333"/>
      <c r="W771" s="158"/>
      <c r="X771" s="333"/>
      <c r="Y771" s="158"/>
      <c r="Z771" s="333"/>
      <c r="AA771" s="326" t="s">
        <v>381</v>
      </c>
      <c r="AB771" s="1004">
        <f t="shared" si="104"/>
        <v>43790</v>
      </c>
      <c r="AC771" s="1082" t="str">
        <f t="shared" si="105"/>
        <v/>
      </c>
      <c r="AD771" s="1077"/>
      <c r="AE771" s="1077"/>
      <c r="AF771" s="1084" t="str">
        <f t="shared" si="106"/>
        <v/>
      </c>
      <c r="AG771" s="1082" t="str">
        <f t="shared" si="107"/>
        <v/>
      </c>
      <c r="AH771" s="1091"/>
      <c r="AI771" s="1087"/>
      <c r="AJ771" s="1084" t="str">
        <f t="shared" si="108"/>
        <v/>
      </c>
      <c r="AK771" s="1083" t="str">
        <f t="shared" si="109"/>
        <v/>
      </c>
      <c r="AL771" s="211">
        <v>621300</v>
      </c>
      <c r="AM771" s="211">
        <v>2071000</v>
      </c>
      <c r="AN771" s="211">
        <v>2071000</v>
      </c>
      <c r="AO771" s="211">
        <v>2071000</v>
      </c>
      <c r="AP771" s="211">
        <v>2071000</v>
      </c>
      <c r="AQ771" s="211">
        <v>2071000</v>
      </c>
      <c r="AR771" s="211">
        <v>2071000</v>
      </c>
      <c r="AS771" s="211">
        <v>1449700</v>
      </c>
      <c r="AT771" s="211"/>
      <c r="AU771" s="211"/>
      <c r="AV771" s="211"/>
      <c r="AW771" s="211"/>
      <c r="AX771" s="211"/>
      <c r="AY771" s="211"/>
      <c r="AZ771" s="211"/>
      <c r="BA771" s="211"/>
      <c r="BB771" s="211"/>
      <c r="BC771" s="211"/>
      <c r="BD771" s="333">
        <v>43852</v>
      </c>
      <c r="BE771" s="82">
        <f t="shared" si="100"/>
        <v>14497000</v>
      </c>
    </row>
    <row r="772" spans="2:57" ht="40.799999999999997" hidden="1" x14ac:dyDescent="0.3">
      <c r="B772" s="2" t="str">
        <f>+'Base de Datos'!E772</f>
        <v>190246-0-2019</v>
      </c>
      <c r="C772" s="2" t="str">
        <f>+'Base de Datos'!F772</f>
        <v>GRAN IMAGEN SAS</v>
      </c>
      <c r="D772" s="2">
        <f>+'Base de Datos'!G772</f>
        <v>830023178</v>
      </c>
      <c r="E772" s="2" t="str">
        <f>+'Base de Datos'!H772</f>
        <v>Prestar servicios integrales de fotocopiado y servicios afines para el Concejo de Bogotá, D.C., de conformidad con lo establecido en la invitación pública del proceso de mínima cuantía No. SDH-SMINC-09-2019</v>
      </c>
      <c r="F772" s="197">
        <f>+'Base de Datos'!I772</f>
        <v>30000000</v>
      </c>
      <c r="G772" s="196">
        <f>+'Base de Datos'!M772</f>
        <v>43588</v>
      </c>
      <c r="H772" s="196">
        <f>+'Base de Datos'!N772</f>
        <v>43831</v>
      </c>
      <c r="I772" s="196"/>
      <c r="J772" s="158"/>
      <c r="K772" s="333"/>
      <c r="L772" s="211"/>
      <c r="M772" s="336"/>
      <c r="N772" s="158"/>
      <c r="O772" s="333"/>
      <c r="P772" s="158"/>
      <c r="Q772" s="338"/>
      <c r="R772" s="81">
        <f t="shared" si="103"/>
        <v>0</v>
      </c>
      <c r="S772" s="258" t="s">
        <v>378</v>
      </c>
      <c r="T772" s="333">
        <v>43892</v>
      </c>
      <c r="U772" s="158"/>
      <c r="V772" s="333"/>
      <c r="W772" s="158"/>
      <c r="X772" s="333"/>
      <c r="Y772" s="158"/>
      <c r="Z772" s="333"/>
      <c r="AA772" s="326" t="s">
        <v>5582</v>
      </c>
      <c r="AB772" s="1004">
        <f t="shared" si="104"/>
        <v>43892</v>
      </c>
      <c r="AC772" s="1082" t="str">
        <f t="shared" si="105"/>
        <v/>
      </c>
      <c r="AD772" s="1077"/>
      <c r="AE772" s="1077"/>
      <c r="AF772" s="1084" t="str">
        <f t="shared" si="106"/>
        <v/>
      </c>
      <c r="AG772" s="1082" t="str">
        <f t="shared" si="107"/>
        <v/>
      </c>
      <c r="AH772" s="1091"/>
      <c r="AI772" s="1087"/>
      <c r="AJ772" s="1084" t="str">
        <f t="shared" si="108"/>
        <v/>
      </c>
      <c r="AK772" s="1083" t="str">
        <f t="shared" si="109"/>
        <v/>
      </c>
      <c r="AL772" s="211">
        <v>4088353</v>
      </c>
      <c r="AM772" s="211">
        <v>3029841</v>
      </c>
      <c r="AN772" s="211">
        <v>3198662</v>
      </c>
      <c r="AO772" s="211">
        <v>2566096</v>
      </c>
      <c r="AP772" s="211">
        <v>2485968</v>
      </c>
      <c r="AQ772" s="211">
        <v>2569626</v>
      </c>
      <c r="AR772" s="211">
        <v>2501084</v>
      </c>
      <c r="AS772" s="211">
        <v>2465946</v>
      </c>
      <c r="AT772" s="211">
        <v>4126329</v>
      </c>
      <c r="AU772" s="211">
        <v>2968084</v>
      </c>
      <c r="AV772" s="211"/>
      <c r="AW772" s="211"/>
      <c r="AX772" s="211"/>
      <c r="AY772" s="211"/>
      <c r="AZ772" s="211"/>
      <c r="BA772" s="211"/>
      <c r="BB772" s="211"/>
      <c r="BC772" s="211"/>
      <c r="BD772" s="333">
        <v>43951</v>
      </c>
      <c r="BE772" s="82">
        <f t="shared" si="100"/>
        <v>29999989</v>
      </c>
    </row>
    <row r="773" spans="2:57" ht="30.6" hidden="1" x14ac:dyDescent="0.3">
      <c r="B773" s="2" t="str">
        <f>+'Base de Datos'!E773</f>
        <v>190250-0-2019</v>
      </c>
      <c r="C773" s="2" t="str">
        <f>+'Base de Datos'!F773</f>
        <v>ANABIA JULIETH ANGARITA GALINDO</v>
      </c>
      <c r="D773" s="2">
        <f>+'Base de Datos'!G773</f>
        <v>1013625644</v>
      </c>
      <c r="E773" s="2" t="str">
        <f>+'Base de Datos'!H773</f>
        <v>Prestar servicios profesionales para apoyar la gestión Administrativa documental y contractual en los asuntos de competencia del Concejo de Bogotá D.C.</v>
      </c>
      <c r="F773" s="197">
        <f>+'Base de Datos'!I773</f>
        <v>19878000</v>
      </c>
      <c r="G773" s="196">
        <f>+'Base de Datos'!M773</f>
        <v>43587</v>
      </c>
      <c r="H773" s="196">
        <f>+'Base de Datos'!N773</f>
        <v>43770</v>
      </c>
      <c r="I773" s="196"/>
      <c r="J773" s="158">
        <v>3313000</v>
      </c>
      <c r="K773" s="333">
        <v>43763</v>
      </c>
      <c r="L773" s="211">
        <v>3313000</v>
      </c>
      <c r="M773" s="336">
        <v>43811</v>
      </c>
      <c r="N773" s="158"/>
      <c r="O773" s="333"/>
      <c r="P773" s="158"/>
      <c r="Q773" s="338"/>
      <c r="R773" s="81">
        <f t="shared" si="103"/>
        <v>6626000</v>
      </c>
      <c r="S773" s="258" t="s">
        <v>2456</v>
      </c>
      <c r="T773" s="333">
        <v>43800</v>
      </c>
      <c r="U773" s="158" t="s">
        <v>381</v>
      </c>
      <c r="V773" s="333">
        <v>43844</v>
      </c>
      <c r="W773" s="158"/>
      <c r="X773" s="333"/>
      <c r="Y773" s="158"/>
      <c r="Z773" s="333"/>
      <c r="AA773" s="326" t="s">
        <v>5523</v>
      </c>
      <c r="AB773" s="1004">
        <f t="shared" si="104"/>
        <v>43844</v>
      </c>
      <c r="AC773" s="1082">
        <f t="shared" si="105"/>
        <v>13</v>
      </c>
      <c r="AD773" s="1077">
        <v>43798</v>
      </c>
      <c r="AE773" s="1077">
        <v>43810</v>
      </c>
      <c r="AF773" s="1084">
        <f t="shared" si="106"/>
        <v>43783</v>
      </c>
      <c r="AG773" s="1082" t="str">
        <f t="shared" si="107"/>
        <v/>
      </c>
      <c r="AH773" s="1091"/>
      <c r="AI773" s="1087"/>
      <c r="AJ773" s="1084" t="str">
        <f t="shared" si="108"/>
        <v/>
      </c>
      <c r="AK773" s="1083">
        <f t="shared" si="109"/>
        <v>43844</v>
      </c>
      <c r="AL773" s="211">
        <v>3202567</v>
      </c>
      <c r="AM773" s="211">
        <v>3313000</v>
      </c>
      <c r="AN773" s="211">
        <v>3313000</v>
      </c>
      <c r="AO773" s="211">
        <v>3313000</v>
      </c>
      <c r="AP773" s="211">
        <v>3313000</v>
      </c>
      <c r="AQ773" s="211">
        <v>3313000</v>
      </c>
      <c r="AR773" s="211">
        <v>3092133</v>
      </c>
      <c r="AS773" s="211">
        <v>2098233</v>
      </c>
      <c r="AT773" s="211">
        <v>1546067</v>
      </c>
      <c r="AU773" s="211"/>
      <c r="AV773" s="211"/>
      <c r="AW773" s="211"/>
      <c r="AX773" s="211"/>
      <c r="AY773" s="211"/>
      <c r="AZ773" s="211"/>
      <c r="BA773" s="211"/>
      <c r="BB773" s="211"/>
      <c r="BC773" s="211"/>
      <c r="BD773" s="333">
        <v>43852</v>
      </c>
      <c r="BE773" s="82">
        <f t="shared" si="100"/>
        <v>26504000</v>
      </c>
    </row>
    <row r="774" spans="2:57" ht="20.399999999999999" hidden="1" x14ac:dyDescent="0.3">
      <c r="B774" s="2" t="str">
        <f>+'Base de Datos'!E774</f>
        <v>190252-0-2019</v>
      </c>
      <c r="C774" s="2" t="str">
        <f>+'Base de Datos'!F774</f>
        <v>VIVIANA MARCELA RODRIGUEZ OTAVO</v>
      </c>
      <c r="D774" s="2">
        <f>+'Base de Datos'!G774</f>
        <v>1016064307</v>
      </c>
      <c r="E774" s="2" t="str">
        <f>+'Base de Datos'!H774</f>
        <v xml:space="preserve">Prestar servicios de apoyo administrativo a la Dirección Jurídica del Concejo de Bogotá </v>
      </c>
      <c r="F774" s="197">
        <f>+'Base de Datos'!I774</f>
        <v>14497000</v>
      </c>
      <c r="G774" s="196">
        <f>+'Base de Datos'!M774</f>
        <v>43587</v>
      </c>
      <c r="H774" s="196">
        <f>+'Base de Datos'!N774</f>
        <v>43800</v>
      </c>
      <c r="I774" s="196"/>
      <c r="J774" s="158">
        <v>4142000</v>
      </c>
      <c r="K774" s="333">
        <v>43812</v>
      </c>
      <c r="L774" s="211"/>
      <c r="M774" s="336"/>
      <c r="N774" s="158"/>
      <c r="O774" s="333"/>
      <c r="P774" s="158"/>
      <c r="Q774" s="338"/>
      <c r="R774" s="81">
        <f t="shared" si="103"/>
        <v>4142000</v>
      </c>
      <c r="S774" s="258" t="s">
        <v>378</v>
      </c>
      <c r="T774" s="333">
        <v>43875</v>
      </c>
      <c r="U774" s="158"/>
      <c r="V774" s="333"/>
      <c r="W774" s="158"/>
      <c r="X774" s="333"/>
      <c r="Y774" s="158"/>
      <c r="Z774" s="333"/>
      <c r="AA774" s="258" t="s">
        <v>378</v>
      </c>
      <c r="AB774" s="1004">
        <f t="shared" si="104"/>
        <v>43875</v>
      </c>
      <c r="AC774" s="1082">
        <f t="shared" si="105"/>
        <v>13</v>
      </c>
      <c r="AD774" s="1077">
        <v>43797</v>
      </c>
      <c r="AE774" s="1077">
        <v>43809</v>
      </c>
      <c r="AF774" s="1084">
        <f t="shared" si="106"/>
        <v>43813</v>
      </c>
      <c r="AG774" s="1082" t="str">
        <f t="shared" si="107"/>
        <v/>
      </c>
      <c r="AH774" s="1091"/>
      <c r="AI774" s="1087"/>
      <c r="AJ774" s="1084" t="str">
        <f t="shared" si="108"/>
        <v/>
      </c>
      <c r="AK774" s="1083">
        <f t="shared" si="109"/>
        <v>43875</v>
      </c>
      <c r="AL774" s="211">
        <v>2001967</v>
      </c>
      <c r="AM774" s="211">
        <v>2071000</v>
      </c>
      <c r="AN774" s="211">
        <v>2071000</v>
      </c>
      <c r="AO774" s="211">
        <v>2071000</v>
      </c>
      <c r="AP774" s="211">
        <v>2071000</v>
      </c>
      <c r="AQ774" s="211">
        <v>2071000</v>
      </c>
      <c r="AR774" s="211">
        <v>1863900</v>
      </c>
      <c r="AS774" s="211">
        <v>1380666</v>
      </c>
      <c r="AT774" s="211">
        <v>2071000</v>
      </c>
      <c r="AU774" s="211">
        <v>966467</v>
      </c>
      <c r="AV774" s="211"/>
      <c r="AW774" s="211"/>
      <c r="AX774" s="211"/>
      <c r="AY774" s="211"/>
      <c r="AZ774" s="211"/>
      <c r="BA774" s="211"/>
      <c r="BB774" s="211"/>
      <c r="BC774" s="211"/>
      <c r="BD774" s="333">
        <v>43880</v>
      </c>
      <c r="BE774" s="82">
        <f t="shared" si="100"/>
        <v>18639000</v>
      </c>
    </row>
    <row r="775" spans="2:57" ht="40.799999999999997" hidden="1" x14ac:dyDescent="0.3">
      <c r="B775" s="2" t="str">
        <f>+'Base de Datos'!E775</f>
        <v>190253-0-2019</v>
      </c>
      <c r="C775" s="2" t="str">
        <f>+'Base de Datos'!F775</f>
        <v>PATRICIA VILLEGAS RODRIGUEZ</v>
      </c>
      <c r="D775" s="2">
        <f>+'Base de Datos'!G775</f>
        <v>52095685</v>
      </c>
      <c r="E775" s="2" t="str">
        <f>+'Base de Datos'!H775</f>
        <v>Prestar servicios profesionales para apoyar en el desarrollo e implementación de los sistemas de información requeridos construidos bajo la plataforma Oracle en el Concejo de Bogotá D.C.</v>
      </c>
      <c r="F775" s="197">
        <f>+'Base de Datos'!I775</f>
        <v>37266000</v>
      </c>
      <c r="G775" s="196">
        <f>+'Base de Datos'!M775</f>
        <v>43620</v>
      </c>
      <c r="H775" s="196">
        <f>+'Base de Datos'!N775</f>
        <v>43802</v>
      </c>
      <c r="I775" s="196"/>
      <c r="J775" s="158">
        <v>6211000</v>
      </c>
      <c r="K775" s="333">
        <v>43811</v>
      </c>
      <c r="L775" s="211"/>
      <c r="M775" s="336"/>
      <c r="N775" s="158"/>
      <c r="O775" s="333"/>
      <c r="P775" s="158"/>
      <c r="Q775" s="338"/>
      <c r="R775" s="81">
        <f t="shared" si="103"/>
        <v>6211000</v>
      </c>
      <c r="S775" s="258" t="s">
        <v>381</v>
      </c>
      <c r="T775" s="333">
        <v>43842</v>
      </c>
      <c r="U775" s="158"/>
      <c r="V775" s="333"/>
      <c r="W775" s="158"/>
      <c r="X775" s="333"/>
      <c r="Y775" s="158"/>
      <c r="Z775" s="333"/>
      <c r="AA775" s="326" t="s">
        <v>381</v>
      </c>
      <c r="AB775" s="1004">
        <f t="shared" si="104"/>
        <v>43842</v>
      </c>
      <c r="AC775" s="1082">
        <f t="shared" si="105"/>
        <v>9</v>
      </c>
      <c r="AD775" s="1077">
        <v>43801</v>
      </c>
      <c r="AE775" s="1077">
        <v>43809</v>
      </c>
      <c r="AF775" s="1077">
        <f t="shared" si="106"/>
        <v>43811</v>
      </c>
      <c r="AG775" s="1082" t="str">
        <f t="shared" si="107"/>
        <v/>
      </c>
      <c r="AH775" s="1091"/>
      <c r="AI775" s="1087"/>
      <c r="AJ775" s="1084" t="str">
        <f t="shared" si="108"/>
        <v/>
      </c>
      <c r="AK775" s="1083">
        <f t="shared" si="109"/>
        <v>43842</v>
      </c>
      <c r="AL775" s="211">
        <v>5589900</v>
      </c>
      <c r="AM775" s="211">
        <v>6211000</v>
      </c>
      <c r="AN775" s="211">
        <v>6211000</v>
      </c>
      <c r="AO775" s="211">
        <v>6211000</v>
      </c>
      <c r="AP775" s="211">
        <v>6211000</v>
      </c>
      <c r="AQ775" s="211">
        <v>6211000</v>
      </c>
      <c r="AR775" s="211">
        <v>207033</v>
      </c>
      <c r="AS775" s="211">
        <v>4140667</v>
      </c>
      <c r="AT775" s="211">
        <v>2484400</v>
      </c>
      <c r="AU775" s="211"/>
      <c r="AV775" s="211"/>
      <c r="AW775" s="211"/>
      <c r="AX775" s="211"/>
      <c r="AY775" s="211"/>
      <c r="AZ775" s="211"/>
      <c r="BA775" s="211"/>
      <c r="BB775" s="211"/>
      <c r="BC775" s="211"/>
      <c r="BD775" s="333">
        <v>43887</v>
      </c>
      <c r="BE775" s="82">
        <f t="shared" si="100"/>
        <v>43477000</v>
      </c>
    </row>
    <row r="776" spans="2:57" ht="40.799999999999997" hidden="1" x14ac:dyDescent="0.3">
      <c r="B776" s="2" t="str">
        <f>+'Base de Datos'!E776</f>
        <v>190259-0-2019</v>
      </c>
      <c r="C776" s="2" t="str">
        <f>+'Base de Datos'!F776</f>
        <v>INSTITUTO DISTRITAL DE LAS ARTES - IDARTES</v>
      </c>
      <c r="D776" s="2" t="str">
        <f>+'Base de Datos'!G776</f>
        <v>900413030-9</v>
      </c>
      <c r="E776" s="2" t="str">
        <f>+'Base de Datos'!H776</f>
        <v xml:space="preserve">Entregar en comodato el teatro Jorge Eliécer Gaítan al Concejo de Bogotá para realizar el evento "Premios de Periodismo Álvaro Gómez Hurtado", que se llevará acabo el día 8 de mayo de 2019 </v>
      </c>
      <c r="F776" s="197">
        <f>+'Base de Datos'!I776</f>
        <v>7649412</v>
      </c>
      <c r="G776" s="196">
        <f>+'Base de Datos'!M776</f>
        <v>43587</v>
      </c>
      <c r="H776" s="196">
        <f>+'Base de Datos'!N776</f>
        <v>43623</v>
      </c>
      <c r="I776" s="196"/>
      <c r="J776" s="158"/>
      <c r="K776" s="333"/>
      <c r="L776" s="211"/>
      <c r="M776" s="336"/>
      <c r="N776" s="158"/>
      <c r="O776" s="333"/>
      <c r="P776" s="158"/>
      <c r="Q776" s="338"/>
      <c r="R776" s="81">
        <f t="shared" si="103"/>
        <v>0</v>
      </c>
      <c r="S776" s="258"/>
      <c r="T776" s="333"/>
      <c r="U776" s="158"/>
      <c r="V776" s="333"/>
      <c r="W776" s="158"/>
      <c r="X776" s="333"/>
      <c r="Y776" s="158"/>
      <c r="Z776" s="333"/>
      <c r="AA776" s="326"/>
      <c r="AB776" s="1004" t="str">
        <f t="shared" si="104"/>
        <v/>
      </c>
      <c r="AC776" s="1082" t="str">
        <f t="shared" si="105"/>
        <v/>
      </c>
      <c r="AD776" s="1077"/>
      <c r="AE776" s="1077"/>
      <c r="AF776" s="1084" t="str">
        <f t="shared" si="106"/>
        <v/>
      </c>
      <c r="AG776" s="1082" t="str">
        <f t="shared" si="107"/>
        <v/>
      </c>
      <c r="AH776" s="1091"/>
      <c r="AI776" s="1087"/>
      <c r="AJ776" s="1084" t="str">
        <f t="shared" si="108"/>
        <v/>
      </c>
      <c r="AK776" s="1083" t="str">
        <f t="shared" si="109"/>
        <v/>
      </c>
      <c r="AL776" s="211">
        <v>764941</v>
      </c>
      <c r="AM776" s="211">
        <v>6884471</v>
      </c>
      <c r="AN776" s="211"/>
      <c r="AO776" s="211"/>
      <c r="AP776" s="211"/>
      <c r="AQ776" s="211"/>
      <c r="AR776" s="211"/>
      <c r="AS776" s="211"/>
      <c r="AT776" s="211"/>
      <c r="AU776" s="211"/>
      <c r="AV776" s="211"/>
      <c r="AW776" s="211"/>
      <c r="AX776" s="211"/>
      <c r="AY776" s="211"/>
      <c r="AZ776" s="211"/>
      <c r="BA776" s="211"/>
      <c r="BB776" s="211"/>
      <c r="BC776" s="211"/>
      <c r="BD776" s="333">
        <v>43593</v>
      </c>
      <c r="BE776" s="82">
        <f t="shared" si="100"/>
        <v>7649412</v>
      </c>
    </row>
    <row r="777" spans="2:57" ht="51" hidden="1" x14ac:dyDescent="0.3">
      <c r="B777" s="2" t="str">
        <f>+'Base de Datos'!E777</f>
        <v>190255-0-2019</v>
      </c>
      <c r="C777" s="2" t="str">
        <f>+'Base de Datos'!F777</f>
        <v>DANY ALEXANDER FONSECA SANABRIA</v>
      </c>
      <c r="D777" s="2">
        <f>+'Base de Datos'!G777</f>
        <v>79629653</v>
      </c>
      <c r="E777" s="2" t="str">
        <f>+'Base de Datos'!H777</f>
        <v>Prestar servicios profesionales para acompañar al Concejo de Bogotá D.C., en la revisión y estudio de las historias laborales de los funcionarios para la definición técnica y jurídica del cumplimiento de requisitos en los diferentes regímenes de pensión.</v>
      </c>
      <c r="F777" s="197">
        <f>+'Base de Datos'!I777</f>
        <v>49147000</v>
      </c>
      <c r="G777" s="196">
        <f>+'Base de Datos'!M777</f>
        <v>43587</v>
      </c>
      <c r="H777" s="196">
        <f>+'Base de Datos'!N777</f>
        <v>43800</v>
      </c>
      <c r="I777" s="196"/>
      <c r="J777" s="158">
        <v>14042000</v>
      </c>
      <c r="K777" s="333">
        <v>43812</v>
      </c>
      <c r="L777" s="211"/>
      <c r="M777" s="336"/>
      <c r="N777" s="158"/>
      <c r="O777" s="333"/>
      <c r="P777" s="158"/>
      <c r="Q777" s="338"/>
      <c r="R777" s="81">
        <f t="shared" si="103"/>
        <v>14042000</v>
      </c>
      <c r="S777" s="258" t="s">
        <v>378</v>
      </c>
      <c r="T777" s="333">
        <v>43875</v>
      </c>
      <c r="U777" s="158"/>
      <c r="V777" s="333"/>
      <c r="W777" s="158"/>
      <c r="X777" s="333"/>
      <c r="Y777" s="158"/>
      <c r="Z777" s="333"/>
      <c r="AA777" s="326" t="s">
        <v>378</v>
      </c>
      <c r="AB777" s="1004">
        <f t="shared" si="104"/>
        <v>43875</v>
      </c>
      <c r="AC777" s="1082">
        <f t="shared" si="105"/>
        <v>13</v>
      </c>
      <c r="AD777" s="1077">
        <v>43798</v>
      </c>
      <c r="AE777" s="1077">
        <v>43810</v>
      </c>
      <c r="AF777" s="1084">
        <f t="shared" si="106"/>
        <v>43813</v>
      </c>
      <c r="AG777" s="1082" t="str">
        <f t="shared" si="107"/>
        <v/>
      </c>
      <c r="AH777" s="1091"/>
      <c r="AI777" s="1087"/>
      <c r="AJ777" s="1084" t="str">
        <f t="shared" si="108"/>
        <v/>
      </c>
      <c r="AK777" s="1083">
        <f t="shared" si="109"/>
        <v>43875</v>
      </c>
      <c r="AL777" s="211">
        <v>6786967</v>
      </c>
      <c r="AM777" s="211">
        <v>7021000</v>
      </c>
      <c r="AN777" s="211">
        <v>7021000</v>
      </c>
      <c r="AO777" s="211">
        <v>7021000</v>
      </c>
      <c r="AP777" s="211">
        <v>7021000</v>
      </c>
      <c r="AQ777" s="211">
        <v>7021000</v>
      </c>
      <c r="AR777" s="211">
        <v>6552933</v>
      </c>
      <c r="AS777" s="211">
        <v>4446633</v>
      </c>
      <c r="AT777" s="211">
        <v>7021000</v>
      </c>
      <c r="AU777" s="211">
        <v>3276467</v>
      </c>
      <c r="AV777" s="211"/>
      <c r="AW777" s="211"/>
      <c r="AX777" s="211"/>
      <c r="AY777" s="211"/>
      <c r="AZ777" s="211"/>
      <c r="BA777" s="211"/>
      <c r="BB777" s="211"/>
      <c r="BC777" s="211"/>
      <c r="BD777" s="333">
        <v>43881</v>
      </c>
      <c r="BE777" s="82">
        <f t="shared" si="100"/>
        <v>63189000</v>
      </c>
    </row>
    <row r="778" spans="2:57" ht="30.6" hidden="1" x14ac:dyDescent="0.3">
      <c r="B778" s="2" t="str">
        <f>+'Base de Datos'!E778</f>
        <v>190262-0-2019</v>
      </c>
      <c r="C778" s="2" t="str">
        <f>+'Base de Datos'!F778</f>
        <v>MIACOM SAS</v>
      </c>
      <c r="D778" s="2" t="str">
        <f>+'Base de Datos'!G778</f>
        <v>900677188-6</v>
      </c>
      <c r="E778" s="2" t="str">
        <f>+'Base de Datos'!H778</f>
        <v>Prestar servicios de diseño producción y ejecución de estrategias de divulgación en medios de comunicación de carácter masivo y alternativo para el Concejo de Bogotá.</v>
      </c>
      <c r="F778" s="197">
        <f>+'Base de Datos'!I778</f>
        <v>482700000</v>
      </c>
      <c r="G778" s="196">
        <f>+'Base de Datos'!M778</f>
        <v>43591</v>
      </c>
      <c r="H778" s="196">
        <f>+'Base de Datos'!N778</f>
        <v>43926</v>
      </c>
      <c r="I778" s="196"/>
      <c r="J778" s="158">
        <v>241340055</v>
      </c>
      <c r="K778" s="333">
        <v>43796</v>
      </c>
      <c r="L778" s="211"/>
      <c r="M778" s="336"/>
      <c r="N778" s="158"/>
      <c r="O778" s="333"/>
      <c r="P778" s="158"/>
      <c r="Q778" s="338"/>
      <c r="R778" s="81">
        <f t="shared" si="103"/>
        <v>241340055</v>
      </c>
      <c r="S778" s="258"/>
      <c r="T778" s="333"/>
      <c r="U778" s="158"/>
      <c r="V778" s="333"/>
      <c r="W778" s="158"/>
      <c r="X778" s="333"/>
      <c r="Y778" s="158"/>
      <c r="Z778" s="333"/>
      <c r="AA778" s="326"/>
      <c r="AB778" s="1004" t="str">
        <f t="shared" si="104"/>
        <v/>
      </c>
      <c r="AC778" s="1082" t="str">
        <f t="shared" si="105"/>
        <v/>
      </c>
      <c r="AD778" s="1077"/>
      <c r="AE778" s="1077"/>
      <c r="AF778" s="1084" t="str">
        <f t="shared" si="106"/>
        <v/>
      </c>
      <c r="AG778" s="1082" t="str">
        <f t="shared" si="107"/>
        <v/>
      </c>
      <c r="AH778" s="1091"/>
      <c r="AI778" s="1087"/>
      <c r="AJ778" s="1084" t="str">
        <f t="shared" si="108"/>
        <v/>
      </c>
      <c r="AK778" s="1083" t="str">
        <f t="shared" si="109"/>
        <v/>
      </c>
      <c r="AL778" s="211">
        <v>86559431</v>
      </c>
      <c r="AM778" s="211">
        <v>18323247</v>
      </c>
      <c r="AN778" s="211">
        <v>303443288</v>
      </c>
      <c r="AO778" s="211"/>
      <c r="AP778" s="211">
        <v>28487270</v>
      </c>
      <c r="AQ778" s="211">
        <v>13111875</v>
      </c>
      <c r="AR778" s="211">
        <v>14661558</v>
      </c>
      <c r="AS778" s="211">
        <v>10902466</v>
      </c>
      <c r="AT778" s="211">
        <v>187152206</v>
      </c>
      <c r="AU778" s="211">
        <v>32405718</v>
      </c>
      <c r="AV778" s="211">
        <v>15127244</v>
      </c>
      <c r="AW778" s="211">
        <v>11739988</v>
      </c>
      <c r="AX778" s="211"/>
      <c r="AY778" s="211"/>
      <c r="AZ778" s="211"/>
      <c r="BA778" s="211"/>
      <c r="BB778" s="211"/>
      <c r="BC778" s="211"/>
      <c r="BD778" s="333">
        <v>43971</v>
      </c>
      <c r="BE778" s="82">
        <f t="shared" ref="BE778:BE841" si="110">SUM(AL778:BC778)</f>
        <v>721914291</v>
      </c>
    </row>
    <row r="779" spans="2:57" ht="30.6" hidden="1" x14ac:dyDescent="0.3">
      <c r="B779" s="2" t="str">
        <f>+'Base de Datos'!E779</f>
        <v>190260-0-2019</v>
      </c>
      <c r="C779" s="2" t="str">
        <f>+'Base de Datos'!F779</f>
        <v xml:space="preserve">ARANDA SOFTWARE ANDINA SAS  </v>
      </c>
      <c r="D779" s="2">
        <f>+'Base de Datos'!G779</f>
        <v>830099766</v>
      </c>
      <c r="E779" s="2" t="str">
        <f>+'Base de Datos'!H779</f>
        <v>Prestar servicios de actualización y soporte para el software para la gestión de la mesa de servicios - Aranda para el Concejo de Bogotá</v>
      </c>
      <c r="F779" s="197">
        <f>+'Base de Datos'!I779</f>
        <v>70231374</v>
      </c>
      <c r="G779" s="196">
        <f>+'Base de Datos'!M779</f>
        <v>43598</v>
      </c>
      <c r="H779" s="196">
        <f>+'Base de Datos'!N779</f>
        <v>43933</v>
      </c>
      <c r="I779" s="196"/>
      <c r="J779" s="158"/>
      <c r="K779" s="333"/>
      <c r="L779" s="211"/>
      <c r="M779" s="336"/>
      <c r="N779" s="158"/>
      <c r="O779" s="333"/>
      <c r="P779" s="158"/>
      <c r="Q779" s="338"/>
      <c r="R779" s="81">
        <f t="shared" si="103"/>
        <v>0</v>
      </c>
      <c r="S779" s="258"/>
      <c r="T779" s="333"/>
      <c r="U779" s="158"/>
      <c r="V779" s="333"/>
      <c r="W779" s="158"/>
      <c r="X779" s="333"/>
      <c r="Y779" s="158"/>
      <c r="Z779" s="333"/>
      <c r="AA779" s="326"/>
      <c r="AB779" s="1004" t="str">
        <f t="shared" si="104"/>
        <v/>
      </c>
      <c r="AC779" s="1082" t="str">
        <f t="shared" si="105"/>
        <v/>
      </c>
      <c r="AD779" s="1077"/>
      <c r="AE779" s="1077"/>
      <c r="AF779" s="1084" t="str">
        <f t="shared" si="106"/>
        <v/>
      </c>
      <c r="AG779" s="1082" t="str">
        <f t="shared" si="107"/>
        <v/>
      </c>
      <c r="AH779" s="1091"/>
      <c r="AI779" s="1087"/>
      <c r="AJ779" s="1084" t="str">
        <f t="shared" si="108"/>
        <v/>
      </c>
      <c r="AK779" s="1083" t="str">
        <f t="shared" si="109"/>
        <v/>
      </c>
      <c r="AL779" s="211">
        <v>39278616</v>
      </c>
      <c r="AM779" s="211">
        <v>15476380</v>
      </c>
      <c r="AN779" s="211">
        <v>15476378</v>
      </c>
      <c r="AO779" s="211"/>
      <c r="AP779" s="211"/>
      <c r="AQ779" s="211"/>
      <c r="AR779" s="211"/>
      <c r="AS779" s="211"/>
      <c r="AT779" s="211"/>
      <c r="AU779" s="211"/>
      <c r="AV779" s="211"/>
      <c r="AW779" s="211"/>
      <c r="AX779" s="211"/>
      <c r="AY779" s="211"/>
      <c r="AZ779" s="211"/>
      <c r="BA779" s="211"/>
      <c r="BB779" s="211"/>
      <c r="BC779" s="211"/>
      <c r="BD779" s="333">
        <v>43964</v>
      </c>
      <c r="BE779" s="82">
        <f t="shared" si="110"/>
        <v>70231374</v>
      </c>
    </row>
    <row r="780" spans="2:57" ht="40.799999999999997" hidden="1" x14ac:dyDescent="0.3">
      <c r="B780" s="2" t="str">
        <f>+'Base de Datos'!E780</f>
        <v>190263-0-2019</v>
      </c>
      <c r="C780" s="2" t="str">
        <f>+'Base de Datos'!F780</f>
        <v>MARTHA PATRICIA ORTIZ CASTAÑO</v>
      </c>
      <c r="D780" s="2">
        <f>+'Base de Datos'!G780</f>
        <v>41690000</v>
      </c>
      <c r="E780" s="2" t="str">
        <f>+'Base de Datos'!H780</f>
        <v>Prestar servicios profesionales para apoyar a la Secretaría General del Concejo de Bogotá en la respuesta a derechos de petición solicitudes quejas consultas  y reclamos que reciba la Corporación.</v>
      </c>
      <c r="F780" s="197">
        <f>+'Base de Datos'!I780</f>
        <v>27222000</v>
      </c>
      <c r="G780" s="196">
        <f>+'Base de Datos'!M780</f>
        <v>43594</v>
      </c>
      <c r="H780" s="196">
        <f>+'Base de Datos'!N780</f>
        <v>43777</v>
      </c>
      <c r="I780" s="196"/>
      <c r="J780" s="158">
        <v>5595633</v>
      </c>
      <c r="K780" s="333">
        <v>43768</v>
      </c>
      <c r="L780" s="211"/>
      <c r="M780" s="336"/>
      <c r="N780" s="158"/>
      <c r="O780" s="333"/>
      <c r="P780" s="158"/>
      <c r="Q780" s="338"/>
      <c r="R780" s="81">
        <f t="shared" si="103"/>
        <v>5595633</v>
      </c>
      <c r="S780" s="258" t="s">
        <v>2699</v>
      </c>
      <c r="T780" s="333">
        <v>43814</v>
      </c>
      <c r="U780" s="158"/>
      <c r="V780" s="333"/>
      <c r="W780" s="158"/>
      <c r="X780" s="333"/>
      <c r="Y780" s="158"/>
      <c r="Z780" s="333"/>
      <c r="AA780" s="258" t="s">
        <v>2699</v>
      </c>
      <c r="AB780" s="1004">
        <f t="shared" si="104"/>
        <v>43814</v>
      </c>
      <c r="AC780" s="1082" t="str">
        <f t="shared" si="105"/>
        <v/>
      </c>
      <c r="AD780" s="1077"/>
      <c r="AE780" s="1077"/>
      <c r="AF780" s="1084" t="str">
        <f t="shared" si="106"/>
        <v/>
      </c>
      <c r="AG780" s="1082" t="str">
        <f t="shared" si="107"/>
        <v/>
      </c>
      <c r="AH780" s="1091"/>
      <c r="AI780" s="1087"/>
      <c r="AJ780" s="1084" t="str">
        <f t="shared" si="108"/>
        <v/>
      </c>
      <c r="AK780" s="1083" t="str">
        <f t="shared" si="109"/>
        <v/>
      </c>
      <c r="AL780" s="211">
        <v>3327133</v>
      </c>
      <c r="AM780" s="211">
        <v>4537000</v>
      </c>
      <c r="AN780" s="211">
        <v>4537000</v>
      </c>
      <c r="AO780" s="211">
        <v>4537000</v>
      </c>
      <c r="AP780" s="211">
        <v>4537000</v>
      </c>
      <c r="AQ780" s="211">
        <v>4537000</v>
      </c>
      <c r="AR780" s="211">
        <v>4537000</v>
      </c>
      <c r="AS780" s="211">
        <v>2268500</v>
      </c>
      <c r="AT780" s="211"/>
      <c r="AU780" s="211"/>
      <c r="AV780" s="211"/>
      <c r="AW780" s="211"/>
      <c r="AX780" s="211"/>
      <c r="AY780" s="211"/>
      <c r="AZ780" s="211"/>
      <c r="BA780" s="211"/>
      <c r="BB780" s="211"/>
      <c r="BC780" s="211"/>
      <c r="BD780" s="333">
        <v>43787</v>
      </c>
      <c r="BE780" s="82">
        <f t="shared" si="110"/>
        <v>32817633</v>
      </c>
    </row>
    <row r="781" spans="2:57" ht="30.6" hidden="1" x14ac:dyDescent="0.3">
      <c r="B781" s="2" t="str">
        <f>+'Base de Datos'!E781</f>
        <v>190267-0-2019</v>
      </c>
      <c r="C781" s="2" t="str">
        <f>+'Base de Datos'!F781</f>
        <v>JEFFERSON FARUK CAMPOS RAMIREZ</v>
      </c>
      <c r="D781" s="2">
        <f>+'Base de Datos'!G781</f>
        <v>1013610856</v>
      </c>
      <c r="E781" s="2" t="str">
        <f>+'Base de Datos'!H781</f>
        <v>Presatar servicios profesionales para apoyar el proceso de sistemas y seguirdad de la información del Concejo de Bogotá en materia de seguridad informática.</v>
      </c>
      <c r="F781" s="197">
        <f>+'Base de Datos'!I781</f>
        <v>24846000</v>
      </c>
      <c r="G781" s="196">
        <f>+'Base de Datos'!M781</f>
        <v>43595</v>
      </c>
      <c r="H781" s="196">
        <f>+'Base de Datos'!N781</f>
        <v>43778</v>
      </c>
      <c r="I781" s="196"/>
      <c r="J781" s="158">
        <v>12423000</v>
      </c>
      <c r="K781" s="333">
        <v>43790</v>
      </c>
      <c r="L781" s="211"/>
      <c r="M781" s="336"/>
      <c r="N781" s="158"/>
      <c r="O781" s="333"/>
      <c r="P781" s="158"/>
      <c r="Q781" s="338"/>
      <c r="R781" s="81">
        <f t="shared" si="103"/>
        <v>12423000</v>
      </c>
      <c r="S781" s="258" t="s">
        <v>379</v>
      </c>
      <c r="T781" s="333">
        <v>43882</v>
      </c>
      <c r="U781" s="158"/>
      <c r="V781" s="333"/>
      <c r="W781" s="158"/>
      <c r="X781" s="333"/>
      <c r="Y781" s="158"/>
      <c r="Z781" s="333"/>
      <c r="AA781" s="326" t="s">
        <v>379</v>
      </c>
      <c r="AB781" s="1004">
        <f t="shared" si="104"/>
        <v>43882</v>
      </c>
      <c r="AC781" s="1082">
        <f t="shared" si="105"/>
        <v>13</v>
      </c>
      <c r="AD781" s="1077">
        <v>43777</v>
      </c>
      <c r="AE781" s="1077">
        <v>43789</v>
      </c>
      <c r="AF781" s="1084">
        <f t="shared" si="106"/>
        <v>43791</v>
      </c>
      <c r="AG781" s="1082" t="str">
        <f t="shared" si="107"/>
        <v/>
      </c>
      <c r="AH781" s="1091"/>
      <c r="AI781" s="1087"/>
      <c r="AJ781" s="1084" t="str">
        <f t="shared" si="108"/>
        <v/>
      </c>
      <c r="AK781" s="1083">
        <f t="shared" si="109"/>
        <v>43882</v>
      </c>
      <c r="AL781" s="211">
        <v>2898700</v>
      </c>
      <c r="AM781" s="211">
        <v>4141000</v>
      </c>
      <c r="AN781" s="211">
        <v>4141000</v>
      </c>
      <c r="AO781" s="211">
        <v>4141000</v>
      </c>
      <c r="AP781" s="211">
        <v>4141000</v>
      </c>
      <c r="AQ781" s="211">
        <v>4141000</v>
      </c>
      <c r="AR781" s="211">
        <v>966233</v>
      </c>
      <c r="AS781" s="211">
        <v>1380333</v>
      </c>
      <c r="AT781" s="211">
        <v>276067</v>
      </c>
      <c r="AU781" s="211">
        <v>3864933</v>
      </c>
      <c r="AV781" s="211">
        <v>4141000</v>
      </c>
      <c r="AW781" s="211">
        <v>2898700</v>
      </c>
      <c r="AX781" s="211"/>
      <c r="AY781" s="211"/>
      <c r="AZ781" s="211"/>
      <c r="BA781" s="211"/>
      <c r="BB781" s="211"/>
      <c r="BC781" s="211"/>
      <c r="BD781" s="333">
        <v>43927</v>
      </c>
      <c r="BE781" s="82">
        <f t="shared" si="110"/>
        <v>37130966</v>
      </c>
    </row>
    <row r="782" spans="2:57" ht="30.6" hidden="1" x14ac:dyDescent="0.3">
      <c r="B782" s="2" t="str">
        <f>+'Base de Datos'!E782</f>
        <v>190269-0-2019</v>
      </c>
      <c r="C782" s="2" t="str">
        <f>+'Base de Datos'!F782</f>
        <v>FACTOR VISUAL EAT</v>
      </c>
      <c r="D782" s="2">
        <f>+'Base de Datos'!G782</f>
        <v>830112518</v>
      </c>
      <c r="E782" s="2" t="str">
        <f>+'Base de Datos'!H782</f>
        <v xml:space="preserve">Prestar servicios de actualización, mantenimiento y soporte para las licencias del sitio WEB e intraet y de streaming del Concejo de Bogotá. </v>
      </c>
      <c r="F782" s="197">
        <f>+'Base de Datos'!I782</f>
        <v>73645000</v>
      </c>
      <c r="G782" s="196">
        <f>+'Base de Datos'!M782</f>
        <v>43608</v>
      </c>
      <c r="H782" s="196">
        <f>+'Base de Datos'!N782</f>
        <v>43973</v>
      </c>
      <c r="I782" s="196"/>
      <c r="J782" s="158"/>
      <c r="K782" s="333"/>
      <c r="L782" s="211"/>
      <c r="M782" s="336"/>
      <c r="N782" s="158"/>
      <c r="O782" s="333"/>
      <c r="P782" s="158"/>
      <c r="Q782" s="338"/>
      <c r="R782" s="81">
        <f t="shared" si="103"/>
        <v>0</v>
      </c>
      <c r="S782" s="258"/>
      <c r="T782" s="333"/>
      <c r="U782" s="158"/>
      <c r="V782" s="333"/>
      <c r="W782" s="158"/>
      <c r="X782" s="333"/>
      <c r="Y782" s="158"/>
      <c r="Z782" s="333"/>
      <c r="AA782" s="326"/>
      <c r="AB782" s="1004" t="str">
        <f t="shared" si="104"/>
        <v/>
      </c>
      <c r="AC782" s="1082" t="str">
        <f t="shared" si="105"/>
        <v/>
      </c>
      <c r="AD782" s="1077"/>
      <c r="AE782" s="1077"/>
      <c r="AF782" s="1084" t="str">
        <f t="shared" si="106"/>
        <v/>
      </c>
      <c r="AG782" s="1082" t="str">
        <f t="shared" si="107"/>
        <v/>
      </c>
      <c r="AH782" s="1091"/>
      <c r="AI782" s="1087"/>
      <c r="AJ782" s="1084" t="str">
        <f t="shared" si="108"/>
        <v/>
      </c>
      <c r="AK782" s="1083" t="str">
        <f t="shared" si="109"/>
        <v/>
      </c>
      <c r="AL782" s="211">
        <v>4853000</v>
      </c>
      <c r="AM782" s="211">
        <v>4500000</v>
      </c>
      <c r="AN782" s="211">
        <v>5086000</v>
      </c>
      <c r="AO782" s="211">
        <v>5086000</v>
      </c>
      <c r="AP782" s="211">
        <v>5086000</v>
      </c>
      <c r="AQ782" s="211">
        <v>5086000</v>
      </c>
      <c r="AR782" s="211">
        <v>5086000</v>
      </c>
      <c r="AS782" s="211">
        <v>5086000</v>
      </c>
      <c r="AT782" s="211">
        <v>5086000</v>
      </c>
      <c r="AU782" s="211">
        <v>5086000</v>
      </c>
      <c r="AV782" s="211">
        <v>5086000</v>
      </c>
      <c r="AW782" s="211">
        <v>5086000</v>
      </c>
      <c r="AX782" s="211"/>
      <c r="AY782" s="211">
        <v>8346000</v>
      </c>
      <c r="AZ782" s="211">
        <v>5086000</v>
      </c>
      <c r="BA782" s="211"/>
      <c r="BB782" s="211"/>
      <c r="BC782" s="211"/>
      <c r="BD782" s="333">
        <v>44069</v>
      </c>
      <c r="BE782" s="82">
        <f t="shared" si="110"/>
        <v>73645000</v>
      </c>
    </row>
    <row r="783" spans="2:57" ht="20.399999999999999" hidden="1" x14ac:dyDescent="0.3">
      <c r="B783" s="2" t="str">
        <f>+'Base de Datos'!E783</f>
        <v>190270-0-2019</v>
      </c>
      <c r="C783" s="2" t="str">
        <f>+'Base de Datos'!F783</f>
        <v>SOLUCIONES ICG SAS</v>
      </c>
      <c r="D783" s="2">
        <f>+'Base de Datos'!G783</f>
        <v>900891247</v>
      </c>
      <c r="E783" s="2" t="str">
        <f>+'Base de Datos'!H783</f>
        <v>Prestar servicios de soporte y actualización del software antivirus para el Concejo de Bogotá</v>
      </c>
      <c r="F783" s="197">
        <f>+'Base de Datos'!I783</f>
        <v>71639850</v>
      </c>
      <c r="G783" s="196">
        <f>+'Base de Datos'!M783</f>
        <v>43612</v>
      </c>
      <c r="H783" s="196">
        <f>+'Base de Datos'!N783</f>
        <v>43977</v>
      </c>
      <c r="I783" s="196"/>
      <c r="J783" s="158"/>
      <c r="K783" s="333"/>
      <c r="L783" s="211"/>
      <c r="M783" s="336"/>
      <c r="N783" s="158"/>
      <c r="O783" s="333"/>
      <c r="P783" s="158"/>
      <c r="Q783" s="338"/>
      <c r="R783" s="81">
        <f t="shared" si="103"/>
        <v>0</v>
      </c>
      <c r="S783" s="258"/>
      <c r="T783" s="333"/>
      <c r="U783" s="158"/>
      <c r="V783" s="333"/>
      <c r="W783" s="158"/>
      <c r="X783" s="333"/>
      <c r="Y783" s="158"/>
      <c r="Z783" s="333"/>
      <c r="AA783" s="326"/>
      <c r="AB783" s="1004" t="str">
        <f t="shared" si="104"/>
        <v/>
      </c>
      <c r="AC783" s="1082" t="str">
        <f t="shared" si="105"/>
        <v/>
      </c>
      <c r="AD783" s="1077"/>
      <c r="AE783" s="1077"/>
      <c r="AF783" s="1084" t="str">
        <f t="shared" si="106"/>
        <v/>
      </c>
      <c r="AG783" s="1082" t="str">
        <f t="shared" si="107"/>
        <v/>
      </c>
      <c r="AH783" s="1091"/>
      <c r="AI783" s="1087"/>
      <c r="AJ783" s="1084" t="str">
        <f t="shared" si="108"/>
        <v/>
      </c>
      <c r="AK783" s="1083" t="str">
        <f t="shared" si="109"/>
        <v/>
      </c>
      <c r="AL783" s="211">
        <v>66760850</v>
      </c>
      <c r="AM783" s="211"/>
      <c r="AN783" s="211"/>
      <c r="AO783" s="211"/>
      <c r="AP783" s="211"/>
      <c r="AQ783" s="211"/>
      <c r="AR783" s="211"/>
      <c r="AS783" s="211"/>
      <c r="AT783" s="211"/>
      <c r="AU783" s="211"/>
      <c r="AV783" s="211"/>
      <c r="AW783" s="211"/>
      <c r="AX783" s="211"/>
      <c r="AY783" s="211"/>
      <c r="AZ783" s="211"/>
      <c r="BA783" s="211"/>
      <c r="BB783" s="211"/>
      <c r="BC783" s="211"/>
      <c r="BD783" s="333">
        <v>43655</v>
      </c>
      <c r="BE783" s="82">
        <f t="shared" si="110"/>
        <v>66760850</v>
      </c>
    </row>
    <row r="784" spans="2:57" ht="40.799999999999997" hidden="1" x14ac:dyDescent="0.3">
      <c r="B784" s="2" t="str">
        <f>+'Base de Datos'!E784</f>
        <v>190279-0-2019</v>
      </c>
      <c r="C784" s="2" t="str">
        <f>+'Base de Datos'!F784</f>
        <v>SEGURIDAD ATLAS LTDA</v>
      </c>
      <c r="D784" s="2">
        <f>+'Base de Datos'!G784</f>
        <v>890312749</v>
      </c>
      <c r="E784" s="2" t="str">
        <f>+'Base de Datos'!H784</f>
        <v xml:space="preserve">Prestar servicio de vigilancia y seguridad privada, para la permanente y adecuada protección de los funcionarios, contratistas y visitantes del Concejo de Bogotá, D.C., y de los bienes muebles e inmuebles objeto de esta contratación. </v>
      </c>
      <c r="F784" s="197">
        <f>+'Base de Datos'!I784</f>
        <v>1474500000</v>
      </c>
      <c r="G784" s="196">
        <f>+'Base de Datos'!M784</f>
        <v>43616</v>
      </c>
      <c r="H784" s="196">
        <f>+'Base de Datos'!N784</f>
        <v>43981</v>
      </c>
      <c r="I784" s="196"/>
      <c r="J784" s="158">
        <v>271000000</v>
      </c>
      <c r="K784" s="333">
        <v>43972</v>
      </c>
      <c r="L784" s="211"/>
      <c r="M784" s="336"/>
      <c r="N784" s="158"/>
      <c r="O784" s="333"/>
      <c r="P784" s="158"/>
      <c r="Q784" s="338"/>
      <c r="R784" s="81">
        <f t="shared" si="103"/>
        <v>271000000</v>
      </c>
      <c r="S784" s="258" t="s">
        <v>379</v>
      </c>
      <c r="T784" s="333">
        <v>44073</v>
      </c>
      <c r="U784" s="158"/>
      <c r="V784" s="333"/>
      <c r="W784" s="158"/>
      <c r="X784" s="333"/>
      <c r="Y784" s="158"/>
      <c r="Z784" s="333"/>
      <c r="AA784" s="326" t="s">
        <v>379</v>
      </c>
      <c r="AB784" s="1004">
        <f t="shared" si="104"/>
        <v>44073</v>
      </c>
      <c r="AC784" s="1082" t="str">
        <f t="shared" si="105"/>
        <v/>
      </c>
      <c r="AD784" s="1077"/>
      <c r="AE784" s="1077"/>
      <c r="AF784" s="1084" t="str">
        <f t="shared" si="106"/>
        <v/>
      </c>
      <c r="AG784" s="1082" t="str">
        <f t="shared" si="107"/>
        <v/>
      </c>
      <c r="AH784" s="1091"/>
      <c r="AI784" s="1087"/>
      <c r="AJ784" s="1084" t="str">
        <f t="shared" si="108"/>
        <v/>
      </c>
      <c r="AK784" s="1083" t="str">
        <f t="shared" si="109"/>
        <v/>
      </c>
      <c r="AL784" s="211">
        <v>113693393</v>
      </c>
      <c r="AM784" s="211"/>
      <c r="AN784" s="211">
        <v>113693393</v>
      </c>
      <c r="AO784" s="211"/>
      <c r="AP784" s="211"/>
      <c r="AQ784" s="211">
        <v>113041706</v>
      </c>
      <c r="AR784" s="211"/>
      <c r="AS784" s="211">
        <v>112390019</v>
      </c>
      <c r="AT784" s="211"/>
      <c r="AU784" s="211">
        <v>113041706</v>
      </c>
      <c r="AV784" s="211">
        <v>112390018</v>
      </c>
      <c r="AW784" s="211">
        <v>113367558</v>
      </c>
      <c r="AX784" s="211">
        <v>120119471</v>
      </c>
      <c r="AY784" s="211">
        <v>118910195</v>
      </c>
      <c r="AZ784" s="211">
        <v>119600985</v>
      </c>
      <c r="BA784" s="211">
        <v>118910195</v>
      </c>
      <c r="BB784" s="211">
        <v>118910195</v>
      </c>
      <c r="BC784" s="211">
        <f>86431165+32479030+118910196</f>
        <v>237820391</v>
      </c>
      <c r="BD784" s="333">
        <v>44095</v>
      </c>
      <c r="BE784" s="82">
        <f t="shared" si="110"/>
        <v>1625889225</v>
      </c>
    </row>
    <row r="785" spans="2:59" ht="51" hidden="1" x14ac:dyDescent="0.3">
      <c r="B785" s="2" t="str">
        <f>+'Base de Datos'!E785</f>
        <v>190283-0-2019</v>
      </c>
      <c r="C785" s="2" t="str">
        <f>+'Base de Datos'!F785</f>
        <v>GRISELDA USECHE MEDINA (Cesionaria) / LILIANA BASTIDAS LINARES (Antes)</v>
      </c>
      <c r="D785" s="2">
        <f>+'Base de Datos'!G785</f>
        <v>41750115</v>
      </c>
      <c r="E785" s="2" t="str">
        <f>+'Base de Datos'!H785</f>
        <v>Prestar servicios profesionales a la Dirección Jurídica del Concejo de Bogotá D.C., en el marco de los asuntos de su competencia y de acuerdo a la normatividad vigente con el fin de realizar las actividades necesarias para la depuración y actualización normativa del periodo 2015-2018.</v>
      </c>
      <c r="F785" s="197">
        <f>+'Base de Datos'!I785</f>
        <v>53864000</v>
      </c>
      <c r="G785" s="196">
        <f>+'Base de Datos'!M785</f>
        <v>43614</v>
      </c>
      <c r="H785" s="196">
        <f>+'Base de Datos'!N785</f>
        <v>43830</v>
      </c>
      <c r="I785" s="196">
        <v>43858</v>
      </c>
      <c r="J785" s="158"/>
      <c r="K785" s="333"/>
      <c r="L785" s="211"/>
      <c r="M785" s="336"/>
      <c r="N785" s="158"/>
      <c r="O785" s="333"/>
      <c r="P785" s="158"/>
      <c r="Q785" s="338"/>
      <c r="R785" s="81">
        <f t="shared" si="103"/>
        <v>0</v>
      </c>
      <c r="S785" s="258"/>
      <c r="T785" s="333"/>
      <c r="U785" s="158"/>
      <c r="V785" s="333"/>
      <c r="W785" s="158"/>
      <c r="X785" s="333"/>
      <c r="Y785" s="158"/>
      <c r="Z785" s="333"/>
      <c r="AA785" s="326"/>
      <c r="AB785" s="1004" t="str">
        <f t="shared" si="104"/>
        <v/>
      </c>
      <c r="AC785" s="1082" t="str">
        <f t="shared" si="105"/>
        <v/>
      </c>
      <c r="AD785" s="1077"/>
      <c r="AE785" s="1077"/>
      <c r="AF785" s="1084" t="str">
        <f t="shared" si="106"/>
        <v/>
      </c>
      <c r="AG785" s="1082" t="str">
        <f t="shared" si="107"/>
        <v/>
      </c>
      <c r="AH785" s="1091"/>
      <c r="AI785" s="1087"/>
      <c r="AJ785" s="1084" t="str">
        <f t="shared" si="108"/>
        <v/>
      </c>
      <c r="AK785" s="1083" t="str">
        <f t="shared" si="109"/>
        <v/>
      </c>
      <c r="AL785" s="211">
        <v>448867</v>
      </c>
      <c r="AM785" s="211">
        <v>6733000</v>
      </c>
      <c r="AN785" s="211">
        <v>6733000</v>
      </c>
      <c r="AO785" s="211">
        <v>6733000</v>
      </c>
      <c r="AP785" s="211">
        <v>6733000</v>
      </c>
      <c r="AQ785" s="211">
        <v>6733000</v>
      </c>
      <c r="AR785" s="211">
        <v>6733000</v>
      </c>
      <c r="AS785" s="211">
        <v>6733000</v>
      </c>
      <c r="AT785" s="211">
        <v>6284133</v>
      </c>
      <c r="AU785" s="211"/>
      <c r="AV785" s="211"/>
      <c r="AW785" s="211"/>
      <c r="AX785" s="211"/>
      <c r="AY785" s="211"/>
      <c r="AZ785" s="211"/>
      <c r="BA785" s="211"/>
      <c r="BB785" s="211"/>
      <c r="BC785" s="211"/>
      <c r="BD785" s="333">
        <v>43871</v>
      </c>
      <c r="BE785" s="82">
        <f t="shared" si="110"/>
        <v>53864000</v>
      </c>
    </row>
    <row r="786" spans="2:59" ht="51" hidden="1" x14ac:dyDescent="0.3">
      <c r="B786" s="2" t="str">
        <f>+'Base de Datos'!E786</f>
        <v>190284-0-2019</v>
      </c>
      <c r="C786" s="2" t="str">
        <f>+'Base de Datos'!F786</f>
        <v>JOSE GABRIEL PARRA PIRAZAN</v>
      </c>
      <c r="D786" s="2">
        <f>+'Base de Datos'!G786</f>
        <v>79436393</v>
      </c>
      <c r="E786" s="2" t="str">
        <f>+'Base de Datos'!H786</f>
        <v>Prestar servicios profesionales a la Dirección Jurídica del Concejo de Bogotá D.C., en el marco de los asuntos de su competencia y de acuerdo a la normatividad vigente con el fin de realizar las actividades necesarias para la depuración y actualización normativa del periodo 2015-2018.</v>
      </c>
      <c r="F786" s="197">
        <f>+'Base de Datos'!I786</f>
        <v>53864000</v>
      </c>
      <c r="G786" s="196">
        <f>+'Base de Datos'!M786</f>
        <v>43614</v>
      </c>
      <c r="H786" s="196">
        <f>+'Base de Datos'!N786</f>
        <v>43830</v>
      </c>
      <c r="I786" s="196">
        <v>43858</v>
      </c>
      <c r="J786" s="158"/>
      <c r="K786" s="333"/>
      <c r="L786" s="211"/>
      <c r="M786" s="336"/>
      <c r="N786" s="158"/>
      <c r="O786" s="333"/>
      <c r="P786" s="158"/>
      <c r="Q786" s="338"/>
      <c r="R786" s="81">
        <f t="shared" si="103"/>
        <v>0</v>
      </c>
      <c r="S786" s="258"/>
      <c r="T786" s="333"/>
      <c r="U786" s="158"/>
      <c r="V786" s="333"/>
      <c r="W786" s="158"/>
      <c r="X786" s="333"/>
      <c r="Y786" s="158"/>
      <c r="Z786" s="1002"/>
      <c r="AA786" s="1003"/>
      <c r="AB786" s="1004" t="str">
        <f t="shared" si="104"/>
        <v/>
      </c>
      <c r="AC786" s="1082" t="str">
        <f t="shared" si="105"/>
        <v/>
      </c>
      <c r="AD786" s="1004"/>
      <c r="AE786" s="1004"/>
      <c r="AF786" s="1084" t="str">
        <f t="shared" si="106"/>
        <v/>
      </c>
      <c r="AG786" s="1082" t="str">
        <f t="shared" si="107"/>
        <v/>
      </c>
      <c r="AH786" s="1092"/>
      <c r="AI786" s="1087"/>
      <c r="AJ786" s="1084" t="str">
        <f t="shared" si="108"/>
        <v/>
      </c>
      <c r="AK786" s="1083" t="str">
        <f t="shared" si="109"/>
        <v/>
      </c>
      <c r="AL786" s="211">
        <v>448867</v>
      </c>
      <c r="AM786" s="211">
        <v>6733000</v>
      </c>
      <c r="AN786" s="211">
        <v>6733000</v>
      </c>
      <c r="AO786" s="211">
        <v>6733000</v>
      </c>
      <c r="AP786" s="211">
        <v>6733000</v>
      </c>
      <c r="AQ786" s="211">
        <v>6733000</v>
      </c>
      <c r="AR786" s="211">
        <v>6733000</v>
      </c>
      <c r="AS786" s="211">
        <v>6733000</v>
      </c>
      <c r="AT786" s="211">
        <v>6284133</v>
      </c>
      <c r="AU786" s="211"/>
      <c r="AV786" s="211"/>
      <c r="AW786" s="211"/>
      <c r="AX786" s="211"/>
      <c r="AY786" s="211"/>
      <c r="AZ786" s="211"/>
      <c r="BA786" s="211"/>
      <c r="BB786" s="211"/>
      <c r="BC786" s="211"/>
      <c r="BD786" s="333">
        <v>43868</v>
      </c>
      <c r="BE786" s="82">
        <f t="shared" si="110"/>
        <v>53864000</v>
      </c>
    </row>
    <row r="787" spans="2:59" ht="61.2" hidden="1" x14ac:dyDescent="0.3">
      <c r="B787" s="2" t="str">
        <f>+'Base de Datos'!E787</f>
        <v>190287-0-2019</v>
      </c>
      <c r="C787" s="2" t="str">
        <f>+'Base de Datos'!F787</f>
        <v>JOSE VICENTE PEÑA PINZON</v>
      </c>
      <c r="D787" s="2">
        <f>+'Base de Datos'!G787</f>
        <v>19308642</v>
      </c>
      <c r="E787" s="2" t="str">
        <f>+'Base de Datos'!H787</f>
        <v>Prestar servicios profesionales para elaborar estudios de justificación técnica del rediseño organizacional del Concejo de Bogotá D.C., con sus respectivos anexos, de acuerdo con las especificaciones normativas vigentes  y los lineamientos técnicos  del Departamento Administrativo del Servicio Civil Distrital.</v>
      </c>
      <c r="F787" s="197">
        <f>+'Base de Datos'!I787</f>
        <v>39752000</v>
      </c>
      <c r="G787" s="196">
        <f>+'Base de Datos'!M787</f>
        <v>43620</v>
      </c>
      <c r="H787" s="196">
        <f>+'Base de Datos'!N787</f>
        <v>43830</v>
      </c>
      <c r="I787" s="196">
        <v>43864</v>
      </c>
      <c r="J787" s="158"/>
      <c r="K787" s="333"/>
      <c r="L787" s="211"/>
      <c r="M787" s="336"/>
      <c r="N787" s="158"/>
      <c r="O787" s="333"/>
      <c r="P787" s="158"/>
      <c r="Q787" s="338"/>
      <c r="R787" s="81">
        <f t="shared" ref="R787:R850" si="111">SUM(J787,L787,N787,P787)</f>
        <v>0</v>
      </c>
      <c r="S787" s="258"/>
      <c r="T787" s="333"/>
      <c r="U787" s="158"/>
      <c r="V787" s="333"/>
      <c r="W787" s="158"/>
      <c r="X787" s="333"/>
      <c r="Y787" s="158"/>
      <c r="Z787" s="1002"/>
      <c r="AA787" s="1003"/>
      <c r="AB787" s="1004" t="str">
        <f t="shared" si="104"/>
        <v/>
      </c>
      <c r="AC787" s="1082" t="str">
        <f t="shared" si="105"/>
        <v/>
      </c>
      <c r="AD787" s="1004"/>
      <c r="AE787" s="1004"/>
      <c r="AF787" s="1084" t="str">
        <f t="shared" si="106"/>
        <v/>
      </c>
      <c r="AG787" s="1082" t="str">
        <f t="shared" si="107"/>
        <v/>
      </c>
      <c r="AH787" s="1092"/>
      <c r="AI787" s="1087"/>
      <c r="AJ787" s="1084" t="str">
        <f t="shared" si="108"/>
        <v/>
      </c>
      <c r="AK787" s="1083" t="str">
        <f t="shared" si="109"/>
        <v/>
      </c>
      <c r="AL787" s="211">
        <v>4472100</v>
      </c>
      <c r="AM787" s="211">
        <v>4969000</v>
      </c>
      <c r="AN787" s="211">
        <v>4969000</v>
      </c>
      <c r="AO787" s="211"/>
      <c r="AP787" s="211"/>
      <c r="AQ787" s="211"/>
      <c r="AR787" s="211"/>
      <c r="AS787" s="211"/>
      <c r="AT787" s="211"/>
      <c r="AU787" s="211"/>
      <c r="AV787" s="211"/>
      <c r="AW787" s="211"/>
      <c r="AX787" s="211"/>
      <c r="AY787" s="211"/>
      <c r="AZ787" s="211"/>
      <c r="BA787" s="211"/>
      <c r="BB787" s="211"/>
      <c r="BC787" s="211"/>
      <c r="BD787" s="333">
        <v>43733</v>
      </c>
      <c r="BE787" s="82">
        <f t="shared" si="110"/>
        <v>14410100</v>
      </c>
    </row>
    <row r="788" spans="2:59" ht="61.2" hidden="1" x14ac:dyDescent="0.3">
      <c r="B788" s="2" t="str">
        <f>+'Base de Datos'!E788</f>
        <v>190293-0-2019</v>
      </c>
      <c r="C788" s="2" t="str">
        <f>+'Base de Datos'!F788</f>
        <v>IVONNE ALEXANDRA RODRIGUEZ RUEDA</v>
      </c>
      <c r="D788" s="2">
        <f>+'Base de Datos'!G788</f>
        <v>52557996</v>
      </c>
      <c r="E788" s="2" t="str">
        <f>+'Base de Datos'!H788</f>
        <v>Prestar servicios profesionales para elaborar estudios de justificación técnica del rediseño organizacional del Concejo de Bogotá D.C., con sus respectivos anexos, de acuerdo con las especificaciones normativas vigentes  y los lineamientos técnicos  del Departamento Administrativo del Servicio Civil Distrital.</v>
      </c>
      <c r="F788" s="197">
        <f>+'Base de Datos'!I788</f>
        <v>39752000</v>
      </c>
      <c r="G788" s="196">
        <f>+'Base de Datos'!M788</f>
        <v>43620</v>
      </c>
      <c r="H788" s="196">
        <f>+'Base de Datos'!N788</f>
        <v>43830</v>
      </c>
      <c r="I788" s="196"/>
      <c r="J788" s="158"/>
      <c r="K788" s="333"/>
      <c r="L788" s="211"/>
      <c r="M788" s="336"/>
      <c r="N788" s="158"/>
      <c r="O788" s="333"/>
      <c r="P788" s="158"/>
      <c r="Q788" s="338"/>
      <c r="R788" s="81">
        <f t="shared" si="111"/>
        <v>0</v>
      </c>
      <c r="S788" s="258"/>
      <c r="T788" s="333"/>
      <c r="U788" s="158"/>
      <c r="V788" s="333"/>
      <c r="W788" s="158"/>
      <c r="X788" s="333"/>
      <c r="Y788" s="158"/>
      <c r="Z788" s="1002"/>
      <c r="AA788" s="1003"/>
      <c r="AB788" s="1004" t="str">
        <f t="shared" si="104"/>
        <v/>
      </c>
      <c r="AC788" s="1082" t="str">
        <f t="shared" si="105"/>
        <v/>
      </c>
      <c r="AD788" s="1004"/>
      <c r="AE788" s="1004"/>
      <c r="AF788" s="1084" t="str">
        <f t="shared" si="106"/>
        <v/>
      </c>
      <c r="AG788" s="1082" t="str">
        <f t="shared" si="107"/>
        <v/>
      </c>
      <c r="AH788" s="1092"/>
      <c r="AI788" s="1087"/>
      <c r="AJ788" s="1084" t="str">
        <f t="shared" si="108"/>
        <v/>
      </c>
      <c r="AK788" s="1083" t="str">
        <f t="shared" si="109"/>
        <v/>
      </c>
      <c r="AL788" s="211">
        <v>4472100</v>
      </c>
      <c r="AM788" s="211">
        <v>4969000</v>
      </c>
      <c r="AN788" s="211"/>
      <c r="AO788" s="211"/>
      <c r="AP788" s="211"/>
      <c r="AQ788" s="211"/>
      <c r="AR788" s="211"/>
      <c r="AS788" s="211"/>
      <c r="AT788" s="211"/>
      <c r="AU788" s="211"/>
      <c r="AV788" s="211"/>
      <c r="AW788" s="211"/>
      <c r="AX788" s="211"/>
      <c r="AY788" s="211"/>
      <c r="AZ788" s="211"/>
      <c r="BA788" s="211"/>
      <c r="BB788" s="211"/>
      <c r="BC788" s="211"/>
      <c r="BD788" s="333">
        <v>43762</v>
      </c>
      <c r="BE788" s="82">
        <f t="shared" si="110"/>
        <v>9441100</v>
      </c>
    </row>
    <row r="789" spans="2:59" ht="61.2" hidden="1" x14ac:dyDescent="0.3">
      <c r="B789" s="2" t="str">
        <f>+'Base de Datos'!E789</f>
        <v>190286-0-2019</v>
      </c>
      <c r="C789" s="2" t="str">
        <f>+'Base de Datos'!F789</f>
        <v>FELIX ENRIQUE GONZALEZ CALDERON</v>
      </c>
      <c r="D789" s="2">
        <f>+'Base de Datos'!G789</f>
        <v>80796990</v>
      </c>
      <c r="E789" s="2" t="str">
        <f>+'Base de Datos'!H789</f>
        <v>Prestar servicios profesionales para apoyar a la Oficina de comunicaciones del Concejo de Bogotá D.C., en la conceptualización, elaboración, diseño y desarrollo de piezas graficas comunicativas, impresas y digitales que se requieran para la difusión de convocatorias, eventos, sesiones y demás actividades.</v>
      </c>
      <c r="F789" s="197">
        <f>+'Base de Datos'!I789</f>
        <v>33128000</v>
      </c>
      <c r="G789" s="196">
        <f>+'Base de Datos'!M789</f>
        <v>43620</v>
      </c>
      <c r="H789" s="196">
        <f>+'Base de Datos'!N789</f>
        <v>43830</v>
      </c>
      <c r="I789" s="196">
        <v>43864</v>
      </c>
      <c r="J789" s="158"/>
      <c r="K789" s="333"/>
      <c r="L789" s="211"/>
      <c r="M789" s="336"/>
      <c r="N789" s="158"/>
      <c r="O789" s="333"/>
      <c r="P789" s="158"/>
      <c r="Q789" s="338"/>
      <c r="R789" s="81">
        <f t="shared" si="111"/>
        <v>0</v>
      </c>
      <c r="S789" s="258"/>
      <c r="T789" s="333"/>
      <c r="U789" s="158"/>
      <c r="V789" s="333"/>
      <c r="W789" s="158"/>
      <c r="X789" s="333"/>
      <c r="Y789" s="158"/>
      <c r="Z789" s="1002"/>
      <c r="AA789" s="1003"/>
      <c r="AB789" s="1004" t="str">
        <f t="shared" si="104"/>
        <v/>
      </c>
      <c r="AC789" s="1082" t="str">
        <f t="shared" si="105"/>
        <v/>
      </c>
      <c r="AD789" s="1004"/>
      <c r="AE789" s="1004"/>
      <c r="AF789" s="1084" t="str">
        <f t="shared" si="106"/>
        <v/>
      </c>
      <c r="AG789" s="1082" t="str">
        <f t="shared" si="107"/>
        <v/>
      </c>
      <c r="AH789" s="1092"/>
      <c r="AI789" s="1087"/>
      <c r="AJ789" s="1084" t="str">
        <f t="shared" si="108"/>
        <v/>
      </c>
      <c r="AK789" s="1083" t="str">
        <f t="shared" si="109"/>
        <v/>
      </c>
      <c r="AL789" s="211">
        <v>3726900</v>
      </c>
      <c r="AM789" s="211">
        <v>4141000</v>
      </c>
      <c r="AN789" s="211">
        <v>4141000</v>
      </c>
      <c r="AO789" s="211">
        <v>4141000</v>
      </c>
      <c r="AP789" s="211">
        <v>4141000</v>
      </c>
      <c r="AQ789" s="211">
        <v>4141000</v>
      </c>
      <c r="AR789" s="211">
        <v>4141000</v>
      </c>
      <c r="AS789" s="211">
        <v>4141000</v>
      </c>
      <c r="AT789" s="211">
        <v>414100</v>
      </c>
      <c r="AU789" s="211"/>
      <c r="AV789" s="211"/>
      <c r="AW789" s="211"/>
      <c r="AX789" s="211"/>
      <c r="AY789" s="211"/>
      <c r="AZ789" s="211"/>
      <c r="BA789" s="211"/>
      <c r="BB789" s="211"/>
      <c r="BC789" s="211"/>
      <c r="BD789" s="333">
        <v>43881</v>
      </c>
      <c r="BE789" s="82">
        <f t="shared" si="110"/>
        <v>33128000</v>
      </c>
    </row>
    <row r="790" spans="2:59" ht="40.799999999999997" hidden="1" x14ac:dyDescent="0.3">
      <c r="B790" s="2" t="str">
        <f>+'Base de Datos'!E790</f>
        <v>190294-0-2019</v>
      </c>
      <c r="C790" s="2" t="str">
        <f>+'Base de Datos'!F790</f>
        <v>NIDIA GOMEZ CORTES</v>
      </c>
      <c r="D790" s="2">
        <f>+'Base de Datos'!G790</f>
        <v>39812526</v>
      </c>
      <c r="E790" s="2" t="str">
        <f>+'Base de Datos'!H790</f>
        <v>Prestar servicios profesionales para apoyar en las diferentes comisiones permanentes del Concejo de Bogotá en la respuesta a Derechos de Petición, solicitudes quejas, consultas y reclamos que reciba la corporación.</v>
      </c>
      <c r="F790" s="197">
        <f>+'Base de Datos'!I790</f>
        <v>32406000</v>
      </c>
      <c r="G790" s="196">
        <f>+'Base de Datos'!M790</f>
        <v>43622</v>
      </c>
      <c r="H790" s="196">
        <f>+'Base de Datos'!N790</f>
        <v>43804</v>
      </c>
      <c r="I790" s="196"/>
      <c r="J790" s="158">
        <v>5401000</v>
      </c>
      <c r="K790" s="333">
        <v>43812</v>
      </c>
      <c r="L790" s="211"/>
      <c r="M790" s="336"/>
      <c r="N790" s="158"/>
      <c r="O790" s="333"/>
      <c r="P790" s="158"/>
      <c r="Q790" s="338"/>
      <c r="R790" s="81">
        <f t="shared" si="111"/>
        <v>5401000</v>
      </c>
      <c r="S790" s="258" t="s">
        <v>381</v>
      </c>
      <c r="T790" s="333">
        <v>43843</v>
      </c>
      <c r="U790" s="158"/>
      <c r="V790" s="333"/>
      <c r="W790" s="158"/>
      <c r="X790" s="333"/>
      <c r="Y790" s="158"/>
      <c r="Z790" s="1002"/>
      <c r="AA790" s="258" t="s">
        <v>381</v>
      </c>
      <c r="AB790" s="1004">
        <f t="shared" si="104"/>
        <v>43843</v>
      </c>
      <c r="AC790" s="1082" t="str">
        <f t="shared" si="105"/>
        <v/>
      </c>
      <c r="AD790" s="1004"/>
      <c r="AE790" s="1004"/>
      <c r="AF790" s="1084" t="str">
        <f t="shared" si="106"/>
        <v/>
      </c>
      <c r="AG790" s="1082" t="str">
        <f t="shared" si="107"/>
        <v/>
      </c>
      <c r="AH790" s="1092"/>
      <c r="AI790" s="1087"/>
      <c r="AJ790" s="1084" t="str">
        <f t="shared" si="108"/>
        <v/>
      </c>
      <c r="AK790" s="1083" t="str">
        <f t="shared" si="109"/>
        <v/>
      </c>
      <c r="AL790" s="211">
        <v>4500833</v>
      </c>
      <c r="AM790" s="211">
        <v>5401000</v>
      </c>
      <c r="AN790" s="211">
        <v>5401000</v>
      </c>
      <c r="AO790" s="211">
        <v>5401000</v>
      </c>
      <c r="AP790" s="211">
        <v>5401000</v>
      </c>
      <c r="AQ790" s="211">
        <v>5401000</v>
      </c>
      <c r="AR790" s="211">
        <v>3780700</v>
      </c>
      <c r="AS790" s="211">
        <v>2340433</v>
      </c>
      <c r="AT790" s="211"/>
      <c r="AU790" s="211"/>
      <c r="AV790" s="211"/>
      <c r="AW790" s="211"/>
      <c r="AX790" s="211"/>
      <c r="AY790" s="211"/>
      <c r="AZ790" s="211"/>
      <c r="BA790" s="211"/>
      <c r="BB790" s="211"/>
      <c r="BC790" s="211"/>
      <c r="BD790" s="333">
        <v>43852</v>
      </c>
      <c r="BE790" s="82">
        <f t="shared" si="110"/>
        <v>37626966</v>
      </c>
    </row>
    <row r="791" spans="2:59" ht="20.399999999999999" hidden="1" x14ac:dyDescent="0.3">
      <c r="B791" s="2" t="str">
        <f>+'Base de Datos'!E791</f>
        <v>190285-0-2019</v>
      </c>
      <c r="C791" s="2" t="str">
        <f>+'Base de Datos'!F791</f>
        <v>COMERCIALIZADORA BENDITO SAS</v>
      </c>
      <c r="D791" s="2">
        <f>+'Base de Datos'!G791</f>
        <v>900697272</v>
      </c>
      <c r="E791" s="2" t="str">
        <f>+'Base de Datos'!H791</f>
        <v>Suministro y elementos deportivos para los funcionarios del Concejo de Bogotá.</v>
      </c>
      <c r="F791" s="197">
        <f>+'Base de Datos'!I791</f>
        <v>15219000</v>
      </c>
      <c r="G791" s="196">
        <f>+'Base de Datos'!M791</f>
        <v>43626</v>
      </c>
      <c r="H791" s="196">
        <f>+'Base de Datos'!N791</f>
        <v>43686</v>
      </c>
      <c r="I791" s="196"/>
      <c r="J791" s="158"/>
      <c r="K791" s="333"/>
      <c r="L791" s="211"/>
      <c r="M791" s="336"/>
      <c r="N791" s="158"/>
      <c r="O791" s="333"/>
      <c r="P791" s="158"/>
      <c r="Q791" s="338"/>
      <c r="R791" s="81">
        <f t="shared" si="111"/>
        <v>0</v>
      </c>
      <c r="S791" s="258" t="s">
        <v>1323</v>
      </c>
      <c r="T791" s="333">
        <v>43717</v>
      </c>
      <c r="U791" s="158"/>
      <c r="V791" s="333"/>
      <c r="W791" s="158"/>
      <c r="X791" s="333"/>
      <c r="Y791" s="158"/>
      <c r="Z791" s="1002"/>
      <c r="AA791" s="1003" t="s">
        <v>1323</v>
      </c>
      <c r="AB791" s="1004">
        <f t="shared" si="104"/>
        <v>43717</v>
      </c>
      <c r="AC791" s="1082" t="str">
        <f t="shared" si="105"/>
        <v/>
      </c>
      <c r="AD791" s="1004"/>
      <c r="AE791" s="1004"/>
      <c r="AF791" s="1084" t="str">
        <f t="shared" si="106"/>
        <v/>
      </c>
      <c r="AG791" s="1082" t="str">
        <f t="shared" si="107"/>
        <v/>
      </c>
      <c r="AH791" s="1092"/>
      <c r="AI791" s="1087"/>
      <c r="AJ791" s="1084" t="str">
        <f t="shared" si="108"/>
        <v/>
      </c>
      <c r="AK791" s="1083" t="str">
        <f t="shared" si="109"/>
        <v/>
      </c>
      <c r="AL791" s="211">
        <v>15219000</v>
      </c>
      <c r="AM791" s="211"/>
      <c r="AN791" s="211"/>
      <c r="AO791" s="211"/>
      <c r="AP791" s="211"/>
      <c r="AQ791" s="211"/>
      <c r="AR791" s="211"/>
      <c r="AS791" s="211"/>
      <c r="AT791" s="211"/>
      <c r="AU791" s="211"/>
      <c r="AV791" s="211"/>
      <c r="AW791" s="211"/>
      <c r="AX791" s="211"/>
      <c r="AY791" s="211"/>
      <c r="AZ791" s="211"/>
      <c r="BA791" s="211"/>
      <c r="BB791" s="211"/>
      <c r="BC791" s="211"/>
      <c r="BD791" s="333">
        <v>43761</v>
      </c>
      <c r="BE791" s="82">
        <f t="shared" si="110"/>
        <v>15219000</v>
      </c>
    </row>
    <row r="792" spans="2:59" ht="51" hidden="1" x14ac:dyDescent="0.3">
      <c r="B792" s="2" t="str">
        <f>+'Base de Datos'!E792</f>
        <v>190296-0-2019</v>
      </c>
      <c r="C792" s="2" t="str">
        <f>+'Base de Datos'!F792</f>
        <v>ARIOS COLOMBIA SAS</v>
      </c>
      <c r="D792" s="2">
        <f>+'Base de Datos'!G792</f>
        <v>900183528</v>
      </c>
      <c r="E792" s="2" t="str">
        <f>+'Base de Datos'!H792</f>
        <v>Prestar servicios integrales de aseo y cafeteria y servicio de fumigación para las instalaciones del Concejo de Bogotá D.C., de conformidad con lo establecido en el pliego de condiciones del proceso de selección abreviada de menor cuantía No. SDH-SAMC-4-2019 y la propuesta presentada por el contratista.</v>
      </c>
      <c r="F792" s="197">
        <f>+'Base de Datos'!I792</f>
        <v>428000000</v>
      </c>
      <c r="G792" s="196">
        <f>+'Base de Datos'!M792</f>
        <v>43633</v>
      </c>
      <c r="H792" s="196">
        <f>+'Base de Datos'!N792</f>
        <v>43937</v>
      </c>
      <c r="I792" s="196"/>
      <c r="J792" s="158">
        <v>10000000</v>
      </c>
      <c r="K792" s="333">
        <v>43937</v>
      </c>
      <c r="L792" s="211">
        <v>72054392</v>
      </c>
      <c r="M792" s="336">
        <v>43998</v>
      </c>
      <c r="N792" s="158"/>
      <c r="O792" s="333"/>
      <c r="P792" s="158"/>
      <c r="Q792" s="338"/>
      <c r="R792" s="81">
        <f t="shared" si="111"/>
        <v>82054392</v>
      </c>
      <c r="S792" s="258" t="s">
        <v>378</v>
      </c>
      <c r="T792" s="333">
        <v>43998</v>
      </c>
      <c r="U792" s="158" t="s">
        <v>378</v>
      </c>
      <c r="V792" s="333">
        <v>44059</v>
      </c>
      <c r="W792" s="158"/>
      <c r="X792" s="333"/>
      <c r="Y792" s="158"/>
      <c r="Z792" s="1002"/>
      <c r="AA792" s="1003" t="s">
        <v>380</v>
      </c>
      <c r="AB792" s="1004">
        <f t="shared" si="104"/>
        <v>44059</v>
      </c>
      <c r="AC792" s="1082" t="str">
        <f t="shared" si="105"/>
        <v/>
      </c>
      <c r="AD792" s="1004"/>
      <c r="AE792" s="1004"/>
      <c r="AF792" s="1084" t="str">
        <f t="shared" si="106"/>
        <v/>
      </c>
      <c r="AG792" s="1082" t="str">
        <f t="shared" si="107"/>
        <v/>
      </c>
      <c r="AH792" s="1092"/>
      <c r="AI792" s="1087"/>
      <c r="AJ792" s="1084" t="str">
        <f t="shared" si="108"/>
        <v/>
      </c>
      <c r="AK792" s="1083" t="str">
        <f t="shared" si="109"/>
        <v/>
      </c>
      <c r="AL792" s="211">
        <v>9862921</v>
      </c>
      <c r="AM792" s="211">
        <v>35927261</v>
      </c>
      <c r="AN792" s="211">
        <v>38636898</v>
      </c>
      <c r="AO792" s="211">
        <v>32591419</v>
      </c>
      <c r="AP792" s="211">
        <v>28932689</v>
      </c>
      <c r="AQ792" s="211">
        <v>33425818</v>
      </c>
      <c r="AR792" s="211">
        <v>34732275</v>
      </c>
      <c r="AS792" s="211">
        <v>27529418</v>
      </c>
      <c r="AT792" s="211">
        <v>28050603</v>
      </c>
      <c r="AU792" s="211">
        <v>19928655</v>
      </c>
      <c r="AV792" s="211">
        <v>1763483</v>
      </c>
      <c r="AW792" s="211">
        <v>30248554</v>
      </c>
      <c r="AX792" s="211">
        <v>2939399</v>
      </c>
      <c r="AY792" s="211">
        <v>19620125</v>
      </c>
      <c r="AZ792" s="211">
        <v>18761765</v>
      </c>
      <c r="BA792" s="211">
        <v>637898</v>
      </c>
      <c r="BB792" s="211">
        <v>5828801</v>
      </c>
      <c r="BC792" s="211">
        <f>28888236+911870+108513+8733433+1039278</f>
        <v>39681330</v>
      </c>
      <c r="BD792" s="333">
        <v>44139</v>
      </c>
      <c r="BE792" s="82">
        <f>SUM(AL792:BC792)</f>
        <v>409099312</v>
      </c>
    </row>
    <row r="793" spans="2:59" ht="40.799999999999997" hidden="1" x14ac:dyDescent="0.3">
      <c r="B793" s="2" t="str">
        <f>+'Base de Datos'!E793</f>
        <v>190298-0-2019</v>
      </c>
      <c r="C793" s="2" t="str">
        <f>+'Base de Datos'!F793</f>
        <v>CAJA DE COMPENSACION FAMILIAR COMPENSAR</v>
      </c>
      <c r="D793" s="2" t="str">
        <f>+'Base de Datos'!G793</f>
        <v>860066942-7</v>
      </c>
      <c r="E793" s="2" t="str">
        <f>+'Base de Datos'!H793</f>
        <v>Prestar servicios de alquiler de escenarios como salones, auditorios y espacios abiertos, apoyo logístico y servicio de catering para el desarrollo de eventos que requiera el Concejo de Bogotá.</v>
      </c>
      <c r="F793" s="197">
        <f>+'Base de Datos'!I793</f>
        <v>119900000</v>
      </c>
      <c r="G793" s="196">
        <f>+'Base de Datos'!M793</f>
        <v>43635</v>
      </c>
      <c r="H793" s="196">
        <f>+'Base de Datos'!N793</f>
        <v>43923</v>
      </c>
      <c r="I793" s="196"/>
      <c r="J793" s="158"/>
      <c r="K793" s="333"/>
      <c r="L793" s="211"/>
      <c r="M793" s="336"/>
      <c r="N793" s="158"/>
      <c r="O793" s="333"/>
      <c r="P793" s="158"/>
      <c r="Q793" s="338"/>
      <c r="R793" s="81">
        <f t="shared" si="111"/>
        <v>0</v>
      </c>
      <c r="S793" s="820" t="s">
        <v>1831</v>
      </c>
      <c r="T793" s="333">
        <v>44001</v>
      </c>
      <c r="U793" s="158" t="s">
        <v>379</v>
      </c>
      <c r="V793" s="333">
        <v>44093</v>
      </c>
      <c r="W793" s="157" t="s">
        <v>997</v>
      </c>
      <c r="X793" s="333">
        <v>44175</v>
      </c>
      <c r="Y793" s="158" t="s">
        <v>4429</v>
      </c>
      <c r="Z793" s="1002">
        <v>44183</v>
      </c>
      <c r="AA793" s="820" t="s">
        <v>6545</v>
      </c>
      <c r="AB793" s="1004">
        <f t="shared" si="104"/>
        <v>44183</v>
      </c>
      <c r="AC793" s="1082" t="str">
        <f t="shared" si="105"/>
        <v/>
      </c>
      <c r="AD793" s="1004"/>
      <c r="AE793" s="1004"/>
      <c r="AF793" s="1084" t="str">
        <f t="shared" si="106"/>
        <v/>
      </c>
      <c r="AG793" s="1082" t="str">
        <f t="shared" si="107"/>
        <v/>
      </c>
      <c r="AH793" s="1092"/>
      <c r="AI793" s="1087"/>
      <c r="AJ793" s="1084" t="str">
        <f t="shared" si="108"/>
        <v/>
      </c>
      <c r="AK793" s="1083" t="str">
        <f t="shared" si="109"/>
        <v/>
      </c>
      <c r="AL793" s="211">
        <v>2437287</v>
      </c>
      <c r="AM793" s="211">
        <v>6072716</v>
      </c>
      <c r="AN793" s="211">
        <v>4376543</v>
      </c>
      <c r="AO793" s="211"/>
      <c r="AP793" s="211"/>
      <c r="AQ793" s="211"/>
      <c r="AR793" s="211"/>
      <c r="AS793" s="211"/>
      <c r="AT793" s="211"/>
      <c r="AU793" s="211"/>
      <c r="AV793" s="211"/>
      <c r="AW793" s="211"/>
      <c r="AX793" s="211"/>
      <c r="AY793" s="211"/>
      <c r="AZ793" s="211"/>
      <c r="BA793" s="211"/>
      <c r="BB793" s="211"/>
      <c r="BC793" s="211">
        <f>5158265+3173929+8283854+15069129+16985994+7667341+7663261+960012+453699+4080772</f>
        <v>69496256</v>
      </c>
      <c r="BD793" s="333">
        <v>44182</v>
      </c>
      <c r="BE793" s="82">
        <f t="shared" si="110"/>
        <v>82382802</v>
      </c>
    </row>
    <row r="794" spans="2:59" ht="40.799999999999997" hidden="1" x14ac:dyDescent="0.3">
      <c r="B794" s="2" t="str">
        <f>+'Base de Datos'!E794</f>
        <v>190308-0-2019</v>
      </c>
      <c r="C794" s="2" t="str">
        <f>+'Base de Datos'!F794</f>
        <v>DORA QUIROGA MENDOZA</v>
      </c>
      <c r="D794" s="2">
        <f>+'Base de Datos'!G794</f>
        <v>51673027</v>
      </c>
      <c r="E794" s="2" t="str">
        <f>+'Base de Datos'!H794</f>
        <v>Prestar servicios para apoyar la atención, recepción, orientación y direccionamiento de los ciudadanos y visitantes, para el fortalecimiento de la Oficina de atención al ciudadano del Concejo de Bogotá D.C.</v>
      </c>
      <c r="F794" s="197">
        <f>+'Base de Datos'!I794</f>
        <v>8239957</v>
      </c>
      <c r="G794" s="196">
        <f>+'Base de Datos'!M794</f>
        <v>43636</v>
      </c>
      <c r="H794" s="196">
        <f>+'Base de Datos'!N794</f>
        <v>43817</v>
      </c>
      <c r="I794" s="196"/>
      <c r="J794" s="158">
        <v>2762000</v>
      </c>
      <c r="K794" s="333">
        <v>43817</v>
      </c>
      <c r="L794" s="211"/>
      <c r="M794" s="336"/>
      <c r="N794" s="158"/>
      <c r="O794" s="333"/>
      <c r="P794" s="158"/>
      <c r="Q794" s="338"/>
      <c r="R794" s="81">
        <f t="shared" si="111"/>
        <v>2762000</v>
      </c>
      <c r="S794" s="258" t="s">
        <v>378</v>
      </c>
      <c r="T794" s="333">
        <v>43879</v>
      </c>
      <c r="U794" s="158"/>
      <c r="V794" s="333"/>
      <c r="W794" s="158"/>
      <c r="X794" s="333"/>
      <c r="Y794" s="158"/>
      <c r="Z794" s="1002"/>
      <c r="AA794" s="258" t="s">
        <v>378</v>
      </c>
      <c r="AB794" s="1004">
        <f t="shared" si="104"/>
        <v>43879</v>
      </c>
      <c r="AC794" s="1082" t="str">
        <f t="shared" si="105"/>
        <v/>
      </c>
      <c r="AD794" s="1004"/>
      <c r="AE794" s="1004"/>
      <c r="AF794" s="1084" t="str">
        <f t="shared" si="106"/>
        <v/>
      </c>
      <c r="AG794" s="1082" t="str">
        <f t="shared" si="107"/>
        <v/>
      </c>
      <c r="AH794" s="1092"/>
      <c r="AI794" s="1087"/>
      <c r="AJ794" s="1084" t="str">
        <f t="shared" si="108"/>
        <v/>
      </c>
      <c r="AK794" s="1083" t="str">
        <f t="shared" si="109"/>
        <v/>
      </c>
      <c r="AL794" s="211">
        <v>506367</v>
      </c>
      <c r="AM794" s="211">
        <v>1381000</v>
      </c>
      <c r="AN794" s="211">
        <v>1381000</v>
      </c>
      <c r="AO794" s="211">
        <v>1381000</v>
      </c>
      <c r="AP794" s="211">
        <v>1381000</v>
      </c>
      <c r="AQ794" s="211">
        <v>1381000</v>
      </c>
      <c r="AR794" s="211">
        <v>1381000</v>
      </c>
      <c r="AS794" s="211">
        <v>1381000</v>
      </c>
      <c r="AT794" s="211">
        <v>828590</v>
      </c>
      <c r="AU794" s="211"/>
      <c r="AV794" s="211"/>
      <c r="AW794" s="211"/>
      <c r="AX794" s="211"/>
      <c r="AY794" s="211"/>
      <c r="AZ794" s="211"/>
      <c r="BA794" s="211"/>
      <c r="BB794" s="211"/>
      <c r="BC794" s="211"/>
      <c r="BD794" s="333">
        <v>43924</v>
      </c>
      <c r="BE794" s="82">
        <f t="shared" si="110"/>
        <v>11001957</v>
      </c>
    </row>
    <row r="795" spans="2:59" ht="51" hidden="1" x14ac:dyDescent="0.3">
      <c r="B795" s="2" t="str">
        <f>+'Base de Datos'!E795</f>
        <v>190309-0-2019</v>
      </c>
      <c r="C795" s="2" t="str">
        <f>+'Base de Datos'!F795</f>
        <v>CAROLINA ZARATE ARCOS</v>
      </c>
      <c r="D795" s="2">
        <f>+'Base de Datos'!G795</f>
        <v>51157724</v>
      </c>
      <c r="E795" s="2" t="str">
        <f>+'Base de Datos'!H795</f>
        <v>Prestar servicios profesionales para apoyar la oficina asesora de planeación del Concejo de Bogotá en el seguimiento del plan anticorrupción y atención al ciudadano en todos sus componentes, y la construcción e implementación de las herramientas al modelo integrado de planeación y gestión.</v>
      </c>
      <c r="F795" s="197">
        <f>+'Base de Datos'!I795</f>
        <v>33054000</v>
      </c>
      <c r="G795" s="196">
        <f>+'Base de Datos'!M795</f>
        <v>43636</v>
      </c>
      <c r="H795" s="196">
        <f>+'Base de Datos'!N795</f>
        <v>43818</v>
      </c>
      <c r="I795" s="196"/>
      <c r="J795" s="158">
        <v>11018000</v>
      </c>
      <c r="K795" s="333">
        <v>43817</v>
      </c>
      <c r="L795" s="211"/>
      <c r="M795" s="336"/>
      <c r="N795" s="158"/>
      <c r="O795" s="333"/>
      <c r="P795" s="158"/>
      <c r="Q795" s="338"/>
      <c r="R795" s="81">
        <f t="shared" si="111"/>
        <v>11018000</v>
      </c>
      <c r="S795" s="258" t="s">
        <v>378</v>
      </c>
      <c r="T795" s="333">
        <v>43880</v>
      </c>
      <c r="U795" s="158"/>
      <c r="V795" s="333"/>
      <c r="W795" s="158"/>
      <c r="X795" s="333"/>
      <c r="Y795" s="158"/>
      <c r="Z795" s="1002"/>
      <c r="AA795" s="258" t="s">
        <v>378</v>
      </c>
      <c r="AB795" s="1004">
        <f t="shared" si="104"/>
        <v>43880</v>
      </c>
      <c r="AC795" s="1082" t="str">
        <f t="shared" si="105"/>
        <v/>
      </c>
      <c r="AD795" s="1004"/>
      <c r="AE795" s="1004"/>
      <c r="AF795" s="1084" t="str">
        <f t="shared" si="106"/>
        <v/>
      </c>
      <c r="AG795" s="1082" t="str">
        <f t="shared" si="107"/>
        <v/>
      </c>
      <c r="AH795" s="1092"/>
      <c r="AI795" s="1087"/>
      <c r="AJ795" s="1084" t="str">
        <f t="shared" si="108"/>
        <v/>
      </c>
      <c r="AK795" s="1083" t="str">
        <f t="shared" si="109"/>
        <v/>
      </c>
      <c r="AL795" s="211">
        <v>2019967</v>
      </c>
      <c r="AM795" s="211">
        <v>5509000</v>
      </c>
      <c r="AN795" s="211">
        <v>5509000</v>
      </c>
      <c r="AO795" s="211">
        <v>5509000</v>
      </c>
      <c r="AP795" s="211">
        <v>5509000</v>
      </c>
      <c r="AQ795" s="211">
        <v>5509000</v>
      </c>
      <c r="AR795" s="211">
        <v>5509000</v>
      </c>
      <c r="AS795" s="211">
        <v>5509000</v>
      </c>
      <c r="AT795" s="211">
        <v>3489033</v>
      </c>
      <c r="AU795" s="211"/>
      <c r="AV795" s="211"/>
      <c r="AW795" s="211"/>
      <c r="AX795" s="211"/>
      <c r="AY795" s="211"/>
      <c r="AZ795" s="211"/>
      <c r="BA795" s="211"/>
      <c r="BB795" s="211"/>
      <c r="BC795" s="211"/>
      <c r="BD795" s="333">
        <v>43942</v>
      </c>
      <c r="BE795" s="82">
        <f t="shared" si="110"/>
        <v>44072000</v>
      </c>
      <c r="BG795" s="1009"/>
    </row>
    <row r="796" spans="2:59" ht="40.799999999999997" hidden="1" x14ac:dyDescent="0.3">
      <c r="B796" s="2" t="str">
        <f>+'Base de Datos'!E796</f>
        <v>190306-0-2019</v>
      </c>
      <c r="C796" s="2" t="str">
        <f>+'Base de Datos'!F796</f>
        <v>CLAUDIA MARCELA HOLGUIN HERRERA</v>
      </c>
      <c r="D796" s="2">
        <f>+'Base de Datos'!G796</f>
        <v>1097638347</v>
      </c>
      <c r="E796" s="2" t="str">
        <f>+'Base de Datos'!H796</f>
        <v>Prestar servicios de apoyo a la Dirección Administrativa en la gestión de las actividades contenidas en el plan de bienestar e incentivos y plan de capacitación del Concejo de Bogotá D.C.</v>
      </c>
      <c r="F796" s="197">
        <f>+'Base de Datos'!I796</f>
        <v>10974000</v>
      </c>
      <c r="G796" s="196">
        <f>+'Base de Datos'!M796</f>
        <v>43634</v>
      </c>
      <c r="H796" s="196">
        <f>+'Base de Datos'!N796</f>
        <v>43816</v>
      </c>
      <c r="I796" s="196"/>
      <c r="J796" s="158">
        <v>3658000</v>
      </c>
      <c r="K796" s="333">
        <v>43816</v>
      </c>
      <c r="L796" s="211"/>
      <c r="M796" s="336"/>
      <c r="N796" s="158"/>
      <c r="O796" s="333"/>
      <c r="P796" s="158"/>
      <c r="Q796" s="338"/>
      <c r="R796" s="81">
        <f t="shared" si="111"/>
        <v>3658000</v>
      </c>
      <c r="S796" s="258" t="s">
        <v>378</v>
      </c>
      <c r="T796" s="333">
        <v>43878</v>
      </c>
      <c r="U796" s="158"/>
      <c r="V796" s="333"/>
      <c r="W796" s="158"/>
      <c r="X796" s="333"/>
      <c r="Y796" s="158"/>
      <c r="Z796" s="1002"/>
      <c r="AA796" s="258" t="s">
        <v>378</v>
      </c>
      <c r="AB796" s="1004">
        <f t="shared" si="104"/>
        <v>43878</v>
      </c>
      <c r="AC796" s="1082" t="str">
        <f t="shared" si="105"/>
        <v/>
      </c>
      <c r="AD796" s="1004"/>
      <c r="AE796" s="1004"/>
      <c r="AF796" s="1084" t="str">
        <f t="shared" si="106"/>
        <v/>
      </c>
      <c r="AG796" s="1082" t="str">
        <f t="shared" si="107"/>
        <v/>
      </c>
      <c r="AH796" s="1092"/>
      <c r="AI796" s="1087"/>
      <c r="AJ796" s="1084" t="str">
        <f t="shared" si="108"/>
        <v/>
      </c>
      <c r="AK796" s="1083" t="str">
        <f t="shared" si="109"/>
        <v/>
      </c>
      <c r="AL796" s="211">
        <v>792567</v>
      </c>
      <c r="AM796" s="211">
        <v>1829000</v>
      </c>
      <c r="AN796" s="211">
        <v>1829000</v>
      </c>
      <c r="AO796" s="211">
        <v>1829000</v>
      </c>
      <c r="AP796" s="211">
        <v>1829000</v>
      </c>
      <c r="AQ796" s="211">
        <v>1829000</v>
      </c>
      <c r="AR796" s="211">
        <v>1829000</v>
      </c>
      <c r="AS796" s="211">
        <v>1829000</v>
      </c>
      <c r="AT796" s="211">
        <v>1036433</v>
      </c>
      <c r="AU796" s="211"/>
      <c r="AV796" s="211"/>
      <c r="AW796" s="211"/>
      <c r="AX796" s="211"/>
      <c r="AY796" s="211"/>
      <c r="AZ796" s="211"/>
      <c r="BA796" s="211"/>
      <c r="BB796" s="211"/>
      <c r="BC796" s="211"/>
      <c r="BD796" s="333">
        <v>43888</v>
      </c>
      <c r="BE796" s="82">
        <f t="shared" si="110"/>
        <v>14632000</v>
      </c>
    </row>
    <row r="797" spans="2:59" ht="51" hidden="1" x14ac:dyDescent="0.3">
      <c r="B797" s="2" t="str">
        <f>+'Base de Datos'!E797</f>
        <v>190305-0-2019</v>
      </c>
      <c r="C797" s="2" t="str">
        <f>+'Base de Datos'!F797</f>
        <v>HERNANDO REYES ARANGO</v>
      </c>
      <c r="D797" s="2">
        <f>+'Base de Datos'!G797</f>
        <v>79719529</v>
      </c>
      <c r="E797" s="2" t="str">
        <f>+'Base de Datos'!H797</f>
        <v>Prestar servicios profesionales para apoyar la supervisión técnica de los temas de infraestructura física asociados al desarrollo del Convenio Interadministrativo suscrito entre la Agencia Inmobiliaria y la Secretaria Distrital de Hacienda para el edificio nuevo del Concejo de Bogotá.</v>
      </c>
      <c r="F797" s="197">
        <f>+'Base de Datos'!I797</f>
        <v>37807000</v>
      </c>
      <c r="G797" s="196">
        <f>+'Base de Datos'!M797</f>
        <v>43634</v>
      </c>
      <c r="H797" s="196">
        <f>+'Base de Datos'!N797</f>
        <v>43830</v>
      </c>
      <c r="I797" s="196">
        <v>43848</v>
      </c>
      <c r="J797" s="158"/>
      <c r="K797" s="333"/>
      <c r="L797" s="211"/>
      <c r="M797" s="336"/>
      <c r="N797" s="158"/>
      <c r="O797" s="333"/>
      <c r="P797" s="158"/>
      <c r="Q797" s="338"/>
      <c r="R797" s="81">
        <f t="shared" si="111"/>
        <v>0</v>
      </c>
      <c r="S797" s="258"/>
      <c r="T797" s="333"/>
      <c r="U797" s="158"/>
      <c r="V797" s="333"/>
      <c r="W797" s="158"/>
      <c r="X797" s="333"/>
      <c r="Y797" s="158"/>
      <c r="Z797" s="1002"/>
      <c r="AA797" s="1003"/>
      <c r="AB797" s="1004" t="str">
        <f t="shared" si="104"/>
        <v/>
      </c>
      <c r="AC797" s="1082" t="str">
        <f t="shared" si="105"/>
        <v/>
      </c>
      <c r="AD797" s="1004"/>
      <c r="AE797" s="1004"/>
      <c r="AF797" s="1084" t="str">
        <f t="shared" si="106"/>
        <v/>
      </c>
      <c r="AG797" s="1082" t="str">
        <f t="shared" si="107"/>
        <v/>
      </c>
      <c r="AH797" s="1092"/>
      <c r="AI797" s="1087"/>
      <c r="AJ797" s="1084" t="str">
        <f t="shared" si="108"/>
        <v/>
      </c>
      <c r="AK797" s="1083" t="str">
        <f t="shared" si="109"/>
        <v/>
      </c>
      <c r="AL797" s="211">
        <v>2340433</v>
      </c>
      <c r="AM797" s="211">
        <v>5401000</v>
      </c>
      <c r="AN797" s="211">
        <v>5401000</v>
      </c>
      <c r="AO797" s="211">
        <v>5401000</v>
      </c>
      <c r="AP797" s="211">
        <v>5401000</v>
      </c>
      <c r="AQ797" s="211">
        <v>5401000</v>
      </c>
      <c r="AR797" s="211">
        <v>5401000</v>
      </c>
      <c r="AS797" s="211">
        <v>3060567</v>
      </c>
      <c r="AT797" s="211"/>
      <c r="AU797" s="211"/>
      <c r="AV797" s="211"/>
      <c r="AW797" s="211"/>
      <c r="AX797" s="211"/>
      <c r="AY797" s="211"/>
      <c r="AZ797" s="211"/>
      <c r="BA797" s="211"/>
      <c r="BB797" s="211"/>
      <c r="BC797" s="211"/>
      <c r="BD797" s="333">
        <v>43944</v>
      </c>
      <c r="BE797" s="82">
        <f t="shared" si="110"/>
        <v>37807000</v>
      </c>
    </row>
    <row r="798" spans="2:59" ht="20.399999999999999" hidden="1" x14ac:dyDescent="0.3">
      <c r="B798" s="2" t="str">
        <f>+'Base de Datos'!E798</f>
        <v>190300-0-2019</v>
      </c>
      <c r="C798" s="2" t="str">
        <f>+'Base de Datos'!F798</f>
        <v>INGELECTRO SAS</v>
      </c>
      <c r="D798" s="2" t="str">
        <f>+'Base de Datos'!G798</f>
        <v>830507741-8</v>
      </c>
      <c r="E798" s="2" t="str">
        <f>+'Base de Datos'!H798</f>
        <v>Proveer medios magnéticos para copias de respaldo para el Concejo de Bogotá.</v>
      </c>
      <c r="F798" s="197">
        <f>+'Base de Datos'!I798</f>
        <v>8210580</v>
      </c>
      <c r="G798" s="196">
        <f>+'Base de Datos'!M798</f>
        <v>43637</v>
      </c>
      <c r="H798" s="196">
        <f>+'Base de Datos'!N798</f>
        <v>43697</v>
      </c>
      <c r="I798" s="196"/>
      <c r="J798" s="158"/>
      <c r="K798" s="333"/>
      <c r="L798" s="211"/>
      <c r="M798" s="336"/>
      <c r="N798" s="158"/>
      <c r="O798" s="333"/>
      <c r="P798" s="158"/>
      <c r="Q798" s="338"/>
      <c r="R798" s="81">
        <f t="shared" si="111"/>
        <v>0</v>
      </c>
      <c r="S798" s="258"/>
      <c r="T798" s="333"/>
      <c r="U798" s="158"/>
      <c r="V798" s="333"/>
      <c r="W798" s="158"/>
      <c r="X798" s="333"/>
      <c r="Y798" s="158"/>
      <c r="Z798" s="1002"/>
      <c r="AA798" s="1003"/>
      <c r="AB798" s="1004" t="str">
        <f t="shared" si="104"/>
        <v/>
      </c>
      <c r="AC798" s="1082" t="str">
        <f t="shared" si="105"/>
        <v/>
      </c>
      <c r="AD798" s="1004"/>
      <c r="AE798" s="1004"/>
      <c r="AF798" s="1084" t="str">
        <f t="shared" si="106"/>
        <v/>
      </c>
      <c r="AG798" s="1082" t="str">
        <f t="shared" si="107"/>
        <v/>
      </c>
      <c r="AH798" s="1092"/>
      <c r="AI798" s="1087"/>
      <c r="AJ798" s="1084" t="str">
        <f t="shared" si="108"/>
        <v/>
      </c>
      <c r="AK798" s="1083" t="str">
        <f t="shared" si="109"/>
        <v/>
      </c>
      <c r="AL798" s="211">
        <v>8210580</v>
      </c>
      <c r="AM798" s="211"/>
      <c r="AN798" s="211"/>
      <c r="AO798" s="211"/>
      <c r="AP798" s="211"/>
      <c r="AQ798" s="211"/>
      <c r="AR798" s="211"/>
      <c r="AS798" s="211"/>
      <c r="AT798" s="211"/>
      <c r="AU798" s="211"/>
      <c r="AV798" s="211"/>
      <c r="AW798" s="211"/>
      <c r="AX798" s="211"/>
      <c r="AY798" s="211"/>
      <c r="AZ798" s="211"/>
      <c r="BA798" s="211"/>
      <c r="BB798" s="211"/>
      <c r="BC798" s="211"/>
      <c r="BD798" s="333">
        <v>43755</v>
      </c>
      <c r="BE798" s="82">
        <f t="shared" si="110"/>
        <v>8210580</v>
      </c>
    </row>
    <row r="799" spans="2:59" ht="40.799999999999997" hidden="1" x14ac:dyDescent="0.3">
      <c r="B799" s="2" t="str">
        <f>+'Base de Datos'!E799</f>
        <v>190312-0-2019</v>
      </c>
      <c r="C799" s="2" t="str">
        <f>+'Base de Datos'!F799</f>
        <v>JHON ELKIN GARIBELLO CORREA</v>
      </c>
      <c r="D799" s="2">
        <f>+'Base de Datos'!G799</f>
        <v>79573092</v>
      </c>
      <c r="E799" s="2" t="str">
        <f>+'Base de Datos'!H799</f>
        <v>Prestar servicios para apoyar la atención, recepción, orientación y direccionamiento de los ciudadanos y visitantes, para el fortalecimiento de la Oficina de atención al ciudadano del Concejo de Bogotá D.C.</v>
      </c>
      <c r="F799" s="197">
        <f>+'Base de Datos'!I799</f>
        <v>8239957</v>
      </c>
      <c r="G799" s="196">
        <f>+'Base de Datos'!M799</f>
        <v>43637</v>
      </c>
      <c r="H799" s="196">
        <f>+'Base de Datos'!N799</f>
        <v>43818</v>
      </c>
      <c r="I799" s="196"/>
      <c r="J799" s="158">
        <v>1381000</v>
      </c>
      <c r="K799" s="333">
        <v>43818</v>
      </c>
      <c r="L799" s="211"/>
      <c r="M799" s="336"/>
      <c r="N799" s="158"/>
      <c r="O799" s="333"/>
      <c r="P799" s="158"/>
      <c r="Q799" s="338"/>
      <c r="R799" s="81">
        <f t="shared" si="111"/>
        <v>1381000</v>
      </c>
      <c r="S799" s="258" t="s">
        <v>381</v>
      </c>
      <c r="T799" s="333">
        <v>43849</v>
      </c>
      <c r="U799" s="158"/>
      <c r="V799" s="333"/>
      <c r="W799" s="158"/>
      <c r="X799" s="333"/>
      <c r="Y799" s="158"/>
      <c r="Z799" s="1002"/>
      <c r="AA799" s="258" t="s">
        <v>381</v>
      </c>
      <c r="AB799" s="1004">
        <f t="shared" si="104"/>
        <v>43849</v>
      </c>
      <c r="AC799" s="1082" t="str">
        <f t="shared" si="105"/>
        <v/>
      </c>
      <c r="AD799" s="1004"/>
      <c r="AE799" s="1004"/>
      <c r="AF799" s="1084" t="str">
        <f t="shared" si="106"/>
        <v/>
      </c>
      <c r="AG799" s="1082" t="str">
        <f t="shared" si="107"/>
        <v/>
      </c>
      <c r="AH799" s="1092"/>
      <c r="AI799" s="1087"/>
      <c r="AJ799" s="1084" t="str">
        <f t="shared" si="108"/>
        <v/>
      </c>
      <c r="AK799" s="1083" t="str">
        <f t="shared" si="109"/>
        <v/>
      </c>
      <c r="AL799" s="211">
        <v>460333</v>
      </c>
      <c r="AM799" s="211">
        <v>1381000</v>
      </c>
      <c r="AN799" s="211">
        <v>1381000</v>
      </c>
      <c r="AO799" s="211">
        <v>1381000</v>
      </c>
      <c r="AP799" s="211">
        <v>1381000</v>
      </c>
      <c r="AQ799" s="211">
        <v>1381000</v>
      </c>
      <c r="AR799" s="211">
        <v>1381000</v>
      </c>
      <c r="AS799" s="211">
        <v>874624</v>
      </c>
      <c r="AT799" s="211"/>
      <c r="AU799" s="211"/>
      <c r="AV799" s="211"/>
      <c r="AW799" s="211"/>
      <c r="AX799" s="211"/>
      <c r="AY799" s="211"/>
      <c r="AZ799" s="211"/>
      <c r="BA799" s="211"/>
      <c r="BB799" s="211"/>
      <c r="BC799" s="211"/>
      <c r="BD799" s="333">
        <v>43885</v>
      </c>
      <c r="BE799" s="82">
        <f t="shared" si="110"/>
        <v>9620957</v>
      </c>
    </row>
    <row r="800" spans="2:59" ht="30.6" hidden="1" x14ac:dyDescent="0.3">
      <c r="B800" s="2" t="str">
        <f>+'Base de Datos'!E800</f>
        <v>190303-0-2019</v>
      </c>
      <c r="C800" s="2" t="str">
        <f>+'Base de Datos'!F800</f>
        <v>EVALUA SALUD IPS SAS</v>
      </c>
      <c r="D800" s="2">
        <f>+'Base de Datos'!G800</f>
        <v>900380150</v>
      </c>
      <c r="E800" s="2" t="str">
        <f>+'Base de Datos'!H800</f>
        <v>Realizar exámenes médicos ocupacionales y complementarios igualmente la aplicación de vacunas para los funcionarios del Concejo de Bogotá.</v>
      </c>
      <c r="F800" s="197">
        <f>+'Base de Datos'!I800</f>
        <v>89573700</v>
      </c>
      <c r="G800" s="196">
        <f>+'Base de Datos'!M800</f>
        <v>43641</v>
      </c>
      <c r="H800" s="196">
        <f>+'Base de Datos'!N800</f>
        <v>43914</v>
      </c>
      <c r="I800" s="196"/>
      <c r="J800" s="158"/>
      <c r="K800" s="333"/>
      <c r="L800" s="211"/>
      <c r="M800" s="336"/>
      <c r="N800" s="158"/>
      <c r="O800" s="333"/>
      <c r="P800" s="158"/>
      <c r="Q800" s="338"/>
      <c r="R800" s="81">
        <f t="shared" si="111"/>
        <v>0</v>
      </c>
      <c r="S800" s="258" t="s">
        <v>379</v>
      </c>
      <c r="T800" s="333">
        <v>44006</v>
      </c>
      <c r="U800" s="158" t="s">
        <v>382</v>
      </c>
      <c r="V800" s="333">
        <v>44189</v>
      </c>
      <c r="W800" s="158"/>
      <c r="X800" s="333"/>
      <c r="Y800" s="158"/>
      <c r="Z800" s="1002"/>
      <c r="AA800" s="1003" t="s">
        <v>1320</v>
      </c>
      <c r="AB800" s="1004">
        <f t="shared" si="104"/>
        <v>44189</v>
      </c>
      <c r="AC800" s="1082" t="str">
        <f t="shared" si="105"/>
        <v/>
      </c>
      <c r="AD800" s="1004"/>
      <c r="AE800" s="1004"/>
      <c r="AF800" s="1084" t="str">
        <f t="shared" si="106"/>
        <v/>
      </c>
      <c r="AG800" s="1082" t="str">
        <f t="shared" si="107"/>
        <v/>
      </c>
      <c r="AH800" s="1092"/>
      <c r="AI800" s="1087"/>
      <c r="AJ800" s="1084" t="str">
        <f t="shared" si="108"/>
        <v/>
      </c>
      <c r="AK800" s="1083" t="str">
        <f t="shared" si="109"/>
        <v/>
      </c>
      <c r="AL800" s="211">
        <v>813500</v>
      </c>
      <c r="AM800" s="211">
        <v>777300</v>
      </c>
      <c r="AN800" s="211">
        <v>5502300</v>
      </c>
      <c r="AO800" s="211">
        <v>2126900</v>
      </c>
      <c r="AP800" s="211">
        <v>1634400</v>
      </c>
      <c r="AQ800" s="211">
        <v>2638200</v>
      </c>
      <c r="AR800" s="211">
        <v>6783600</v>
      </c>
      <c r="AS800" s="211">
        <v>18326600</v>
      </c>
      <c r="AT800" s="211">
        <v>1993100</v>
      </c>
      <c r="AU800" s="211">
        <v>2114200</v>
      </c>
      <c r="AV800" s="211">
        <v>242300</v>
      </c>
      <c r="AW800" s="211">
        <v>305100</v>
      </c>
      <c r="AX800" s="211">
        <v>430900</v>
      </c>
      <c r="AY800" s="211">
        <v>658800</v>
      </c>
      <c r="AZ800" s="211">
        <v>469600</v>
      </c>
      <c r="BA800" s="211">
        <v>3971800</v>
      </c>
      <c r="BB800" s="211">
        <v>1128500</v>
      </c>
      <c r="BC800" s="211">
        <v>7068400</v>
      </c>
      <c r="BD800" s="333">
        <v>44184</v>
      </c>
      <c r="BE800" s="82">
        <f t="shared" si="110"/>
        <v>56985500</v>
      </c>
    </row>
    <row r="801" spans="2:57" ht="40.799999999999997" hidden="1" x14ac:dyDescent="0.3">
      <c r="B801" s="2" t="str">
        <f>+'Base de Datos'!E801</f>
        <v>190310-0-2019</v>
      </c>
      <c r="C801" s="2" t="str">
        <f>+'Base de Datos'!F801</f>
        <v>LUZ DARY BARON RINCON</v>
      </c>
      <c r="D801" s="2">
        <f>+'Base de Datos'!G801</f>
        <v>52538684</v>
      </c>
      <c r="E801" s="2" t="str">
        <f>+'Base de Datos'!H801</f>
        <v xml:space="preserve">Prestar servicios profesionales para apoyar la dirección Financiera del Concejo de Bogota D.C., en el área de nómina en lo referente sistema general de seguridad social en salud y riesgos profesionales  </v>
      </c>
      <c r="F801" s="197">
        <f>+'Base de Datos'!I801</f>
        <v>18222000</v>
      </c>
      <c r="G801" s="196">
        <f>+'Base de Datos'!M801</f>
        <v>43637</v>
      </c>
      <c r="H801" s="196">
        <f>+'Base de Datos'!N801</f>
        <v>43819</v>
      </c>
      <c r="I801" s="196"/>
      <c r="J801" s="158">
        <v>3037000</v>
      </c>
      <c r="K801" s="333">
        <v>43816</v>
      </c>
      <c r="L801" s="211"/>
      <c r="M801" s="336"/>
      <c r="N801" s="158"/>
      <c r="O801" s="333"/>
      <c r="P801" s="158"/>
      <c r="Q801" s="338"/>
      <c r="R801" s="81">
        <f t="shared" si="111"/>
        <v>3037000</v>
      </c>
      <c r="S801" s="258" t="s">
        <v>381</v>
      </c>
      <c r="T801" s="333">
        <v>43850</v>
      </c>
      <c r="U801" s="158"/>
      <c r="V801" s="333"/>
      <c r="W801" s="158"/>
      <c r="X801" s="333"/>
      <c r="Y801" s="158"/>
      <c r="Z801" s="1002"/>
      <c r="AA801" s="258" t="s">
        <v>381</v>
      </c>
      <c r="AB801" s="1004">
        <f t="shared" si="104"/>
        <v>43850</v>
      </c>
      <c r="AC801" s="1082" t="str">
        <f t="shared" si="105"/>
        <v/>
      </c>
      <c r="AD801" s="1004"/>
      <c r="AE801" s="1004"/>
      <c r="AF801" s="1084" t="str">
        <f t="shared" si="106"/>
        <v/>
      </c>
      <c r="AG801" s="1082" t="str">
        <f t="shared" si="107"/>
        <v/>
      </c>
      <c r="AH801" s="1092"/>
      <c r="AI801" s="1087"/>
      <c r="AJ801" s="1084" t="str">
        <f t="shared" si="108"/>
        <v/>
      </c>
      <c r="AK801" s="1083" t="str">
        <f t="shared" si="109"/>
        <v/>
      </c>
      <c r="AL801" s="211">
        <v>1012333</v>
      </c>
      <c r="AM801" s="211">
        <v>3037000</v>
      </c>
      <c r="AN801" s="211">
        <v>3037000</v>
      </c>
      <c r="AO801" s="211">
        <v>3037000</v>
      </c>
      <c r="AP801" s="211">
        <v>3037000</v>
      </c>
      <c r="AQ801" s="211">
        <v>3037000</v>
      </c>
      <c r="AR801" s="211">
        <v>3037000</v>
      </c>
      <c r="AS801" s="211">
        <v>2024667</v>
      </c>
      <c r="AT801" s="211"/>
      <c r="AU801" s="211"/>
      <c r="AV801" s="211"/>
      <c r="AW801" s="211"/>
      <c r="AX801" s="211"/>
      <c r="AY801" s="211"/>
      <c r="AZ801" s="211"/>
      <c r="BA801" s="211"/>
      <c r="BB801" s="211"/>
      <c r="BC801" s="211"/>
      <c r="BD801" s="333">
        <v>43879</v>
      </c>
      <c r="BE801" s="82">
        <f t="shared" si="110"/>
        <v>21259000</v>
      </c>
    </row>
    <row r="802" spans="2:57" ht="30.6" hidden="1" x14ac:dyDescent="0.3">
      <c r="B802" s="2" t="str">
        <f>+'Base de Datos'!E802</f>
        <v>190315-0-2019</v>
      </c>
      <c r="C802" s="2" t="str">
        <f>+'Base de Datos'!F802</f>
        <v>JORGE EDUARDO RUGE GOMEZ</v>
      </c>
      <c r="D802" s="2">
        <f>+'Base de Datos'!G802</f>
        <v>79718464</v>
      </c>
      <c r="E802" s="2" t="str">
        <f>+'Base de Datos'!H802</f>
        <v>Prestar servicios profesionales para apoyar al Concejo de Bogotá D.C. en la realización de las actividades necesarias para la estructuración, supervisión y seguimiento contractual</v>
      </c>
      <c r="F802" s="197">
        <f>+'Base de Datos'!I802</f>
        <v>21534000</v>
      </c>
      <c r="G802" s="196">
        <f>+'Base de Datos'!M802</f>
        <v>43637</v>
      </c>
      <c r="H802" s="196">
        <f>+'Base de Datos'!N802</f>
        <v>43819</v>
      </c>
      <c r="I802" s="196"/>
      <c r="J802" s="158">
        <v>3589000</v>
      </c>
      <c r="K802" s="333">
        <v>43825</v>
      </c>
      <c r="L802" s="211"/>
      <c r="M802" s="336"/>
      <c r="N802" s="158"/>
      <c r="O802" s="333"/>
      <c r="P802" s="158"/>
      <c r="Q802" s="338"/>
      <c r="R802" s="81">
        <f t="shared" si="111"/>
        <v>3589000</v>
      </c>
      <c r="S802" s="258" t="s">
        <v>381</v>
      </c>
      <c r="T802" s="333">
        <v>43850</v>
      </c>
      <c r="U802" s="158"/>
      <c r="V802" s="333"/>
      <c r="W802" s="158"/>
      <c r="X802" s="333"/>
      <c r="Y802" s="158"/>
      <c r="Z802" s="1002"/>
      <c r="AA802" s="258" t="s">
        <v>381</v>
      </c>
      <c r="AB802" s="1004">
        <f t="shared" si="104"/>
        <v>43850</v>
      </c>
      <c r="AC802" s="1082" t="str">
        <f t="shared" si="105"/>
        <v/>
      </c>
      <c r="AD802" s="1004"/>
      <c r="AE802" s="1004"/>
      <c r="AF802" s="1084" t="str">
        <f t="shared" si="106"/>
        <v/>
      </c>
      <c r="AG802" s="1082" t="str">
        <f t="shared" si="107"/>
        <v/>
      </c>
      <c r="AH802" s="1092"/>
      <c r="AI802" s="1087"/>
      <c r="AJ802" s="1084" t="str">
        <f t="shared" si="108"/>
        <v/>
      </c>
      <c r="AK802" s="1083" t="str">
        <f t="shared" si="109"/>
        <v/>
      </c>
      <c r="AL802" s="211">
        <v>1196333</v>
      </c>
      <c r="AM802" s="211">
        <v>3589000</v>
      </c>
      <c r="AN802" s="211">
        <v>3589000</v>
      </c>
      <c r="AO802" s="211">
        <v>3589000</v>
      </c>
      <c r="AP802" s="211">
        <v>3589000</v>
      </c>
      <c r="AQ802" s="211">
        <v>3589000</v>
      </c>
      <c r="AR802" s="211">
        <v>3589000</v>
      </c>
      <c r="AS802" s="211">
        <v>2392667</v>
      </c>
      <c r="AT802" s="211"/>
      <c r="AU802" s="211"/>
      <c r="AV802" s="211"/>
      <c r="AW802" s="211"/>
      <c r="AX802" s="211"/>
      <c r="AY802" s="211"/>
      <c r="AZ802" s="211"/>
      <c r="BA802" s="211"/>
      <c r="BB802" s="211"/>
      <c r="BC802" s="211"/>
      <c r="BD802" s="333">
        <v>43837</v>
      </c>
      <c r="BE802" s="82">
        <f t="shared" si="110"/>
        <v>25123000</v>
      </c>
    </row>
    <row r="803" spans="2:57" ht="30.6" hidden="1" x14ac:dyDescent="0.3">
      <c r="B803" s="2" t="str">
        <f>+'Base de Datos'!E803</f>
        <v>190322-0-2019</v>
      </c>
      <c r="C803" s="2" t="str">
        <f>+'Base de Datos'!F803</f>
        <v>SOCIEDAD DE TELEVISION DE CALDAS RISARALDA Y QUINDIO LTDA TELECAFE LTDA</v>
      </c>
      <c r="D803" s="2">
        <f>+'Base de Datos'!G803</f>
        <v>890807724</v>
      </c>
      <c r="E803" s="2" t="str">
        <f>+'Base de Datos'!H803</f>
        <v xml:space="preserve">Prestar servicios de producción y trasmisión de programas de televisión para el Concejo de Bogotá. </v>
      </c>
      <c r="F803" s="197">
        <f>+'Base de Datos'!I803</f>
        <v>1682847600</v>
      </c>
      <c r="G803" s="196">
        <f>+'Base de Datos'!M803</f>
        <v>43643</v>
      </c>
      <c r="H803" s="196">
        <f>+'Base de Datos'!N803</f>
        <v>43947</v>
      </c>
      <c r="I803" s="196"/>
      <c r="J803" s="158"/>
      <c r="K803" s="333"/>
      <c r="L803" s="211"/>
      <c r="M803" s="336"/>
      <c r="N803" s="158"/>
      <c r="O803" s="333"/>
      <c r="P803" s="158"/>
      <c r="Q803" s="338"/>
      <c r="R803" s="81">
        <f t="shared" si="111"/>
        <v>0</v>
      </c>
      <c r="S803" s="258"/>
      <c r="T803" s="333"/>
      <c r="U803" s="158"/>
      <c r="V803" s="333"/>
      <c r="W803" s="158"/>
      <c r="X803" s="333"/>
      <c r="Y803" s="158"/>
      <c r="Z803" s="1002"/>
      <c r="AA803" s="1003"/>
      <c r="AB803" s="1004" t="str">
        <f t="shared" si="104"/>
        <v/>
      </c>
      <c r="AC803" s="1082" t="str">
        <f t="shared" si="105"/>
        <v/>
      </c>
      <c r="AD803" s="1004"/>
      <c r="AE803" s="1004"/>
      <c r="AF803" s="1084" t="str">
        <f t="shared" si="106"/>
        <v/>
      </c>
      <c r="AG803" s="1082" t="str">
        <f t="shared" si="107"/>
        <v/>
      </c>
      <c r="AH803" s="1092"/>
      <c r="AI803" s="1087"/>
      <c r="AJ803" s="1084" t="str">
        <f t="shared" si="108"/>
        <v/>
      </c>
      <c r="AK803" s="1083" t="str">
        <f t="shared" si="109"/>
        <v/>
      </c>
      <c r="AL803" s="211">
        <v>157140629</v>
      </c>
      <c r="AM803" s="211">
        <v>141526115</v>
      </c>
      <c r="AN803" s="211">
        <v>142479714</v>
      </c>
      <c r="AO803" s="211">
        <v>313574850</v>
      </c>
      <c r="AP803" s="211">
        <v>97926857</v>
      </c>
      <c r="AQ803" s="211">
        <v>193537857</v>
      </c>
      <c r="AR803" s="211">
        <v>101560129</v>
      </c>
      <c r="AS803" s="211">
        <v>53374000</v>
      </c>
      <c r="AT803" s="211">
        <v>66717500</v>
      </c>
      <c r="AU803" s="211">
        <v>40030500</v>
      </c>
      <c r="AV803" s="211"/>
      <c r="AW803" s="211"/>
      <c r="AX803" s="211"/>
      <c r="AY803" s="211"/>
      <c r="AZ803" s="211"/>
      <c r="BA803" s="211"/>
      <c r="BB803" s="211"/>
      <c r="BC803" s="211"/>
      <c r="BD803" s="333">
        <v>44069</v>
      </c>
      <c r="BE803" s="82">
        <f t="shared" si="110"/>
        <v>1307868151</v>
      </c>
    </row>
    <row r="804" spans="2:57" ht="30.6" hidden="1" x14ac:dyDescent="0.3">
      <c r="B804" s="2" t="str">
        <f>+'Base de Datos'!E804</f>
        <v>190320-0-2019</v>
      </c>
      <c r="C804" s="2" t="str">
        <f>+'Base de Datos'!F804</f>
        <v>NATALIA ALEJANDRA OSORIO ESPINOSA</v>
      </c>
      <c r="D804" s="2">
        <f>+'Base de Datos'!G804</f>
        <v>1013633500</v>
      </c>
      <c r="E804" s="2" t="str">
        <f>+'Base de Datos'!H804</f>
        <v>Prestar servicios profesionales para apoyar al Concejo de Bogotá D.C. en la realización de las actividades necesarias para la estructuración, supervisión y seguimiento contractual</v>
      </c>
      <c r="F804" s="197">
        <f>+'Base de Datos'!I804</f>
        <v>21534000</v>
      </c>
      <c r="G804" s="196">
        <f>+'Base de Datos'!M804</f>
        <v>43642</v>
      </c>
      <c r="H804" s="196">
        <f>+'Base de Datos'!N804</f>
        <v>43824</v>
      </c>
      <c r="I804" s="196"/>
      <c r="J804" s="158">
        <v>7178000</v>
      </c>
      <c r="K804" s="333">
        <v>43818</v>
      </c>
      <c r="L804" s="211"/>
      <c r="M804" s="336"/>
      <c r="N804" s="158"/>
      <c r="O804" s="333"/>
      <c r="P804" s="158"/>
      <c r="Q804" s="338"/>
      <c r="R804" s="81">
        <f t="shared" si="111"/>
        <v>7178000</v>
      </c>
      <c r="S804" s="258" t="s">
        <v>378</v>
      </c>
      <c r="T804" s="333">
        <v>43886</v>
      </c>
      <c r="U804" s="158"/>
      <c r="V804" s="333"/>
      <c r="W804" s="158"/>
      <c r="X804" s="333"/>
      <c r="Y804" s="158"/>
      <c r="Z804" s="1002"/>
      <c r="AA804" s="258" t="s">
        <v>378</v>
      </c>
      <c r="AB804" s="1004">
        <f t="shared" si="104"/>
        <v>43886</v>
      </c>
      <c r="AC804" s="1082" t="str">
        <f t="shared" si="105"/>
        <v/>
      </c>
      <c r="AD804" s="1004"/>
      <c r="AE804" s="1004"/>
      <c r="AF804" s="1084" t="str">
        <f t="shared" si="106"/>
        <v/>
      </c>
      <c r="AG804" s="1082" t="str">
        <f t="shared" si="107"/>
        <v/>
      </c>
      <c r="AH804" s="1092"/>
      <c r="AI804" s="1087"/>
      <c r="AJ804" s="1084" t="str">
        <f t="shared" si="108"/>
        <v/>
      </c>
      <c r="AK804" s="1083" t="str">
        <f t="shared" si="109"/>
        <v/>
      </c>
      <c r="AL804" s="211">
        <v>598167</v>
      </c>
      <c r="AM804" s="211">
        <v>3589000</v>
      </c>
      <c r="AN804" s="211">
        <v>3589000</v>
      </c>
      <c r="AO804" s="211">
        <v>3589000</v>
      </c>
      <c r="AP804" s="211">
        <v>3589000</v>
      </c>
      <c r="AQ804" s="211">
        <v>3589000</v>
      </c>
      <c r="AR804" s="211">
        <v>3589000</v>
      </c>
      <c r="AS804" s="211">
        <v>3589000</v>
      </c>
      <c r="AT804" s="211">
        <v>2990833</v>
      </c>
      <c r="AU804" s="211"/>
      <c r="AV804" s="211"/>
      <c r="AW804" s="211"/>
      <c r="AX804" s="211"/>
      <c r="AY804" s="211"/>
      <c r="AZ804" s="211"/>
      <c r="BA804" s="211"/>
      <c r="BB804" s="211"/>
      <c r="BC804" s="211"/>
      <c r="BD804" s="333">
        <v>43903</v>
      </c>
      <c r="BE804" s="82">
        <f t="shared" si="110"/>
        <v>28712000</v>
      </c>
    </row>
    <row r="805" spans="2:57" ht="30.6" hidden="1" x14ac:dyDescent="0.3">
      <c r="B805" s="2" t="str">
        <f>+'Base de Datos'!E805</f>
        <v>190316-0-2019</v>
      </c>
      <c r="C805" s="2" t="str">
        <f>+'Base de Datos'!F805</f>
        <v xml:space="preserve">JAIME ENRIQUE ZAMBRANO SALAZAR </v>
      </c>
      <c r="D805" s="2">
        <f>+'Base de Datos'!G805</f>
        <v>79616900</v>
      </c>
      <c r="E805" s="2" t="str">
        <f>+'Base de Datos'!H805</f>
        <v>Prestar servicios profesionales para apoyar al Concejo de Bogotá D.C. en la realización de las actividades necesarias para la estructuración, supervisión y seguimiento contractual</v>
      </c>
      <c r="F805" s="197">
        <f>+'Base de Datos'!I805</f>
        <v>21534000</v>
      </c>
      <c r="G805" s="196">
        <f>+'Base de Datos'!M805</f>
        <v>43643</v>
      </c>
      <c r="H805" s="196">
        <f>+'Base de Datos'!N805</f>
        <v>43825</v>
      </c>
      <c r="I805" s="196"/>
      <c r="J805" s="158">
        <v>3589000</v>
      </c>
      <c r="K805" s="333">
        <v>43817</v>
      </c>
      <c r="L805" s="211"/>
      <c r="M805" s="336"/>
      <c r="N805" s="158"/>
      <c r="O805" s="333"/>
      <c r="P805" s="158"/>
      <c r="Q805" s="338"/>
      <c r="R805" s="81">
        <f t="shared" si="111"/>
        <v>3589000</v>
      </c>
      <c r="S805" s="258" t="s">
        <v>381</v>
      </c>
      <c r="T805" s="333">
        <v>43857</v>
      </c>
      <c r="U805" s="158"/>
      <c r="V805" s="333"/>
      <c r="W805" s="158"/>
      <c r="X805" s="333"/>
      <c r="Y805" s="158"/>
      <c r="Z805" s="1002"/>
      <c r="AA805" s="1003" t="s">
        <v>381</v>
      </c>
      <c r="AB805" s="1004">
        <f t="shared" si="104"/>
        <v>43857</v>
      </c>
      <c r="AC805" s="1082" t="str">
        <f t="shared" si="105"/>
        <v/>
      </c>
      <c r="AD805" s="1004"/>
      <c r="AE805" s="1004"/>
      <c r="AF805" s="1084" t="str">
        <f t="shared" si="106"/>
        <v/>
      </c>
      <c r="AG805" s="1082" t="str">
        <f t="shared" si="107"/>
        <v/>
      </c>
      <c r="AH805" s="1092"/>
      <c r="AI805" s="1087"/>
      <c r="AJ805" s="1084" t="str">
        <f t="shared" si="108"/>
        <v/>
      </c>
      <c r="AK805" s="1083" t="str">
        <f t="shared" si="109"/>
        <v/>
      </c>
      <c r="AL805" s="211">
        <v>358900</v>
      </c>
      <c r="AM805" s="211">
        <v>3589000</v>
      </c>
      <c r="AN805" s="211">
        <v>3589000</v>
      </c>
      <c r="AO805" s="211">
        <v>3589000</v>
      </c>
      <c r="AP805" s="211">
        <v>3589000</v>
      </c>
      <c r="AQ805" s="211">
        <v>3589000</v>
      </c>
      <c r="AR805" s="211">
        <v>3589000</v>
      </c>
      <c r="AS805" s="211">
        <v>3230100</v>
      </c>
      <c r="AT805" s="211"/>
      <c r="AU805" s="211"/>
      <c r="AV805" s="211"/>
      <c r="AW805" s="211"/>
      <c r="AX805" s="211"/>
      <c r="AY805" s="211"/>
      <c r="AZ805" s="211"/>
      <c r="BA805" s="211"/>
      <c r="BB805" s="211"/>
      <c r="BC805" s="211"/>
      <c r="BD805" s="333">
        <v>43882</v>
      </c>
      <c r="BE805" s="82">
        <f t="shared" si="110"/>
        <v>25123000</v>
      </c>
    </row>
    <row r="806" spans="2:57" ht="20.399999999999999" hidden="1" x14ac:dyDescent="0.3">
      <c r="B806" s="2" t="str">
        <f>+'Base de Datos'!E806</f>
        <v>190318-0-2019</v>
      </c>
      <c r="C806" s="2" t="str">
        <f>+'Base de Datos'!F806</f>
        <v>INSTITUCIONAL STAR SERVICES LTDA</v>
      </c>
      <c r="D806" s="2">
        <f>+'Base de Datos'!G806</f>
        <v>830113914</v>
      </c>
      <c r="E806" s="2" t="str">
        <f>+'Base de Datos'!H806</f>
        <v>Suministro de papelería útiles de escritorio para  el Concejo de Bogotá</v>
      </c>
      <c r="F806" s="197">
        <f>+'Base de Datos'!I806</f>
        <v>59998325</v>
      </c>
      <c r="G806" s="196">
        <f>+'Base de Datos'!M806</f>
        <v>43643</v>
      </c>
      <c r="H806" s="196">
        <f>+'Base de Datos'!N806</f>
        <v>43947</v>
      </c>
      <c r="I806" s="196"/>
      <c r="J806" s="158"/>
      <c r="K806" s="333"/>
      <c r="L806" s="211"/>
      <c r="M806" s="336"/>
      <c r="N806" s="158"/>
      <c r="O806" s="333"/>
      <c r="P806" s="158"/>
      <c r="Q806" s="338"/>
      <c r="R806" s="81">
        <f t="shared" si="111"/>
        <v>0</v>
      </c>
      <c r="S806" s="258" t="s">
        <v>381</v>
      </c>
      <c r="T806" s="333">
        <v>43977</v>
      </c>
      <c r="U806" s="158"/>
      <c r="V806" s="333"/>
      <c r="W806" s="158"/>
      <c r="X806" s="333"/>
      <c r="Y806" s="158"/>
      <c r="Z806" s="1002"/>
      <c r="AA806" s="258" t="s">
        <v>381</v>
      </c>
      <c r="AB806" s="1004">
        <f t="shared" si="104"/>
        <v>43977</v>
      </c>
      <c r="AC806" s="1082" t="str">
        <f t="shared" si="105"/>
        <v/>
      </c>
      <c r="AD806" s="1004"/>
      <c r="AE806" s="1004"/>
      <c r="AF806" s="1084" t="str">
        <f t="shared" si="106"/>
        <v/>
      </c>
      <c r="AG806" s="1082" t="str">
        <f t="shared" si="107"/>
        <v/>
      </c>
      <c r="AH806" s="1092"/>
      <c r="AI806" s="1087"/>
      <c r="AJ806" s="1084" t="str">
        <f t="shared" si="108"/>
        <v/>
      </c>
      <c r="AK806" s="1083" t="str">
        <f t="shared" si="109"/>
        <v/>
      </c>
      <c r="AL806" s="211">
        <v>18292015</v>
      </c>
      <c r="AM806" s="211">
        <v>41689849</v>
      </c>
      <c r="AN806" s="211"/>
      <c r="AO806" s="211"/>
      <c r="AP806" s="211"/>
      <c r="AQ806" s="211"/>
      <c r="AR806" s="211"/>
      <c r="AS806" s="211"/>
      <c r="AT806" s="211"/>
      <c r="AU806" s="211"/>
      <c r="AV806" s="211"/>
      <c r="AW806" s="211"/>
      <c r="AX806" s="211"/>
      <c r="AY806" s="211"/>
      <c r="AZ806" s="211"/>
      <c r="BA806" s="211"/>
      <c r="BB806" s="211"/>
      <c r="BC806" s="211"/>
      <c r="BD806" s="333">
        <v>44090</v>
      </c>
      <c r="BE806" s="82">
        <f t="shared" si="110"/>
        <v>59981864</v>
      </c>
    </row>
    <row r="807" spans="2:57" ht="30.6" hidden="1" x14ac:dyDescent="0.3">
      <c r="B807" s="2" t="str">
        <f>+'Base de Datos'!E807</f>
        <v>190319-0-2019</v>
      </c>
      <c r="C807" s="2" t="str">
        <f>+'Base de Datos'!F807</f>
        <v>LAURA CATALINA GUITERREZ MENDEZ</v>
      </c>
      <c r="D807" s="2">
        <f>+'Base de Datos'!G807</f>
        <v>1019061107</v>
      </c>
      <c r="E807" s="2" t="str">
        <f>+'Base de Datos'!H807</f>
        <v>Prestar servicios profesionales para apoyar al Concejo de Bogotá D.C. en la realización de las actividades necesarias para la estructuración, supervisión y seguimiento contractual</v>
      </c>
      <c r="F807" s="197">
        <f>+'Base de Datos'!I807</f>
        <v>21534000</v>
      </c>
      <c r="G807" s="196">
        <f>+'Base de Datos'!M807</f>
        <v>43644</v>
      </c>
      <c r="H807" s="196">
        <f>+'Base de Datos'!N807</f>
        <v>43826</v>
      </c>
      <c r="I807" s="196"/>
      <c r="J807" s="158">
        <v>3589000</v>
      </c>
      <c r="K807" s="333">
        <v>43817</v>
      </c>
      <c r="L807" s="211"/>
      <c r="M807" s="336"/>
      <c r="N807" s="158"/>
      <c r="O807" s="333"/>
      <c r="P807" s="158"/>
      <c r="Q807" s="338"/>
      <c r="R807" s="81">
        <f t="shared" si="111"/>
        <v>3589000</v>
      </c>
      <c r="S807" s="258" t="s">
        <v>381</v>
      </c>
      <c r="T807" s="333">
        <v>43857</v>
      </c>
      <c r="U807" s="158"/>
      <c r="V807" s="333"/>
      <c r="W807" s="158"/>
      <c r="X807" s="333"/>
      <c r="Y807" s="158"/>
      <c r="Z807" s="1002"/>
      <c r="AA807" s="258" t="s">
        <v>381</v>
      </c>
      <c r="AB807" s="1004">
        <f t="shared" si="104"/>
        <v>43857</v>
      </c>
      <c r="AC807" s="1082" t="str">
        <f t="shared" si="105"/>
        <v/>
      </c>
      <c r="AD807" s="1004"/>
      <c r="AE807" s="1004"/>
      <c r="AF807" s="1084" t="str">
        <f t="shared" si="106"/>
        <v/>
      </c>
      <c r="AG807" s="1082" t="str">
        <f t="shared" si="107"/>
        <v/>
      </c>
      <c r="AH807" s="1092"/>
      <c r="AI807" s="1087"/>
      <c r="AJ807" s="1084" t="str">
        <f t="shared" si="108"/>
        <v/>
      </c>
      <c r="AK807" s="1083" t="str">
        <f t="shared" si="109"/>
        <v/>
      </c>
      <c r="AL807" s="211">
        <v>358900</v>
      </c>
      <c r="AM807" s="211">
        <v>3589000</v>
      </c>
      <c r="AN807" s="211">
        <v>3589000</v>
      </c>
      <c r="AO807" s="211">
        <v>3589000</v>
      </c>
      <c r="AP807" s="211">
        <v>3589000</v>
      </c>
      <c r="AQ807" s="211">
        <v>3589000</v>
      </c>
      <c r="AR807" s="211">
        <v>3589000</v>
      </c>
      <c r="AS807" s="211">
        <v>3230100</v>
      </c>
      <c r="AT807" s="211"/>
      <c r="AU807" s="211"/>
      <c r="AV807" s="211"/>
      <c r="AW807" s="211"/>
      <c r="AX807" s="211"/>
      <c r="AY807" s="211"/>
      <c r="AZ807" s="211"/>
      <c r="BA807" s="211"/>
      <c r="BB807" s="211"/>
      <c r="BC807" s="211"/>
      <c r="BD807" s="333">
        <v>43899</v>
      </c>
      <c r="BE807" s="82">
        <f t="shared" si="110"/>
        <v>25123000</v>
      </c>
    </row>
    <row r="808" spans="2:57" ht="30.6" hidden="1" x14ac:dyDescent="0.3">
      <c r="B808" s="2" t="str">
        <f>+'Base de Datos'!E808</f>
        <v>190317-0-2019</v>
      </c>
      <c r="C808" s="2" t="str">
        <f>+'Base de Datos'!F808</f>
        <v>TRANSPORTE LOGISTICA MUDANZAS EL NOGAL SAS</v>
      </c>
      <c r="D808" s="2">
        <f>+'Base de Datos'!G808</f>
        <v>900599628</v>
      </c>
      <c r="E808" s="2" t="str">
        <f>+'Base de Datos'!H808</f>
        <v xml:space="preserve">Prestar servicios de transporte de bienes muebles equipos de oficina y cajas de archivo documental para el Concejo de Bogotá </v>
      </c>
      <c r="F808" s="197">
        <f>+'Base de Datos'!I808</f>
        <v>6124700</v>
      </c>
      <c r="G808" s="196">
        <f>+'Base de Datos'!M808</f>
        <v>43654</v>
      </c>
      <c r="H808" s="196">
        <f>+'Base de Datos'!N808</f>
        <v>43958</v>
      </c>
      <c r="I808" s="196"/>
      <c r="J808" s="158"/>
      <c r="K808" s="333"/>
      <c r="L808" s="211"/>
      <c r="M808" s="336"/>
      <c r="N808" s="158"/>
      <c r="O808" s="333"/>
      <c r="P808" s="158"/>
      <c r="Q808" s="338"/>
      <c r="R808" s="81">
        <f t="shared" si="111"/>
        <v>0</v>
      </c>
      <c r="S808" s="258"/>
      <c r="T808" s="333"/>
      <c r="U808" s="158"/>
      <c r="V808" s="333"/>
      <c r="W808" s="158"/>
      <c r="X808" s="333"/>
      <c r="Y808" s="158"/>
      <c r="Z808" s="1002"/>
      <c r="AA808" s="1003"/>
      <c r="AB808" s="1004" t="str">
        <f t="shared" si="104"/>
        <v/>
      </c>
      <c r="AC808" s="1082" t="str">
        <f t="shared" si="105"/>
        <v/>
      </c>
      <c r="AD808" s="1004"/>
      <c r="AE808" s="1004"/>
      <c r="AF808" s="1084" t="str">
        <f t="shared" si="106"/>
        <v/>
      </c>
      <c r="AG808" s="1082" t="str">
        <f t="shared" si="107"/>
        <v/>
      </c>
      <c r="AH808" s="1092"/>
      <c r="AI808" s="1087"/>
      <c r="AJ808" s="1084" t="str">
        <f t="shared" si="108"/>
        <v/>
      </c>
      <c r="AK808" s="1083" t="str">
        <f t="shared" si="109"/>
        <v/>
      </c>
      <c r="AL808" s="211">
        <v>400000</v>
      </c>
      <c r="AM808" s="211">
        <v>400000</v>
      </c>
      <c r="AN808" s="211">
        <v>960000</v>
      </c>
      <c r="AO808" s="211">
        <v>480000</v>
      </c>
      <c r="AP808" s="211">
        <v>480000</v>
      </c>
      <c r="AQ808" s="211"/>
      <c r="AR808" s="211"/>
      <c r="AS808" s="211"/>
      <c r="AT808" s="211"/>
      <c r="AU808" s="211"/>
      <c r="AV808" s="211"/>
      <c r="AW808" s="211"/>
      <c r="AX808" s="211"/>
      <c r="AY808" s="211"/>
      <c r="AZ808" s="211"/>
      <c r="BA808" s="211"/>
      <c r="BB808" s="211"/>
      <c r="BC808" s="211"/>
      <c r="BD808" s="333">
        <v>44095</v>
      </c>
      <c r="BE808" s="82">
        <f t="shared" si="110"/>
        <v>2720000</v>
      </c>
    </row>
    <row r="809" spans="2:57" ht="40.799999999999997" hidden="1" x14ac:dyDescent="0.3">
      <c r="B809" s="2" t="str">
        <f>+'Base de Datos'!E809</f>
        <v>190333-0-2019</v>
      </c>
      <c r="C809" s="2" t="str">
        <f>+'Base de Datos'!F809</f>
        <v xml:space="preserve">GUILLERMO ALEXANDER GARCIA HERNANDEZ </v>
      </c>
      <c r="D809" s="2">
        <f>+'Base de Datos'!G809</f>
        <v>80154770</v>
      </c>
      <c r="E809" s="2" t="str">
        <f>+'Base de Datos'!H809</f>
        <v>Prestar servicios profesionales para apoyar jurídicamente a la Mesa Directiva del Concejo de Bogotá, en los asuntos que por su complejidad se requieran para el desarrollo de las funciones legales y reglamentarias de la Corporación.</v>
      </c>
      <c r="F809" s="197">
        <f>+'Base de Datos'!I809</f>
        <v>39336000</v>
      </c>
      <c r="G809" s="196">
        <f>+'Base de Datos'!M809</f>
        <v>43656</v>
      </c>
      <c r="H809" s="196">
        <f>+'Base de Datos'!N809</f>
        <v>43830</v>
      </c>
      <c r="I809" s="196"/>
      <c r="J809" s="158"/>
      <c r="K809" s="333"/>
      <c r="L809" s="211"/>
      <c r="M809" s="336"/>
      <c r="N809" s="158"/>
      <c r="O809" s="333"/>
      <c r="P809" s="158"/>
      <c r="Q809" s="338"/>
      <c r="R809" s="81">
        <f t="shared" si="111"/>
        <v>0</v>
      </c>
      <c r="S809" s="258"/>
      <c r="T809" s="333"/>
      <c r="U809" s="158"/>
      <c r="V809" s="333"/>
      <c r="W809" s="158"/>
      <c r="X809" s="333"/>
      <c r="Y809" s="158"/>
      <c r="Z809" s="1002"/>
      <c r="AA809" s="1003"/>
      <c r="AB809" s="1004" t="str">
        <f t="shared" si="104"/>
        <v/>
      </c>
      <c r="AC809" s="1082" t="str">
        <f t="shared" si="105"/>
        <v/>
      </c>
      <c r="AD809" s="1004"/>
      <c r="AE809" s="1004"/>
      <c r="AF809" s="1084" t="str">
        <f t="shared" si="106"/>
        <v/>
      </c>
      <c r="AG809" s="1082" t="str">
        <f t="shared" si="107"/>
        <v/>
      </c>
      <c r="AH809" s="1092"/>
      <c r="AI809" s="1087"/>
      <c r="AJ809" s="1084" t="str">
        <f t="shared" si="108"/>
        <v/>
      </c>
      <c r="AK809" s="1083" t="str">
        <f t="shared" si="109"/>
        <v/>
      </c>
      <c r="AL809" s="211">
        <v>4589200</v>
      </c>
      <c r="AM809" s="211">
        <v>6556000</v>
      </c>
      <c r="AN809" s="211">
        <v>6556000</v>
      </c>
      <c r="AO809" s="211">
        <v>6556000</v>
      </c>
      <c r="AP809" s="211">
        <v>6556000</v>
      </c>
      <c r="AQ809" s="211">
        <v>6556000</v>
      </c>
      <c r="AR809" s="211"/>
      <c r="AS809" s="211"/>
      <c r="AT809" s="211"/>
      <c r="AU809" s="211"/>
      <c r="AV809" s="211"/>
      <c r="AW809" s="211"/>
      <c r="AX809" s="211"/>
      <c r="AY809" s="211"/>
      <c r="AZ809" s="211"/>
      <c r="BA809" s="211"/>
      <c r="BB809" s="211"/>
      <c r="BC809" s="211"/>
      <c r="BD809" s="333">
        <v>43852</v>
      </c>
      <c r="BE809" s="82">
        <f t="shared" si="110"/>
        <v>37369200</v>
      </c>
    </row>
    <row r="810" spans="2:57" ht="40.799999999999997" hidden="1" x14ac:dyDescent="0.3">
      <c r="B810" s="2" t="str">
        <f>+'Base de Datos'!E810</f>
        <v>190334-0-2019</v>
      </c>
      <c r="C810" s="2" t="str">
        <f>+'Base de Datos'!F810</f>
        <v>ANDRES FERNANDO GARZÓN GARZÓN (cesionario) / DOUGLAS ALBERTO CAVANZO BARRAGAN(Antes)</v>
      </c>
      <c r="D810" s="2">
        <f>+'Base de Datos'!G810</f>
        <v>79727497</v>
      </c>
      <c r="E810" s="2" t="str">
        <f>+'Base de Datos'!H810</f>
        <v>Prestar servicios profesionales a la oficina de control interno del Concejo de Bogotá., para el apoyo administrativo en las auditorias internas que se llevará a cabo.</v>
      </c>
      <c r="F810" s="197">
        <f>+'Base de Datos'!I810</f>
        <v>39132000</v>
      </c>
      <c r="G810" s="196">
        <f>+'Base de Datos'!M810</f>
        <v>43657</v>
      </c>
      <c r="H810" s="196">
        <f>+'Base de Datos'!N810</f>
        <v>43830</v>
      </c>
      <c r="I810" s="196"/>
      <c r="J810" s="158"/>
      <c r="K810" s="333"/>
      <c r="L810" s="211"/>
      <c r="M810" s="336"/>
      <c r="N810" s="158"/>
      <c r="O810" s="333"/>
      <c r="P810" s="158"/>
      <c r="Q810" s="338"/>
      <c r="R810" s="81">
        <f t="shared" si="111"/>
        <v>0</v>
      </c>
      <c r="S810" s="258"/>
      <c r="T810" s="333"/>
      <c r="U810" s="158"/>
      <c r="V810" s="333"/>
      <c r="W810" s="158"/>
      <c r="X810" s="333"/>
      <c r="Y810" s="158"/>
      <c r="Z810" s="1002"/>
      <c r="AA810" s="1003"/>
      <c r="AB810" s="1004" t="str">
        <f t="shared" si="104"/>
        <v/>
      </c>
      <c r="AC810" s="1082" t="str">
        <f t="shared" si="105"/>
        <v/>
      </c>
      <c r="AD810" s="1004"/>
      <c r="AE810" s="1004"/>
      <c r="AF810" s="1084" t="str">
        <f t="shared" si="106"/>
        <v/>
      </c>
      <c r="AG810" s="1082" t="str">
        <f t="shared" si="107"/>
        <v/>
      </c>
      <c r="AH810" s="1092"/>
      <c r="AI810" s="1087"/>
      <c r="AJ810" s="1084" t="str">
        <f t="shared" si="108"/>
        <v/>
      </c>
      <c r="AK810" s="1083" t="str">
        <f t="shared" si="109"/>
        <v/>
      </c>
      <c r="AL810" s="211">
        <v>4348000</v>
      </c>
      <c r="AM810" s="211">
        <v>6522000</v>
      </c>
      <c r="AN810" s="211">
        <v>869600</v>
      </c>
      <c r="AO810" s="211">
        <v>4565400</v>
      </c>
      <c r="AP810" s="211">
        <v>6522000</v>
      </c>
      <c r="AQ810" s="211">
        <v>6522000</v>
      </c>
      <c r="AR810" s="211">
        <v>6522000</v>
      </c>
      <c r="AS810" s="211"/>
      <c r="AT810" s="211"/>
      <c r="AU810" s="211"/>
      <c r="AV810" s="211"/>
      <c r="AW810" s="211"/>
      <c r="AX810" s="211"/>
      <c r="AY810" s="211"/>
      <c r="AZ810" s="211"/>
      <c r="BA810" s="211"/>
      <c r="BB810" s="211"/>
      <c r="BC810" s="211"/>
      <c r="BD810" s="333">
        <v>43837</v>
      </c>
      <c r="BE810" s="82">
        <f t="shared" si="110"/>
        <v>35871000</v>
      </c>
    </row>
    <row r="811" spans="2:57" ht="51" hidden="1" x14ac:dyDescent="0.3">
      <c r="B811" s="2" t="str">
        <f>+'Base de Datos'!E811</f>
        <v>190330-0-2019</v>
      </c>
      <c r="C811" s="2" t="str">
        <f>+'Base de Datos'!F811</f>
        <v>RODRIGO GONZALEZ ANDRADE</v>
      </c>
      <c r="D811" s="2">
        <f>+'Base de Datos'!G811</f>
        <v>19498203</v>
      </c>
      <c r="E811" s="2" t="str">
        <f>+'Base de Datos'!H811</f>
        <v>Contratar la consultoría para los estudios, memorias de cálculo, planos y presupuesto para la reubicación de la red de acometida de agua potable y red contra incendios, de la red eléctrica de alta tensión del edificio de 6 pisos del concejo de Bogotá</v>
      </c>
      <c r="F811" s="197">
        <f>+'Base de Datos'!I811</f>
        <v>67045399</v>
      </c>
      <c r="G811" s="196">
        <f>+'Base de Datos'!M811</f>
        <v>43655</v>
      </c>
      <c r="H811" s="196">
        <f>+'Base de Datos'!N811</f>
        <v>43746</v>
      </c>
      <c r="I811" s="196"/>
      <c r="J811" s="158"/>
      <c r="K811" s="333"/>
      <c r="L811" s="211"/>
      <c r="M811" s="336"/>
      <c r="N811" s="158"/>
      <c r="O811" s="333"/>
      <c r="P811" s="158"/>
      <c r="Q811" s="338"/>
      <c r="R811" s="81">
        <f t="shared" si="111"/>
        <v>0</v>
      </c>
      <c r="S811" s="258" t="s">
        <v>1324</v>
      </c>
      <c r="T811" s="333">
        <v>43766</v>
      </c>
      <c r="U811" s="158"/>
      <c r="V811" s="333"/>
      <c r="W811" s="158"/>
      <c r="X811" s="333"/>
      <c r="Y811" s="158"/>
      <c r="Z811" s="1002"/>
      <c r="AA811" s="1003" t="s">
        <v>1324</v>
      </c>
      <c r="AB811" s="1004">
        <f t="shared" si="104"/>
        <v>43766</v>
      </c>
      <c r="AC811" s="1082" t="str">
        <f t="shared" si="105"/>
        <v/>
      </c>
      <c r="AD811" s="1004"/>
      <c r="AE811" s="1004"/>
      <c r="AF811" s="1084" t="str">
        <f t="shared" si="106"/>
        <v/>
      </c>
      <c r="AG811" s="1082" t="str">
        <f t="shared" si="107"/>
        <v/>
      </c>
      <c r="AH811" s="1092"/>
      <c r="AI811" s="1087"/>
      <c r="AJ811" s="1084" t="str">
        <f t="shared" si="108"/>
        <v/>
      </c>
      <c r="AK811" s="1083" t="str">
        <f t="shared" si="109"/>
        <v/>
      </c>
      <c r="AL811" s="211">
        <v>3352269</v>
      </c>
      <c r="AM811" s="211">
        <v>16761350</v>
      </c>
      <c r="AN811" s="211">
        <v>16761350</v>
      </c>
      <c r="AO811" s="211">
        <v>30170430</v>
      </c>
      <c r="AP811" s="211"/>
      <c r="AQ811" s="211"/>
      <c r="AR811" s="211"/>
      <c r="AS811" s="211"/>
      <c r="AT811" s="211"/>
      <c r="AU811" s="211"/>
      <c r="AV811" s="211"/>
      <c r="AW811" s="211"/>
      <c r="AX811" s="211"/>
      <c r="AY811" s="211"/>
      <c r="AZ811" s="211"/>
      <c r="BA811" s="211"/>
      <c r="BB811" s="211"/>
      <c r="BC811" s="211"/>
      <c r="BD811" s="333">
        <v>43776</v>
      </c>
      <c r="BE811" s="82">
        <f t="shared" si="110"/>
        <v>67045399</v>
      </c>
    </row>
    <row r="812" spans="2:57" ht="30.6" hidden="1" x14ac:dyDescent="0.3">
      <c r="B812" s="2" t="str">
        <f>+'Base de Datos'!E812</f>
        <v>190343-0-2019</v>
      </c>
      <c r="C812" s="2" t="str">
        <f>+'Base de Datos'!F812</f>
        <v>GABINO HERNANDEZ BLANCO</v>
      </c>
      <c r="D812" s="2">
        <f>+'Base de Datos'!G812</f>
        <v>73185137</v>
      </c>
      <c r="E812" s="2" t="str">
        <f>+'Base de Datos'!H812</f>
        <v>Prestar servicios profesionales para apoyar las diferentes dependencias del Concejo de Bogotá, en lo referente a procesos de liquidación y cierre de procesos contractuales.</v>
      </c>
      <c r="F812" s="197">
        <f>+'Base de Datos'!I812</f>
        <v>23190000</v>
      </c>
      <c r="G812" s="196">
        <f>+'Base de Datos'!M812</f>
        <v>43657</v>
      </c>
      <c r="H812" s="196">
        <f>+'Base de Datos'!N812</f>
        <v>43830</v>
      </c>
      <c r="I812" s="196">
        <v>43840</v>
      </c>
      <c r="J812" s="158"/>
      <c r="K812" s="333"/>
      <c r="L812" s="211"/>
      <c r="M812" s="336"/>
      <c r="N812" s="158"/>
      <c r="O812" s="333"/>
      <c r="P812" s="158"/>
      <c r="Q812" s="338"/>
      <c r="R812" s="81">
        <f t="shared" si="111"/>
        <v>0</v>
      </c>
      <c r="S812" s="258"/>
      <c r="T812" s="333"/>
      <c r="U812" s="158"/>
      <c r="V812" s="333"/>
      <c r="W812" s="158"/>
      <c r="X812" s="333"/>
      <c r="Y812" s="158"/>
      <c r="Z812" s="1002"/>
      <c r="AA812" s="1003"/>
      <c r="AB812" s="1004" t="str">
        <f t="shared" si="104"/>
        <v/>
      </c>
      <c r="AC812" s="1082" t="str">
        <f t="shared" si="105"/>
        <v/>
      </c>
      <c r="AD812" s="1004"/>
      <c r="AE812" s="1004"/>
      <c r="AF812" s="1084" t="str">
        <f t="shared" si="106"/>
        <v/>
      </c>
      <c r="AG812" s="1082" t="str">
        <f t="shared" si="107"/>
        <v/>
      </c>
      <c r="AH812" s="1092"/>
      <c r="AI812" s="1087"/>
      <c r="AJ812" s="1084" t="str">
        <f t="shared" si="108"/>
        <v/>
      </c>
      <c r="AK812" s="1083" t="str">
        <f t="shared" si="109"/>
        <v/>
      </c>
      <c r="AL812" s="211">
        <v>2576667</v>
      </c>
      <c r="AM812" s="211">
        <v>3865000</v>
      </c>
      <c r="AN812" s="211">
        <v>3865000</v>
      </c>
      <c r="AO812" s="211">
        <v>3865000</v>
      </c>
      <c r="AP812" s="211">
        <v>3865000</v>
      </c>
      <c r="AQ812" s="211">
        <v>3865000</v>
      </c>
      <c r="AR812" s="211">
        <v>1288333</v>
      </c>
      <c r="AS812" s="211"/>
      <c r="AT812" s="211"/>
      <c r="AU812" s="211"/>
      <c r="AV812" s="211"/>
      <c r="AW812" s="211"/>
      <c r="AX812" s="211"/>
      <c r="AY812" s="211"/>
      <c r="AZ812" s="211"/>
      <c r="BA812" s="211"/>
      <c r="BB812" s="211"/>
      <c r="BC812" s="211"/>
      <c r="BD812" s="333">
        <v>43902</v>
      </c>
      <c r="BE812" s="82">
        <f t="shared" si="110"/>
        <v>23190000</v>
      </c>
    </row>
    <row r="813" spans="2:57" ht="30.6" hidden="1" x14ac:dyDescent="0.3">
      <c r="B813" s="2" t="str">
        <f>+'Base de Datos'!E813</f>
        <v>190337-0-2019</v>
      </c>
      <c r="C813" s="2" t="str">
        <f>+'Base de Datos'!F813</f>
        <v>MARTHA MIREYA SANCHEZ FIGUEROA</v>
      </c>
      <c r="D813" s="2">
        <f>+'Base de Datos'!G813</f>
        <v>52430458</v>
      </c>
      <c r="E813" s="2" t="str">
        <f>+'Base de Datos'!H813</f>
        <v>Prestar servicios profesionales para apoyar las diferentes dependencias del Concejo de Bogotá, en lo referente a procesos de liquidación y cierre de procesos contractuales.</v>
      </c>
      <c r="F813" s="197">
        <f>+'Base de Datos'!I813</f>
        <v>23190000</v>
      </c>
      <c r="G813" s="196">
        <f>+'Base de Datos'!M813</f>
        <v>43658</v>
      </c>
      <c r="H813" s="196">
        <f>+'Base de Datos'!N813</f>
        <v>43830</v>
      </c>
      <c r="I813" s="196">
        <v>43841</v>
      </c>
      <c r="J813" s="158"/>
      <c r="K813" s="333"/>
      <c r="L813" s="211"/>
      <c r="M813" s="336"/>
      <c r="N813" s="158"/>
      <c r="O813" s="333"/>
      <c r="P813" s="158"/>
      <c r="Q813" s="338"/>
      <c r="R813" s="81">
        <f t="shared" si="111"/>
        <v>0</v>
      </c>
      <c r="S813" s="258"/>
      <c r="T813" s="333"/>
      <c r="U813" s="158"/>
      <c r="V813" s="333"/>
      <c r="W813" s="158"/>
      <c r="X813" s="333"/>
      <c r="Y813" s="158"/>
      <c r="Z813" s="1002"/>
      <c r="AA813" s="1003"/>
      <c r="AB813" s="1004" t="str">
        <f t="shared" si="104"/>
        <v/>
      </c>
      <c r="AC813" s="1082" t="str">
        <f t="shared" si="105"/>
        <v/>
      </c>
      <c r="AD813" s="1004"/>
      <c r="AE813" s="1004"/>
      <c r="AF813" s="1084" t="str">
        <f t="shared" si="106"/>
        <v/>
      </c>
      <c r="AG813" s="1082" t="str">
        <f t="shared" si="107"/>
        <v/>
      </c>
      <c r="AH813" s="1092"/>
      <c r="AI813" s="1087"/>
      <c r="AJ813" s="1084" t="str">
        <f t="shared" si="108"/>
        <v/>
      </c>
      <c r="AK813" s="1083" t="str">
        <f t="shared" si="109"/>
        <v/>
      </c>
      <c r="AL813" s="211">
        <v>2447833</v>
      </c>
      <c r="AM813" s="211">
        <v>3865000</v>
      </c>
      <c r="AN813" s="211">
        <v>3865000</v>
      </c>
      <c r="AO813" s="211">
        <v>3865000</v>
      </c>
      <c r="AP813" s="211">
        <v>3865000</v>
      </c>
      <c r="AQ813" s="211">
        <v>3865000</v>
      </c>
      <c r="AR813" s="211"/>
      <c r="AS813" s="211"/>
      <c r="AT813" s="211"/>
      <c r="AU813" s="211"/>
      <c r="AV813" s="211"/>
      <c r="AW813" s="211"/>
      <c r="AX813" s="211"/>
      <c r="AY813" s="211"/>
      <c r="AZ813" s="211"/>
      <c r="BA813" s="211"/>
      <c r="BB813" s="211"/>
      <c r="BC813" s="211"/>
      <c r="BD813" s="333">
        <v>43868</v>
      </c>
      <c r="BE813" s="82">
        <f t="shared" si="110"/>
        <v>21772833</v>
      </c>
    </row>
    <row r="814" spans="2:57" ht="30.6" hidden="1" x14ac:dyDescent="0.3">
      <c r="B814" s="2" t="str">
        <f>+'Base de Datos'!E814</f>
        <v>190338-0-2019</v>
      </c>
      <c r="C814" s="2" t="str">
        <f>+'Base de Datos'!F814</f>
        <v>MARIA ALEJANDRA SANCHEZ SIERRA</v>
      </c>
      <c r="D814" s="2">
        <f>+'Base de Datos'!G814</f>
        <v>1032420103</v>
      </c>
      <c r="E814" s="2" t="str">
        <f>+'Base de Datos'!H814</f>
        <v>Prestar servicios profesionales para apoyar las diferentes dependencias del Concejo de Bogotá, en lo referente a procesos de liquidación y cierre de procesos contractuales</v>
      </c>
      <c r="F814" s="197">
        <f>+'Base de Datos'!I814</f>
        <v>23190000</v>
      </c>
      <c r="G814" s="196">
        <f>+'Base de Datos'!M814</f>
        <v>43663</v>
      </c>
      <c r="H814" s="196">
        <f>+'Base de Datos'!N814</f>
        <v>43830</v>
      </c>
      <c r="I814" s="196">
        <v>43846</v>
      </c>
      <c r="J814" s="158"/>
      <c r="K814" s="333"/>
      <c r="L814" s="211"/>
      <c r="M814" s="336"/>
      <c r="N814" s="158"/>
      <c r="O814" s="333"/>
      <c r="P814" s="158"/>
      <c r="Q814" s="338"/>
      <c r="R814" s="81">
        <f t="shared" si="111"/>
        <v>0</v>
      </c>
      <c r="S814" s="258"/>
      <c r="T814" s="333"/>
      <c r="U814" s="158"/>
      <c r="V814" s="333"/>
      <c r="W814" s="158"/>
      <c r="X814" s="333"/>
      <c r="Y814" s="158"/>
      <c r="Z814" s="1002"/>
      <c r="AA814" s="1003"/>
      <c r="AB814" s="1004" t="str">
        <f t="shared" si="104"/>
        <v/>
      </c>
      <c r="AC814" s="1082" t="str">
        <f t="shared" si="105"/>
        <v/>
      </c>
      <c r="AD814" s="1004"/>
      <c r="AE814" s="1004"/>
      <c r="AF814" s="1084" t="str">
        <f t="shared" si="106"/>
        <v/>
      </c>
      <c r="AG814" s="1082" t="str">
        <f t="shared" si="107"/>
        <v/>
      </c>
      <c r="AH814" s="1092"/>
      <c r="AI814" s="1087"/>
      <c r="AJ814" s="1084" t="str">
        <f t="shared" si="108"/>
        <v/>
      </c>
      <c r="AK814" s="1083" t="str">
        <f t="shared" si="109"/>
        <v/>
      </c>
      <c r="AL814" s="211">
        <v>1803667</v>
      </c>
      <c r="AM814" s="211">
        <v>3865000</v>
      </c>
      <c r="AN814" s="211">
        <v>3865000</v>
      </c>
      <c r="AO814" s="211">
        <v>3865000</v>
      </c>
      <c r="AP814" s="211"/>
      <c r="AQ814" s="211"/>
      <c r="AR814" s="211"/>
      <c r="AS814" s="211"/>
      <c r="AT814" s="211"/>
      <c r="AU814" s="211"/>
      <c r="AV814" s="211"/>
      <c r="AW814" s="211"/>
      <c r="AX814" s="211"/>
      <c r="AY814" s="211"/>
      <c r="AZ814" s="211"/>
      <c r="BA814" s="211"/>
      <c r="BB814" s="211"/>
      <c r="BC814" s="211"/>
      <c r="BD814" s="333">
        <v>43840</v>
      </c>
      <c r="BE814" s="82">
        <f t="shared" si="110"/>
        <v>13398667</v>
      </c>
    </row>
    <row r="815" spans="2:57" ht="30.6" hidden="1" x14ac:dyDescent="0.3">
      <c r="B815" s="2" t="str">
        <f>+'Base de Datos'!E815</f>
        <v>190351-0-2019</v>
      </c>
      <c r="C815" s="2" t="str">
        <f>+'Base de Datos'!F815</f>
        <v xml:space="preserve">JOSE NEFTALI PEREA HOLGUIN </v>
      </c>
      <c r="D815" s="2">
        <f>+'Base de Datos'!G815</f>
        <v>80873518</v>
      </c>
      <c r="E815" s="2" t="str">
        <f>+'Base de Datos'!H815</f>
        <v xml:space="preserve">Prestar servicios profesionales para apoyar al Concejo de Bogotá en el seguimiento al cumplimiento del Plan de Acción de la Corporación. </v>
      </c>
      <c r="F815" s="197">
        <f>+'Base de Datos'!I815</f>
        <v>34782000</v>
      </c>
      <c r="G815" s="196">
        <f>+'Base de Datos'!M815</f>
        <v>43661</v>
      </c>
      <c r="H815" s="196">
        <f>+'Base de Datos'!N815</f>
        <v>43830</v>
      </c>
      <c r="I815" s="196">
        <v>43844</v>
      </c>
      <c r="J815" s="158"/>
      <c r="K815" s="333"/>
      <c r="L815" s="211"/>
      <c r="M815" s="336"/>
      <c r="N815" s="158"/>
      <c r="O815" s="333"/>
      <c r="P815" s="158"/>
      <c r="Q815" s="338"/>
      <c r="R815" s="81">
        <f t="shared" si="111"/>
        <v>0</v>
      </c>
      <c r="S815" s="258"/>
      <c r="T815" s="333"/>
      <c r="U815" s="158"/>
      <c r="V815" s="333"/>
      <c r="W815" s="158"/>
      <c r="X815" s="333"/>
      <c r="Y815" s="158"/>
      <c r="Z815" s="1002"/>
      <c r="AA815" s="1003"/>
      <c r="AB815" s="1004" t="str">
        <f t="shared" si="104"/>
        <v/>
      </c>
      <c r="AC815" s="1082" t="str">
        <f t="shared" si="105"/>
        <v/>
      </c>
      <c r="AD815" s="1004"/>
      <c r="AE815" s="1004"/>
      <c r="AF815" s="1084" t="str">
        <f t="shared" si="106"/>
        <v/>
      </c>
      <c r="AG815" s="1082" t="str">
        <f t="shared" si="107"/>
        <v/>
      </c>
      <c r="AH815" s="1092"/>
      <c r="AI815" s="1087"/>
      <c r="AJ815" s="1084" t="str">
        <f t="shared" si="108"/>
        <v/>
      </c>
      <c r="AK815" s="1083" t="str">
        <f t="shared" si="109"/>
        <v/>
      </c>
      <c r="AL815" s="211">
        <v>3091733</v>
      </c>
      <c r="AM815" s="211">
        <v>5797000</v>
      </c>
      <c r="AN815" s="211">
        <v>5797000</v>
      </c>
      <c r="AO815" s="211">
        <v>5797000</v>
      </c>
      <c r="AP815" s="211">
        <v>5797000</v>
      </c>
      <c r="AQ815" s="211">
        <v>5797000</v>
      </c>
      <c r="AR815" s="211">
        <v>2705267</v>
      </c>
      <c r="AS815" s="211"/>
      <c r="AT815" s="211"/>
      <c r="AU815" s="211"/>
      <c r="AV815" s="211"/>
      <c r="AW815" s="211"/>
      <c r="AX815" s="211"/>
      <c r="AY815" s="211"/>
      <c r="AZ815" s="211"/>
      <c r="BA815" s="211"/>
      <c r="BB815" s="211"/>
      <c r="BC815" s="211"/>
      <c r="BD815" s="333">
        <v>43872</v>
      </c>
      <c r="BE815" s="82">
        <f t="shared" si="110"/>
        <v>34782000</v>
      </c>
    </row>
    <row r="816" spans="2:57" ht="40.799999999999997" hidden="1" x14ac:dyDescent="0.3">
      <c r="B816" s="2" t="str">
        <f>+'Base de Datos'!E816</f>
        <v>190345-0-2019</v>
      </c>
      <c r="C816" s="2" t="str">
        <f>+'Base de Datos'!F816</f>
        <v xml:space="preserve">JAIRO MOISES MARTÍNEZ QUIROGA </v>
      </c>
      <c r="D816" s="2">
        <f>+'Base de Datos'!G816</f>
        <v>79290987</v>
      </c>
      <c r="E816" s="2" t="str">
        <f>+'Base de Datos'!H816</f>
        <v>Prestar servicios profesionales para apoyar a la Dirección Jurídica del Concejo de Bogotá D.C., en la implementación de políticas y procedimientos para el fortalecimiento del proceso de atención a la ciudadanía.</v>
      </c>
      <c r="F816" s="197">
        <f>+'Base de Datos'!I816</f>
        <v>34782000</v>
      </c>
      <c r="G816" s="196">
        <f>+'Base de Datos'!M816</f>
        <v>43661</v>
      </c>
      <c r="H816" s="196">
        <f>+'Base de Datos'!N816</f>
        <v>43830</v>
      </c>
      <c r="I816" s="196">
        <v>43844</v>
      </c>
      <c r="J816" s="158"/>
      <c r="K816" s="333"/>
      <c r="L816" s="211"/>
      <c r="M816" s="336"/>
      <c r="N816" s="158"/>
      <c r="O816" s="333"/>
      <c r="P816" s="158"/>
      <c r="Q816" s="338"/>
      <c r="R816" s="81">
        <f t="shared" si="111"/>
        <v>0</v>
      </c>
      <c r="S816" s="258"/>
      <c r="T816" s="333"/>
      <c r="U816" s="158"/>
      <c r="V816" s="333"/>
      <c r="W816" s="158"/>
      <c r="X816" s="333"/>
      <c r="Y816" s="158"/>
      <c r="Z816" s="1002"/>
      <c r="AA816" s="1003"/>
      <c r="AB816" s="1004" t="str">
        <f t="shared" si="104"/>
        <v/>
      </c>
      <c r="AC816" s="1082" t="str">
        <f t="shared" si="105"/>
        <v/>
      </c>
      <c r="AD816" s="1004"/>
      <c r="AE816" s="1004"/>
      <c r="AF816" s="1084" t="str">
        <f t="shared" si="106"/>
        <v/>
      </c>
      <c r="AG816" s="1082" t="str">
        <f t="shared" si="107"/>
        <v/>
      </c>
      <c r="AH816" s="1092"/>
      <c r="AI816" s="1087"/>
      <c r="AJ816" s="1084" t="str">
        <f t="shared" si="108"/>
        <v/>
      </c>
      <c r="AK816" s="1083" t="str">
        <f t="shared" si="109"/>
        <v/>
      </c>
      <c r="AL816" s="211">
        <v>3091733</v>
      </c>
      <c r="AM816" s="211">
        <v>5797000</v>
      </c>
      <c r="AN816" s="211">
        <v>5797000</v>
      </c>
      <c r="AO816" s="211">
        <v>5797000</v>
      </c>
      <c r="AP816" s="211">
        <v>5797000</v>
      </c>
      <c r="AQ816" s="211">
        <v>5797000</v>
      </c>
      <c r="AR816" s="211">
        <v>2705267</v>
      </c>
      <c r="AS816" s="211"/>
      <c r="AT816" s="211"/>
      <c r="AU816" s="211"/>
      <c r="AV816" s="211"/>
      <c r="AW816" s="211"/>
      <c r="AX816" s="211"/>
      <c r="AY816" s="211"/>
      <c r="AZ816" s="211"/>
      <c r="BA816" s="211"/>
      <c r="BB816" s="211"/>
      <c r="BC816" s="211"/>
      <c r="BD816" s="333">
        <v>43866</v>
      </c>
      <c r="BE816" s="82">
        <f t="shared" si="110"/>
        <v>34782000</v>
      </c>
    </row>
    <row r="817" spans="2:57" ht="40.799999999999997" hidden="1" x14ac:dyDescent="0.3">
      <c r="B817" s="2" t="str">
        <f>+'Base de Datos'!E817</f>
        <v>190350-0-2019</v>
      </c>
      <c r="C817" s="2" t="str">
        <f>+'Base de Datos'!F817</f>
        <v>LUIS MAURICIO GARCÍA NIÑO</v>
      </c>
      <c r="D817" s="2">
        <f>+'Base de Datos'!G817</f>
        <v>80809545</v>
      </c>
      <c r="E817" s="2" t="str">
        <f>+'Base de Datos'!H817</f>
        <v>Prestar servicios de apoyo a la Dirección Jurídica del Concejo de Bogotá D.C., que permitan realizar las actividades necesarias para la depuración y actualización normativa del periodo 2015-2018.</v>
      </c>
      <c r="F817" s="197">
        <f>+'Base de Datos'!I817</f>
        <v>12426000</v>
      </c>
      <c r="G817" s="196">
        <f>+'Base de Datos'!M817</f>
        <v>43661</v>
      </c>
      <c r="H817" s="196">
        <f>+'Base de Datos'!N817</f>
        <v>43830</v>
      </c>
      <c r="I817" s="196">
        <v>43844</v>
      </c>
      <c r="J817" s="158"/>
      <c r="K817" s="333"/>
      <c r="L817" s="211"/>
      <c r="M817" s="336"/>
      <c r="N817" s="158"/>
      <c r="O817" s="333"/>
      <c r="P817" s="158"/>
      <c r="Q817" s="338"/>
      <c r="R817" s="81">
        <f t="shared" si="111"/>
        <v>0</v>
      </c>
      <c r="S817" s="258"/>
      <c r="T817" s="333"/>
      <c r="U817" s="158"/>
      <c r="V817" s="333"/>
      <c r="W817" s="158"/>
      <c r="X817" s="333"/>
      <c r="Y817" s="158"/>
      <c r="Z817" s="1002"/>
      <c r="AA817" s="1003"/>
      <c r="AB817" s="1004" t="str">
        <f t="shared" si="104"/>
        <v/>
      </c>
      <c r="AC817" s="1082" t="str">
        <f t="shared" si="105"/>
        <v/>
      </c>
      <c r="AD817" s="1004"/>
      <c r="AE817" s="1004"/>
      <c r="AF817" s="1084" t="str">
        <f t="shared" si="106"/>
        <v/>
      </c>
      <c r="AG817" s="1082" t="str">
        <f t="shared" si="107"/>
        <v/>
      </c>
      <c r="AH817" s="1092"/>
      <c r="AI817" s="1087"/>
      <c r="AJ817" s="1084" t="str">
        <f t="shared" si="108"/>
        <v/>
      </c>
      <c r="AK817" s="1083" t="str">
        <f t="shared" si="109"/>
        <v/>
      </c>
      <c r="AL817" s="211">
        <v>1104533</v>
      </c>
      <c r="AM817" s="211">
        <v>2071000</v>
      </c>
      <c r="AN817" s="211">
        <v>2071000</v>
      </c>
      <c r="AO817" s="211">
        <v>2071000</v>
      </c>
      <c r="AP817" s="211">
        <v>2071000</v>
      </c>
      <c r="AQ817" s="211">
        <v>2071000</v>
      </c>
      <c r="AR817" s="211">
        <v>966467</v>
      </c>
      <c r="AS817" s="211"/>
      <c r="AT817" s="211"/>
      <c r="AU817" s="211"/>
      <c r="AV817" s="211"/>
      <c r="AW817" s="211"/>
      <c r="AX817" s="211"/>
      <c r="AY817" s="211"/>
      <c r="AZ817" s="211"/>
      <c r="BA817" s="211"/>
      <c r="BB817" s="211"/>
      <c r="BC817" s="211"/>
      <c r="BD817" s="333">
        <v>43878</v>
      </c>
      <c r="BE817" s="82">
        <f t="shared" si="110"/>
        <v>12426000</v>
      </c>
    </row>
    <row r="818" spans="2:57" ht="20.399999999999999" hidden="1" x14ac:dyDescent="0.3">
      <c r="B818" s="2" t="str">
        <f>+'Base de Datos'!E818</f>
        <v>190356-0-2019</v>
      </c>
      <c r="C818" s="2" t="str">
        <f>+'Base de Datos'!F818</f>
        <v xml:space="preserve">WILLIAM ANDRES GUERRERO CABALLERO </v>
      </c>
      <c r="D818" s="2">
        <f>+'Base de Datos'!G818</f>
        <v>1012321683</v>
      </c>
      <c r="E818" s="2" t="str">
        <f>+'Base de Datos'!H818</f>
        <v xml:space="preserve">Prestar servicios de apoyo a la Dirección Financiera del Concejo del Bogotá relacionados con el proceso de nómina </v>
      </c>
      <c r="F818" s="197">
        <f>+'Base de Datos'!I818</f>
        <v>13254000</v>
      </c>
      <c r="G818" s="196">
        <f>+'Base de Datos'!M818</f>
        <v>43661</v>
      </c>
      <c r="H818" s="196">
        <f>+'Base de Datos'!N818</f>
        <v>43830</v>
      </c>
      <c r="I818" s="196">
        <v>43844</v>
      </c>
      <c r="J818" s="158"/>
      <c r="K818" s="333"/>
      <c r="L818" s="211"/>
      <c r="M818" s="336"/>
      <c r="N818" s="158"/>
      <c r="O818" s="333"/>
      <c r="P818" s="158"/>
      <c r="Q818" s="338"/>
      <c r="R818" s="81">
        <f t="shared" si="111"/>
        <v>0</v>
      </c>
      <c r="S818" s="258"/>
      <c r="T818" s="333"/>
      <c r="U818" s="158"/>
      <c r="V818" s="333"/>
      <c r="W818" s="158"/>
      <c r="X818" s="333"/>
      <c r="Y818" s="158"/>
      <c r="Z818" s="1002"/>
      <c r="AA818" s="1003"/>
      <c r="AB818" s="1004" t="str">
        <f t="shared" si="104"/>
        <v/>
      </c>
      <c r="AC818" s="1082" t="str">
        <f t="shared" si="105"/>
        <v/>
      </c>
      <c r="AD818" s="1004"/>
      <c r="AE818" s="1004"/>
      <c r="AF818" s="1084" t="str">
        <f t="shared" si="106"/>
        <v/>
      </c>
      <c r="AG818" s="1082" t="str">
        <f t="shared" si="107"/>
        <v/>
      </c>
      <c r="AH818" s="1092"/>
      <c r="AI818" s="1087"/>
      <c r="AJ818" s="1084" t="str">
        <f t="shared" si="108"/>
        <v/>
      </c>
      <c r="AK818" s="1083" t="str">
        <f t="shared" si="109"/>
        <v/>
      </c>
      <c r="AL818" s="211">
        <v>1178133</v>
      </c>
      <c r="AM818" s="211">
        <v>2209000</v>
      </c>
      <c r="AN818" s="211">
        <v>2209000</v>
      </c>
      <c r="AO818" s="211">
        <v>2209000</v>
      </c>
      <c r="AP818" s="211">
        <v>2209000</v>
      </c>
      <c r="AQ818" s="211">
        <v>2209000</v>
      </c>
      <c r="AR818" s="211">
        <v>1030867</v>
      </c>
      <c r="AS818" s="211"/>
      <c r="AT818" s="211"/>
      <c r="AU818" s="211"/>
      <c r="AV818" s="211"/>
      <c r="AW818" s="211"/>
      <c r="AX818" s="211"/>
      <c r="AY818" s="211"/>
      <c r="AZ818" s="211"/>
      <c r="BA818" s="211"/>
      <c r="BB818" s="211"/>
      <c r="BC818" s="211"/>
      <c r="BD818" s="333">
        <v>43854</v>
      </c>
      <c r="BE818" s="82">
        <f t="shared" si="110"/>
        <v>13254000</v>
      </c>
    </row>
    <row r="819" spans="2:57" ht="20.399999999999999" hidden="1" x14ac:dyDescent="0.3">
      <c r="B819" s="2" t="str">
        <f>+'Base de Datos'!E819</f>
        <v>190353-0-2019</v>
      </c>
      <c r="C819" s="2" t="str">
        <f>+'Base de Datos'!F819</f>
        <v>DENIS ADRIANA CRISTANCHO SALAS</v>
      </c>
      <c r="D819" s="2">
        <f>+'Base de Datos'!G819</f>
        <v>1022322549</v>
      </c>
      <c r="E819" s="2" t="str">
        <f>+'Base de Datos'!H819</f>
        <v>Prestar servicios de apoyo a la Dirección Financiera del Concejo del Bogotá relacionados con el proceso de nómina</v>
      </c>
      <c r="F819" s="197">
        <f>+'Base de Datos'!I819</f>
        <v>13254000</v>
      </c>
      <c r="G819" s="196">
        <f>+'Base de Datos'!M819</f>
        <v>43662</v>
      </c>
      <c r="H819" s="196">
        <f>+'Base de Datos'!N819</f>
        <v>43830</v>
      </c>
      <c r="I819" s="196">
        <v>43845</v>
      </c>
      <c r="J819" s="158"/>
      <c r="K819" s="333"/>
      <c r="L819" s="211"/>
      <c r="M819" s="336"/>
      <c r="N819" s="158"/>
      <c r="O819" s="333"/>
      <c r="P819" s="158"/>
      <c r="Q819" s="338"/>
      <c r="R819" s="81">
        <f t="shared" si="111"/>
        <v>0</v>
      </c>
      <c r="S819" s="258"/>
      <c r="T819" s="333"/>
      <c r="U819" s="158"/>
      <c r="V819" s="333"/>
      <c r="W819" s="158"/>
      <c r="X819" s="333"/>
      <c r="Y819" s="158"/>
      <c r="Z819" s="1002"/>
      <c r="AA819" s="1003"/>
      <c r="AB819" s="1004" t="str">
        <f t="shared" si="104"/>
        <v/>
      </c>
      <c r="AC819" s="1082" t="str">
        <f t="shared" si="105"/>
        <v/>
      </c>
      <c r="AD819" s="1004"/>
      <c r="AE819" s="1004"/>
      <c r="AF819" s="1084" t="str">
        <f t="shared" si="106"/>
        <v/>
      </c>
      <c r="AG819" s="1082" t="str">
        <f t="shared" si="107"/>
        <v/>
      </c>
      <c r="AH819" s="1092"/>
      <c r="AI819" s="1087"/>
      <c r="AJ819" s="1084" t="str">
        <f t="shared" si="108"/>
        <v/>
      </c>
      <c r="AK819" s="1083" t="str">
        <f t="shared" si="109"/>
        <v/>
      </c>
      <c r="AL819" s="211">
        <v>1104500</v>
      </c>
      <c r="AM819" s="211">
        <v>2209000</v>
      </c>
      <c r="AN819" s="211">
        <v>2209000</v>
      </c>
      <c r="AO819" s="211">
        <v>2209000</v>
      </c>
      <c r="AP819" s="211">
        <v>2209000</v>
      </c>
      <c r="AQ819" s="211">
        <v>2209000</v>
      </c>
      <c r="AR819" s="211">
        <v>1104500</v>
      </c>
      <c r="AS819" s="211"/>
      <c r="AT819" s="211"/>
      <c r="AU819" s="211"/>
      <c r="AV819" s="211"/>
      <c r="AW819" s="211"/>
      <c r="AX819" s="211"/>
      <c r="AY819" s="211"/>
      <c r="AZ819" s="211"/>
      <c r="BA819" s="211"/>
      <c r="BB819" s="211"/>
      <c r="BC819" s="211"/>
      <c r="BD819" s="333">
        <v>43857</v>
      </c>
      <c r="BE819" s="82">
        <f t="shared" si="110"/>
        <v>13254000</v>
      </c>
    </row>
    <row r="820" spans="2:57" ht="20.399999999999999" hidden="1" x14ac:dyDescent="0.3">
      <c r="B820" s="2" t="str">
        <f>+'Base de Datos'!E820</f>
        <v>190336-0-2019</v>
      </c>
      <c r="C820" s="2" t="str">
        <f>+'Base de Datos'!F820</f>
        <v>PANAMERICANA LIBRERÍA Y PAPELERIA SA</v>
      </c>
      <c r="D820" s="2" t="str">
        <f>+'Base de Datos'!G820</f>
        <v>830037946-3</v>
      </c>
      <c r="E820" s="2" t="str">
        <f>+'Base de Datos'!H820</f>
        <v>Adquirir tóner para las impresoras propiedad del Concejo de Bogotá</v>
      </c>
      <c r="F820" s="197">
        <f>+'Base de Datos'!I820</f>
        <v>13767122</v>
      </c>
      <c r="G820" s="196">
        <f>+'Base de Datos'!M820</f>
        <v>43654</v>
      </c>
      <c r="H820" s="196">
        <f>+'Base de Datos'!N820</f>
        <v>43661</v>
      </c>
      <c r="I820" s="196"/>
      <c r="J820" s="158"/>
      <c r="K820" s="333"/>
      <c r="L820" s="211"/>
      <c r="M820" s="336"/>
      <c r="N820" s="158"/>
      <c r="O820" s="333"/>
      <c r="P820" s="158"/>
      <c r="Q820" s="338"/>
      <c r="R820" s="81">
        <f t="shared" si="111"/>
        <v>0</v>
      </c>
      <c r="S820" s="258"/>
      <c r="T820" s="333"/>
      <c r="U820" s="158"/>
      <c r="V820" s="333"/>
      <c r="W820" s="158"/>
      <c r="X820" s="333"/>
      <c r="Y820" s="158"/>
      <c r="Z820" s="1002"/>
      <c r="AA820" s="1003"/>
      <c r="AB820" s="1004" t="str">
        <f t="shared" si="104"/>
        <v/>
      </c>
      <c r="AC820" s="1082" t="str">
        <f t="shared" si="105"/>
        <v/>
      </c>
      <c r="AD820" s="1004"/>
      <c r="AE820" s="1004"/>
      <c r="AF820" s="1084" t="str">
        <f t="shared" si="106"/>
        <v/>
      </c>
      <c r="AG820" s="1082" t="str">
        <f t="shared" si="107"/>
        <v/>
      </c>
      <c r="AH820" s="1092"/>
      <c r="AI820" s="1087"/>
      <c r="AJ820" s="1084" t="str">
        <f t="shared" si="108"/>
        <v/>
      </c>
      <c r="AK820" s="1083" t="str">
        <f t="shared" si="109"/>
        <v/>
      </c>
      <c r="AL820" s="211">
        <v>13767122</v>
      </c>
      <c r="AM820" s="211"/>
      <c r="AN820" s="211"/>
      <c r="AO820" s="211"/>
      <c r="AP820" s="211"/>
      <c r="AQ820" s="211"/>
      <c r="AR820" s="211"/>
      <c r="AS820" s="211"/>
      <c r="AT820" s="211"/>
      <c r="AU820" s="211"/>
      <c r="AV820" s="211"/>
      <c r="AW820" s="211"/>
      <c r="AX820" s="211"/>
      <c r="AY820" s="211"/>
      <c r="AZ820" s="211"/>
      <c r="BA820" s="211"/>
      <c r="BB820" s="211"/>
      <c r="BC820" s="211"/>
      <c r="BD820" s="333">
        <v>43718</v>
      </c>
      <c r="BE820" s="82">
        <f t="shared" si="110"/>
        <v>13767122</v>
      </c>
    </row>
    <row r="821" spans="2:57" ht="20.399999999999999" hidden="1" x14ac:dyDescent="0.3">
      <c r="B821" s="2" t="str">
        <f>+'Base de Datos'!E821</f>
        <v>190321-0-2019</v>
      </c>
      <c r="C821" s="2" t="str">
        <f>+'Base de Datos'!F821</f>
        <v>BUSINESSMIND COLOMBIA SA</v>
      </c>
      <c r="D821" s="2" t="str">
        <f>+'Base de Datos'!G821</f>
        <v>900105979-1</v>
      </c>
      <c r="E821" s="2" t="str">
        <f>+'Base de Datos'!H821</f>
        <v>Prestar servicios de administración y operación de la plataforma oracle del Concejo de Bogotá</v>
      </c>
      <c r="F821" s="197">
        <f>+'Base de Datos'!I821</f>
        <v>123141500</v>
      </c>
      <c r="G821" s="196">
        <f>+'Base de Datos'!M821</f>
        <v>43661</v>
      </c>
      <c r="H821" s="196">
        <f>+'Base de Datos'!N821</f>
        <v>43965</v>
      </c>
      <c r="I821" s="196"/>
      <c r="J821" s="158"/>
      <c r="K821" s="333"/>
      <c r="L821" s="211"/>
      <c r="M821" s="336"/>
      <c r="N821" s="158"/>
      <c r="O821" s="333"/>
      <c r="P821" s="158"/>
      <c r="Q821" s="338"/>
      <c r="R821" s="81">
        <f t="shared" si="111"/>
        <v>0</v>
      </c>
      <c r="S821" s="258"/>
      <c r="T821" s="333"/>
      <c r="U821" s="158"/>
      <c r="V821" s="333"/>
      <c r="W821" s="158"/>
      <c r="X821" s="333"/>
      <c r="Y821" s="158"/>
      <c r="Z821" s="1002"/>
      <c r="AA821" s="1003"/>
      <c r="AB821" s="1004" t="str">
        <f t="shared" si="104"/>
        <v/>
      </c>
      <c r="AC821" s="1082" t="str">
        <f t="shared" si="105"/>
        <v/>
      </c>
      <c r="AD821" s="1004"/>
      <c r="AE821" s="1004"/>
      <c r="AF821" s="1084" t="str">
        <f t="shared" si="106"/>
        <v/>
      </c>
      <c r="AG821" s="1082" t="str">
        <f t="shared" si="107"/>
        <v/>
      </c>
      <c r="AH821" s="1092"/>
      <c r="AI821" s="1087"/>
      <c r="AJ821" s="1084" t="str">
        <f t="shared" si="108"/>
        <v/>
      </c>
      <c r="AK821" s="1083" t="str">
        <f t="shared" si="109"/>
        <v/>
      </c>
      <c r="AL821" s="211">
        <v>12314150</v>
      </c>
      <c r="AM821" s="211">
        <v>12314150</v>
      </c>
      <c r="AN821" s="211">
        <v>12314150</v>
      </c>
      <c r="AO821" s="211">
        <v>12314150</v>
      </c>
      <c r="AP821" s="211">
        <v>12314150</v>
      </c>
      <c r="AQ821" s="211">
        <v>12314150</v>
      </c>
      <c r="AR821" s="211">
        <v>12314150</v>
      </c>
      <c r="AS821" s="211">
        <v>12314150</v>
      </c>
      <c r="AT821" s="211">
        <v>12314150</v>
      </c>
      <c r="AU821" s="211">
        <v>12314150</v>
      </c>
      <c r="AV821" s="211"/>
      <c r="AW821" s="211"/>
      <c r="AX821" s="211"/>
      <c r="AY821" s="211"/>
      <c r="AZ821" s="211"/>
      <c r="BA821" s="211"/>
      <c r="BB821" s="211"/>
      <c r="BC821" s="211"/>
      <c r="BD821" s="333">
        <v>44006</v>
      </c>
      <c r="BE821" s="82">
        <f t="shared" si="110"/>
        <v>123141500</v>
      </c>
    </row>
    <row r="822" spans="2:57" ht="20.399999999999999" hidden="1" x14ac:dyDescent="0.3">
      <c r="B822" s="2" t="str">
        <f>+'Base de Datos'!E822</f>
        <v>190335-0-2019</v>
      </c>
      <c r="C822" s="2" t="str">
        <f>+'Base de Datos'!F822</f>
        <v>MAKRO SUPERMAYORISTAS SAS</v>
      </c>
      <c r="D822" s="2" t="str">
        <f>+'Base de Datos'!G822</f>
        <v>900059238-5</v>
      </c>
      <c r="E822" s="2" t="str">
        <f>+'Base de Datos'!H822</f>
        <v>Adquirir papel para las impresoras propiedad del Concejo de Bogotá</v>
      </c>
      <c r="F822" s="197">
        <f>+'Base de Datos'!I822</f>
        <v>2303335</v>
      </c>
      <c r="G822" s="196">
        <f>+'Base de Datos'!M822</f>
        <v>43651</v>
      </c>
      <c r="H822" s="196">
        <f>+'Base de Datos'!N822</f>
        <v>43658</v>
      </c>
      <c r="I822" s="196"/>
      <c r="J822" s="158"/>
      <c r="K822" s="333"/>
      <c r="L822" s="211"/>
      <c r="M822" s="336"/>
      <c r="N822" s="158"/>
      <c r="O822" s="333"/>
      <c r="P822" s="158"/>
      <c r="Q822" s="338"/>
      <c r="R822" s="81">
        <f t="shared" si="111"/>
        <v>0</v>
      </c>
      <c r="S822" s="258"/>
      <c r="T822" s="333"/>
      <c r="U822" s="158"/>
      <c r="V822" s="333"/>
      <c r="W822" s="158"/>
      <c r="X822" s="333"/>
      <c r="Y822" s="158"/>
      <c r="Z822" s="1002"/>
      <c r="AA822" s="1003"/>
      <c r="AB822" s="1004" t="str">
        <f t="shared" si="104"/>
        <v/>
      </c>
      <c r="AC822" s="1082" t="str">
        <f t="shared" si="105"/>
        <v/>
      </c>
      <c r="AD822" s="1004"/>
      <c r="AE822" s="1004"/>
      <c r="AF822" s="1084" t="str">
        <f t="shared" si="106"/>
        <v/>
      </c>
      <c r="AG822" s="1082" t="str">
        <f t="shared" si="107"/>
        <v/>
      </c>
      <c r="AH822" s="1092"/>
      <c r="AI822" s="1087"/>
      <c r="AJ822" s="1084" t="str">
        <f t="shared" si="108"/>
        <v/>
      </c>
      <c r="AK822" s="1083" t="str">
        <f t="shared" si="109"/>
        <v/>
      </c>
      <c r="AL822" s="211">
        <v>2303335</v>
      </c>
      <c r="AM822" s="211"/>
      <c r="AN822" s="211"/>
      <c r="AO822" s="211"/>
      <c r="AP822" s="211"/>
      <c r="AQ822" s="211"/>
      <c r="AR822" s="211"/>
      <c r="AS822" s="211"/>
      <c r="AT822" s="211"/>
      <c r="AU822" s="211"/>
      <c r="AV822" s="211"/>
      <c r="AW822" s="211"/>
      <c r="AX822" s="211"/>
      <c r="AY822" s="211"/>
      <c r="AZ822" s="211"/>
      <c r="BA822" s="211"/>
      <c r="BB822" s="211"/>
      <c r="BC822" s="211"/>
      <c r="BD822" s="333">
        <v>43721</v>
      </c>
      <c r="BE822" s="82">
        <f t="shared" si="110"/>
        <v>2303335</v>
      </c>
    </row>
    <row r="823" spans="2:57" ht="20.399999999999999" hidden="1" x14ac:dyDescent="0.3">
      <c r="B823" s="2" t="str">
        <f>+'Base de Datos'!E823</f>
        <v>190332-0-2019</v>
      </c>
      <c r="C823" s="2" t="str">
        <f>+'Base de Datos'!F823</f>
        <v>CENTRO CAR 19 LIMITADA</v>
      </c>
      <c r="D823" s="2" t="str">
        <f>+'Base de Datos'!G823</f>
        <v>800250589-1</v>
      </c>
      <c r="E823" s="2" t="str">
        <f>+'Base de Datos'!H823</f>
        <v>Prestar servicios de mantenimiento periódico preventivo para los vehículos del Concejo de Bogotá, D.C.</v>
      </c>
      <c r="F823" s="197">
        <f>+'Base de Datos'!I823</f>
        <v>32607000</v>
      </c>
      <c r="G823" s="196">
        <f>+'Base de Datos'!M823</f>
        <v>43668</v>
      </c>
      <c r="H823" s="196">
        <f>+'Base de Datos'!N823</f>
        <v>44003</v>
      </c>
      <c r="I823" s="196"/>
      <c r="J823" s="158">
        <v>520000</v>
      </c>
      <c r="K823" s="333">
        <v>44162</v>
      </c>
      <c r="L823" s="211"/>
      <c r="M823" s="336"/>
      <c r="N823" s="158"/>
      <c r="O823" s="333"/>
      <c r="P823" s="158"/>
      <c r="Q823" s="338"/>
      <c r="R823" s="81">
        <f t="shared" si="111"/>
        <v>520000</v>
      </c>
      <c r="S823" s="820" t="s">
        <v>6087</v>
      </c>
      <c r="T823" s="333">
        <v>44073</v>
      </c>
      <c r="U823" s="158" t="s">
        <v>379</v>
      </c>
      <c r="V823" s="333">
        <v>44165</v>
      </c>
      <c r="W823" s="158"/>
      <c r="X823" s="333"/>
      <c r="Y823" s="158"/>
      <c r="Z823" s="1002"/>
      <c r="AA823" s="820" t="s">
        <v>6361</v>
      </c>
      <c r="AB823" s="1004">
        <f t="shared" si="104"/>
        <v>44165</v>
      </c>
      <c r="AC823" s="1082" t="str">
        <f t="shared" si="105"/>
        <v/>
      </c>
      <c r="AD823" s="1004"/>
      <c r="AE823" s="1004"/>
      <c r="AF823" s="1084" t="str">
        <f t="shared" si="106"/>
        <v/>
      </c>
      <c r="AG823" s="1082" t="str">
        <f t="shared" si="107"/>
        <v/>
      </c>
      <c r="AH823" s="1092"/>
      <c r="AI823" s="1087"/>
      <c r="AJ823" s="1084" t="str">
        <f t="shared" si="108"/>
        <v/>
      </c>
      <c r="AK823" s="1083" t="str">
        <f t="shared" si="109"/>
        <v/>
      </c>
      <c r="AL823" s="211">
        <v>933000</v>
      </c>
      <c r="AM823" s="211">
        <v>1234000</v>
      </c>
      <c r="AN823" s="211">
        <v>2579410</v>
      </c>
      <c r="AO823" s="211">
        <v>3776610</v>
      </c>
      <c r="AP823" s="211">
        <v>3257406</v>
      </c>
      <c r="AQ823" s="211">
        <v>1535003</v>
      </c>
      <c r="AR823" s="211">
        <v>1057600</v>
      </c>
      <c r="AS823" s="211">
        <v>378000</v>
      </c>
      <c r="AT823" s="211">
        <v>589000</v>
      </c>
      <c r="AU823" s="211">
        <v>682000</v>
      </c>
      <c r="AV823" s="211">
        <v>565000</v>
      </c>
      <c r="AW823" s="211">
        <f>520000+1211998</f>
        <v>1731998</v>
      </c>
      <c r="AX823" s="211"/>
      <c r="AY823" s="211"/>
      <c r="AZ823" s="211"/>
      <c r="BA823" s="211"/>
      <c r="BB823" s="211"/>
      <c r="BC823" s="211"/>
      <c r="BD823" s="333">
        <v>44183</v>
      </c>
      <c r="BE823" s="82">
        <f t="shared" si="110"/>
        <v>18319027</v>
      </c>
    </row>
    <row r="824" spans="2:57" ht="30.6" hidden="1" x14ac:dyDescent="0.3">
      <c r="B824" s="2" t="str">
        <f>+'Base de Datos'!E824</f>
        <v>190352-0-2019</v>
      </c>
      <c r="C824" s="2" t="str">
        <f>+'Base de Datos'!F824</f>
        <v>VICTOR HUGO ORTEGA MONTERO</v>
      </c>
      <c r="D824" s="2">
        <f>+'Base de Datos'!G824</f>
        <v>1102820905</v>
      </c>
      <c r="E824" s="2" t="str">
        <f>+'Base de Datos'!H824</f>
        <v>Prestar servicios de apoyo a la Dirección Jurídica del Concejo de Bogotá D.C. en lo referente a los proyectos de respuesta de los derechos de petición, solicitudes y quejas.</v>
      </c>
      <c r="F824" s="197">
        <f>+'Base de Datos'!I824</f>
        <v>12012000</v>
      </c>
      <c r="G824" s="196">
        <f>+'Base de Datos'!M824</f>
        <v>43664</v>
      </c>
      <c r="H824" s="196">
        <f>+'Base de Datos'!N824</f>
        <v>43830</v>
      </c>
      <c r="I824" s="196">
        <v>43847</v>
      </c>
      <c r="J824" s="158"/>
      <c r="K824" s="333"/>
      <c r="L824" s="211"/>
      <c r="M824" s="336"/>
      <c r="N824" s="158"/>
      <c r="O824" s="333"/>
      <c r="P824" s="158"/>
      <c r="Q824" s="338"/>
      <c r="R824" s="81">
        <f t="shared" si="111"/>
        <v>0</v>
      </c>
      <c r="S824" s="258"/>
      <c r="T824" s="333"/>
      <c r="U824" s="158"/>
      <c r="V824" s="333"/>
      <c r="W824" s="158"/>
      <c r="X824" s="333"/>
      <c r="Y824" s="158"/>
      <c r="Z824" s="1002"/>
      <c r="AA824" s="1003"/>
      <c r="AB824" s="1004" t="str">
        <f t="shared" si="104"/>
        <v/>
      </c>
      <c r="AC824" s="1082" t="str">
        <f t="shared" si="105"/>
        <v/>
      </c>
      <c r="AD824" s="1004"/>
      <c r="AE824" s="1004"/>
      <c r="AF824" s="1084" t="str">
        <f t="shared" si="106"/>
        <v/>
      </c>
      <c r="AG824" s="1082" t="str">
        <f t="shared" si="107"/>
        <v/>
      </c>
      <c r="AH824" s="1092"/>
      <c r="AI824" s="1087"/>
      <c r="AJ824" s="1084" t="str">
        <f t="shared" si="108"/>
        <v/>
      </c>
      <c r="AK824" s="1083" t="str">
        <f t="shared" si="109"/>
        <v/>
      </c>
      <c r="AL824" s="211">
        <v>867533</v>
      </c>
      <c r="AM824" s="211">
        <v>2002000</v>
      </c>
      <c r="AN824" s="211">
        <v>2002000</v>
      </c>
      <c r="AO824" s="211">
        <v>2002000</v>
      </c>
      <c r="AP824" s="211">
        <v>2002000</v>
      </c>
      <c r="AQ824" s="211">
        <v>2002000</v>
      </c>
      <c r="AR824" s="211"/>
      <c r="AS824" s="211"/>
      <c r="AT824" s="211"/>
      <c r="AU824" s="211"/>
      <c r="AV824" s="211"/>
      <c r="AW824" s="211"/>
      <c r="AX824" s="211"/>
      <c r="AY824" s="211"/>
      <c r="AZ824" s="211"/>
      <c r="BA824" s="211"/>
      <c r="BB824" s="211"/>
      <c r="BC824" s="211"/>
      <c r="BD824" s="333">
        <v>43847</v>
      </c>
      <c r="BE824" s="82">
        <f t="shared" si="110"/>
        <v>10877533</v>
      </c>
    </row>
    <row r="825" spans="2:57" ht="30.6" hidden="1" x14ac:dyDescent="0.3">
      <c r="B825" s="2" t="str">
        <f>+'Base de Datos'!E825</f>
        <v>190341-0-2019</v>
      </c>
      <c r="C825" s="2" t="str">
        <f>+'Base de Datos'!F825</f>
        <v>UNIVERSIDAD LA GRAN COLOMBIA</v>
      </c>
      <c r="D825" s="2" t="str">
        <f>+'Base de Datos'!G825</f>
        <v>860015685-0</v>
      </c>
      <c r="E825" s="2" t="str">
        <f>+'Base de Datos'!H825</f>
        <v>Prestar servicios para realizar las actividades de capacitación previstas en el plan institucional de capacitación para los funcionarios del Concejo de Bogotá.</v>
      </c>
      <c r="F825" s="197">
        <f>+'Base de Datos'!I825</f>
        <v>292382919</v>
      </c>
      <c r="G825" s="196">
        <f>+'Base de Datos'!M825</f>
        <v>43668</v>
      </c>
      <c r="H825" s="196">
        <f>+'Base de Datos'!N825</f>
        <v>43911</v>
      </c>
      <c r="I825" s="196"/>
      <c r="J825" s="158"/>
      <c r="K825" s="333"/>
      <c r="L825" s="211"/>
      <c r="M825" s="336"/>
      <c r="N825" s="158"/>
      <c r="O825" s="333"/>
      <c r="P825" s="158"/>
      <c r="Q825" s="338"/>
      <c r="R825" s="81">
        <f t="shared" si="111"/>
        <v>0</v>
      </c>
      <c r="S825" s="258" t="s">
        <v>380</v>
      </c>
      <c r="T825" s="333">
        <v>44033</v>
      </c>
      <c r="U825" s="158"/>
      <c r="V825" s="333"/>
      <c r="W825" s="158"/>
      <c r="X825" s="333"/>
      <c r="Y825" s="158"/>
      <c r="Z825" s="1002"/>
      <c r="AA825" s="1003" t="s">
        <v>380</v>
      </c>
      <c r="AB825" s="1004">
        <f t="shared" si="104"/>
        <v>44033</v>
      </c>
      <c r="AC825" s="1082" t="str">
        <f t="shared" si="105"/>
        <v/>
      </c>
      <c r="AD825" s="1004"/>
      <c r="AE825" s="1004"/>
      <c r="AF825" s="1084" t="str">
        <f t="shared" si="106"/>
        <v/>
      </c>
      <c r="AG825" s="1082" t="str">
        <f t="shared" si="107"/>
        <v/>
      </c>
      <c r="AH825" s="1092"/>
      <c r="AI825" s="1087"/>
      <c r="AJ825" s="1084" t="str">
        <f t="shared" si="108"/>
        <v/>
      </c>
      <c r="AK825" s="1083" t="str">
        <f t="shared" si="109"/>
        <v/>
      </c>
      <c r="AL825" s="211">
        <v>29075000</v>
      </c>
      <c r="AM825" s="211">
        <v>20200000</v>
      </c>
      <c r="AN825" s="211">
        <v>23400000</v>
      </c>
      <c r="AO825" s="211">
        <v>21100000</v>
      </c>
      <c r="AP825" s="211"/>
      <c r="AQ825" s="211">
        <v>49833333</v>
      </c>
      <c r="AR825" s="211">
        <v>90391667</v>
      </c>
      <c r="AS825" s="211"/>
      <c r="AT825" s="211"/>
      <c r="AU825" s="211"/>
      <c r="AV825" s="211"/>
      <c r="AW825" s="211"/>
      <c r="AX825" s="211"/>
      <c r="AY825" s="211"/>
      <c r="AZ825" s="211"/>
      <c r="BA825" s="211"/>
      <c r="BB825" s="211"/>
      <c r="BC825" s="211"/>
      <c r="BD825" s="333">
        <v>44091</v>
      </c>
      <c r="BE825" s="82">
        <f t="shared" si="110"/>
        <v>234000000</v>
      </c>
    </row>
    <row r="826" spans="2:57" ht="30.6" hidden="1" x14ac:dyDescent="0.3">
      <c r="B826" s="2" t="str">
        <f>+'Base de Datos'!E826</f>
        <v>190344-0-2019</v>
      </c>
      <c r="C826" s="2" t="str">
        <f>+'Base de Datos'!F826</f>
        <v>DANIEL ALBERTO PIEDRAHITA NUÑEZ</v>
      </c>
      <c r="D826" s="2">
        <f>+'Base de Datos'!G826</f>
        <v>92030702</v>
      </c>
      <c r="E826" s="2" t="str">
        <f>+'Base de Datos'!H826</f>
        <v>Prestar servicios profesionales para apoyar a la Dirección Financiera en el marco de los asuntos jurídicos de acuerdo a la normatividad vigente</v>
      </c>
      <c r="F826" s="197">
        <f>+'Base de Datos'!I826</f>
        <v>39132000</v>
      </c>
      <c r="G826" s="196">
        <f>+'Base de Datos'!M826</f>
        <v>43658</v>
      </c>
      <c r="H826" s="196">
        <f>+'Base de Datos'!N826</f>
        <v>43830</v>
      </c>
      <c r="I826" s="196">
        <v>43841</v>
      </c>
      <c r="J826" s="158"/>
      <c r="K826" s="333"/>
      <c r="L826" s="211"/>
      <c r="M826" s="336"/>
      <c r="N826" s="158"/>
      <c r="O826" s="333"/>
      <c r="P826" s="158"/>
      <c r="Q826" s="338"/>
      <c r="R826" s="81">
        <f t="shared" si="111"/>
        <v>0</v>
      </c>
      <c r="S826" s="258"/>
      <c r="T826" s="333"/>
      <c r="U826" s="158"/>
      <c r="V826" s="333"/>
      <c r="W826" s="158"/>
      <c r="X826" s="333"/>
      <c r="Y826" s="158"/>
      <c r="Z826" s="1002"/>
      <c r="AA826" s="1003"/>
      <c r="AB826" s="1004" t="str">
        <f t="shared" si="104"/>
        <v/>
      </c>
      <c r="AC826" s="1082" t="str">
        <f t="shared" si="105"/>
        <v/>
      </c>
      <c r="AD826" s="1004"/>
      <c r="AE826" s="1004"/>
      <c r="AF826" s="1084" t="str">
        <f t="shared" si="106"/>
        <v/>
      </c>
      <c r="AG826" s="1082" t="str">
        <f t="shared" si="107"/>
        <v/>
      </c>
      <c r="AH826" s="1092"/>
      <c r="AI826" s="1087"/>
      <c r="AJ826" s="1084" t="str">
        <f t="shared" si="108"/>
        <v/>
      </c>
      <c r="AK826" s="1083" t="str">
        <f t="shared" si="109"/>
        <v/>
      </c>
      <c r="AL826" s="211">
        <v>4130600</v>
      </c>
      <c r="AM826" s="211">
        <v>6522000</v>
      </c>
      <c r="AN826" s="211">
        <v>6522000</v>
      </c>
      <c r="AO826" s="211">
        <v>6522000</v>
      </c>
      <c r="AP826" s="211">
        <v>6522000</v>
      </c>
      <c r="AQ826" s="211">
        <v>6522000</v>
      </c>
      <c r="AR826" s="211">
        <v>2391400</v>
      </c>
      <c r="AS826" s="211"/>
      <c r="AT826" s="211"/>
      <c r="AU826" s="211"/>
      <c r="AV826" s="211"/>
      <c r="AW826" s="211"/>
      <c r="AX826" s="211"/>
      <c r="AY826" s="211"/>
      <c r="AZ826" s="211"/>
      <c r="BA826" s="211"/>
      <c r="BB826" s="211"/>
      <c r="BC826" s="211"/>
      <c r="BD826" s="333">
        <v>44134</v>
      </c>
      <c r="BE826" s="82">
        <f t="shared" si="110"/>
        <v>39132000</v>
      </c>
    </row>
    <row r="827" spans="2:57" hidden="1" x14ac:dyDescent="0.3">
      <c r="B827" s="2" t="str">
        <f>+'Base de Datos'!E827</f>
        <v>190329-0-2019</v>
      </c>
      <c r="C827" s="2" t="str">
        <f>+'Base de Datos'!F827</f>
        <v>GREEN FON GROUP SAS</v>
      </c>
      <c r="D827" s="2">
        <f>+'Base de Datos'!G827</f>
        <v>900446648</v>
      </c>
      <c r="E827" s="2" t="str">
        <f>+'Base de Datos'!H827</f>
        <v>Adquirir licencias de software Acrobat Prodoc 2017</v>
      </c>
      <c r="F827" s="197">
        <f>+'Base de Datos'!I827</f>
        <v>9750000</v>
      </c>
      <c r="G827" s="196">
        <f>+'Base de Datos'!M827</f>
        <v>43669</v>
      </c>
      <c r="H827" s="196">
        <f>+'Base de Datos'!N827</f>
        <v>44034</v>
      </c>
      <c r="I827" s="196"/>
      <c r="J827" s="158"/>
      <c r="K827" s="333"/>
      <c r="L827" s="211"/>
      <c r="M827" s="336"/>
      <c r="N827" s="158"/>
      <c r="O827" s="333"/>
      <c r="P827" s="158"/>
      <c r="Q827" s="338"/>
      <c r="R827" s="81">
        <f t="shared" si="111"/>
        <v>0</v>
      </c>
      <c r="S827" s="258"/>
      <c r="T827" s="333"/>
      <c r="U827" s="158"/>
      <c r="V827" s="333"/>
      <c r="W827" s="158"/>
      <c r="X827" s="333"/>
      <c r="Y827" s="158"/>
      <c r="Z827" s="1002"/>
      <c r="AA827" s="1003"/>
      <c r="AB827" s="1004" t="str">
        <f t="shared" si="104"/>
        <v/>
      </c>
      <c r="AC827" s="1082" t="str">
        <f t="shared" si="105"/>
        <v/>
      </c>
      <c r="AD827" s="1004"/>
      <c r="AE827" s="1004"/>
      <c r="AF827" s="1084" t="str">
        <f t="shared" si="106"/>
        <v/>
      </c>
      <c r="AG827" s="1082" t="str">
        <f t="shared" si="107"/>
        <v/>
      </c>
      <c r="AH827" s="1092"/>
      <c r="AI827" s="1087"/>
      <c r="AJ827" s="1084" t="str">
        <f t="shared" si="108"/>
        <v/>
      </c>
      <c r="AK827" s="1083" t="str">
        <f t="shared" si="109"/>
        <v/>
      </c>
      <c r="AL827" s="211">
        <v>9750000</v>
      </c>
      <c r="AM827" s="211"/>
      <c r="AN827" s="211"/>
      <c r="AO827" s="211"/>
      <c r="AP827" s="211"/>
      <c r="AQ827" s="211"/>
      <c r="AR827" s="211"/>
      <c r="AS827" s="211"/>
      <c r="AT827" s="211"/>
      <c r="AU827" s="211"/>
      <c r="AV827" s="211"/>
      <c r="AW827" s="211"/>
      <c r="AX827" s="211"/>
      <c r="AY827" s="211"/>
      <c r="AZ827" s="211"/>
      <c r="BA827" s="211"/>
      <c r="BB827" s="211"/>
      <c r="BC827" s="211"/>
      <c r="BD827" s="333">
        <v>43719</v>
      </c>
      <c r="BE827" s="82">
        <f t="shared" si="110"/>
        <v>9750000</v>
      </c>
    </row>
    <row r="828" spans="2:57" ht="30.6" hidden="1" x14ac:dyDescent="0.3">
      <c r="B828" s="2" t="str">
        <f>+'Base de Datos'!E828</f>
        <v>190359-0-2019</v>
      </c>
      <c r="C828" s="2" t="str">
        <f>+'Base de Datos'!F828</f>
        <v>COMWARE SA</v>
      </c>
      <c r="D828" s="2" t="str">
        <f>+'Base de Datos'!G828</f>
        <v>860045379-1</v>
      </c>
      <c r="E828" s="2" t="str">
        <f>+'Base de Datos'!H828</f>
        <v>Prestar el servicio integral de mesa de ayuda y gestión de impresión con suministro de repuestos para el Concejo de Bogotá.</v>
      </c>
      <c r="F828" s="197">
        <f>+'Base de Datos'!I828</f>
        <v>680942391</v>
      </c>
      <c r="G828" s="196">
        <f>+'Base de Datos'!M828</f>
        <v>43672</v>
      </c>
      <c r="H828" s="196">
        <f>+'Base de Datos'!N828</f>
        <v>43976</v>
      </c>
      <c r="I828" s="196"/>
      <c r="J828" s="158">
        <v>245625636</v>
      </c>
      <c r="K828" s="333">
        <v>43973</v>
      </c>
      <c r="L828" s="211"/>
      <c r="M828" s="336"/>
      <c r="N828" s="158"/>
      <c r="O828" s="333"/>
      <c r="P828" s="158"/>
      <c r="Q828" s="338"/>
      <c r="R828" s="81">
        <f t="shared" si="111"/>
        <v>245625636</v>
      </c>
      <c r="S828" s="258" t="s">
        <v>380</v>
      </c>
      <c r="T828" s="333">
        <v>44099</v>
      </c>
      <c r="U828" s="158"/>
      <c r="V828" s="333"/>
      <c r="W828" s="158"/>
      <c r="X828" s="333"/>
      <c r="Y828" s="158"/>
      <c r="Z828" s="1002"/>
      <c r="AA828" s="1003" t="s">
        <v>380</v>
      </c>
      <c r="AB828" s="1004">
        <f t="shared" si="104"/>
        <v>44099</v>
      </c>
      <c r="AC828" s="1082" t="str">
        <f t="shared" si="105"/>
        <v/>
      </c>
      <c r="AD828" s="1004"/>
      <c r="AE828" s="1004"/>
      <c r="AF828" s="1084" t="str">
        <f t="shared" si="106"/>
        <v/>
      </c>
      <c r="AG828" s="1082" t="str">
        <f t="shared" si="107"/>
        <v/>
      </c>
      <c r="AH828" s="1092"/>
      <c r="AI828" s="1087"/>
      <c r="AJ828" s="1084" t="str">
        <f t="shared" si="108"/>
        <v/>
      </c>
      <c r="AK828" s="1083" t="str">
        <f t="shared" si="109"/>
        <v/>
      </c>
      <c r="AL828" s="211">
        <v>51604066</v>
      </c>
      <c r="AM828" s="211">
        <v>50470060</v>
      </c>
      <c r="AN828" s="211">
        <v>50917770</v>
      </c>
      <c r="AO828" s="211">
        <v>51538267</v>
      </c>
      <c r="AP828" s="211">
        <v>53114566</v>
      </c>
      <c r="AQ828" s="211">
        <v>49995866</v>
      </c>
      <c r="AR828" s="211">
        <v>58755863</v>
      </c>
      <c r="AS828" s="211">
        <v>52077917</v>
      </c>
      <c r="AT828" s="211">
        <v>43745158</v>
      </c>
      <c r="AU828" s="211">
        <v>45303896</v>
      </c>
      <c r="AV828" s="211"/>
      <c r="AW828" s="211"/>
      <c r="AX828" s="211"/>
      <c r="AY828" s="211"/>
      <c r="AZ828" s="211"/>
      <c r="BA828" s="211"/>
      <c r="BB828" s="211"/>
      <c r="BC828" s="211"/>
      <c r="BD828" s="333">
        <v>44033</v>
      </c>
      <c r="BE828" s="82">
        <f t="shared" si="110"/>
        <v>507523429</v>
      </c>
    </row>
    <row r="829" spans="2:57" ht="30.6" hidden="1" x14ac:dyDescent="0.3">
      <c r="B829" s="2" t="str">
        <f>+'Base de Datos'!E829</f>
        <v>190339-0-2019</v>
      </c>
      <c r="C829" s="2" t="str">
        <f>+'Base de Datos'!F829</f>
        <v>UNIVERSIDAD EAN</v>
      </c>
      <c r="D829" s="2" t="str">
        <f>+'Base de Datos'!G829</f>
        <v>860026058-1</v>
      </c>
      <c r="E829" s="2" t="str">
        <f>+'Base de Datos'!H829</f>
        <v>Prestar servicios para realizar las actividades de capacitación previstas en el plan institucional de capacitación para los funcionarios del Concejo de Bogotá.</v>
      </c>
      <c r="F829" s="197">
        <f>+'Base de Datos'!I829</f>
        <v>103058621</v>
      </c>
      <c r="G829" s="196">
        <f>+'Base de Datos'!M829</f>
        <v>43671</v>
      </c>
      <c r="H829" s="196">
        <f>+'Base de Datos'!N829</f>
        <v>43914</v>
      </c>
      <c r="I829" s="196"/>
      <c r="J829" s="158"/>
      <c r="K829" s="333"/>
      <c r="L829" s="211"/>
      <c r="M829" s="336"/>
      <c r="N829" s="158"/>
      <c r="O829" s="333"/>
      <c r="P829" s="158"/>
      <c r="Q829" s="338"/>
      <c r="R829" s="81">
        <f t="shared" si="111"/>
        <v>0</v>
      </c>
      <c r="S829" s="258" t="s">
        <v>380</v>
      </c>
      <c r="T829" s="333">
        <v>44036</v>
      </c>
      <c r="U829" s="158"/>
      <c r="V829" s="333"/>
      <c r="W829" s="158"/>
      <c r="X829" s="333"/>
      <c r="Y829" s="158"/>
      <c r="Z829" s="1002"/>
      <c r="AA829" s="258" t="s">
        <v>380</v>
      </c>
      <c r="AB829" s="1004">
        <f t="shared" ref="AB829:AB892" si="112">IF(ISNUMBER(T829),MAX(T829,V829,X829,Z829),"")</f>
        <v>44036</v>
      </c>
      <c r="AC829" s="1082" t="str">
        <f t="shared" ref="AC829:AC892" si="113">IF(ISNUMBER(AD829),ABS(AD829-AE829)+1,"")</f>
        <v/>
      </c>
      <c r="AD829" s="1004"/>
      <c r="AE829" s="1004"/>
      <c r="AF829" s="1084" t="str">
        <f t="shared" ref="AF829:AF892" si="114">IFERROR(IF(MAX(H829,I829)&lt;AE829,MAX(H829,I829)-AE829+AC829+AE829,MAX(H829,I829)+AC829),"")</f>
        <v/>
      </c>
      <c r="AG829" s="1082" t="str">
        <f t="shared" ref="AG829:AG892" si="115">IF(ISNUMBER(AH829),ABS(AH829-AI829)+1,"")</f>
        <v/>
      </c>
      <c r="AH829" s="1092"/>
      <c r="AI829" s="1087"/>
      <c r="AJ829" s="1084" t="str">
        <f t="shared" ref="AJ829:AJ892" si="116">IFERROR(IF(AF829&lt;AI829,((AF829-AI829)+AG829)+(AI829),AF829+AG829),"")</f>
        <v/>
      </c>
      <c r="AK829" s="1083" t="str">
        <f t="shared" ref="AK829:AK892" si="117">IF(ISNUMBER(AF829),MAX(AB829,AF829,AJ829),"")</f>
        <v/>
      </c>
      <c r="AL829" s="211">
        <v>30360000</v>
      </c>
      <c r="AM829" s="211">
        <v>23920000</v>
      </c>
      <c r="AN829" s="211">
        <v>28200000</v>
      </c>
      <c r="AO829" s="211"/>
      <c r="AP829" s="211"/>
      <c r="AQ829" s="211"/>
      <c r="AR829" s="211"/>
      <c r="AS829" s="211"/>
      <c r="AT829" s="211"/>
      <c r="AU829" s="211"/>
      <c r="AV829" s="211"/>
      <c r="AW829" s="211"/>
      <c r="AX829" s="211"/>
      <c r="AY829" s="211"/>
      <c r="AZ829" s="211"/>
      <c r="BA829" s="211"/>
      <c r="BB829" s="211"/>
      <c r="BC829" s="211"/>
      <c r="BD829" s="333">
        <v>44180</v>
      </c>
      <c r="BE829" s="82">
        <f t="shared" si="110"/>
        <v>82480000</v>
      </c>
    </row>
    <row r="830" spans="2:57" ht="30.6" hidden="1" x14ac:dyDescent="0.3">
      <c r="B830" s="2" t="str">
        <f>+'Base de Datos'!E830</f>
        <v>190340-0-2019</v>
      </c>
      <c r="C830" s="2" t="str">
        <f>+'Base de Datos'!F830</f>
        <v>CERTIFICATION QUALITY RESOURCES SAS</v>
      </c>
      <c r="D830" s="2" t="str">
        <f>+'Base de Datos'!G830</f>
        <v>830040274-3</v>
      </c>
      <c r="E830" s="2" t="str">
        <f>+'Base de Datos'!H830</f>
        <v>Prestar servicios para realizar las actividades de capacitación previstas en el plan institucional de capacitación para los funcionarios del Concejo de Bogotá.</v>
      </c>
      <c r="F830" s="197">
        <f>+'Base de Datos'!I830</f>
        <v>152030445</v>
      </c>
      <c r="G830" s="196">
        <f>+'Base de Datos'!M830</f>
        <v>43675</v>
      </c>
      <c r="H830" s="196">
        <f>+'Base de Datos'!N830</f>
        <v>43918</v>
      </c>
      <c r="I830" s="196"/>
      <c r="J830" s="158"/>
      <c r="K830" s="333"/>
      <c r="L830" s="211"/>
      <c r="M830" s="336"/>
      <c r="N830" s="158"/>
      <c r="O830" s="333"/>
      <c r="P830" s="158"/>
      <c r="Q830" s="338"/>
      <c r="R830" s="81">
        <f t="shared" si="111"/>
        <v>0</v>
      </c>
      <c r="S830" s="258" t="s">
        <v>380</v>
      </c>
      <c r="T830" s="333">
        <v>44040</v>
      </c>
      <c r="U830" s="158"/>
      <c r="V830" s="333"/>
      <c r="W830" s="158"/>
      <c r="X830" s="333"/>
      <c r="Y830" s="158"/>
      <c r="Z830" s="1002"/>
      <c r="AA830" s="1003" t="s">
        <v>380</v>
      </c>
      <c r="AB830" s="1004">
        <f t="shared" si="112"/>
        <v>44040</v>
      </c>
      <c r="AC830" s="1082" t="str">
        <f t="shared" si="113"/>
        <v/>
      </c>
      <c r="AD830" s="1004"/>
      <c r="AE830" s="1004"/>
      <c r="AF830" s="1084" t="str">
        <f t="shared" si="114"/>
        <v/>
      </c>
      <c r="AG830" s="1082" t="str">
        <f t="shared" si="115"/>
        <v/>
      </c>
      <c r="AH830" s="1092"/>
      <c r="AI830" s="1087"/>
      <c r="AJ830" s="1084" t="str">
        <f t="shared" si="116"/>
        <v/>
      </c>
      <c r="AK830" s="1083" t="str">
        <f t="shared" si="117"/>
        <v/>
      </c>
      <c r="AL830" s="211">
        <v>10007662</v>
      </c>
      <c r="AM830" s="211">
        <v>24304322</v>
      </c>
      <c r="AN830" s="211">
        <v>25733988</v>
      </c>
      <c r="AO830" s="211">
        <v>15726326</v>
      </c>
      <c r="AP830" s="211">
        <v>10007662</v>
      </c>
      <c r="AQ830" s="211">
        <v>12866994</v>
      </c>
      <c r="AR830" s="211">
        <v>10007662</v>
      </c>
      <c r="AS830" s="211">
        <v>20015384</v>
      </c>
      <c r="AT830" s="211"/>
      <c r="AU830" s="211"/>
      <c r="AV830" s="211"/>
      <c r="AW830" s="211"/>
      <c r="AX830" s="211"/>
      <c r="AY830" s="211"/>
      <c r="AZ830" s="211"/>
      <c r="BA830" s="211"/>
      <c r="BB830" s="211"/>
      <c r="BC830" s="211"/>
      <c r="BD830" s="333">
        <v>44180</v>
      </c>
      <c r="BE830" s="82">
        <f t="shared" si="110"/>
        <v>128670000</v>
      </c>
    </row>
    <row r="831" spans="2:57" ht="51" hidden="1" x14ac:dyDescent="0.3">
      <c r="B831" s="2" t="str">
        <f>+'Base de Datos'!E831</f>
        <v>190348-0-2019</v>
      </c>
      <c r="C831" s="2" t="str">
        <f>+'Base de Datos'!F831</f>
        <v>MICROS COMPATIBILIDAD REDES Y ELEMENTOS SAS</v>
      </c>
      <c r="D831" s="2">
        <f>+'Base de Datos'!G831</f>
        <v>830005800</v>
      </c>
      <c r="E831" s="2" t="str">
        <f>+'Base de Datos'!H831</f>
        <v>Prestar servicios de actualización, mantenimiento y soporte con el suministro de repuestos para la infraestructura de telecomunicaciones , cableado estructurado (voz y datos), fibra óptica, energía normal y regulada del Concejo de Bogotá, D.C.</v>
      </c>
      <c r="F831" s="197">
        <f>+'Base de Datos'!I831</f>
        <v>26600000</v>
      </c>
      <c r="G831" s="196">
        <f>+'Base de Datos'!M831</f>
        <v>43685</v>
      </c>
      <c r="H831" s="196">
        <f>+'Base de Datos'!N831</f>
        <v>43928</v>
      </c>
      <c r="I831" s="196"/>
      <c r="J831" s="158"/>
      <c r="K831" s="333"/>
      <c r="L831" s="211"/>
      <c r="M831" s="336"/>
      <c r="N831" s="158"/>
      <c r="O831" s="333"/>
      <c r="P831" s="158"/>
      <c r="Q831" s="338"/>
      <c r="R831" s="81">
        <f t="shared" si="111"/>
        <v>0</v>
      </c>
      <c r="S831" s="258"/>
      <c r="T831" s="333"/>
      <c r="U831" s="158"/>
      <c r="V831" s="333"/>
      <c r="W831" s="158"/>
      <c r="X831" s="333"/>
      <c r="Y831" s="158"/>
      <c r="Z831" s="1002"/>
      <c r="AA831" s="1003"/>
      <c r="AB831" s="1004" t="str">
        <f t="shared" si="112"/>
        <v/>
      </c>
      <c r="AC831" s="1082" t="str">
        <f t="shared" si="113"/>
        <v/>
      </c>
      <c r="AD831" s="1004"/>
      <c r="AE831" s="1004"/>
      <c r="AF831" s="1084" t="str">
        <f t="shared" si="114"/>
        <v/>
      </c>
      <c r="AG831" s="1082" t="str">
        <f t="shared" si="115"/>
        <v/>
      </c>
      <c r="AH831" s="1092"/>
      <c r="AI831" s="1087"/>
      <c r="AJ831" s="1084" t="str">
        <f t="shared" si="116"/>
        <v/>
      </c>
      <c r="AK831" s="1083" t="str">
        <f t="shared" si="117"/>
        <v/>
      </c>
      <c r="AL831" s="211">
        <v>10923758</v>
      </c>
      <c r="AM831" s="211">
        <v>6105840</v>
      </c>
      <c r="AN831" s="211"/>
      <c r="AO831" s="211"/>
      <c r="AP831" s="211"/>
      <c r="AQ831" s="211"/>
      <c r="AR831" s="211"/>
      <c r="AS831" s="211"/>
      <c r="AT831" s="211"/>
      <c r="AU831" s="211"/>
      <c r="AV831" s="211"/>
      <c r="AW831" s="211"/>
      <c r="AX831" s="211"/>
      <c r="AY831" s="211"/>
      <c r="AZ831" s="211"/>
      <c r="BA831" s="211"/>
      <c r="BB831" s="211"/>
      <c r="BC831" s="211"/>
      <c r="BD831" s="333">
        <v>43979</v>
      </c>
      <c r="BE831" s="82">
        <f t="shared" si="110"/>
        <v>17029598</v>
      </c>
    </row>
    <row r="832" spans="2:57" ht="40.799999999999997" hidden="1" x14ac:dyDescent="0.3">
      <c r="B832" s="2" t="str">
        <f>+'Base de Datos'!E832</f>
        <v>190362-0-2019</v>
      </c>
      <c r="C832" s="2" t="str">
        <f>+'Base de Datos'!F832</f>
        <v>JUAN FELIPE GALINDO NIÑO</v>
      </c>
      <c r="D832" s="2">
        <f>+'Base de Datos'!G832</f>
        <v>1030582824</v>
      </c>
      <c r="E832" s="2" t="str">
        <f>+'Base de Datos'!H832</f>
        <v>Prestar servicios profesionales para apoyar a la Dirección Jurídica del Concejo de Bogotá en la respuesta a derechos de petición solicitudes, denuncias quejas consultas y reclamos que reciba la corporación.</v>
      </c>
      <c r="F832" s="197">
        <f>+'Base de Datos'!I832</f>
        <v>27222000</v>
      </c>
      <c r="G832" s="196">
        <f>+'Base de Datos'!M832</f>
        <v>43690</v>
      </c>
      <c r="H832" s="196">
        <f>+'Base de Datos'!N832</f>
        <v>43830</v>
      </c>
      <c r="I832" s="196">
        <v>43873</v>
      </c>
      <c r="J832" s="158"/>
      <c r="K832" s="333"/>
      <c r="L832" s="211"/>
      <c r="M832" s="336"/>
      <c r="N832" s="158"/>
      <c r="O832" s="333"/>
      <c r="P832" s="158"/>
      <c r="Q832" s="338"/>
      <c r="R832" s="81">
        <f t="shared" si="111"/>
        <v>0</v>
      </c>
      <c r="S832" s="258"/>
      <c r="T832" s="333"/>
      <c r="U832" s="158"/>
      <c r="V832" s="333"/>
      <c r="W832" s="158"/>
      <c r="X832" s="333"/>
      <c r="Y832" s="158"/>
      <c r="Z832" s="1002"/>
      <c r="AA832" s="1003"/>
      <c r="AB832" s="1004" t="str">
        <f t="shared" si="112"/>
        <v/>
      </c>
      <c r="AC832" s="1082" t="str">
        <f t="shared" si="113"/>
        <v/>
      </c>
      <c r="AD832" s="1004"/>
      <c r="AE832" s="1004"/>
      <c r="AF832" s="1084" t="str">
        <f t="shared" si="114"/>
        <v/>
      </c>
      <c r="AG832" s="1082" t="str">
        <f t="shared" si="115"/>
        <v/>
      </c>
      <c r="AH832" s="1092"/>
      <c r="AI832" s="1087"/>
      <c r="AJ832" s="1084" t="str">
        <f t="shared" si="116"/>
        <v/>
      </c>
      <c r="AK832" s="1083" t="str">
        <f t="shared" si="117"/>
        <v/>
      </c>
      <c r="AL832" s="211">
        <v>2722200</v>
      </c>
      <c r="AM832" s="211">
        <v>4537000</v>
      </c>
      <c r="AN832" s="211">
        <v>4537000</v>
      </c>
      <c r="AO832" s="211">
        <v>4537000</v>
      </c>
      <c r="AP832" s="211">
        <v>4537000</v>
      </c>
      <c r="AQ832" s="211">
        <v>4537000</v>
      </c>
      <c r="AR832" s="211"/>
      <c r="AS832" s="211"/>
      <c r="AT832" s="211"/>
      <c r="AU832" s="211"/>
      <c r="AV832" s="211"/>
      <c r="AW832" s="211"/>
      <c r="AX832" s="211"/>
      <c r="AY832" s="211"/>
      <c r="AZ832" s="211"/>
      <c r="BA832" s="211"/>
      <c r="BB832" s="211"/>
      <c r="BC832" s="211"/>
      <c r="BD832" s="333">
        <v>43875</v>
      </c>
      <c r="BE832" s="82">
        <f t="shared" si="110"/>
        <v>25407200</v>
      </c>
    </row>
    <row r="833" spans="2:57" ht="20.399999999999999" hidden="1" x14ac:dyDescent="0.3">
      <c r="B833" s="2" t="str">
        <f>+'Base de Datos'!E833</f>
        <v>190364-0-2019</v>
      </c>
      <c r="C833" s="2" t="str">
        <f>+'Base de Datos'!F833</f>
        <v>LUZ AIDA ANGULO ANGULO</v>
      </c>
      <c r="D833" s="2">
        <f>+'Base de Datos'!G833</f>
        <v>52297038</v>
      </c>
      <c r="E833" s="2" t="str">
        <f>+'Base de Datos'!H833</f>
        <v>Prestar servicios de apoyo al Concejo de Bogotá en lo referente a logística documental.</v>
      </c>
      <c r="F833" s="197">
        <f>+'Base de Datos'!I833</f>
        <v>12012000</v>
      </c>
      <c r="G833" s="196">
        <f>+'Base de Datos'!M833</f>
        <v>43685</v>
      </c>
      <c r="H833" s="196">
        <f>+'Base de Datos'!N833</f>
        <v>43830</v>
      </c>
      <c r="I833" s="196">
        <v>43868</v>
      </c>
      <c r="J833" s="158"/>
      <c r="K833" s="333"/>
      <c r="L833" s="211"/>
      <c r="M833" s="336"/>
      <c r="N833" s="158"/>
      <c r="O833" s="333"/>
      <c r="P833" s="158"/>
      <c r="Q833" s="338"/>
      <c r="R833" s="81">
        <f t="shared" si="111"/>
        <v>0</v>
      </c>
      <c r="S833" s="258"/>
      <c r="T833" s="333"/>
      <c r="U833" s="158"/>
      <c r="V833" s="333"/>
      <c r="W833" s="158"/>
      <c r="X833" s="333"/>
      <c r="Y833" s="158"/>
      <c r="Z833" s="1002"/>
      <c r="AA833" s="1003"/>
      <c r="AB833" s="1004" t="str">
        <f t="shared" si="112"/>
        <v/>
      </c>
      <c r="AC833" s="1082" t="str">
        <f t="shared" si="113"/>
        <v/>
      </c>
      <c r="AD833" s="1004"/>
      <c r="AE833" s="1004"/>
      <c r="AF833" s="1084" t="str">
        <f t="shared" si="114"/>
        <v/>
      </c>
      <c r="AG833" s="1082" t="str">
        <f t="shared" si="115"/>
        <v/>
      </c>
      <c r="AH833" s="1092"/>
      <c r="AI833" s="1087"/>
      <c r="AJ833" s="1084" t="str">
        <f t="shared" si="116"/>
        <v/>
      </c>
      <c r="AK833" s="1083" t="str">
        <f t="shared" si="117"/>
        <v/>
      </c>
      <c r="AL833" s="211">
        <v>1534867</v>
      </c>
      <c r="AM833" s="211">
        <v>2002000</v>
      </c>
      <c r="AN833" s="211">
        <v>2002000</v>
      </c>
      <c r="AO833" s="211">
        <v>2002000</v>
      </c>
      <c r="AP833" s="211">
        <v>2002000</v>
      </c>
      <c r="AQ833" s="211">
        <v>2002000</v>
      </c>
      <c r="AR833" s="211">
        <v>467133</v>
      </c>
      <c r="AS833" s="211"/>
      <c r="AT833" s="211"/>
      <c r="AU833" s="211"/>
      <c r="AV833" s="211"/>
      <c r="AW833" s="211"/>
      <c r="AX833" s="211"/>
      <c r="AY833" s="211"/>
      <c r="AZ833" s="211"/>
      <c r="BA833" s="211"/>
      <c r="BB833" s="211"/>
      <c r="BC833" s="211"/>
      <c r="BD833" s="333">
        <v>43887</v>
      </c>
      <c r="BE833" s="82">
        <f t="shared" si="110"/>
        <v>12012000</v>
      </c>
    </row>
    <row r="834" spans="2:57" ht="61.2" hidden="1" x14ac:dyDescent="0.3">
      <c r="B834" s="2" t="str">
        <f>+'Base de Datos'!E834</f>
        <v>190355-0-2019</v>
      </c>
      <c r="C834" s="2" t="str">
        <f>+'Base de Datos'!F834</f>
        <v>ALIADOS DE COLOMBIA SAS</v>
      </c>
      <c r="D834" s="2">
        <f>+'Base de Datos'!G834</f>
        <v>900354406</v>
      </c>
      <c r="E834" s="2" t="str">
        <f>+'Base de Datos'!H834</f>
        <v>Prestar servicios de mantenimiento preventivo, correctivo y traslado, incluyendo los repuestos y elementos que requieran los sistemas de archivos rodantes del Concejo de Bogotá, de conformidad con lo establecido en la invitación pública del proceso de mínima cuantía No. SDH-SMINC-31-2019 y la propuesta presentada por el contratista.</v>
      </c>
      <c r="F834" s="197">
        <f>+'Base de Datos'!I834</f>
        <v>5375000</v>
      </c>
      <c r="G834" s="196">
        <f>+'Base de Datos'!M834</f>
        <v>43685</v>
      </c>
      <c r="H834" s="196">
        <f>+'Base de Datos'!N834</f>
        <v>43868</v>
      </c>
      <c r="I834" s="196"/>
      <c r="J834" s="158"/>
      <c r="K834" s="333"/>
      <c r="L834" s="211"/>
      <c r="M834" s="336"/>
      <c r="N834" s="158"/>
      <c r="O834" s="333"/>
      <c r="P834" s="158"/>
      <c r="Q834" s="338"/>
      <c r="R834" s="81">
        <f t="shared" si="111"/>
        <v>0</v>
      </c>
      <c r="S834" s="258"/>
      <c r="T834" s="333"/>
      <c r="U834" s="158"/>
      <c r="V834" s="333"/>
      <c r="W834" s="158"/>
      <c r="X834" s="333"/>
      <c r="Y834" s="158"/>
      <c r="Z834" s="1002"/>
      <c r="AA834" s="1003"/>
      <c r="AB834" s="1004" t="str">
        <f t="shared" si="112"/>
        <v/>
      </c>
      <c r="AC834" s="1082" t="str">
        <f t="shared" si="113"/>
        <v/>
      </c>
      <c r="AD834" s="1004"/>
      <c r="AE834" s="1004"/>
      <c r="AF834" s="1084" t="str">
        <f t="shared" si="114"/>
        <v/>
      </c>
      <c r="AG834" s="1082" t="str">
        <f t="shared" si="115"/>
        <v/>
      </c>
      <c r="AH834" s="1092"/>
      <c r="AI834" s="1087"/>
      <c r="AJ834" s="1084" t="str">
        <f t="shared" si="116"/>
        <v/>
      </c>
      <c r="AK834" s="1083" t="str">
        <f t="shared" si="117"/>
        <v/>
      </c>
      <c r="AL834" s="211">
        <v>2774991</v>
      </c>
      <c r="AM834" s="211">
        <v>2580000</v>
      </c>
      <c r="AN834" s="211"/>
      <c r="AO834" s="211"/>
      <c r="AP834" s="211"/>
      <c r="AQ834" s="211"/>
      <c r="AR834" s="211"/>
      <c r="AS834" s="211"/>
      <c r="AT834" s="211"/>
      <c r="AU834" s="211"/>
      <c r="AV834" s="211"/>
      <c r="AW834" s="211"/>
      <c r="AX834" s="211"/>
      <c r="AY834" s="211"/>
      <c r="AZ834" s="211"/>
      <c r="BA834" s="211"/>
      <c r="BB834" s="211"/>
      <c r="BC834" s="211"/>
      <c r="BD834" s="333">
        <v>44152</v>
      </c>
      <c r="BE834" s="82">
        <f t="shared" si="110"/>
        <v>5354991</v>
      </c>
    </row>
    <row r="835" spans="2:57" ht="40.799999999999997" hidden="1" x14ac:dyDescent="0.3">
      <c r="B835" s="2" t="str">
        <f>+'Base de Datos'!E835</f>
        <v>190365-0-2019</v>
      </c>
      <c r="C835" s="2" t="str">
        <f>+'Base de Datos'!F835</f>
        <v>ORLANDO RUBIO RICO</v>
      </c>
      <c r="D835" s="2">
        <f>+'Base de Datos'!G835</f>
        <v>79445313</v>
      </c>
      <c r="E835" s="2" t="str">
        <f>+'Base de Datos'!H835</f>
        <v>Prestar servicios profesionales para apoyar a la Dirección Jurídica del Concejo de Bogotá D.C., en la implementación de políticas y procedimientos para el fortalecimiento del proceso de atención a la ciudadanía.</v>
      </c>
      <c r="F835" s="197">
        <f>+'Base de Datos'!I835</f>
        <v>34782000</v>
      </c>
      <c r="G835" s="196">
        <f>+'Base de Datos'!M835</f>
        <v>43690</v>
      </c>
      <c r="H835" s="196">
        <f>+'Base de Datos'!N835</f>
        <v>43830</v>
      </c>
      <c r="I835" s="196"/>
      <c r="J835" s="158"/>
      <c r="K835" s="333"/>
      <c r="L835" s="211"/>
      <c r="M835" s="336"/>
      <c r="N835" s="158"/>
      <c r="O835" s="333"/>
      <c r="P835" s="158"/>
      <c r="Q835" s="338"/>
      <c r="R835" s="81">
        <f t="shared" si="111"/>
        <v>0</v>
      </c>
      <c r="S835" s="258"/>
      <c r="T835" s="333"/>
      <c r="U835" s="158"/>
      <c r="V835" s="333"/>
      <c r="W835" s="158"/>
      <c r="X835" s="333"/>
      <c r="Y835" s="158"/>
      <c r="Z835" s="1002"/>
      <c r="AA835" s="1003"/>
      <c r="AB835" s="1004" t="str">
        <f t="shared" si="112"/>
        <v/>
      </c>
      <c r="AC835" s="1082" t="str">
        <f t="shared" si="113"/>
        <v/>
      </c>
      <c r="AD835" s="1004"/>
      <c r="AE835" s="1004"/>
      <c r="AF835" s="1084" t="str">
        <f t="shared" si="114"/>
        <v/>
      </c>
      <c r="AG835" s="1082" t="str">
        <f t="shared" si="115"/>
        <v/>
      </c>
      <c r="AH835" s="1092"/>
      <c r="AI835" s="1087"/>
      <c r="AJ835" s="1084" t="str">
        <f t="shared" si="116"/>
        <v/>
      </c>
      <c r="AK835" s="1083" t="str">
        <f t="shared" si="117"/>
        <v/>
      </c>
      <c r="AL835" s="211">
        <v>3478200</v>
      </c>
      <c r="AM835" s="211">
        <v>5797000</v>
      </c>
      <c r="AN835" s="211">
        <v>5797000</v>
      </c>
      <c r="AO835" s="211">
        <v>5797000</v>
      </c>
      <c r="AP835" s="211">
        <v>5797000</v>
      </c>
      <c r="AQ835" s="211"/>
      <c r="AR835" s="211"/>
      <c r="AS835" s="211"/>
      <c r="AT835" s="211"/>
      <c r="AU835" s="211"/>
      <c r="AV835" s="211"/>
      <c r="AW835" s="211"/>
      <c r="AX835" s="211"/>
      <c r="AY835" s="211"/>
      <c r="AZ835" s="211"/>
      <c r="BA835" s="211"/>
      <c r="BB835" s="211"/>
      <c r="BC835" s="211"/>
      <c r="BD835" s="333">
        <v>43854</v>
      </c>
      <c r="BE835" s="82">
        <f t="shared" si="110"/>
        <v>26666200</v>
      </c>
    </row>
    <row r="836" spans="2:57" ht="30.6" hidden="1" x14ac:dyDescent="0.3">
      <c r="B836" s="2" t="str">
        <f>+'Base de Datos'!E836</f>
        <v>190368-0-2019</v>
      </c>
      <c r="C836" s="2" t="str">
        <f>+'Base de Datos'!F836</f>
        <v>BRANCH OF MICROSOFT COLOMBIA INC</v>
      </c>
      <c r="D836" s="2">
        <f>+'Base de Datos'!G836</f>
        <v>800198591</v>
      </c>
      <c r="E836" s="2" t="str">
        <f>+'Base de Datos'!H836</f>
        <v xml:space="preserve">Prestar servicios de administración y soporte técnico para todos los productos Microsoft instalados o por instalar en el Concejo de Bogotá. </v>
      </c>
      <c r="F836" s="197">
        <f>+'Base de Datos'!I836</f>
        <v>236000000</v>
      </c>
      <c r="G836" s="196">
        <f>+'Base de Datos'!M836</f>
        <v>43690</v>
      </c>
      <c r="H836" s="196">
        <f>+'Base de Datos'!N836</f>
        <v>44055</v>
      </c>
      <c r="I836" s="196"/>
      <c r="J836" s="158"/>
      <c r="K836" s="333"/>
      <c r="L836" s="211"/>
      <c r="M836" s="336"/>
      <c r="N836" s="158"/>
      <c r="O836" s="333"/>
      <c r="P836" s="158"/>
      <c r="Q836" s="338"/>
      <c r="R836" s="81">
        <f t="shared" si="111"/>
        <v>0</v>
      </c>
      <c r="S836" s="258"/>
      <c r="T836" s="333"/>
      <c r="U836" s="158"/>
      <c r="V836" s="333"/>
      <c r="W836" s="158"/>
      <c r="X836" s="333"/>
      <c r="Y836" s="158"/>
      <c r="Z836" s="1002"/>
      <c r="AA836" s="1003"/>
      <c r="AB836" s="1004" t="str">
        <f t="shared" si="112"/>
        <v/>
      </c>
      <c r="AC836" s="1082" t="str">
        <f t="shared" si="113"/>
        <v/>
      </c>
      <c r="AD836" s="1004"/>
      <c r="AE836" s="1004"/>
      <c r="AF836" s="1084" t="str">
        <f t="shared" si="114"/>
        <v/>
      </c>
      <c r="AG836" s="1082" t="str">
        <f t="shared" si="115"/>
        <v/>
      </c>
      <c r="AH836" s="1092"/>
      <c r="AI836" s="1087"/>
      <c r="AJ836" s="1084" t="str">
        <f t="shared" si="116"/>
        <v/>
      </c>
      <c r="AK836" s="1083" t="str">
        <f t="shared" si="117"/>
        <v/>
      </c>
      <c r="AL836" s="211">
        <v>212400000</v>
      </c>
      <c r="AM836" s="211">
        <v>23600000</v>
      </c>
      <c r="AN836" s="211"/>
      <c r="AO836" s="211"/>
      <c r="AP836" s="211"/>
      <c r="AQ836" s="211"/>
      <c r="AR836" s="211"/>
      <c r="AS836" s="211"/>
      <c r="AT836" s="211"/>
      <c r="AU836" s="211"/>
      <c r="AV836" s="211"/>
      <c r="AW836" s="211"/>
      <c r="AX836" s="211"/>
      <c r="AY836" s="211"/>
      <c r="AZ836" s="211"/>
      <c r="BA836" s="211"/>
      <c r="BB836" s="211"/>
      <c r="BC836" s="211"/>
      <c r="BD836" s="333">
        <v>44181</v>
      </c>
      <c r="BE836" s="82">
        <f t="shared" si="110"/>
        <v>236000000</v>
      </c>
    </row>
    <row r="837" spans="2:57" ht="20.399999999999999" hidden="1" x14ac:dyDescent="0.3">
      <c r="B837" s="2" t="str">
        <f>+'Base de Datos'!E837</f>
        <v>190375-0-2019</v>
      </c>
      <c r="C837" s="2" t="str">
        <f>+'Base de Datos'!F837</f>
        <v>GRANADOS Y CONDECORACIONES</v>
      </c>
      <c r="D837" s="2" t="str">
        <f>+'Base de Datos'!G837</f>
        <v>830055827-1</v>
      </c>
      <c r="E837" s="2" t="str">
        <f>+'Base de Datos'!H837</f>
        <v>Suministro de elementos de promoción institucional y actos protocolarios del Concejo de Bogotá.</v>
      </c>
      <c r="F837" s="197">
        <f>+'Base de Datos'!I837</f>
        <v>50000000</v>
      </c>
      <c r="G837" s="196">
        <f>+'Base de Datos'!M837</f>
        <v>43704</v>
      </c>
      <c r="H837" s="196">
        <f>+'Base de Datos'!N837</f>
        <v>44069</v>
      </c>
      <c r="I837" s="196"/>
      <c r="J837" s="158"/>
      <c r="K837" s="333"/>
      <c r="L837" s="211"/>
      <c r="M837" s="336"/>
      <c r="N837" s="158"/>
      <c r="O837" s="333"/>
      <c r="P837" s="158"/>
      <c r="Q837" s="338"/>
      <c r="R837" s="81">
        <f t="shared" si="111"/>
        <v>0</v>
      </c>
      <c r="S837" s="258"/>
      <c r="T837" s="333"/>
      <c r="U837" s="158"/>
      <c r="V837" s="333"/>
      <c r="W837" s="158"/>
      <c r="X837" s="333"/>
      <c r="Y837" s="158"/>
      <c r="Z837" s="1002"/>
      <c r="AA837" s="1003"/>
      <c r="AB837" s="1004" t="str">
        <f t="shared" si="112"/>
        <v/>
      </c>
      <c r="AC837" s="1082" t="str">
        <f t="shared" si="113"/>
        <v/>
      </c>
      <c r="AD837" s="1004"/>
      <c r="AE837" s="1004"/>
      <c r="AF837" s="1084" t="str">
        <f t="shared" si="114"/>
        <v/>
      </c>
      <c r="AG837" s="1082" t="str">
        <f t="shared" si="115"/>
        <v/>
      </c>
      <c r="AH837" s="1092"/>
      <c r="AI837" s="1087"/>
      <c r="AJ837" s="1084" t="str">
        <f t="shared" si="116"/>
        <v/>
      </c>
      <c r="AK837" s="1083" t="str">
        <f t="shared" si="117"/>
        <v/>
      </c>
      <c r="AL837" s="211">
        <v>14756876</v>
      </c>
      <c r="AM837" s="211">
        <v>9597312</v>
      </c>
      <c r="AN837" s="211">
        <v>8782000</v>
      </c>
      <c r="AO837" s="211">
        <v>13309430</v>
      </c>
      <c r="AP837" s="211"/>
      <c r="AQ837" s="211"/>
      <c r="AR837" s="211"/>
      <c r="AS837" s="211"/>
      <c r="AT837" s="211"/>
      <c r="AU837" s="211"/>
      <c r="AV837" s="211"/>
      <c r="AW837" s="211"/>
      <c r="AX837" s="211"/>
      <c r="AY837" s="211"/>
      <c r="AZ837" s="211"/>
      <c r="BA837" s="211"/>
      <c r="BB837" s="211"/>
      <c r="BC837" s="211"/>
      <c r="BD837" s="333">
        <v>44182</v>
      </c>
      <c r="BE837" s="82">
        <f t="shared" si="110"/>
        <v>46445618</v>
      </c>
    </row>
    <row r="838" spans="2:57" ht="30.6" hidden="1" x14ac:dyDescent="0.3">
      <c r="B838" s="2" t="str">
        <f>+'Base de Datos'!E838</f>
        <v>190378-0-2019</v>
      </c>
      <c r="C838" s="2" t="str">
        <f>+'Base de Datos'!F838</f>
        <v xml:space="preserve">COLOMBIANA DE SOFTWARE Y HARDWARE COLSOF SA </v>
      </c>
      <c r="D838" s="2">
        <f>+'Base de Datos'!G838</f>
        <v>800015583</v>
      </c>
      <c r="E838" s="2" t="str">
        <f>+'Base de Datos'!H838</f>
        <v>Prestar servicios de soporte técnico especializado y mantenimiento preventivo, correctivo para los servidores y sus dispositivos del Concejo de Bogotá.</v>
      </c>
      <c r="F838" s="197">
        <f>+'Base de Datos'!I838</f>
        <v>299772000</v>
      </c>
      <c r="G838" s="196">
        <f>+'Base de Datos'!M838</f>
        <v>43721</v>
      </c>
      <c r="H838" s="196">
        <f>+'Base de Datos'!N838</f>
        <v>43963</v>
      </c>
      <c r="I838" s="196"/>
      <c r="J838" s="158"/>
      <c r="K838" s="333"/>
      <c r="L838" s="211"/>
      <c r="M838" s="336"/>
      <c r="N838" s="158"/>
      <c r="O838" s="333"/>
      <c r="P838" s="158"/>
      <c r="Q838" s="338"/>
      <c r="R838" s="81">
        <f t="shared" si="111"/>
        <v>0</v>
      </c>
      <c r="S838" s="258"/>
      <c r="T838" s="333"/>
      <c r="U838" s="158"/>
      <c r="V838" s="333"/>
      <c r="W838" s="158"/>
      <c r="X838" s="333"/>
      <c r="Y838" s="158"/>
      <c r="Z838" s="1002"/>
      <c r="AA838" s="1003"/>
      <c r="AB838" s="1004" t="str">
        <f t="shared" si="112"/>
        <v/>
      </c>
      <c r="AC838" s="1082" t="str">
        <f t="shared" si="113"/>
        <v/>
      </c>
      <c r="AD838" s="1004"/>
      <c r="AE838" s="1004"/>
      <c r="AF838" s="1084" t="str">
        <f t="shared" si="114"/>
        <v/>
      </c>
      <c r="AG838" s="1082" t="str">
        <f t="shared" si="115"/>
        <v/>
      </c>
      <c r="AH838" s="1092"/>
      <c r="AI838" s="1087"/>
      <c r="AJ838" s="1084" t="str">
        <f t="shared" si="116"/>
        <v/>
      </c>
      <c r="AK838" s="1083" t="str">
        <f t="shared" si="117"/>
        <v/>
      </c>
      <c r="AL838" s="211">
        <v>74943158</v>
      </c>
      <c r="AM838" s="211">
        <v>74943158</v>
      </c>
      <c r="AN838" s="211">
        <v>74942842</v>
      </c>
      <c r="AO838" s="211"/>
      <c r="AP838" s="211"/>
      <c r="AQ838" s="211"/>
      <c r="AR838" s="211"/>
      <c r="AS838" s="211"/>
      <c r="AT838" s="211"/>
      <c r="AU838" s="211"/>
      <c r="AV838" s="211"/>
      <c r="AW838" s="211"/>
      <c r="AX838" s="211"/>
      <c r="AY838" s="211"/>
      <c r="AZ838" s="211"/>
      <c r="BA838" s="211"/>
      <c r="BB838" s="211"/>
      <c r="BC838" s="211"/>
      <c r="BD838" s="333">
        <v>44035</v>
      </c>
      <c r="BE838" s="82">
        <f t="shared" si="110"/>
        <v>224829158</v>
      </c>
    </row>
    <row r="839" spans="2:57" ht="51" hidden="1" x14ac:dyDescent="0.3">
      <c r="B839" s="2" t="str">
        <f>+'Base de Datos'!E839</f>
        <v>190371-0-2019</v>
      </c>
      <c r="C839" s="2" t="str">
        <f>+'Base de Datos'!F839</f>
        <v>INTEC PROYECTOS Y SERVICIOS SAS</v>
      </c>
      <c r="D839" s="2">
        <f>+'Base de Datos'!G839</f>
        <v>900960149</v>
      </c>
      <c r="E839" s="2" t="str">
        <f>+'Base de Datos'!H839</f>
        <v>Prestar servicios de mantenimiento preventivo y correctivo al sistema de generación y transferencia eléctrica de emergencia del Concejo de Bogotá, de conformidad con lo establecido en la invitación pública del proceso citado en el asunto y la propuesta por ustedes presentada.</v>
      </c>
      <c r="F839" s="197">
        <f>+'Base de Datos'!I839</f>
        <v>6519021</v>
      </c>
      <c r="G839" s="196">
        <f>+'Base de Datos'!M839</f>
        <v>43724</v>
      </c>
      <c r="H839" s="196">
        <f>+'Base de Datos'!N839</f>
        <v>43966</v>
      </c>
      <c r="I839" s="196"/>
      <c r="J839" s="158"/>
      <c r="K839" s="333"/>
      <c r="L839" s="211"/>
      <c r="M839" s="336"/>
      <c r="N839" s="158"/>
      <c r="O839" s="333"/>
      <c r="P839" s="158"/>
      <c r="Q839" s="338"/>
      <c r="R839" s="81">
        <f t="shared" si="111"/>
        <v>0</v>
      </c>
      <c r="S839" s="258" t="s">
        <v>378</v>
      </c>
      <c r="T839" s="333">
        <v>44027</v>
      </c>
      <c r="U839" s="158"/>
      <c r="V839" s="333"/>
      <c r="W839" s="158"/>
      <c r="X839" s="333"/>
      <c r="Y839" s="158"/>
      <c r="Z839" s="1002"/>
      <c r="AA839" s="1003" t="s">
        <v>378</v>
      </c>
      <c r="AB839" s="1004">
        <f t="shared" si="112"/>
        <v>44027</v>
      </c>
      <c r="AC839" s="1082" t="str">
        <f t="shared" si="113"/>
        <v/>
      </c>
      <c r="AD839" s="1004"/>
      <c r="AE839" s="1004"/>
      <c r="AF839" s="1084" t="str">
        <f t="shared" si="114"/>
        <v/>
      </c>
      <c r="AG839" s="1082" t="str">
        <f t="shared" si="115"/>
        <v/>
      </c>
      <c r="AH839" s="1092"/>
      <c r="AI839" s="1087"/>
      <c r="AJ839" s="1084" t="str">
        <f t="shared" si="116"/>
        <v/>
      </c>
      <c r="AK839" s="1083" t="str">
        <f t="shared" si="117"/>
        <v/>
      </c>
      <c r="AL839" s="211">
        <v>1195822</v>
      </c>
      <c r="AM839" s="211">
        <v>583522</v>
      </c>
      <c r="AN839" s="211">
        <v>583522</v>
      </c>
      <c r="AO839" s="211">
        <v>1572633</v>
      </c>
      <c r="AP839" s="211"/>
      <c r="AQ839" s="211"/>
      <c r="AR839" s="211"/>
      <c r="AS839" s="211"/>
      <c r="AT839" s="211"/>
      <c r="AU839" s="211"/>
      <c r="AV839" s="211"/>
      <c r="AW839" s="211"/>
      <c r="AX839" s="211"/>
      <c r="AY839" s="211"/>
      <c r="AZ839" s="211"/>
      <c r="BA839" s="211"/>
      <c r="BB839" s="211"/>
      <c r="BC839" s="211"/>
      <c r="BD839" s="333">
        <v>44181</v>
      </c>
      <c r="BE839" s="82">
        <f t="shared" si="110"/>
        <v>3935499</v>
      </c>
    </row>
    <row r="840" spans="2:57" ht="40.799999999999997" hidden="1" x14ac:dyDescent="0.3">
      <c r="B840" s="2" t="str">
        <f>+'Base de Datos'!E840</f>
        <v>190392-0-2019</v>
      </c>
      <c r="C840" s="2" t="str">
        <f>+'Base de Datos'!F840</f>
        <v>ALL IN SERVICES SAS</v>
      </c>
      <c r="D840" s="2">
        <f>+'Base de Datos'!G840</f>
        <v>900820473</v>
      </c>
      <c r="E840" s="2" t="str">
        <f>+'Base de Datos'!H840</f>
        <v>Prestar servicios de mantenimiento correctivo correspondiente a la reparación y corrección del mobiliario existentes en el Concejo de Bogotá con el suministro de repuestos necesarios para su correcto funcionamiento.</v>
      </c>
      <c r="F840" s="197">
        <f>+'Base de Datos'!I840</f>
        <v>79700000</v>
      </c>
      <c r="G840" s="196">
        <f>+'Base de Datos'!M840</f>
        <v>43731</v>
      </c>
      <c r="H840" s="196">
        <f>+'Base de Datos'!N840</f>
        <v>44004</v>
      </c>
      <c r="I840" s="196"/>
      <c r="J840" s="158"/>
      <c r="K840" s="333"/>
      <c r="L840" s="211"/>
      <c r="M840" s="336"/>
      <c r="N840" s="158"/>
      <c r="O840" s="333"/>
      <c r="P840" s="158"/>
      <c r="Q840" s="338"/>
      <c r="R840" s="81">
        <f t="shared" si="111"/>
        <v>0</v>
      </c>
      <c r="S840" s="258" t="s">
        <v>379</v>
      </c>
      <c r="T840" s="333">
        <v>44096</v>
      </c>
      <c r="U840" s="157" t="s">
        <v>6474</v>
      </c>
      <c r="V840" s="333">
        <v>44165</v>
      </c>
      <c r="W840" s="158"/>
      <c r="X840" s="333"/>
      <c r="Y840" s="158"/>
      <c r="Z840" s="1002"/>
      <c r="AA840" s="1003" t="s">
        <v>6475</v>
      </c>
      <c r="AB840" s="1004">
        <f t="shared" si="112"/>
        <v>44165</v>
      </c>
      <c r="AC840" s="1082" t="str">
        <f t="shared" si="113"/>
        <v/>
      </c>
      <c r="AD840" s="1004"/>
      <c r="AE840" s="1004"/>
      <c r="AF840" s="1084" t="str">
        <f t="shared" si="114"/>
        <v/>
      </c>
      <c r="AG840" s="1082" t="str">
        <f t="shared" si="115"/>
        <v/>
      </c>
      <c r="AH840" s="1092"/>
      <c r="AI840" s="1087"/>
      <c r="AJ840" s="1084" t="str">
        <f t="shared" si="116"/>
        <v/>
      </c>
      <c r="AK840" s="1083" t="str">
        <f t="shared" si="117"/>
        <v/>
      </c>
      <c r="AL840" s="211">
        <v>1806000</v>
      </c>
      <c r="AM840" s="211">
        <v>49515500</v>
      </c>
      <c r="AN840" s="211"/>
      <c r="AO840" s="211"/>
      <c r="AP840" s="211"/>
      <c r="AQ840" s="211"/>
      <c r="AR840" s="211"/>
      <c r="AS840" s="211"/>
      <c r="AT840" s="211"/>
      <c r="AU840" s="211"/>
      <c r="AV840" s="211"/>
      <c r="AW840" s="211"/>
      <c r="AX840" s="211"/>
      <c r="AY840" s="211"/>
      <c r="AZ840" s="211"/>
      <c r="BA840" s="211"/>
      <c r="BB840" s="211"/>
      <c r="BC840" s="211"/>
      <c r="BD840" s="333">
        <v>43917</v>
      </c>
      <c r="BE840" s="82">
        <f t="shared" si="110"/>
        <v>51321500</v>
      </c>
    </row>
    <row r="841" spans="2:57" ht="20.399999999999999" hidden="1" x14ac:dyDescent="0.3">
      <c r="B841" s="2" t="str">
        <f>+'Base de Datos'!E841</f>
        <v>190419-0-2019</v>
      </c>
      <c r="C841" s="2" t="str">
        <f>+'Base de Datos'!F841</f>
        <v xml:space="preserve">COMUNICAN SA </v>
      </c>
      <c r="D841" s="2">
        <f>+'Base de Datos'!G841</f>
        <v>860007590</v>
      </c>
      <c r="E841" s="2" t="str">
        <f>+'Base de Datos'!H841</f>
        <v>Suscripción al diario EL ESPECTADOR para el Concejo de Bogotá.</v>
      </c>
      <c r="F841" s="197">
        <f>+'Base de Datos'!I841</f>
        <v>1305000</v>
      </c>
      <c r="G841" s="196">
        <f>+'Base de Datos'!M841</f>
        <v>43741</v>
      </c>
      <c r="H841" s="196">
        <f>+'Base de Datos'!N841</f>
        <v>44106</v>
      </c>
      <c r="I841" s="196"/>
      <c r="J841" s="158"/>
      <c r="K841" s="333"/>
      <c r="L841" s="211"/>
      <c r="M841" s="336"/>
      <c r="N841" s="158"/>
      <c r="O841" s="333"/>
      <c r="P841" s="158"/>
      <c r="Q841" s="338"/>
      <c r="R841" s="81">
        <f t="shared" si="111"/>
        <v>0</v>
      </c>
      <c r="S841" s="258"/>
      <c r="T841" s="333"/>
      <c r="U841" s="158"/>
      <c r="V841" s="333"/>
      <c r="W841" s="158"/>
      <c r="X841" s="333"/>
      <c r="Y841" s="158"/>
      <c r="Z841" s="1002"/>
      <c r="AA841" s="1003"/>
      <c r="AB841" s="1004" t="str">
        <f t="shared" si="112"/>
        <v/>
      </c>
      <c r="AC841" s="1082" t="str">
        <f t="shared" si="113"/>
        <v/>
      </c>
      <c r="AD841" s="1004"/>
      <c r="AE841" s="1004"/>
      <c r="AF841" s="1084" t="str">
        <f t="shared" si="114"/>
        <v/>
      </c>
      <c r="AG841" s="1082" t="str">
        <f t="shared" si="115"/>
        <v/>
      </c>
      <c r="AH841" s="1092"/>
      <c r="AI841" s="1087"/>
      <c r="AJ841" s="1084" t="str">
        <f t="shared" si="116"/>
        <v/>
      </c>
      <c r="AK841" s="1083" t="str">
        <f t="shared" si="117"/>
        <v/>
      </c>
      <c r="AL841" s="211">
        <v>1305000</v>
      </c>
      <c r="AM841" s="211"/>
      <c r="AN841" s="211"/>
      <c r="AO841" s="211"/>
      <c r="AP841" s="211"/>
      <c r="AQ841" s="211"/>
      <c r="AR841" s="211"/>
      <c r="AS841" s="211"/>
      <c r="AT841" s="211"/>
      <c r="AU841" s="211"/>
      <c r="AV841" s="211"/>
      <c r="AW841" s="211"/>
      <c r="AX841" s="211"/>
      <c r="AY841" s="211"/>
      <c r="AZ841" s="211"/>
      <c r="BA841" s="211"/>
      <c r="BB841" s="211"/>
      <c r="BC841" s="211"/>
      <c r="BD841" s="333">
        <v>43783</v>
      </c>
      <c r="BE841" s="82">
        <f t="shared" si="110"/>
        <v>1305000</v>
      </c>
    </row>
    <row r="842" spans="2:57" ht="20.399999999999999" hidden="1" x14ac:dyDescent="0.3">
      <c r="B842" s="2" t="str">
        <f>+'Base de Datos'!E842</f>
        <v>190414-0-2019</v>
      </c>
      <c r="C842" s="2" t="str">
        <f>+'Base de Datos'!F842</f>
        <v>GESTIONAMOS CONSULTORES EMPRESARIALES SAS</v>
      </c>
      <c r="D842" s="2">
        <f>+'Base de Datos'!G842</f>
        <v>900872182</v>
      </c>
      <c r="E842" s="2" t="str">
        <f>+'Base de Datos'!H842</f>
        <v>Contratar el servicio de evaluación del riesgo Psicosocial para el Concejo de Bogotá.</v>
      </c>
      <c r="F842" s="197">
        <f>+'Base de Datos'!I842</f>
        <v>7375000</v>
      </c>
      <c r="G842" s="196">
        <f>+'Base de Datos'!M842</f>
        <v>43741</v>
      </c>
      <c r="H842" s="196">
        <f>+'Base de Datos'!N842</f>
        <v>43863</v>
      </c>
      <c r="I842" s="196"/>
      <c r="J842" s="158"/>
      <c r="K842" s="333"/>
      <c r="L842" s="211"/>
      <c r="M842" s="336"/>
      <c r="N842" s="158"/>
      <c r="O842" s="333"/>
      <c r="P842" s="158"/>
      <c r="Q842" s="338"/>
      <c r="R842" s="81">
        <f t="shared" si="111"/>
        <v>0</v>
      </c>
      <c r="S842" s="258" t="s">
        <v>2456</v>
      </c>
      <c r="T842" s="333">
        <v>43892</v>
      </c>
      <c r="U842" s="158"/>
      <c r="V842" s="333"/>
      <c r="W842" s="158"/>
      <c r="X842" s="333"/>
      <c r="Y842" s="158"/>
      <c r="Z842" s="1002"/>
      <c r="AA842" s="258" t="s">
        <v>2456</v>
      </c>
      <c r="AB842" s="1004">
        <f t="shared" si="112"/>
        <v>43892</v>
      </c>
      <c r="AC842" s="1082" t="str">
        <f t="shared" si="113"/>
        <v/>
      </c>
      <c r="AD842" s="1004"/>
      <c r="AE842" s="1004"/>
      <c r="AF842" s="1084" t="str">
        <f t="shared" si="114"/>
        <v/>
      </c>
      <c r="AG842" s="1082" t="str">
        <f t="shared" si="115"/>
        <v/>
      </c>
      <c r="AH842" s="1092"/>
      <c r="AI842" s="1087"/>
      <c r="AJ842" s="1084" t="str">
        <f t="shared" si="116"/>
        <v/>
      </c>
      <c r="AK842" s="1083" t="str">
        <f t="shared" si="117"/>
        <v/>
      </c>
      <c r="AL842" s="211">
        <v>3687500</v>
      </c>
      <c r="AM842" s="211">
        <v>3687500</v>
      </c>
      <c r="AN842" s="211"/>
      <c r="AO842" s="211"/>
      <c r="AP842" s="211"/>
      <c r="AQ842" s="211"/>
      <c r="AR842" s="211"/>
      <c r="AS842" s="211"/>
      <c r="AT842" s="211"/>
      <c r="AU842" s="211"/>
      <c r="AV842" s="211"/>
      <c r="AW842" s="211"/>
      <c r="AX842" s="211"/>
      <c r="AY842" s="211"/>
      <c r="AZ842" s="211"/>
      <c r="BA842" s="211"/>
      <c r="BB842" s="211"/>
      <c r="BC842" s="211"/>
      <c r="BD842" s="333">
        <v>43942</v>
      </c>
      <c r="BE842" s="82">
        <f t="shared" ref="BE842:BE905" si="118">SUM(AL842:BC842)</f>
        <v>7375000</v>
      </c>
    </row>
    <row r="843" spans="2:57" ht="20.399999999999999" hidden="1" x14ac:dyDescent="0.3">
      <c r="B843" s="2" t="str">
        <f>+'Base de Datos'!E843</f>
        <v>190417-0-2019</v>
      </c>
      <c r="C843" s="2" t="str">
        <f>+'Base de Datos'!F843</f>
        <v>FEC SUMINISTROS Y SERVICIOS SAS</v>
      </c>
      <c r="D843" s="2" t="str">
        <f>+'Base de Datos'!G843</f>
        <v>900975944-6</v>
      </c>
      <c r="E843" s="2" t="str">
        <f>+'Base de Datos'!H843</f>
        <v>Suministro de elementos de protección personal para los servidores del Concejo de Bogotá.</v>
      </c>
      <c r="F843" s="197">
        <f>+'Base de Datos'!I843</f>
        <v>28965000</v>
      </c>
      <c r="G843" s="196">
        <f>+'Base de Datos'!M843</f>
        <v>43739</v>
      </c>
      <c r="H843" s="196">
        <f>+'Base de Datos'!N843</f>
        <v>43861</v>
      </c>
      <c r="I843" s="196"/>
      <c r="J843" s="158"/>
      <c r="K843" s="333"/>
      <c r="L843" s="211"/>
      <c r="M843" s="336"/>
      <c r="N843" s="158"/>
      <c r="O843" s="333"/>
      <c r="P843" s="158"/>
      <c r="Q843" s="338"/>
      <c r="R843" s="81">
        <f t="shared" si="111"/>
        <v>0</v>
      </c>
      <c r="S843" s="258"/>
      <c r="T843" s="333"/>
      <c r="U843" s="158"/>
      <c r="V843" s="333"/>
      <c r="W843" s="158"/>
      <c r="X843" s="333"/>
      <c r="Y843" s="158"/>
      <c r="Z843" s="1002"/>
      <c r="AA843" s="1003"/>
      <c r="AB843" s="1004" t="str">
        <f t="shared" si="112"/>
        <v/>
      </c>
      <c r="AC843" s="1082" t="str">
        <f t="shared" si="113"/>
        <v/>
      </c>
      <c r="AD843" s="1004"/>
      <c r="AE843" s="1004"/>
      <c r="AF843" s="1084" t="str">
        <f t="shared" si="114"/>
        <v/>
      </c>
      <c r="AG843" s="1082" t="str">
        <f t="shared" si="115"/>
        <v/>
      </c>
      <c r="AH843" s="1092"/>
      <c r="AI843" s="1087"/>
      <c r="AJ843" s="1084" t="str">
        <f t="shared" si="116"/>
        <v/>
      </c>
      <c r="AK843" s="1083" t="str">
        <f t="shared" si="117"/>
        <v/>
      </c>
      <c r="AL843" s="211">
        <v>28643670</v>
      </c>
      <c r="AM843" s="211"/>
      <c r="AN843" s="211"/>
      <c r="AO843" s="211"/>
      <c r="AP843" s="211"/>
      <c r="AQ843" s="211"/>
      <c r="AR843" s="211"/>
      <c r="AS843" s="211"/>
      <c r="AT843" s="211"/>
      <c r="AU843" s="211"/>
      <c r="AV843" s="211"/>
      <c r="AW843" s="211"/>
      <c r="AX843" s="211"/>
      <c r="AY843" s="211"/>
      <c r="AZ843" s="211"/>
      <c r="BA843" s="211"/>
      <c r="BB843" s="211"/>
      <c r="BC843" s="211"/>
      <c r="BD843" s="333">
        <v>44062</v>
      </c>
      <c r="BE843" s="82">
        <f t="shared" si="118"/>
        <v>28643670</v>
      </c>
    </row>
    <row r="844" spans="2:57" ht="30.6" hidden="1" x14ac:dyDescent="0.3">
      <c r="B844" s="2" t="str">
        <f>+'Base de Datos'!E844</f>
        <v>190426-0-2019</v>
      </c>
      <c r="C844" s="2" t="str">
        <f>+'Base de Datos'!F844</f>
        <v>ANDREA PAOLA MELENDEZ PINEDA</v>
      </c>
      <c r="D844" s="2">
        <f>+'Base de Datos'!G844</f>
        <v>1102812271</v>
      </c>
      <c r="E844" s="2" t="str">
        <f>+'Base de Datos'!H844</f>
        <v>Prestar servicios profesionales de apoyo y acompañamiento en los asuntos inherentes al sistema de control interno del Concejo de Bogotá D.C.</v>
      </c>
      <c r="F844" s="197">
        <f>+'Base de Datos'!I844</f>
        <v>25672000</v>
      </c>
      <c r="G844" s="196">
        <f>+'Base de Datos'!M844</f>
        <v>43739</v>
      </c>
      <c r="H844" s="196">
        <f>+'Base de Datos'!N844</f>
        <v>43814</v>
      </c>
      <c r="I844" s="196">
        <v>43861</v>
      </c>
      <c r="J844" s="158"/>
      <c r="K844" s="333"/>
      <c r="L844" s="211"/>
      <c r="M844" s="336"/>
      <c r="N844" s="158"/>
      <c r="O844" s="333"/>
      <c r="P844" s="158"/>
      <c r="Q844" s="338"/>
      <c r="R844" s="81">
        <f t="shared" si="111"/>
        <v>0</v>
      </c>
      <c r="S844" s="258"/>
      <c r="T844" s="333"/>
      <c r="U844" s="158"/>
      <c r="V844" s="333"/>
      <c r="W844" s="158"/>
      <c r="X844" s="333"/>
      <c r="Y844" s="158"/>
      <c r="Z844" s="1002"/>
      <c r="AA844" s="1003"/>
      <c r="AB844" s="1004" t="str">
        <f t="shared" si="112"/>
        <v/>
      </c>
      <c r="AC844" s="1082" t="str">
        <f t="shared" si="113"/>
        <v/>
      </c>
      <c r="AD844" s="1004"/>
      <c r="AE844" s="1004"/>
      <c r="AF844" s="1084" t="str">
        <f t="shared" si="114"/>
        <v/>
      </c>
      <c r="AG844" s="1082" t="str">
        <f t="shared" si="115"/>
        <v/>
      </c>
      <c r="AH844" s="1092"/>
      <c r="AI844" s="1087"/>
      <c r="AJ844" s="1084" t="str">
        <f t="shared" si="116"/>
        <v/>
      </c>
      <c r="AK844" s="1083" t="str">
        <f t="shared" si="117"/>
        <v/>
      </c>
      <c r="AL844" s="211">
        <v>6418000</v>
      </c>
      <c r="AM844" s="211">
        <v>6418000</v>
      </c>
      <c r="AN844" s="211">
        <v>6418000</v>
      </c>
      <c r="AO844" s="211">
        <v>6418000</v>
      </c>
      <c r="AP844" s="211"/>
      <c r="AQ844" s="211"/>
      <c r="AR844" s="211"/>
      <c r="AS844" s="211"/>
      <c r="AT844" s="211"/>
      <c r="AU844" s="211"/>
      <c r="AV844" s="211"/>
      <c r="AW844" s="211"/>
      <c r="AX844" s="211"/>
      <c r="AY844" s="211"/>
      <c r="AZ844" s="211"/>
      <c r="BA844" s="211"/>
      <c r="BB844" s="211"/>
      <c r="BC844" s="211"/>
      <c r="BD844" s="333">
        <v>43878</v>
      </c>
      <c r="BE844" s="82">
        <f t="shared" si="118"/>
        <v>25672000</v>
      </c>
    </row>
    <row r="845" spans="2:57" ht="30.6" hidden="1" x14ac:dyDescent="0.3">
      <c r="B845" s="2" t="str">
        <f>+'Base de Datos'!E845</f>
        <v>190402-0-2019</v>
      </c>
      <c r="C845" s="2" t="str">
        <f>+'Base de Datos'!F845</f>
        <v>COLOMBIANA DE SOFTWARE Y HARDWARE COLSOF</v>
      </c>
      <c r="D845" s="2" t="str">
        <f>+'Base de Datos'!G845</f>
        <v>800015583-1</v>
      </c>
      <c r="E845" s="2" t="str">
        <f>+'Base de Datos'!H845</f>
        <v xml:space="preserve">Adquisición e Instalación a todo costo de la ampliación del sistema de almacenamiento Hewlett Packard - 3 par del Concejo de Bogotá </v>
      </c>
      <c r="F845" s="197">
        <f>+'Base de Datos'!I845</f>
        <v>57001000</v>
      </c>
      <c r="G845" s="196">
        <f>+'Base de Datos'!M845</f>
        <v>43755</v>
      </c>
      <c r="H845" s="196">
        <f>+'Base de Datos'!N845</f>
        <v>43815</v>
      </c>
      <c r="I845" s="196"/>
      <c r="J845" s="158"/>
      <c r="K845" s="333"/>
      <c r="L845" s="211"/>
      <c r="M845" s="336"/>
      <c r="N845" s="158"/>
      <c r="O845" s="333"/>
      <c r="P845" s="158"/>
      <c r="Q845" s="338"/>
      <c r="R845" s="81">
        <f t="shared" si="111"/>
        <v>0</v>
      </c>
      <c r="S845" s="258"/>
      <c r="T845" s="333"/>
      <c r="U845" s="158"/>
      <c r="V845" s="333"/>
      <c r="W845" s="158"/>
      <c r="X845" s="333"/>
      <c r="Y845" s="158"/>
      <c r="Z845" s="1002"/>
      <c r="AA845" s="1003"/>
      <c r="AB845" s="1004" t="str">
        <f t="shared" si="112"/>
        <v/>
      </c>
      <c r="AC845" s="1082" t="str">
        <f t="shared" si="113"/>
        <v/>
      </c>
      <c r="AD845" s="1004"/>
      <c r="AE845" s="1004"/>
      <c r="AF845" s="1084" t="str">
        <f t="shared" si="114"/>
        <v/>
      </c>
      <c r="AG845" s="1082" t="str">
        <f t="shared" si="115"/>
        <v/>
      </c>
      <c r="AH845" s="1092"/>
      <c r="AI845" s="1087"/>
      <c r="AJ845" s="1084" t="str">
        <f t="shared" si="116"/>
        <v/>
      </c>
      <c r="AK845" s="1083" t="str">
        <f t="shared" si="117"/>
        <v/>
      </c>
      <c r="AL845" s="211">
        <v>57001000</v>
      </c>
      <c r="AM845" s="211"/>
      <c r="AN845" s="211"/>
      <c r="AO845" s="211"/>
      <c r="AP845" s="211"/>
      <c r="AQ845" s="211"/>
      <c r="AR845" s="211"/>
      <c r="AS845" s="211"/>
      <c r="AT845" s="211"/>
      <c r="AU845" s="211"/>
      <c r="AV845" s="211"/>
      <c r="AW845" s="211"/>
      <c r="AX845" s="211"/>
      <c r="AY845" s="211"/>
      <c r="AZ845" s="211"/>
      <c r="BA845" s="211"/>
      <c r="BB845" s="211"/>
      <c r="BC845" s="211"/>
      <c r="BD845" s="333">
        <v>43879</v>
      </c>
      <c r="BE845" s="82">
        <f t="shared" si="118"/>
        <v>57001000</v>
      </c>
    </row>
    <row r="846" spans="2:57" ht="30.6" hidden="1" x14ac:dyDescent="0.3">
      <c r="B846" s="2" t="str">
        <f>+'Base de Datos'!E846</f>
        <v>190447-0-2019</v>
      </c>
      <c r="C846" s="2" t="str">
        <f>+'Base de Datos'!F846</f>
        <v>TECNOLOGIA BIOMEDICA Y SUMINISTROS SAS</v>
      </c>
      <c r="D846" s="2" t="str">
        <f>+'Base de Datos'!G846</f>
        <v>900207129-6</v>
      </c>
      <c r="E846" s="2" t="str">
        <f>+'Base de Datos'!H846</f>
        <v xml:space="preserve">Proveer elementos e insumos necesarios para atender los primeros auxilios y dotar los botiquines de Concejo de Bogotá D.C. </v>
      </c>
      <c r="F846" s="197">
        <f>+'Base de Datos'!I846</f>
        <v>6852000</v>
      </c>
      <c r="G846" s="196">
        <f>+'Base de Datos'!M846</f>
        <v>43759</v>
      </c>
      <c r="H846" s="196">
        <f>+'Base de Datos'!N846</f>
        <v>43850</v>
      </c>
      <c r="I846" s="196"/>
      <c r="J846" s="158"/>
      <c r="K846" s="333"/>
      <c r="L846" s="211"/>
      <c r="M846" s="336"/>
      <c r="N846" s="158"/>
      <c r="O846" s="333"/>
      <c r="P846" s="158"/>
      <c r="Q846" s="338"/>
      <c r="R846" s="81">
        <f t="shared" si="111"/>
        <v>0</v>
      </c>
      <c r="S846" s="258"/>
      <c r="T846" s="333"/>
      <c r="U846" s="158"/>
      <c r="V846" s="333"/>
      <c r="W846" s="158"/>
      <c r="X846" s="333"/>
      <c r="Y846" s="158"/>
      <c r="Z846" s="1002"/>
      <c r="AA846" s="1003"/>
      <c r="AB846" s="1004" t="str">
        <f t="shared" si="112"/>
        <v/>
      </c>
      <c r="AC846" s="1082" t="str">
        <f t="shared" si="113"/>
        <v/>
      </c>
      <c r="AD846" s="1004"/>
      <c r="AE846" s="1004"/>
      <c r="AF846" s="1084" t="str">
        <f t="shared" si="114"/>
        <v/>
      </c>
      <c r="AG846" s="1082" t="str">
        <f t="shared" si="115"/>
        <v/>
      </c>
      <c r="AH846" s="1092"/>
      <c r="AI846" s="1087"/>
      <c r="AJ846" s="1084" t="str">
        <f t="shared" si="116"/>
        <v/>
      </c>
      <c r="AK846" s="1083" t="str">
        <f t="shared" si="117"/>
        <v/>
      </c>
      <c r="AL846" s="211">
        <v>6298596</v>
      </c>
      <c r="AM846" s="211"/>
      <c r="AN846" s="211"/>
      <c r="AO846" s="211"/>
      <c r="AP846" s="211"/>
      <c r="AQ846" s="211"/>
      <c r="AR846" s="211"/>
      <c r="AS846" s="211"/>
      <c r="AT846" s="211"/>
      <c r="AU846" s="211"/>
      <c r="AV846" s="211"/>
      <c r="AW846" s="211"/>
      <c r="AX846" s="211"/>
      <c r="AY846" s="211"/>
      <c r="AZ846" s="211"/>
      <c r="BA846" s="211"/>
      <c r="BB846" s="211"/>
      <c r="BC846" s="211"/>
      <c r="BD846" s="333">
        <v>44027</v>
      </c>
      <c r="BE846" s="82">
        <f t="shared" si="118"/>
        <v>6298596</v>
      </c>
    </row>
    <row r="847" spans="2:57" ht="20.399999999999999" hidden="1" x14ac:dyDescent="0.3">
      <c r="B847" s="2" t="str">
        <f>+'Base de Datos'!E847</f>
        <v>190442-0-2019</v>
      </c>
      <c r="C847" s="2" t="str">
        <f>+'Base de Datos'!F847</f>
        <v>SSL COLOMBIA SAS</v>
      </c>
      <c r="D847" s="2">
        <f>+'Base de Datos'!G847</f>
        <v>901037139</v>
      </c>
      <c r="E847" s="2" t="str">
        <f>+'Base de Datos'!H847</f>
        <v>Proveer elementos ergonómicos para los puestos de trabajo de los servidores públicos del Concejo de Bogotá, D.C.</v>
      </c>
      <c r="F847" s="197">
        <f>+'Base de Datos'!I847</f>
        <v>7488670</v>
      </c>
      <c r="G847" s="196">
        <f>+'Base de Datos'!M847</f>
        <v>43759</v>
      </c>
      <c r="H847" s="196">
        <f>+'Base de Datos'!N847</f>
        <v>43850</v>
      </c>
      <c r="I847" s="196"/>
      <c r="J847" s="158"/>
      <c r="K847" s="333"/>
      <c r="L847" s="211"/>
      <c r="M847" s="336"/>
      <c r="N847" s="158"/>
      <c r="O847" s="333"/>
      <c r="P847" s="158"/>
      <c r="Q847" s="338"/>
      <c r="R847" s="81">
        <f t="shared" si="111"/>
        <v>0</v>
      </c>
      <c r="S847" s="258"/>
      <c r="T847" s="333"/>
      <c r="U847" s="158"/>
      <c r="V847" s="333"/>
      <c r="W847" s="158"/>
      <c r="X847" s="333"/>
      <c r="Y847" s="158"/>
      <c r="Z847" s="1002"/>
      <c r="AA847" s="1003"/>
      <c r="AB847" s="1004" t="str">
        <f t="shared" si="112"/>
        <v/>
      </c>
      <c r="AC847" s="1082" t="str">
        <f t="shared" si="113"/>
        <v/>
      </c>
      <c r="AD847" s="1004"/>
      <c r="AE847" s="1004"/>
      <c r="AF847" s="1084" t="str">
        <f t="shared" si="114"/>
        <v/>
      </c>
      <c r="AG847" s="1082" t="str">
        <f t="shared" si="115"/>
        <v/>
      </c>
      <c r="AH847" s="1092"/>
      <c r="AI847" s="1087"/>
      <c r="AJ847" s="1084" t="str">
        <f t="shared" si="116"/>
        <v/>
      </c>
      <c r="AK847" s="1083" t="str">
        <f t="shared" si="117"/>
        <v/>
      </c>
      <c r="AL847" s="211">
        <v>7488670</v>
      </c>
      <c r="AM847" s="211"/>
      <c r="AN847" s="211"/>
      <c r="AO847" s="211"/>
      <c r="AP847" s="211"/>
      <c r="AQ847" s="211"/>
      <c r="AR847" s="211"/>
      <c r="AS847" s="211"/>
      <c r="AT847" s="211"/>
      <c r="AU847" s="211"/>
      <c r="AV847" s="211"/>
      <c r="AW847" s="211"/>
      <c r="AX847" s="211"/>
      <c r="AY847" s="211"/>
      <c r="AZ847" s="211"/>
      <c r="BA847" s="211"/>
      <c r="BB847" s="211"/>
      <c r="BC847" s="211"/>
      <c r="BD847" s="333">
        <v>43945</v>
      </c>
      <c r="BE847" s="82">
        <f t="shared" si="118"/>
        <v>7488670</v>
      </c>
    </row>
    <row r="848" spans="2:57" ht="40.799999999999997" hidden="1" x14ac:dyDescent="0.3">
      <c r="B848" s="2" t="str">
        <f>+'Base de Datos'!E848</f>
        <v>190450-0-2019</v>
      </c>
      <c r="C848" s="2" t="str">
        <f>+'Base de Datos'!F848</f>
        <v>VICTOR MANUEL CARO VARGAS</v>
      </c>
      <c r="D848" s="2">
        <f>+'Base de Datos'!G848</f>
        <v>79495980</v>
      </c>
      <c r="E848" s="2" t="str">
        <f>+'Base de Datos'!H848</f>
        <v>Presatar servicios profesionales para el apoyo en la revisión de los procedimientos de contabilidad y acompañamiento en la elaboración de políticas de operación contable para el proceso de Gestión Financiera para el Concejo de Bogotá D.C.</v>
      </c>
      <c r="F848" s="197">
        <f>+'Base de Datos'!I848</f>
        <v>25672000</v>
      </c>
      <c r="G848" s="196">
        <f>+'Base de Datos'!M848</f>
        <v>43761</v>
      </c>
      <c r="H848" s="196">
        <f>+'Base de Datos'!N848</f>
        <v>43814</v>
      </c>
      <c r="I848" s="196">
        <v>43883</v>
      </c>
      <c r="J848" s="158"/>
      <c r="K848" s="333"/>
      <c r="L848" s="211"/>
      <c r="M848" s="336"/>
      <c r="N848" s="158"/>
      <c r="O848" s="333"/>
      <c r="P848" s="158"/>
      <c r="Q848" s="338"/>
      <c r="R848" s="81">
        <f t="shared" si="111"/>
        <v>0</v>
      </c>
      <c r="S848" s="258"/>
      <c r="T848" s="333"/>
      <c r="U848" s="158"/>
      <c r="V848" s="333"/>
      <c r="W848" s="158"/>
      <c r="X848" s="333"/>
      <c r="Y848" s="158"/>
      <c r="Z848" s="1002"/>
      <c r="AA848" s="1003"/>
      <c r="AB848" s="1004" t="str">
        <f t="shared" si="112"/>
        <v/>
      </c>
      <c r="AC848" s="1082" t="str">
        <f t="shared" si="113"/>
        <v/>
      </c>
      <c r="AD848" s="1004"/>
      <c r="AE848" s="1004"/>
      <c r="AF848" s="1084" t="str">
        <f t="shared" si="114"/>
        <v/>
      </c>
      <c r="AG848" s="1082" t="str">
        <f t="shared" si="115"/>
        <v/>
      </c>
      <c r="AH848" s="1092"/>
      <c r="AI848" s="1087"/>
      <c r="AJ848" s="1084" t="str">
        <f t="shared" si="116"/>
        <v/>
      </c>
      <c r="AK848" s="1083" t="str">
        <f t="shared" si="117"/>
        <v/>
      </c>
      <c r="AL848" s="211">
        <v>1711467</v>
      </c>
      <c r="AM848" s="211">
        <v>6418000</v>
      </c>
      <c r="AN848" s="211">
        <v>6418000</v>
      </c>
      <c r="AO848" s="211">
        <v>6418000</v>
      </c>
      <c r="AP848" s="211">
        <v>4706533</v>
      </c>
      <c r="AQ848" s="211"/>
      <c r="AR848" s="211"/>
      <c r="AS848" s="211"/>
      <c r="AT848" s="211"/>
      <c r="AU848" s="211"/>
      <c r="AV848" s="211"/>
      <c r="AW848" s="211"/>
      <c r="AX848" s="211"/>
      <c r="AY848" s="211"/>
      <c r="AZ848" s="211"/>
      <c r="BA848" s="211"/>
      <c r="BB848" s="211"/>
      <c r="BC848" s="211"/>
      <c r="BD848" s="333">
        <v>44028</v>
      </c>
      <c r="BE848" s="82">
        <f t="shared" si="118"/>
        <v>25672000</v>
      </c>
    </row>
    <row r="849" spans="2:57" ht="30.6" hidden="1" x14ac:dyDescent="0.3">
      <c r="B849" s="2" t="str">
        <f>+'Base de Datos'!E849</f>
        <v>190435-0-2019</v>
      </c>
      <c r="C849" s="2" t="str">
        <f>+'Base de Datos'!F849</f>
        <v>EDITORIAL LA UNIDAD S.A EN EJECUCIÓN DEL ACUERDO DE REESTRUCTURACIÓN</v>
      </c>
      <c r="D849" s="2" t="str">
        <f>+'Base de Datos'!G849</f>
        <v>860536029-4</v>
      </c>
      <c r="E849" s="2" t="str">
        <f>+'Base de Datos'!H849</f>
        <v>Suscripción al diario el Nuevo Siglo para el Concejo de Bogotá.</v>
      </c>
      <c r="F849" s="197">
        <f>+'Base de Datos'!I849</f>
        <v>1020000</v>
      </c>
      <c r="G849" s="196">
        <f>+'Base de Datos'!M849</f>
        <v>43749</v>
      </c>
      <c r="H849" s="196">
        <f>+'Base de Datos'!N849</f>
        <v>44114</v>
      </c>
      <c r="I849" s="196"/>
      <c r="J849" s="158"/>
      <c r="K849" s="333"/>
      <c r="L849" s="211"/>
      <c r="M849" s="336"/>
      <c r="N849" s="158"/>
      <c r="O849" s="333"/>
      <c r="P849" s="158"/>
      <c r="Q849" s="338"/>
      <c r="R849" s="81">
        <f t="shared" si="111"/>
        <v>0</v>
      </c>
      <c r="S849" s="258"/>
      <c r="T849" s="333"/>
      <c r="U849" s="158"/>
      <c r="V849" s="333"/>
      <c r="W849" s="158"/>
      <c r="X849" s="333"/>
      <c r="Y849" s="158"/>
      <c r="Z849" s="1002"/>
      <c r="AA849" s="1003"/>
      <c r="AB849" s="1004" t="str">
        <f t="shared" si="112"/>
        <v/>
      </c>
      <c r="AC849" s="1082" t="str">
        <f t="shared" si="113"/>
        <v/>
      </c>
      <c r="AD849" s="1004"/>
      <c r="AE849" s="1004"/>
      <c r="AF849" s="1084" t="str">
        <f t="shared" si="114"/>
        <v/>
      </c>
      <c r="AG849" s="1082" t="str">
        <f t="shared" si="115"/>
        <v/>
      </c>
      <c r="AH849" s="1092"/>
      <c r="AI849" s="1087"/>
      <c r="AJ849" s="1084" t="str">
        <f t="shared" si="116"/>
        <v/>
      </c>
      <c r="AK849" s="1083" t="str">
        <f t="shared" si="117"/>
        <v/>
      </c>
      <c r="AL849" s="211">
        <v>1020000</v>
      </c>
      <c r="AM849" s="211"/>
      <c r="AN849" s="211"/>
      <c r="AO849" s="211"/>
      <c r="AP849" s="211"/>
      <c r="AQ849" s="211"/>
      <c r="AR849" s="211"/>
      <c r="AS849" s="211"/>
      <c r="AT849" s="211"/>
      <c r="AU849" s="211"/>
      <c r="AV849" s="211"/>
      <c r="AW849" s="211"/>
      <c r="AX849" s="211"/>
      <c r="AY849" s="211"/>
      <c r="AZ849" s="211"/>
      <c r="BA849" s="211"/>
      <c r="BB849" s="211"/>
      <c r="BC849" s="211"/>
      <c r="BD849" s="333">
        <v>44001</v>
      </c>
      <c r="BE849" s="82">
        <f t="shared" si="118"/>
        <v>1020000</v>
      </c>
    </row>
    <row r="850" spans="2:57" hidden="1" x14ac:dyDescent="0.3">
      <c r="B850" s="2" t="str">
        <f>+'Base de Datos'!E850</f>
        <v>190457-0-2019</v>
      </c>
      <c r="C850" s="2" t="str">
        <f>+'Base de Datos'!F850</f>
        <v>PUBLICACIONES SEMANA S.A.</v>
      </c>
      <c r="D850" s="2">
        <f>+'Base de Datos'!G850</f>
        <v>860509265</v>
      </c>
      <c r="E850" s="2" t="str">
        <f>+'Base de Datos'!H850</f>
        <v>Suscripción a la Revista Semana para el Concejo de Bogotá.</v>
      </c>
      <c r="F850" s="197">
        <f>+'Base de Datos'!I850</f>
        <v>885000</v>
      </c>
      <c r="G850" s="196">
        <f>+'Base de Datos'!M850</f>
        <v>43774</v>
      </c>
      <c r="H850" s="196">
        <f>+'Base de Datos'!N850</f>
        <v>44139</v>
      </c>
      <c r="I850" s="196"/>
      <c r="J850" s="158"/>
      <c r="K850" s="333"/>
      <c r="L850" s="211"/>
      <c r="M850" s="336"/>
      <c r="N850" s="158"/>
      <c r="O850" s="333"/>
      <c r="P850" s="158"/>
      <c r="Q850" s="338"/>
      <c r="R850" s="81">
        <f t="shared" si="111"/>
        <v>0</v>
      </c>
      <c r="S850" s="258"/>
      <c r="T850" s="333"/>
      <c r="U850" s="158"/>
      <c r="V850" s="333"/>
      <c r="W850" s="158"/>
      <c r="X850" s="333"/>
      <c r="Y850" s="158"/>
      <c r="Z850" s="1002"/>
      <c r="AA850" s="1003"/>
      <c r="AB850" s="1004" t="str">
        <f t="shared" si="112"/>
        <v/>
      </c>
      <c r="AC850" s="1082" t="str">
        <f t="shared" si="113"/>
        <v/>
      </c>
      <c r="AD850" s="1004"/>
      <c r="AE850" s="1004"/>
      <c r="AF850" s="1084" t="str">
        <f t="shared" si="114"/>
        <v/>
      </c>
      <c r="AG850" s="1082" t="str">
        <f t="shared" si="115"/>
        <v/>
      </c>
      <c r="AH850" s="1092"/>
      <c r="AI850" s="1087"/>
      <c r="AJ850" s="1084" t="str">
        <f t="shared" si="116"/>
        <v/>
      </c>
      <c r="AK850" s="1083" t="str">
        <f t="shared" si="117"/>
        <v/>
      </c>
      <c r="AL850" s="211">
        <v>885000</v>
      </c>
      <c r="AM850" s="211"/>
      <c r="AN850" s="211"/>
      <c r="AO850" s="211"/>
      <c r="AP850" s="211"/>
      <c r="AQ850" s="211"/>
      <c r="AR850" s="211"/>
      <c r="AS850" s="211"/>
      <c r="AT850" s="211"/>
      <c r="AU850" s="211"/>
      <c r="AV850" s="211"/>
      <c r="AW850" s="211"/>
      <c r="AX850" s="211"/>
      <c r="AY850" s="211"/>
      <c r="AZ850" s="211"/>
      <c r="BA850" s="211"/>
      <c r="BB850" s="211"/>
      <c r="BC850" s="211"/>
      <c r="BD850" s="333">
        <v>43847</v>
      </c>
      <c r="BE850" s="82">
        <f t="shared" si="118"/>
        <v>885000</v>
      </c>
    </row>
    <row r="851" spans="2:57" ht="30.6" hidden="1" x14ac:dyDescent="0.3">
      <c r="B851" s="2" t="str">
        <f>+'Base de Datos'!E851</f>
        <v>190454-0-2019</v>
      </c>
      <c r="C851" s="2" t="str">
        <f>+'Base de Datos'!F851</f>
        <v>TRANSPORTE COCOCARGA LTDA</v>
      </c>
      <c r="D851" s="2" t="str">
        <f>+'Base de Datos'!G851</f>
        <v>900332934-3</v>
      </c>
      <c r="E851" s="2" t="str">
        <f>+'Base de Datos'!H851</f>
        <v>Prestar servicios de almacenamiento y custodia de los médios mágneticos correspondientes a las copias de respaldo de los sistemas de información del Concejo de Bogotá.</v>
      </c>
      <c r="F851" s="197">
        <f>+'Base de Datos'!I851</f>
        <v>1295000</v>
      </c>
      <c r="G851" s="196">
        <f>+'Base de Datos'!M851</f>
        <v>43774</v>
      </c>
      <c r="H851" s="196">
        <f>+'Base de Datos'!N851</f>
        <v>43986</v>
      </c>
      <c r="I851" s="196"/>
      <c r="J851" s="158"/>
      <c r="K851" s="333"/>
      <c r="L851" s="211"/>
      <c r="M851" s="336"/>
      <c r="N851" s="158"/>
      <c r="O851" s="333"/>
      <c r="P851" s="158"/>
      <c r="Q851" s="338"/>
      <c r="R851" s="81">
        <f t="shared" ref="R851:R914" si="119">SUM(J851,L851,N851,P851)</f>
        <v>0</v>
      </c>
      <c r="S851" s="258"/>
      <c r="T851" s="333"/>
      <c r="U851" s="158"/>
      <c r="V851" s="333"/>
      <c r="W851" s="158"/>
      <c r="X851" s="333"/>
      <c r="Y851" s="158"/>
      <c r="Z851" s="1002"/>
      <c r="AA851" s="1003"/>
      <c r="AB851" s="1004" t="str">
        <f t="shared" si="112"/>
        <v/>
      </c>
      <c r="AC851" s="1082" t="str">
        <f t="shared" si="113"/>
        <v/>
      </c>
      <c r="AD851" s="1004"/>
      <c r="AE851" s="1004"/>
      <c r="AF851" s="1084" t="str">
        <f t="shared" si="114"/>
        <v/>
      </c>
      <c r="AG851" s="1082" t="str">
        <f t="shared" si="115"/>
        <v/>
      </c>
      <c r="AH851" s="1092"/>
      <c r="AI851" s="1087"/>
      <c r="AJ851" s="1084" t="str">
        <f t="shared" si="116"/>
        <v/>
      </c>
      <c r="AK851" s="1083" t="str">
        <f t="shared" si="117"/>
        <v/>
      </c>
      <c r="AL851" s="211">
        <v>303600</v>
      </c>
      <c r="AM851" s="211">
        <v>367800</v>
      </c>
      <c r="AN851" s="211"/>
      <c r="AO851" s="211">
        <v>403800</v>
      </c>
      <c r="AP851" s="211"/>
      <c r="AQ851" s="211"/>
      <c r="AR851" s="211"/>
      <c r="AS851" s="211"/>
      <c r="AT851" s="211"/>
      <c r="AU851" s="211"/>
      <c r="AV851" s="211"/>
      <c r="AW851" s="211"/>
      <c r="AX851" s="211"/>
      <c r="AY851" s="211"/>
      <c r="AZ851" s="211"/>
      <c r="BA851" s="211"/>
      <c r="BB851" s="211"/>
      <c r="BC851" s="211"/>
      <c r="BD851" s="333">
        <v>44035</v>
      </c>
      <c r="BE851" s="82">
        <f t="shared" si="118"/>
        <v>1075200</v>
      </c>
    </row>
    <row r="852" spans="2:57" ht="40.799999999999997" hidden="1" x14ac:dyDescent="0.3">
      <c r="B852" s="2" t="str">
        <f>+'Base de Datos'!E852</f>
        <v>190444-0-2019</v>
      </c>
      <c r="C852" s="2" t="str">
        <f>+'Base de Datos'!F852</f>
        <v>ACUIFEROS SAS</v>
      </c>
      <c r="D852" s="2">
        <f>+'Base de Datos'!G852</f>
        <v>900732486</v>
      </c>
      <c r="E852" s="2" t="str">
        <f>+'Base de Datos'!H852</f>
        <v>Prestar el servicio de mantenimiento preventivo y correctivo para los tanques de almacenamiento y equipos de bombeo hidráulicos de agua potable, residual y aguas negras del Concejo de Bogotá y el sistema hidráulico de la SDH.</v>
      </c>
      <c r="F852" s="197">
        <f>+'Base de Datos'!I852</f>
        <v>3292009</v>
      </c>
      <c r="G852" s="196">
        <f>+'Base de Datos'!M852</f>
        <v>43774</v>
      </c>
      <c r="H852" s="196">
        <f>+'Base de Datos'!N852</f>
        <v>44016</v>
      </c>
      <c r="I852" s="196"/>
      <c r="J852" s="158">
        <v>1567181</v>
      </c>
      <c r="K852" s="333">
        <v>44014</v>
      </c>
      <c r="L852" s="211"/>
      <c r="M852" s="336"/>
      <c r="N852" s="158"/>
      <c r="O852" s="333"/>
      <c r="P852" s="158"/>
      <c r="Q852" s="338"/>
      <c r="R852" s="81">
        <f t="shared" si="119"/>
        <v>1567181</v>
      </c>
      <c r="S852" s="258" t="s">
        <v>544</v>
      </c>
      <c r="T852" s="333">
        <v>44169</v>
      </c>
      <c r="U852" s="158"/>
      <c r="V852" s="333"/>
      <c r="W852" s="158"/>
      <c r="X852" s="333"/>
      <c r="Y852" s="158"/>
      <c r="Z852" s="1002"/>
      <c r="AA852" s="1003" t="s">
        <v>544</v>
      </c>
      <c r="AB852" s="1004">
        <f t="shared" si="112"/>
        <v>44169</v>
      </c>
      <c r="AC852" s="1082" t="str">
        <f t="shared" si="113"/>
        <v/>
      </c>
      <c r="AD852" s="1004"/>
      <c r="AE852" s="1004"/>
      <c r="AF852" s="1084" t="str">
        <f t="shared" si="114"/>
        <v/>
      </c>
      <c r="AG852" s="1082" t="str">
        <f t="shared" si="115"/>
        <v/>
      </c>
      <c r="AH852" s="1092"/>
      <c r="AI852" s="1087"/>
      <c r="AJ852" s="1084" t="str">
        <f t="shared" si="116"/>
        <v/>
      </c>
      <c r="AK852" s="1083" t="str">
        <f t="shared" si="117"/>
        <v/>
      </c>
      <c r="AL852" s="211">
        <v>94031</v>
      </c>
      <c r="AM852" s="211">
        <v>80815</v>
      </c>
      <c r="AN852" s="211">
        <v>1064310</v>
      </c>
      <c r="AO852" s="211">
        <v>217489</v>
      </c>
      <c r="AP852" s="211">
        <v>80815</v>
      </c>
      <c r="AQ852" s="211">
        <v>80815</v>
      </c>
      <c r="AR852" s="211">
        <f>1644012+94031</f>
        <v>1738043</v>
      </c>
      <c r="AS852" s="211">
        <v>80815</v>
      </c>
      <c r="AT852" s="211">
        <v>311521</v>
      </c>
      <c r="AU852" s="211"/>
      <c r="AV852" s="211"/>
      <c r="AW852" s="211"/>
      <c r="AX852" s="211"/>
      <c r="AY852" s="211"/>
      <c r="AZ852" s="211"/>
      <c r="BA852" s="211"/>
      <c r="BB852" s="211"/>
      <c r="BC852" s="211"/>
      <c r="BD852" s="333">
        <v>44180</v>
      </c>
      <c r="BE852" s="82">
        <f t="shared" si="118"/>
        <v>3748654</v>
      </c>
    </row>
    <row r="853" spans="2:57" ht="20.399999999999999" hidden="1" x14ac:dyDescent="0.3">
      <c r="B853" s="2" t="str">
        <f>+'Base de Datos'!E853</f>
        <v>190462-0-2019</v>
      </c>
      <c r="C853" s="2" t="str">
        <f>+'Base de Datos'!F853</f>
        <v>BIBLIOWEB SAS</v>
      </c>
      <c r="D853" s="2" t="str">
        <f>+'Base de Datos'!G853</f>
        <v>900098581-7</v>
      </c>
      <c r="E853" s="2" t="str">
        <f>+'Base de Datos'!H853</f>
        <v>Proveer el soporte y actualización del software de gestión documental - Winisis para el Concejo de Bogotá.</v>
      </c>
      <c r="F853" s="197">
        <f>+'Base de Datos'!I853</f>
        <v>7521000</v>
      </c>
      <c r="G853" s="196">
        <f>+'Base de Datos'!M853</f>
        <v>43782</v>
      </c>
      <c r="H853" s="196">
        <f>+'Base de Datos'!N853</f>
        <v>43994</v>
      </c>
      <c r="I853" s="196"/>
      <c r="J853" s="158"/>
      <c r="K853" s="333"/>
      <c r="L853" s="211"/>
      <c r="M853" s="336"/>
      <c r="N853" s="158"/>
      <c r="O853" s="333"/>
      <c r="P853" s="158"/>
      <c r="Q853" s="338"/>
      <c r="R853" s="81">
        <f t="shared" si="119"/>
        <v>0</v>
      </c>
      <c r="S853" s="258"/>
      <c r="T853" s="333"/>
      <c r="U853" s="158"/>
      <c r="V853" s="333"/>
      <c r="W853" s="158"/>
      <c r="X853" s="333"/>
      <c r="Y853" s="158"/>
      <c r="Z853" s="1002"/>
      <c r="AA853" s="1003"/>
      <c r="AB853" s="1004" t="str">
        <f t="shared" si="112"/>
        <v/>
      </c>
      <c r="AC853" s="1082" t="str">
        <f t="shared" si="113"/>
        <v/>
      </c>
      <c r="AD853" s="1004"/>
      <c r="AE853" s="1004"/>
      <c r="AF853" s="1084" t="str">
        <f t="shared" si="114"/>
        <v/>
      </c>
      <c r="AG853" s="1082" t="str">
        <f t="shared" si="115"/>
        <v/>
      </c>
      <c r="AH853" s="1092"/>
      <c r="AI853" s="1087"/>
      <c r="AJ853" s="1084" t="str">
        <f t="shared" si="116"/>
        <v/>
      </c>
      <c r="AK853" s="1083" t="str">
        <f t="shared" si="117"/>
        <v/>
      </c>
      <c r="AL853" s="211">
        <v>1074429</v>
      </c>
      <c r="AM853" s="211">
        <v>1074429</v>
      </c>
      <c r="AN853" s="211">
        <v>1074429</v>
      </c>
      <c r="AO853" s="211">
        <v>1074429</v>
      </c>
      <c r="AP853" s="211"/>
      <c r="AQ853" s="211"/>
      <c r="AR853" s="211"/>
      <c r="AS853" s="211"/>
      <c r="AT853" s="211"/>
      <c r="AU853" s="211"/>
      <c r="AV853" s="211"/>
      <c r="AW853" s="211"/>
      <c r="AX853" s="211"/>
      <c r="AY853" s="211"/>
      <c r="AZ853" s="211"/>
      <c r="BA853" s="211"/>
      <c r="BB853" s="211"/>
      <c r="BC853" s="211"/>
      <c r="BD853" s="333">
        <v>44036</v>
      </c>
      <c r="BE853" s="82">
        <f t="shared" si="118"/>
        <v>4297716</v>
      </c>
    </row>
    <row r="854" spans="2:57" ht="30.6" hidden="1" x14ac:dyDescent="0.3">
      <c r="B854" s="2" t="str">
        <f>+'Base de Datos'!E854</f>
        <v>190474-0-2019</v>
      </c>
      <c r="C854" s="2" t="str">
        <f>+'Base de Datos'!F854</f>
        <v>JUAN DIEGO ESPÍTIA ROA</v>
      </c>
      <c r="D854" s="2">
        <f>+'Base de Datos'!G854</f>
        <v>79730476</v>
      </c>
      <c r="E854" s="2" t="str">
        <f>+'Base de Datos'!H854</f>
        <v>Prestar servicios profesionales como enlace con la Unidad Ejecutora 04 de la Secretaria Distrital de Hacienda para la liquidación y cierre de los expedientes contractuales.</v>
      </c>
      <c r="F854" s="197">
        <f>+'Base de Datos'!I854</f>
        <v>9109500</v>
      </c>
      <c r="G854" s="196">
        <f>+'Base de Datos'!M854</f>
        <v>43777</v>
      </c>
      <c r="H854" s="196">
        <f>+'Base de Datos'!N854</f>
        <v>43814</v>
      </c>
      <c r="I854" s="196"/>
      <c r="J854" s="158">
        <v>4453533</v>
      </c>
      <c r="K854" s="333">
        <v>43812</v>
      </c>
      <c r="L854" s="211"/>
      <c r="M854" s="336"/>
      <c r="N854" s="158"/>
      <c r="O854" s="333"/>
      <c r="P854" s="158"/>
      <c r="Q854" s="338"/>
      <c r="R854" s="81">
        <f t="shared" si="119"/>
        <v>4453533</v>
      </c>
      <c r="S854" s="820" t="s">
        <v>5529</v>
      </c>
      <c r="T854" s="333">
        <v>43844</v>
      </c>
      <c r="U854" s="158"/>
      <c r="V854" s="333"/>
      <c r="W854" s="158"/>
      <c r="X854" s="333"/>
      <c r="Y854" s="158"/>
      <c r="Z854" s="1002"/>
      <c r="AA854" s="820" t="s">
        <v>5529</v>
      </c>
      <c r="AB854" s="1004">
        <f t="shared" si="112"/>
        <v>43844</v>
      </c>
      <c r="AC854" s="1082" t="str">
        <f t="shared" si="113"/>
        <v/>
      </c>
      <c r="AD854" s="1004"/>
      <c r="AE854" s="1004"/>
      <c r="AF854" s="1084" t="str">
        <f t="shared" si="114"/>
        <v/>
      </c>
      <c r="AG854" s="1082" t="str">
        <f t="shared" si="115"/>
        <v/>
      </c>
      <c r="AH854" s="1092"/>
      <c r="AI854" s="1087"/>
      <c r="AJ854" s="1084" t="str">
        <f t="shared" si="116"/>
        <v/>
      </c>
      <c r="AK854" s="1083" t="str">
        <f t="shared" si="117"/>
        <v/>
      </c>
      <c r="AL854" s="211">
        <v>4655967</v>
      </c>
      <c r="AM854" s="211">
        <v>6073000</v>
      </c>
      <c r="AN854" s="211">
        <v>2834066</v>
      </c>
      <c r="AO854" s="211"/>
      <c r="AP854" s="211"/>
      <c r="AQ854" s="211"/>
      <c r="AR854" s="211"/>
      <c r="AS854" s="211"/>
      <c r="AT854" s="211"/>
      <c r="AU854" s="211"/>
      <c r="AV854" s="211"/>
      <c r="AW854" s="211"/>
      <c r="AX854" s="211"/>
      <c r="AY854" s="211"/>
      <c r="AZ854" s="211"/>
      <c r="BA854" s="211"/>
      <c r="BB854" s="211"/>
      <c r="BC854" s="211"/>
      <c r="BD854" s="333">
        <v>43837</v>
      </c>
      <c r="BE854" s="82">
        <f t="shared" si="118"/>
        <v>13563033</v>
      </c>
    </row>
    <row r="855" spans="2:57" ht="20.399999999999999" hidden="1" x14ac:dyDescent="0.3">
      <c r="B855" s="2" t="str">
        <f>+'Base de Datos'!E855</f>
        <v>190460-0-2019</v>
      </c>
      <c r="C855" s="2" t="str">
        <f>+'Base de Datos'!F855</f>
        <v>ALMACENES ÉXITO SA</v>
      </c>
      <c r="D855" s="2" t="str">
        <f>+'Base de Datos'!G855</f>
        <v>890900608-9</v>
      </c>
      <c r="E855" s="2" t="str">
        <f>+'Base de Datos'!H855</f>
        <v>Proveer bonos navideños para los hijos de los funcionarios del Concejo de Bogotá.</v>
      </c>
      <c r="F855" s="197">
        <f>+'Base de Datos'!I855</f>
        <v>45500000</v>
      </c>
      <c r="G855" s="196">
        <f>+'Base de Datos'!M855</f>
        <v>43789</v>
      </c>
      <c r="H855" s="196">
        <f>+'Base de Datos'!N855</f>
        <v>43909</v>
      </c>
      <c r="I855" s="196"/>
      <c r="J855" s="158"/>
      <c r="K855" s="333"/>
      <c r="L855" s="211"/>
      <c r="M855" s="336"/>
      <c r="N855" s="158"/>
      <c r="O855" s="333"/>
      <c r="P855" s="158"/>
      <c r="Q855" s="338"/>
      <c r="R855" s="81">
        <f t="shared" si="119"/>
        <v>0</v>
      </c>
      <c r="S855" s="820" t="s">
        <v>6353</v>
      </c>
      <c r="T855" s="333">
        <v>44012</v>
      </c>
      <c r="U855" s="158"/>
      <c r="V855" s="333"/>
      <c r="W855" s="158"/>
      <c r="X855" s="333"/>
      <c r="Y855" s="158"/>
      <c r="Z855" s="1002"/>
      <c r="AA855" s="820" t="s">
        <v>6353</v>
      </c>
      <c r="AB855" s="1004">
        <f t="shared" si="112"/>
        <v>44012</v>
      </c>
      <c r="AC855" s="1082" t="str">
        <f t="shared" si="113"/>
        <v/>
      </c>
      <c r="AD855" s="1004"/>
      <c r="AE855" s="1004"/>
      <c r="AF855" s="1084" t="str">
        <f t="shared" si="114"/>
        <v/>
      </c>
      <c r="AG855" s="1082" t="str">
        <f t="shared" si="115"/>
        <v/>
      </c>
      <c r="AH855" s="1092"/>
      <c r="AI855" s="1087"/>
      <c r="AJ855" s="1084" t="str">
        <f t="shared" si="116"/>
        <v/>
      </c>
      <c r="AK855" s="1083" t="str">
        <f t="shared" si="117"/>
        <v/>
      </c>
      <c r="AL855" s="211">
        <v>5593600</v>
      </c>
      <c r="AM855" s="211"/>
      <c r="AN855" s="211"/>
      <c r="AO855" s="211"/>
      <c r="AP855" s="211"/>
      <c r="AQ855" s="211"/>
      <c r="AR855" s="211"/>
      <c r="AS855" s="211"/>
      <c r="AT855" s="211"/>
      <c r="AU855" s="211"/>
      <c r="AV855" s="211">
        <v>21675242</v>
      </c>
      <c r="AW855" s="211"/>
      <c r="AX855" s="211"/>
      <c r="AY855" s="211"/>
      <c r="AZ855" s="211"/>
      <c r="BA855" s="211"/>
      <c r="BB855" s="211"/>
      <c r="BC855" s="211">
        <f>2815591+165623</f>
        <v>2981214</v>
      </c>
      <c r="BD855" s="333">
        <v>44095</v>
      </c>
      <c r="BE855" s="82">
        <f t="shared" si="118"/>
        <v>30250056</v>
      </c>
    </row>
    <row r="856" spans="2:57" ht="30.6" hidden="1" x14ac:dyDescent="0.3">
      <c r="B856" s="2" t="str">
        <f>+'Base de Datos'!E856</f>
        <v>190476-0-2019</v>
      </c>
      <c r="C856" s="2" t="str">
        <f>+'Base de Datos'!F856</f>
        <v>LUZ ANGELA CARDENAS MORENO</v>
      </c>
      <c r="D856" s="2">
        <f>+'Base de Datos'!G856</f>
        <v>52911222</v>
      </c>
      <c r="E856" s="2" t="str">
        <f>+'Base de Datos'!H856</f>
        <v>Prestar servicios profesionales para apoyar a la oficina de comunicaciones del Concejo de Bogotá para el cumplimiento al plan de comunicaciones internas y externas de la entidad.</v>
      </c>
      <c r="F856" s="197">
        <f>+'Base de Datos'!I856</f>
        <v>9109500</v>
      </c>
      <c r="G856" s="196">
        <f>+'Base de Datos'!M856</f>
        <v>43789</v>
      </c>
      <c r="H856" s="196">
        <f>+'Base de Datos'!N856</f>
        <v>43814</v>
      </c>
      <c r="I856" s="196"/>
      <c r="J856" s="158">
        <v>4453533</v>
      </c>
      <c r="K856" s="333">
        <v>43812</v>
      </c>
      <c r="L856" s="211"/>
      <c r="M856" s="336"/>
      <c r="N856" s="158"/>
      <c r="O856" s="333"/>
      <c r="P856" s="158"/>
      <c r="Q856" s="338"/>
      <c r="R856" s="81">
        <f t="shared" si="119"/>
        <v>4453533</v>
      </c>
      <c r="S856" s="820" t="s">
        <v>5529</v>
      </c>
      <c r="T856" s="333">
        <v>43856</v>
      </c>
      <c r="U856" s="158"/>
      <c r="V856" s="333"/>
      <c r="W856" s="158"/>
      <c r="X856" s="333"/>
      <c r="Y856" s="158"/>
      <c r="Z856" s="1002"/>
      <c r="AA856" s="820" t="s">
        <v>5529</v>
      </c>
      <c r="AB856" s="1004">
        <f t="shared" si="112"/>
        <v>43856</v>
      </c>
      <c r="AC856" s="1082" t="str">
        <f t="shared" si="113"/>
        <v/>
      </c>
      <c r="AD856" s="1004"/>
      <c r="AE856" s="1004"/>
      <c r="AF856" s="1084" t="str">
        <f t="shared" si="114"/>
        <v/>
      </c>
      <c r="AG856" s="1082" t="str">
        <f t="shared" si="115"/>
        <v/>
      </c>
      <c r="AH856" s="1092"/>
      <c r="AI856" s="1087"/>
      <c r="AJ856" s="1084" t="str">
        <f t="shared" si="116"/>
        <v/>
      </c>
      <c r="AK856" s="1083" t="str">
        <f t="shared" si="117"/>
        <v/>
      </c>
      <c r="AL856" s="211">
        <v>2226767</v>
      </c>
      <c r="AM856" s="211">
        <v>6073000</v>
      </c>
      <c r="AN856" s="211">
        <v>5263266</v>
      </c>
      <c r="AO856" s="211"/>
      <c r="AP856" s="211"/>
      <c r="AQ856" s="211"/>
      <c r="AR856" s="211"/>
      <c r="AS856" s="211"/>
      <c r="AT856" s="211"/>
      <c r="AU856" s="211"/>
      <c r="AV856" s="211"/>
      <c r="AW856" s="211"/>
      <c r="AX856" s="211"/>
      <c r="AY856" s="211"/>
      <c r="AZ856" s="211"/>
      <c r="BA856" s="211"/>
      <c r="BB856" s="211"/>
      <c r="BC856" s="211"/>
      <c r="BD856" s="333">
        <v>43871</v>
      </c>
      <c r="BE856" s="82">
        <f t="shared" si="118"/>
        <v>13563033</v>
      </c>
    </row>
    <row r="857" spans="2:57" ht="40.799999999999997" hidden="1" x14ac:dyDescent="0.3">
      <c r="B857" s="2" t="str">
        <f>+'Base de Datos'!E857</f>
        <v>190477-0-2019</v>
      </c>
      <c r="C857" s="2" t="str">
        <f>+'Base de Datos'!F857</f>
        <v>ANGELA IBETH DIAZ REY</v>
      </c>
      <c r="D857" s="2">
        <f>+'Base de Datos'!G857</f>
        <v>51833636</v>
      </c>
      <c r="E857" s="2" t="str">
        <f>+'Base de Datos'!H857</f>
        <v xml:space="preserve">Prestar servicios profesionales para apoyar la Dirección Administrativa en la gestión de las actividades relacionadas con el seguimiento a la ejecución contractual relacionada con técnología e informática del Concejo de Bogotá </v>
      </c>
      <c r="F857" s="197">
        <f>+'Base de Datos'!I857</f>
        <v>3672065</v>
      </c>
      <c r="G857" s="196">
        <f>+'Base de Datos'!M857</f>
        <v>43790</v>
      </c>
      <c r="H857" s="196">
        <f>+'Base de Datos'!N857</f>
        <v>43827</v>
      </c>
      <c r="I857" s="196"/>
      <c r="J857" s="158"/>
      <c r="K857" s="333"/>
      <c r="L857" s="211"/>
      <c r="M857" s="336"/>
      <c r="N857" s="158"/>
      <c r="O857" s="333"/>
      <c r="P857" s="158"/>
      <c r="Q857" s="338"/>
      <c r="R857" s="81">
        <f t="shared" si="119"/>
        <v>0</v>
      </c>
      <c r="S857" s="258"/>
      <c r="T857" s="333"/>
      <c r="U857" s="158"/>
      <c r="V857" s="333"/>
      <c r="W857" s="158"/>
      <c r="X857" s="333"/>
      <c r="Y857" s="158"/>
      <c r="Z857" s="1002"/>
      <c r="AA857" s="1003"/>
      <c r="AB857" s="1004" t="str">
        <f t="shared" si="112"/>
        <v/>
      </c>
      <c r="AC857" s="1082" t="str">
        <f t="shared" si="113"/>
        <v/>
      </c>
      <c r="AD857" s="1004"/>
      <c r="AE857" s="1004"/>
      <c r="AF857" s="1084" t="str">
        <f t="shared" si="114"/>
        <v/>
      </c>
      <c r="AG857" s="1082" t="str">
        <f t="shared" si="115"/>
        <v/>
      </c>
      <c r="AH857" s="1092"/>
      <c r="AI857" s="1087"/>
      <c r="AJ857" s="1084" t="str">
        <f t="shared" si="116"/>
        <v/>
      </c>
      <c r="AK857" s="1083" t="str">
        <f t="shared" si="117"/>
        <v/>
      </c>
      <c r="AL857" s="211">
        <v>966333</v>
      </c>
      <c r="AM857" s="211">
        <v>2705732</v>
      </c>
      <c r="AN857" s="211"/>
      <c r="AO857" s="211"/>
      <c r="AP857" s="211"/>
      <c r="AQ857" s="211"/>
      <c r="AR857" s="211"/>
      <c r="AS857" s="211"/>
      <c r="AT857" s="211"/>
      <c r="AU857" s="211"/>
      <c r="AV857" s="211"/>
      <c r="AW857" s="211"/>
      <c r="AX857" s="211"/>
      <c r="AY857" s="211"/>
      <c r="AZ857" s="211"/>
      <c r="BA857" s="211"/>
      <c r="BB857" s="211"/>
      <c r="BC857" s="211"/>
      <c r="BD857" s="333">
        <v>43845</v>
      </c>
      <c r="BE857" s="82">
        <f t="shared" si="118"/>
        <v>3672065</v>
      </c>
    </row>
    <row r="858" spans="2:57" ht="30.6" hidden="1" x14ac:dyDescent="0.3">
      <c r="B858" s="2" t="str">
        <f>+'Base de Datos'!E858</f>
        <v>190482-0-2019</v>
      </c>
      <c r="C858" s="2" t="str">
        <f>+'Base de Datos'!F858</f>
        <v xml:space="preserve">DIANA CAROLINA CLAVIJO SEPULVEDA
</v>
      </c>
      <c r="D858" s="2">
        <f>+'Base de Datos'!G858</f>
        <v>1030559110</v>
      </c>
      <c r="E858" s="2" t="str">
        <f>+'Base de Datos'!H858</f>
        <v>Prestar servicios de apoyo al Concejo de Bogotá en lo referente a logística documental.</v>
      </c>
      <c r="F858" s="197">
        <f>+'Base de Datos'!I858</f>
        <v>3003000</v>
      </c>
      <c r="G858" s="196">
        <f>+'Base de Datos'!M858</f>
        <v>43803</v>
      </c>
      <c r="H858" s="196">
        <f>+'Base de Datos'!N858</f>
        <v>43830</v>
      </c>
      <c r="I858" s="196">
        <v>43848</v>
      </c>
      <c r="J858" s="158"/>
      <c r="K858" s="333"/>
      <c r="L858" s="211"/>
      <c r="M858" s="336"/>
      <c r="N858" s="158"/>
      <c r="O858" s="333"/>
      <c r="P858" s="158"/>
      <c r="Q858" s="338"/>
      <c r="R858" s="81">
        <f t="shared" si="119"/>
        <v>0</v>
      </c>
      <c r="S858" s="258"/>
      <c r="T858" s="333"/>
      <c r="U858" s="158"/>
      <c r="V858" s="333"/>
      <c r="W858" s="158"/>
      <c r="X858" s="333"/>
      <c r="Y858" s="158"/>
      <c r="Z858" s="1002"/>
      <c r="AA858" s="1003"/>
      <c r="AB858" s="1004" t="str">
        <f t="shared" si="112"/>
        <v/>
      </c>
      <c r="AC858" s="1082" t="str">
        <f t="shared" si="113"/>
        <v/>
      </c>
      <c r="AD858" s="1004"/>
      <c r="AE858" s="1004"/>
      <c r="AF858" s="1084" t="str">
        <f t="shared" si="114"/>
        <v/>
      </c>
      <c r="AG858" s="1082" t="str">
        <f t="shared" si="115"/>
        <v/>
      </c>
      <c r="AH858" s="1092"/>
      <c r="AI858" s="1087"/>
      <c r="AJ858" s="1084" t="str">
        <f t="shared" si="116"/>
        <v/>
      </c>
      <c r="AK858" s="1083" t="str">
        <f t="shared" si="117"/>
        <v/>
      </c>
      <c r="AL858" s="211">
        <v>1801800</v>
      </c>
      <c r="AM858" s="211">
        <v>1201200</v>
      </c>
      <c r="AN858" s="211"/>
      <c r="AO858" s="211"/>
      <c r="AP858" s="211"/>
      <c r="AQ858" s="211"/>
      <c r="AR858" s="211"/>
      <c r="AS858" s="211"/>
      <c r="AT858" s="211"/>
      <c r="AU858" s="211"/>
      <c r="AV858" s="211"/>
      <c r="AW858" s="211"/>
      <c r="AX858" s="211"/>
      <c r="AY858" s="211"/>
      <c r="AZ858" s="211"/>
      <c r="BA858" s="211"/>
      <c r="BB858" s="211"/>
      <c r="BC858" s="211"/>
      <c r="BD858" s="333">
        <v>43838</v>
      </c>
      <c r="BE858" s="82">
        <f t="shared" si="118"/>
        <v>3003000</v>
      </c>
    </row>
    <row r="859" spans="2:57" ht="20.399999999999999" hidden="1" x14ac:dyDescent="0.3">
      <c r="B859" s="2" t="str">
        <f>+'Base de Datos'!E859</f>
        <v>190494-0-2019</v>
      </c>
      <c r="C859" s="2"/>
      <c r="D859" s="2">
        <f>+'Base de Datos'!G859</f>
        <v>830034195</v>
      </c>
      <c r="E859" s="2" t="str">
        <f>+'Base de Datos'!H859</f>
        <v>Adquisición de impresoras a color para la Secretaría General del Concejo de Bogotá</v>
      </c>
      <c r="F859" s="197">
        <f>+'Base de Datos'!I859</f>
        <v>19449100</v>
      </c>
      <c r="G859" s="196">
        <f>+'Base de Datos'!M859</f>
        <v>43812</v>
      </c>
      <c r="H859" s="196">
        <f>+'Base de Datos'!N859</f>
        <v>43842</v>
      </c>
      <c r="I859" s="196"/>
      <c r="J859" s="158"/>
      <c r="K859" s="333"/>
      <c r="L859" s="211"/>
      <c r="M859" s="336"/>
      <c r="N859" s="158"/>
      <c r="O859" s="333"/>
      <c r="P859" s="158"/>
      <c r="Q859" s="338"/>
      <c r="R859" s="81">
        <f t="shared" si="119"/>
        <v>0</v>
      </c>
      <c r="S859" s="258"/>
      <c r="T859" s="333"/>
      <c r="U859" s="158"/>
      <c r="V859" s="333"/>
      <c r="W859" s="158"/>
      <c r="X859" s="333"/>
      <c r="Y859" s="158"/>
      <c r="Z859" s="1002"/>
      <c r="AA859" s="1003"/>
      <c r="AB859" s="1004" t="str">
        <f t="shared" si="112"/>
        <v/>
      </c>
      <c r="AC859" s="1082" t="str">
        <f t="shared" si="113"/>
        <v/>
      </c>
      <c r="AD859" s="1004"/>
      <c r="AE859" s="1004"/>
      <c r="AF859" s="1084" t="str">
        <f t="shared" si="114"/>
        <v/>
      </c>
      <c r="AG859" s="1082" t="str">
        <f t="shared" si="115"/>
        <v/>
      </c>
      <c r="AH859" s="1092"/>
      <c r="AI859" s="1087"/>
      <c r="AJ859" s="1084" t="str">
        <f t="shared" si="116"/>
        <v/>
      </c>
      <c r="AK859" s="1083" t="str">
        <f t="shared" si="117"/>
        <v/>
      </c>
      <c r="AL859" s="211">
        <v>19449100</v>
      </c>
      <c r="AM859" s="211"/>
      <c r="AN859" s="211"/>
      <c r="AO859" s="211"/>
      <c r="AP859" s="211"/>
      <c r="AQ859" s="211"/>
      <c r="AR859" s="211"/>
      <c r="AS859" s="211"/>
      <c r="AT859" s="211"/>
      <c r="AU859" s="211"/>
      <c r="AV859" s="211"/>
      <c r="AW859" s="211"/>
      <c r="AX859" s="211"/>
      <c r="AY859" s="211"/>
      <c r="AZ859" s="211"/>
      <c r="BA859" s="211"/>
      <c r="BB859" s="211"/>
      <c r="BC859" s="211"/>
      <c r="BD859" s="333">
        <v>44027</v>
      </c>
      <c r="BE859" s="82">
        <f t="shared" si="118"/>
        <v>19449100</v>
      </c>
    </row>
    <row r="860" spans="2:57" ht="20.399999999999999" hidden="1" x14ac:dyDescent="0.3">
      <c r="B860" s="2" t="str">
        <f>+'Base de Datos'!E860</f>
        <v>190452-0-2019</v>
      </c>
      <c r="C860" s="2" t="str">
        <f>+'Base de Datos'!F860</f>
        <v>MITSUBISHI ELECTRIC DE COLOMBIA LTDA</v>
      </c>
      <c r="D860" s="2">
        <f>+'Base de Datos'!G860</f>
        <v>860025639</v>
      </c>
      <c r="E860" s="2" t="str">
        <f>+'Base de Datos'!H860</f>
        <v>Prestar servicios de mantenimiento preventivo y correctivo a los ascensores marca Mitsubishi del Concejo de Bogotá.</v>
      </c>
      <c r="F860" s="197">
        <f>+'Base de Datos'!I860</f>
        <v>26227904</v>
      </c>
      <c r="G860" s="196">
        <f>+'Base de Datos'!M860</f>
        <v>43808</v>
      </c>
      <c r="H860" s="196">
        <f>+'Base de Datos'!N860</f>
        <v>44173</v>
      </c>
      <c r="I860" s="196"/>
      <c r="J860" s="158"/>
      <c r="K860" s="333"/>
      <c r="L860" s="211"/>
      <c r="M860" s="336"/>
      <c r="N860" s="158"/>
      <c r="O860" s="333"/>
      <c r="P860" s="158"/>
      <c r="Q860" s="338"/>
      <c r="R860" s="81">
        <f t="shared" si="119"/>
        <v>0</v>
      </c>
      <c r="S860" s="258"/>
      <c r="T860" s="333"/>
      <c r="U860" s="158"/>
      <c r="V860" s="333"/>
      <c r="W860" s="158"/>
      <c r="X860" s="333"/>
      <c r="Y860" s="158"/>
      <c r="Z860" s="1002"/>
      <c r="AA860" s="1003"/>
      <c r="AB860" s="1004" t="str">
        <f t="shared" si="112"/>
        <v/>
      </c>
      <c r="AC860" s="1082" t="str">
        <f t="shared" si="113"/>
        <v/>
      </c>
      <c r="AD860" s="1004"/>
      <c r="AE860" s="1004"/>
      <c r="AF860" s="1084" t="str">
        <f t="shared" si="114"/>
        <v/>
      </c>
      <c r="AG860" s="1082" t="str">
        <f t="shared" si="115"/>
        <v/>
      </c>
      <c r="AH860" s="1092"/>
      <c r="AI860" s="1087"/>
      <c r="AJ860" s="1084" t="str">
        <f t="shared" si="116"/>
        <v/>
      </c>
      <c r="AK860" s="1083" t="str">
        <f t="shared" si="117"/>
        <v/>
      </c>
      <c r="AM860" s="211">
        <v>1716632</v>
      </c>
      <c r="AN860" s="211">
        <v>1716632</v>
      </c>
      <c r="AO860" s="211">
        <v>1716632</v>
      </c>
      <c r="AP860" s="211">
        <v>1716632</v>
      </c>
      <c r="AQ860" s="211">
        <v>1716632</v>
      </c>
      <c r="AR860" s="211">
        <v>1716632</v>
      </c>
      <c r="AS860" s="211">
        <v>1716632</v>
      </c>
      <c r="AT860" s="211">
        <v>1716632</v>
      </c>
      <c r="AU860" s="211">
        <v>1716632</v>
      </c>
      <c r="AV860" s="211">
        <v>1716632</v>
      </c>
      <c r="AW860" s="211"/>
      <c r="AX860" s="211"/>
      <c r="AY860" s="211"/>
      <c r="AZ860" s="211"/>
      <c r="BA860" s="211"/>
      <c r="BB860" s="211"/>
      <c r="BC860" s="211"/>
      <c r="BD860" s="333">
        <v>44181</v>
      </c>
      <c r="BE860" s="82">
        <f t="shared" si="118"/>
        <v>17166320</v>
      </c>
    </row>
    <row r="861" spans="2:57" ht="20.399999999999999" hidden="1" x14ac:dyDescent="0.3">
      <c r="B861" s="2" t="str">
        <f>+'Base de Datos'!E861</f>
        <v>190495-0-2019</v>
      </c>
      <c r="C861" s="2" t="str">
        <f>+'Base de Datos'!F861</f>
        <v>SOLUCIONES H&amp;S S.A.S</v>
      </c>
      <c r="D861" s="2">
        <f>+'Base de Datos'!G861</f>
        <v>900699012</v>
      </c>
      <c r="E861" s="2" t="str">
        <f>+'Base de Datos'!H861</f>
        <v>Prestar el servicio de alquiler, instalación y desmontaje de la decoración navideña para el Concejo de Bogotá D.C.</v>
      </c>
      <c r="F861" s="197">
        <f>+'Base de Datos'!I861</f>
        <v>22990000</v>
      </c>
      <c r="G861" s="196">
        <f>+'Base de Datos'!M861</f>
        <v>43810</v>
      </c>
      <c r="H861" s="196">
        <f>+'Base de Datos'!N861</f>
        <v>43871</v>
      </c>
      <c r="I861" s="196"/>
      <c r="J861" s="158"/>
      <c r="K861" s="333"/>
      <c r="L861" s="211"/>
      <c r="M861" s="336"/>
      <c r="N861" s="158"/>
      <c r="O861" s="333"/>
      <c r="P861" s="158"/>
      <c r="Q861" s="338"/>
      <c r="R861" s="81">
        <f t="shared" si="119"/>
        <v>0</v>
      </c>
      <c r="S861" s="258"/>
      <c r="T861" s="333"/>
      <c r="U861" s="158"/>
      <c r="V861" s="333"/>
      <c r="W861" s="158"/>
      <c r="X861" s="333"/>
      <c r="Y861" s="158"/>
      <c r="Z861" s="1002"/>
      <c r="AA861" s="1003"/>
      <c r="AB861" s="1004" t="str">
        <f t="shared" si="112"/>
        <v/>
      </c>
      <c r="AC861" s="1082" t="str">
        <f t="shared" si="113"/>
        <v/>
      </c>
      <c r="AD861" s="1004"/>
      <c r="AE861" s="1004"/>
      <c r="AF861" s="1084" t="str">
        <f t="shared" si="114"/>
        <v/>
      </c>
      <c r="AG861" s="1082" t="str">
        <f t="shared" si="115"/>
        <v/>
      </c>
      <c r="AH861" s="1092"/>
      <c r="AI861" s="1087"/>
      <c r="AJ861" s="1084" t="str">
        <f t="shared" si="116"/>
        <v/>
      </c>
      <c r="AK861" s="1083" t="str">
        <f t="shared" si="117"/>
        <v/>
      </c>
      <c r="AL861" s="211">
        <v>22990000</v>
      </c>
      <c r="AM861" s="211"/>
      <c r="AN861" s="211"/>
      <c r="AO861" s="211"/>
      <c r="AP861" s="211"/>
      <c r="AQ861" s="211"/>
      <c r="AR861" s="211"/>
      <c r="AS861" s="211"/>
      <c r="AT861" s="211"/>
      <c r="AU861" s="211"/>
      <c r="AV861" s="211"/>
      <c r="AW861" s="211"/>
      <c r="AX861" s="211"/>
      <c r="AY861" s="211"/>
      <c r="AZ861" s="211"/>
      <c r="BA861" s="211"/>
      <c r="BB861" s="211"/>
      <c r="BC861" s="211"/>
      <c r="BD861" s="333">
        <v>43906</v>
      </c>
      <c r="BE861" s="82">
        <f t="shared" si="118"/>
        <v>22990000</v>
      </c>
    </row>
    <row r="862" spans="2:57" ht="40.799999999999997" hidden="1" x14ac:dyDescent="0.3">
      <c r="B862" s="2" t="str">
        <f>+'Base de Datos'!E862</f>
        <v>190493-0-2019</v>
      </c>
      <c r="C862" s="2" t="str">
        <f>+'Base de Datos'!F862</f>
        <v>SEGURIDAD INDUSTRIAL EL FARO SAS</v>
      </c>
      <c r="D862" s="2">
        <f>+'Base de Datos'!G862</f>
        <v>901100688</v>
      </c>
      <c r="E862" s="2" t="str">
        <f>+'Base de Datos'!H862</f>
        <v>Prestar servicios de revisión mantenimiento y recarga de extintores y gabinetes contra incendio con suministro de repuestos y otros elementos de seguridad para el Concejo de Bogotá D.C.</v>
      </c>
      <c r="F862" s="197">
        <f>+'Base de Datos'!I862</f>
        <v>9868500</v>
      </c>
      <c r="G862" s="196">
        <f>+'Base de Datos'!M862</f>
        <v>43812</v>
      </c>
      <c r="H862" s="196">
        <f>+'Base de Datos'!N862</f>
        <v>43933</v>
      </c>
      <c r="I862" s="196"/>
      <c r="J862" s="158"/>
      <c r="K862" s="333"/>
      <c r="L862" s="211"/>
      <c r="M862" s="336"/>
      <c r="N862" s="158"/>
      <c r="O862" s="333"/>
      <c r="P862" s="158"/>
      <c r="Q862" s="338"/>
      <c r="R862" s="81">
        <f t="shared" si="119"/>
        <v>0</v>
      </c>
      <c r="S862" s="258"/>
      <c r="T862" s="333"/>
      <c r="U862" s="158"/>
      <c r="V862" s="333"/>
      <c r="W862" s="158"/>
      <c r="X862" s="333"/>
      <c r="Y862" s="158"/>
      <c r="Z862" s="1002"/>
      <c r="AA862" s="1003"/>
      <c r="AB862" s="1004" t="str">
        <f t="shared" si="112"/>
        <v/>
      </c>
      <c r="AC862" s="1082" t="str">
        <f t="shared" si="113"/>
        <v/>
      </c>
      <c r="AD862" s="1004"/>
      <c r="AE862" s="1004"/>
      <c r="AF862" s="1084" t="str">
        <f t="shared" si="114"/>
        <v/>
      </c>
      <c r="AG862" s="1082" t="str">
        <f t="shared" si="115"/>
        <v/>
      </c>
      <c r="AH862" s="1092"/>
      <c r="AI862" s="1087"/>
      <c r="AJ862" s="1084" t="str">
        <f t="shared" si="116"/>
        <v/>
      </c>
      <c r="AK862" s="1083" t="str">
        <f t="shared" si="117"/>
        <v/>
      </c>
      <c r="AL862" s="211">
        <v>7489736</v>
      </c>
      <c r="AM862" s="211"/>
      <c r="AN862" s="211"/>
      <c r="AO862" s="211"/>
      <c r="AP862" s="211"/>
      <c r="AQ862" s="211"/>
      <c r="AR862" s="211"/>
      <c r="AS862" s="211"/>
      <c r="AT862" s="211"/>
      <c r="AU862" s="211"/>
      <c r="AV862" s="211"/>
      <c r="AW862" s="211"/>
      <c r="AX862" s="211"/>
      <c r="AY862" s="211"/>
      <c r="AZ862" s="211"/>
      <c r="BA862" s="211"/>
      <c r="BB862" s="211"/>
      <c r="BC862" s="211"/>
      <c r="BD862" s="333">
        <v>44049</v>
      </c>
      <c r="BE862" s="82">
        <f t="shared" si="118"/>
        <v>7489736</v>
      </c>
    </row>
    <row r="863" spans="2:57" ht="20.399999999999999" hidden="1" x14ac:dyDescent="0.3">
      <c r="B863" s="2" t="str">
        <f>+'Base de Datos'!E863</f>
        <v>190479-0-2019</v>
      </c>
      <c r="C863" s="2" t="str">
        <f>+'Base de Datos'!F863</f>
        <v xml:space="preserve">DIRECTV COLOMBIA LTDA
</v>
      </c>
      <c r="D863" s="2">
        <f>+'Base de Datos'!G863</f>
        <v>805006014</v>
      </c>
      <c r="E863" s="2" t="str">
        <f>+'Base de Datos'!H863</f>
        <v xml:space="preserve">Suscripción al sistema de televisión satelital para el Concejo de Bogotá. </v>
      </c>
      <c r="F863" s="197">
        <f>+'Base de Datos'!I863</f>
        <v>2342856</v>
      </c>
      <c r="G863" s="196">
        <f>+'Base de Datos'!M863</f>
        <v>43812</v>
      </c>
      <c r="H863" s="196">
        <f>+'Base de Datos'!N863</f>
        <v>44177</v>
      </c>
      <c r="I863" s="196"/>
      <c r="J863" s="158"/>
      <c r="K863" s="333"/>
      <c r="L863" s="211"/>
      <c r="M863" s="336"/>
      <c r="N863" s="158"/>
      <c r="O863" s="333"/>
      <c r="P863" s="158"/>
      <c r="Q863" s="338"/>
      <c r="R863" s="81">
        <f t="shared" si="119"/>
        <v>0</v>
      </c>
      <c r="S863" s="258"/>
      <c r="T863" s="333"/>
      <c r="U863" s="158"/>
      <c r="V863" s="333"/>
      <c r="W863" s="158"/>
      <c r="X863" s="333"/>
      <c r="Y863" s="158"/>
      <c r="Z863" s="1002"/>
      <c r="AA863" s="1003"/>
      <c r="AB863" s="1004" t="str">
        <f t="shared" si="112"/>
        <v/>
      </c>
      <c r="AC863" s="1082" t="str">
        <f t="shared" si="113"/>
        <v/>
      </c>
      <c r="AD863" s="1004"/>
      <c r="AE863" s="1004"/>
      <c r="AF863" s="1084" t="str">
        <f t="shared" si="114"/>
        <v/>
      </c>
      <c r="AG863" s="1082" t="str">
        <f t="shared" si="115"/>
        <v/>
      </c>
      <c r="AH863" s="1092"/>
      <c r="AI863" s="1087"/>
      <c r="AJ863" s="1084" t="str">
        <f t="shared" si="116"/>
        <v/>
      </c>
      <c r="AK863" s="1083" t="str">
        <f t="shared" si="117"/>
        <v/>
      </c>
      <c r="AL863" s="211">
        <v>2264213</v>
      </c>
      <c r="AM863" s="211"/>
      <c r="AN863" s="211"/>
      <c r="AO863" s="211"/>
      <c r="AP863" s="211"/>
      <c r="AQ863" s="211"/>
      <c r="AR863" s="211"/>
      <c r="AS863" s="211"/>
      <c r="AT863" s="211"/>
      <c r="AU863" s="211"/>
      <c r="AV863" s="211"/>
      <c r="AW863" s="211"/>
      <c r="AX863" s="211"/>
      <c r="AY863" s="211"/>
      <c r="AZ863" s="211"/>
      <c r="BA863" s="211"/>
      <c r="BB863" s="211"/>
      <c r="BC863" s="211"/>
      <c r="BD863" s="333">
        <v>44029</v>
      </c>
      <c r="BE863" s="82">
        <f t="shared" si="118"/>
        <v>2264213</v>
      </c>
    </row>
    <row r="864" spans="2:57" ht="20.399999999999999" hidden="1" x14ac:dyDescent="0.3">
      <c r="B864" s="2" t="str">
        <f>+'Base de Datos'!E864</f>
        <v>190497-0-2019</v>
      </c>
      <c r="C864" s="2" t="str">
        <f>+'Base de Datos'!F864</f>
        <v>TEAM MANAGEMENT INFRASTRUCTURE SAS</v>
      </c>
      <c r="D864" s="2">
        <f>+'Base de Datos'!G864</f>
        <v>900220002</v>
      </c>
      <c r="E864" s="2" t="str">
        <f>+'Base de Datos'!H864</f>
        <v>Prestar servicios de soporte y mantenimiento para la plataforma VMware del Concejo de Bogotá.</v>
      </c>
      <c r="F864" s="197">
        <f>+'Base de Datos'!I864</f>
        <v>56789574</v>
      </c>
      <c r="G864" s="196">
        <f>+'Base de Datos'!M864</f>
        <v>43818</v>
      </c>
      <c r="H864" s="196">
        <f>+'Base de Datos'!N864</f>
        <v>44183</v>
      </c>
      <c r="I864" s="196"/>
      <c r="J864" s="158"/>
      <c r="K864" s="333"/>
      <c r="L864" s="211"/>
      <c r="M864" s="336"/>
      <c r="N864" s="158"/>
      <c r="O864" s="333"/>
      <c r="P864" s="158"/>
      <c r="Q864" s="338"/>
      <c r="R864" s="81">
        <f t="shared" si="119"/>
        <v>0</v>
      </c>
      <c r="S864" s="258"/>
      <c r="T864" s="333"/>
      <c r="U864" s="158"/>
      <c r="V864" s="333"/>
      <c r="W864" s="158"/>
      <c r="X864" s="333"/>
      <c r="Y864" s="158"/>
      <c r="Z864" s="1002"/>
      <c r="AA864" s="1003"/>
      <c r="AB864" s="1004" t="str">
        <f t="shared" si="112"/>
        <v/>
      </c>
      <c r="AC864" s="1082" t="str">
        <f t="shared" si="113"/>
        <v/>
      </c>
      <c r="AD864" s="1004"/>
      <c r="AE864" s="1004"/>
      <c r="AF864" s="1084" t="str">
        <f t="shared" si="114"/>
        <v/>
      </c>
      <c r="AG864" s="1082" t="str">
        <f t="shared" si="115"/>
        <v/>
      </c>
      <c r="AH864" s="1092"/>
      <c r="AI864" s="1087"/>
      <c r="AJ864" s="1084" t="str">
        <f t="shared" si="116"/>
        <v/>
      </c>
      <c r="AK864" s="1083" t="str">
        <f t="shared" si="117"/>
        <v/>
      </c>
      <c r="AL864" s="211">
        <v>47837424</v>
      </c>
      <c r="AM864" s="211">
        <v>1074258</v>
      </c>
      <c r="AN864" s="211">
        <v>1432344</v>
      </c>
      <c r="AO864" s="211"/>
      <c r="AP864" s="211"/>
      <c r="AQ864" s="211"/>
      <c r="AR864" s="211"/>
      <c r="AS864" s="211"/>
      <c r="AT864" s="211"/>
      <c r="AU864" s="211"/>
      <c r="AV864" s="211"/>
      <c r="AW864" s="211"/>
      <c r="AX864" s="211"/>
      <c r="AY864" s="211"/>
      <c r="AZ864" s="211"/>
      <c r="BA864" s="211"/>
      <c r="BB864" s="211"/>
      <c r="BC864" s="211"/>
      <c r="BD864" s="333">
        <v>44057</v>
      </c>
      <c r="BE864" s="82">
        <f t="shared" si="118"/>
        <v>50344026</v>
      </c>
    </row>
    <row r="865" spans="2:57" ht="61.2" hidden="1" x14ac:dyDescent="0.3">
      <c r="B865" s="2" t="str">
        <f>+'Base de Datos'!E865</f>
        <v>190500-0-2019</v>
      </c>
      <c r="C865" s="2" t="str">
        <f>+'Base de Datos'!F865</f>
        <v>UNIÓN TEMPORAL JLT - DELIMA - WILLIS-SDH- CMA - 01-2019</v>
      </c>
      <c r="D865" s="2" t="str">
        <f>+'Base de Datos'!G865</f>
        <v>901345080-9</v>
      </c>
      <c r="E865" s="2" t="str">
        <f>+'Base de Datos'!H865</f>
        <v>El corredor de seguros seleccionado realizará la intermediación y asesoría integral del programa de seguros del Concejo de Bogotá D.C., de conformidad con lo establecido en el pliego de condiciones del Concurso de Méritos Abierto N. SDH-CMA-01-2019 y la propuesta presentada por el contratista.</v>
      </c>
      <c r="F865" s="197">
        <f>+'Base de Datos'!I865</f>
        <v>0</v>
      </c>
      <c r="G865" s="196">
        <f>+'Base de Datos'!M865</f>
        <v>43822</v>
      </c>
      <c r="H865" s="196">
        <f>+'Base de Datos'!N865</f>
        <v>44369</v>
      </c>
      <c r="I865" s="196"/>
      <c r="J865" s="158"/>
      <c r="K865" s="333"/>
      <c r="L865" s="211"/>
      <c r="M865" s="336"/>
      <c r="N865" s="158"/>
      <c r="O865" s="333"/>
      <c r="P865" s="158"/>
      <c r="Q865" s="338"/>
      <c r="R865" s="81">
        <f t="shared" si="119"/>
        <v>0</v>
      </c>
      <c r="S865" s="258"/>
      <c r="T865" s="333"/>
      <c r="U865" s="158"/>
      <c r="V865" s="333"/>
      <c r="W865" s="158"/>
      <c r="X865" s="333"/>
      <c r="Y865" s="158"/>
      <c r="Z865" s="1002"/>
      <c r="AA865" s="1003"/>
      <c r="AB865" s="1004" t="str">
        <f t="shared" si="112"/>
        <v/>
      </c>
      <c r="AC865" s="1082" t="str">
        <f t="shared" si="113"/>
        <v/>
      </c>
      <c r="AD865" s="1004"/>
      <c r="AE865" s="1004"/>
      <c r="AF865" s="1084" t="str">
        <f t="shared" si="114"/>
        <v/>
      </c>
      <c r="AG865" s="1082" t="str">
        <f t="shared" si="115"/>
        <v/>
      </c>
      <c r="AH865" s="1092"/>
      <c r="AI865" s="1087"/>
      <c r="AJ865" s="1084" t="str">
        <f t="shared" si="116"/>
        <v/>
      </c>
      <c r="AK865" s="1083" t="str">
        <f t="shared" si="117"/>
        <v/>
      </c>
      <c r="AL865" s="211"/>
      <c r="AM865" s="211"/>
      <c r="AN865" s="211"/>
      <c r="AO865" s="211"/>
      <c r="AP865" s="211"/>
      <c r="AQ865" s="211"/>
      <c r="AR865" s="211"/>
      <c r="AS865" s="211"/>
      <c r="AT865" s="211"/>
      <c r="AU865" s="211"/>
      <c r="AV865" s="211"/>
      <c r="AW865" s="211"/>
      <c r="AX865" s="211"/>
      <c r="AY865" s="211"/>
      <c r="AZ865" s="211"/>
      <c r="BA865" s="211"/>
      <c r="BB865" s="211"/>
      <c r="BC865" s="211"/>
      <c r="BD865" s="333"/>
      <c r="BE865" s="82">
        <f t="shared" si="118"/>
        <v>0</v>
      </c>
    </row>
    <row r="866" spans="2:57" ht="81.599999999999994" hidden="1" x14ac:dyDescent="0.3">
      <c r="B866" s="2" t="str">
        <f>+'Base de Datos'!E866</f>
        <v>190513-0-2019</v>
      </c>
      <c r="C866" s="2" t="str">
        <f>+'Base de Datos'!F866</f>
        <v>UNIVERSIDAD NACIONAL DE COLOMBIA</v>
      </c>
      <c r="D866" s="2" t="str">
        <f>+'Base de Datos'!G866</f>
        <v>8999999063-3</v>
      </c>
      <c r="E866" s="2" t="str">
        <f>+'Base de Datos'!H866</f>
        <v xml:space="preserve">Prestar los servicios para adelantar los procesos de selección, basados en el mérito, mediante procedimientos  y medios técnicos, objetivos e imparciales, que permitan la participación en igualdad de condiciones de quienes se presenten como aspirantes para proveer los cargos de Personero de Bogotá y Contralor de Bogotá, conforma  a las disposiciones constitucionales, legales y reglamentarias que regulan la materia. </v>
      </c>
      <c r="F866" s="197">
        <f>+'Base de Datos'!I866</f>
        <v>389000000</v>
      </c>
      <c r="G866" s="196">
        <f>+'Base de Datos'!M866</f>
        <v>43829</v>
      </c>
      <c r="H866" s="196">
        <f>+'Base de Datos'!N866</f>
        <v>43950</v>
      </c>
      <c r="I866" s="196"/>
      <c r="J866" s="158">
        <v>5000000</v>
      </c>
      <c r="K866" s="333">
        <v>44099</v>
      </c>
      <c r="L866" s="211"/>
      <c r="M866" s="336"/>
      <c r="N866" s="158"/>
      <c r="O866" s="333"/>
      <c r="P866" s="158"/>
      <c r="Q866" s="338"/>
      <c r="R866" s="81">
        <f t="shared" si="119"/>
        <v>5000000</v>
      </c>
      <c r="S866" s="258" t="s">
        <v>381</v>
      </c>
      <c r="T866" s="333">
        <v>43980</v>
      </c>
      <c r="U866" s="157" t="s">
        <v>6381</v>
      </c>
      <c r="V866" s="333">
        <v>44169</v>
      </c>
      <c r="W866" s="158"/>
      <c r="X866" s="333"/>
      <c r="Y866" s="158"/>
      <c r="Z866" s="1002"/>
      <c r="AA866" s="820" t="s">
        <v>6382</v>
      </c>
      <c r="AB866" s="1004">
        <f t="shared" si="112"/>
        <v>44169</v>
      </c>
      <c r="AC866" s="1082">
        <f t="shared" si="113"/>
        <v>30</v>
      </c>
      <c r="AD866" s="1004">
        <v>43941</v>
      </c>
      <c r="AE866" s="1004">
        <v>43970</v>
      </c>
      <c r="AF866" s="1084">
        <f t="shared" si="114"/>
        <v>43980</v>
      </c>
      <c r="AG866" s="1082" t="str">
        <f t="shared" si="115"/>
        <v/>
      </c>
      <c r="AH866" s="1092"/>
      <c r="AI866" s="1087"/>
      <c r="AJ866" s="1084" t="str">
        <f t="shared" si="116"/>
        <v/>
      </c>
      <c r="AK866" s="1083">
        <f t="shared" si="117"/>
        <v>44169</v>
      </c>
      <c r="AL866" s="211">
        <v>116700000</v>
      </c>
      <c r="AM866" s="211">
        <v>157600000</v>
      </c>
      <c r="AN866" s="211">
        <f>5000000+114700000</f>
        <v>119700000</v>
      </c>
      <c r="AO866" s="211"/>
      <c r="AP866" s="211"/>
      <c r="AQ866" s="211"/>
      <c r="AR866" s="211"/>
      <c r="AS866" s="211"/>
      <c r="AT866" s="211"/>
      <c r="AU866" s="211"/>
      <c r="AV866" s="211"/>
      <c r="AW866" s="211"/>
      <c r="AX866" s="211"/>
      <c r="AY866" s="211"/>
      <c r="AZ866" s="211"/>
      <c r="BA866" s="211"/>
      <c r="BB866" s="211"/>
      <c r="BC866" s="211"/>
      <c r="BD866" s="333">
        <v>44184</v>
      </c>
      <c r="BE866" s="82">
        <f t="shared" si="118"/>
        <v>394000000</v>
      </c>
    </row>
    <row r="867" spans="2:57" ht="30.6" hidden="1" x14ac:dyDescent="0.3">
      <c r="B867" s="2" t="str">
        <f>+'Base de Datos'!E867</f>
        <v>190496-0-2019</v>
      </c>
      <c r="C867" s="2" t="str">
        <f>+'Base de Datos'!F867</f>
        <v>PURIFICADORES Y FILTROS INTERNACIONAL LTDA</v>
      </c>
      <c r="D867" s="2">
        <f>+'Base de Datos'!G867</f>
        <v>830021842</v>
      </c>
      <c r="E867" s="2" t="str">
        <f>+'Base de Datos'!H867</f>
        <v>Prestar servicios de mantenimiento preventivo con suministro de repuestos para plantas purificadoras semi-industriales de agua para el Concejo de Bogotá.</v>
      </c>
      <c r="F867" s="197">
        <f>+'Base de Datos'!I867</f>
        <v>5974430</v>
      </c>
      <c r="G867" s="196">
        <f>+'Base de Datos'!M867</f>
        <v>43822</v>
      </c>
      <c r="H867" s="196">
        <f>+'Base de Datos'!N867</f>
        <v>44187</v>
      </c>
      <c r="I867" s="196"/>
      <c r="J867" s="158"/>
      <c r="K867" s="333"/>
      <c r="L867" s="211"/>
      <c r="M867" s="336"/>
      <c r="N867" s="158"/>
      <c r="O867" s="333"/>
      <c r="P867" s="158"/>
      <c r="Q867" s="338"/>
      <c r="R867" s="81">
        <f t="shared" si="119"/>
        <v>0</v>
      </c>
      <c r="S867" s="258"/>
      <c r="T867" s="333"/>
      <c r="U867" s="158"/>
      <c r="V867" s="333"/>
      <c r="W867" s="158"/>
      <c r="X867" s="333"/>
      <c r="Y867" s="158" t="s">
        <v>6544</v>
      </c>
      <c r="Z867" s="1002"/>
      <c r="AA867" s="1003"/>
      <c r="AB867" s="1004" t="str">
        <f t="shared" si="112"/>
        <v/>
      </c>
      <c r="AC867" s="1082" t="str">
        <f t="shared" si="113"/>
        <v/>
      </c>
      <c r="AD867" s="1004"/>
      <c r="AE867" s="1004"/>
      <c r="AF867" s="1084" t="str">
        <f t="shared" si="114"/>
        <v/>
      </c>
      <c r="AG867" s="1082" t="str">
        <f t="shared" si="115"/>
        <v/>
      </c>
      <c r="AH867" s="1092"/>
      <c r="AI867" s="1087"/>
      <c r="AJ867" s="1084" t="str">
        <f t="shared" si="116"/>
        <v/>
      </c>
      <c r="AK867" s="1083" t="str">
        <f t="shared" si="117"/>
        <v/>
      </c>
      <c r="AL867" s="211">
        <v>662663</v>
      </c>
      <c r="AM867" s="211">
        <v>1037204</v>
      </c>
      <c r="AN867" s="211">
        <v>653905</v>
      </c>
      <c r="AO867" s="211">
        <v>653905</v>
      </c>
      <c r="AP867" s="211">
        <v>803191</v>
      </c>
      <c r="AQ867" s="211"/>
      <c r="AR867" s="211"/>
      <c r="AS867" s="211"/>
      <c r="AT867" s="211"/>
      <c r="AU867" s="211"/>
      <c r="AV867" s="211"/>
      <c r="AW867" s="211"/>
      <c r="AX867" s="211"/>
      <c r="AY867" s="211"/>
      <c r="AZ867" s="211"/>
      <c r="BA867" s="211"/>
      <c r="BB867" s="211"/>
      <c r="BC867" s="211"/>
      <c r="BD867" s="333">
        <v>44173</v>
      </c>
      <c r="BE867" s="82">
        <f t="shared" si="118"/>
        <v>3810868</v>
      </c>
    </row>
    <row r="868" spans="2:57" ht="20.399999999999999" hidden="1" x14ac:dyDescent="0.3">
      <c r="B868" s="2" t="str">
        <f>+'Base de Datos'!E868</f>
        <v>190525-0-2019</v>
      </c>
      <c r="C868" s="2" t="str">
        <f>+'Base de Datos'!F868</f>
        <v>ICOMM SOLUTION SAS</v>
      </c>
      <c r="D868" s="2">
        <f>+'Base de Datos'!G868</f>
        <v>900428495</v>
      </c>
      <c r="E868" s="2" t="str">
        <f>+'Base de Datos'!H868</f>
        <v>Proveer solución de pantallas Video Wall para el Concejo de Bogotá</v>
      </c>
      <c r="F868" s="197">
        <f>+'Base de Datos'!I868</f>
        <v>117300000</v>
      </c>
      <c r="G868" s="196">
        <f>+'Base de Datos'!M868</f>
        <v>43851</v>
      </c>
      <c r="H868" s="196">
        <f>+'Base de Datos'!N868</f>
        <v>43941</v>
      </c>
      <c r="I868" s="196"/>
      <c r="J868" s="158"/>
      <c r="K868" s="333"/>
      <c r="L868" s="211"/>
      <c r="M868" s="336"/>
      <c r="N868" s="158"/>
      <c r="O868" s="333"/>
      <c r="P868" s="158"/>
      <c r="Q868" s="338"/>
      <c r="R868" s="81">
        <f t="shared" si="119"/>
        <v>0</v>
      </c>
      <c r="S868" s="258" t="s">
        <v>1323</v>
      </c>
      <c r="T868" s="333">
        <v>44036</v>
      </c>
      <c r="U868" s="158" t="s">
        <v>1323</v>
      </c>
      <c r="V868" s="333">
        <v>44067</v>
      </c>
      <c r="W868" s="158"/>
      <c r="X868" s="333"/>
      <c r="Y868" s="158"/>
      <c r="Z868" s="1002"/>
      <c r="AA868" s="258" t="s">
        <v>990</v>
      </c>
      <c r="AB868" s="1004">
        <f t="shared" si="112"/>
        <v>44067</v>
      </c>
      <c r="AC868" s="1082" t="str">
        <f t="shared" si="113"/>
        <v/>
      </c>
      <c r="AD868" s="1004"/>
      <c r="AE868" s="1004"/>
      <c r="AF868" s="1084" t="str">
        <f t="shared" si="114"/>
        <v/>
      </c>
      <c r="AG868" s="1082" t="str">
        <f t="shared" si="115"/>
        <v/>
      </c>
      <c r="AH868" s="1092"/>
      <c r="AI868" s="1087"/>
      <c r="AJ868" s="1084" t="str">
        <f t="shared" si="116"/>
        <v/>
      </c>
      <c r="AK868" s="1083" t="str">
        <f t="shared" si="117"/>
        <v/>
      </c>
      <c r="AL868" s="211">
        <v>110863949</v>
      </c>
      <c r="AM868" s="211"/>
      <c r="AN868" s="211"/>
      <c r="AO868" s="211"/>
      <c r="AP868" s="211"/>
      <c r="AQ868" s="211"/>
      <c r="AR868" s="211"/>
      <c r="AS868" s="211"/>
      <c r="AT868" s="211"/>
      <c r="AU868" s="211"/>
      <c r="AV868" s="211"/>
      <c r="AW868" s="211"/>
      <c r="AX868" s="211"/>
      <c r="AY868" s="211"/>
      <c r="AZ868" s="211"/>
      <c r="BA868" s="211"/>
      <c r="BB868" s="211"/>
      <c r="BC868" s="211"/>
      <c r="BD868" s="333">
        <v>44032</v>
      </c>
      <c r="BE868" s="82">
        <f t="shared" si="118"/>
        <v>110863949</v>
      </c>
    </row>
    <row r="869" spans="2:57" ht="30.6" hidden="1" x14ac:dyDescent="0.3">
      <c r="B869" s="2" t="str">
        <f>+'Base de Datos'!E869</f>
        <v>190506-0-2019</v>
      </c>
      <c r="C869" s="2" t="str">
        <f>+'Base de Datos'!F869</f>
        <v>ANIBAL ROBERTO ENDARA RAMIREZ</v>
      </c>
      <c r="D869" s="2">
        <f>+'Base de Datos'!G869</f>
        <v>79328194</v>
      </c>
      <c r="E869" s="2" t="str">
        <f>+'Base de Datos'!H869</f>
        <v>Prestar servicios para la elaboración del retrato sobre lienzo al óleo del Presidente de la mesa directiva del Concejo de Bogotá.</v>
      </c>
      <c r="F869" s="197">
        <f>+'Base de Datos'!I869</f>
        <v>4000000</v>
      </c>
      <c r="G869" s="196">
        <f>+'Base de Datos'!M869</f>
        <v>43847</v>
      </c>
      <c r="H869" s="196">
        <f>+'Base de Datos'!N869</f>
        <v>43906</v>
      </c>
      <c r="I869" s="196"/>
      <c r="J869" s="158"/>
      <c r="K869" s="333"/>
      <c r="L869" s="211"/>
      <c r="M869" s="336"/>
      <c r="N869" s="158"/>
      <c r="O869" s="333"/>
      <c r="P869" s="158"/>
      <c r="Q869" s="338"/>
      <c r="R869" s="81">
        <f t="shared" si="119"/>
        <v>0</v>
      </c>
      <c r="S869" s="258"/>
      <c r="T869" s="333"/>
      <c r="U869" s="158"/>
      <c r="V869" s="333"/>
      <c r="W869" s="158"/>
      <c r="X869" s="333"/>
      <c r="Y869" s="158"/>
      <c r="Z869" s="1002"/>
      <c r="AA869" s="1003"/>
      <c r="AB869" s="1004" t="str">
        <f t="shared" si="112"/>
        <v/>
      </c>
      <c r="AC869" s="1082" t="str">
        <f t="shared" si="113"/>
        <v/>
      </c>
      <c r="AD869" s="1004"/>
      <c r="AE869" s="1004"/>
      <c r="AF869" s="1084" t="str">
        <f t="shared" si="114"/>
        <v/>
      </c>
      <c r="AG869" s="1082" t="str">
        <f t="shared" si="115"/>
        <v/>
      </c>
      <c r="AH869" s="1092"/>
      <c r="AI869" s="1087"/>
      <c r="AJ869" s="1084" t="str">
        <f t="shared" si="116"/>
        <v/>
      </c>
      <c r="AK869" s="1083" t="str">
        <f t="shared" si="117"/>
        <v/>
      </c>
      <c r="AL869" s="211">
        <v>4000000</v>
      </c>
      <c r="AM869" s="211"/>
      <c r="AN869" s="211"/>
      <c r="AO869" s="211"/>
      <c r="AP869" s="211"/>
      <c r="AQ869" s="211"/>
      <c r="AR869" s="211"/>
      <c r="AS869" s="211"/>
      <c r="AT869" s="211"/>
      <c r="AU869" s="211"/>
      <c r="AV869" s="211"/>
      <c r="AW869" s="211"/>
      <c r="AX869" s="211"/>
      <c r="AY869" s="211"/>
      <c r="AZ869" s="211"/>
      <c r="BA869" s="211"/>
      <c r="BB869" s="211"/>
      <c r="BC869" s="211"/>
      <c r="BD869" s="333">
        <v>43875</v>
      </c>
      <c r="BE869" s="82">
        <f t="shared" si="118"/>
        <v>4000000</v>
      </c>
    </row>
    <row r="870" spans="2:57" ht="30.6" hidden="1" x14ac:dyDescent="0.3">
      <c r="B870" s="2" t="str">
        <f>+'Base de Datos'!E870</f>
        <v>190515-0-2019</v>
      </c>
      <c r="C870" s="2" t="str">
        <f>+'Base de Datos'!F870</f>
        <v>CLARYICON SAS</v>
      </c>
      <c r="D870" s="2" t="str">
        <f>+'Base de Datos'!G870</f>
        <v>900442893-1</v>
      </c>
      <c r="E870" s="2" t="str">
        <f>+'Base de Datos'!H870</f>
        <v>Adquisición e instalación de un sistema para la transmisión Full HD de las sesiones del Concejo de Bogotá a las pantallas de la corporación.</v>
      </c>
      <c r="F870" s="197">
        <f>+'Base de Datos'!I870</f>
        <v>384006814</v>
      </c>
      <c r="G870" s="196">
        <f>+'Base de Datos'!M870</f>
        <v>43896</v>
      </c>
      <c r="H870" s="196">
        <f>+'Base de Datos'!N870</f>
        <v>43987</v>
      </c>
      <c r="I870" s="196"/>
      <c r="J870" s="158"/>
      <c r="K870" s="333"/>
      <c r="L870" s="211"/>
      <c r="M870" s="336"/>
      <c r="N870" s="158"/>
      <c r="O870" s="333"/>
      <c r="P870" s="158"/>
      <c r="Q870" s="338"/>
      <c r="R870" s="81">
        <f t="shared" si="119"/>
        <v>0</v>
      </c>
      <c r="S870" s="258" t="s">
        <v>379</v>
      </c>
      <c r="T870" s="333">
        <v>44113</v>
      </c>
      <c r="U870" s="158" t="s">
        <v>964</v>
      </c>
      <c r="V870" s="333">
        <v>44158</v>
      </c>
      <c r="W870" s="158"/>
      <c r="X870" s="333"/>
      <c r="Y870" s="158"/>
      <c r="Z870" s="1002"/>
      <c r="AA870" s="1003" t="s">
        <v>6473</v>
      </c>
      <c r="AB870" s="1004">
        <f t="shared" si="112"/>
        <v>44158</v>
      </c>
      <c r="AC870" s="1082" t="str">
        <f t="shared" si="113"/>
        <v/>
      </c>
      <c r="AD870" s="1004"/>
      <c r="AE870" s="1004"/>
      <c r="AF870" s="1084" t="str">
        <f t="shared" si="114"/>
        <v/>
      </c>
      <c r="AG870" s="1082" t="str">
        <f t="shared" si="115"/>
        <v/>
      </c>
      <c r="AH870" s="1092"/>
      <c r="AI870" s="1087"/>
      <c r="AJ870" s="1084" t="str">
        <f t="shared" si="116"/>
        <v/>
      </c>
      <c r="AK870" s="1083" t="str">
        <f t="shared" si="117"/>
        <v/>
      </c>
      <c r="AL870" s="211">
        <v>295226622</v>
      </c>
      <c r="AM870" s="211"/>
      <c r="AN870" s="211"/>
      <c r="AO870" s="211"/>
      <c r="AP870" s="211"/>
      <c r="AQ870" s="211"/>
      <c r="AR870" s="211"/>
      <c r="AS870" s="211"/>
      <c r="AT870" s="211"/>
      <c r="AU870" s="211"/>
      <c r="AV870" s="211"/>
      <c r="AW870" s="211"/>
      <c r="AX870" s="211"/>
      <c r="AY870" s="211"/>
      <c r="AZ870" s="211"/>
      <c r="BA870" s="211"/>
      <c r="BB870" s="211"/>
      <c r="BC870" s="211"/>
      <c r="BD870" s="333">
        <v>44180</v>
      </c>
      <c r="BE870" s="82">
        <f t="shared" si="118"/>
        <v>295226622</v>
      </c>
    </row>
    <row r="871" spans="2:57" ht="20.399999999999999" hidden="1" x14ac:dyDescent="0.3">
      <c r="B871" s="2" t="str">
        <f>+'Base de Datos'!E871</f>
        <v>190521-0-2019</v>
      </c>
      <c r="C871" s="2" t="str">
        <f>+'Base de Datos'!F871</f>
        <v>OBSERVER MONITORING ON LINE LTDA</v>
      </c>
      <c r="D871" s="2" t="str">
        <f>+'Base de Datos'!G871</f>
        <v>900227804-5</v>
      </c>
      <c r="E871" s="2" t="str">
        <f>+'Base de Datos'!H871</f>
        <v>Proveer un sistema de contrro de acceso y talanqueras de control de acceso para el Concejo de Bogotá.</v>
      </c>
      <c r="F871" s="197">
        <f>+'Base de Datos'!I871</f>
        <v>85000000</v>
      </c>
      <c r="G871" s="196">
        <f>+'Base de Datos'!M871</f>
        <v>43859</v>
      </c>
      <c r="H871" s="196">
        <f>+'Base de Datos'!N871</f>
        <v>44010</v>
      </c>
      <c r="I871" s="196"/>
      <c r="J871" s="158"/>
      <c r="K871" s="333"/>
      <c r="L871" s="211"/>
      <c r="M871" s="336"/>
      <c r="N871" s="158"/>
      <c r="O871" s="333"/>
      <c r="P871" s="158"/>
      <c r="Q871" s="338"/>
      <c r="R871" s="81">
        <f t="shared" si="119"/>
        <v>0</v>
      </c>
      <c r="S871" s="258" t="s">
        <v>1323</v>
      </c>
      <c r="T871" s="333">
        <v>44071</v>
      </c>
      <c r="U871" s="158" t="s">
        <v>2962</v>
      </c>
      <c r="V871" s="333">
        <v>44098</v>
      </c>
      <c r="W871" s="158"/>
      <c r="X871" s="333"/>
      <c r="Y871" s="158"/>
      <c r="Z871" s="1002"/>
      <c r="AA871" s="1003" t="s">
        <v>4590</v>
      </c>
      <c r="AB871" s="1004">
        <f t="shared" si="112"/>
        <v>44098</v>
      </c>
      <c r="AC871" s="1082" t="str">
        <f t="shared" si="113"/>
        <v/>
      </c>
      <c r="AD871" s="1004"/>
      <c r="AE871" s="1004"/>
      <c r="AF871" s="1084" t="str">
        <f t="shared" si="114"/>
        <v/>
      </c>
      <c r="AG871" s="1082" t="str">
        <f t="shared" si="115"/>
        <v/>
      </c>
      <c r="AH871" s="1092"/>
      <c r="AI871" s="1087"/>
      <c r="AJ871" s="1084" t="str">
        <f t="shared" si="116"/>
        <v/>
      </c>
      <c r="AK871" s="1083" t="str">
        <f t="shared" si="117"/>
        <v/>
      </c>
      <c r="AL871" s="211"/>
      <c r="AM871" s="211"/>
      <c r="AN871" s="211"/>
      <c r="AO871" s="211"/>
      <c r="AP871" s="211"/>
      <c r="AQ871" s="211"/>
      <c r="AR871" s="211"/>
      <c r="AS871" s="211"/>
      <c r="AT871" s="211"/>
      <c r="AU871" s="211"/>
      <c r="AV871" s="211"/>
      <c r="AW871" s="211"/>
      <c r="AX871" s="211"/>
      <c r="AY871" s="211"/>
      <c r="AZ871" s="211"/>
      <c r="BA871" s="211"/>
      <c r="BB871" s="211"/>
      <c r="BC871" s="211"/>
      <c r="BD871" s="333"/>
      <c r="BE871" s="82">
        <f t="shared" si="118"/>
        <v>0</v>
      </c>
    </row>
    <row r="872" spans="2:57" ht="20.399999999999999" hidden="1" x14ac:dyDescent="0.3">
      <c r="B872" s="2" t="str">
        <f>+'Base de Datos'!E872</f>
        <v>190514-0-2019</v>
      </c>
      <c r="C872" s="2" t="str">
        <f>+'Base de Datos'!F872</f>
        <v>ARCHIVOS FUNCIONALES &amp; OFICINAS EFICIENTES ZZETA SAS</v>
      </c>
      <c r="D872" s="2">
        <f>+'Base de Datos'!G872</f>
        <v>800253209</v>
      </c>
      <c r="E872" s="2" t="str">
        <f>+'Base de Datos'!H872</f>
        <v>Adquisición, transporte e instalación de mobiliario para el Concejo de Bogotá D.C.</v>
      </c>
      <c r="F872" s="197">
        <f>+'Base de Datos'!I872</f>
        <v>107441200</v>
      </c>
      <c r="G872" s="196">
        <f>+'Base de Datos'!M872</f>
        <v>43852</v>
      </c>
      <c r="H872" s="196">
        <f>+'Base de Datos'!N872</f>
        <v>43911</v>
      </c>
      <c r="I872" s="196"/>
      <c r="J872" s="158"/>
      <c r="K872" s="333"/>
      <c r="L872" s="211"/>
      <c r="M872" s="336"/>
      <c r="N872" s="158"/>
      <c r="O872" s="333"/>
      <c r="P872" s="158"/>
      <c r="Q872" s="338"/>
      <c r="R872" s="81">
        <f t="shared" si="119"/>
        <v>0</v>
      </c>
      <c r="S872" s="258"/>
      <c r="T872" s="333"/>
      <c r="U872" s="158"/>
      <c r="V872" s="333"/>
      <c r="W872" s="158"/>
      <c r="X872" s="333"/>
      <c r="Y872" s="158"/>
      <c r="Z872" s="1002"/>
      <c r="AA872" s="1003"/>
      <c r="AB872" s="1004" t="str">
        <f t="shared" si="112"/>
        <v/>
      </c>
      <c r="AC872" s="1082" t="str">
        <f t="shared" si="113"/>
        <v/>
      </c>
      <c r="AD872" s="1004"/>
      <c r="AE872" s="1004"/>
      <c r="AF872" s="1084" t="str">
        <f t="shared" si="114"/>
        <v/>
      </c>
      <c r="AG872" s="1082" t="str">
        <f t="shared" si="115"/>
        <v/>
      </c>
      <c r="AH872" s="1092"/>
      <c r="AI872" s="1087"/>
      <c r="AJ872" s="1084" t="str">
        <f t="shared" si="116"/>
        <v/>
      </c>
      <c r="AK872" s="1083" t="str">
        <f t="shared" si="117"/>
        <v/>
      </c>
      <c r="AL872" s="211">
        <v>33000000</v>
      </c>
      <c r="AM872" s="211">
        <v>74441200</v>
      </c>
      <c r="AN872" s="211"/>
      <c r="AO872" s="211"/>
      <c r="AP872" s="211"/>
      <c r="AQ872" s="211"/>
      <c r="AR872" s="211"/>
      <c r="AS872" s="211"/>
      <c r="AT872" s="211"/>
      <c r="AU872" s="211"/>
      <c r="AV872" s="211"/>
      <c r="AW872" s="211"/>
      <c r="AX872" s="211"/>
      <c r="AY872" s="211"/>
      <c r="AZ872" s="211"/>
      <c r="BA872" s="211"/>
      <c r="BB872" s="211"/>
      <c r="BC872" s="211"/>
      <c r="BD872" s="333">
        <v>44175</v>
      </c>
      <c r="BE872" s="82">
        <f t="shared" si="118"/>
        <v>107441200</v>
      </c>
    </row>
    <row r="873" spans="2:57" ht="30.6" hidden="1" x14ac:dyDescent="0.3">
      <c r="B873" s="2" t="str">
        <f>+'Base de Datos'!E873</f>
        <v>190512-0-2019</v>
      </c>
      <c r="C873" s="2" t="str">
        <f>+'Base de Datos'!F873</f>
        <v xml:space="preserve">MOTORES Y MAQUINAS S.A. MOTORYSA </v>
      </c>
      <c r="D873" s="2">
        <f>+'Base de Datos'!G873</f>
        <v>860019063</v>
      </c>
      <c r="E873" s="2" t="str">
        <f>+'Base de Datos'!H873</f>
        <v>Prestar servicios de mantenimiento correctivo con suministro de repuestos para los vehículos marca Mitsubshi al servicio del Concejo de Bogotá.</v>
      </c>
      <c r="F873" s="197">
        <f>+'Base de Datos'!I873</f>
        <v>6519000</v>
      </c>
      <c r="G873" s="196">
        <f>+'Base de Datos'!M873</f>
        <v>43851</v>
      </c>
      <c r="H873" s="196">
        <f>+'Base de Datos'!N873</f>
        <v>43971</v>
      </c>
      <c r="I873" s="196"/>
      <c r="J873" s="158"/>
      <c r="K873" s="333"/>
      <c r="L873" s="211"/>
      <c r="M873" s="336"/>
      <c r="N873" s="158"/>
      <c r="O873" s="333"/>
      <c r="P873" s="158"/>
      <c r="Q873" s="338"/>
      <c r="R873" s="81">
        <f t="shared" si="119"/>
        <v>0</v>
      </c>
      <c r="S873" s="258" t="s">
        <v>379</v>
      </c>
      <c r="T873" s="333">
        <v>44063</v>
      </c>
      <c r="U873" s="157" t="s">
        <v>6483</v>
      </c>
      <c r="V873" s="333">
        <v>44165</v>
      </c>
      <c r="W873" s="158"/>
      <c r="X873" s="333"/>
      <c r="Y873" s="158"/>
      <c r="Z873" s="1002"/>
      <c r="AA873" s="1003" t="s">
        <v>6484</v>
      </c>
      <c r="AB873" s="1004">
        <f t="shared" si="112"/>
        <v>44165</v>
      </c>
      <c r="AC873" s="1082" t="str">
        <f t="shared" si="113"/>
        <v/>
      </c>
      <c r="AD873" s="1004"/>
      <c r="AE873" s="1004"/>
      <c r="AF873" s="1084" t="str">
        <f t="shared" si="114"/>
        <v/>
      </c>
      <c r="AG873" s="1082" t="str">
        <f t="shared" si="115"/>
        <v/>
      </c>
      <c r="AH873" s="1092"/>
      <c r="AI873" s="1087"/>
      <c r="AJ873" s="1084" t="str">
        <f t="shared" si="116"/>
        <v/>
      </c>
      <c r="AK873" s="1083" t="str">
        <f t="shared" si="117"/>
        <v/>
      </c>
      <c r="AL873" s="211">
        <v>5563858</v>
      </c>
      <c r="AM873" s="211"/>
      <c r="AN873" s="211"/>
      <c r="AO873" s="211"/>
      <c r="AP873" s="211"/>
      <c r="AQ873" s="211"/>
      <c r="AR873" s="211"/>
      <c r="AS873" s="211"/>
      <c r="AT873" s="211"/>
      <c r="AU873" s="211"/>
      <c r="AV873" s="211"/>
      <c r="AW873" s="211"/>
      <c r="AX873" s="211"/>
      <c r="AY873" s="211"/>
      <c r="AZ873" s="211"/>
      <c r="BA873" s="211"/>
      <c r="BB873" s="211"/>
      <c r="BC873" s="211"/>
      <c r="BD873" s="333">
        <v>44182</v>
      </c>
      <c r="BE873" s="82">
        <f t="shared" si="118"/>
        <v>5563858</v>
      </c>
    </row>
    <row r="874" spans="2:57" ht="30.6" hidden="1" x14ac:dyDescent="0.3">
      <c r="B874" s="2" t="str">
        <f>+'Base de Datos'!E874</f>
        <v>190524-0-2019</v>
      </c>
      <c r="C874" s="2" t="str">
        <f>+'Base de Datos'!F874</f>
        <v>AUTOMOTORES COMAGRO SA</v>
      </c>
      <c r="D874" s="2">
        <f>+'Base de Datos'!G874</f>
        <v>830006901</v>
      </c>
      <c r="E874" s="2" t="str">
        <f>+'Base de Datos'!H874</f>
        <v>Prestar servicios de mantenimiento preventivo y correctivo con suministro de repuestos para los vehículos marca Ford al servicio del Concejo de Bogotá.</v>
      </c>
      <c r="F874" s="197">
        <f>+'Base de Datos'!I874</f>
        <v>12000000</v>
      </c>
      <c r="G874" s="196">
        <f>+'Base de Datos'!M874</f>
        <v>43860</v>
      </c>
      <c r="H874" s="196">
        <f>+'Base de Datos'!N874</f>
        <v>43980</v>
      </c>
      <c r="I874" s="196"/>
      <c r="J874" s="158"/>
      <c r="K874" s="333"/>
      <c r="L874" s="211"/>
      <c r="M874" s="336"/>
      <c r="N874" s="158"/>
      <c r="O874" s="333"/>
      <c r="P874" s="158"/>
      <c r="Q874" s="338"/>
      <c r="R874" s="81">
        <f t="shared" si="119"/>
        <v>0</v>
      </c>
      <c r="S874" s="258" t="s">
        <v>379</v>
      </c>
      <c r="T874" s="333">
        <v>44072</v>
      </c>
      <c r="U874" s="158" t="s">
        <v>6362</v>
      </c>
      <c r="V874" s="333">
        <v>44165</v>
      </c>
      <c r="W874" s="158"/>
      <c r="X874" s="333"/>
      <c r="Y874" s="158"/>
      <c r="Z874" s="1002"/>
      <c r="AA874" s="1003" t="s">
        <v>6363</v>
      </c>
      <c r="AB874" s="1004">
        <f>IF(ISNUMBER(T874),MAX(T874,V874,X874,Z874),"")</f>
        <v>44165</v>
      </c>
      <c r="AC874" s="1082" t="str">
        <f t="shared" si="113"/>
        <v/>
      </c>
      <c r="AD874" s="1004"/>
      <c r="AE874" s="1004"/>
      <c r="AF874" s="1084" t="str">
        <f t="shared" si="114"/>
        <v/>
      </c>
      <c r="AG874" s="1082" t="str">
        <f t="shared" si="115"/>
        <v/>
      </c>
      <c r="AH874" s="1092"/>
      <c r="AI874" s="1087"/>
      <c r="AJ874" s="1084" t="str">
        <f t="shared" si="116"/>
        <v/>
      </c>
      <c r="AK874" s="1083" t="str">
        <f t="shared" si="117"/>
        <v/>
      </c>
      <c r="AL874" s="211">
        <v>3873367</v>
      </c>
      <c r="AM874" s="211">
        <v>2830902</v>
      </c>
      <c r="AN874" s="211"/>
      <c r="AO874" s="211">
        <v>2536226</v>
      </c>
      <c r="AP874" s="211"/>
      <c r="AQ874" s="211"/>
      <c r="AR874" s="211"/>
      <c r="AS874" s="211"/>
      <c r="AT874" s="211"/>
      <c r="AU874" s="211"/>
      <c r="AV874" s="211"/>
      <c r="AW874" s="211"/>
      <c r="AX874" s="211"/>
      <c r="AY874" s="211"/>
      <c r="AZ874" s="211"/>
      <c r="BA874" s="211"/>
      <c r="BB874" s="211"/>
      <c r="BC874" s="211"/>
      <c r="BD874" s="333">
        <v>44180</v>
      </c>
      <c r="BE874" s="82">
        <f t="shared" si="118"/>
        <v>9240495</v>
      </c>
    </row>
    <row r="875" spans="2:57" ht="30.6" hidden="1" x14ac:dyDescent="0.3">
      <c r="B875" s="2" t="str">
        <f>+'Base de Datos'!E875</f>
        <v>190519-0-2019</v>
      </c>
      <c r="C875" s="2" t="str">
        <f>+'Base de Datos'!F875</f>
        <v>ADSUM SOLUCIONES TECNOLOGICAS SAS</v>
      </c>
      <c r="D875" s="2" t="str">
        <f>+'Base de Datos'!G875</f>
        <v>900425697-2</v>
      </c>
      <c r="E875" s="2" t="str">
        <f>+'Base de Datos'!H875</f>
        <v>Renovación de servicio de actualización, soporte y mantenimiento de los equipos de seguridad y monitoreo informátcio del Concejo de Bogotá.</v>
      </c>
      <c r="F875" s="197">
        <f>+'Base de Datos'!I875</f>
        <v>146450600</v>
      </c>
      <c r="G875" s="196">
        <f>+'Base de Datos'!M875</f>
        <v>43865</v>
      </c>
      <c r="H875" s="196">
        <f>+'Base de Datos'!N875</f>
        <v>44230</v>
      </c>
      <c r="I875" s="196"/>
      <c r="J875" s="158"/>
      <c r="K875" s="333"/>
      <c r="L875" s="211"/>
      <c r="M875" s="336"/>
      <c r="N875" s="158"/>
      <c r="O875" s="333"/>
      <c r="P875" s="158"/>
      <c r="Q875" s="338"/>
      <c r="R875" s="81">
        <f t="shared" si="119"/>
        <v>0</v>
      </c>
      <c r="S875" s="258"/>
      <c r="T875" s="333"/>
      <c r="U875" s="158"/>
      <c r="V875" s="333"/>
      <c r="W875" s="158"/>
      <c r="X875" s="333"/>
      <c r="Y875" s="158"/>
      <c r="Z875" s="1002"/>
      <c r="AA875" s="1003"/>
      <c r="AB875" s="1004" t="str">
        <f t="shared" si="112"/>
        <v/>
      </c>
      <c r="AC875" s="1082" t="str">
        <f t="shared" si="113"/>
        <v/>
      </c>
      <c r="AD875" s="1004"/>
      <c r="AE875" s="1004"/>
      <c r="AF875" s="1084" t="str">
        <f t="shared" si="114"/>
        <v/>
      </c>
      <c r="AG875" s="1082" t="str">
        <f t="shared" si="115"/>
        <v/>
      </c>
      <c r="AH875" s="1092"/>
      <c r="AI875" s="1087"/>
      <c r="AJ875" s="1084" t="str">
        <f t="shared" si="116"/>
        <v/>
      </c>
      <c r="AK875" s="1083" t="str">
        <f t="shared" si="117"/>
        <v/>
      </c>
      <c r="AL875" s="211"/>
      <c r="AM875" s="211"/>
      <c r="AN875" s="211"/>
      <c r="AO875" s="211"/>
      <c r="AP875" s="211"/>
      <c r="AQ875" s="211"/>
      <c r="AR875" s="211"/>
      <c r="AS875" s="211"/>
      <c r="AT875" s="211"/>
      <c r="AU875" s="211"/>
      <c r="AV875" s="211"/>
      <c r="AW875" s="211"/>
      <c r="AX875" s="211"/>
      <c r="AY875" s="211"/>
      <c r="AZ875" s="211"/>
      <c r="BA875" s="211"/>
      <c r="BB875" s="211"/>
      <c r="BC875" s="211"/>
      <c r="BD875" s="333"/>
      <c r="BE875" s="82">
        <f t="shared" si="118"/>
        <v>0</v>
      </c>
    </row>
    <row r="876" spans="2:57" ht="20.399999999999999" hidden="1" x14ac:dyDescent="0.3">
      <c r="B876" s="2" t="str">
        <f>+'Base de Datos'!E876</f>
        <v>190458-0-2019</v>
      </c>
      <c r="C876" s="2" t="str">
        <f>+'Base de Datos'!F876</f>
        <v>EDITORIAL LA REPUBLICA SAS</v>
      </c>
      <c r="D876" s="2" t="str">
        <f>+'Base de Datos'!G876</f>
        <v>901017183-2</v>
      </c>
      <c r="E876" s="2" t="str">
        <f>+'Base de Datos'!H876</f>
        <v>Suscripción al diario de la República para el Concejo de Bogotá.</v>
      </c>
      <c r="F876" s="197">
        <f>+'Base de Datos'!I876</f>
        <v>922200</v>
      </c>
      <c r="G876" s="196">
        <f>+'Base de Datos'!M876</f>
        <v>43874</v>
      </c>
      <c r="H876" s="196">
        <f>+'Base de Datos'!N876</f>
        <v>44239</v>
      </c>
      <c r="I876" s="196"/>
      <c r="J876" s="158"/>
      <c r="K876" s="333"/>
      <c r="L876" s="211"/>
      <c r="M876" s="336"/>
      <c r="N876" s="158"/>
      <c r="O876" s="333"/>
      <c r="P876" s="158"/>
      <c r="Q876" s="338"/>
      <c r="R876" s="81">
        <f t="shared" si="119"/>
        <v>0</v>
      </c>
      <c r="S876" s="258"/>
      <c r="T876" s="333"/>
      <c r="U876" s="158"/>
      <c r="V876" s="333"/>
      <c r="W876" s="158"/>
      <c r="X876" s="333"/>
      <c r="Y876" s="158"/>
      <c r="Z876" s="1002"/>
      <c r="AA876" s="1003"/>
      <c r="AB876" s="1004" t="str">
        <f t="shared" si="112"/>
        <v/>
      </c>
      <c r="AC876" s="1082" t="str">
        <f t="shared" si="113"/>
        <v/>
      </c>
      <c r="AD876" s="1004"/>
      <c r="AE876" s="1004"/>
      <c r="AF876" s="1084" t="str">
        <f t="shared" si="114"/>
        <v/>
      </c>
      <c r="AG876" s="1082" t="str">
        <f t="shared" si="115"/>
        <v/>
      </c>
      <c r="AH876" s="1092"/>
      <c r="AI876" s="1087"/>
      <c r="AJ876" s="1084" t="str">
        <f t="shared" si="116"/>
        <v/>
      </c>
      <c r="AK876" s="1083" t="str">
        <f t="shared" si="117"/>
        <v/>
      </c>
      <c r="AL876" s="211">
        <v>922200</v>
      </c>
      <c r="AM876" s="211"/>
      <c r="AN876" s="211"/>
      <c r="AO876" s="211"/>
      <c r="AP876" s="211"/>
      <c r="AQ876" s="211"/>
      <c r="AR876" s="211"/>
      <c r="AS876" s="211"/>
      <c r="AT876" s="211"/>
      <c r="AU876" s="211"/>
      <c r="AV876" s="211"/>
      <c r="AW876" s="211"/>
      <c r="AX876" s="211"/>
      <c r="AY876" s="211"/>
      <c r="AZ876" s="211"/>
      <c r="BA876" s="211"/>
      <c r="BB876" s="211"/>
      <c r="BC876" s="211"/>
      <c r="BD876" s="333">
        <v>44001</v>
      </c>
      <c r="BE876" s="82">
        <f t="shared" si="118"/>
        <v>922200</v>
      </c>
    </row>
    <row r="877" spans="2:57" ht="20.399999999999999" hidden="1" x14ac:dyDescent="0.3">
      <c r="B877" s="2" t="str">
        <f>+'Base de Datos'!E877</f>
        <v>200043-0-2020</v>
      </c>
      <c r="C877" s="2" t="str">
        <f>+'Base de Datos'!F877</f>
        <v>ORACLE COLOMBIA LTDA</v>
      </c>
      <c r="D877" s="2" t="str">
        <f>+'Base de Datos'!G877</f>
        <v>800103052-8</v>
      </c>
      <c r="E877" s="2" t="str">
        <f>+'Base de Datos'!H877</f>
        <v>Prestar los servicios de soporte y mantenimiento de todos los productos Oracle adquiridos por el Concejo de Bogotá.</v>
      </c>
      <c r="F877" s="197">
        <f>+'Base de Datos'!I877</f>
        <v>220337244</v>
      </c>
      <c r="G877" s="196">
        <f>+'Base de Datos'!M877</f>
        <v>43875</v>
      </c>
      <c r="H877" s="196">
        <f>+'Base de Datos'!N877</f>
        <v>44196</v>
      </c>
      <c r="I877" s="196"/>
      <c r="J877" s="158"/>
      <c r="K877" s="333"/>
      <c r="L877" s="211"/>
      <c r="M877" s="336"/>
      <c r="N877" s="158"/>
      <c r="O877" s="333"/>
      <c r="P877" s="158"/>
      <c r="Q877" s="338"/>
      <c r="R877" s="81">
        <f t="shared" si="119"/>
        <v>0</v>
      </c>
      <c r="S877" s="258"/>
      <c r="T877" s="333"/>
      <c r="U877" s="158"/>
      <c r="V877" s="333"/>
      <c r="W877" s="158"/>
      <c r="X877" s="333"/>
      <c r="Y877" s="158"/>
      <c r="Z877" s="1002"/>
      <c r="AA877" s="1003"/>
      <c r="AB877" s="1004" t="str">
        <f t="shared" si="112"/>
        <v/>
      </c>
      <c r="AC877" s="1082" t="str">
        <f t="shared" si="113"/>
        <v/>
      </c>
      <c r="AD877" s="1004"/>
      <c r="AE877" s="1004"/>
      <c r="AF877" s="1084" t="str">
        <f t="shared" si="114"/>
        <v/>
      </c>
      <c r="AG877" s="1082" t="str">
        <f t="shared" si="115"/>
        <v/>
      </c>
      <c r="AH877" s="1092"/>
      <c r="AI877" s="1087"/>
      <c r="AJ877" s="1084" t="str">
        <f t="shared" si="116"/>
        <v/>
      </c>
      <c r="AK877" s="1083" t="str">
        <f t="shared" si="117"/>
        <v/>
      </c>
      <c r="AL877" s="211">
        <v>220337244</v>
      </c>
      <c r="AM877" s="211"/>
      <c r="AN877" s="211"/>
      <c r="AO877" s="211"/>
      <c r="AP877" s="211"/>
      <c r="AQ877" s="211"/>
      <c r="AR877" s="211"/>
      <c r="AS877" s="211"/>
      <c r="AT877" s="211"/>
      <c r="AU877" s="211"/>
      <c r="AV877" s="211"/>
      <c r="AW877" s="211"/>
      <c r="AX877" s="211"/>
      <c r="AY877" s="211"/>
      <c r="AZ877" s="211"/>
      <c r="BA877" s="211"/>
      <c r="BB877" s="211"/>
      <c r="BC877" s="211"/>
      <c r="BD877" s="333">
        <v>43973</v>
      </c>
      <c r="BE877" s="82">
        <f t="shared" si="118"/>
        <v>220337244</v>
      </c>
    </row>
    <row r="878" spans="2:57" ht="30.6" hidden="1" x14ac:dyDescent="0.3">
      <c r="B878" s="2" t="str">
        <f>+'Base de Datos'!E878</f>
        <v>190489-0-2019</v>
      </c>
      <c r="C878" s="2" t="str">
        <f>+'Base de Datos'!F878</f>
        <v>PRACO DIDACOL SAS</v>
      </c>
      <c r="D878" s="2">
        <f>+'Base de Datos'!G878</f>
        <v>860047657</v>
      </c>
      <c r="E878" s="2" t="str">
        <f>+'Base de Datos'!H878</f>
        <v>Prestar servicios de mantenimiento correctivo con suministro de repuestos para el vehículo marca Subaru al servicio del Concejo de Bogotá.</v>
      </c>
      <c r="F878" s="197">
        <f>+'Base de Datos'!I878</f>
        <v>5671000</v>
      </c>
      <c r="G878" s="196">
        <f>+'Base de Datos'!M878</f>
        <v>43943</v>
      </c>
      <c r="H878" s="196">
        <f>+'Base de Datos'!N878</f>
        <v>44064</v>
      </c>
      <c r="I878" s="196"/>
      <c r="J878" s="158"/>
      <c r="K878" s="333"/>
      <c r="L878" s="211"/>
      <c r="M878" s="336"/>
      <c r="N878" s="158"/>
      <c r="O878" s="333"/>
      <c r="P878" s="158"/>
      <c r="Q878" s="338"/>
      <c r="R878" s="81">
        <f t="shared" si="119"/>
        <v>0</v>
      </c>
      <c r="S878" s="820" t="s">
        <v>2370</v>
      </c>
      <c r="T878" s="333">
        <v>44165</v>
      </c>
      <c r="U878" s="158"/>
      <c r="V878" s="333"/>
      <c r="W878" s="158"/>
      <c r="X878" s="333"/>
      <c r="Y878" s="158"/>
      <c r="Z878" s="1002"/>
      <c r="AA878" s="820" t="s">
        <v>2370</v>
      </c>
      <c r="AB878" s="1004">
        <f t="shared" si="112"/>
        <v>44165</v>
      </c>
      <c r="AC878" s="1082" t="str">
        <f t="shared" si="113"/>
        <v/>
      </c>
      <c r="AD878" s="1004"/>
      <c r="AE878" s="1004"/>
      <c r="AF878" s="1084" t="str">
        <f t="shared" si="114"/>
        <v/>
      </c>
      <c r="AG878" s="1082" t="str">
        <f t="shared" si="115"/>
        <v/>
      </c>
      <c r="AH878" s="1092"/>
      <c r="AI878" s="1087"/>
      <c r="AJ878" s="1084" t="str">
        <f t="shared" si="116"/>
        <v/>
      </c>
      <c r="AK878" s="1083" t="str">
        <f t="shared" si="117"/>
        <v/>
      </c>
      <c r="AL878" s="211">
        <v>4514170</v>
      </c>
      <c r="AM878" s="211"/>
      <c r="AN878" s="211"/>
      <c r="AO878" s="211"/>
      <c r="AP878" s="211"/>
      <c r="AQ878" s="211"/>
      <c r="AR878" s="211"/>
      <c r="AS878" s="211"/>
      <c r="AT878" s="211"/>
      <c r="AU878" s="211"/>
      <c r="AV878" s="211"/>
      <c r="AW878" s="211"/>
      <c r="AX878" s="211"/>
      <c r="AY878" s="211"/>
      <c r="AZ878" s="211"/>
      <c r="BA878" s="211"/>
      <c r="BB878" s="211"/>
      <c r="BC878" s="211"/>
      <c r="BD878" s="333">
        <v>44183</v>
      </c>
      <c r="BE878" s="82">
        <f t="shared" si="118"/>
        <v>4514170</v>
      </c>
    </row>
    <row r="879" spans="2:57" ht="30.6" hidden="1" x14ac:dyDescent="0.3">
      <c r="B879" s="2" t="str">
        <f>+'Base de Datos'!E879</f>
        <v>200082-0-2020</v>
      </c>
      <c r="C879" s="2" t="str">
        <f>+'Base de Datos'!F879</f>
        <v>LINDA ROSA CAMPO RODRIGUEZ</v>
      </c>
      <c r="D879" s="2">
        <f>+'Base de Datos'!G879</f>
        <v>36454156</v>
      </c>
      <c r="E879" s="2" t="str">
        <f>+'Base de Datos'!H879</f>
        <v>Prestar los servicios profesionales para apoyar los procesos administrativos propios de la Dirección Financiera del Concejo de Bogotá</v>
      </c>
      <c r="F879" s="197">
        <f>+'Base de Datos'!I879</f>
        <v>78630000</v>
      </c>
      <c r="G879" s="196">
        <f>+'Base de Datos'!M879</f>
        <v>43899</v>
      </c>
      <c r="H879" s="196">
        <f>+'Base de Datos'!N879</f>
        <v>44196</v>
      </c>
      <c r="I879" s="196"/>
      <c r="J879" s="158"/>
      <c r="K879" s="333"/>
      <c r="L879" s="211"/>
      <c r="M879" s="336"/>
      <c r="N879" s="158"/>
      <c r="O879" s="333"/>
      <c r="P879" s="158"/>
      <c r="Q879" s="338"/>
      <c r="R879" s="81">
        <f t="shared" si="119"/>
        <v>0</v>
      </c>
      <c r="S879" s="258"/>
      <c r="T879" s="333"/>
      <c r="U879" s="158"/>
      <c r="V879" s="333"/>
      <c r="W879" s="158"/>
      <c r="X879" s="333"/>
      <c r="Y879" s="158"/>
      <c r="Z879" s="1002"/>
      <c r="AA879" s="1003"/>
      <c r="AB879" s="1004" t="str">
        <f t="shared" si="112"/>
        <v/>
      </c>
      <c r="AC879" s="1082" t="str">
        <f t="shared" si="113"/>
        <v/>
      </c>
      <c r="AD879" s="1004"/>
      <c r="AE879" s="1004"/>
      <c r="AF879" s="1084" t="str">
        <f t="shared" si="114"/>
        <v/>
      </c>
      <c r="AG879" s="1082" t="str">
        <f t="shared" si="115"/>
        <v/>
      </c>
      <c r="AH879" s="1092"/>
      <c r="AI879" s="1087"/>
      <c r="AJ879" s="1084" t="str">
        <f t="shared" si="116"/>
        <v/>
      </c>
      <c r="AK879" s="1083" t="str">
        <f t="shared" si="117"/>
        <v/>
      </c>
      <c r="AL879" s="211">
        <v>5766200</v>
      </c>
      <c r="AM879" s="211">
        <v>7863000</v>
      </c>
      <c r="AN879" s="211">
        <v>7863000</v>
      </c>
      <c r="AO879" s="211">
        <v>7863000</v>
      </c>
      <c r="AP879" s="211">
        <v>7863000</v>
      </c>
      <c r="AQ879" s="211">
        <v>7863000</v>
      </c>
      <c r="AR879" s="211">
        <v>7863000</v>
      </c>
      <c r="AS879" s="211">
        <v>7863000</v>
      </c>
      <c r="AT879" s="211">
        <v>7863000</v>
      </c>
      <c r="AU879" s="211">
        <v>7863000</v>
      </c>
      <c r="AV879" s="211"/>
      <c r="AW879" s="211"/>
      <c r="AX879" s="211"/>
      <c r="AY879" s="211"/>
      <c r="AZ879" s="211"/>
      <c r="BA879" s="211"/>
      <c r="BB879" s="211"/>
      <c r="BC879" s="211"/>
      <c r="BD879" s="333">
        <v>44195</v>
      </c>
      <c r="BE879" s="82">
        <f t="shared" si="118"/>
        <v>76533200</v>
      </c>
    </row>
    <row r="880" spans="2:57" ht="40.799999999999997" hidden="1" x14ac:dyDescent="0.3">
      <c r="B880" s="2" t="str">
        <f>+'Base de Datos'!E880</f>
        <v>200084-0-2020</v>
      </c>
      <c r="C880" s="2" t="str">
        <f>+'Base de Datos'!F880</f>
        <v>ANDRES FELIPE CORZO VILLAMIZAR</v>
      </c>
      <c r="D880" s="2">
        <f>+'Base de Datos'!G880</f>
        <v>1098792121</v>
      </c>
      <c r="E880" s="2" t="str">
        <f>+'Base de Datos'!H880</f>
        <v>Prestar los servicios profesionales para apoyar la Dirección Financiera en la gestión de las actividades relacionadas con el seguimiento a la ejecución contractual del Concejo de Bogotá D.C.</v>
      </c>
      <c r="F880" s="197">
        <f>+'Base de Datos'!I880</f>
        <v>40970000</v>
      </c>
      <c r="G880" s="196">
        <f>+'Base de Datos'!M880</f>
        <v>43902</v>
      </c>
      <c r="H880" s="196">
        <f>+'Base de Datos'!N880</f>
        <v>44196</v>
      </c>
      <c r="I880" s="196"/>
      <c r="J880" s="158"/>
      <c r="K880" s="333"/>
      <c r="L880" s="211"/>
      <c r="M880" s="336"/>
      <c r="N880" s="158"/>
      <c r="O880" s="333"/>
      <c r="P880" s="158"/>
      <c r="Q880" s="338"/>
      <c r="R880" s="81">
        <f t="shared" si="119"/>
        <v>0</v>
      </c>
      <c r="S880" s="258"/>
      <c r="T880" s="333"/>
      <c r="U880" s="158"/>
      <c r="V880" s="333"/>
      <c r="W880" s="158"/>
      <c r="X880" s="333"/>
      <c r="Y880" s="158"/>
      <c r="Z880" s="1002"/>
      <c r="AA880" s="1003"/>
      <c r="AB880" s="1004" t="str">
        <f t="shared" si="112"/>
        <v/>
      </c>
      <c r="AC880" s="1082" t="str">
        <f t="shared" si="113"/>
        <v/>
      </c>
      <c r="AD880" s="1004"/>
      <c r="AE880" s="1004"/>
      <c r="AF880" s="1084" t="str">
        <f t="shared" si="114"/>
        <v/>
      </c>
      <c r="AG880" s="1082" t="str">
        <f t="shared" si="115"/>
        <v/>
      </c>
      <c r="AH880" s="1092"/>
      <c r="AI880" s="1087"/>
      <c r="AJ880" s="1084" t="str">
        <f t="shared" si="116"/>
        <v/>
      </c>
      <c r="AK880" s="1083" t="str">
        <f t="shared" si="117"/>
        <v/>
      </c>
      <c r="AL880" s="211">
        <v>2594767</v>
      </c>
      <c r="AM880" s="211">
        <v>4097000</v>
      </c>
      <c r="AN880" s="211">
        <v>4097000</v>
      </c>
      <c r="AO880" s="211">
        <v>4097000</v>
      </c>
      <c r="AP880" s="211">
        <v>4097000</v>
      </c>
      <c r="AQ880" s="211">
        <v>4097000</v>
      </c>
      <c r="AR880" s="211">
        <v>4097000</v>
      </c>
      <c r="AS880" s="211">
        <v>4097000</v>
      </c>
      <c r="AT880" s="211">
        <v>4097000</v>
      </c>
      <c r="AU880" s="211">
        <v>4097000</v>
      </c>
      <c r="AV880" s="211"/>
      <c r="AW880" s="211"/>
      <c r="AX880" s="211"/>
      <c r="AY880" s="211"/>
      <c r="AZ880" s="211"/>
      <c r="BA880" s="211"/>
      <c r="BB880" s="211"/>
      <c r="BC880" s="211"/>
      <c r="BD880" s="333">
        <v>44195</v>
      </c>
      <c r="BE880" s="82">
        <f t="shared" si="118"/>
        <v>39467767</v>
      </c>
    </row>
    <row r="881" spans="2:57" ht="40.799999999999997" hidden="1" x14ac:dyDescent="0.3">
      <c r="B881" s="2" t="str">
        <f>+'Base de Datos'!E881</f>
        <v>200083-0-2020</v>
      </c>
      <c r="C881" s="2" t="str">
        <f>+'Base de Datos'!F881</f>
        <v>GONZALO VALBUENA OÑATE</v>
      </c>
      <c r="D881" s="2">
        <f>+'Base de Datos'!G881</f>
        <v>1010163773</v>
      </c>
      <c r="E881" s="2" t="str">
        <f>+'Base de Datos'!H881</f>
        <v>Prestar los servicios profesionales para Apoyar al Director Jurídico del Concejo de Bogotá, en el marco del procedimiento de atención al ciudadano, con el fin de desarrollar las actividades que sean demandadas por este procedimiento.</v>
      </c>
      <c r="F881" s="197">
        <f>+'Base de Datos'!I881</f>
        <v>45342000</v>
      </c>
      <c r="G881" s="196">
        <f>+'Base de Datos'!M881</f>
        <v>43914</v>
      </c>
      <c r="H881" s="196">
        <f>+'Base de Datos'!N881</f>
        <v>44188</v>
      </c>
      <c r="I881" s="196"/>
      <c r="J881" s="158"/>
      <c r="K881" s="333"/>
      <c r="L881" s="211"/>
      <c r="M881" s="336"/>
      <c r="N881" s="158"/>
      <c r="O881" s="333"/>
      <c r="P881" s="158"/>
      <c r="Q881" s="338"/>
      <c r="R881" s="81">
        <f t="shared" si="119"/>
        <v>0</v>
      </c>
      <c r="S881" s="258"/>
      <c r="T881" s="333"/>
      <c r="U881" s="158"/>
      <c r="V881" s="333"/>
      <c r="W881" s="158"/>
      <c r="X881" s="333"/>
      <c r="Y881" s="158"/>
      <c r="Z881" s="1002"/>
      <c r="AA881" s="1003"/>
      <c r="AB881" s="1004" t="str">
        <f t="shared" si="112"/>
        <v/>
      </c>
      <c r="AC881" s="1082" t="str">
        <f t="shared" si="113"/>
        <v/>
      </c>
      <c r="AD881" s="1004"/>
      <c r="AE881" s="1004"/>
      <c r="AF881" s="1084" t="str">
        <f t="shared" si="114"/>
        <v/>
      </c>
      <c r="AG881" s="1082" t="str">
        <f t="shared" si="115"/>
        <v/>
      </c>
      <c r="AH881" s="1092"/>
      <c r="AI881" s="1087"/>
      <c r="AJ881" s="1084" t="str">
        <f t="shared" si="116"/>
        <v/>
      </c>
      <c r="AK881" s="1083" t="str">
        <f t="shared" si="117"/>
        <v/>
      </c>
      <c r="AL881" s="211">
        <v>1175533</v>
      </c>
      <c r="AM881" s="211">
        <v>5038000</v>
      </c>
      <c r="AN881" s="211">
        <v>5038000</v>
      </c>
      <c r="AO881" s="211">
        <v>5038000</v>
      </c>
      <c r="AP881" s="211">
        <v>5038000</v>
      </c>
      <c r="AQ881" s="211">
        <v>5038000</v>
      </c>
      <c r="AR881" s="211">
        <v>5038000</v>
      </c>
      <c r="AS881" s="211">
        <v>5038000</v>
      </c>
      <c r="AT881" s="211">
        <v>5038000</v>
      </c>
      <c r="AU881" s="211"/>
      <c r="AV881" s="211"/>
      <c r="AW881" s="211"/>
      <c r="AX881" s="211"/>
      <c r="AY881" s="211"/>
      <c r="AZ881" s="211"/>
      <c r="BA881" s="211"/>
      <c r="BB881" s="211"/>
      <c r="BC881" s="211"/>
      <c r="BD881" s="333">
        <v>44176</v>
      </c>
      <c r="BE881" s="82">
        <f t="shared" si="118"/>
        <v>41479533</v>
      </c>
    </row>
    <row r="882" spans="2:57" ht="40.799999999999997" hidden="1" x14ac:dyDescent="0.3">
      <c r="B882" s="2" t="str">
        <f>+'Base de Datos'!E882</f>
        <v>200118-0-2020</v>
      </c>
      <c r="C882" s="2" t="str">
        <f>+'Base de Datos'!F882</f>
        <v>XIOMARA ASTRID GOMEZ ALAPE</v>
      </c>
      <c r="D882" s="2">
        <f>+'Base de Datos'!G882</f>
        <v>1073157136</v>
      </c>
      <c r="E882" s="2" t="str">
        <f>+'Base de Datos'!H882</f>
        <v>Prestar los servicios profesionales a la Dirección Administrativa en el proceso de talento humano, realizando seguimiento a los planes y programas que se desarrollan en el MIPG.</v>
      </c>
      <c r="F882" s="197">
        <f>+'Base de Datos'!I882</f>
        <v>39069000</v>
      </c>
      <c r="G882" s="196">
        <f>+'Base de Datos'!M882</f>
        <v>43915</v>
      </c>
      <c r="H882" s="196">
        <f>+'Base de Datos'!N882</f>
        <v>44189</v>
      </c>
      <c r="I882" s="196"/>
      <c r="J882" s="158"/>
      <c r="K882" s="333"/>
      <c r="L882" s="211"/>
      <c r="M882" s="336"/>
      <c r="N882" s="158"/>
      <c r="O882" s="333"/>
      <c r="P882" s="158"/>
      <c r="Q882" s="338"/>
      <c r="R882" s="81">
        <f t="shared" si="119"/>
        <v>0</v>
      </c>
      <c r="S882" s="258"/>
      <c r="T882" s="333"/>
      <c r="U882" s="158"/>
      <c r="V882" s="333"/>
      <c r="W882" s="158"/>
      <c r="X882" s="333"/>
      <c r="Y882" s="158"/>
      <c r="Z882" s="1002"/>
      <c r="AA882" s="1003"/>
      <c r="AB882" s="1004" t="str">
        <f t="shared" si="112"/>
        <v/>
      </c>
      <c r="AC882" s="1082" t="str">
        <f t="shared" si="113"/>
        <v/>
      </c>
      <c r="AD882" s="1004"/>
      <c r="AE882" s="1004"/>
      <c r="AF882" s="1084" t="str">
        <f t="shared" si="114"/>
        <v/>
      </c>
      <c r="AG882" s="1082" t="str">
        <f t="shared" si="115"/>
        <v/>
      </c>
      <c r="AH882" s="1092"/>
      <c r="AI882" s="1087"/>
      <c r="AJ882" s="1084" t="str">
        <f t="shared" si="116"/>
        <v/>
      </c>
      <c r="AK882" s="1083" t="str">
        <f t="shared" si="117"/>
        <v/>
      </c>
      <c r="AL882" s="211">
        <v>868200</v>
      </c>
      <c r="AM882" s="211">
        <v>4341000</v>
      </c>
      <c r="AN882" s="211">
        <v>4341000</v>
      </c>
      <c r="AO882" s="211">
        <v>4341000</v>
      </c>
      <c r="AP882" s="211">
        <v>4341000</v>
      </c>
      <c r="AQ882" s="211">
        <v>4341000</v>
      </c>
      <c r="AR882" s="211">
        <v>4341000</v>
      </c>
      <c r="AS882" s="211">
        <v>4341000</v>
      </c>
      <c r="AT882" s="211">
        <v>4341000</v>
      </c>
      <c r="AU882" s="211">
        <v>3472800</v>
      </c>
      <c r="AV882" s="211"/>
      <c r="AW882" s="211"/>
      <c r="AX882" s="211"/>
      <c r="AY882" s="211"/>
      <c r="AZ882" s="211"/>
      <c r="BA882" s="211"/>
      <c r="BB882" s="211"/>
      <c r="BC882" s="211"/>
      <c r="BD882" s="333">
        <v>44196</v>
      </c>
      <c r="BE882" s="82">
        <f t="shared" si="118"/>
        <v>39069000</v>
      </c>
    </row>
    <row r="883" spans="2:57" ht="30.6" hidden="1" x14ac:dyDescent="0.3">
      <c r="B883" s="2" t="str">
        <f>+'Base de Datos'!E883</f>
        <v>200056-0-2020</v>
      </c>
      <c r="C883" s="2" t="str">
        <f>+'Base de Datos'!F883</f>
        <v>EMPRESA DE TELECOMUNICACIONES DE BOGOTA S.A.   ESP</v>
      </c>
      <c r="D883" s="2" t="str">
        <f>+'Base de Datos'!G883</f>
        <v>899999115-8</v>
      </c>
      <c r="E883" s="2" t="str">
        <f>+'Base de Datos'!H883</f>
        <v>Proveer los servicios de canales dedicados e internet y los servicios complementarios para el Concejo de Bogotá.</v>
      </c>
      <c r="F883" s="197">
        <f>+'Base de Datos'!I883</f>
        <v>142040304</v>
      </c>
      <c r="G883" s="196">
        <f>+'Base de Datos'!M883</f>
        <v>43912</v>
      </c>
      <c r="H883" s="196">
        <f>+'Base de Datos'!N883</f>
        <v>44276</v>
      </c>
      <c r="I883" s="196"/>
      <c r="J883" s="158"/>
      <c r="K883" s="333"/>
      <c r="L883" s="211"/>
      <c r="M883" s="336"/>
      <c r="N883" s="158"/>
      <c r="O883" s="333"/>
      <c r="P883" s="158"/>
      <c r="Q883" s="338"/>
      <c r="R883" s="81">
        <f t="shared" si="119"/>
        <v>0</v>
      </c>
      <c r="S883" s="258"/>
      <c r="T883" s="333"/>
      <c r="U883" s="158"/>
      <c r="V883" s="333"/>
      <c r="W883" s="158"/>
      <c r="X883" s="333"/>
      <c r="Y883" s="158"/>
      <c r="Z883" s="1002"/>
      <c r="AA883" s="1003"/>
      <c r="AB883" s="1004" t="str">
        <f t="shared" si="112"/>
        <v/>
      </c>
      <c r="AC883" s="1082" t="str">
        <f t="shared" si="113"/>
        <v/>
      </c>
      <c r="AD883" s="1004"/>
      <c r="AE883" s="1004"/>
      <c r="AF883" s="1084" t="str">
        <f t="shared" si="114"/>
        <v/>
      </c>
      <c r="AG883" s="1082" t="str">
        <f t="shared" si="115"/>
        <v/>
      </c>
      <c r="AH883" s="1092"/>
      <c r="AI883" s="1087"/>
      <c r="AJ883" s="1084" t="str">
        <f t="shared" si="116"/>
        <v/>
      </c>
      <c r="AK883" s="1083" t="str">
        <f t="shared" si="117"/>
        <v/>
      </c>
      <c r="AL883" s="211"/>
      <c r="AM883" s="211"/>
      <c r="AN883" s="211"/>
      <c r="AO883" s="211"/>
      <c r="AP883" s="211"/>
      <c r="AQ883" s="211"/>
      <c r="AR883" s="211"/>
      <c r="AS883" s="211"/>
      <c r="AT883" s="211"/>
      <c r="AU883" s="211"/>
      <c r="AV883" s="211"/>
      <c r="AW883" s="211"/>
      <c r="AX883" s="211"/>
      <c r="AY883" s="211"/>
      <c r="AZ883" s="211"/>
      <c r="BA883" s="211"/>
      <c r="BB883" s="211"/>
      <c r="BC883" s="211"/>
      <c r="BD883" s="333"/>
      <c r="BE883" s="82">
        <f t="shared" si="118"/>
        <v>0</v>
      </c>
    </row>
    <row r="884" spans="2:57" ht="40.799999999999997" hidden="1" x14ac:dyDescent="0.3">
      <c r="B884" s="2" t="str">
        <f>+'Base de Datos'!E884</f>
        <v>200107-0-2020</v>
      </c>
      <c r="C884" s="2" t="str">
        <f>+'Base de Datos'!F884</f>
        <v>LUZ DARY BARON RICO</v>
      </c>
      <c r="D884" s="2">
        <f>+'Base de Datos'!G884</f>
        <v>52538684</v>
      </c>
      <c r="E884" s="2" t="str">
        <f>+'Base de Datos'!H884</f>
        <v xml:space="preserve">Prestar servicios profesionales para apoyar a la Dirección Financiera del Concejo de Bogotá D.C., en lo referente al sistema general de seguridad social en salud y riesgos profesionales.   </v>
      </c>
      <c r="F884" s="197">
        <f>+'Base de Datos'!I884</f>
        <v>30012959</v>
      </c>
      <c r="G884" s="196">
        <f>+'Base de Datos'!M884</f>
        <v>43922</v>
      </c>
      <c r="H884" s="196">
        <f>+'Base de Datos'!N884</f>
        <v>44196</v>
      </c>
      <c r="I884" s="196"/>
      <c r="J884" s="158"/>
      <c r="K884" s="333"/>
      <c r="L884" s="211"/>
      <c r="M884" s="336"/>
      <c r="N884" s="158"/>
      <c r="O884" s="333"/>
      <c r="P884" s="158"/>
      <c r="Q884" s="338"/>
      <c r="R884" s="81">
        <f t="shared" si="119"/>
        <v>0</v>
      </c>
      <c r="S884" s="258"/>
      <c r="T884" s="333"/>
      <c r="U884" s="158"/>
      <c r="V884" s="333"/>
      <c r="W884" s="158"/>
      <c r="X884" s="333"/>
      <c r="Y884" s="158"/>
      <c r="Z884" s="1002"/>
      <c r="AA884" s="1003"/>
      <c r="AB884" s="1004" t="str">
        <f t="shared" si="112"/>
        <v/>
      </c>
      <c r="AC884" s="1082" t="str">
        <f t="shared" si="113"/>
        <v/>
      </c>
      <c r="AD884" s="1004"/>
      <c r="AE884" s="1004"/>
      <c r="AF884" s="1084" t="str">
        <f t="shared" si="114"/>
        <v/>
      </c>
      <c r="AG884" s="1082" t="str">
        <f t="shared" si="115"/>
        <v/>
      </c>
      <c r="AH884" s="1092"/>
      <c r="AI884" s="1087"/>
      <c r="AJ884" s="1084" t="str">
        <f t="shared" si="116"/>
        <v/>
      </c>
      <c r="AK884" s="1083" t="str">
        <f t="shared" si="117"/>
        <v/>
      </c>
      <c r="AL884" s="211">
        <v>3073000</v>
      </c>
      <c r="AM884" s="211">
        <v>3073000</v>
      </c>
      <c r="AN884" s="211">
        <v>3073000</v>
      </c>
      <c r="AO884" s="211">
        <v>3073000</v>
      </c>
      <c r="AP884" s="211">
        <v>3073000</v>
      </c>
      <c r="AQ884" s="211">
        <v>3073000</v>
      </c>
      <c r="AR884" s="211">
        <v>3073000</v>
      </c>
      <c r="AS884" s="211">
        <v>3073000</v>
      </c>
      <c r="AT884" s="211"/>
      <c r="AU884" s="211"/>
      <c r="AV884" s="211"/>
      <c r="AW884" s="211"/>
      <c r="AX884" s="211"/>
      <c r="AY884" s="211"/>
      <c r="AZ884" s="211"/>
      <c r="BA884" s="211"/>
      <c r="BB884" s="211"/>
      <c r="BC884" s="211"/>
      <c r="BD884" s="333">
        <v>44174</v>
      </c>
      <c r="BE884" s="82">
        <f t="shared" si="118"/>
        <v>24584000</v>
      </c>
    </row>
    <row r="885" spans="2:57" ht="40.799999999999997" hidden="1" x14ac:dyDescent="0.3">
      <c r="B885" s="2" t="str">
        <f>+'Base de Datos'!E885</f>
        <v>200116-0-2020</v>
      </c>
      <c r="C885" s="2" t="str">
        <f>+'Base de Datos'!F885</f>
        <v>FABIO ANDRES TORRES RISCANEVO</v>
      </c>
      <c r="D885" s="2">
        <f>+'Base de Datos'!G885</f>
        <v>80756520</v>
      </c>
      <c r="E885" s="2" t="str">
        <f>+'Base de Datos'!H885</f>
        <v>Prestar los servicios profesionales para apoyar a la Dirección Jurídica del Concejo de Bogotá en el marco de los asuntos jurídicos y de la defensa judicial con el fin de desarrollar las actividades de acuerdo con la normatividad vigente.</v>
      </c>
      <c r="F885" s="197">
        <f>+'Base de Datos'!I885</f>
        <v>55305000</v>
      </c>
      <c r="G885" s="196">
        <f>+'Base de Datos'!M885</f>
        <v>43922</v>
      </c>
      <c r="H885" s="196">
        <f>+'Base de Datos'!N885</f>
        <v>44196</v>
      </c>
      <c r="I885" s="196"/>
      <c r="J885" s="158"/>
      <c r="K885" s="333"/>
      <c r="L885" s="211"/>
      <c r="M885" s="336"/>
      <c r="N885" s="158"/>
      <c r="O885" s="333"/>
      <c r="P885" s="158"/>
      <c r="Q885" s="338"/>
      <c r="R885" s="81">
        <f t="shared" si="119"/>
        <v>0</v>
      </c>
      <c r="S885" s="258"/>
      <c r="T885" s="333"/>
      <c r="U885" s="158"/>
      <c r="V885" s="333"/>
      <c r="W885" s="158"/>
      <c r="X885" s="333"/>
      <c r="Y885" s="158"/>
      <c r="Z885" s="1002"/>
      <c r="AA885" s="1003"/>
      <c r="AB885" s="1004" t="str">
        <f t="shared" si="112"/>
        <v/>
      </c>
      <c r="AC885" s="1082" t="str">
        <f t="shared" si="113"/>
        <v/>
      </c>
      <c r="AD885" s="1004"/>
      <c r="AE885" s="1004"/>
      <c r="AF885" s="1084" t="str">
        <f t="shared" si="114"/>
        <v/>
      </c>
      <c r="AG885" s="1082" t="str">
        <f t="shared" si="115"/>
        <v/>
      </c>
      <c r="AH885" s="1092"/>
      <c r="AI885" s="1087"/>
      <c r="AJ885" s="1084" t="str">
        <f t="shared" si="116"/>
        <v/>
      </c>
      <c r="AK885" s="1083" t="str">
        <f t="shared" si="117"/>
        <v/>
      </c>
      <c r="AL885" s="211">
        <v>6145000</v>
      </c>
      <c r="AM885" s="211">
        <v>6145000</v>
      </c>
      <c r="AN885" s="211">
        <v>6145000</v>
      </c>
      <c r="AO885" s="211">
        <v>6145000</v>
      </c>
      <c r="AP885" s="211">
        <v>6145000</v>
      </c>
      <c r="AQ885" s="211">
        <v>6145000</v>
      </c>
      <c r="AR885" s="211">
        <v>6145000</v>
      </c>
      <c r="AS885" s="211">
        <v>6145000</v>
      </c>
      <c r="AT885" s="211"/>
      <c r="AU885" s="211"/>
      <c r="AV885" s="211"/>
      <c r="AW885" s="211"/>
      <c r="AX885" s="211"/>
      <c r="AY885" s="211"/>
      <c r="AZ885" s="211"/>
      <c r="BA885" s="211"/>
      <c r="BB885" s="211"/>
      <c r="BC885" s="211"/>
      <c r="BD885" s="333">
        <v>44176</v>
      </c>
      <c r="BE885" s="82">
        <f t="shared" si="118"/>
        <v>49160000</v>
      </c>
    </row>
    <row r="886" spans="2:57" ht="30.6" hidden="1" x14ac:dyDescent="0.3">
      <c r="B886" s="2" t="str">
        <f>+'Base de Datos'!E886</f>
        <v>200117-0-2020</v>
      </c>
      <c r="C886" s="2" t="str">
        <f>+'Base de Datos'!F886</f>
        <v>JUAN PABLO RUBIO SGUERRA</v>
      </c>
      <c r="D886" s="2">
        <f>+'Base de Datos'!G886</f>
        <v>80197126</v>
      </c>
      <c r="E886" s="2" t="str">
        <f>+'Base de Datos'!H886</f>
        <v>Prestar los servicios profesionales para apoyar la definición contratación y seguimiento a los temas de infraestructura física que requiera el Concejo de Bogotá.</v>
      </c>
      <c r="F886" s="197">
        <f>+'Base de Datos'!I886</f>
        <v>40194000</v>
      </c>
      <c r="G886" s="196">
        <f>+'Base de Datos'!M886</f>
        <v>43917</v>
      </c>
      <c r="H886" s="196">
        <f>+'Base de Datos'!N886</f>
        <v>44191</v>
      </c>
      <c r="I886" s="196"/>
      <c r="J886" s="158"/>
      <c r="K886" s="333"/>
      <c r="L886" s="211"/>
      <c r="M886" s="336"/>
      <c r="N886" s="158"/>
      <c r="O886" s="333"/>
      <c r="P886" s="158"/>
      <c r="Q886" s="338"/>
      <c r="R886" s="81">
        <f t="shared" si="119"/>
        <v>0</v>
      </c>
      <c r="S886" s="258"/>
      <c r="T886" s="333"/>
      <c r="U886" s="158"/>
      <c r="V886" s="333"/>
      <c r="W886" s="158"/>
      <c r="X886" s="333"/>
      <c r="Y886" s="158"/>
      <c r="Z886" s="1002"/>
      <c r="AA886" s="1003"/>
      <c r="AB886" s="1004" t="str">
        <f t="shared" si="112"/>
        <v/>
      </c>
      <c r="AC886" s="1082" t="str">
        <f t="shared" si="113"/>
        <v/>
      </c>
      <c r="AD886" s="1004"/>
      <c r="AE886" s="1004"/>
      <c r="AF886" s="1084" t="str">
        <f t="shared" si="114"/>
        <v/>
      </c>
      <c r="AG886" s="1082" t="str">
        <f t="shared" si="115"/>
        <v/>
      </c>
      <c r="AH886" s="1092"/>
      <c r="AI886" s="1087"/>
      <c r="AJ886" s="1084" t="str">
        <f t="shared" si="116"/>
        <v/>
      </c>
      <c r="AK886" s="1083" t="str">
        <f t="shared" si="117"/>
        <v/>
      </c>
      <c r="AL886" s="211">
        <v>595467</v>
      </c>
      <c r="AM886" s="211">
        <v>4466000</v>
      </c>
      <c r="AN886" s="211">
        <v>4466000</v>
      </c>
      <c r="AO886" s="211">
        <v>4466000</v>
      </c>
      <c r="AP886" s="211">
        <v>4466000</v>
      </c>
      <c r="AQ886" s="211">
        <v>4466000</v>
      </c>
      <c r="AR886" s="211">
        <v>4466000</v>
      </c>
      <c r="AS886" s="211">
        <v>4466000</v>
      </c>
      <c r="AT886" s="211">
        <v>4466000</v>
      </c>
      <c r="AU886" s="211">
        <v>3870533</v>
      </c>
      <c r="AV886" s="211"/>
      <c r="AW886" s="211"/>
      <c r="AX886" s="211"/>
      <c r="AY886" s="211"/>
      <c r="AZ886" s="211"/>
      <c r="BA886" s="211"/>
      <c r="BB886" s="211"/>
      <c r="BC886" s="211"/>
      <c r="BD886" s="333">
        <v>44195</v>
      </c>
      <c r="BE886" s="82">
        <f t="shared" si="118"/>
        <v>40194000</v>
      </c>
    </row>
    <row r="887" spans="2:57" ht="122.4" hidden="1" x14ac:dyDescent="0.3">
      <c r="B887" s="2" t="str">
        <f>+'Base de Datos'!E887</f>
        <v>200109-0-2020</v>
      </c>
      <c r="C887" s="2" t="str">
        <f>+'Base de Datos'!F887</f>
        <v>ASEGURADORA SOLIDARIA DE COLOMBIA ENTIDAD COOPERATIVA</v>
      </c>
      <c r="D887" s="2">
        <f>+'Base de Datos'!G887</f>
        <v>860524654</v>
      </c>
      <c r="E887" s="2" t="str">
        <f>+'Base de Datos'!H887</f>
        <v>Contratar los seguros que amparen los intereses patrimoniales actuales y futuros, así como los bienes de propiedad del Concejo de Bogotá D.C., que estén bajo su responsabilidad, custodia y aquellos que sean adquiridos para desarrollar las funciones inherentes a su actividad, y cualquier otra póliza de seguros que requiera el Concejo en el desarrollo de su actividad siempre y cuando la aseguradora adjudicataria cuente con la autorización por parte  de la Superintendencia Financiera de Colombia, de conformidad con lo establecido en el pliego de condiciones de la Licitación Pública No. SDH-LP-01-2020 y la propuesta presentada por el contratista. Los seguros objeto del presente contrato corresponden al Grupo II.</v>
      </c>
      <c r="F887" s="197">
        <f>+'Base de Datos'!I887</f>
        <v>33765812</v>
      </c>
      <c r="G887" s="196">
        <f>+'Base de Datos'!M887</f>
        <v>43952</v>
      </c>
      <c r="H887" s="196">
        <f>+'Base de Datos'!N887</f>
        <v>44687</v>
      </c>
      <c r="I887" s="196"/>
      <c r="J887" s="158"/>
      <c r="K887" s="333"/>
      <c r="L887" s="211"/>
      <c r="M887" s="336"/>
      <c r="N887" s="158"/>
      <c r="O887" s="333"/>
      <c r="P887" s="158"/>
      <c r="Q887" s="338"/>
      <c r="R887" s="81">
        <f t="shared" si="119"/>
        <v>0</v>
      </c>
      <c r="S887" s="258"/>
      <c r="T887" s="333"/>
      <c r="U887" s="158"/>
      <c r="V887" s="333"/>
      <c r="W887" s="158"/>
      <c r="X887" s="333"/>
      <c r="Y887" s="158"/>
      <c r="Z887" s="1002"/>
      <c r="AA887" s="1003"/>
      <c r="AB887" s="1004" t="str">
        <f t="shared" si="112"/>
        <v/>
      </c>
      <c r="AC887" s="1082" t="str">
        <f t="shared" si="113"/>
        <v/>
      </c>
      <c r="AD887" s="1004"/>
      <c r="AE887" s="1004"/>
      <c r="AF887" s="1084" t="str">
        <f t="shared" si="114"/>
        <v/>
      </c>
      <c r="AG887" s="1082" t="str">
        <f t="shared" si="115"/>
        <v/>
      </c>
      <c r="AH887" s="1092"/>
      <c r="AI887" s="1087"/>
      <c r="AJ887" s="1084" t="str">
        <f t="shared" si="116"/>
        <v/>
      </c>
      <c r="AK887" s="1083" t="str">
        <f t="shared" si="117"/>
        <v/>
      </c>
      <c r="AL887" s="211">
        <v>33765812</v>
      </c>
      <c r="AM887" s="211"/>
      <c r="AN887" s="211"/>
      <c r="AO887" s="211"/>
      <c r="AP887" s="211"/>
      <c r="AQ887" s="211"/>
      <c r="AR887" s="211"/>
      <c r="AS887" s="211"/>
      <c r="AT887" s="211"/>
      <c r="AU887" s="211"/>
      <c r="AV887" s="211"/>
      <c r="AW887" s="211"/>
      <c r="AX887" s="211"/>
      <c r="AY887" s="211"/>
      <c r="AZ887" s="211"/>
      <c r="BA887" s="211"/>
      <c r="BB887" s="211"/>
      <c r="BC887" s="211"/>
      <c r="BD887" s="333">
        <v>44023</v>
      </c>
      <c r="BE887" s="82">
        <f t="shared" si="118"/>
        <v>33765812</v>
      </c>
    </row>
    <row r="888" spans="2:57" ht="30.6" hidden="1" x14ac:dyDescent="0.3">
      <c r="B888" s="2" t="str">
        <f>+'Base de Datos'!E888</f>
        <v>200125-0-2020</v>
      </c>
      <c r="C888" s="2" t="str">
        <f>+'Base de Datos'!F888</f>
        <v>NATALIA ALEJANDRA OSORIO ESPINOSA</v>
      </c>
      <c r="D888" s="2">
        <f>+'Base de Datos'!G888</f>
        <v>1013633500</v>
      </c>
      <c r="E888" s="2" t="str">
        <f>+'Base de Datos'!H888</f>
        <v>Prestar los servicios profesionales para apoyar la gestión administrativa documental y contractual en los asuntos de competencia del Concejo de Bogotá D.C.</v>
      </c>
      <c r="F888" s="197">
        <f>+'Base de Datos'!I888</f>
        <v>40194000</v>
      </c>
      <c r="G888" s="196">
        <f>+'Base de Datos'!M888</f>
        <v>43917</v>
      </c>
      <c r="H888" s="196">
        <f>+'Base de Datos'!N888</f>
        <v>44191</v>
      </c>
      <c r="I888" s="196"/>
      <c r="J888" s="158"/>
      <c r="K888" s="333"/>
      <c r="L888" s="211"/>
      <c r="M888" s="336"/>
      <c r="N888" s="158"/>
      <c r="O888" s="333"/>
      <c r="P888" s="158"/>
      <c r="Q888" s="338"/>
      <c r="R888" s="81">
        <f t="shared" si="119"/>
        <v>0</v>
      </c>
      <c r="S888" s="258"/>
      <c r="T888" s="333"/>
      <c r="U888" s="158"/>
      <c r="V888" s="333"/>
      <c r="W888" s="158"/>
      <c r="X888" s="333"/>
      <c r="Y888" s="158"/>
      <c r="Z888" s="1002"/>
      <c r="AA888" s="1003"/>
      <c r="AB888" s="1004" t="str">
        <f t="shared" si="112"/>
        <v/>
      </c>
      <c r="AC888" s="1082" t="str">
        <f t="shared" si="113"/>
        <v/>
      </c>
      <c r="AD888" s="1004"/>
      <c r="AE888" s="1004"/>
      <c r="AF888" s="1084" t="str">
        <f t="shared" si="114"/>
        <v/>
      </c>
      <c r="AG888" s="1082" t="str">
        <f t="shared" si="115"/>
        <v/>
      </c>
      <c r="AH888" s="1092"/>
      <c r="AI888" s="1087"/>
      <c r="AJ888" s="1084" t="str">
        <f t="shared" si="116"/>
        <v/>
      </c>
      <c r="AK888" s="1083" t="str">
        <f t="shared" si="117"/>
        <v/>
      </c>
      <c r="AL888" s="211">
        <v>595467</v>
      </c>
      <c r="AM888" s="211">
        <v>4466000</v>
      </c>
      <c r="AN888" s="211">
        <v>4466000</v>
      </c>
      <c r="AO888" s="211">
        <v>4466000</v>
      </c>
      <c r="AP888" s="211">
        <v>4466000</v>
      </c>
      <c r="AQ888" s="211">
        <v>4466000</v>
      </c>
      <c r="AR888" s="211">
        <v>4466000</v>
      </c>
      <c r="AS888" s="211">
        <v>4466000</v>
      </c>
      <c r="AT888" s="211">
        <v>4466000</v>
      </c>
      <c r="AU888" s="211">
        <v>3870533</v>
      </c>
      <c r="AV888" s="211"/>
      <c r="AW888" s="211"/>
      <c r="AX888" s="211"/>
      <c r="AY888" s="211"/>
      <c r="AZ888" s="211"/>
      <c r="BA888" s="211"/>
      <c r="BB888" s="211"/>
      <c r="BC888" s="211"/>
      <c r="BD888" s="333">
        <v>44195</v>
      </c>
      <c r="BE888" s="82">
        <f t="shared" si="118"/>
        <v>40194000</v>
      </c>
    </row>
    <row r="889" spans="2:57" ht="51" hidden="1" x14ac:dyDescent="0.3">
      <c r="B889" s="2" t="str">
        <f>+'Base de Datos'!E889</f>
        <v>200120-0-2020</v>
      </c>
      <c r="C889" s="2" t="str">
        <f>+'Base de Datos'!F889</f>
        <v>MAYRA ALEJANDRA GARCIA QUIROGA</v>
      </c>
      <c r="D889" s="2">
        <f>+'Base de Datos'!G889</f>
        <v>23782373</v>
      </c>
      <c r="E889" s="2" t="str">
        <f>+'Base de Datos'!H889</f>
        <v>Prestar los servicios profesionales para Apoyar a la Dirección Administrativa del Concejo de Bogotá, en la implementación de programas de medicina preventiva, actividades de seguridad y salud en el trabajo para los funcionarios del Concejo de Bogotá.</v>
      </c>
      <c r="F889" s="197">
        <f>+'Base de Datos'!I889</f>
        <v>49707000</v>
      </c>
      <c r="G889" s="196">
        <f>+'Base de Datos'!M889</f>
        <v>43922</v>
      </c>
      <c r="H889" s="196">
        <f>+'Base de Datos'!N889</f>
        <v>44196</v>
      </c>
      <c r="I889" s="196"/>
      <c r="J889" s="158"/>
      <c r="K889" s="333"/>
      <c r="L889" s="211"/>
      <c r="M889" s="336"/>
      <c r="N889" s="158"/>
      <c r="O889" s="333"/>
      <c r="P889" s="158"/>
      <c r="Q889" s="338"/>
      <c r="R889" s="81">
        <f t="shared" si="119"/>
        <v>0</v>
      </c>
      <c r="S889" s="258"/>
      <c r="T889" s="333"/>
      <c r="U889" s="158"/>
      <c r="V889" s="333"/>
      <c r="W889" s="158"/>
      <c r="X889" s="333"/>
      <c r="Y889" s="158"/>
      <c r="Z889" s="1002"/>
      <c r="AA889" s="1003"/>
      <c r="AB889" s="1004" t="str">
        <f t="shared" si="112"/>
        <v/>
      </c>
      <c r="AC889" s="1082" t="str">
        <f t="shared" si="113"/>
        <v/>
      </c>
      <c r="AD889" s="1004"/>
      <c r="AE889" s="1004"/>
      <c r="AF889" s="1084" t="str">
        <f t="shared" si="114"/>
        <v/>
      </c>
      <c r="AG889" s="1082" t="str">
        <f t="shared" si="115"/>
        <v/>
      </c>
      <c r="AH889" s="1092"/>
      <c r="AI889" s="1087"/>
      <c r="AJ889" s="1084" t="str">
        <f t="shared" si="116"/>
        <v/>
      </c>
      <c r="AK889" s="1083" t="str">
        <f t="shared" si="117"/>
        <v/>
      </c>
      <c r="AL889" s="211"/>
      <c r="AM889" s="211"/>
      <c r="AN889" s="211"/>
      <c r="AO889" s="211"/>
      <c r="AP889" s="211"/>
      <c r="AQ889" s="211"/>
      <c r="AR889" s="211"/>
      <c r="AS889" s="211"/>
      <c r="AT889" s="211"/>
      <c r="AU889" s="211"/>
      <c r="AV889" s="211"/>
      <c r="AW889" s="211"/>
      <c r="AX889" s="211"/>
      <c r="AY889" s="211"/>
      <c r="AZ889" s="211"/>
      <c r="BA889" s="211"/>
      <c r="BB889" s="211"/>
      <c r="BC889" s="211"/>
      <c r="BD889" s="333"/>
      <c r="BE889" s="82">
        <f t="shared" si="118"/>
        <v>0</v>
      </c>
    </row>
    <row r="890" spans="2:57" ht="51" hidden="1" x14ac:dyDescent="0.3">
      <c r="B890" s="2" t="str">
        <f>+'Base de Datos'!E890</f>
        <v>200126-0-2020</v>
      </c>
      <c r="C890" s="2" t="str">
        <f>+'Base de Datos'!F890</f>
        <v>LINA VANESSA LOZADA LEON</v>
      </c>
      <c r="D890" s="2">
        <f>+'Base de Datos'!G890</f>
        <v>1010200102</v>
      </c>
      <c r="E890" s="2" t="str">
        <f>+'Base de Datos'!H890</f>
        <v>Prestar los servicios profesionales para Apoyar a la Dirección Financiera del Concejo de Bogotá, para realizar el seguimiento al cumplimiento del Plan de Acción anual, los programas, proyectos y estrategias de la Dirección, de acuerdo con las políticas y a la Misión de la Corporación.</v>
      </c>
      <c r="F890" s="197">
        <f>+'Base de Datos'!I890</f>
        <v>45040000</v>
      </c>
      <c r="G890" s="196">
        <f>+'Base de Datos'!M890</f>
        <v>43922</v>
      </c>
      <c r="H890" s="196">
        <f>+'Base de Datos'!N890</f>
        <v>44196</v>
      </c>
      <c r="I890" s="196"/>
      <c r="J890" s="158"/>
      <c r="K890" s="333"/>
      <c r="L890" s="211"/>
      <c r="M890" s="336"/>
      <c r="N890" s="158"/>
      <c r="O890" s="333"/>
      <c r="P890" s="158"/>
      <c r="Q890" s="338"/>
      <c r="R890" s="81">
        <f t="shared" si="119"/>
        <v>0</v>
      </c>
      <c r="S890" s="258"/>
      <c r="T890" s="333"/>
      <c r="U890" s="158"/>
      <c r="V890" s="333"/>
      <c r="W890" s="158"/>
      <c r="X890" s="333"/>
      <c r="Y890" s="158"/>
      <c r="Z890" s="1002"/>
      <c r="AA890" s="1003"/>
      <c r="AB890" s="1004" t="str">
        <f t="shared" si="112"/>
        <v/>
      </c>
      <c r="AC890" s="1082" t="str">
        <f t="shared" si="113"/>
        <v/>
      </c>
      <c r="AD890" s="1004"/>
      <c r="AE890" s="1004"/>
      <c r="AF890" s="1084" t="str">
        <f t="shared" si="114"/>
        <v/>
      </c>
      <c r="AG890" s="1082" t="str">
        <f t="shared" si="115"/>
        <v/>
      </c>
      <c r="AH890" s="1092"/>
      <c r="AI890" s="1087"/>
      <c r="AJ890" s="1084" t="str">
        <f t="shared" si="116"/>
        <v/>
      </c>
      <c r="AK890" s="1083" t="str">
        <f t="shared" si="117"/>
        <v/>
      </c>
      <c r="AL890" s="211">
        <v>4504000</v>
      </c>
      <c r="AM890" s="211">
        <v>4504000</v>
      </c>
      <c r="AN890" s="211">
        <v>4504000</v>
      </c>
      <c r="AO890" s="211">
        <v>4504000</v>
      </c>
      <c r="AP890" s="211">
        <v>4504000</v>
      </c>
      <c r="AQ890" s="211">
        <v>4504000</v>
      </c>
      <c r="AR890" s="211">
        <v>4504000</v>
      </c>
      <c r="AS890" s="211">
        <v>4504000</v>
      </c>
      <c r="AT890" s="211">
        <v>4504000</v>
      </c>
      <c r="AU890" s="211"/>
      <c r="AV890" s="211"/>
      <c r="AW890" s="211"/>
      <c r="AX890" s="211"/>
      <c r="AY890" s="211"/>
      <c r="AZ890" s="211"/>
      <c r="BA890" s="211"/>
      <c r="BB890" s="211"/>
      <c r="BC890" s="211"/>
      <c r="BD890" s="333">
        <v>44196</v>
      </c>
      <c r="BE890" s="82">
        <f t="shared" si="118"/>
        <v>40536000</v>
      </c>
    </row>
    <row r="891" spans="2:57" ht="30.6" hidden="1" x14ac:dyDescent="0.3">
      <c r="B891" s="2" t="str">
        <f>+'Base de Datos'!E891</f>
        <v>200127-0-2020</v>
      </c>
      <c r="C891" s="2" t="str">
        <f>+'Base de Datos'!F891</f>
        <v>JENNIFER BOTERO REYES</v>
      </c>
      <c r="D891" s="2">
        <f>+'Base de Datos'!G891</f>
        <v>1130604072</v>
      </c>
      <c r="E891" s="2" t="str">
        <f>+'Base de Datos'!H891</f>
        <v>Prestar los servicios profesionales a la Dirección Administrativa, en la estructuración de los procesos contractuales que se requieran.</v>
      </c>
      <c r="F891" s="197">
        <f>+'Base de Datos'!I891</f>
        <v>57285000</v>
      </c>
      <c r="G891" s="196">
        <f>+'Base de Datos'!M891</f>
        <v>43922</v>
      </c>
      <c r="H891" s="196">
        <f>+'Base de Datos'!N891</f>
        <v>44196</v>
      </c>
      <c r="I891" s="196"/>
      <c r="J891" s="158"/>
      <c r="K891" s="333"/>
      <c r="L891" s="211"/>
      <c r="M891" s="336"/>
      <c r="N891" s="158"/>
      <c r="O891" s="333"/>
      <c r="P891" s="158"/>
      <c r="Q891" s="338"/>
      <c r="R891" s="81">
        <f t="shared" si="119"/>
        <v>0</v>
      </c>
      <c r="S891" s="258"/>
      <c r="T891" s="333"/>
      <c r="U891" s="158"/>
      <c r="V891" s="333"/>
      <c r="W891" s="158"/>
      <c r="X891" s="333"/>
      <c r="Y891" s="158"/>
      <c r="Z891" s="1002"/>
      <c r="AA891" s="1003"/>
      <c r="AB891" s="1004" t="str">
        <f t="shared" si="112"/>
        <v/>
      </c>
      <c r="AC891" s="1082" t="str">
        <f t="shared" si="113"/>
        <v/>
      </c>
      <c r="AD891" s="1004"/>
      <c r="AE891" s="1004"/>
      <c r="AF891" s="1084" t="str">
        <f t="shared" si="114"/>
        <v/>
      </c>
      <c r="AG891" s="1082" t="str">
        <f t="shared" si="115"/>
        <v/>
      </c>
      <c r="AH891" s="1092"/>
      <c r="AI891" s="1087"/>
      <c r="AJ891" s="1084" t="str">
        <f t="shared" si="116"/>
        <v/>
      </c>
      <c r="AK891" s="1083" t="str">
        <f t="shared" si="117"/>
        <v/>
      </c>
      <c r="AL891" s="211">
        <v>6365000</v>
      </c>
      <c r="AM891" s="211">
        <v>6365000</v>
      </c>
      <c r="AN891" s="211">
        <v>6365000</v>
      </c>
      <c r="AO891" s="211">
        <v>6365000</v>
      </c>
      <c r="AP891" s="211">
        <v>6365000</v>
      </c>
      <c r="AQ891" s="211">
        <v>6365000</v>
      </c>
      <c r="AR891" s="211">
        <v>6365000</v>
      </c>
      <c r="AS891" s="211">
        <v>6365000</v>
      </c>
      <c r="AT891" s="211">
        <v>6365000</v>
      </c>
      <c r="AU891" s="211"/>
      <c r="AV891" s="211"/>
      <c r="AW891" s="211"/>
      <c r="AX891" s="211"/>
      <c r="AY891" s="211"/>
      <c r="AZ891" s="211"/>
      <c r="BA891" s="211"/>
      <c r="BB891" s="211"/>
      <c r="BC891" s="211"/>
      <c r="BD891" s="333">
        <v>44216</v>
      </c>
      <c r="BE891" s="82">
        <f t="shared" si="118"/>
        <v>57285000</v>
      </c>
    </row>
    <row r="892" spans="2:57" ht="71.400000000000006" hidden="1" x14ac:dyDescent="0.3">
      <c r="B892" s="2" t="str">
        <f>+'Base de Datos'!E892</f>
        <v>200132-0-2020</v>
      </c>
      <c r="C892" s="2" t="str">
        <f>+'Base de Datos'!F892</f>
        <v>UNIDAD NACIONAL DE PROTECCION - UNP</v>
      </c>
      <c r="D892" s="2" t="str">
        <f>+'Base de Datos'!G892</f>
        <v>900475780-1</v>
      </c>
      <c r="E892" s="2" t="str">
        <f>+'Base de Datos'!H892</f>
        <v>Aunar esfuerzos humanos, técnicos, logísticos y administrativos, para garantizar el esquema de seguridad en su componente de vehículos, requerido por los concejales del Distrito Capital que cuenten con riesgo extraodinario y/o extremo como resultado de la evaluación del riesgo efectuada para los Concejes de Bogotá D.C.  por la Unidad Nacional de Protección.</v>
      </c>
      <c r="F892" s="197">
        <f>+'Base de Datos'!I892</f>
        <v>2661445368</v>
      </c>
      <c r="G892" s="196">
        <f>+'Base de Datos'!M892</f>
        <v>43922</v>
      </c>
      <c r="H892" s="196">
        <f>+'Base de Datos'!N892</f>
        <v>44104</v>
      </c>
      <c r="I892" s="196"/>
      <c r="J892" s="158">
        <v>700000000</v>
      </c>
      <c r="K892" s="333">
        <v>44180</v>
      </c>
      <c r="L892" s="211"/>
      <c r="M892" s="336"/>
      <c r="N892" s="158"/>
      <c r="O892" s="333"/>
      <c r="P892" s="158"/>
      <c r="Q892" s="338"/>
      <c r="R892" s="81">
        <f t="shared" si="119"/>
        <v>700000000</v>
      </c>
      <c r="S892" s="820" t="s">
        <v>966</v>
      </c>
      <c r="T892" s="333">
        <v>44180</v>
      </c>
      <c r="U892" s="158" t="s">
        <v>978</v>
      </c>
      <c r="V892" s="333">
        <v>44227</v>
      </c>
      <c r="W892" s="158"/>
      <c r="X892" s="333"/>
      <c r="Y892" s="158"/>
      <c r="Z892" s="1002"/>
      <c r="AA892" s="820" t="s">
        <v>966</v>
      </c>
      <c r="AB892" s="1004">
        <f t="shared" si="112"/>
        <v>44227</v>
      </c>
      <c r="AC892" s="1082" t="str">
        <f t="shared" si="113"/>
        <v/>
      </c>
      <c r="AD892" s="1004"/>
      <c r="AE892" s="1004"/>
      <c r="AF892" s="1084" t="str">
        <f t="shared" si="114"/>
        <v/>
      </c>
      <c r="AG892" s="1082" t="str">
        <f t="shared" si="115"/>
        <v/>
      </c>
      <c r="AH892" s="1092"/>
      <c r="AI892" s="1087"/>
      <c r="AJ892" s="1084" t="str">
        <f t="shared" si="116"/>
        <v/>
      </c>
      <c r="AK892" s="1083" t="str">
        <f t="shared" si="117"/>
        <v/>
      </c>
      <c r="AL892" s="211">
        <v>185867333</v>
      </c>
      <c r="AM892" s="211">
        <v>184400667</v>
      </c>
      <c r="AN892" s="211">
        <v>232424467</v>
      </c>
      <c r="AO892" s="211">
        <v>316240600</v>
      </c>
      <c r="AP892" s="211">
        <v>353361132</v>
      </c>
      <c r="AQ892" s="211">
        <f>273573332+97973800</f>
        <v>371547132</v>
      </c>
      <c r="AR892" s="211">
        <v>394267000</v>
      </c>
      <c r="AS892" s="211"/>
      <c r="AT892" s="211"/>
      <c r="AU892" s="211"/>
      <c r="AV892" s="211"/>
      <c r="AW892" s="211"/>
      <c r="AX892" s="211"/>
      <c r="AY892" s="211"/>
      <c r="AZ892" s="211"/>
      <c r="BA892" s="211"/>
      <c r="BB892" s="211"/>
      <c r="BC892" s="211"/>
      <c r="BD892" s="333">
        <v>44180</v>
      </c>
      <c r="BE892" s="82">
        <f t="shared" si="118"/>
        <v>2038108331</v>
      </c>
    </row>
    <row r="893" spans="2:57" ht="51" hidden="1" x14ac:dyDescent="0.3">
      <c r="B893" s="2" t="str">
        <f>+'Base de Datos'!E893</f>
        <v>200108-0-2020</v>
      </c>
      <c r="C893" s="2" t="str">
        <f>+'Base de Datos'!F893</f>
        <v>COMPAÑÍA MUNDIAL DE SEGUROS S.A. - SEGUROS MUNDIAL</v>
      </c>
      <c r="D893" s="2">
        <f>+'Base de Datos'!G893</f>
        <v>860037013</v>
      </c>
      <c r="E893" s="2" t="str">
        <f>+'Base de Datos'!H893</f>
        <v>Contratar la expedición de un póliza colectiva de seguro de vida para los Concejales de Bogotá D.C. (Grupo V), de conformidad con lo establecido en el pliego de condiciones de la Licitación Pública N. SDH-LP-01-2020 y la propuesta presentada por el contratista.</v>
      </c>
      <c r="F893" s="197">
        <f>+'Base de Datos'!I893</f>
        <v>114787917.42</v>
      </c>
      <c r="G893" s="196">
        <f>+'Base de Datos'!M893</f>
        <v>43952</v>
      </c>
      <c r="H893" s="196">
        <f>+'Base de Datos'!N893</f>
        <v>44837</v>
      </c>
      <c r="I893" s="196"/>
      <c r="J893" s="158"/>
      <c r="K893" s="333"/>
      <c r="L893" s="211"/>
      <c r="M893" s="336"/>
      <c r="N893" s="158"/>
      <c r="O893" s="333"/>
      <c r="P893" s="158"/>
      <c r="Q893" s="338"/>
      <c r="R893" s="81">
        <f t="shared" si="119"/>
        <v>0</v>
      </c>
      <c r="S893" s="258"/>
      <c r="T893" s="333"/>
      <c r="U893" s="158"/>
      <c r="V893" s="333"/>
      <c r="W893" s="158"/>
      <c r="X893" s="333"/>
      <c r="Y893" s="158"/>
      <c r="Z893" s="1002"/>
      <c r="AA893" s="1003"/>
      <c r="AB893" s="1004" t="str">
        <f t="shared" ref="AB893:AB920" si="120">IF(ISNUMBER(T893),MAX(T893,V893,X893,Z893),"")</f>
        <v/>
      </c>
      <c r="AC893" s="1082" t="str">
        <f t="shared" ref="AC893:AC920" si="121">IF(ISNUMBER(AD893),ABS(AD893-AE893)+1,"")</f>
        <v/>
      </c>
      <c r="AD893" s="1004"/>
      <c r="AE893" s="1004"/>
      <c r="AF893" s="1084" t="str">
        <f t="shared" ref="AF893:AF920" si="122">IFERROR(IF(MAX(H893,I893)&lt;AE893,MAX(H893,I893)-AE893+AC893+AE893,MAX(H893,I893)+AC893),"")</f>
        <v/>
      </c>
      <c r="AG893" s="1082" t="str">
        <f t="shared" ref="AG893:AG920" si="123">IF(ISNUMBER(AH893),ABS(AH893-AI893)+1,"")</f>
        <v/>
      </c>
      <c r="AH893" s="1092"/>
      <c r="AI893" s="1087"/>
      <c r="AJ893" s="1084" t="str">
        <f t="shared" ref="AJ893:AJ920" si="124">IFERROR(IF(AF893&lt;AI893,((AF893-AI893)+AG893)+(AI893),AF893+AG893),"")</f>
        <v/>
      </c>
      <c r="AK893" s="1083" t="str">
        <f t="shared" ref="AK893:AK920" si="125">IF(ISNUMBER(AF893),MAX(AB893,AF893,AJ893),"")</f>
        <v/>
      </c>
      <c r="AL893" s="211">
        <v>114787917</v>
      </c>
      <c r="AM893" s="211"/>
      <c r="AN893" s="211"/>
      <c r="AO893" s="211"/>
      <c r="AP893" s="211"/>
      <c r="AQ893" s="211"/>
      <c r="AR893" s="211"/>
      <c r="AS893" s="211"/>
      <c r="AT893" s="211"/>
      <c r="AU893" s="211"/>
      <c r="AV893" s="211"/>
      <c r="AW893" s="211"/>
      <c r="AX893" s="211"/>
      <c r="AY893" s="211"/>
      <c r="AZ893" s="211"/>
      <c r="BA893" s="211"/>
      <c r="BB893" s="211"/>
      <c r="BC893" s="211"/>
      <c r="BD893" s="333">
        <v>44024</v>
      </c>
      <c r="BE893" s="82">
        <f t="shared" si="118"/>
        <v>114787917</v>
      </c>
    </row>
    <row r="894" spans="2:57" ht="61.2" hidden="1" x14ac:dyDescent="0.3">
      <c r="B894" s="2" t="str">
        <f>+'Base de Datos'!E894</f>
        <v>200131-0-2020</v>
      </c>
      <c r="C894" s="2" t="str">
        <f>+'Base de Datos'!F894</f>
        <v>CAROLINA ZARATE ARCOS</v>
      </c>
      <c r="D894" s="2">
        <f>+'Base de Datos'!G894</f>
        <v>52157724</v>
      </c>
      <c r="E894" s="2" t="str">
        <f>+'Base de Datos'!H894</f>
        <v>Prestar los servicios profesionales para apoyar la Oficina Asesora de Planeación del Concejo de Bogotá en el seguimiento del Plan Anticorrupción y Atención al Ciudadano en todos sus componentes, y la construcción e implementación de las herramientas al Modelo Integrado de Planeación y Gestión.</v>
      </c>
      <c r="F894" s="197">
        <f>+'Base de Datos'!I894</f>
        <v>36432000</v>
      </c>
      <c r="G894" s="196">
        <f>+'Base de Datos'!M894</f>
        <v>43922</v>
      </c>
      <c r="H894" s="196">
        <f>+'Base de Datos'!N894</f>
        <v>44043</v>
      </c>
      <c r="I894" s="196"/>
      <c r="J894" s="158"/>
      <c r="K894" s="333"/>
      <c r="L894" s="211"/>
      <c r="M894" s="336"/>
      <c r="N894" s="158"/>
      <c r="O894" s="333"/>
      <c r="P894" s="158"/>
      <c r="Q894" s="338"/>
      <c r="R894" s="81">
        <f t="shared" si="119"/>
        <v>0</v>
      </c>
      <c r="S894" s="258"/>
      <c r="T894" s="333"/>
      <c r="U894" s="158"/>
      <c r="V894" s="333"/>
      <c r="W894" s="158"/>
      <c r="X894" s="333"/>
      <c r="Y894" s="158"/>
      <c r="Z894" s="1002"/>
      <c r="AA894" s="1003"/>
      <c r="AB894" s="1004" t="str">
        <f t="shared" si="120"/>
        <v/>
      </c>
      <c r="AC894" s="1082" t="str">
        <f t="shared" si="121"/>
        <v/>
      </c>
      <c r="AD894" s="1004"/>
      <c r="AE894" s="1004"/>
      <c r="AF894" s="1084" t="str">
        <f t="shared" si="122"/>
        <v/>
      </c>
      <c r="AG894" s="1082" t="str">
        <f t="shared" si="123"/>
        <v/>
      </c>
      <c r="AH894" s="1092"/>
      <c r="AI894" s="1087"/>
      <c r="AJ894" s="1084" t="str">
        <f t="shared" si="124"/>
        <v/>
      </c>
      <c r="AK894" s="1083" t="str">
        <f t="shared" si="125"/>
        <v/>
      </c>
      <c r="AL894" s="211">
        <v>4048000</v>
      </c>
      <c r="AM894" s="211">
        <v>4048000</v>
      </c>
      <c r="AN894" s="211">
        <v>4048000</v>
      </c>
      <c r="AO894" s="211">
        <v>4048000</v>
      </c>
      <c r="AP894" s="211"/>
      <c r="AQ894" s="211"/>
      <c r="AR894" s="211"/>
      <c r="AS894" s="211"/>
      <c r="AT894" s="211"/>
      <c r="AU894" s="211"/>
      <c r="AV894" s="211"/>
      <c r="AW894" s="211"/>
      <c r="AX894" s="211"/>
      <c r="AY894" s="211"/>
      <c r="AZ894" s="211"/>
      <c r="BA894" s="211"/>
      <c r="BB894" s="211"/>
      <c r="BC894" s="211"/>
      <c r="BD894" s="333">
        <v>44048</v>
      </c>
      <c r="BE894" s="82">
        <f t="shared" si="118"/>
        <v>16192000</v>
      </c>
    </row>
    <row r="895" spans="2:57" ht="30.6" hidden="1" x14ac:dyDescent="0.3">
      <c r="B895" s="2" t="str">
        <f>+'Base de Datos'!E895</f>
        <v>200130-0-2020</v>
      </c>
      <c r="C895" s="2" t="str">
        <f>+'Base de Datos'!F895</f>
        <v>ANNELADY GARCIA HUMANEZ</v>
      </c>
      <c r="D895" s="2">
        <f>+'Base de Datos'!G895</f>
        <v>1026278442</v>
      </c>
      <c r="E895" s="2" t="str">
        <f>+'Base de Datos'!H895</f>
        <v>Prestar los servicios profesionales para apoyar la gestión administrativa documental y contractual en los asuntos de competencia del Concejo de Bogotá D.C.</v>
      </c>
      <c r="F895" s="197">
        <f>+'Base de Datos'!I895</f>
        <v>40194000</v>
      </c>
      <c r="G895" s="196">
        <f>+'Base de Datos'!M895</f>
        <v>43927</v>
      </c>
      <c r="H895" s="196">
        <f>+'Base de Datos'!N895</f>
        <v>44196</v>
      </c>
      <c r="I895" s="196"/>
      <c r="J895" s="158"/>
      <c r="K895" s="333"/>
      <c r="L895" s="211"/>
      <c r="M895" s="336"/>
      <c r="N895" s="158"/>
      <c r="O895" s="333"/>
      <c r="P895" s="158"/>
      <c r="Q895" s="338"/>
      <c r="R895" s="81">
        <f t="shared" si="119"/>
        <v>0</v>
      </c>
      <c r="S895" s="258"/>
      <c r="T895" s="333"/>
      <c r="U895" s="158"/>
      <c r="V895" s="333"/>
      <c r="W895" s="158"/>
      <c r="X895" s="333"/>
      <c r="Y895" s="158"/>
      <c r="Z895" s="1002"/>
      <c r="AA895" s="1003"/>
      <c r="AB895" s="1004" t="str">
        <f t="shared" si="120"/>
        <v/>
      </c>
      <c r="AC895" s="1082" t="str">
        <f t="shared" si="121"/>
        <v/>
      </c>
      <c r="AD895" s="1004"/>
      <c r="AE895" s="1004"/>
      <c r="AF895" s="1084" t="str">
        <f t="shared" si="122"/>
        <v/>
      </c>
      <c r="AG895" s="1082" t="str">
        <f t="shared" si="123"/>
        <v/>
      </c>
      <c r="AH895" s="1092"/>
      <c r="AI895" s="1087"/>
      <c r="AJ895" s="1084" t="str">
        <f t="shared" si="124"/>
        <v/>
      </c>
      <c r="AK895" s="1083" t="str">
        <f t="shared" si="125"/>
        <v/>
      </c>
      <c r="AL895" s="211">
        <v>3721667</v>
      </c>
      <c r="AM895" s="211">
        <v>4466000</v>
      </c>
      <c r="AN895" s="211">
        <v>4466000</v>
      </c>
      <c r="AO895" s="211">
        <v>4466000</v>
      </c>
      <c r="AP895" s="211">
        <v>4466000</v>
      </c>
      <c r="AQ895" s="211">
        <v>4466000</v>
      </c>
      <c r="AR895" s="211">
        <v>4466000</v>
      </c>
      <c r="AS895" s="211">
        <v>4466000</v>
      </c>
      <c r="AT895" s="211">
        <v>4466000</v>
      </c>
      <c r="AU895" s="211"/>
      <c r="AV895" s="211"/>
      <c r="AW895" s="211"/>
      <c r="AX895" s="211"/>
      <c r="AY895" s="211"/>
      <c r="AZ895" s="211"/>
      <c r="BA895" s="211"/>
      <c r="BB895" s="211"/>
      <c r="BC895" s="211"/>
      <c r="BD895" s="333">
        <v>44195</v>
      </c>
      <c r="BE895" s="82">
        <f t="shared" si="118"/>
        <v>39449667</v>
      </c>
    </row>
    <row r="896" spans="2:57" ht="40.799999999999997" hidden="1" x14ac:dyDescent="0.3">
      <c r="B896" s="2" t="str">
        <f>+'Base de Datos'!E896</f>
        <v>200136-0-2020</v>
      </c>
      <c r="C896" s="2" t="str">
        <f>+'Base de Datos'!F896</f>
        <v>WILSON JAIR OSPINA GAVILAN</v>
      </c>
      <c r="D896" s="2">
        <f>+'Base de Datos'!G896</f>
        <v>79536706</v>
      </c>
      <c r="E896" s="2" t="str">
        <f>+'Base de Datos'!H896</f>
        <v>Prestar los servicios de apoyo a la Dirección Administrativa en la gestión de las actividades contenidas en el Plan de Bienestar e incentivos y Plan de Capacitación del Concejo de Bogotá D.C.</v>
      </c>
      <c r="F896" s="197">
        <f>+'Base de Datos'!I896</f>
        <v>18451600</v>
      </c>
      <c r="G896" s="196">
        <f>+'Base de Datos'!M896</f>
        <v>43928</v>
      </c>
      <c r="H896" s="196">
        <f>+'Base de Datos'!N896</f>
        <v>44196</v>
      </c>
      <c r="I896" s="196"/>
      <c r="J896" s="158"/>
      <c r="K896" s="333"/>
      <c r="L896" s="211"/>
      <c r="M896" s="336"/>
      <c r="N896" s="158"/>
      <c r="O896" s="333"/>
      <c r="P896" s="158"/>
      <c r="Q896" s="338"/>
      <c r="R896" s="81">
        <f t="shared" si="119"/>
        <v>0</v>
      </c>
      <c r="S896" s="258"/>
      <c r="T896" s="333"/>
      <c r="U896" s="158"/>
      <c r="V896" s="333"/>
      <c r="W896" s="158"/>
      <c r="X896" s="333"/>
      <c r="Y896" s="158"/>
      <c r="Z896" s="1002"/>
      <c r="AA896" s="1003"/>
      <c r="AB896" s="1004" t="str">
        <f t="shared" si="120"/>
        <v/>
      </c>
      <c r="AC896" s="1082" t="str">
        <f t="shared" si="121"/>
        <v/>
      </c>
      <c r="AD896" s="1004"/>
      <c r="AE896" s="1004"/>
      <c r="AF896" s="1084" t="str">
        <f t="shared" si="122"/>
        <v/>
      </c>
      <c r="AG896" s="1082" t="str">
        <f t="shared" si="123"/>
        <v/>
      </c>
      <c r="AH896" s="1092"/>
      <c r="AI896" s="1087"/>
      <c r="AJ896" s="1084" t="str">
        <f t="shared" si="124"/>
        <v/>
      </c>
      <c r="AK896" s="1083" t="str">
        <f t="shared" si="125"/>
        <v/>
      </c>
      <c r="AL896" s="211">
        <v>1564800</v>
      </c>
      <c r="AM896" s="211">
        <v>1956000</v>
      </c>
      <c r="AN896" s="211">
        <v>1956000</v>
      </c>
      <c r="AO896" s="211">
        <v>1956000</v>
      </c>
      <c r="AP896" s="211">
        <v>1956000</v>
      </c>
      <c r="AQ896" s="211">
        <v>1956000</v>
      </c>
      <c r="AR896" s="211">
        <v>1956000</v>
      </c>
      <c r="AS896" s="211">
        <v>1956000</v>
      </c>
      <c r="AT896" s="211"/>
      <c r="AU896" s="211"/>
      <c r="AV896" s="211"/>
      <c r="AW896" s="211"/>
      <c r="AX896" s="211"/>
      <c r="AY896" s="211"/>
      <c r="AZ896" s="211"/>
      <c r="BA896" s="211"/>
      <c r="BB896" s="211"/>
      <c r="BC896" s="211"/>
      <c r="BD896" s="333">
        <v>44173</v>
      </c>
      <c r="BE896" s="82">
        <f t="shared" si="118"/>
        <v>15256800</v>
      </c>
    </row>
    <row r="897" spans="2:57" ht="40.799999999999997" hidden="1" x14ac:dyDescent="0.3">
      <c r="B897" s="2" t="str">
        <f>+'Base de Datos'!E897</f>
        <v>200134-0-2020</v>
      </c>
      <c r="C897" s="2" t="str">
        <f>+'Base de Datos'!F897</f>
        <v>JUAN DIEGO ESPITIA ROA</v>
      </c>
      <c r="D897" s="2">
        <f>+'Base de Datos'!G897</f>
        <v>79730476</v>
      </c>
      <c r="E897" s="2" t="str">
        <f>+'Base de Datos'!H897</f>
        <v>Prestar los servicios profesionales como enlace con la Unidad Ejecutora 04 de la Secretaría Distrital de Hacienda para la liquidación y cierre de los expedientes contractuales del Concejo de Bogotá.</v>
      </c>
      <c r="F897" s="197">
        <f>+'Base de Datos'!I897</f>
        <v>53757200</v>
      </c>
      <c r="G897" s="196">
        <f>+'Base de Datos'!M897</f>
        <v>43928</v>
      </c>
      <c r="H897" s="196">
        <f>+'Base de Datos'!N897</f>
        <v>44196</v>
      </c>
      <c r="I897" s="196"/>
      <c r="J897" s="158"/>
      <c r="K897" s="333"/>
      <c r="L897" s="211"/>
      <c r="M897" s="336"/>
      <c r="N897" s="158"/>
      <c r="O897" s="333"/>
      <c r="P897" s="158"/>
      <c r="Q897" s="338"/>
      <c r="R897" s="81">
        <f t="shared" si="119"/>
        <v>0</v>
      </c>
      <c r="S897" s="258"/>
      <c r="T897" s="333"/>
      <c r="U897" s="158"/>
      <c r="V897" s="333"/>
      <c r="W897" s="158"/>
      <c r="X897" s="333"/>
      <c r="Y897" s="158"/>
      <c r="Z897" s="1002"/>
      <c r="AA897" s="1003"/>
      <c r="AB897" s="1004" t="str">
        <f t="shared" si="120"/>
        <v/>
      </c>
      <c r="AC897" s="1082" t="str">
        <f t="shared" si="121"/>
        <v/>
      </c>
      <c r="AD897" s="1004"/>
      <c r="AE897" s="1004"/>
      <c r="AF897" s="1084" t="str">
        <f t="shared" si="122"/>
        <v/>
      </c>
      <c r="AG897" s="1082" t="str">
        <f t="shared" si="123"/>
        <v/>
      </c>
      <c r="AH897" s="1092"/>
      <c r="AI897" s="1087"/>
      <c r="AJ897" s="1084" t="str">
        <f t="shared" si="124"/>
        <v/>
      </c>
      <c r="AK897" s="1083" t="str">
        <f t="shared" si="125"/>
        <v/>
      </c>
      <c r="AL897" s="211">
        <v>4418400</v>
      </c>
      <c r="AM897" s="211">
        <v>5523000</v>
      </c>
      <c r="AN897" s="211">
        <v>5523000</v>
      </c>
      <c r="AO897" s="211">
        <v>5523000</v>
      </c>
      <c r="AP897" s="211">
        <v>5523000</v>
      </c>
      <c r="AQ897" s="211">
        <v>5523000</v>
      </c>
      <c r="AR897" s="211">
        <v>5523000</v>
      </c>
      <c r="AS897" s="211">
        <v>5523000</v>
      </c>
      <c r="AT897" s="211">
        <v>5523000</v>
      </c>
      <c r="AU897" s="211"/>
      <c r="AV897" s="211"/>
      <c r="AW897" s="211"/>
      <c r="AX897" s="211"/>
      <c r="AY897" s="211"/>
      <c r="AZ897" s="211"/>
      <c r="BA897" s="211"/>
      <c r="BB897" s="211"/>
      <c r="BC897" s="211"/>
      <c r="BD897" s="333">
        <v>44195</v>
      </c>
      <c r="BE897" s="82">
        <f t="shared" si="118"/>
        <v>48602400</v>
      </c>
    </row>
    <row r="898" spans="2:57" ht="132.6" hidden="1" x14ac:dyDescent="0.3">
      <c r="B898" s="2" t="str">
        <f>+'Base de Datos'!E898</f>
        <v>200112-0-2020</v>
      </c>
      <c r="C898" s="2" t="str">
        <f>+'Base de Datos'!F898</f>
        <v xml:space="preserve">UNIÓN TEMPORAL CHUBB SEGUROS COLOMBIA S.A. -ASEGURADORA SOLIDARIA DE COLOMBIA ENTIDAD COOPERATIVA"- SEGUROS GENERALES SURAMERICANA S.A. </v>
      </c>
      <c r="D898" s="2">
        <f>+'Base de Datos'!G898</f>
        <v>901376464</v>
      </c>
      <c r="E898" s="2" t="str">
        <f>+'Base de Datos'!H898</f>
        <v>Contratar los seguros que amparen los intereses patrimoniales actuales y futuros, así como los bienes de propiedad del Concejo de Bogotá, D.C, que estén bajo su responsabilidad y custodia y aquellos que sean adquiridos para desarrollar las funciones inherentes a su actividad, y cualquier otra póliza de seguros que requiera el Concejo en el desarrollo de su actividad siempre y cuando la aseguradora adjudicataria cuente con la autorización por parte de la Superintendencia Financiera de Colombia, de conformidad can lo establecida en el pliego de condiciones de la Licitación Pública No. SOH-LP-01-2020 y la propuesta presentada por el contratista. Los seguros objeto del presente contrato corresponden a los Grupos I y IV.</v>
      </c>
      <c r="F898" s="197">
        <f>+'Base de Datos'!I898</f>
        <v>223111797</v>
      </c>
      <c r="G898" s="196">
        <f>+'Base de Datos'!M898</f>
        <v>43952</v>
      </c>
      <c r="H898" s="196">
        <f>+'Base de Datos'!N898</f>
        <v>44452</v>
      </c>
      <c r="I898" s="196"/>
      <c r="J898" s="158"/>
      <c r="K898" s="333"/>
      <c r="L898" s="211"/>
      <c r="M898" s="336"/>
      <c r="N898" s="158"/>
      <c r="O898" s="333"/>
      <c r="P898" s="158"/>
      <c r="Q898" s="338"/>
      <c r="R898" s="81">
        <f t="shared" si="119"/>
        <v>0</v>
      </c>
      <c r="S898" s="258"/>
      <c r="T898" s="333"/>
      <c r="U898" s="158"/>
      <c r="V898" s="333"/>
      <c r="W898" s="158"/>
      <c r="X898" s="333"/>
      <c r="Y898" s="158"/>
      <c r="Z898" s="1002"/>
      <c r="AA898" s="1003"/>
      <c r="AB898" s="1004" t="str">
        <f t="shared" si="120"/>
        <v/>
      </c>
      <c r="AC898" s="1082" t="str">
        <f t="shared" si="121"/>
        <v/>
      </c>
      <c r="AD898" s="1004"/>
      <c r="AE898" s="1004"/>
      <c r="AF898" s="1084" t="str">
        <f t="shared" si="122"/>
        <v/>
      </c>
      <c r="AG898" s="1082" t="str">
        <f t="shared" si="123"/>
        <v/>
      </c>
      <c r="AH898" s="1092"/>
      <c r="AI898" s="1087"/>
      <c r="AJ898" s="1084" t="str">
        <f t="shared" si="124"/>
        <v/>
      </c>
      <c r="AK898" s="1083" t="str">
        <f t="shared" si="125"/>
        <v/>
      </c>
      <c r="AL898" s="211">
        <v>223111797</v>
      </c>
      <c r="AM898" s="211"/>
      <c r="AN898" s="211"/>
      <c r="AO898" s="211"/>
      <c r="AP898" s="211"/>
      <c r="AQ898" s="211"/>
      <c r="AR898" s="211"/>
      <c r="AS898" s="211"/>
      <c r="AT898" s="211"/>
      <c r="AU898" s="211"/>
      <c r="AV898" s="211"/>
      <c r="AW898" s="211"/>
      <c r="AX898" s="211"/>
      <c r="AY898" s="211"/>
      <c r="AZ898" s="211"/>
      <c r="BA898" s="211"/>
      <c r="BB898" s="211"/>
      <c r="BC898" s="211"/>
      <c r="BD898" s="333">
        <v>44022</v>
      </c>
      <c r="BE898" s="82">
        <f t="shared" si="118"/>
        <v>223111797</v>
      </c>
    </row>
    <row r="899" spans="2:57" ht="51" hidden="1" x14ac:dyDescent="0.3">
      <c r="B899" s="2" t="str">
        <f>+'Base de Datos'!E899</f>
        <v>200141-0-2020</v>
      </c>
      <c r="C899" s="2" t="str">
        <f>+'Base de Datos'!F899</f>
        <v>MARIA FERNANDA ROMERO</v>
      </c>
      <c r="D899" s="2">
        <f>+'Base de Datos'!G899</f>
        <v>53893094</v>
      </c>
      <c r="E899" s="2" t="str">
        <f>+'Base de Datos'!H899</f>
        <v>Prestar los servicios profesionales para apoyar el procedimiento de bonos pensionales para coadyuvar con las actualización y administración de la información de los funcionarios y exfuncionarios en cuanto a los trámites pensionales.</v>
      </c>
      <c r="F899" s="197">
        <f>+'Base de Datos'!I899</f>
        <v>27657000</v>
      </c>
      <c r="G899" s="196">
        <f>+'Base de Datos'!M899</f>
        <v>43936</v>
      </c>
      <c r="H899" s="196">
        <f>+'Base de Datos'!N899</f>
        <v>44196</v>
      </c>
      <c r="I899" s="196"/>
      <c r="J899" s="158"/>
      <c r="K899" s="333"/>
      <c r="L899" s="211"/>
      <c r="M899" s="336"/>
      <c r="N899" s="158"/>
      <c r="O899" s="333"/>
      <c r="P899" s="158"/>
      <c r="Q899" s="338"/>
      <c r="R899" s="81">
        <f t="shared" si="119"/>
        <v>0</v>
      </c>
      <c r="S899" s="258"/>
      <c r="T899" s="333"/>
      <c r="U899" s="158"/>
      <c r="V899" s="333"/>
      <c r="W899" s="158"/>
      <c r="X899" s="333"/>
      <c r="Y899" s="158"/>
      <c r="Z899" s="1002"/>
      <c r="AA899" s="1003"/>
      <c r="AB899" s="1004" t="str">
        <f t="shared" si="120"/>
        <v/>
      </c>
      <c r="AC899" s="1082" t="str">
        <f t="shared" si="121"/>
        <v/>
      </c>
      <c r="AD899" s="1004"/>
      <c r="AE899" s="1004"/>
      <c r="AF899" s="1084" t="str">
        <f t="shared" si="122"/>
        <v/>
      </c>
      <c r="AG899" s="1082" t="str">
        <f t="shared" si="123"/>
        <v/>
      </c>
      <c r="AH899" s="1092"/>
      <c r="AI899" s="1087"/>
      <c r="AJ899" s="1084" t="str">
        <f t="shared" si="124"/>
        <v/>
      </c>
      <c r="AK899" s="1083" t="str">
        <f t="shared" si="125"/>
        <v/>
      </c>
      <c r="AL899" s="211">
        <v>1638933</v>
      </c>
      <c r="AM899" s="211">
        <v>3073000</v>
      </c>
      <c r="AN899" s="211">
        <v>3073000</v>
      </c>
      <c r="AO899" s="211">
        <v>3073000</v>
      </c>
      <c r="AP899" s="211">
        <v>3073000</v>
      </c>
      <c r="AQ899" s="211">
        <v>3073000</v>
      </c>
      <c r="AR899" s="211">
        <v>3073000</v>
      </c>
      <c r="AS899" s="211">
        <v>3073000</v>
      </c>
      <c r="AT899" s="211">
        <v>3073000</v>
      </c>
      <c r="AU899" s="211"/>
      <c r="AV899" s="211"/>
      <c r="AW899" s="211"/>
      <c r="AX899" s="211"/>
      <c r="AY899" s="211"/>
      <c r="AZ899" s="211"/>
      <c r="BA899" s="211"/>
      <c r="BB899" s="211"/>
      <c r="BC899" s="211"/>
      <c r="BD899" s="333">
        <v>44196</v>
      </c>
      <c r="BE899" s="82">
        <f t="shared" si="118"/>
        <v>26222933</v>
      </c>
    </row>
    <row r="900" spans="2:57" ht="30.6" hidden="1" x14ac:dyDescent="0.3">
      <c r="B900" s="2" t="str">
        <f>+'Base de Datos'!E900</f>
        <v>200142-0-2020</v>
      </c>
      <c r="C900" s="2" t="str">
        <f>+'Base de Datos'!F900</f>
        <v>DANNY ALEXIS RAMÍREZ JARAMILLO</v>
      </c>
      <c r="D900" s="2">
        <f>+'Base de Datos'!G900</f>
        <v>80037526</v>
      </c>
      <c r="E900" s="2" t="str">
        <f>+'Base de Datos'!H900</f>
        <v>Prestar los servicios profesionales para apoyar a la Oficina de Comunicaciones del Concejo de Bogotá para el cumplimiento del plan de comunicaciones internas y externas de la entidad.</v>
      </c>
      <c r="F900" s="197">
        <f>+'Base de Datos'!I900</f>
        <v>45342000</v>
      </c>
      <c r="G900" s="196">
        <f>+'Base de Datos'!M900</f>
        <v>43936</v>
      </c>
      <c r="H900" s="196">
        <f>+'Base de Datos'!N900</f>
        <v>44211</v>
      </c>
      <c r="I900" s="196"/>
      <c r="J900" s="158"/>
      <c r="K900" s="333"/>
      <c r="L900" s="211"/>
      <c r="M900" s="336"/>
      <c r="N900" s="158"/>
      <c r="O900" s="333"/>
      <c r="P900" s="158"/>
      <c r="Q900" s="338"/>
      <c r="R900" s="81">
        <f t="shared" si="119"/>
        <v>0</v>
      </c>
      <c r="S900" s="258"/>
      <c r="T900" s="333"/>
      <c r="U900" s="158"/>
      <c r="V900" s="333"/>
      <c r="W900" s="158"/>
      <c r="X900" s="333"/>
      <c r="Y900" s="158"/>
      <c r="Z900" s="1002"/>
      <c r="AA900" s="1003"/>
      <c r="AB900" s="1004" t="str">
        <f t="shared" si="120"/>
        <v/>
      </c>
      <c r="AC900" s="1082" t="str">
        <f t="shared" si="121"/>
        <v/>
      </c>
      <c r="AD900" s="1004"/>
      <c r="AE900" s="1004"/>
      <c r="AF900" s="1084" t="str">
        <f t="shared" si="122"/>
        <v/>
      </c>
      <c r="AG900" s="1082" t="str">
        <f t="shared" si="123"/>
        <v/>
      </c>
      <c r="AH900" s="1092"/>
      <c r="AI900" s="1087"/>
      <c r="AJ900" s="1084" t="str">
        <f t="shared" si="124"/>
        <v/>
      </c>
      <c r="AK900" s="1083" t="str">
        <f t="shared" si="125"/>
        <v/>
      </c>
      <c r="AL900" s="211">
        <v>2686933</v>
      </c>
      <c r="AM900" s="211">
        <v>5038000</v>
      </c>
      <c r="AN900" s="211">
        <v>5038000</v>
      </c>
      <c r="AO900" s="211">
        <v>5038000</v>
      </c>
      <c r="AP900" s="211">
        <v>5038000</v>
      </c>
      <c r="AQ900" s="211">
        <v>5038000</v>
      </c>
      <c r="AR900" s="211">
        <v>5038000</v>
      </c>
      <c r="AS900" s="211">
        <v>5038000</v>
      </c>
      <c r="AT900" s="211"/>
      <c r="AU900" s="211"/>
      <c r="AV900" s="211"/>
      <c r="AW900" s="211"/>
      <c r="AX900" s="211"/>
      <c r="AY900" s="211"/>
      <c r="AZ900" s="211"/>
      <c r="BA900" s="211"/>
      <c r="BB900" s="211"/>
      <c r="BC900" s="211"/>
      <c r="BD900" s="333">
        <v>44173</v>
      </c>
      <c r="BE900" s="82">
        <f t="shared" si="118"/>
        <v>37952933</v>
      </c>
    </row>
    <row r="901" spans="2:57" ht="30.6" hidden="1" x14ac:dyDescent="0.3">
      <c r="B901" s="2" t="str">
        <f>+'Base de Datos'!E901</f>
        <v>200143-0-2020</v>
      </c>
      <c r="C901" s="2" t="str">
        <f>+'Base de Datos'!F901</f>
        <v>LEIDY YINETH MUÑÓZ ROMERO</v>
      </c>
      <c r="D901" s="2">
        <f>+'Base de Datos'!G901</f>
        <v>1018437987</v>
      </c>
      <c r="E901" s="2" t="str">
        <f>+'Base de Datos'!H901</f>
        <v>Prestar los servicios profesionales para apoyar a la Oficina de Comunicaciones del Concejo de Bogotá para el cumplimiento del plan de comunicaciones internas y externas de la entidad.</v>
      </c>
      <c r="F901" s="197">
        <f>+'Base de Datos'!I901</f>
        <v>45342000</v>
      </c>
      <c r="G901" s="196">
        <f>+'Base de Datos'!M901</f>
        <v>43936</v>
      </c>
      <c r="H901" s="196">
        <f>+'Base de Datos'!N901</f>
        <v>44211</v>
      </c>
      <c r="I901" s="196"/>
      <c r="J901" s="158"/>
      <c r="K901" s="333"/>
      <c r="L901" s="211"/>
      <c r="M901" s="336"/>
      <c r="N901" s="158"/>
      <c r="O901" s="333"/>
      <c r="P901" s="158"/>
      <c r="Q901" s="338"/>
      <c r="R901" s="81">
        <f t="shared" si="119"/>
        <v>0</v>
      </c>
      <c r="S901" s="258"/>
      <c r="T901" s="333"/>
      <c r="U901" s="158"/>
      <c r="V901" s="333"/>
      <c r="W901" s="158"/>
      <c r="X901" s="333"/>
      <c r="Y901" s="158"/>
      <c r="Z901" s="1002"/>
      <c r="AA901" s="1003"/>
      <c r="AB901" s="1004" t="str">
        <f t="shared" si="120"/>
        <v/>
      </c>
      <c r="AC901" s="1082" t="str">
        <f t="shared" si="121"/>
        <v/>
      </c>
      <c r="AD901" s="1004"/>
      <c r="AE901" s="1004"/>
      <c r="AF901" s="1084" t="str">
        <f t="shared" si="122"/>
        <v/>
      </c>
      <c r="AG901" s="1082" t="str">
        <f t="shared" si="123"/>
        <v/>
      </c>
      <c r="AH901" s="1092"/>
      <c r="AI901" s="1087"/>
      <c r="AJ901" s="1084" t="str">
        <f t="shared" si="124"/>
        <v/>
      </c>
      <c r="AK901" s="1083" t="str">
        <f t="shared" si="125"/>
        <v/>
      </c>
      <c r="AL901" s="211">
        <v>2686933</v>
      </c>
      <c r="AM901" s="211">
        <v>5038000</v>
      </c>
      <c r="AN901" s="211">
        <v>5038000</v>
      </c>
      <c r="AO901" s="211">
        <v>5038000</v>
      </c>
      <c r="AP901" s="211">
        <v>5038000</v>
      </c>
      <c r="AQ901" s="211">
        <v>5038000</v>
      </c>
      <c r="AR901" s="211">
        <v>5038000</v>
      </c>
      <c r="AS901" s="211">
        <v>5038000</v>
      </c>
      <c r="AT901" s="211"/>
      <c r="AU901" s="211"/>
      <c r="AV901" s="211"/>
      <c r="AW901" s="211"/>
      <c r="AX901" s="211"/>
      <c r="AY901" s="211"/>
      <c r="AZ901" s="211"/>
      <c r="BA901" s="211"/>
      <c r="BB901" s="211"/>
      <c r="BC901" s="211"/>
      <c r="BD901" s="333">
        <v>44173</v>
      </c>
      <c r="BE901" s="82">
        <f t="shared" si="118"/>
        <v>37952933</v>
      </c>
    </row>
    <row r="902" spans="2:57" ht="40.799999999999997" hidden="1" x14ac:dyDescent="0.3">
      <c r="B902" s="2" t="str">
        <f>+'Base de Datos'!E902</f>
        <v>200145-0-2020</v>
      </c>
      <c r="C902" s="2" t="str">
        <f>+'Base de Datos'!F902</f>
        <v>VANESSA ALEJANDRA FRAILE AREVALO</v>
      </c>
      <c r="D902" s="2">
        <f>+'Base de Datos'!G902</f>
        <v>1020809904</v>
      </c>
      <c r="E902" s="2" t="str">
        <f>+'Base de Datos'!H902</f>
        <v>Prestar los servicios profesionales para apoyar al Concejo de Bogotá D.C. en el desarrollo de las actividades protocolarias de los diferentes eventos que lleva a cabo la Corporación en ejercicio de sus funciones.</v>
      </c>
      <c r="F902" s="197">
        <f>+'Base de Datos'!I902</f>
        <v>36032000</v>
      </c>
      <c r="G902" s="196">
        <f>+'Base de Datos'!M902</f>
        <v>43941</v>
      </c>
      <c r="H902" s="196">
        <f>+'Base de Datos'!N902</f>
        <v>44184</v>
      </c>
      <c r="I902" s="196"/>
      <c r="J902" s="158"/>
      <c r="K902" s="333"/>
      <c r="L902" s="211"/>
      <c r="M902" s="336"/>
      <c r="N902" s="158"/>
      <c r="O902" s="333"/>
      <c r="P902" s="158"/>
      <c r="Q902" s="338"/>
      <c r="R902" s="81">
        <f t="shared" si="119"/>
        <v>0</v>
      </c>
      <c r="S902" s="258"/>
      <c r="T902" s="333"/>
      <c r="U902" s="158"/>
      <c r="V902" s="333"/>
      <c r="W902" s="158"/>
      <c r="X902" s="333"/>
      <c r="Y902" s="158"/>
      <c r="Z902" s="1002"/>
      <c r="AA902" s="1003"/>
      <c r="AB902" s="1004" t="str">
        <f t="shared" si="120"/>
        <v/>
      </c>
      <c r="AC902" s="1082" t="str">
        <f t="shared" si="121"/>
        <v/>
      </c>
      <c r="AD902" s="1004"/>
      <c r="AE902" s="1004"/>
      <c r="AF902" s="1084" t="str">
        <f t="shared" si="122"/>
        <v/>
      </c>
      <c r="AG902" s="1082" t="str">
        <f t="shared" si="123"/>
        <v/>
      </c>
      <c r="AH902" s="1092"/>
      <c r="AI902" s="1087"/>
      <c r="AJ902" s="1084" t="str">
        <f t="shared" si="124"/>
        <v/>
      </c>
      <c r="AK902" s="1083" t="str">
        <f t="shared" si="125"/>
        <v/>
      </c>
      <c r="AL902" s="211">
        <v>1651467</v>
      </c>
      <c r="AM902" s="211">
        <v>4504000</v>
      </c>
      <c r="AN902" s="211">
        <v>4504000</v>
      </c>
      <c r="AO902" s="211">
        <v>4504000</v>
      </c>
      <c r="AP902" s="211">
        <v>4504000</v>
      </c>
      <c r="AQ902" s="211">
        <v>4504000</v>
      </c>
      <c r="AR902" s="211">
        <v>4504000</v>
      </c>
      <c r="AS902" s="211">
        <v>4504000</v>
      </c>
      <c r="AT902" s="211">
        <v>2852533</v>
      </c>
      <c r="AU902" s="211"/>
      <c r="AV902" s="211"/>
      <c r="AW902" s="211"/>
      <c r="AX902" s="211"/>
      <c r="AY902" s="211"/>
      <c r="AZ902" s="211"/>
      <c r="BA902" s="211"/>
      <c r="BB902" s="211"/>
      <c r="BC902" s="211"/>
      <c r="BD902" s="333">
        <v>44174</v>
      </c>
      <c r="BE902" s="82">
        <f t="shared" si="118"/>
        <v>36032000</v>
      </c>
    </row>
    <row r="903" spans="2:57" ht="40.799999999999997" hidden="1" x14ac:dyDescent="0.3">
      <c r="B903" s="2" t="str">
        <f>+'Base de Datos'!E903</f>
        <v>200144-0-200</v>
      </c>
      <c r="C903" s="2" t="str">
        <f>+'Base de Datos'!F903</f>
        <v xml:space="preserve">SILVIA MARGARITA VELEZ MARTINEZ </v>
      </c>
      <c r="D903" s="2">
        <f>+'Base de Datos'!G903</f>
        <v>36719511</v>
      </c>
      <c r="E903" s="2" t="str">
        <f>+'Base de Datos'!H903</f>
        <v>Prestar los servicios profesionales para apoyar a la Dirección Jurídica del Concejo de Bogotá D.C., en la implementación de políticas y procedimientos para el fortalecimiento del proceso de atención a la ciudadanía.</v>
      </c>
      <c r="F903" s="197">
        <f>+'Base de Datos'!I903</f>
        <v>40194000</v>
      </c>
      <c r="G903" s="196">
        <f>+'Base de Datos'!M903</f>
        <v>43969</v>
      </c>
      <c r="H903" s="196">
        <f>+'Base de Datos'!N903</f>
        <v>44001</v>
      </c>
      <c r="I903" s="196"/>
      <c r="J903" s="158"/>
      <c r="K903" s="333"/>
      <c r="L903" s="211"/>
      <c r="M903" s="336"/>
      <c r="N903" s="158"/>
      <c r="O903" s="333"/>
      <c r="P903" s="158"/>
      <c r="Q903" s="338"/>
      <c r="R903" s="81">
        <f t="shared" si="119"/>
        <v>0</v>
      </c>
      <c r="S903" s="258"/>
      <c r="T903" s="333"/>
      <c r="U903" s="158"/>
      <c r="V903" s="333"/>
      <c r="W903" s="158"/>
      <c r="X903" s="333"/>
      <c r="Y903" s="158"/>
      <c r="Z903" s="1002"/>
      <c r="AA903" s="1003"/>
      <c r="AB903" s="1004" t="str">
        <f t="shared" si="120"/>
        <v/>
      </c>
      <c r="AC903" s="1082" t="str">
        <f t="shared" si="121"/>
        <v/>
      </c>
      <c r="AD903" s="1004"/>
      <c r="AE903" s="1004"/>
      <c r="AF903" s="1084" t="str">
        <f t="shared" si="122"/>
        <v/>
      </c>
      <c r="AG903" s="1082" t="str">
        <f t="shared" si="123"/>
        <v/>
      </c>
      <c r="AH903" s="1092"/>
      <c r="AI903" s="1087"/>
      <c r="AJ903" s="1084" t="str">
        <f t="shared" si="124"/>
        <v/>
      </c>
      <c r="AK903" s="1083" t="str">
        <f t="shared" si="125"/>
        <v/>
      </c>
      <c r="AL903" s="211">
        <v>1935267</v>
      </c>
      <c r="AM903" s="211">
        <v>2828467</v>
      </c>
      <c r="AN903" s="211"/>
      <c r="AO903" s="211"/>
      <c r="AP903" s="211"/>
      <c r="AQ903" s="211"/>
      <c r="AR903" s="211"/>
      <c r="AS903" s="211"/>
      <c r="AT903" s="211"/>
      <c r="AU903" s="211"/>
      <c r="AV903" s="211"/>
      <c r="AW903" s="211"/>
      <c r="AX903" s="211"/>
      <c r="AY903" s="211"/>
      <c r="AZ903" s="211"/>
      <c r="BA903" s="211"/>
      <c r="BB903" s="211"/>
      <c r="BC903" s="211"/>
      <c r="BD903" s="333">
        <v>44020</v>
      </c>
      <c r="BE903" s="82">
        <f t="shared" si="118"/>
        <v>4763734</v>
      </c>
    </row>
    <row r="904" spans="2:57" ht="30.6" hidden="1" x14ac:dyDescent="0.3">
      <c r="B904" s="2" t="str">
        <f>+'Base de Datos'!E904</f>
        <v>200146-0-2020</v>
      </c>
      <c r="C904" s="2" t="str">
        <f>+'Base de Datos'!F904</f>
        <v>GILBERTO ANTONIO SUAREZ FAJARDO</v>
      </c>
      <c r="D904" s="2">
        <f>+'Base de Datos'!G904</f>
        <v>79302809</v>
      </c>
      <c r="E904" s="2" t="str">
        <f>+'Base de Datos'!H904</f>
        <v>Prestar los servicios profesionales a la Oficina de Control Interno del Concejo de Bogotá D.C. para el apoyo administrativo en las auditorías internas que se llevarán a cabo.</v>
      </c>
      <c r="F904" s="197">
        <f>+'Base de Datos'!I904</f>
        <v>49707000</v>
      </c>
      <c r="G904" s="196">
        <f>+'Base de Datos'!M904</f>
        <v>43942</v>
      </c>
      <c r="H904" s="196">
        <f>+'Base de Datos'!N904</f>
        <v>44196</v>
      </c>
      <c r="I904" s="196"/>
      <c r="J904" s="158"/>
      <c r="K904" s="333"/>
      <c r="L904" s="211"/>
      <c r="M904" s="336"/>
      <c r="N904" s="158"/>
      <c r="O904" s="333"/>
      <c r="P904" s="158"/>
      <c r="Q904" s="338"/>
      <c r="R904" s="81">
        <f t="shared" si="119"/>
        <v>0</v>
      </c>
      <c r="S904" s="258"/>
      <c r="T904" s="333"/>
      <c r="U904" s="158"/>
      <c r="V904" s="333"/>
      <c r="W904" s="158"/>
      <c r="X904" s="333"/>
      <c r="Y904" s="158"/>
      <c r="Z904" s="1002"/>
      <c r="AA904" s="1003"/>
      <c r="AB904" s="1004" t="str">
        <f t="shared" si="120"/>
        <v/>
      </c>
      <c r="AC904" s="1082" t="str">
        <f t="shared" si="121"/>
        <v/>
      </c>
      <c r="AD904" s="1004"/>
      <c r="AE904" s="1004"/>
      <c r="AF904" s="1084" t="str">
        <f t="shared" si="122"/>
        <v/>
      </c>
      <c r="AG904" s="1082" t="str">
        <f t="shared" si="123"/>
        <v/>
      </c>
      <c r="AH904" s="1092"/>
      <c r="AI904" s="1087"/>
      <c r="AJ904" s="1084" t="str">
        <f t="shared" si="124"/>
        <v/>
      </c>
      <c r="AK904" s="1083" t="str">
        <f t="shared" si="125"/>
        <v/>
      </c>
      <c r="AL904" s="211">
        <v>1841000</v>
      </c>
      <c r="AM904" s="211">
        <v>5523000</v>
      </c>
      <c r="AN904" s="211">
        <v>5523000</v>
      </c>
      <c r="AO904" s="211">
        <v>5523000</v>
      </c>
      <c r="AP904" s="211">
        <v>5523000</v>
      </c>
      <c r="AQ904" s="211">
        <v>5523000</v>
      </c>
      <c r="AR904" s="211">
        <v>5523000</v>
      </c>
      <c r="AS904" s="211">
        <v>5523000</v>
      </c>
      <c r="AT904" s="211">
        <v>5523000</v>
      </c>
      <c r="AU904" s="211"/>
      <c r="AV904" s="211"/>
      <c r="AW904" s="211"/>
      <c r="AX904" s="211"/>
      <c r="AY904" s="211"/>
      <c r="AZ904" s="211"/>
      <c r="BA904" s="211"/>
      <c r="BB904" s="211"/>
      <c r="BC904" s="211"/>
      <c r="BD904" s="333">
        <v>44173</v>
      </c>
      <c r="BE904" s="82">
        <f t="shared" si="118"/>
        <v>46025000</v>
      </c>
    </row>
    <row r="905" spans="2:57" ht="51" hidden="1" x14ac:dyDescent="0.3">
      <c r="B905" s="2" t="str">
        <f>+'Base de Datos'!E905</f>
        <v>200147-0-2020</v>
      </c>
      <c r="C905" s="2" t="str">
        <f>+'Base de Datos'!F905</f>
        <v>EDGAR CATAÑO SANCHEZ</v>
      </c>
      <c r="D905" s="2">
        <f>+'Base de Datos'!G905</f>
        <v>79557237</v>
      </c>
      <c r="E905" s="2" t="str">
        <f>+'Base de Datos'!H905</f>
        <v>Prestar los servicios profesionales en la Oficina de Planeación del Concejo de Bogotá, para apoyar la orientación metodológica, elaboración y seguimiento de los componentes y actividades para la formulación del Plan Estratégico para el periodo 2020-2023.</v>
      </c>
      <c r="F905" s="197">
        <f>+'Base de Datos'!I905</f>
        <v>35845833</v>
      </c>
      <c r="G905" s="196">
        <f>+'Base de Datos'!M905</f>
        <v>43942</v>
      </c>
      <c r="H905" s="196">
        <f>+'Base de Datos'!N905</f>
        <v>44119</v>
      </c>
      <c r="I905" s="196"/>
      <c r="J905" s="158"/>
      <c r="K905" s="333"/>
      <c r="L905" s="211"/>
      <c r="M905" s="336"/>
      <c r="N905" s="158"/>
      <c r="O905" s="333"/>
      <c r="P905" s="158"/>
      <c r="Q905" s="338"/>
      <c r="R905" s="81">
        <f t="shared" si="119"/>
        <v>0</v>
      </c>
      <c r="S905" s="258"/>
      <c r="T905" s="333"/>
      <c r="U905" s="158"/>
      <c r="V905" s="333"/>
      <c r="W905" s="158"/>
      <c r="X905" s="333"/>
      <c r="Y905" s="158"/>
      <c r="Z905" s="1002"/>
      <c r="AA905" s="1003"/>
      <c r="AB905" s="1004" t="str">
        <f t="shared" si="120"/>
        <v/>
      </c>
      <c r="AC905" s="1082" t="str">
        <f t="shared" si="121"/>
        <v/>
      </c>
      <c r="AD905" s="1004"/>
      <c r="AE905" s="1004"/>
      <c r="AF905" s="1084" t="str">
        <f t="shared" si="122"/>
        <v/>
      </c>
      <c r="AG905" s="1082" t="str">
        <f t="shared" si="123"/>
        <v/>
      </c>
      <c r="AH905" s="1092"/>
      <c r="AI905" s="1087"/>
      <c r="AJ905" s="1084" t="str">
        <f t="shared" si="124"/>
        <v/>
      </c>
      <c r="AK905" s="1083" t="str">
        <f t="shared" si="125"/>
        <v/>
      </c>
      <c r="AL905" s="211">
        <v>2048333</v>
      </c>
      <c r="AM905" s="211">
        <v>6145000</v>
      </c>
      <c r="AN905" s="211">
        <v>6145000</v>
      </c>
      <c r="AO905" s="211">
        <v>6145000</v>
      </c>
      <c r="AP905" s="211">
        <v>6145000</v>
      </c>
      <c r="AQ905" s="211">
        <v>6145000</v>
      </c>
      <c r="AR905" s="211">
        <v>3072500</v>
      </c>
      <c r="AS905" s="211"/>
      <c r="AT905" s="211"/>
      <c r="AU905" s="211"/>
      <c r="AV905" s="211"/>
      <c r="AW905" s="211"/>
      <c r="AX905" s="211"/>
      <c r="AY905" s="211"/>
      <c r="AZ905" s="211"/>
      <c r="BA905" s="211"/>
      <c r="BB905" s="211"/>
      <c r="BC905" s="211"/>
      <c r="BD905" s="333">
        <v>44147</v>
      </c>
      <c r="BE905" s="82">
        <f t="shared" si="118"/>
        <v>35845833</v>
      </c>
    </row>
    <row r="906" spans="2:57" ht="40.799999999999997" hidden="1" x14ac:dyDescent="0.3">
      <c r="B906" s="2" t="str">
        <f>+'Base de Datos'!E906</f>
        <v>200149-0-2020</v>
      </c>
      <c r="C906" s="2" t="str">
        <f>+'Base de Datos'!F906</f>
        <v>CONSTANZA BRIGITTE MAHECHA JIMENEZ</v>
      </c>
      <c r="D906" s="2">
        <f>+'Base de Datos'!G906</f>
        <v>1030532647</v>
      </c>
      <c r="E906" s="2" t="str">
        <f>+'Base de Datos'!H906</f>
        <v>Prestar los servicios de apoyo al proceso de recursos físicos de la Dirección Administrativa del Concejo de Bogotá, para coadyuvar con las actividades de actualización y administración de la información del área de mantenimiento.</v>
      </c>
      <c r="F906" s="197">
        <f>+'Base de Datos'!I906</f>
        <v>26109000</v>
      </c>
      <c r="G906" s="196">
        <f>+'Base de Datos'!M906</f>
        <v>43948</v>
      </c>
      <c r="H906" s="196">
        <f>+'Base de Datos'!N906</f>
        <v>44196</v>
      </c>
      <c r="I906" s="196"/>
      <c r="J906" s="158"/>
      <c r="K906" s="333"/>
      <c r="L906" s="211"/>
      <c r="M906" s="336"/>
      <c r="N906" s="158"/>
      <c r="O906" s="333"/>
      <c r="P906" s="158"/>
      <c r="Q906" s="338"/>
      <c r="R906" s="81">
        <f t="shared" si="119"/>
        <v>0</v>
      </c>
      <c r="S906" s="258"/>
      <c r="T906" s="333"/>
      <c r="U906" s="158"/>
      <c r="V906" s="333"/>
      <c r="W906" s="158"/>
      <c r="X906" s="333"/>
      <c r="Y906" s="158"/>
      <c r="Z906" s="1002"/>
      <c r="AA906" s="1003"/>
      <c r="AB906" s="1004" t="str">
        <f t="shared" si="120"/>
        <v/>
      </c>
      <c r="AC906" s="1082" t="str">
        <f t="shared" si="121"/>
        <v/>
      </c>
      <c r="AD906" s="1004"/>
      <c r="AE906" s="1004"/>
      <c r="AF906" s="1084" t="str">
        <f t="shared" si="122"/>
        <v/>
      </c>
      <c r="AG906" s="1082" t="str">
        <f t="shared" si="123"/>
        <v/>
      </c>
      <c r="AH906" s="1092"/>
      <c r="AI906" s="1087"/>
      <c r="AJ906" s="1084" t="str">
        <f t="shared" si="124"/>
        <v/>
      </c>
      <c r="AK906" s="1083" t="str">
        <f t="shared" si="125"/>
        <v/>
      </c>
      <c r="AL906" s="211">
        <v>386800</v>
      </c>
      <c r="AM906" s="211">
        <v>2901000</v>
      </c>
      <c r="AN906" s="211">
        <v>2901000</v>
      </c>
      <c r="AO906" s="211">
        <v>2901000</v>
      </c>
      <c r="AP906" s="211">
        <v>2901000</v>
      </c>
      <c r="AQ906" s="211">
        <v>2901000</v>
      </c>
      <c r="AR906" s="211">
        <v>2901000</v>
      </c>
      <c r="AS906" s="211">
        <v>2901000</v>
      </c>
      <c r="AT906" s="211">
        <v>2901000</v>
      </c>
      <c r="AU906" s="211"/>
      <c r="AV906" s="211"/>
      <c r="AW906" s="211"/>
      <c r="AX906" s="211"/>
      <c r="AY906" s="211"/>
      <c r="AZ906" s="211"/>
      <c r="BA906" s="211"/>
      <c r="BB906" s="211"/>
      <c r="BC906" s="211"/>
      <c r="BD906" s="333">
        <v>44196</v>
      </c>
      <c r="BE906" s="82">
        <f t="shared" ref="BE906:BE969" si="126">SUM(AL906:BC906)</f>
        <v>23594800</v>
      </c>
    </row>
    <row r="907" spans="2:57" ht="51" hidden="1" x14ac:dyDescent="0.3">
      <c r="B907" s="2" t="str">
        <f>+'Base de Datos'!E907</f>
        <v>200150-0-2020</v>
      </c>
      <c r="C907" s="2" t="str">
        <f>+'Base de Datos'!F907</f>
        <v>DANY ALEXANDER FONSECA SANABRIA</v>
      </c>
      <c r="D907" s="2">
        <f>+'Base de Datos'!G907</f>
        <v>79629653</v>
      </c>
      <c r="E907" s="2" t="str">
        <f>+'Base de Datos'!H907</f>
        <v>Prestar los servicios profesionales para acompañar al Concejo de Bogotá D.C. en la revisión y estudio de las historias laborales de los funcionarios para la definición técnica y jurídica del cumplimiento de los requisitos en los diferentes regímenes de pensión.</v>
      </c>
      <c r="F907" s="197">
        <f>+'Base de Datos'!I907</f>
        <v>45648000</v>
      </c>
      <c r="G907" s="196">
        <f>+'Base de Datos'!M907</f>
        <v>43948</v>
      </c>
      <c r="H907" s="196">
        <f>+'Base de Datos'!N907</f>
        <v>44191</v>
      </c>
      <c r="I907" s="196"/>
      <c r="J907" s="158"/>
      <c r="K907" s="333"/>
      <c r="L907" s="211"/>
      <c r="M907" s="336"/>
      <c r="N907" s="158"/>
      <c r="O907" s="333"/>
      <c r="P907" s="158"/>
      <c r="Q907" s="338"/>
      <c r="R907" s="81">
        <f t="shared" si="119"/>
        <v>0</v>
      </c>
      <c r="S907" s="258"/>
      <c r="T907" s="333"/>
      <c r="U907" s="158"/>
      <c r="V907" s="333"/>
      <c r="W907" s="158"/>
      <c r="X907" s="333"/>
      <c r="Y907" s="158"/>
      <c r="Z907" s="1002"/>
      <c r="AA907" s="1003"/>
      <c r="AB907" s="1004" t="str">
        <f t="shared" si="120"/>
        <v/>
      </c>
      <c r="AC907" s="1082" t="str">
        <f t="shared" si="121"/>
        <v/>
      </c>
      <c r="AD907" s="1004"/>
      <c r="AE907" s="1004"/>
      <c r="AF907" s="1084" t="str">
        <f t="shared" si="122"/>
        <v/>
      </c>
      <c r="AG907" s="1082" t="str">
        <f t="shared" si="123"/>
        <v/>
      </c>
      <c r="AH907" s="1092"/>
      <c r="AI907" s="1087"/>
      <c r="AJ907" s="1084" t="str">
        <f t="shared" si="124"/>
        <v/>
      </c>
      <c r="AK907" s="1083" t="str">
        <f t="shared" si="125"/>
        <v/>
      </c>
      <c r="AL907" s="211">
        <v>760800</v>
      </c>
      <c r="AM907" s="211">
        <v>5706000</v>
      </c>
      <c r="AN907" s="211">
        <v>5706000</v>
      </c>
      <c r="AO907" s="211">
        <v>5706000</v>
      </c>
      <c r="AP907" s="211">
        <v>5706000</v>
      </c>
      <c r="AQ907" s="211">
        <v>5706000</v>
      </c>
      <c r="AR907" s="211">
        <v>5706000</v>
      </c>
      <c r="AS907" s="211">
        <v>5706000</v>
      </c>
      <c r="AT907" s="211">
        <v>4945200</v>
      </c>
      <c r="AU907" s="211"/>
      <c r="AV907" s="211"/>
      <c r="AW907" s="211"/>
      <c r="AX907" s="211"/>
      <c r="AY907" s="211"/>
      <c r="AZ907" s="211"/>
      <c r="BA907" s="211"/>
      <c r="BB907" s="211"/>
      <c r="BC907" s="211"/>
      <c r="BD907" s="333">
        <v>44196</v>
      </c>
      <c r="BE907" s="82">
        <f t="shared" si="126"/>
        <v>45648000</v>
      </c>
    </row>
    <row r="908" spans="2:57" ht="40.799999999999997" hidden="1" x14ac:dyDescent="0.3">
      <c r="B908" s="2" t="str">
        <f>+'Base de Datos'!E908</f>
        <v>200151-0-2020</v>
      </c>
      <c r="C908" s="2" t="str">
        <f>+'Base de Datos'!F908</f>
        <v>DOGER HERNAN DAZA MORENO</v>
      </c>
      <c r="D908" s="2">
        <f>+'Base de Datos'!G908</f>
        <v>80751229</v>
      </c>
      <c r="E908" s="2" t="str">
        <f>+'Base de Datos'!H908</f>
        <v>Prestar los servicios profesionales a la Dirección Financiera del Concejo de Bogotá, en el cumplimiento de las actividades e Indicadores del plan de acción a cargo del Procedimiento de Fondo Cuenta.</v>
      </c>
      <c r="F908" s="197">
        <f>+'Base de Datos'!I908</f>
        <v>38472000</v>
      </c>
      <c r="G908" s="196">
        <f>+'Base de Datos'!M908</f>
        <v>43950</v>
      </c>
      <c r="H908" s="196">
        <f>+'Base de Datos'!N908</f>
        <v>44193</v>
      </c>
      <c r="I908" s="196"/>
      <c r="J908" s="158"/>
      <c r="K908" s="333"/>
      <c r="L908" s="211"/>
      <c r="M908" s="336"/>
      <c r="N908" s="158"/>
      <c r="O908" s="333"/>
      <c r="P908" s="158"/>
      <c r="Q908" s="338"/>
      <c r="R908" s="81">
        <f t="shared" si="119"/>
        <v>0</v>
      </c>
      <c r="S908" s="258"/>
      <c r="T908" s="333"/>
      <c r="U908" s="158"/>
      <c r="V908" s="333"/>
      <c r="W908" s="158"/>
      <c r="X908" s="333"/>
      <c r="Y908" s="158"/>
      <c r="Z908" s="1002"/>
      <c r="AA908" s="1003"/>
      <c r="AB908" s="1004" t="str">
        <f t="shared" si="120"/>
        <v/>
      </c>
      <c r="AC908" s="1082" t="str">
        <f t="shared" si="121"/>
        <v/>
      </c>
      <c r="AD908" s="1004"/>
      <c r="AE908" s="1004"/>
      <c r="AF908" s="1084" t="str">
        <f t="shared" si="122"/>
        <v/>
      </c>
      <c r="AG908" s="1082" t="str">
        <f t="shared" si="123"/>
        <v/>
      </c>
      <c r="AH908" s="1092"/>
      <c r="AI908" s="1087"/>
      <c r="AJ908" s="1084" t="str">
        <f t="shared" si="124"/>
        <v/>
      </c>
      <c r="AK908" s="1083" t="str">
        <f t="shared" si="125"/>
        <v/>
      </c>
      <c r="AL908" s="211">
        <v>320600</v>
      </c>
      <c r="AM908" s="211">
        <v>4809000</v>
      </c>
      <c r="AN908" s="211">
        <v>4809000</v>
      </c>
      <c r="AO908" s="211">
        <v>4809000</v>
      </c>
      <c r="AP908" s="211">
        <v>4809000</v>
      </c>
      <c r="AQ908" s="211">
        <v>4809000</v>
      </c>
      <c r="AR908" s="211">
        <v>4809000</v>
      </c>
      <c r="AS908" s="211">
        <v>4809000</v>
      </c>
      <c r="AT908" s="211">
        <v>4488400</v>
      </c>
      <c r="AU908" s="211"/>
      <c r="AV908" s="211"/>
      <c r="AW908" s="211"/>
      <c r="AX908" s="211"/>
      <c r="AY908" s="211"/>
      <c r="AZ908" s="211"/>
      <c r="BA908" s="211"/>
      <c r="BB908" s="211"/>
      <c r="BC908" s="211"/>
      <c r="BD908" s="333">
        <v>44195</v>
      </c>
      <c r="BE908" s="82">
        <f t="shared" si="126"/>
        <v>38472000</v>
      </c>
    </row>
    <row r="909" spans="2:57" ht="30.6" hidden="1" x14ac:dyDescent="0.3">
      <c r="B909" s="2" t="str">
        <f>+'Base de Datos'!E909</f>
        <v>200139-0-2020</v>
      </c>
      <c r="C909" s="2" t="str">
        <f>+'Base de Datos'!F909</f>
        <v>INFORMATICA DOCUMENTAL S.A.S.</v>
      </c>
      <c r="D909" s="2" t="str">
        <f>+'Base de Datos'!G909</f>
        <v>830083523-7</v>
      </c>
      <c r="E909" s="2" t="str">
        <f>+'Base de Datos'!H909</f>
        <v>Prestar los servicios de actualización y soporte para el software para el manejo documental Infodoc para el Concejo de Bogotá</v>
      </c>
      <c r="F909" s="197">
        <f>+'Base de Datos'!I909</f>
        <v>12231961</v>
      </c>
      <c r="G909" s="196">
        <f>+'Base de Datos'!M909</f>
        <v>43951</v>
      </c>
      <c r="H909" s="196">
        <f>+'Base de Datos'!N909</f>
        <v>44315</v>
      </c>
      <c r="I909" s="196"/>
      <c r="J909" s="158"/>
      <c r="K909" s="333"/>
      <c r="L909" s="211"/>
      <c r="M909" s="336"/>
      <c r="N909" s="158"/>
      <c r="O909" s="333"/>
      <c r="P909" s="158"/>
      <c r="Q909" s="338"/>
      <c r="R909" s="81">
        <f t="shared" si="119"/>
        <v>0</v>
      </c>
      <c r="S909" s="258"/>
      <c r="T909" s="333"/>
      <c r="U909" s="158"/>
      <c r="V909" s="333"/>
      <c r="W909" s="158"/>
      <c r="X909" s="333"/>
      <c r="Y909" s="158"/>
      <c r="Z909" s="1002"/>
      <c r="AA909" s="1003"/>
      <c r="AB909" s="1004" t="str">
        <f t="shared" si="120"/>
        <v/>
      </c>
      <c r="AC909" s="1082" t="str">
        <f t="shared" si="121"/>
        <v/>
      </c>
      <c r="AD909" s="1004"/>
      <c r="AE909" s="1004"/>
      <c r="AF909" s="1084" t="str">
        <f t="shared" si="122"/>
        <v/>
      </c>
      <c r="AG909" s="1082" t="str">
        <f t="shared" si="123"/>
        <v/>
      </c>
      <c r="AH909" s="1092"/>
      <c r="AI909" s="1087"/>
      <c r="AJ909" s="1084" t="str">
        <f t="shared" si="124"/>
        <v/>
      </c>
      <c r="AK909" s="1083" t="str">
        <f t="shared" si="125"/>
        <v/>
      </c>
      <c r="AL909" s="211"/>
      <c r="AM909" s="211"/>
      <c r="AN909" s="211"/>
      <c r="AO909" s="211"/>
      <c r="AP909" s="211"/>
      <c r="AQ909" s="211"/>
      <c r="AR909" s="211"/>
      <c r="AS909" s="211"/>
      <c r="AT909" s="211"/>
      <c r="AU909" s="211"/>
      <c r="AV909" s="211"/>
      <c r="AW909" s="211"/>
      <c r="AX909" s="211"/>
      <c r="AY909" s="211"/>
      <c r="AZ909" s="211"/>
      <c r="BA909" s="211"/>
      <c r="BB909" s="211"/>
      <c r="BC909" s="211"/>
      <c r="BD909" s="333"/>
      <c r="BE909" s="82">
        <f t="shared" si="126"/>
        <v>0</v>
      </c>
    </row>
    <row r="910" spans="2:57" ht="30.6" hidden="1" x14ac:dyDescent="0.3">
      <c r="B910" s="2" t="str">
        <f>+'Base de Datos'!E910</f>
        <v>200153-0-2020</v>
      </c>
      <c r="C910" s="2" t="str">
        <f>+'Base de Datos'!F910</f>
        <v>LAURA VALENTINA DE LOS REMEDIOS VELANDIA TRUJILLO</v>
      </c>
      <c r="D910" s="2">
        <f>+'Base de Datos'!G910</f>
        <v>40937641</v>
      </c>
      <c r="E910" s="2" t="str">
        <f>+'Base de Datos'!H910</f>
        <v>Prestar los servicios profesionales para apoyar al Concejo de Bogotá D.C. en la realización de las actividades necesarias para la estructuración, supervisión y seguimiento contractual.</v>
      </c>
      <c r="F910" s="197">
        <f>+'Base de Datos'!I910</f>
        <v>28096000</v>
      </c>
      <c r="G910" s="196">
        <f>+'Base de Datos'!M910</f>
        <v>43955</v>
      </c>
      <c r="H910" s="196">
        <f>+'Base de Datos'!N910</f>
        <v>44196</v>
      </c>
      <c r="I910" s="196"/>
      <c r="J910" s="158"/>
      <c r="K910" s="333"/>
      <c r="L910" s="211"/>
      <c r="M910" s="336"/>
      <c r="N910" s="158"/>
      <c r="O910" s="333"/>
      <c r="P910" s="158"/>
      <c r="Q910" s="338"/>
      <c r="R910" s="81">
        <f t="shared" si="119"/>
        <v>0</v>
      </c>
      <c r="S910" s="258"/>
      <c r="T910" s="333"/>
      <c r="U910" s="158"/>
      <c r="V910" s="333"/>
      <c r="W910" s="158"/>
      <c r="X910" s="333"/>
      <c r="Y910" s="158"/>
      <c r="Z910" s="1002"/>
      <c r="AA910" s="1003"/>
      <c r="AB910" s="1004" t="str">
        <f t="shared" si="120"/>
        <v/>
      </c>
      <c r="AC910" s="1082" t="str">
        <f t="shared" si="121"/>
        <v/>
      </c>
      <c r="AD910" s="1004"/>
      <c r="AE910" s="1004"/>
      <c r="AF910" s="1084" t="str">
        <f t="shared" si="122"/>
        <v/>
      </c>
      <c r="AG910" s="1082" t="str">
        <f t="shared" si="123"/>
        <v/>
      </c>
      <c r="AH910" s="1092"/>
      <c r="AI910" s="1087"/>
      <c r="AJ910" s="1084" t="str">
        <f t="shared" si="124"/>
        <v/>
      </c>
      <c r="AK910" s="1083" t="str">
        <f t="shared" si="125"/>
        <v/>
      </c>
      <c r="AL910" s="211">
        <v>3160800</v>
      </c>
      <c r="AM910" s="211">
        <v>3512000</v>
      </c>
      <c r="AN910" s="211">
        <v>3512000</v>
      </c>
      <c r="AO910" s="211">
        <v>3512000</v>
      </c>
      <c r="AP910" s="211">
        <v>3512000</v>
      </c>
      <c r="AQ910" s="211">
        <v>3512000</v>
      </c>
      <c r="AR910" s="211">
        <v>3512000</v>
      </c>
      <c r="AS910" s="211">
        <v>3512000</v>
      </c>
      <c r="AT910" s="211"/>
      <c r="AU910" s="211"/>
      <c r="AV910" s="211"/>
      <c r="AW910" s="211"/>
      <c r="AX910" s="211"/>
      <c r="AY910" s="211"/>
      <c r="AZ910" s="211"/>
      <c r="BA910" s="211"/>
      <c r="BB910" s="211"/>
      <c r="BC910" s="211"/>
      <c r="BD910" s="333">
        <v>44195</v>
      </c>
      <c r="BE910" s="82">
        <f t="shared" si="126"/>
        <v>27744800</v>
      </c>
    </row>
    <row r="911" spans="2:57" ht="20.399999999999999" hidden="1" x14ac:dyDescent="0.3">
      <c r="B911" s="2" t="str">
        <f>+'Base de Datos'!E911</f>
        <v>200154-0-2020</v>
      </c>
      <c r="C911" s="2" t="str">
        <f>+'Base de Datos'!F911</f>
        <v>CASA EDITORIAL EL TIEMPO S.A.</v>
      </c>
      <c r="D911" s="2" t="str">
        <f>+'Base de Datos'!G911</f>
        <v>860001022-7</v>
      </c>
      <c r="E911" s="2" t="str">
        <f>+'Base de Datos'!H911</f>
        <v>Suscripción al periódico El Tiempo y Portafolio para el Concejo de Bogotá.</v>
      </c>
      <c r="F911" s="197">
        <f>+'Base de Datos'!I911</f>
        <v>1530000</v>
      </c>
      <c r="G911" s="196">
        <f>+'Base de Datos'!M911</f>
        <v>43957</v>
      </c>
      <c r="H911" s="196">
        <f>+'Base de Datos'!N911</f>
        <v>44321</v>
      </c>
      <c r="I911" s="196"/>
      <c r="J911" s="158"/>
      <c r="K911" s="333"/>
      <c r="L911" s="211"/>
      <c r="M911" s="336"/>
      <c r="N911" s="158"/>
      <c r="O911" s="333"/>
      <c r="P911" s="158"/>
      <c r="Q911" s="338"/>
      <c r="R911" s="81">
        <f t="shared" si="119"/>
        <v>0</v>
      </c>
      <c r="S911" s="258"/>
      <c r="T911" s="333"/>
      <c r="U911" s="158"/>
      <c r="V911" s="333"/>
      <c r="W911" s="158"/>
      <c r="X911" s="333"/>
      <c r="Y911" s="158"/>
      <c r="Z911" s="1002"/>
      <c r="AA911" s="1003"/>
      <c r="AB911" s="1004" t="str">
        <f t="shared" si="120"/>
        <v/>
      </c>
      <c r="AC911" s="1082" t="str">
        <f t="shared" si="121"/>
        <v/>
      </c>
      <c r="AD911" s="1004"/>
      <c r="AE911" s="1004"/>
      <c r="AF911" s="1084" t="str">
        <f t="shared" si="122"/>
        <v/>
      </c>
      <c r="AG911" s="1082" t="str">
        <f t="shared" si="123"/>
        <v/>
      </c>
      <c r="AH911" s="1092"/>
      <c r="AI911" s="1087"/>
      <c r="AJ911" s="1084" t="str">
        <f t="shared" si="124"/>
        <v/>
      </c>
      <c r="AK911" s="1083" t="str">
        <f t="shared" si="125"/>
        <v/>
      </c>
      <c r="AL911" s="211">
        <v>1530000</v>
      </c>
      <c r="AM911" s="211"/>
      <c r="AN911" s="211"/>
      <c r="AO911" s="211"/>
      <c r="AP911" s="211"/>
      <c r="AQ911" s="211"/>
      <c r="AR911" s="211"/>
      <c r="AS911" s="211"/>
      <c r="AT911" s="211"/>
      <c r="AU911" s="211"/>
      <c r="AV911" s="211"/>
      <c r="AW911" s="211"/>
      <c r="AX911" s="211"/>
      <c r="AY911" s="211"/>
      <c r="AZ911" s="211"/>
      <c r="BA911" s="211"/>
      <c r="BB911" s="211"/>
      <c r="BC911" s="211"/>
      <c r="BD911" s="333">
        <v>44028</v>
      </c>
      <c r="BE911" s="82">
        <f t="shared" si="126"/>
        <v>1530000</v>
      </c>
    </row>
    <row r="912" spans="2:57" ht="40.799999999999997" hidden="1" x14ac:dyDescent="0.3">
      <c r="B912" s="2" t="str">
        <f>+'Base de Datos'!E912</f>
        <v>200157-0-2020</v>
      </c>
      <c r="C912" s="2" t="str">
        <f>+'Base de Datos'!F912</f>
        <v>NANCY GIOVANNA CELY VARGAS</v>
      </c>
      <c r="D912" s="2">
        <f>+'Base de Datos'!G912</f>
        <v>52831370</v>
      </c>
      <c r="E912" s="2" t="str">
        <f>+'Base de Datos'!H912</f>
        <v>Prestar los servicios profesionales para apoyar a la Dirección financiera del Concejo de Bogotá D.C. en los asuntos propios de la dependencia y en el seguimiento al Plan de Acción y Transparencia de acuerdo a la normatividad vigente.</v>
      </c>
      <c r="F912" s="197">
        <f>+'Base de Datos'!I912</f>
        <v>35728000</v>
      </c>
      <c r="G912" s="196">
        <f>+'Base de Datos'!M912</f>
        <v>43963</v>
      </c>
      <c r="H912" s="196">
        <f>+'Base de Datos'!N912</f>
        <v>44196</v>
      </c>
      <c r="I912" s="196"/>
      <c r="J912" s="158"/>
      <c r="K912" s="333"/>
      <c r="L912" s="211"/>
      <c r="M912" s="336"/>
      <c r="N912" s="158"/>
      <c r="O912" s="333"/>
      <c r="P912" s="158"/>
      <c r="Q912" s="338"/>
      <c r="R912" s="81">
        <f t="shared" si="119"/>
        <v>0</v>
      </c>
      <c r="S912" s="258"/>
      <c r="T912" s="333"/>
      <c r="U912" s="158"/>
      <c r="V912" s="333"/>
      <c r="W912" s="158"/>
      <c r="X912" s="333"/>
      <c r="Y912" s="158"/>
      <c r="Z912" s="1002"/>
      <c r="AA912" s="1003"/>
      <c r="AB912" s="1004" t="str">
        <f t="shared" si="120"/>
        <v/>
      </c>
      <c r="AC912" s="1082" t="str">
        <f t="shared" si="121"/>
        <v/>
      </c>
      <c r="AD912" s="1004"/>
      <c r="AE912" s="1004"/>
      <c r="AF912" s="1084" t="str">
        <f t="shared" si="122"/>
        <v/>
      </c>
      <c r="AG912" s="1082" t="str">
        <f t="shared" si="123"/>
        <v/>
      </c>
      <c r="AH912" s="1092"/>
      <c r="AI912" s="1087"/>
      <c r="AJ912" s="1084" t="str">
        <f t="shared" si="124"/>
        <v/>
      </c>
      <c r="AK912" s="1083" t="str">
        <f t="shared" si="125"/>
        <v/>
      </c>
      <c r="AL912" s="211">
        <v>2828467</v>
      </c>
      <c r="AM912" s="211">
        <v>4466000</v>
      </c>
      <c r="AN912" s="211">
        <v>4466000</v>
      </c>
      <c r="AO912" s="211">
        <v>4466000</v>
      </c>
      <c r="AP912" s="211">
        <v>4466000</v>
      </c>
      <c r="AQ912" s="211">
        <v>4466000</v>
      </c>
      <c r="AR912" s="211">
        <v>4466000</v>
      </c>
      <c r="AS912" s="211">
        <v>4466000</v>
      </c>
      <c r="AT912" s="211"/>
      <c r="AU912" s="211"/>
      <c r="AV912" s="211"/>
      <c r="AW912" s="211"/>
      <c r="AX912" s="211"/>
      <c r="AY912" s="211"/>
      <c r="AZ912" s="211"/>
      <c r="BA912" s="211"/>
      <c r="BB912" s="211"/>
      <c r="BC912" s="211"/>
      <c r="BD912" s="333">
        <v>44195</v>
      </c>
      <c r="BE912" s="82">
        <f t="shared" si="126"/>
        <v>34090467</v>
      </c>
    </row>
    <row r="913" spans="2:57" ht="30.6" hidden="1" x14ac:dyDescent="0.3">
      <c r="B913" s="2" t="str">
        <f>+'Base de Datos'!E913</f>
        <v>200161-0-2020</v>
      </c>
      <c r="C913" s="2" t="str">
        <f>+'Base de Datos'!F913</f>
        <v>CENTRO NACIONAL DE CONSULTORIA LTDA</v>
      </c>
      <c r="D913" s="2">
        <f>+'Base de Datos'!G913</f>
        <v>800011951</v>
      </c>
      <c r="E913" s="2" t="str">
        <f>+'Base de Datos'!H913</f>
        <v>Prestar el servicio para fortalecer la participación ciudadana en el marco de las discusiones del Plan de Desarrollo de Bogotá 2020-2023.</v>
      </c>
      <c r="F913" s="197">
        <f>+'Base de Datos'!I913</f>
        <v>11900000</v>
      </c>
      <c r="G913" s="196">
        <f>+'Base de Datos'!M913</f>
        <v>43964</v>
      </c>
      <c r="H913" s="196">
        <f>+'Base de Datos'!N913</f>
        <v>44055</v>
      </c>
      <c r="I913" s="196"/>
      <c r="J913" s="158"/>
      <c r="K913" s="333"/>
      <c r="L913" s="211"/>
      <c r="M913" s="336"/>
      <c r="N913" s="158"/>
      <c r="O913" s="333"/>
      <c r="P913" s="158"/>
      <c r="Q913" s="338"/>
      <c r="R913" s="81">
        <f t="shared" si="119"/>
        <v>0</v>
      </c>
      <c r="S913" s="258"/>
      <c r="T913" s="333"/>
      <c r="U913" s="158"/>
      <c r="V913" s="333"/>
      <c r="W913" s="158"/>
      <c r="X913" s="333"/>
      <c r="Y913" s="158"/>
      <c r="Z913" s="1002"/>
      <c r="AA913" s="1003"/>
      <c r="AB913" s="1004" t="str">
        <f t="shared" si="120"/>
        <v/>
      </c>
      <c r="AC913" s="1082" t="str">
        <f t="shared" si="121"/>
        <v/>
      </c>
      <c r="AD913" s="1004"/>
      <c r="AE913" s="1004"/>
      <c r="AF913" s="1084" t="str">
        <f t="shared" si="122"/>
        <v/>
      </c>
      <c r="AG913" s="1082" t="str">
        <f t="shared" si="123"/>
        <v/>
      </c>
      <c r="AH913" s="1092"/>
      <c r="AI913" s="1087"/>
      <c r="AJ913" s="1084" t="str">
        <f t="shared" si="124"/>
        <v/>
      </c>
      <c r="AK913" s="1083" t="str">
        <f t="shared" si="125"/>
        <v/>
      </c>
      <c r="AL913" s="211">
        <v>5950000</v>
      </c>
      <c r="AM913" s="211">
        <v>5950000</v>
      </c>
      <c r="AN913" s="211"/>
      <c r="AO913" s="211"/>
      <c r="AP913" s="211"/>
      <c r="AQ913" s="211"/>
      <c r="AR913" s="211"/>
      <c r="AS913" s="211"/>
      <c r="AT913" s="211"/>
      <c r="AU913" s="211"/>
      <c r="AV913" s="211"/>
      <c r="AW913" s="211"/>
      <c r="AX913" s="211"/>
      <c r="AY913" s="211"/>
      <c r="AZ913" s="211"/>
      <c r="BA913" s="211"/>
      <c r="BB913" s="211"/>
      <c r="BC913" s="211"/>
      <c r="BD913" s="333">
        <v>44055</v>
      </c>
      <c r="BE913" s="82">
        <f t="shared" si="126"/>
        <v>11900000</v>
      </c>
    </row>
    <row r="914" spans="2:57" ht="20.399999999999999" hidden="1" x14ac:dyDescent="0.3">
      <c r="B914" s="2" t="str">
        <f>+'Base de Datos'!E914</f>
        <v>200172-0-2020</v>
      </c>
      <c r="C914" s="2" t="str">
        <f>+'Base de Datos'!F914</f>
        <v>OFIBEST SAS</v>
      </c>
      <c r="D914" s="2" t="str">
        <f>+'Base de Datos'!G914</f>
        <v>900350133-7</v>
      </c>
      <c r="E914" s="2" t="str">
        <f>+'Base de Datos'!H914</f>
        <v>Adquisición de artículos de Bioseguridad para los funcionarios del Concejo de Bogotá</v>
      </c>
      <c r="F914" s="197">
        <f>+'Base de Datos'!I914</f>
        <v>8085170</v>
      </c>
      <c r="G914" s="196">
        <f>+'Base de Datos'!M914</f>
        <v>43966</v>
      </c>
      <c r="H914" s="196">
        <f>+'Base de Datos'!N914</f>
        <v>43997</v>
      </c>
      <c r="I914" s="196"/>
      <c r="J914" s="158"/>
      <c r="K914" s="333"/>
      <c r="L914" s="211"/>
      <c r="M914" s="336"/>
      <c r="N914" s="158"/>
      <c r="O914" s="333"/>
      <c r="P914" s="158"/>
      <c r="Q914" s="338"/>
      <c r="R914" s="81">
        <f t="shared" si="119"/>
        <v>0</v>
      </c>
      <c r="S914" s="258"/>
      <c r="T914" s="333"/>
      <c r="U914" s="158"/>
      <c r="V914" s="333"/>
      <c r="W914" s="158"/>
      <c r="X914" s="333"/>
      <c r="Y914" s="158"/>
      <c r="Z914" s="1002"/>
      <c r="AA914" s="1003"/>
      <c r="AB914" s="1004" t="str">
        <f t="shared" si="120"/>
        <v/>
      </c>
      <c r="AC914" s="1082" t="str">
        <f t="shared" si="121"/>
        <v/>
      </c>
      <c r="AD914" s="1004"/>
      <c r="AE914" s="1004"/>
      <c r="AF914" s="1084" t="str">
        <f t="shared" si="122"/>
        <v/>
      </c>
      <c r="AG914" s="1082" t="str">
        <f t="shared" si="123"/>
        <v/>
      </c>
      <c r="AH914" s="1092"/>
      <c r="AI914" s="1087"/>
      <c r="AJ914" s="1084" t="str">
        <f t="shared" si="124"/>
        <v/>
      </c>
      <c r="AK914" s="1083" t="str">
        <f t="shared" si="125"/>
        <v/>
      </c>
      <c r="AL914" s="211">
        <v>8085169</v>
      </c>
      <c r="AM914" s="211"/>
      <c r="AN914" s="211"/>
      <c r="AO914" s="211"/>
      <c r="AP914" s="211"/>
      <c r="AQ914" s="211"/>
      <c r="AR914" s="211"/>
      <c r="AS914" s="211"/>
      <c r="AT914" s="211"/>
      <c r="AU914" s="211"/>
      <c r="AV914" s="211"/>
      <c r="AW914" s="211"/>
      <c r="AX914" s="211"/>
      <c r="AY914" s="211"/>
      <c r="AZ914" s="211"/>
      <c r="BA914" s="211"/>
      <c r="BB914" s="211"/>
      <c r="BC914" s="211"/>
      <c r="BD914" s="333">
        <v>44027</v>
      </c>
      <c r="BE914" s="82">
        <f t="shared" si="126"/>
        <v>8085169</v>
      </c>
    </row>
    <row r="915" spans="2:57" ht="20.399999999999999" hidden="1" x14ac:dyDescent="0.3">
      <c r="B915" s="2" t="str">
        <f>+'Base de Datos'!E915</f>
        <v>200171-0-2020</v>
      </c>
      <c r="C915" s="2" t="str">
        <f>+'Base de Datos'!F915</f>
        <v>INDUHOTEL SAS</v>
      </c>
      <c r="D915" s="2" t="str">
        <f>+'Base de Datos'!G915</f>
        <v>900300970-1</v>
      </c>
      <c r="E915" s="2" t="str">
        <f>+'Base de Datos'!H915</f>
        <v>Adquisición de artículos de Bioseguridad para los funcionarios del Concejo de Bogotá</v>
      </c>
      <c r="F915" s="197">
        <f>+'Base de Datos'!I915</f>
        <v>1483402</v>
      </c>
      <c r="G915" s="196">
        <f>+'Base de Datos'!M915</f>
        <v>43966</v>
      </c>
      <c r="H915" s="196">
        <f>+'Base de Datos'!N915</f>
        <v>43997</v>
      </c>
      <c r="I915" s="196"/>
      <c r="J915" s="158"/>
      <c r="K915" s="333"/>
      <c r="L915" s="211"/>
      <c r="M915" s="336"/>
      <c r="N915" s="158"/>
      <c r="O915" s="333"/>
      <c r="P915" s="158"/>
      <c r="Q915" s="338"/>
      <c r="R915" s="81">
        <f t="shared" ref="R915:R920" si="127">SUM(J915,L915,N915,P915)</f>
        <v>0</v>
      </c>
      <c r="S915" s="258"/>
      <c r="T915" s="333"/>
      <c r="U915" s="158"/>
      <c r="V915" s="333"/>
      <c r="W915" s="158"/>
      <c r="X915" s="333"/>
      <c r="Y915" s="158"/>
      <c r="Z915" s="1002"/>
      <c r="AA915" s="1003"/>
      <c r="AB915" s="1004" t="str">
        <f t="shared" si="120"/>
        <v/>
      </c>
      <c r="AC915" s="1082" t="str">
        <f t="shared" si="121"/>
        <v/>
      </c>
      <c r="AD915" s="1004"/>
      <c r="AE915" s="1004"/>
      <c r="AF915" s="1084" t="str">
        <f t="shared" si="122"/>
        <v/>
      </c>
      <c r="AG915" s="1082" t="str">
        <f t="shared" si="123"/>
        <v/>
      </c>
      <c r="AH915" s="1092"/>
      <c r="AI915" s="1087"/>
      <c r="AJ915" s="1084" t="str">
        <f t="shared" si="124"/>
        <v/>
      </c>
      <c r="AK915" s="1083" t="str">
        <f t="shared" si="125"/>
        <v/>
      </c>
      <c r="AL915" s="211">
        <v>1483402</v>
      </c>
      <c r="AM915" s="211"/>
      <c r="AN915" s="211"/>
      <c r="AO915" s="211"/>
      <c r="AP915" s="211"/>
      <c r="AQ915" s="211"/>
      <c r="AR915" s="211"/>
      <c r="AS915" s="211"/>
      <c r="AT915" s="211"/>
      <c r="AU915" s="211"/>
      <c r="AV915" s="211"/>
      <c r="AW915" s="211"/>
      <c r="AX915" s="211"/>
      <c r="AY915" s="211"/>
      <c r="AZ915" s="211"/>
      <c r="BA915" s="211"/>
      <c r="BB915" s="211"/>
      <c r="BC915" s="211"/>
      <c r="BD915" s="333">
        <v>44023</v>
      </c>
      <c r="BE915" s="82">
        <f t="shared" si="126"/>
        <v>1483402</v>
      </c>
    </row>
    <row r="916" spans="2:57" ht="20.399999999999999" hidden="1" x14ac:dyDescent="0.3">
      <c r="B916" s="2" t="str">
        <f>+'Base de Datos'!E916</f>
        <v>200166-0-2020</v>
      </c>
      <c r="C916" s="2" t="str">
        <f>+'Base de Datos'!F916</f>
        <v xml:space="preserve">D&amp;D S.A.S </v>
      </c>
      <c r="D916" s="2" t="str">
        <f>+'Base de Datos'!G916</f>
        <v>900225460-6</v>
      </c>
      <c r="E916" s="2" t="str">
        <f>+'Base de Datos'!H916</f>
        <v>Adquisición de artículos de Bioseguridad para los funcionarios del Concejo de Bogotá</v>
      </c>
      <c r="F916" s="197">
        <f>+'Base de Datos'!I916</f>
        <v>1279046</v>
      </c>
      <c r="G916" s="196">
        <f>+'Base de Datos'!M916</f>
        <v>43966</v>
      </c>
      <c r="H916" s="196">
        <f>+'Base de Datos'!N916</f>
        <v>43997</v>
      </c>
      <c r="I916" s="196"/>
      <c r="J916" s="158"/>
      <c r="K916" s="333"/>
      <c r="L916" s="211"/>
      <c r="M916" s="336"/>
      <c r="N916" s="158"/>
      <c r="O916" s="333"/>
      <c r="P916" s="158"/>
      <c r="Q916" s="338"/>
      <c r="R916" s="81">
        <f t="shared" si="127"/>
        <v>0</v>
      </c>
      <c r="S916" s="258"/>
      <c r="T916" s="333"/>
      <c r="U916" s="158"/>
      <c r="V916" s="333"/>
      <c r="W916" s="158"/>
      <c r="X916" s="333"/>
      <c r="Y916" s="158"/>
      <c r="Z916" s="1002"/>
      <c r="AA916" s="1003"/>
      <c r="AB916" s="1004" t="str">
        <f t="shared" si="120"/>
        <v/>
      </c>
      <c r="AC916" s="1082" t="str">
        <f t="shared" si="121"/>
        <v/>
      </c>
      <c r="AD916" s="1004"/>
      <c r="AE916" s="1004"/>
      <c r="AF916" s="1084" t="str">
        <f t="shared" si="122"/>
        <v/>
      </c>
      <c r="AG916" s="1082" t="str">
        <f t="shared" si="123"/>
        <v/>
      </c>
      <c r="AH916" s="1092"/>
      <c r="AI916" s="1087"/>
      <c r="AJ916" s="1084" t="str">
        <f t="shared" si="124"/>
        <v/>
      </c>
      <c r="AK916" s="1083" t="str">
        <f t="shared" si="125"/>
        <v/>
      </c>
      <c r="AL916" s="211">
        <v>1279046</v>
      </c>
      <c r="AM916" s="211"/>
      <c r="AN916" s="211"/>
      <c r="AO916" s="211"/>
      <c r="AP916" s="211"/>
      <c r="AQ916" s="211"/>
      <c r="AR916" s="211"/>
      <c r="AS916" s="211"/>
      <c r="AT916" s="211"/>
      <c r="AU916" s="211"/>
      <c r="AV916" s="211"/>
      <c r="AW916" s="211"/>
      <c r="AX916" s="211"/>
      <c r="AY916" s="211"/>
      <c r="AZ916" s="211"/>
      <c r="BA916" s="211"/>
      <c r="BB916" s="211"/>
      <c r="BC916" s="211"/>
      <c r="BD916" s="333">
        <v>44180</v>
      </c>
      <c r="BE916" s="82">
        <f t="shared" si="126"/>
        <v>1279046</v>
      </c>
    </row>
    <row r="917" spans="2:57" ht="20.399999999999999" hidden="1" x14ac:dyDescent="0.3">
      <c r="B917" s="2" t="str">
        <f>+'Base de Datos'!E917</f>
        <v>200167-0-2020</v>
      </c>
      <c r="C917" s="2" t="str">
        <f>+'Base de Datos'!F917</f>
        <v xml:space="preserve">DISTRIBUCIONES CLINICAS SOCIEDAD ANONIMA DISCLINICA S.A. </v>
      </c>
      <c r="D917" s="2" t="str">
        <f>+'Base de Datos'!G917</f>
        <v>800005727-0</v>
      </c>
      <c r="E917" s="2" t="str">
        <f>+'Base de Datos'!H917</f>
        <v>Adquisición de artículos de Bioseguridad para los funcionarios del Concejo de Bogotá.</v>
      </c>
      <c r="F917" s="197">
        <f>+'Base de Datos'!I917</f>
        <v>945976</v>
      </c>
      <c r="G917" s="196">
        <f>+'Base de Datos'!M917</f>
        <v>43966</v>
      </c>
      <c r="H917" s="196">
        <f>+'Base de Datos'!N917</f>
        <v>43997</v>
      </c>
      <c r="I917" s="196"/>
      <c r="J917" s="158"/>
      <c r="K917" s="333"/>
      <c r="L917" s="211"/>
      <c r="M917" s="336"/>
      <c r="N917" s="158"/>
      <c r="O917" s="333"/>
      <c r="P917" s="158"/>
      <c r="Q917" s="338"/>
      <c r="R917" s="81">
        <f t="shared" si="127"/>
        <v>0</v>
      </c>
      <c r="S917" s="258"/>
      <c r="T917" s="333"/>
      <c r="U917" s="158"/>
      <c r="V917" s="333"/>
      <c r="W917" s="158"/>
      <c r="X917" s="333"/>
      <c r="Y917" s="158"/>
      <c r="Z917" s="1002"/>
      <c r="AA917" s="1003"/>
      <c r="AB917" s="1004" t="str">
        <f t="shared" si="120"/>
        <v/>
      </c>
      <c r="AC917" s="1082" t="str">
        <f t="shared" si="121"/>
        <v/>
      </c>
      <c r="AD917" s="1004"/>
      <c r="AE917" s="1004"/>
      <c r="AF917" s="1084" t="str">
        <f t="shared" si="122"/>
        <v/>
      </c>
      <c r="AG917" s="1082" t="str">
        <f t="shared" si="123"/>
        <v/>
      </c>
      <c r="AH917" s="1092"/>
      <c r="AI917" s="1087"/>
      <c r="AJ917" s="1084" t="str">
        <f t="shared" si="124"/>
        <v/>
      </c>
      <c r="AK917" s="1083" t="str">
        <f t="shared" si="125"/>
        <v/>
      </c>
      <c r="AL917" s="211">
        <v>945975</v>
      </c>
      <c r="AM917" s="211"/>
      <c r="AN917" s="211"/>
      <c r="AO917" s="211"/>
      <c r="AP917" s="211"/>
      <c r="AQ917" s="211"/>
      <c r="AR917" s="211"/>
      <c r="AS917" s="211"/>
      <c r="AT917" s="211"/>
      <c r="AU917" s="211"/>
      <c r="AV917" s="211"/>
      <c r="AW917" s="211"/>
      <c r="AX917" s="211"/>
      <c r="AY917" s="211"/>
      <c r="AZ917" s="211"/>
      <c r="BA917" s="211"/>
      <c r="BB917" s="211"/>
      <c r="BC917" s="211"/>
      <c r="BD917" s="333">
        <v>44027</v>
      </c>
      <c r="BE917" s="82">
        <f t="shared" si="126"/>
        <v>945975</v>
      </c>
    </row>
    <row r="918" spans="2:57" ht="20.399999999999999" hidden="1" x14ac:dyDescent="0.3">
      <c r="B918" s="2" t="str">
        <f>+'Base de Datos'!E918</f>
        <v>200168-0-2020</v>
      </c>
      <c r="C918" s="2" t="str">
        <f>+'Base de Datos'!F918</f>
        <v xml:space="preserve">GRUPO EMPRESARIAL CRUZ VELÁSQUEZ SAS </v>
      </c>
      <c r="D918" s="2" t="str">
        <f>+'Base de Datos'!G918</f>
        <v xml:space="preserve"> 901243179-0</v>
      </c>
      <c r="E918" s="2" t="str">
        <f>+'Base de Datos'!H918</f>
        <v>Adquisición de artículos de Bioseguridad para los funcionarios del Concejo de Bogotá</v>
      </c>
      <c r="F918" s="197">
        <f>+'Base de Datos'!I918</f>
        <v>56016600</v>
      </c>
      <c r="G918" s="196">
        <f>+'Base de Datos'!M918</f>
        <v>43966</v>
      </c>
      <c r="H918" s="196">
        <f>+'Base de Datos'!N918</f>
        <v>43997</v>
      </c>
      <c r="I918" s="196"/>
      <c r="J918" s="158"/>
      <c r="K918" s="333"/>
      <c r="L918" s="211"/>
      <c r="M918" s="336"/>
      <c r="N918" s="158"/>
      <c r="O918" s="333"/>
      <c r="P918" s="158"/>
      <c r="Q918" s="338"/>
      <c r="R918" s="81">
        <f t="shared" si="127"/>
        <v>0</v>
      </c>
      <c r="S918" s="258"/>
      <c r="T918" s="333"/>
      <c r="U918" s="158"/>
      <c r="V918" s="333"/>
      <c r="W918" s="158"/>
      <c r="X918" s="333"/>
      <c r="Y918" s="158"/>
      <c r="Z918" s="1002"/>
      <c r="AA918" s="1003"/>
      <c r="AB918" s="1004" t="str">
        <f t="shared" si="120"/>
        <v/>
      </c>
      <c r="AC918" s="1082" t="str">
        <f t="shared" si="121"/>
        <v/>
      </c>
      <c r="AD918" s="1004"/>
      <c r="AE918" s="1004"/>
      <c r="AF918" s="1084" t="str">
        <f t="shared" si="122"/>
        <v/>
      </c>
      <c r="AG918" s="1082" t="str">
        <f t="shared" si="123"/>
        <v/>
      </c>
      <c r="AH918" s="1092"/>
      <c r="AI918" s="1087"/>
      <c r="AJ918" s="1084" t="str">
        <f t="shared" si="124"/>
        <v/>
      </c>
      <c r="AK918" s="1083" t="str">
        <f t="shared" si="125"/>
        <v/>
      </c>
      <c r="AL918" s="211">
        <v>56016600</v>
      </c>
      <c r="AM918" s="211"/>
      <c r="AN918" s="211"/>
      <c r="AO918" s="211"/>
      <c r="AP918" s="211"/>
      <c r="AQ918" s="211"/>
      <c r="AR918" s="211"/>
      <c r="AS918" s="211"/>
      <c r="AT918" s="211"/>
      <c r="AU918" s="211"/>
      <c r="AV918" s="211"/>
      <c r="AW918" s="211"/>
      <c r="AX918" s="211"/>
      <c r="AY918" s="211"/>
      <c r="AZ918" s="211"/>
      <c r="BA918" s="211"/>
      <c r="BB918" s="211"/>
      <c r="BC918" s="211"/>
      <c r="BD918" s="333">
        <v>44025</v>
      </c>
      <c r="BE918" s="82">
        <f t="shared" si="126"/>
        <v>56016600</v>
      </c>
    </row>
    <row r="919" spans="2:57" ht="20.399999999999999" hidden="1" x14ac:dyDescent="0.3">
      <c r="B919" s="2" t="str">
        <f>+'Base de Datos'!E919</f>
        <v>200170-0-2020</v>
      </c>
      <c r="C919" s="2" t="str">
        <f>+'Base de Datos'!F919</f>
        <v>PMI PROYECTOS MONTAJES E INGENIERIA S.AS</v>
      </c>
      <c r="D919" s="2" t="str">
        <f>+'Base de Datos'!G919</f>
        <v>900704052-1</v>
      </c>
      <c r="E919" s="2" t="str">
        <f>+'Base de Datos'!H919</f>
        <v>Adquisición de artículos de Bioseguridad para los funcionarios del Concejo de Bogotá</v>
      </c>
      <c r="F919" s="197">
        <f>+'Base de Datos'!I919</f>
        <v>2282158</v>
      </c>
      <c r="G919" s="196">
        <f>+'Base de Datos'!M919</f>
        <v>43966</v>
      </c>
      <c r="H919" s="196">
        <f>+'Base de Datos'!N919</f>
        <v>43997</v>
      </c>
      <c r="I919" s="196"/>
      <c r="J919" s="158"/>
      <c r="K919" s="333"/>
      <c r="L919" s="211"/>
      <c r="M919" s="336"/>
      <c r="N919" s="158"/>
      <c r="O919" s="333"/>
      <c r="P919" s="158"/>
      <c r="Q919" s="338"/>
      <c r="R919" s="81">
        <f t="shared" si="127"/>
        <v>0</v>
      </c>
      <c r="S919" s="258"/>
      <c r="T919" s="333"/>
      <c r="U919" s="158"/>
      <c r="V919" s="333"/>
      <c r="W919" s="158"/>
      <c r="X919" s="333"/>
      <c r="Y919" s="158"/>
      <c r="Z919" s="1002"/>
      <c r="AA919" s="1003"/>
      <c r="AB919" s="1004" t="str">
        <f t="shared" si="120"/>
        <v/>
      </c>
      <c r="AC919" s="1082" t="str">
        <f t="shared" si="121"/>
        <v/>
      </c>
      <c r="AD919" s="1004"/>
      <c r="AE919" s="1004"/>
      <c r="AF919" s="1084" t="str">
        <f t="shared" si="122"/>
        <v/>
      </c>
      <c r="AG919" s="1082" t="str">
        <f t="shared" si="123"/>
        <v/>
      </c>
      <c r="AH919" s="1092"/>
      <c r="AI919" s="1087"/>
      <c r="AJ919" s="1084" t="str">
        <f t="shared" si="124"/>
        <v/>
      </c>
      <c r="AK919" s="1083" t="str">
        <f t="shared" si="125"/>
        <v/>
      </c>
      <c r="AL919" s="211">
        <v>2282158</v>
      </c>
      <c r="AM919" s="211"/>
      <c r="AN919" s="211"/>
      <c r="AO919" s="211"/>
      <c r="AP919" s="211"/>
      <c r="AQ919" s="211"/>
      <c r="AR919" s="211"/>
      <c r="AS919" s="211"/>
      <c r="AT919" s="211"/>
      <c r="AU919" s="211"/>
      <c r="AV919" s="211"/>
      <c r="AW919" s="211"/>
      <c r="AX919" s="211"/>
      <c r="AY919" s="211"/>
      <c r="AZ919" s="211"/>
      <c r="BA919" s="211"/>
      <c r="BB919" s="211"/>
      <c r="BC919" s="211"/>
      <c r="BD919" s="333">
        <v>44023</v>
      </c>
      <c r="BE919" s="82">
        <f t="shared" si="126"/>
        <v>2282158</v>
      </c>
    </row>
    <row r="920" spans="2:57" ht="20.399999999999999" hidden="1" x14ac:dyDescent="0.3">
      <c r="B920" s="2" t="str">
        <f>+'Base de Datos'!E920</f>
        <v>200165-0-2020</v>
      </c>
      <c r="C920" s="2" t="str">
        <f>+'Base de Datos'!F920</f>
        <v xml:space="preserve">MANUFACTURAS DELMYP S A S </v>
      </c>
      <c r="D920" s="2" t="str">
        <f>+'Base de Datos'!G920</f>
        <v xml:space="preserve"> 900400783-1</v>
      </c>
      <c r="E920" s="2" t="str">
        <f>+'Base de Datos'!H920</f>
        <v>Adquisición de artículos de Bioseguridad para los funcionarios del Concejo de Bogotá</v>
      </c>
      <c r="F920" s="197">
        <f>+'Base de Datos'!I920</f>
        <v>10979259</v>
      </c>
      <c r="G920" s="196">
        <f>+'Base de Datos'!M920</f>
        <v>43966</v>
      </c>
      <c r="H920" s="196">
        <f>+'Base de Datos'!N920</f>
        <v>43997</v>
      </c>
      <c r="I920" s="196"/>
      <c r="J920" s="158"/>
      <c r="K920" s="333"/>
      <c r="L920" s="211"/>
      <c r="M920" s="336"/>
      <c r="N920" s="158"/>
      <c r="O920" s="333"/>
      <c r="P920" s="158"/>
      <c r="Q920" s="338"/>
      <c r="R920" s="81">
        <f t="shared" si="127"/>
        <v>0</v>
      </c>
      <c r="S920" s="258"/>
      <c r="T920" s="333"/>
      <c r="U920" s="158"/>
      <c r="V920" s="333"/>
      <c r="W920" s="158"/>
      <c r="X920" s="333"/>
      <c r="Y920" s="158"/>
      <c r="Z920" s="1002"/>
      <c r="AA920" s="1003"/>
      <c r="AB920" s="1004" t="str">
        <f t="shared" si="120"/>
        <v/>
      </c>
      <c r="AC920" s="1082" t="str">
        <f t="shared" si="121"/>
        <v/>
      </c>
      <c r="AD920" s="1004"/>
      <c r="AE920" s="1004"/>
      <c r="AF920" s="1084" t="str">
        <f t="shared" si="122"/>
        <v/>
      </c>
      <c r="AG920" s="1082" t="str">
        <f t="shared" si="123"/>
        <v/>
      </c>
      <c r="AH920" s="1092"/>
      <c r="AI920" s="1087"/>
      <c r="AJ920" s="1084" t="str">
        <f t="shared" si="124"/>
        <v/>
      </c>
      <c r="AK920" s="1083" t="str">
        <f t="shared" si="125"/>
        <v/>
      </c>
      <c r="AL920" s="211">
        <v>10979258</v>
      </c>
      <c r="AM920" s="211"/>
      <c r="AN920" s="211"/>
      <c r="AO920" s="211"/>
      <c r="AP920" s="211"/>
      <c r="AQ920" s="211"/>
      <c r="AR920" s="211"/>
      <c r="AS920" s="211"/>
      <c r="AT920" s="211"/>
      <c r="AU920" s="211"/>
      <c r="AV920" s="211"/>
      <c r="AW920" s="211"/>
      <c r="AX920" s="211"/>
      <c r="AY920" s="211"/>
      <c r="AZ920" s="211"/>
      <c r="BA920" s="211"/>
      <c r="BB920" s="211"/>
      <c r="BC920" s="211"/>
      <c r="BD920" s="333">
        <v>44028</v>
      </c>
      <c r="BE920" s="82">
        <f t="shared" si="126"/>
        <v>10979258</v>
      </c>
    </row>
    <row r="921" spans="2:57" ht="61.2" hidden="1" x14ac:dyDescent="0.3">
      <c r="B921" s="2" t="str">
        <f>+'Base de Datos'!E921</f>
        <v>200177-0-2020</v>
      </c>
      <c r="C921" s="2" t="str">
        <f>+'Base de Datos'!F921</f>
        <v>VICTOR ORLANDO SANCHEZ BELTRAN</v>
      </c>
      <c r="D921" s="2">
        <f>+'Base de Datos'!G921</f>
        <v>79953531</v>
      </c>
      <c r="E921" s="2" t="str">
        <f>+'Base de Datos'!H921</f>
        <v>Prestar los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v>
      </c>
      <c r="F921" s="197">
        <f>+'Base de Datos'!I921</f>
        <v>44184000</v>
      </c>
      <c r="G921" s="196">
        <f>+'Base de Datos'!M921</f>
        <v>43978</v>
      </c>
      <c r="H921" s="196">
        <f>+'Base de Datos'!N921</f>
        <v>44196</v>
      </c>
      <c r="I921" s="196"/>
      <c r="J921" s="158"/>
      <c r="K921" s="333"/>
      <c r="L921" s="211"/>
      <c r="M921" s="336"/>
      <c r="N921" s="158"/>
      <c r="O921" s="333"/>
      <c r="P921" s="158"/>
      <c r="Q921" s="338"/>
      <c r="R921" s="81">
        <f t="shared" ref="R921:R984" si="128">SUM(J921,L921,N921,P921)</f>
        <v>0</v>
      </c>
      <c r="S921" s="258"/>
      <c r="T921" s="333"/>
      <c r="U921" s="158"/>
      <c r="V921" s="333"/>
      <c r="W921" s="158"/>
      <c r="X921" s="333"/>
      <c r="Y921" s="158"/>
      <c r="Z921" s="1002"/>
      <c r="AA921" s="1003"/>
      <c r="AB921" s="1004" t="str">
        <f t="shared" ref="AB921:AB984" si="129">IF(ISNUMBER(T921),MAX(T921,V921,X921,Z921),"")</f>
        <v/>
      </c>
      <c r="AC921" s="1082" t="str">
        <f t="shared" ref="AC921:AC984" si="130">IF(ISNUMBER(AD921),ABS(AD921-AE921)+1,"")</f>
        <v/>
      </c>
      <c r="AD921" s="1004"/>
      <c r="AE921" s="1004"/>
      <c r="AF921" s="1084" t="str">
        <f t="shared" ref="AF921:AF984" si="131">IFERROR(IF(MAX(H921,I921)&lt;AE921,MAX(H921,I921)-AE921+AC921+AE921,MAX(H921,I921)+AC921),"")</f>
        <v/>
      </c>
      <c r="AG921" s="1082" t="str">
        <f t="shared" ref="AG921:AG984" si="132">IF(ISNUMBER(AH921),ABS(AH921-AI921)+1,"")</f>
        <v/>
      </c>
      <c r="AH921" s="1092"/>
      <c r="AI921" s="1087"/>
      <c r="AJ921" s="1084" t="str">
        <f t="shared" ref="AJ921:AJ984" si="133">IFERROR(IF(AF921&lt;AI921,((AF921-AI921)+AG921)+(AI921),AF921+AG921),"")</f>
        <v/>
      </c>
      <c r="AK921" s="1083" t="str">
        <f t="shared" ref="AK921:AK984" si="134">IF(ISNUMBER(AF921),MAX(AB921,AF921,AJ921),"")</f>
        <v/>
      </c>
      <c r="AL921" s="211">
        <v>736400</v>
      </c>
      <c r="AM921" s="211">
        <v>5523000</v>
      </c>
      <c r="AN921" s="211">
        <v>5523000</v>
      </c>
      <c r="AO921" s="211">
        <v>5523000</v>
      </c>
      <c r="AP921" s="211">
        <v>5523000</v>
      </c>
      <c r="AQ921" s="211">
        <v>5523000</v>
      </c>
      <c r="AR921" s="211">
        <v>5523000</v>
      </c>
      <c r="AS921" s="211"/>
      <c r="AT921" s="211"/>
      <c r="AU921" s="211"/>
      <c r="AV921" s="211"/>
      <c r="AW921" s="211"/>
      <c r="AX921" s="211"/>
      <c r="AY921" s="211"/>
      <c r="AZ921" s="211"/>
      <c r="BA921" s="211"/>
      <c r="BB921" s="211"/>
      <c r="BC921" s="211"/>
      <c r="BD921" s="333">
        <v>44174</v>
      </c>
      <c r="BE921" s="82">
        <f t="shared" si="126"/>
        <v>33874400</v>
      </c>
    </row>
    <row r="922" spans="2:57" ht="40.799999999999997" hidden="1" x14ac:dyDescent="0.3">
      <c r="B922" s="2" t="str">
        <f>+'Base de Datos'!E922</f>
        <v>200178-0-2020</v>
      </c>
      <c r="C922" s="2" t="str">
        <f>+'Base de Datos'!F922</f>
        <v>MARIA JIMENA ACOSTA ILLERA</v>
      </c>
      <c r="D922" s="2">
        <f>+'Base de Datos'!G922</f>
        <v>34537617</v>
      </c>
      <c r="E922" s="2" t="str">
        <f>+'Base de Datos'!H922</f>
        <v>Prestar los servicios profesionales para apoyar a la Dirección Jurídica del Concejo de Bogotá, en la revisión y elaboración de actos administrativos, conceptos e intervenciones generados por la dependencia</v>
      </c>
      <c r="F922" s="197">
        <f>+'Base de Datos'!I922</f>
        <v>69616000</v>
      </c>
      <c r="G922" s="196">
        <f>+'Base de Datos'!M922</f>
        <v>43985</v>
      </c>
      <c r="H922" s="196">
        <f>+'Base de Datos'!N922</f>
        <v>44196</v>
      </c>
      <c r="I922" s="196"/>
      <c r="J922" s="158"/>
      <c r="K922" s="333"/>
      <c r="L922" s="211"/>
      <c r="M922" s="336"/>
      <c r="N922" s="158"/>
      <c r="O922" s="333"/>
      <c r="P922" s="158"/>
      <c r="Q922" s="338"/>
      <c r="R922" s="81">
        <f t="shared" si="128"/>
        <v>0</v>
      </c>
      <c r="S922" s="258"/>
      <c r="T922" s="333"/>
      <c r="U922" s="158"/>
      <c r="V922" s="333"/>
      <c r="W922" s="158"/>
      <c r="X922" s="333"/>
      <c r="Y922" s="158"/>
      <c r="Z922" s="1002"/>
      <c r="AA922" s="1003"/>
      <c r="AB922" s="1004" t="str">
        <f t="shared" si="129"/>
        <v/>
      </c>
      <c r="AC922" s="1082" t="str">
        <f t="shared" si="130"/>
        <v/>
      </c>
      <c r="AD922" s="1004"/>
      <c r="AE922" s="1004"/>
      <c r="AF922" s="1084" t="str">
        <f t="shared" si="131"/>
        <v/>
      </c>
      <c r="AG922" s="1082" t="str">
        <f t="shared" si="132"/>
        <v/>
      </c>
      <c r="AH922" s="1092"/>
      <c r="AI922" s="1087"/>
      <c r="AJ922" s="1084" t="str">
        <f t="shared" si="133"/>
        <v/>
      </c>
      <c r="AK922" s="1083" t="str">
        <f t="shared" si="134"/>
        <v/>
      </c>
      <c r="AL922" s="211">
        <v>8121866</v>
      </c>
      <c r="AM922" s="211">
        <v>8702000</v>
      </c>
      <c r="AN922" s="211">
        <v>8702000</v>
      </c>
      <c r="AO922" s="211">
        <v>8702000</v>
      </c>
      <c r="AP922" s="211">
        <v>8702000</v>
      </c>
      <c r="AQ922" s="211">
        <v>8702000</v>
      </c>
      <c r="AR922" s="211"/>
      <c r="AS922" s="211"/>
      <c r="AT922" s="211"/>
      <c r="AU922" s="211"/>
      <c r="AV922" s="211"/>
      <c r="AW922" s="211"/>
      <c r="AX922" s="211"/>
      <c r="AY922" s="211"/>
      <c r="AZ922" s="211"/>
      <c r="BA922" s="211"/>
      <c r="BB922" s="211"/>
      <c r="BC922" s="211"/>
      <c r="BD922" s="333">
        <v>44176</v>
      </c>
      <c r="BE922" s="82">
        <f t="shared" si="126"/>
        <v>51631866</v>
      </c>
    </row>
    <row r="923" spans="2:57" ht="51" hidden="1" x14ac:dyDescent="0.3">
      <c r="B923" s="2" t="str">
        <f>+'Base de Datos'!E923</f>
        <v>200179-0-2020</v>
      </c>
      <c r="C923" s="2" t="str">
        <f>+'Base de Datos'!F923</f>
        <v>MARIA PAULA RODRIGUEZ HERNANDEZ</v>
      </c>
      <c r="D923" s="2">
        <f>+'Base de Datos'!G923</f>
        <v>1032474202</v>
      </c>
      <c r="E923" s="2" t="str">
        <f>+'Base de Datos'!H923</f>
        <v>Prestar los servicios profesionales para apoyar a la Oficina de Comunicaciones del Concejo de Bogotá, a través de la elaboración de documentos propios de la oficina, cubrimientos de redes, presentación y ejecución de estrategias de comunicación.</v>
      </c>
      <c r="F923" s="197">
        <f>+'Base de Datos'!I923</f>
        <v>30048000</v>
      </c>
      <c r="G923" s="196">
        <f>+'Base de Datos'!M923</f>
        <v>43978</v>
      </c>
      <c r="H923" s="196">
        <f>+'Base de Datos'!N923</f>
        <v>44196</v>
      </c>
      <c r="I923" s="196"/>
      <c r="J923" s="158"/>
      <c r="K923" s="333"/>
      <c r="L923" s="211"/>
      <c r="M923" s="336"/>
      <c r="N923" s="158"/>
      <c r="O923" s="333"/>
      <c r="P923" s="158"/>
      <c r="Q923" s="338"/>
      <c r="R923" s="81">
        <f t="shared" si="128"/>
        <v>0</v>
      </c>
      <c r="S923" s="258"/>
      <c r="T923" s="333"/>
      <c r="U923" s="158"/>
      <c r="V923" s="333"/>
      <c r="W923" s="158"/>
      <c r="X923" s="333"/>
      <c r="Y923" s="158"/>
      <c r="Z923" s="1002"/>
      <c r="AA923" s="1003"/>
      <c r="AB923" s="1004" t="str">
        <f t="shared" si="129"/>
        <v/>
      </c>
      <c r="AC923" s="1082" t="str">
        <f t="shared" si="130"/>
        <v/>
      </c>
      <c r="AD923" s="1004"/>
      <c r="AE923" s="1004"/>
      <c r="AF923" s="1084" t="str">
        <f t="shared" si="131"/>
        <v/>
      </c>
      <c r="AG923" s="1082" t="str">
        <f t="shared" si="132"/>
        <v/>
      </c>
      <c r="AH923" s="1092"/>
      <c r="AI923" s="1087"/>
      <c r="AJ923" s="1084" t="str">
        <f t="shared" si="133"/>
        <v/>
      </c>
      <c r="AK923" s="1083" t="str">
        <f t="shared" si="134"/>
        <v/>
      </c>
      <c r="AL923" s="211">
        <v>500800</v>
      </c>
      <c r="AM923" s="211">
        <v>3756000</v>
      </c>
      <c r="AN923" s="211">
        <v>3756000</v>
      </c>
      <c r="AO923" s="211">
        <v>3756000</v>
      </c>
      <c r="AP923" s="211">
        <v>3756000</v>
      </c>
      <c r="AQ923" s="211">
        <v>3756000</v>
      </c>
      <c r="AR923" s="211">
        <v>3756000</v>
      </c>
      <c r="AS923" s="211">
        <v>3756000</v>
      </c>
      <c r="AT923" s="211"/>
      <c r="AU923" s="211"/>
      <c r="AV923" s="211"/>
      <c r="AW923" s="211"/>
      <c r="AX923" s="211"/>
      <c r="AY923" s="211"/>
      <c r="AZ923" s="211"/>
      <c r="BA923" s="211"/>
      <c r="BB923" s="211"/>
      <c r="BC923" s="211"/>
      <c r="BD923" s="333">
        <v>44195</v>
      </c>
      <c r="BE923" s="82">
        <f t="shared" si="126"/>
        <v>26792800</v>
      </c>
    </row>
    <row r="924" spans="2:57" ht="20.399999999999999" hidden="1" x14ac:dyDescent="0.3">
      <c r="B924" s="2" t="str">
        <f>+'Base de Datos'!E924</f>
        <v>200169-0-2020</v>
      </c>
      <c r="C924" s="2" t="str">
        <f>+'Base de Datos'!F924</f>
        <v>Sumimas S.A.S.</v>
      </c>
      <c r="D924" s="2">
        <f>+'Base de Datos'!G924</f>
        <v>8300013381</v>
      </c>
      <c r="E924" s="2" t="str">
        <f>+'Base de Datos'!H924</f>
        <v>Adquisición de artículos de Bioseguridad para los funcionarios del Concejo de Bogotá.</v>
      </c>
      <c r="F924" s="197">
        <f>+'Base de Datos'!I924</f>
        <v>10762448</v>
      </c>
      <c r="G924" s="196">
        <f>+'Base de Datos'!M924</f>
        <v>43966</v>
      </c>
      <c r="H924" s="196">
        <f>+'Base de Datos'!N924</f>
        <v>43997</v>
      </c>
      <c r="I924" s="196"/>
      <c r="J924" s="158"/>
      <c r="K924" s="333"/>
      <c r="L924" s="211"/>
      <c r="M924" s="336"/>
      <c r="N924" s="158"/>
      <c r="O924" s="333"/>
      <c r="P924" s="158"/>
      <c r="Q924" s="338"/>
      <c r="R924" s="81">
        <f t="shared" si="128"/>
        <v>0</v>
      </c>
      <c r="S924" s="258"/>
      <c r="T924" s="333"/>
      <c r="U924" s="158"/>
      <c r="V924" s="333"/>
      <c r="W924" s="158"/>
      <c r="X924" s="333"/>
      <c r="Y924" s="158"/>
      <c r="Z924" s="1002"/>
      <c r="AA924" s="1003"/>
      <c r="AB924" s="1004" t="str">
        <f t="shared" si="129"/>
        <v/>
      </c>
      <c r="AC924" s="1082" t="str">
        <f t="shared" si="130"/>
        <v/>
      </c>
      <c r="AD924" s="1004"/>
      <c r="AE924" s="1004"/>
      <c r="AF924" s="1084" t="str">
        <f t="shared" si="131"/>
        <v/>
      </c>
      <c r="AG924" s="1082" t="str">
        <f t="shared" si="132"/>
        <v/>
      </c>
      <c r="AH924" s="1092"/>
      <c r="AI924" s="1087"/>
      <c r="AJ924" s="1084" t="str">
        <f t="shared" si="133"/>
        <v/>
      </c>
      <c r="AK924" s="1083" t="str">
        <f t="shared" si="134"/>
        <v/>
      </c>
      <c r="AL924" s="211">
        <v>10762448</v>
      </c>
      <c r="AM924" s="211"/>
      <c r="AN924" s="211"/>
      <c r="AO924" s="211"/>
      <c r="AP924" s="211"/>
      <c r="AQ924" s="211"/>
      <c r="AR924" s="211"/>
      <c r="AS924" s="211"/>
      <c r="AT924" s="211"/>
      <c r="AU924" s="211"/>
      <c r="AV924" s="211"/>
      <c r="AW924" s="211"/>
      <c r="AX924" s="211"/>
      <c r="AY924" s="211"/>
      <c r="AZ924" s="211"/>
      <c r="BA924" s="211"/>
      <c r="BB924" s="211"/>
      <c r="BC924" s="211"/>
      <c r="BD924" s="333">
        <v>44021</v>
      </c>
      <c r="BE924" s="82">
        <f t="shared" si="126"/>
        <v>10762448</v>
      </c>
    </row>
    <row r="925" spans="2:57" hidden="1" x14ac:dyDescent="0.3">
      <c r="B925" s="2" t="str">
        <f>+'Base de Datos'!E925</f>
        <v>200187-0-2020</v>
      </c>
      <c r="C925" s="2" t="str">
        <f>+'Base de Datos'!F925</f>
        <v>Distracom</v>
      </c>
      <c r="D925" s="2">
        <f>+'Base de Datos'!G925</f>
        <v>811009788</v>
      </c>
      <c r="E925" s="2" t="str">
        <f>+'Base de Datos'!H925</f>
        <v>Suministro de ACPM para el Concejo de Bogotá.</v>
      </c>
      <c r="F925" s="197">
        <f>+'Base de Datos'!I925</f>
        <v>1846088</v>
      </c>
      <c r="G925" s="196">
        <f>+'Base de Datos'!M925</f>
        <v>43980</v>
      </c>
      <c r="H925" s="196">
        <f>+'Base de Datos'!N925</f>
        <v>44103</v>
      </c>
      <c r="I925" s="196"/>
      <c r="J925" s="158"/>
      <c r="K925" s="333"/>
      <c r="L925" s="211"/>
      <c r="M925" s="336"/>
      <c r="N925" s="158"/>
      <c r="O925" s="333"/>
      <c r="P925" s="158"/>
      <c r="Q925" s="338"/>
      <c r="R925" s="81">
        <f t="shared" si="128"/>
        <v>0</v>
      </c>
      <c r="S925" s="258"/>
      <c r="T925" s="333"/>
      <c r="U925" s="158"/>
      <c r="V925" s="333"/>
      <c r="W925" s="158"/>
      <c r="X925" s="333"/>
      <c r="Y925" s="158"/>
      <c r="Z925" s="1002"/>
      <c r="AA925" s="1003"/>
      <c r="AB925" s="1004" t="str">
        <f t="shared" si="129"/>
        <v/>
      </c>
      <c r="AC925" s="1082" t="str">
        <f t="shared" si="130"/>
        <v/>
      </c>
      <c r="AD925" s="1004"/>
      <c r="AE925" s="1004"/>
      <c r="AF925" s="1084" t="str">
        <f t="shared" si="131"/>
        <v/>
      </c>
      <c r="AG925" s="1082" t="str">
        <f t="shared" si="132"/>
        <v/>
      </c>
      <c r="AH925" s="1092"/>
      <c r="AI925" s="1087"/>
      <c r="AJ925" s="1084" t="str">
        <f t="shared" si="133"/>
        <v/>
      </c>
      <c r="AK925" s="1083" t="str">
        <f t="shared" si="134"/>
        <v/>
      </c>
      <c r="AL925" s="211">
        <f>1240000+200000</f>
        <v>1440000</v>
      </c>
      <c r="AM925" s="211"/>
      <c r="AN925" s="211"/>
      <c r="AO925" s="211"/>
      <c r="AP925" s="211"/>
      <c r="AQ925" s="211"/>
      <c r="AR925" s="211"/>
      <c r="AS925" s="211"/>
      <c r="AT925" s="211"/>
      <c r="AU925" s="211"/>
      <c r="AV925" s="211"/>
      <c r="AW925" s="211"/>
      <c r="AX925" s="211"/>
      <c r="AY925" s="211"/>
      <c r="AZ925" s="211"/>
      <c r="BA925" s="211"/>
      <c r="BB925" s="211"/>
      <c r="BC925" s="211"/>
      <c r="BD925" s="333">
        <v>44158</v>
      </c>
      <c r="BE925" s="82">
        <f t="shared" si="126"/>
        <v>1440000</v>
      </c>
    </row>
    <row r="926" spans="2:57" ht="30.6" hidden="1" x14ac:dyDescent="0.3">
      <c r="B926" s="2" t="str">
        <f>+'Base de Datos'!E926</f>
        <v>200180-0-2020</v>
      </c>
      <c r="C926" s="2" t="str">
        <f>+'Base de Datos'!F926</f>
        <v>NICOLAS ZERDA GALLOR</v>
      </c>
      <c r="D926" s="2">
        <f>+'Base de Datos'!G926</f>
        <v>1010242936</v>
      </c>
      <c r="E926" s="2" t="str">
        <f>+'Base de Datos'!H926</f>
        <v>Prestar los servicios de apoyo a la Dirección Administrativa del Concejo de Bogotá, en seguimiento del Plan Integral de Movilidad Sostenible y del Plan de Movilidad de la Entidad.</v>
      </c>
      <c r="F926" s="197">
        <f>+'Base de Datos'!I926</f>
        <v>17560000</v>
      </c>
      <c r="G926" s="196">
        <f>+'Base de Datos'!M926</f>
        <v>43985</v>
      </c>
      <c r="H926" s="196">
        <f>+'Base de Datos'!N926</f>
        <v>44196</v>
      </c>
      <c r="I926" s="196"/>
      <c r="J926" s="158"/>
      <c r="K926" s="333"/>
      <c r="L926" s="211"/>
      <c r="M926" s="336"/>
      <c r="N926" s="158"/>
      <c r="O926" s="333"/>
      <c r="P926" s="158"/>
      <c r="Q926" s="338"/>
      <c r="R926" s="81">
        <f t="shared" si="128"/>
        <v>0</v>
      </c>
      <c r="S926" s="258"/>
      <c r="T926" s="333"/>
      <c r="U926" s="158"/>
      <c r="V926" s="333"/>
      <c r="W926" s="158"/>
      <c r="X926" s="333"/>
      <c r="Y926" s="158"/>
      <c r="Z926" s="1002"/>
      <c r="AA926" s="1003"/>
      <c r="AB926" s="1004" t="str">
        <f t="shared" si="129"/>
        <v/>
      </c>
      <c r="AC926" s="1082" t="str">
        <f t="shared" si="130"/>
        <v/>
      </c>
      <c r="AD926" s="1004"/>
      <c r="AE926" s="1004"/>
      <c r="AF926" s="1084" t="str">
        <f t="shared" si="131"/>
        <v/>
      </c>
      <c r="AG926" s="1082" t="str">
        <f t="shared" si="132"/>
        <v/>
      </c>
      <c r="AH926" s="1092"/>
      <c r="AI926" s="1087"/>
      <c r="AJ926" s="1084" t="str">
        <f t="shared" si="133"/>
        <v/>
      </c>
      <c r="AK926" s="1083" t="str">
        <f t="shared" si="134"/>
        <v/>
      </c>
      <c r="AL926" s="211">
        <v>2048667</v>
      </c>
      <c r="AM926" s="211">
        <v>2195000</v>
      </c>
      <c r="AN926" s="211">
        <v>2195000</v>
      </c>
      <c r="AO926" s="211">
        <v>2195000</v>
      </c>
      <c r="AP926" s="211">
        <v>2195000</v>
      </c>
      <c r="AQ926" s="211">
        <v>2195000</v>
      </c>
      <c r="AR926" s="211"/>
      <c r="AS926" s="211"/>
      <c r="AT926" s="211"/>
      <c r="AU926" s="211"/>
      <c r="AV926" s="211"/>
      <c r="AW926" s="211"/>
      <c r="AX926" s="211"/>
      <c r="AY926" s="211"/>
      <c r="AZ926" s="211"/>
      <c r="BA926" s="211"/>
      <c r="BB926" s="211"/>
      <c r="BC926" s="211"/>
      <c r="BD926" s="333">
        <v>44174</v>
      </c>
      <c r="BE926" s="82">
        <f t="shared" si="126"/>
        <v>13023667</v>
      </c>
    </row>
    <row r="927" spans="2:57" ht="30.6" hidden="1" x14ac:dyDescent="0.3">
      <c r="B927" s="2" t="str">
        <f>+'Base de Datos'!E927</f>
        <v>200181-0-2020</v>
      </c>
      <c r="C927" s="2" t="str">
        <f>+'Base de Datos'!F927</f>
        <v>RURAL EXPRESS S.A.S</v>
      </c>
      <c r="D927" s="2">
        <f>+'Base de Datos'!G927</f>
        <v>900251060</v>
      </c>
      <c r="E927" s="2" t="str">
        <f>+'Base de Datos'!H927</f>
        <v>Prestar el servicio de transporte de bienes muebles, equipos de oficina y cajas de archivo documental para la Secretaria Distrital de Hacienda y el Concejo de Bogotá</v>
      </c>
      <c r="F927" s="197">
        <f>+'Base de Datos'!I927</f>
        <v>6763400</v>
      </c>
      <c r="G927" s="196">
        <f>+'Base de Datos'!M927</f>
        <v>44070</v>
      </c>
      <c r="H927" s="196">
        <f>+'Base de Datos'!N927</f>
        <v>44434</v>
      </c>
      <c r="I927" s="196"/>
      <c r="J927" s="158"/>
      <c r="K927" s="333"/>
      <c r="L927" s="211"/>
      <c r="M927" s="336"/>
      <c r="N927" s="158"/>
      <c r="O927" s="333"/>
      <c r="P927" s="158"/>
      <c r="Q927" s="338"/>
      <c r="R927" s="81">
        <f t="shared" si="128"/>
        <v>0</v>
      </c>
      <c r="S927" s="258"/>
      <c r="T927" s="333"/>
      <c r="U927" s="158"/>
      <c r="V927" s="333"/>
      <c r="W927" s="158"/>
      <c r="X927" s="333"/>
      <c r="Y927" s="158"/>
      <c r="Z927" s="1002"/>
      <c r="AA927" s="1003"/>
      <c r="AB927" s="1004" t="str">
        <f t="shared" si="129"/>
        <v/>
      </c>
      <c r="AC927" s="1082" t="str">
        <f t="shared" si="130"/>
        <v/>
      </c>
      <c r="AD927" s="1004"/>
      <c r="AE927" s="1004"/>
      <c r="AF927" s="1084" t="str">
        <f t="shared" si="131"/>
        <v/>
      </c>
      <c r="AG927" s="1082" t="str">
        <f t="shared" si="132"/>
        <v/>
      </c>
      <c r="AH927" s="1092"/>
      <c r="AI927" s="1087"/>
      <c r="AJ927" s="1084" t="str">
        <f t="shared" si="133"/>
        <v/>
      </c>
      <c r="AK927" s="1083" t="str">
        <f t="shared" si="134"/>
        <v/>
      </c>
      <c r="AL927" s="211">
        <v>1840600</v>
      </c>
      <c r="AM927" s="211"/>
      <c r="AN927" s="211"/>
      <c r="AO927" s="211"/>
      <c r="AP927" s="211"/>
      <c r="AQ927" s="211"/>
      <c r="AR927" s="211"/>
      <c r="AS927" s="211"/>
      <c r="AT927" s="211"/>
      <c r="AU927" s="211"/>
      <c r="AV927" s="211"/>
      <c r="AW927" s="211"/>
      <c r="AX927" s="211"/>
      <c r="AY927" s="211"/>
      <c r="AZ927" s="211"/>
      <c r="BA927" s="211"/>
      <c r="BB927" s="211"/>
      <c r="BC927" s="211"/>
      <c r="BD927" s="333">
        <v>44141</v>
      </c>
      <c r="BE927" s="82">
        <f t="shared" si="126"/>
        <v>1840600</v>
      </c>
    </row>
    <row r="928" spans="2:57" ht="51" hidden="1" x14ac:dyDescent="0.3">
      <c r="B928" s="2" t="str">
        <f>+'Base de Datos'!E928</f>
        <v>200184-0-2020</v>
      </c>
      <c r="C928" s="2" t="str">
        <f>+'Base de Datos'!F928</f>
        <v>GRAN IMAGEN SAS</v>
      </c>
      <c r="D928" s="2">
        <f>+'Base de Datos'!G928</f>
        <v>830023178</v>
      </c>
      <c r="E928" s="2" t="str">
        <f>+'Base de Datos'!H928</f>
        <v>Prestar los servicios integrales de fotocopiado y servicios afines para el Concejo de Bogotá, D.C., de conformidad con lo establecido en el pliego de condiciones de la Selección Abreviada por Subasta Inversa Electrónica No. SDH-SIE-03-2020 y la propuesta presentada por el contratista.</v>
      </c>
      <c r="F928" s="197">
        <f>+'Base de Datos'!I928</f>
        <v>24021932.5</v>
      </c>
      <c r="G928" s="196">
        <f>+'Base de Datos'!M928</f>
        <v>44091</v>
      </c>
      <c r="H928" s="196">
        <f>+'Base de Datos'!N928</f>
        <v>44183</v>
      </c>
      <c r="I928" s="196"/>
      <c r="J928" s="158"/>
      <c r="K928" s="333"/>
      <c r="L928" s="211"/>
      <c r="M928" s="336"/>
      <c r="N928" s="158"/>
      <c r="O928" s="333"/>
      <c r="P928" s="158"/>
      <c r="Q928" s="338"/>
      <c r="R928" s="81">
        <f t="shared" si="128"/>
        <v>0</v>
      </c>
      <c r="S928" s="258"/>
      <c r="T928" s="333"/>
      <c r="U928" s="158"/>
      <c r="V928" s="333"/>
      <c r="W928" s="158"/>
      <c r="X928" s="333"/>
      <c r="Y928" s="158"/>
      <c r="Z928" s="1002"/>
      <c r="AA928" s="1003"/>
      <c r="AB928" s="1004" t="str">
        <f t="shared" si="129"/>
        <v/>
      </c>
      <c r="AC928" s="1082" t="str">
        <f t="shared" si="130"/>
        <v/>
      </c>
      <c r="AD928" s="1004"/>
      <c r="AE928" s="1004"/>
      <c r="AF928" s="1084" t="str">
        <f t="shared" si="131"/>
        <v/>
      </c>
      <c r="AG928" s="1082" t="str">
        <f t="shared" si="132"/>
        <v/>
      </c>
      <c r="AH928" s="1092"/>
      <c r="AI928" s="1087"/>
      <c r="AJ928" s="1084" t="str">
        <f t="shared" si="133"/>
        <v/>
      </c>
      <c r="AK928" s="1083" t="str">
        <f t="shared" si="134"/>
        <v/>
      </c>
      <c r="AL928" s="211"/>
      <c r="AM928" s="211"/>
      <c r="AN928" s="211"/>
      <c r="AO928" s="211"/>
      <c r="AP928" s="211"/>
      <c r="AQ928" s="211"/>
      <c r="AR928" s="211"/>
      <c r="AS928" s="211"/>
      <c r="AT928" s="211"/>
      <c r="AU928" s="211"/>
      <c r="AV928" s="211"/>
      <c r="AW928" s="211"/>
      <c r="AX928" s="211"/>
      <c r="AY928" s="211"/>
      <c r="AZ928" s="211"/>
      <c r="BA928" s="211"/>
      <c r="BB928" s="211"/>
      <c r="BC928" s="211"/>
      <c r="BD928" s="333"/>
      <c r="BE928" s="82">
        <f t="shared" si="126"/>
        <v>0</v>
      </c>
    </row>
    <row r="929" spans="2:57" ht="40.799999999999997" hidden="1" x14ac:dyDescent="0.3">
      <c r="B929" s="2" t="str">
        <f>+'Base de Datos'!E929</f>
        <v>200193-0-2020</v>
      </c>
      <c r="C929" s="2" t="str">
        <f>+'Base de Datos'!F929</f>
        <v>FAVIAN OCTAVIO JAIMES JAIMES</v>
      </c>
      <c r="D929" s="2">
        <f>+'Base de Datos'!G929</f>
        <v>77194260</v>
      </c>
      <c r="E929" s="2" t="str">
        <f>+'Base de Datos'!H929</f>
        <v>Suministro de elementos de protección personal para los servidores del Concejo de Bogotá y bienes para el cumplimiento de protocolos de bioseguridad, de conformidad con lo establecido en la presente invitación pública.</v>
      </c>
      <c r="F929" s="197">
        <f>+'Base de Datos'!I929</f>
        <v>21170000</v>
      </c>
      <c r="G929" s="196">
        <f>+'Base de Datos'!M929</f>
        <v>44005</v>
      </c>
      <c r="H929" s="196">
        <f>+'Base de Datos'!N929</f>
        <v>44065</v>
      </c>
      <c r="I929" s="196"/>
      <c r="J929" s="158"/>
      <c r="K929" s="333"/>
      <c r="L929" s="211"/>
      <c r="M929" s="336"/>
      <c r="N929" s="158"/>
      <c r="O929" s="333"/>
      <c r="P929" s="158"/>
      <c r="Q929" s="338"/>
      <c r="R929" s="81">
        <f t="shared" si="128"/>
        <v>0</v>
      </c>
      <c r="S929" s="258"/>
      <c r="T929" s="333"/>
      <c r="U929" s="158"/>
      <c r="V929" s="333"/>
      <c r="W929" s="158"/>
      <c r="X929" s="333"/>
      <c r="Y929" s="158"/>
      <c r="Z929" s="1002"/>
      <c r="AA929" s="1003"/>
      <c r="AB929" s="1004" t="str">
        <f t="shared" si="129"/>
        <v/>
      </c>
      <c r="AC929" s="1082" t="str">
        <f t="shared" si="130"/>
        <v/>
      </c>
      <c r="AD929" s="1004"/>
      <c r="AE929" s="1004"/>
      <c r="AF929" s="1084" t="str">
        <f t="shared" si="131"/>
        <v/>
      </c>
      <c r="AG929" s="1082" t="str">
        <f t="shared" si="132"/>
        <v/>
      </c>
      <c r="AH929" s="1092"/>
      <c r="AI929" s="1087"/>
      <c r="AJ929" s="1084" t="str">
        <f t="shared" si="133"/>
        <v/>
      </c>
      <c r="AK929" s="1083" t="str">
        <f t="shared" si="134"/>
        <v/>
      </c>
      <c r="AL929" s="211">
        <f>1544999+19625000</f>
        <v>21169999</v>
      </c>
      <c r="AM929" s="211"/>
      <c r="AN929" s="211"/>
      <c r="AO929" s="211"/>
      <c r="AP929" s="211"/>
      <c r="AQ929" s="211"/>
      <c r="AR929" s="211"/>
      <c r="AS929" s="211"/>
      <c r="AT929" s="211"/>
      <c r="AU929" s="211"/>
      <c r="AV929" s="211"/>
      <c r="AW929" s="211"/>
      <c r="AX929" s="211"/>
      <c r="AY929" s="211"/>
      <c r="AZ929" s="211"/>
      <c r="BA929" s="211"/>
      <c r="BB929" s="211"/>
      <c r="BC929" s="211"/>
      <c r="BD929" s="333">
        <v>44165</v>
      </c>
      <c r="BE929" s="82">
        <f t="shared" si="126"/>
        <v>21169999</v>
      </c>
    </row>
    <row r="930" spans="2:57" ht="30.6" hidden="1" x14ac:dyDescent="0.3">
      <c r="B930" s="2" t="str">
        <f>+'Base de Datos'!E930</f>
        <v>200208-0-2020</v>
      </c>
      <c r="C930" s="2" t="str">
        <f>+'Base de Datos'!F930</f>
        <v>GREEN FON GROUP S A S</v>
      </c>
      <c r="D930" s="2">
        <f>+'Base de Datos'!G930</f>
        <v>900446648</v>
      </c>
      <c r="E930" s="2" t="str">
        <f>+'Base de Datos'!H930</f>
        <v>Prover servicios de soporte y actualización de licencias Corel Draw y suscripción de licencias adobe photoshop del Concejo de Bogotá</v>
      </c>
      <c r="F930" s="197">
        <f>+'Base de Datos'!I930</f>
        <v>32467000</v>
      </c>
      <c r="G930" s="196">
        <f>+'Base de Datos'!M930</f>
        <v>44039</v>
      </c>
      <c r="H930" s="196">
        <f>+'Base de Datos'!N930</f>
        <v>44403</v>
      </c>
      <c r="I930" s="196"/>
      <c r="J930" s="158"/>
      <c r="K930" s="333"/>
      <c r="L930" s="211"/>
      <c r="M930" s="336"/>
      <c r="N930" s="158"/>
      <c r="O930" s="333"/>
      <c r="P930" s="158"/>
      <c r="Q930" s="338"/>
      <c r="R930" s="81">
        <f t="shared" si="128"/>
        <v>0</v>
      </c>
      <c r="S930" s="258"/>
      <c r="T930" s="333"/>
      <c r="U930" s="158"/>
      <c r="V930" s="333"/>
      <c r="W930" s="158"/>
      <c r="X930" s="333"/>
      <c r="Y930" s="158"/>
      <c r="Z930" s="1002"/>
      <c r="AA930" s="1003"/>
      <c r="AB930" s="1004" t="str">
        <f t="shared" si="129"/>
        <v/>
      </c>
      <c r="AC930" s="1082" t="str">
        <f t="shared" si="130"/>
        <v/>
      </c>
      <c r="AD930" s="1004"/>
      <c r="AE930" s="1004"/>
      <c r="AF930" s="1084" t="str">
        <f t="shared" si="131"/>
        <v/>
      </c>
      <c r="AG930" s="1082" t="str">
        <f t="shared" si="132"/>
        <v/>
      </c>
      <c r="AH930" s="1092"/>
      <c r="AI930" s="1087"/>
      <c r="AJ930" s="1084" t="str">
        <f t="shared" si="133"/>
        <v/>
      </c>
      <c r="AK930" s="1083" t="str">
        <f t="shared" si="134"/>
        <v/>
      </c>
      <c r="AL930" s="211"/>
      <c r="AM930" s="211"/>
      <c r="AN930" s="211"/>
      <c r="AO930" s="211"/>
      <c r="AP930" s="211"/>
      <c r="AQ930" s="211"/>
      <c r="AR930" s="211"/>
      <c r="AS930" s="211"/>
      <c r="AT930" s="211"/>
      <c r="AU930" s="211"/>
      <c r="AV930" s="211"/>
      <c r="AW930" s="211"/>
      <c r="AX930" s="211"/>
      <c r="AY930" s="211"/>
      <c r="AZ930" s="211"/>
      <c r="BA930" s="211"/>
      <c r="BB930" s="211"/>
      <c r="BC930" s="211"/>
      <c r="BD930" s="333"/>
      <c r="BE930" s="82">
        <f t="shared" si="126"/>
        <v>0</v>
      </c>
    </row>
    <row r="931" spans="2:57" ht="30.6" hidden="1" x14ac:dyDescent="0.3">
      <c r="B931" s="2" t="str">
        <f>+'Base de Datos'!E931</f>
        <v>200203-0-2020</v>
      </c>
      <c r="C931" s="2" t="str">
        <f>+'Base de Datos'!F931</f>
        <v>MARIA ANGELICA LARA SOLER</v>
      </c>
      <c r="D931" s="2">
        <f>+'Base de Datos'!G931</f>
        <v>52996607</v>
      </c>
      <c r="E931" s="2" t="str">
        <f>+'Base de Datos'!H931</f>
        <v>Prestar los servicios de apoyo operativo para la actualización del SIG para el proceso de Gestión de Recursos Físicos de la Dirección Administrativa del Concejo de Bogotá D.C.</v>
      </c>
      <c r="F931" s="197">
        <f>+'Base de Datos'!I931</f>
        <v>14046000</v>
      </c>
      <c r="G931" s="196">
        <f>+'Base de Datos'!M931</f>
        <v>44015</v>
      </c>
      <c r="H931" s="196">
        <f>+'Base de Datos'!N931</f>
        <v>44196</v>
      </c>
      <c r="I931" s="196"/>
      <c r="J931" s="158"/>
      <c r="K931" s="333"/>
      <c r="L931" s="211"/>
      <c r="M931" s="336"/>
      <c r="N931" s="158"/>
      <c r="O931" s="333"/>
      <c r="P931" s="158"/>
      <c r="Q931" s="338"/>
      <c r="R931" s="81">
        <f t="shared" si="128"/>
        <v>0</v>
      </c>
      <c r="S931" s="258"/>
      <c r="T931" s="333"/>
      <c r="U931" s="158"/>
      <c r="V931" s="333"/>
      <c r="W931" s="158"/>
      <c r="X931" s="333"/>
      <c r="Y931" s="158"/>
      <c r="Z931" s="1002"/>
      <c r="AA931" s="1003"/>
      <c r="AB931" s="1004" t="str">
        <f t="shared" si="129"/>
        <v/>
      </c>
      <c r="AC931" s="1082" t="str">
        <f t="shared" si="130"/>
        <v/>
      </c>
      <c r="AD931" s="1004"/>
      <c r="AE931" s="1004"/>
      <c r="AF931" s="1084" t="str">
        <f t="shared" si="131"/>
        <v/>
      </c>
      <c r="AG931" s="1082" t="str">
        <f t="shared" si="132"/>
        <v/>
      </c>
      <c r="AH931" s="1092"/>
      <c r="AI931" s="1087"/>
      <c r="AJ931" s="1084" t="str">
        <f t="shared" si="133"/>
        <v/>
      </c>
      <c r="AK931" s="1083" t="str">
        <f t="shared" si="134"/>
        <v/>
      </c>
      <c r="AL931" s="211">
        <v>2184933</v>
      </c>
      <c r="AM931" s="211">
        <v>2341000</v>
      </c>
      <c r="AN931" s="211">
        <v>2341000</v>
      </c>
      <c r="AO931" s="211">
        <v>2341000</v>
      </c>
      <c r="AP931" s="211">
        <v>2341000</v>
      </c>
      <c r="AQ931" s="211">
        <v>2341000</v>
      </c>
      <c r="AR931" s="211"/>
      <c r="AS931" s="211"/>
      <c r="AT931" s="211"/>
      <c r="AU931" s="211"/>
      <c r="AV931" s="211"/>
      <c r="AW931" s="211"/>
      <c r="AX931" s="211"/>
      <c r="AY931" s="211"/>
      <c r="AZ931" s="211"/>
      <c r="BA931" s="211"/>
      <c r="BB931" s="211"/>
      <c r="BC931" s="211"/>
      <c r="BD931" s="333">
        <v>44196</v>
      </c>
      <c r="BE931" s="82">
        <f t="shared" si="126"/>
        <v>13889933</v>
      </c>
    </row>
    <row r="932" spans="2:57" ht="51" hidden="1" x14ac:dyDescent="0.3">
      <c r="B932" s="2" t="str">
        <f>+'Base de Datos'!E932</f>
        <v>200209-0-2020</v>
      </c>
      <c r="C932" s="2" t="str">
        <f>+'Base de Datos'!F932</f>
        <v>DIANA XIOMARA GIL</v>
      </c>
      <c r="D932" s="2">
        <f>+'Base de Datos'!G932</f>
        <v>52698555</v>
      </c>
      <c r="E932" s="2" t="str">
        <f>+'Base de Datos'!H932</f>
        <v>Prestar servicios profesionales para apoyar la Oficina Asesora de Comunicaciones en lo referente a la recolección, monitoreo y análisis de datos de interacción a través de los canales digitales que tiene dispuesto el Concejo de Bogotá para sus cabildantes.</v>
      </c>
      <c r="F932" s="197">
        <f>+'Base de Datos'!I932</f>
        <v>24584000</v>
      </c>
      <c r="G932" s="196">
        <f>+'Base de Datos'!M932</f>
        <v>44013</v>
      </c>
      <c r="H932" s="196">
        <f>+'Base de Datos'!N932</f>
        <v>44196</v>
      </c>
      <c r="I932" s="196"/>
      <c r="J932" s="158"/>
      <c r="K932" s="333"/>
      <c r="L932" s="211"/>
      <c r="M932" s="336"/>
      <c r="N932" s="158"/>
      <c r="O932" s="333"/>
      <c r="P932" s="158"/>
      <c r="Q932" s="338"/>
      <c r="R932" s="81">
        <f t="shared" si="128"/>
        <v>0</v>
      </c>
      <c r="S932" s="258"/>
      <c r="T932" s="333"/>
      <c r="U932" s="158"/>
      <c r="V932" s="333"/>
      <c r="W932" s="158"/>
      <c r="X932" s="333"/>
      <c r="Y932" s="158"/>
      <c r="Z932" s="1002"/>
      <c r="AA932" s="1003"/>
      <c r="AB932" s="1004" t="str">
        <f t="shared" si="129"/>
        <v/>
      </c>
      <c r="AC932" s="1082" t="str">
        <f t="shared" si="130"/>
        <v/>
      </c>
      <c r="AD932" s="1004"/>
      <c r="AE932" s="1004"/>
      <c r="AF932" s="1084" t="str">
        <f t="shared" si="131"/>
        <v/>
      </c>
      <c r="AG932" s="1082" t="str">
        <f t="shared" si="132"/>
        <v/>
      </c>
      <c r="AH932" s="1092"/>
      <c r="AI932" s="1087"/>
      <c r="AJ932" s="1084" t="str">
        <f t="shared" si="133"/>
        <v/>
      </c>
      <c r="AK932" s="1083" t="str">
        <f t="shared" si="134"/>
        <v/>
      </c>
      <c r="AL932" s="211">
        <v>3512000</v>
      </c>
      <c r="AM932" s="211">
        <v>3512000</v>
      </c>
      <c r="AN932" s="211">
        <v>3512000</v>
      </c>
      <c r="AO932" s="211">
        <v>3512000</v>
      </c>
      <c r="AP932" s="211">
        <v>3512000</v>
      </c>
      <c r="AQ932" s="211">
        <v>3512000</v>
      </c>
      <c r="AR932" s="211"/>
      <c r="AS932" s="211"/>
      <c r="AT932" s="211"/>
      <c r="AU932" s="211"/>
      <c r="AV932" s="211"/>
      <c r="AW932" s="211"/>
      <c r="AX932" s="211"/>
      <c r="AY932" s="211"/>
      <c r="AZ932" s="211"/>
      <c r="BA932" s="211"/>
      <c r="BB932" s="211"/>
      <c r="BC932" s="211"/>
      <c r="BD932" s="333">
        <v>44195</v>
      </c>
      <c r="BE932" s="82">
        <f t="shared" si="126"/>
        <v>21072000</v>
      </c>
    </row>
    <row r="933" spans="2:57" ht="71.400000000000006" hidden="1" x14ac:dyDescent="0.3">
      <c r="B933" s="2" t="str">
        <f>+'Base de Datos'!E933</f>
        <v>200201-0-2020</v>
      </c>
      <c r="C933" s="2" t="str">
        <f>+'Base de Datos'!F933</f>
        <v>OLGA LUCIA VASQUEZ BARRIOS</v>
      </c>
      <c r="D933" s="2">
        <f>+'Base de Datos'!G933</f>
        <v>52498257</v>
      </c>
      <c r="E933" s="2" t="str">
        <f>+'Base de Datos'!H933</f>
        <v>Prestar los servicios profesionales a la Dirección Administrativa en la gestión del proceso de seguridad y salud en el trabajo, en lo relacionado con la atención y seguimiento de los funcionarios en situaciones de emergencia en salud y garantizar las actividades de capacitación y prevención del plan de emergencias y de las actividades de promoción y prevención en salud Covid 19, para el Concejo de Bogotá D.C.</v>
      </c>
      <c r="F933" s="197">
        <f>+'Base de Datos'!I933</f>
        <v>21072000</v>
      </c>
      <c r="G933" s="196">
        <f>+'Base de Datos'!M933</f>
        <v>44015</v>
      </c>
      <c r="H933" s="196">
        <f>+'Base de Datos'!N933</f>
        <v>44114</v>
      </c>
      <c r="I933" s="196"/>
      <c r="J933" s="158"/>
      <c r="K933" s="333"/>
      <c r="L933" s="211"/>
      <c r="M933" s="336"/>
      <c r="N933" s="158"/>
      <c r="O933" s="333"/>
      <c r="P933" s="158"/>
      <c r="Q933" s="338"/>
      <c r="R933" s="81">
        <f t="shared" si="128"/>
        <v>0</v>
      </c>
      <c r="S933" s="258"/>
      <c r="T933" s="333"/>
      <c r="U933" s="158"/>
      <c r="V933" s="333"/>
      <c r="W933" s="158"/>
      <c r="X933" s="333"/>
      <c r="Y933" s="158"/>
      <c r="Z933" s="1002"/>
      <c r="AA933" s="1003"/>
      <c r="AB933" s="1004" t="str">
        <f t="shared" si="129"/>
        <v/>
      </c>
      <c r="AC933" s="1082" t="str">
        <f t="shared" si="130"/>
        <v/>
      </c>
      <c r="AD933" s="1004"/>
      <c r="AE933" s="1004"/>
      <c r="AF933" s="1084" t="str">
        <f t="shared" si="131"/>
        <v/>
      </c>
      <c r="AG933" s="1082" t="str">
        <f t="shared" si="132"/>
        <v/>
      </c>
      <c r="AH933" s="1092"/>
      <c r="AI933" s="1087"/>
      <c r="AJ933" s="1084" t="str">
        <f t="shared" si="133"/>
        <v/>
      </c>
      <c r="AK933" s="1083" t="str">
        <f t="shared" si="134"/>
        <v/>
      </c>
      <c r="AL933" s="211">
        <v>3277866</v>
      </c>
      <c r="AM933" s="211">
        <v>3512000</v>
      </c>
      <c r="AN933" s="211">
        <v>3512000</v>
      </c>
      <c r="AO933" s="211">
        <v>1170667</v>
      </c>
      <c r="AP933" s="211"/>
      <c r="AQ933" s="211"/>
      <c r="AR933" s="211"/>
      <c r="AS933" s="211"/>
      <c r="AT933" s="211"/>
      <c r="AU933" s="211"/>
      <c r="AV933" s="211"/>
      <c r="AW933" s="211"/>
      <c r="AX933" s="211"/>
      <c r="AY933" s="211"/>
      <c r="AZ933" s="211"/>
      <c r="BA933" s="211"/>
      <c r="BB933" s="211"/>
      <c r="BC933" s="211"/>
      <c r="BD933" s="333">
        <v>44179</v>
      </c>
      <c r="BE933" s="82">
        <f t="shared" si="126"/>
        <v>11472533</v>
      </c>
    </row>
    <row r="934" spans="2:57" ht="51" hidden="1" x14ac:dyDescent="0.3">
      <c r="B934" s="2" t="str">
        <f>+'Base de Datos'!E934</f>
        <v>200210-0-2020</v>
      </c>
      <c r="C934" s="2" t="str">
        <f>+'Base de Datos'!F934</f>
        <v>JHON JAIRO ACUÑA PEREZ</v>
      </c>
      <c r="D934" s="2">
        <f>+'Base de Datos'!G934</f>
        <v>79661279</v>
      </c>
      <c r="E934" s="2" t="str">
        <f>+'Base de Datos'!H934</f>
        <v>Prestar servicios profesionales para apoyar la Oficina Asesora de Comunicaciones en lo referente a la divulgación de las actividades de participación ciudadana en el Concejo de Bogotá a través de los diferentes canales de tecnologías de la información y las comunicaciones</v>
      </c>
      <c r="F934" s="197">
        <f>+'Base de Datos'!I934</f>
        <v>18320000</v>
      </c>
      <c r="G934" s="196">
        <f>+'Base de Datos'!M934</f>
        <v>44018</v>
      </c>
      <c r="H934" s="196">
        <f>+'Base de Datos'!N934</f>
        <v>44140</v>
      </c>
      <c r="I934" s="196"/>
      <c r="J934" s="158"/>
      <c r="K934" s="333"/>
      <c r="L934" s="211"/>
      <c r="M934" s="336"/>
      <c r="N934" s="158"/>
      <c r="O934" s="333"/>
      <c r="P934" s="158"/>
      <c r="Q934" s="338"/>
      <c r="R934" s="81">
        <f t="shared" si="128"/>
        <v>0</v>
      </c>
      <c r="S934" s="258"/>
      <c r="T934" s="333"/>
      <c r="U934" s="158"/>
      <c r="V934" s="333"/>
      <c r="W934" s="158"/>
      <c r="X934" s="333"/>
      <c r="Y934" s="158"/>
      <c r="Z934" s="1002"/>
      <c r="AA934" s="1003"/>
      <c r="AB934" s="1004" t="str">
        <f t="shared" si="129"/>
        <v/>
      </c>
      <c r="AC934" s="1082" t="str">
        <f t="shared" si="130"/>
        <v/>
      </c>
      <c r="AD934" s="1004"/>
      <c r="AE934" s="1004"/>
      <c r="AF934" s="1084" t="str">
        <f t="shared" si="131"/>
        <v/>
      </c>
      <c r="AG934" s="1082" t="str">
        <f t="shared" si="132"/>
        <v/>
      </c>
      <c r="AH934" s="1092"/>
      <c r="AI934" s="1087"/>
      <c r="AJ934" s="1084" t="str">
        <f t="shared" si="133"/>
        <v/>
      </c>
      <c r="AK934" s="1083" t="str">
        <f t="shared" si="134"/>
        <v/>
      </c>
      <c r="AL934" s="211">
        <v>3816667</v>
      </c>
      <c r="AM934" s="211">
        <v>4580000</v>
      </c>
      <c r="AN934" s="211">
        <v>4580000</v>
      </c>
      <c r="AO934" s="211">
        <v>4580000</v>
      </c>
      <c r="AP934" s="211">
        <v>763333</v>
      </c>
      <c r="AQ934" s="211"/>
      <c r="AR934" s="211"/>
      <c r="AS934" s="211"/>
      <c r="AT934" s="211"/>
      <c r="AU934" s="211"/>
      <c r="AV934" s="211"/>
      <c r="AW934" s="211"/>
      <c r="AX934" s="211"/>
      <c r="AY934" s="211"/>
      <c r="AZ934" s="211"/>
      <c r="BA934" s="211"/>
      <c r="BB934" s="211"/>
      <c r="BC934" s="211"/>
      <c r="BD934" s="333">
        <v>44176</v>
      </c>
      <c r="BE934" s="82">
        <f t="shared" si="126"/>
        <v>18320000</v>
      </c>
    </row>
    <row r="935" spans="2:57" ht="40.799999999999997" hidden="1" x14ac:dyDescent="0.3">
      <c r="B935" s="2" t="str">
        <f>+'Base de Datos'!E935</f>
        <v>200212-0-2020</v>
      </c>
      <c r="C935" s="2" t="str">
        <f>+'Base de Datos'!F935</f>
        <v>PATRICIA IMELDA TRIANA CARDENAS</v>
      </c>
      <c r="D935" s="2">
        <f>+'Base de Datos'!G935</f>
        <v>51624539</v>
      </c>
      <c r="E935" s="2" t="str">
        <f>+'Base de Datos'!H935</f>
        <v>Prestar servicios profesionales para apoyar la Dirección Administrativa en la gestión de las actividades relacionadas con el seguimiento a la ejecución contractual y procesos de liquidación de los expedientes contractuales.</v>
      </c>
      <c r="F935" s="197">
        <f>+'Base de Datos'!I935</f>
        <v>44555000</v>
      </c>
      <c r="G935" s="196">
        <f>+'Base de Datos'!M935</f>
        <v>44022</v>
      </c>
      <c r="H935" s="196">
        <f>+'Base de Datos'!N935</f>
        <v>44196</v>
      </c>
      <c r="I935" s="196"/>
      <c r="J935" s="158"/>
      <c r="K935" s="333"/>
      <c r="L935" s="211"/>
      <c r="M935" s="336"/>
      <c r="N935" s="158"/>
      <c r="O935" s="333"/>
      <c r="P935" s="158"/>
      <c r="Q935" s="338"/>
      <c r="R935" s="81">
        <f t="shared" si="128"/>
        <v>0</v>
      </c>
      <c r="S935" s="258"/>
      <c r="T935" s="333"/>
      <c r="U935" s="158"/>
      <c r="V935" s="333"/>
      <c r="W935" s="158"/>
      <c r="X935" s="333"/>
      <c r="Y935" s="158"/>
      <c r="Z935" s="1002"/>
      <c r="AA935" s="1003"/>
      <c r="AB935" s="1004" t="str">
        <f t="shared" si="129"/>
        <v/>
      </c>
      <c r="AC935" s="1082" t="str">
        <f t="shared" si="130"/>
        <v/>
      </c>
      <c r="AD935" s="1004"/>
      <c r="AE935" s="1004"/>
      <c r="AF935" s="1084" t="str">
        <f t="shared" si="131"/>
        <v/>
      </c>
      <c r="AG935" s="1082" t="str">
        <f t="shared" si="132"/>
        <v/>
      </c>
      <c r="AH935" s="1092"/>
      <c r="AI935" s="1087"/>
      <c r="AJ935" s="1084" t="str">
        <f t="shared" si="133"/>
        <v/>
      </c>
      <c r="AK935" s="1083" t="str">
        <f t="shared" si="134"/>
        <v/>
      </c>
      <c r="AL935" s="211">
        <v>4455500</v>
      </c>
      <c r="AM935" s="211">
        <v>6365000</v>
      </c>
      <c r="AN935" s="211">
        <v>6365000</v>
      </c>
      <c r="AO935" s="211">
        <v>6365000</v>
      </c>
      <c r="AP935" s="211">
        <v>6365000</v>
      </c>
      <c r="AQ935" s="211">
        <v>6365000</v>
      </c>
      <c r="AR935" s="211"/>
      <c r="AS935" s="211"/>
      <c r="AT935" s="211"/>
      <c r="AU935" s="211"/>
      <c r="AV935" s="211"/>
      <c r="AW935" s="211"/>
      <c r="AX935" s="211"/>
      <c r="AY935" s="211"/>
      <c r="AZ935" s="211"/>
      <c r="BA935" s="211"/>
      <c r="BB935" s="211"/>
      <c r="BC935" s="211"/>
      <c r="BD935" s="333">
        <v>44196</v>
      </c>
      <c r="BE935" s="82">
        <f t="shared" si="126"/>
        <v>36280500</v>
      </c>
    </row>
    <row r="936" spans="2:57" ht="40.799999999999997" hidden="1" x14ac:dyDescent="0.3">
      <c r="B936" s="2" t="str">
        <f>+'Base de Datos'!E936</f>
        <v>200216-0-2020</v>
      </c>
      <c r="C936" s="2" t="str">
        <f>+'Base de Datos'!F936</f>
        <v>RUBEN ESTEBAN BUITRAGO DAZA</v>
      </c>
      <c r="D936" s="2">
        <f>+'Base de Datos'!G936</f>
        <v>80014213</v>
      </c>
      <c r="E936" s="2" t="str">
        <f>+'Base de Datos'!H936</f>
        <v>Prestar los servicios profesionales de apoyo para la realizar la implementación, seguimiento y evaluación de la política de Gobierno digital en el marco de MIPG y los lineamientos dados por MinTIC.</v>
      </c>
      <c r="F936" s="197">
        <f>+'Base de Datos'!I936</f>
        <v>35728000</v>
      </c>
      <c r="G936" s="196">
        <f>+'Base de Datos'!M936</f>
        <v>44025</v>
      </c>
      <c r="H936" s="196">
        <f>+'Base de Datos'!N936</f>
        <v>44196</v>
      </c>
      <c r="I936" s="196"/>
      <c r="J936" s="158"/>
      <c r="K936" s="333"/>
      <c r="L936" s="211"/>
      <c r="M936" s="336"/>
      <c r="N936" s="158"/>
      <c r="O936" s="333"/>
      <c r="P936" s="158"/>
      <c r="Q936" s="338"/>
      <c r="R936" s="81">
        <f t="shared" si="128"/>
        <v>0</v>
      </c>
      <c r="S936" s="258"/>
      <c r="T936" s="333"/>
      <c r="U936" s="158"/>
      <c r="V936" s="333"/>
      <c r="W936" s="158"/>
      <c r="X936" s="333"/>
      <c r="Y936" s="158"/>
      <c r="Z936" s="1002"/>
      <c r="AA936" s="1003"/>
      <c r="AB936" s="1004" t="str">
        <f t="shared" si="129"/>
        <v/>
      </c>
      <c r="AC936" s="1082" t="str">
        <f t="shared" si="130"/>
        <v/>
      </c>
      <c r="AD936" s="1004"/>
      <c r="AE936" s="1004"/>
      <c r="AF936" s="1084" t="str">
        <f t="shared" si="131"/>
        <v/>
      </c>
      <c r="AG936" s="1082" t="str">
        <f t="shared" si="132"/>
        <v/>
      </c>
      <c r="AH936" s="1092"/>
      <c r="AI936" s="1087"/>
      <c r="AJ936" s="1084" t="str">
        <f t="shared" si="133"/>
        <v/>
      </c>
      <c r="AK936" s="1083" t="str">
        <f t="shared" si="134"/>
        <v/>
      </c>
      <c r="AL936" s="211">
        <v>2679600</v>
      </c>
      <c r="AM936" s="211">
        <v>4466000</v>
      </c>
      <c r="AN936" s="211">
        <v>4466000</v>
      </c>
      <c r="AO936" s="211">
        <v>4466000</v>
      </c>
      <c r="AP936" s="211">
        <v>4466000</v>
      </c>
      <c r="AQ936" s="211"/>
      <c r="AR936" s="211"/>
      <c r="AS936" s="211"/>
      <c r="AT936" s="211"/>
      <c r="AU936" s="211"/>
      <c r="AV936" s="211"/>
      <c r="AW936" s="211"/>
      <c r="AX936" s="211"/>
      <c r="AY936" s="211"/>
      <c r="AZ936" s="211"/>
      <c r="BA936" s="211"/>
      <c r="BB936" s="211"/>
      <c r="BC936" s="211"/>
      <c r="BD936" s="333">
        <v>44179</v>
      </c>
      <c r="BE936" s="82">
        <f t="shared" si="126"/>
        <v>20543600</v>
      </c>
    </row>
    <row r="937" spans="2:57" ht="40.799999999999997" hidden="1" x14ac:dyDescent="0.3">
      <c r="B937" s="2" t="str">
        <f>+'Base de Datos'!E937</f>
        <v>200213-0-2020</v>
      </c>
      <c r="C937" s="2" t="str">
        <f>+'Base de Datos'!F937</f>
        <v>TELEACCESS LTDA</v>
      </c>
      <c r="D937" s="2">
        <f>+'Base de Datos'!G937</f>
        <v>900109994</v>
      </c>
      <c r="E937" s="2" t="str">
        <f>+'Base de Datos'!H937</f>
        <v>Realizar el mantenimiento integral, las adecuaciones locativas y las obras de mejora que se requieran, con el suministro de personal, equipo, materiales y repuestos, en las instalaciones físicas del Concejo de Bogotá, D.C.</v>
      </c>
      <c r="F937" s="197">
        <f>+'Base de Datos'!I937</f>
        <v>318288600</v>
      </c>
      <c r="G937" s="196">
        <f>+'Base de Datos'!M937</f>
        <v>44028</v>
      </c>
      <c r="H937" s="196">
        <f>+'Base de Datos'!N937</f>
        <v>44377</v>
      </c>
      <c r="I937" s="196"/>
      <c r="J937" s="158"/>
      <c r="K937" s="333"/>
      <c r="L937" s="211"/>
      <c r="M937" s="336"/>
      <c r="N937" s="158"/>
      <c r="O937" s="333"/>
      <c r="P937" s="158"/>
      <c r="Q937" s="338"/>
      <c r="R937" s="81">
        <f t="shared" si="128"/>
        <v>0</v>
      </c>
      <c r="S937" s="258"/>
      <c r="T937" s="333"/>
      <c r="U937" s="158"/>
      <c r="V937" s="333"/>
      <c r="W937" s="158"/>
      <c r="X937" s="333"/>
      <c r="Y937" s="158"/>
      <c r="Z937" s="1002"/>
      <c r="AA937" s="1003"/>
      <c r="AB937" s="1004" t="str">
        <f t="shared" si="129"/>
        <v/>
      </c>
      <c r="AC937" s="1082" t="str">
        <f t="shared" si="130"/>
        <v/>
      </c>
      <c r="AD937" s="1004"/>
      <c r="AE937" s="1004"/>
      <c r="AF937" s="1084" t="str">
        <f t="shared" si="131"/>
        <v/>
      </c>
      <c r="AG937" s="1082" t="str">
        <f t="shared" si="132"/>
        <v/>
      </c>
      <c r="AH937" s="1092"/>
      <c r="AI937" s="1087"/>
      <c r="AJ937" s="1084" t="str">
        <f t="shared" si="133"/>
        <v/>
      </c>
      <c r="AK937" s="1083" t="str">
        <f t="shared" si="134"/>
        <v/>
      </c>
      <c r="AL937" s="211">
        <v>24583016</v>
      </c>
      <c r="AM937" s="211">
        <f>10256303+1743572</f>
        <v>11999875</v>
      </c>
      <c r="AN937" s="211">
        <f>2533394+14902318</f>
        <v>17435712</v>
      </c>
      <c r="AO937" s="211">
        <v>10606934</v>
      </c>
      <c r="AP937" s="211"/>
      <c r="AQ937" s="211"/>
      <c r="AR937" s="211"/>
      <c r="AS937" s="211"/>
      <c r="AT937" s="211"/>
      <c r="AU937" s="211"/>
      <c r="AV937" s="211"/>
      <c r="AW937" s="211"/>
      <c r="AX937" s="211"/>
      <c r="AY937" s="211"/>
      <c r="AZ937" s="211"/>
      <c r="BA937" s="211"/>
      <c r="BB937" s="211"/>
      <c r="BC937" s="211"/>
      <c r="BD937" s="333">
        <v>44183</v>
      </c>
      <c r="BE937" s="82">
        <f t="shared" si="126"/>
        <v>64625537</v>
      </c>
    </row>
    <row r="938" spans="2:57" ht="30.6" hidden="1" x14ac:dyDescent="0.3">
      <c r="B938" s="2" t="str">
        <f>+'Base de Datos'!E938</f>
        <v>200215-0-2020</v>
      </c>
      <c r="C938" s="2" t="str">
        <f>+'Base de Datos'!F938</f>
        <v>AXEDE S.A.</v>
      </c>
      <c r="D938" s="2">
        <f>+'Base de Datos'!G938</f>
        <v>830077975</v>
      </c>
      <c r="E938" s="2" t="str">
        <f>+'Base de Datos'!H938</f>
        <v>Prestar los servicios de mantenimiento, suministro de partes, repuestos y soporte para la planta telefónica y terminales telefónicos del Concejo de Bogotá.</v>
      </c>
      <c r="F938" s="197">
        <f>+'Base de Datos'!I938</f>
        <v>79691108</v>
      </c>
      <c r="G938" s="196">
        <f>+'Base de Datos'!M938</f>
        <v>44034</v>
      </c>
      <c r="H938" s="196">
        <f>+'Base de Datos'!N938</f>
        <v>44276</v>
      </c>
      <c r="I938" s="196"/>
      <c r="J938" s="158"/>
      <c r="K938" s="333"/>
      <c r="L938" s="211"/>
      <c r="M938" s="336"/>
      <c r="N938" s="158"/>
      <c r="O938" s="333"/>
      <c r="P938" s="158"/>
      <c r="Q938" s="338"/>
      <c r="R938" s="81">
        <f t="shared" si="128"/>
        <v>0</v>
      </c>
      <c r="S938" s="258"/>
      <c r="T938" s="333"/>
      <c r="U938" s="158"/>
      <c r="V938" s="333"/>
      <c r="W938" s="158"/>
      <c r="X938" s="333"/>
      <c r="Y938" s="158"/>
      <c r="Z938" s="1002"/>
      <c r="AA938" s="1003"/>
      <c r="AB938" s="1004" t="str">
        <f t="shared" si="129"/>
        <v/>
      </c>
      <c r="AC938" s="1082" t="str">
        <f t="shared" si="130"/>
        <v/>
      </c>
      <c r="AD938" s="1004"/>
      <c r="AE938" s="1004"/>
      <c r="AF938" s="1084" t="str">
        <f t="shared" si="131"/>
        <v/>
      </c>
      <c r="AG938" s="1082" t="str">
        <f t="shared" si="132"/>
        <v/>
      </c>
      <c r="AH938" s="1092"/>
      <c r="AI938" s="1087"/>
      <c r="AJ938" s="1084" t="str">
        <f t="shared" si="133"/>
        <v/>
      </c>
      <c r="AK938" s="1083" t="str">
        <f t="shared" si="134"/>
        <v/>
      </c>
      <c r="AL938" s="211"/>
      <c r="AM938" s="211"/>
      <c r="AN938" s="211"/>
      <c r="AO938" s="211"/>
      <c r="AP938" s="211"/>
      <c r="AQ938" s="211"/>
      <c r="AR938" s="211"/>
      <c r="AS938" s="211"/>
      <c r="AT938" s="211"/>
      <c r="AU938" s="211"/>
      <c r="AV938" s="211"/>
      <c r="AW938" s="211"/>
      <c r="AX938" s="211"/>
      <c r="AY938" s="211"/>
      <c r="AZ938" s="211"/>
      <c r="BA938" s="211"/>
      <c r="BB938" s="211"/>
      <c r="BC938" s="211"/>
      <c r="BD938" s="333"/>
      <c r="BE938" s="82">
        <f t="shared" si="126"/>
        <v>0</v>
      </c>
    </row>
    <row r="939" spans="2:57" ht="30.6" hidden="1" x14ac:dyDescent="0.3">
      <c r="B939" s="2" t="str">
        <f>+'Base de Datos'!E939</f>
        <v>200218-0-2020</v>
      </c>
      <c r="C939" s="2" t="str">
        <f>+'Base de Datos'!F939</f>
        <v>JESSIKA KATHERINE CANASTEROS PEDROZA</v>
      </c>
      <c r="D939" s="2">
        <f>+'Base de Datos'!G939</f>
        <v>1026279681</v>
      </c>
      <c r="E939" s="2" t="str">
        <f>+'Base de Datos'!H939</f>
        <v>Prestar servicios de apoyo a la Dirección Administrativa del Concejo de Bogotá en lo referente a logística documental y archivo.</v>
      </c>
      <c r="F939" s="197">
        <f>+'Base de Datos'!I939</f>
        <v>13758000</v>
      </c>
      <c r="G939" s="196">
        <f>+'Base de Datos'!M939</f>
        <v>44028</v>
      </c>
      <c r="H939" s="196">
        <f>+'Base de Datos'!N939</f>
        <v>44211</v>
      </c>
      <c r="I939" s="196"/>
      <c r="J939" s="158"/>
      <c r="K939" s="333"/>
      <c r="L939" s="211"/>
      <c r="M939" s="336"/>
      <c r="N939" s="158"/>
      <c r="O939" s="333"/>
      <c r="P939" s="158"/>
      <c r="Q939" s="338"/>
      <c r="R939" s="81">
        <f t="shared" si="128"/>
        <v>0</v>
      </c>
      <c r="S939" s="258"/>
      <c r="T939" s="333"/>
      <c r="U939" s="158"/>
      <c r="V939" s="333"/>
      <c r="W939" s="158"/>
      <c r="X939" s="333"/>
      <c r="Y939" s="158"/>
      <c r="Z939" s="1002"/>
      <c r="AA939" s="1003"/>
      <c r="AB939" s="1004" t="str">
        <f t="shared" si="129"/>
        <v/>
      </c>
      <c r="AC939" s="1082" t="str">
        <f t="shared" si="130"/>
        <v/>
      </c>
      <c r="AD939" s="1004"/>
      <c r="AE939" s="1004"/>
      <c r="AF939" s="1084" t="str">
        <f t="shared" si="131"/>
        <v/>
      </c>
      <c r="AG939" s="1082" t="str">
        <f t="shared" si="132"/>
        <v/>
      </c>
      <c r="AH939" s="1092"/>
      <c r="AI939" s="1087"/>
      <c r="AJ939" s="1084" t="str">
        <f t="shared" si="133"/>
        <v/>
      </c>
      <c r="AK939" s="1083" t="str">
        <f t="shared" si="134"/>
        <v/>
      </c>
      <c r="AL939" s="211">
        <v>1146500</v>
      </c>
      <c r="AM939" s="211">
        <v>2293000</v>
      </c>
      <c r="AN939" s="211">
        <v>2293000</v>
      </c>
      <c r="AO939" s="211">
        <v>2293000</v>
      </c>
      <c r="AP939" s="211">
        <v>2293000</v>
      </c>
      <c r="AQ939" s="211">
        <v>2293000</v>
      </c>
      <c r="AR939" s="211"/>
      <c r="AS939" s="211"/>
      <c r="AT939" s="211"/>
      <c r="AU939" s="211"/>
      <c r="AV939" s="211"/>
      <c r="AW939" s="211"/>
      <c r="AX939" s="211"/>
      <c r="AY939" s="211"/>
      <c r="AZ939" s="211"/>
      <c r="BA939" s="211"/>
      <c r="BB939" s="211"/>
      <c r="BC939" s="211"/>
      <c r="BD939" s="333">
        <v>44196</v>
      </c>
      <c r="BE939" s="82">
        <f t="shared" si="126"/>
        <v>12611500</v>
      </c>
    </row>
    <row r="940" spans="2:57" ht="30.6" hidden="1" x14ac:dyDescent="0.3">
      <c r="B940" s="2" t="str">
        <f>+'Base de Datos'!E940</f>
        <v>200219-0-2020</v>
      </c>
      <c r="C940" s="2" t="str">
        <f>+'Base de Datos'!F940</f>
        <v>LAURA CATALINA GUTIERREZ MENDEZ</v>
      </c>
      <c r="D940" s="2">
        <f>+'Base de Datos'!G940</f>
        <v>1019061107</v>
      </c>
      <c r="E940" s="2" t="str">
        <f>+'Base de Datos'!H940</f>
        <v>Prestar los servicios profesionales para apoyar la Dirección Financiera en lo referente al proceso de liquidación, cierre de procesos contractuales y apoyo jurídico.</v>
      </c>
      <c r="F940" s="197">
        <f>+'Base de Datos'!I940</f>
        <v>19236000</v>
      </c>
      <c r="G940" s="196">
        <f>+'Base de Datos'!M940</f>
        <v>44028</v>
      </c>
      <c r="H940" s="196">
        <f>+'Base de Datos'!N940</f>
        <v>44150</v>
      </c>
      <c r="I940" s="196"/>
      <c r="J940" s="158"/>
      <c r="K940" s="333"/>
      <c r="L940" s="211"/>
      <c r="M940" s="336"/>
      <c r="N940" s="158"/>
      <c r="O940" s="333"/>
      <c r="P940" s="158"/>
      <c r="Q940" s="338"/>
      <c r="R940" s="81">
        <f t="shared" si="128"/>
        <v>0</v>
      </c>
      <c r="S940" s="258"/>
      <c r="T940" s="333"/>
      <c r="U940" s="158"/>
      <c r="V940" s="333"/>
      <c r="W940" s="158"/>
      <c r="X940" s="333"/>
      <c r="Y940" s="158"/>
      <c r="Z940" s="1002"/>
      <c r="AA940" s="1003"/>
      <c r="AB940" s="1004" t="str">
        <f t="shared" si="129"/>
        <v/>
      </c>
      <c r="AC940" s="1082" t="str">
        <f t="shared" si="130"/>
        <v/>
      </c>
      <c r="AD940" s="1004"/>
      <c r="AE940" s="1004"/>
      <c r="AF940" s="1084" t="str">
        <f t="shared" si="131"/>
        <v/>
      </c>
      <c r="AG940" s="1082" t="str">
        <f t="shared" si="132"/>
        <v/>
      </c>
      <c r="AH940" s="1092"/>
      <c r="AI940" s="1087"/>
      <c r="AJ940" s="1084" t="str">
        <f t="shared" si="133"/>
        <v/>
      </c>
      <c r="AK940" s="1083" t="str">
        <f t="shared" si="134"/>
        <v/>
      </c>
      <c r="AL940" s="211">
        <v>2404500</v>
      </c>
      <c r="AM940" s="211">
        <v>4809000</v>
      </c>
      <c r="AN940" s="211">
        <v>4809000</v>
      </c>
      <c r="AO940" s="211"/>
      <c r="AP940" s="211"/>
      <c r="AQ940" s="211"/>
      <c r="AR940" s="211"/>
      <c r="AS940" s="211"/>
      <c r="AT940" s="211"/>
      <c r="AU940" s="211"/>
      <c r="AV940" s="211"/>
      <c r="AW940" s="211"/>
      <c r="AX940" s="211"/>
      <c r="AY940" s="211"/>
      <c r="AZ940" s="211"/>
      <c r="BA940" s="211"/>
      <c r="BB940" s="211"/>
      <c r="BC940" s="211"/>
      <c r="BD940" s="333">
        <v>44148</v>
      </c>
      <c r="BE940" s="82">
        <f t="shared" si="126"/>
        <v>12022500</v>
      </c>
    </row>
    <row r="941" spans="2:57" ht="20.399999999999999" hidden="1" x14ac:dyDescent="0.3">
      <c r="B941" s="2" t="str">
        <f>+'Base de Datos'!E941</f>
        <v>200221-0-2020</v>
      </c>
      <c r="C941" s="2" t="str">
        <f>+'Base de Datos'!F941</f>
        <v>ELIZABETH AREVALO CANCINO</v>
      </c>
      <c r="D941" s="2">
        <f>+'Base de Datos'!G941</f>
        <v>52424532</v>
      </c>
      <c r="E941" s="2" t="str">
        <f>+'Base de Datos'!H941</f>
        <v>Prestar los servicios como interprete en lengua de señas para las actividades y procesos que requiera el Concejo de Bogotá.</v>
      </c>
      <c r="F941" s="197">
        <f>+'Base de Datos'!I941</f>
        <v>28398000</v>
      </c>
      <c r="G941" s="196">
        <f>+'Base de Datos'!M941</f>
        <v>44035</v>
      </c>
      <c r="H941" s="196">
        <f>+'Base de Datos'!N941</f>
        <v>44196</v>
      </c>
      <c r="I941" s="196"/>
      <c r="J941" s="158"/>
      <c r="K941" s="333"/>
      <c r="L941" s="211"/>
      <c r="M941" s="336"/>
      <c r="N941" s="158"/>
      <c r="O941" s="333"/>
      <c r="P941" s="158"/>
      <c r="Q941" s="338"/>
      <c r="R941" s="81">
        <f t="shared" si="128"/>
        <v>0</v>
      </c>
      <c r="S941" s="258"/>
      <c r="T941" s="333"/>
      <c r="U941" s="158"/>
      <c r="V941" s="333"/>
      <c r="W941" s="158"/>
      <c r="X941" s="333"/>
      <c r="Y941" s="158"/>
      <c r="Z941" s="1002"/>
      <c r="AA941" s="1003"/>
      <c r="AB941" s="1004" t="str">
        <f t="shared" si="129"/>
        <v/>
      </c>
      <c r="AC941" s="1082" t="str">
        <f t="shared" si="130"/>
        <v/>
      </c>
      <c r="AD941" s="1004"/>
      <c r="AE941" s="1004"/>
      <c r="AF941" s="1084" t="str">
        <f t="shared" si="131"/>
        <v/>
      </c>
      <c r="AG941" s="1082" t="str">
        <f t="shared" si="132"/>
        <v/>
      </c>
      <c r="AH941" s="1092"/>
      <c r="AI941" s="1087"/>
      <c r="AJ941" s="1084" t="str">
        <f t="shared" si="133"/>
        <v/>
      </c>
      <c r="AK941" s="1083" t="str">
        <f t="shared" si="134"/>
        <v/>
      </c>
      <c r="AL941" s="211">
        <v>1262133</v>
      </c>
      <c r="AM941" s="211">
        <v>4733000</v>
      </c>
      <c r="AN941" s="211">
        <v>4733000</v>
      </c>
      <c r="AO941" s="211">
        <v>4733000</v>
      </c>
      <c r="AP941" s="211">
        <v>4733000</v>
      </c>
      <c r="AQ941" s="211">
        <v>4733000</v>
      </c>
      <c r="AR941" s="211"/>
      <c r="AS941" s="211"/>
      <c r="AT941" s="211"/>
      <c r="AU941" s="211"/>
      <c r="AV941" s="211"/>
      <c r="AW941" s="211"/>
      <c r="AX941" s="211"/>
      <c r="AY941" s="211"/>
      <c r="AZ941" s="211"/>
      <c r="BA941" s="211"/>
      <c r="BB941" s="211"/>
      <c r="BC941" s="211"/>
      <c r="BD941" s="333">
        <v>44195</v>
      </c>
      <c r="BE941" s="82">
        <f t="shared" si="126"/>
        <v>24927133</v>
      </c>
    </row>
    <row r="942" spans="2:57" ht="40.799999999999997" hidden="1" x14ac:dyDescent="0.3">
      <c r="B942" s="2" t="str">
        <f>+'Base de Datos'!E942</f>
        <v>200195-0-2020</v>
      </c>
      <c r="C942" s="2" t="str">
        <f>+'Base de Datos'!F942</f>
        <v>ALDEMAR CAÑON CORTES</v>
      </c>
      <c r="D942" s="2">
        <f>+'Base de Datos'!G942</f>
        <v>79961309</v>
      </c>
      <c r="E942" s="2" t="str">
        <f>+'Base de Datos'!H942</f>
        <v>Prestar los servicios de apoyo al proceso de recursos físicos de la Dirección Administrativa del Concejo de Bogotá, para coadyuvar con las actividades de actualización y administración de la información del área de mantenimiento.</v>
      </c>
      <c r="F942" s="197">
        <f>+'Base de Datos'!I942</f>
        <v>26109000</v>
      </c>
      <c r="G942" s="196">
        <f>+'Base de Datos'!M942</f>
        <v>44035</v>
      </c>
      <c r="H942" s="196">
        <f>+'Base de Datos'!N942</f>
        <v>44196</v>
      </c>
      <c r="I942" s="196"/>
      <c r="J942" s="158"/>
      <c r="K942" s="333"/>
      <c r="L942" s="211"/>
      <c r="M942" s="336"/>
      <c r="N942" s="158"/>
      <c r="O942" s="333"/>
      <c r="P942" s="158"/>
      <c r="Q942" s="338"/>
      <c r="R942" s="81">
        <f t="shared" si="128"/>
        <v>0</v>
      </c>
      <c r="S942" s="258"/>
      <c r="T942" s="333"/>
      <c r="U942" s="158"/>
      <c r="V942" s="333"/>
      <c r="W942" s="158"/>
      <c r="X942" s="333"/>
      <c r="Y942" s="158"/>
      <c r="Z942" s="1002"/>
      <c r="AA942" s="1003"/>
      <c r="AB942" s="1004" t="str">
        <f t="shared" si="129"/>
        <v/>
      </c>
      <c r="AC942" s="1082" t="str">
        <f t="shared" si="130"/>
        <v/>
      </c>
      <c r="AD942" s="1004"/>
      <c r="AE942" s="1004"/>
      <c r="AF942" s="1084" t="str">
        <f t="shared" si="131"/>
        <v/>
      </c>
      <c r="AG942" s="1082" t="str">
        <f t="shared" si="132"/>
        <v/>
      </c>
      <c r="AH942" s="1092"/>
      <c r="AI942" s="1087"/>
      <c r="AJ942" s="1084" t="str">
        <f t="shared" si="133"/>
        <v/>
      </c>
      <c r="AK942" s="1083" t="str">
        <f t="shared" si="134"/>
        <v/>
      </c>
      <c r="AL942" s="211">
        <v>773600</v>
      </c>
      <c r="AM942" s="211">
        <v>2901000</v>
      </c>
      <c r="AN942" s="211">
        <v>2901000</v>
      </c>
      <c r="AO942" s="211">
        <v>2901000</v>
      </c>
      <c r="AP942" s="211">
        <v>2901000</v>
      </c>
      <c r="AQ942" s="211">
        <v>2901000</v>
      </c>
      <c r="AR942" s="211"/>
      <c r="AS942" s="211"/>
      <c r="AT942" s="211"/>
      <c r="AU942" s="211"/>
      <c r="AV942" s="211"/>
      <c r="AW942" s="211"/>
      <c r="AX942" s="211"/>
      <c r="AY942" s="211"/>
      <c r="AZ942" s="211"/>
      <c r="BA942" s="211"/>
      <c r="BB942" s="211"/>
      <c r="BC942" s="211"/>
      <c r="BD942" s="333">
        <v>44195</v>
      </c>
      <c r="BE942" s="82">
        <f t="shared" si="126"/>
        <v>15278600</v>
      </c>
    </row>
    <row r="943" spans="2:57" ht="30.6" hidden="1" x14ac:dyDescent="0.3">
      <c r="B943" s="2" t="str">
        <f>+'Base de Datos'!E943</f>
        <v>200228-0-2020</v>
      </c>
      <c r="C943" s="2" t="str">
        <f>+'Base de Datos'!F943</f>
        <v>SOCIEDAD CAMERAL DE CERTIFICACION DIGITAL CERTICAMARA S.A.</v>
      </c>
      <c r="D943" s="2">
        <f>+'Base de Datos'!G943</f>
        <v>830084433</v>
      </c>
      <c r="E943" s="2" t="str">
        <f>+'Base de Datos'!H943</f>
        <v>Proveer los certificados de servidor seguro SSL del Concejo de Bogotá.</v>
      </c>
      <c r="F943" s="197">
        <f>+'Base de Datos'!I943</f>
        <v>7916832</v>
      </c>
      <c r="G943" s="196">
        <f>+'Base de Datos'!M943</f>
        <v>44078</v>
      </c>
      <c r="H943" s="196">
        <f>+'Base de Datos'!N943</f>
        <v>44442</v>
      </c>
      <c r="I943" s="196"/>
      <c r="J943" s="158"/>
      <c r="K943" s="333"/>
      <c r="L943" s="211"/>
      <c r="M943" s="336"/>
      <c r="N943" s="158"/>
      <c r="O943" s="333"/>
      <c r="P943" s="158"/>
      <c r="Q943" s="338"/>
      <c r="R943" s="81">
        <f t="shared" si="128"/>
        <v>0</v>
      </c>
      <c r="S943" s="258"/>
      <c r="T943" s="333"/>
      <c r="U943" s="158"/>
      <c r="V943" s="333"/>
      <c r="W943" s="158"/>
      <c r="X943" s="333"/>
      <c r="Y943" s="158"/>
      <c r="Z943" s="1002"/>
      <c r="AA943" s="1003"/>
      <c r="AB943" s="1004" t="str">
        <f t="shared" si="129"/>
        <v/>
      </c>
      <c r="AC943" s="1082" t="str">
        <f t="shared" si="130"/>
        <v/>
      </c>
      <c r="AD943" s="1004"/>
      <c r="AE943" s="1004"/>
      <c r="AF943" s="1084" t="str">
        <f t="shared" si="131"/>
        <v/>
      </c>
      <c r="AG943" s="1082" t="str">
        <f t="shared" si="132"/>
        <v/>
      </c>
      <c r="AH943" s="1092"/>
      <c r="AI943" s="1087"/>
      <c r="AJ943" s="1084" t="str">
        <f t="shared" si="133"/>
        <v/>
      </c>
      <c r="AK943" s="1083" t="str">
        <f t="shared" si="134"/>
        <v/>
      </c>
      <c r="AL943" s="211"/>
      <c r="AM943" s="211"/>
      <c r="AN943" s="211"/>
      <c r="AO943" s="211"/>
      <c r="AP943" s="211"/>
      <c r="AQ943" s="211"/>
      <c r="AR943" s="211"/>
      <c r="AS943" s="211"/>
      <c r="AT943" s="211"/>
      <c r="AU943" s="211"/>
      <c r="AV943" s="211"/>
      <c r="AW943" s="211"/>
      <c r="AX943" s="211"/>
      <c r="AY943" s="211"/>
      <c r="AZ943" s="211"/>
      <c r="BA943" s="211"/>
      <c r="BB943" s="211"/>
      <c r="BC943" s="211"/>
      <c r="BD943" s="333"/>
      <c r="BE943" s="82">
        <f t="shared" si="126"/>
        <v>0</v>
      </c>
    </row>
    <row r="944" spans="2:57" ht="30.6" hidden="1" x14ac:dyDescent="0.3">
      <c r="B944" s="2" t="str">
        <f>+'Base de Datos'!E944</f>
        <v>200224-0-2020</v>
      </c>
      <c r="C944" s="2" t="str">
        <f>+'Base de Datos'!F944</f>
        <v>CORPORACION RED NACIONAL ACADEMICA DE TECNOLOGIA AVANZADA RENATA</v>
      </c>
      <c r="D944" s="2" t="str">
        <f>+'Base de Datos'!G944</f>
        <v>900156270-7</v>
      </c>
      <c r="E944" s="2" t="str">
        <f>+'Base de Datos'!H944</f>
        <v>Proveer servicios para implementación del protocolo de internet versión 6 (IPv6).</v>
      </c>
      <c r="F944" s="197">
        <f>+'Base de Datos'!I944</f>
        <v>299880000</v>
      </c>
      <c r="G944" s="196">
        <f>+'Base de Datos'!M944</f>
        <v>44034</v>
      </c>
      <c r="H944" s="196">
        <f>+'Base de Datos'!N944</f>
        <v>44217</v>
      </c>
      <c r="I944" s="196"/>
      <c r="J944" s="158"/>
      <c r="K944" s="333"/>
      <c r="L944" s="211"/>
      <c r="M944" s="336"/>
      <c r="N944" s="158"/>
      <c r="O944" s="333"/>
      <c r="P944" s="158"/>
      <c r="Q944" s="338"/>
      <c r="R944" s="81">
        <f t="shared" si="128"/>
        <v>0</v>
      </c>
      <c r="S944" s="258"/>
      <c r="T944" s="333"/>
      <c r="U944" s="158"/>
      <c r="V944" s="333"/>
      <c r="W944" s="158"/>
      <c r="X944" s="333"/>
      <c r="Y944" s="158"/>
      <c r="Z944" s="1002"/>
      <c r="AA944" s="1003"/>
      <c r="AB944" s="1004" t="str">
        <f t="shared" si="129"/>
        <v/>
      </c>
      <c r="AC944" s="1082" t="str">
        <f t="shared" si="130"/>
        <v/>
      </c>
      <c r="AD944" s="1004"/>
      <c r="AE944" s="1004"/>
      <c r="AF944" s="1084" t="str">
        <f t="shared" si="131"/>
        <v/>
      </c>
      <c r="AG944" s="1082" t="str">
        <f t="shared" si="132"/>
        <v/>
      </c>
      <c r="AH944" s="1092"/>
      <c r="AI944" s="1087"/>
      <c r="AJ944" s="1084" t="str">
        <f t="shared" si="133"/>
        <v/>
      </c>
      <c r="AK944" s="1083" t="str">
        <f t="shared" si="134"/>
        <v/>
      </c>
      <c r="AL944" s="211"/>
      <c r="AM944" s="211"/>
      <c r="AN944" s="211"/>
      <c r="AO944" s="211"/>
      <c r="AP944" s="211"/>
      <c r="AQ944" s="211"/>
      <c r="AR944" s="211"/>
      <c r="AS944" s="211"/>
      <c r="AT944" s="211"/>
      <c r="AU944" s="211"/>
      <c r="AV944" s="211"/>
      <c r="AW944" s="211"/>
      <c r="AX944" s="211"/>
      <c r="AY944" s="211"/>
      <c r="AZ944" s="211"/>
      <c r="BA944" s="211"/>
      <c r="BB944" s="211"/>
      <c r="BC944" s="211"/>
      <c r="BD944" s="333"/>
      <c r="BE944" s="82">
        <f t="shared" si="126"/>
        <v>0</v>
      </c>
    </row>
    <row r="945" spans="2:57" ht="30.6" hidden="1" x14ac:dyDescent="0.3">
      <c r="B945" s="2" t="str">
        <f>+'Base de Datos'!E945</f>
        <v>200227-0-2020</v>
      </c>
      <c r="C945" s="2" t="str">
        <f>+'Base de Datos'!F945</f>
        <v>JOSE MANUEL SANCHEZ TAMAYO</v>
      </c>
      <c r="D945" s="2">
        <f>+'Base de Datos'!G945</f>
        <v>1010172202</v>
      </c>
      <c r="E945" s="2" t="str">
        <f>+'Base de Datos'!H945</f>
        <v>Prestar servicios de apoyo a la Dirección Administrativa en la gestión de actividades administrativas y operativas en lo referente a tramites contractuales</v>
      </c>
      <c r="F945" s="197">
        <f>+'Base de Datos'!I945</f>
        <v>9560000</v>
      </c>
      <c r="G945" s="196">
        <f>+'Base de Datos'!M945</f>
        <v>44035</v>
      </c>
      <c r="H945" s="196">
        <f>+'Base de Datos'!N945</f>
        <v>44157</v>
      </c>
      <c r="I945" s="196"/>
      <c r="J945" s="158"/>
      <c r="K945" s="333"/>
      <c r="L945" s="211"/>
      <c r="M945" s="336"/>
      <c r="N945" s="158"/>
      <c r="O945" s="333"/>
      <c r="P945" s="158"/>
      <c r="Q945" s="338"/>
      <c r="R945" s="81">
        <f t="shared" si="128"/>
        <v>0</v>
      </c>
      <c r="S945" s="258"/>
      <c r="T945" s="333"/>
      <c r="U945" s="158"/>
      <c r="V945" s="333"/>
      <c r="W945" s="158"/>
      <c r="X945" s="333"/>
      <c r="Y945" s="158"/>
      <c r="Z945" s="1002"/>
      <c r="AA945" s="1003"/>
      <c r="AB945" s="1004" t="str">
        <f t="shared" si="129"/>
        <v/>
      </c>
      <c r="AC945" s="1082" t="str">
        <f t="shared" si="130"/>
        <v/>
      </c>
      <c r="AD945" s="1004"/>
      <c r="AE945" s="1004"/>
      <c r="AF945" s="1084" t="str">
        <f t="shared" si="131"/>
        <v/>
      </c>
      <c r="AG945" s="1082" t="str">
        <f t="shared" si="132"/>
        <v/>
      </c>
      <c r="AH945" s="1092"/>
      <c r="AI945" s="1087"/>
      <c r="AJ945" s="1084" t="str">
        <f t="shared" si="133"/>
        <v/>
      </c>
      <c r="AK945" s="1083" t="str">
        <f t="shared" si="134"/>
        <v/>
      </c>
      <c r="AL945" s="211">
        <v>637333</v>
      </c>
      <c r="AM945" s="211">
        <v>2390000</v>
      </c>
      <c r="AN945" s="211">
        <v>2390000</v>
      </c>
      <c r="AO945" s="211">
        <v>2390000</v>
      </c>
      <c r="AP945" s="211">
        <v>1752667</v>
      </c>
      <c r="AQ945" s="211"/>
      <c r="AR945" s="211"/>
      <c r="AS945" s="211"/>
      <c r="AT945" s="211"/>
      <c r="AU945" s="211"/>
      <c r="AV945" s="211"/>
      <c r="AW945" s="211"/>
      <c r="AX945" s="211"/>
      <c r="AY945" s="211"/>
      <c r="AZ945" s="211"/>
      <c r="BA945" s="211"/>
      <c r="BB945" s="211"/>
      <c r="BC945" s="211"/>
      <c r="BD945" s="333">
        <v>44180</v>
      </c>
      <c r="BE945" s="82">
        <f t="shared" si="126"/>
        <v>9560000</v>
      </c>
    </row>
    <row r="946" spans="2:57" ht="40.799999999999997" hidden="1" x14ac:dyDescent="0.3">
      <c r="B946" s="2" t="str">
        <f>+'Base de Datos'!E946</f>
        <v>200235-0-2020</v>
      </c>
      <c r="C946" s="2" t="str">
        <f>+'Base de Datos'!F946</f>
        <v>FELIPE REY SALAMANCA</v>
      </c>
      <c r="D946" s="2">
        <f>+'Base de Datos'!G946</f>
        <v>80818487</v>
      </c>
      <c r="E946" s="2" t="str">
        <f>+'Base de Datos'!H946</f>
        <v>Prestar los servicios profesionales a la mesa directiva en la coordinación del diseño, ejecución y sistematización de la participación ciudadana en los procesos de gestión normativa y control político del Concejo de Bogotá D.C.</v>
      </c>
      <c r="F946" s="197">
        <f>+'Base de Datos'!I946</f>
        <v>30380000</v>
      </c>
      <c r="G946" s="196">
        <f>+'Base de Datos'!M946</f>
        <v>44039</v>
      </c>
      <c r="H946" s="196">
        <f>+'Base de Datos'!N946</f>
        <v>44161</v>
      </c>
      <c r="I946" s="196"/>
      <c r="J946" s="1134">
        <v>8860833</v>
      </c>
      <c r="K946" s="333">
        <v>44160</v>
      </c>
      <c r="L946" s="211"/>
      <c r="M946" s="336"/>
      <c r="N946" s="158"/>
      <c r="O946" s="333"/>
      <c r="P946" s="158"/>
      <c r="Q946" s="338"/>
      <c r="R946" s="81">
        <f t="shared" si="128"/>
        <v>8860833</v>
      </c>
      <c r="S946" s="258" t="s">
        <v>6487</v>
      </c>
      <c r="T946" s="333">
        <v>44196</v>
      </c>
      <c r="U946" s="158"/>
      <c r="V946" s="333"/>
      <c r="W946" s="158"/>
      <c r="X946" s="333"/>
      <c r="Y946" s="158"/>
      <c r="Z946" s="1002"/>
      <c r="AA946" s="1003" t="s">
        <v>6487</v>
      </c>
      <c r="AB946" s="1004">
        <f t="shared" si="129"/>
        <v>44196</v>
      </c>
      <c r="AC946" s="1082" t="str">
        <f t="shared" si="130"/>
        <v/>
      </c>
      <c r="AD946" s="1004"/>
      <c r="AE946" s="1004"/>
      <c r="AF946" s="1084" t="str">
        <f t="shared" si="131"/>
        <v/>
      </c>
      <c r="AG946" s="1082" t="str">
        <f t="shared" si="132"/>
        <v/>
      </c>
      <c r="AH946" s="1092"/>
      <c r="AI946" s="1087"/>
      <c r="AJ946" s="1084" t="str">
        <f t="shared" si="133"/>
        <v/>
      </c>
      <c r="AK946" s="1083" t="str">
        <f t="shared" si="134"/>
        <v/>
      </c>
      <c r="AL946" s="211">
        <v>1012667</v>
      </c>
      <c r="AM946" s="211">
        <v>7595000</v>
      </c>
      <c r="AN946" s="211">
        <v>7595000</v>
      </c>
      <c r="AO946" s="211">
        <v>7595000</v>
      </c>
      <c r="AP946" s="211">
        <v>7595000</v>
      </c>
      <c r="AQ946" s="211"/>
      <c r="AR946" s="211"/>
      <c r="AS946" s="211"/>
      <c r="AT946" s="211"/>
      <c r="AU946" s="211"/>
      <c r="AV946" s="211"/>
      <c r="AW946" s="211"/>
      <c r="AX946" s="211"/>
      <c r="AY946" s="211"/>
      <c r="AZ946" s="211"/>
      <c r="BA946" s="211"/>
      <c r="BB946" s="211"/>
      <c r="BC946" s="211"/>
      <c r="BD946" s="333">
        <v>44196</v>
      </c>
      <c r="BE946" s="82">
        <f t="shared" si="126"/>
        <v>31392667</v>
      </c>
    </row>
    <row r="947" spans="2:57" ht="51" hidden="1" x14ac:dyDescent="0.3">
      <c r="B947" s="2" t="str">
        <f>+'Base de Datos'!E947</f>
        <v>200222-0-2020</v>
      </c>
      <c r="C947" s="2" t="str">
        <f>+'Base de Datos'!F947</f>
        <v>CONTRONET LTDA</v>
      </c>
      <c r="D947" s="2">
        <f>+'Base de Datos'!G947</f>
        <v>800230639</v>
      </c>
      <c r="E947" s="2" t="str">
        <f>+'Base de Datos'!H947</f>
        <v>Prestar los servicios de actualización, mantenimiento y soporte con el suministro de repuestos para la infraestructura de telecomunicaciones, cableado estructurado (voz y datos), fibra óptica, energía normal y regulada del Concejo de Bogotá, D.C.</v>
      </c>
      <c r="F947" s="197">
        <f>+'Base de Datos'!I947</f>
        <v>39000000</v>
      </c>
      <c r="G947" s="196">
        <f>+'Base de Datos'!M947</f>
        <v>44063</v>
      </c>
      <c r="H947" s="196">
        <f>+'Base de Datos'!N947</f>
        <v>44427</v>
      </c>
      <c r="I947" s="196"/>
      <c r="J947" s="158"/>
      <c r="K947" s="333"/>
      <c r="L947" s="211"/>
      <c r="M947" s="336"/>
      <c r="N947" s="158"/>
      <c r="O947" s="333"/>
      <c r="P947" s="158"/>
      <c r="Q947" s="338"/>
      <c r="R947" s="81">
        <f t="shared" si="128"/>
        <v>0</v>
      </c>
      <c r="S947" s="258"/>
      <c r="T947" s="333"/>
      <c r="U947" s="158"/>
      <c r="V947" s="333"/>
      <c r="W947" s="158"/>
      <c r="X947" s="333"/>
      <c r="Y947" s="158"/>
      <c r="Z947" s="1002"/>
      <c r="AA947" s="1003"/>
      <c r="AB947" s="1004" t="str">
        <f t="shared" si="129"/>
        <v/>
      </c>
      <c r="AC947" s="1082" t="str">
        <f t="shared" si="130"/>
        <v/>
      </c>
      <c r="AD947" s="1004"/>
      <c r="AE947" s="1004"/>
      <c r="AF947" s="1084" t="str">
        <f t="shared" si="131"/>
        <v/>
      </c>
      <c r="AG947" s="1082" t="str">
        <f t="shared" si="132"/>
        <v/>
      </c>
      <c r="AH947" s="1092"/>
      <c r="AI947" s="1087"/>
      <c r="AJ947" s="1084" t="str">
        <f t="shared" si="133"/>
        <v/>
      </c>
      <c r="AK947" s="1083" t="str">
        <f t="shared" si="134"/>
        <v/>
      </c>
      <c r="AL947" s="211"/>
      <c r="AM947" s="211"/>
      <c r="AN947" s="211"/>
      <c r="AO947" s="211"/>
      <c r="AP947" s="211"/>
      <c r="AQ947" s="211"/>
      <c r="AR947" s="211"/>
      <c r="AS947" s="211"/>
      <c r="AT947" s="211"/>
      <c r="AU947" s="211"/>
      <c r="AV947" s="211"/>
      <c r="AW947" s="211"/>
      <c r="AX947" s="211"/>
      <c r="AY947" s="211"/>
      <c r="AZ947" s="211"/>
      <c r="BA947" s="211"/>
      <c r="BB947" s="211"/>
      <c r="BC947" s="211"/>
      <c r="BD947" s="333"/>
      <c r="BE947" s="82">
        <f t="shared" si="126"/>
        <v>0</v>
      </c>
    </row>
    <row r="948" spans="2:57" ht="30.6" hidden="1" x14ac:dyDescent="0.3">
      <c r="B948" s="2" t="str">
        <f>+'Base de Datos'!E948</f>
        <v>200230-0-2020</v>
      </c>
      <c r="C948" s="2" t="str">
        <f>+'Base de Datos'!F948</f>
        <v>ARANDA SOFTWARE ANDINA S A S</v>
      </c>
      <c r="D948" s="2">
        <f>+'Base de Datos'!G948</f>
        <v>830099766</v>
      </c>
      <c r="E948" s="2" t="str">
        <f>+'Base de Datos'!H948</f>
        <v>Prestar los servicios de actualización y soporte para el software para la gestión de la mesa de servicios Aranda para el Concejo de Bogotá</v>
      </c>
      <c r="F948" s="197">
        <f>+'Base de Datos'!I948</f>
        <v>71646350</v>
      </c>
      <c r="G948" s="196">
        <f>+'Base de Datos'!M948</f>
        <v>44053</v>
      </c>
      <c r="H948" s="196">
        <f>+'Base de Datos'!N948</f>
        <v>44386</v>
      </c>
      <c r="I948" s="196"/>
      <c r="J948" s="158"/>
      <c r="K948" s="333"/>
      <c r="L948" s="211"/>
      <c r="M948" s="336"/>
      <c r="N948" s="158"/>
      <c r="O948" s="333"/>
      <c r="P948" s="158"/>
      <c r="Q948" s="338"/>
      <c r="R948" s="81">
        <f t="shared" si="128"/>
        <v>0</v>
      </c>
      <c r="S948" s="258"/>
      <c r="T948" s="333"/>
      <c r="U948" s="158"/>
      <c r="V948" s="333"/>
      <c r="W948" s="158"/>
      <c r="X948" s="333"/>
      <c r="Y948" s="158"/>
      <c r="Z948" s="1002"/>
      <c r="AA948" s="1003"/>
      <c r="AB948" s="1004" t="str">
        <f t="shared" si="129"/>
        <v/>
      </c>
      <c r="AC948" s="1082" t="str">
        <f t="shared" si="130"/>
        <v/>
      </c>
      <c r="AD948" s="1004"/>
      <c r="AE948" s="1004"/>
      <c r="AF948" s="1084" t="str">
        <f t="shared" si="131"/>
        <v/>
      </c>
      <c r="AG948" s="1082" t="str">
        <f t="shared" si="132"/>
        <v/>
      </c>
      <c r="AH948" s="1092"/>
      <c r="AI948" s="1087"/>
      <c r="AJ948" s="1084" t="str">
        <f t="shared" si="133"/>
        <v/>
      </c>
      <c r="AK948" s="1083" t="str">
        <f t="shared" si="134"/>
        <v/>
      </c>
      <c r="AL948" s="211"/>
      <c r="AM948" s="211"/>
      <c r="AN948" s="211"/>
      <c r="AO948" s="211"/>
      <c r="AP948" s="211"/>
      <c r="AQ948" s="211"/>
      <c r="AR948" s="211"/>
      <c r="AS948" s="211"/>
      <c r="AT948" s="211"/>
      <c r="AU948" s="211"/>
      <c r="AV948" s="211"/>
      <c r="AW948" s="211"/>
      <c r="AX948" s="211"/>
      <c r="AY948" s="211"/>
      <c r="AZ948" s="211"/>
      <c r="BA948" s="211"/>
      <c r="BB948" s="211"/>
      <c r="BC948" s="211"/>
      <c r="BD948" s="333"/>
      <c r="BE948" s="82">
        <f t="shared" si="126"/>
        <v>0</v>
      </c>
    </row>
    <row r="949" spans="2:57" ht="40.799999999999997" hidden="1" x14ac:dyDescent="0.3">
      <c r="B949" s="2" t="str">
        <f>+'Base de Datos'!E949</f>
        <v>200232-0-2020</v>
      </c>
      <c r="C949" s="2" t="str">
        <f>+'Base de Datos'!F949</f>
        <v>RUBEN DARIO ESPINOSA BALLEN</v>
      </c>
      <c r="D949" s="2">
        <f>+'Base de Datos'!G949</f>
        <v>79558153</v>
      </c>
      <c r="E949" s="2" t="str">
        <f>+'Base de Datos'!H949</f>
        <v>Prestar servicios de apoyo para la atención de las medidas sanitarias del Covid - 19 en el Concejo de Bogotá, enmarcadas dentro de las actividades de medicina preventiva del trabajo.</v>
      </c>
      <c r="F949" s="197">
        <f>+'Base de Datos'!I949</f>
        <v>13170000</v>
      </c>
      <c r="G949" s="196">
        <f>+'Base de Datos'!M949</f>
        <v>44041</v>
      </c>
      <c r="H949" s="196">
        <f>+'Base de Datos'!N949</f>
        <v>44196</v>
      </c>
      <c r="I949" s="196"/>
      <c r="J949" s="158"/>
      <c r="K949" s="333"/>
      <c r="L949" s="211"/>
      <c r="M949" s="336"/>
      <c r="N949" s="158"/>
      <c r="O949" s="333"/>
      <c r="P949" s="158"/>
      <c r="Q949" s="338"/>
      <c r="R949" s="81">
        <f t="shared" si="128"/>
        <v>0</v>
      </c>
      <c r="S949" s="258"/>
      <c r="T949" s="333"/>
      <c r="U949" s="158"/>
      <c r="V949" s="333"/>
      <c r="W949" s="158"/>
      <c r="X949" s="333"/>
      <c r="Y949" s="158"/>
      <c r="Z949" s="1002"/>
      <c r="AA949" s="1003"/>
      <c r="AB949" s="1004" t="str">
        <f t="shared" si="129"/>
        <v/>
      </c>
      <c r="AC949" s="1082" t="str">
        <f t="shared" si="130"/>
        <v/>
      </c>
      <c r="AD949" s="1004"/>
      <c r="AE949" s="1004"/>
      <c r="AF949" s="1084" t="str">
        <f t="shared" si="131"/>
        <v/>
      </c>
      <c r="AG949" s="1082" t="str">
        <f t="shared" si="132"/>
        <v/>
      </c>
      <c r="AH949" s="1092"/>
      <c r="AI949" s="1087"/>
      <c r="AJ949" s="1084" t="str">
        <f t="shared" si="133"/>
        <v/>
      </c>
      <c r="AK949" s="1083" t="str">
        <f t="shared" si="134"/>
        <v/>
      </c>
      <c r="AL949" s="211">
        <v>146333</v>
      </c>
      <c r="AM949" s="211">
        <v>2195000</v>
      </c>
      <c r="AN949" s="211">
        <v>2195000</v>
      </c>
      <c r="AO949" s="211">
        <v>2195000</v>
      </c>
      <c r="AP949" s="211">
        <v>2195000</v>
      </c>
      <c r="AQ949" s="211">
        <v>2195000</v>
      </c>
      <c r="AR949" s="211"/>
      <c r="AS949" s="211"/>
      <c r="AT949" s="211"/>
      <c r="AU949" s="211"/>
      <c r="AV949" s="211"/>
      <c r="AW949" s="211"/>
      <c r="AX949" s="211"/>
      <c r="AY949" s="211"/>
      <c r="AZ949" s="211"/>
      <c r="BA949" s="211"/>
      <c r="BB949" s="211"/>
      <c r="BC949" s="211"/>
      <c r="BD949" s="333">
        <v>44196</v>
      </c>
      <c r="BE949" s="82">
        <f t="shared" si="126"/>
        <v>11121333</v>
      </c>
    </row>
    <row r="950" spans="2:57" ht="40.799999999999997" hidden="1" x14ac:dyDescent="0.3">
      <c r="B950" s="2" t="str">
        <f>+'Base de Datos'!E950</f>
        <v>200234-0-2020</v>
      </c>
      <c r="C950" s="2" t="str">
        <f>+'Base de Datos'!F950</f>
        <v>SEBASTIAN CAMILO GUANUMEN PARRA</v>
      </c>
      <c r="D950" s="2">
        <f>+'Base de Datos'!G950</f>
        <v>1130744119</v>
      </c>
      <c r="E950" s="2" t="str">
        <f>+'Base de Datos'!H950</f>
        <v>Prestar los servicios profesionales a la mesa directiva en el fortalecimiento de la participación ciudadana en los planes, proyectos, estrategias y procesos de gestión normativa y control político del Concejo de Bogotá D.C.</v>
      </c>
      <c r="F950" s="197">
        <f>+'Base de Datos'!I950</f>
        <v>24872000</v>
      </c>
      <c r="G950" s="196">
        <f>+'Base de Datos'!M950</f>
        <v>44040</v>
      </c>
      <c r="H950" s="196">
        <f>+'Base de Datos'!N950</f>
        <v>44162</v>
      </c>
      <c r="I950" s="196"/>
      <c r="J950" s="1134">
        <v>7047066</v>
      </c>
      <c r="K950" s="333">
        <v>44161</v>
      </c>
      <c r="L950" s="211"/>
      <c r="M950" s="336"/>
      <c r="N950" s="158"/>
      <c r="O950" s="333"/>
      <c r="P950" s="158"/>
      <c r="Q950" s="338"/>
      <c r="R950" s="81">
        <f t="shared" si="128"/>
        <v>7047066</v>
      </c>
      <c r="S950" s="258" t="s">
        <v>4121</v>
      </c>
      <c r="T950" s="333">
        <v>44196</v>
      </c>
      <c r="U950" s="158"/>
      <c r="V950" s="333"/>
      <c r="W950" s="158"/>
      <c r="X950" s="333"/>
      <c r="Y950" s="158"/>
      <c r="Z950" s="1002"/>
      <c r="AA950" s="1003" t="s">
        <v>4121</v>
      </c>
      <c r="AB950" s="1004">
        <f t="shared" si="129"/>
        <v>44196</v>
      </c>
      <c r="AC950" s="1082" t="str">
        <f t="shared" si="130"/>
        <v/>
      </c>
      <c r="AD950" s="1004"/>
      <c r="AE950" s="1004"/>
      <c r="AF950" s="1084" t="str">
        <f t="shared" si="131"/>
        <v/>
      </c>
      <c r="AG950" s="1082" t="str">
        <f t="shared" si="132"/>
        <v/>
      </c>
      <c r="AH950" s="1092"/>
      <c r="AI950" s="1087"/>
      <c r="AJ950" s="1084" t="str">
        <f t="shared" si="133"/>
        <v/>
      </c>
      <c r="AK950" s="1083" t="str">
        <f t="shared" si="134"/>
        <v/>
      </c>
      <c r="AL950" s="211">
        <v>621800</v>
      </c>
      <c r="AM950" s="211">
        <v>6218000</v>
      </c>
      <c r="AN950" s="211">
        <v>6218000</v>
      </c>
      <c r="AO950" s="211">
        <v>6218000</v>
      </c>
      <c r="AP950" s="211">
        <v>6218000</v>
      </c>
      <c r="AQ950" s="211">
        <v>6218000</v>
      </c>
      <c r="AR950" s="211"/>
      <c r="AS950" s="211"/>
      <c r="AT950" s="211"/>
      <c r="AU950" s="211"/>
      <c r="AV950" s="211"/>
      <c r="AW950" s="211"/>
      <c r="AX950" s="211"/>
      <c r="AY950" s="211"/>
      <c r="AZ950" s="211"/>
      <c r="BA950" s="211"/>
      <c r="BB950" s="211"/>
      <c r="BC950" s="211"/>
      <c r="BD950" s="333">
        <v>44195</v>
      </c>
      <c r="BE950" s="82">
        <f t="shared" si="126"/>
        <v>31711800</v>
      </c>
    </row>
    <row r="951" spans="2:57" ht="20.399999999999999" hidden="1" x14ac:dyDescent="0.3">
      <c r="B951" s="2" t="str">
        <f>+'Base de Datos'!E951</f>
        <v>200211-0-2020</v>
      </c>
      <c r="C951" s="2" t="str">
        <f>+'Base de Datos'!F951</f>
        <v>SERVICIOS POSTALES NACIONALES S.A</v>
      </c>
      <c r="D951" s="2">
        <f>+'Base de Datos'!G951</f>
        <v>900062917</v>
      </c>
      <c r="E951" s="2" t="str">
        <f>+'Base de Datos'!H951</f>
        <v>Prestar servicios para la gestión de correspondencia y mensajería expresa masiva para el Concejo de Bogotá</v>
      </c>
      <c r="F951" s="197">
        <f>+'Base de Datos'!I951</f>
        <v>80539473</v>
      </c>
      <c r="G951" s="196">
        <f>+'Base de Datos'!M951</f>
        <v>44040</v>
      </c>
      <c r="H951" s="196">
        <f>+'Base de Datos'!N951</f>
        <v>44254</v>
      </c>
      <c r="I951" s="196"/>
      <c r="J951" s="158"/>
      <c r="K951" s="333"/>
      <c r="L951" s="211"/>
      <c r="M951" s="336"/>
      <c r="N951" s="158"/>
      <c r="O951" s="333"/>
      <c r="P951" s="158"/>
      <c r="Q951" s="338"/>
      <c r="R951" s="81">
        <f t="shared" si="128"/>
        <v>0</v>
      </c>
      <c r="S951" s="258"/>
      <c r="T951" s="333"/>
      <c r="U951" s="158"/>
      <c r="V951" s="333"/>
      <c r="W951" s="158"/>
      <c r="X951" s="333"/>
      <c r="Y951" s="158"/>
      <c r="Z951" s="1002"/>
      <c r="AA951" s="1003"/>
      <c r="AB951" s="1004" t="str">
        <f t="shared" si="129"/>
        <v/>
      </c>
      <c r="AC951" s="1082" t="str">
        <f t="shared" si="130"/>
        <v/>
      </c>
      <c r="AD951" s="1004"/>
      <c r="AE951" s="1004"/>
      <c r="AF951" s="1084" t="str">
        <f t="shared" si="131"/>
        <v/>
      </c>
      <c r="AG951" s="1082" t="str">
        <f t="shared" si="132"/>
        <v/>
      </c>
      <c r="AH951" s="1092"/>
      <c r="AI951" s="1087"/>
      <c r="AJ951" s="1084" t="str">
        <f t="shared" si="133"/>
        <v/>
      </c>
      <c r="AK951" s="1083" t="str">
        <f t="shared" si="134"/>
        <v/>
      </c>
      <c r="AL951" s="211"/>
      <c r="AM951" s="211"/>
      <c r="AN951" s="211"/>
      <c r="AO951" s="211"/>
      <c r="AP951" s="211"/>
      <c r="AQ951" s="211"/>
      <c r="AR951" s="211"/>
      <c r="AS951" s="211"/>
      <c r="AT951" s="211"/>
      <c r="AU951" s="211"/>
      <c r="AV951" s="211"/>
      <c r="AW951" s="211"/>
      <c r="AX951" s="211"/>
      <c r="AY951" s="211"/>
      <c r="AZ951" s="211"/>
      <c r="BA951" s="211"/>
      <c r="BB951" s="211"/>
      <c r="BC951" s="211"/>
      <c r="BD951" s="333"/>
      <c r="BE951" s="82">
        <f t="shared" si="126"/>
        <v>0</v>
      </c>
    </row>
    <row r="952" spans="2:57" ht="40.799999999999997" hidden="1" x14ac:dyDescent="0.3">
      <c r="B952" s="2" t="str">
        <f>+'Base de Datos'!E952</f>
        <v>200241-0-2020</v>
      </c>
      <c r="C952" s="2" t="str">
        <f>+'Base de Datos'!F952</f>
        <v>MICROS COMPATIBILIDAD REDES Y ELEMENTOS S.A.S. MICROCORE SAS</v>
      </c>
      <c r="D952" s="2">
        <f>+'Base de Datos'!G952</f>
        <v>830005800</v>
      </c>
      <c r="E952" s="2" t="str">
        <f>+'Base de Datos'!H952</f>
        <v>Prestar los servicios de mantenimiento preventivo y correctivo al sistema eléctrico del Centro Administrativo Distrital CAD y al sistema de generación y transferencia eléctrica de emergencia del Concejo de Bogotá</v>
      </c>
      <c r="F952" s="197">
        <f>+'Base de Datos'!I952</f>
        <v>5430621</v>
      </c>
      <c r="G952" s="196">
        <f>+'Base de Datos'!M952</f>
        <v>44085</v>
      </c>
      <c r="H952" s="196">
        <f>+'Base de Datos'!N952</f>
        <v>44357</v>
      </c>
      <c r="I952" s="196"/>
      <c r="J952" s="158"/>
      <c r="K952" s="333"/>
      <c r="L952" s="211"/>
      <c r="M952" s="336"/>
      <c r="N952" s="158"/>
      <c r="O952" s="333"/>
      <c r="P952" s="158"/>
      <c r="Q952" s="338"/>
      <c r="R952" s="81">
        <f t="shared" si="128"/>
        <v>0</v>
      </c>
      <c r="S952" s="258"/>
      <c r="T952" s="333"/>
      <c r="U952" s="158"/>
      <c r="V952" s="333"/>
      <c r="W952" s="158"/>
      <c r="X952" s="333"/>
      <c r="Y952" s="158"/>
      <c r="Z952" s="1002"/>
      <c r="AA952" s="1003"/>
      <c r="AB952" s="1004" t="str">
        <f t="shared" si="129"/>
        <v/>
      </c>
      <c r="AC952" s="1082" t="str">
        <f t="shared" si="130"/>
        <v/>
      </c>
      <c r="AD952" s="1004"/>
      <c r="AE952" s="1004"/>
      <c r="AF952" s="1084" t="str">
        <f t="shared" si="131"/>
        <v/>
      </c>
      <c r="AG952" s="1082" t="str">
        <f t="shared" si="132"/>
        <v/>
      </c>
      <c r="AH952" s="1092"/>
      <c r="AI952" s="1087"/>
      <c r="AJ952" s="1084" t="str">
        <f t="shared" si="133"/>
        <v/>
      </c>
      <c r="AK952" s="1083" t="str">
        <f t="shared" si="134"/>
        <v/>
      </c>
      <c r="AL952" s="211"/>
      <c r="AM952" s="211"/>
      <c r="AN952" s="211"/>
      <c r="AO952" s="211"/>
      <c r="AP952" s="211"/>
      <c r="AQ952" s="211"/>
      <c r="AR952" s="211"/>
      <c r="AS952" s="211"/>
      <c r="AT952" s="211"/>
      <c r="AU952" s="211"/>
      <c r="AV952" s="211"/>
      <c r="AW952" s="211"/>
      <c r="AX952" s="211"/>
      <c r="AY952" s="211"/>
      <c r="AZ952" s="211"/>
      <c r="BA952" s="211"/>
      <c r="BB952" s="211"/>
      <c r="BC952" s="211"/>
      <c r="BD952" s="333"/>
      <c r="BE952" s="82">
        <f t="shared" si="126"/>
        <v>0</v>
      </c>
    </row>
    <row r="953" spans="2:57" ht="30.6" hidden="1" x14ac:dyDescent="0.3">
      <c r="B953" s="2" t="str">
        <f>+'Base de Datos'!E953</f>
        <v>200243-0-2020</v>
      </c>
      <c r="C953" s="2" t="str">
        <f>+'Base de Datos'!F953</f>
        <v>HUGO ANDRES SIERRA VILLALOBOS</v>
      </c>
      <c r="D953" s="2">
        <f>+'Base de Datos'!G953</f>
        <v>80094006</v>
      </c>
      <c r="E953" s="2" t="str">
        <f>+'Base de Datos'!H953</f>
        <v>Prestar servicios profesionales en el manejo de programas relacionados con la edición de medios digitales, fotografía, grabación y video.</v>
      </c>
      <c r="F953" s="197">
        <f>+'Base de Datos'!I953</f>
        <v>36640000</v>
      </c>
      <c r="G953" s="196">
        <f>+'Base de Datos'!M953</f>
        <v>44048</v>
      </c>
      <c r="H953" s="196">
        <f>+'Base de Datos'!N953</f>
        <v>44196</v>
      </c>
      <c r="I953" s="196"/>
      <c r="J953" s="158"/>
      <c r="K953" s="333"/>
      <c r="L953" s="211"/>
      <c r="M953" s="336"/>
      <c r="N953" s="158"/>
      <c r="O953" s="333"/>
      <c r="P953" s="158"/>
      <c r="Q953" s="338"/>
      <c r="R953" s="81">
        <f t="shared" si="128"/>
        <v>0</v>
      </c>
      <c r="S953" s="258"/>
      <c r="T953" s="333"/>
      <c r="U953" s="158"/>
      <c r="V953" s="333"/>
      <c r="W953" s="158"/>
      <c r="X953" s="333"/>
      <c r="Y953" s="158"/>
      <c r="Z953" s="1002"/>
      <c r="AA953" s="1003"/>
      <c r="AB953" s="1004" t="str">
        <f t="shared" si="129"/>
        <v/>
      </c>
      <c r="AC953" s="1082" t="str">
        <f t="shared" si="130"/>
        <v/>
      </c>
      <c r="AD953" s="1004"/>
      <c r="AE953" s="1004"/>
      <c r="AF953" s="1084" t="str">
        <f t="shared" si="131"/>
        <v/>
      </c>
      <c r="AG953" s="1082" t="str">
        <f t="shared" si="132"/>
        <v/>
      </c>
      <c r="AH953" s="1092"/>
      <c r="AI953" s="1087"/>
      <c r="AJ953" s="1084" t="str">
        <f t="shared" si="133"/>
        <v/>
      </c>
      <c r="AK953" s="1083" t="str">
        <f t="shared" si="134"/>
        <v/>
      </c>
      <c r="AL953" s="211">
        <v>3969333</v>
      </c>
      <c r="AM953" s="211">
        <v>4580000</v>
      </c>
      <c r="AN953" s="211">
        <v>4580000</v>
      </c>
      <c r="AO953" s="211">
        <v>4580000</v>
      </c>
      <c r="AP953" s="211">
        <v>4580000</v>
      </c>
      <c r="AQ953" s="211"/>
      <c r="AR953" s="211"/>
      <c r="AS953" s="211"/>
      <c r="AT953" s="211"/>
      <c r="AU953" s="211"/>
      <c r="AV953" s="211"/>
      <c r="AW953" s="211"/>
      <c r="AX953" s="211"/>
      <c r="AY953" s="211"/>
      <c r="AZ953" s="211"/>
      <c r="BA953" s="211"/>
      <c r="BB953" s="211"/>
      <c r="BC953" s="211"/>
      <c r="BD953" s="333">
        <v>44196</v>
      </c>
      <c r="BE953" s="82">
        <f t="shared" si="126"/>
        <v>22289333</v>
      </c>
    </row>
    <row r="954" spans="2:57" ht="40.799999999999997" hidden="1" x14ac:dyDescent="0.3">
      <c r="B954" s="2" t="str">
        <f>+'Base de Datos'!E954</f>
        <v>200239-0-2020</v>
      </c>
      <c r="C954" s="2" t="str">
        <f>+'Base de Datos'!F954</f>
        <v>PEDRO MARIA CAMARGO RINCON</v>
      </c>
      <c r="D954" s="2">
        <f>+'Base de Datos'!G954</f>
        <v>88230935</v>
      </c>
      <c r="E954" s="2" t="str">
        <f>+'Base de Datos'!H954</f>
        <v>Prestar los servicios profesionales para apoyar a la Dirección Administrativa en la gestión de las actividades relacionadas con el seguimiento a la ejecución contractual relacionada con tecnología e informática del Concejo de Bogotá D.C.</v>
      </c>
      <c r="F954" s="197">
        <f>+'Base de Datos'!I954</f>
        <v>35728000</v>
      </c>
      <c r="G954" s="196">
        <f>+'Base de Datos'!M954</f>
        <v>44055</v>
      </c>
      <c r="H954" s="196">
        <f>+'Base de Datos'!N954</f>
        <v>44196</v>
      </c>
      <c r="I954" s="196"/>
      <c r="J954" s="158"/>
      <c r="K954" s="333"/>
      <c r="L954" s="211"/>
      <c r="M954" s="336"/>
      <c r="N954" s="158"/>
      <c r="O954" s="333"/>
      <c r="P954" s="158"/>
      <c r="Q954" s="338"/>
      <c r="R954" s="81">
        <f t="shared" si="128"/>
        <v>0</v>
      </c>
      <c r="S954" s="258"/>
      <c r="T954" s="333"/>
      <c r="U954" s="158"/>
      <c r="V954" s="333"/>
      <c r="W954" s="158"/>
      <c r="X954" s="333"/>
      <c r="Y954" s="158"/>
      <c r="Z954" s="1002"/>
      <c r="AA954" s="1003"/>
      <c r="AB954" s="1004" t="str">
        <f t="shared" si="129"/>
        <v/>
      </c>
      <c r="AC954" s="1082" t="str">
        <f t="shared" si="130"/>
        <v/>
      </c>
      <c r="AD954" s="1004"/>
      <c r="AE954" s="1004"/>
      <c r="AF954" s="1084" t="str">
        <f t="shared" si="131"/>
        <v/>
      </c>
      <c r="AG954" s="1082" t="str">
        <f t="shared" si="132"/>
        <v/>
      </c>
      <c r="AH954" s="1092"/>
      <c r="AI954" s="1087"/>
      <c r="AJ954" s="1084" t="str">
        <f t="shared" si="133"/>
        <v/>
      </c>
      <c r="AK954" s="1083" t="str">
        <f t="shared" si="134"/>
        <v/>
      </c>
      <c r="AL954" s="211">
        <v>2828467</v>
      </c>
      <c r="AM954" s="211">
        <v>4466000</v>
      </c>
      <c r="AN954" s="211">
        <v>4466000</v>
      </c>
      <c r="AO954" s="211">
        <v>4466000</v>
      </c>
      <c r="AP954" s="211">
        <v>4466000</v>
      </c>
      <c r="AQ954" s="211"/>
      <c r="AR954" s="211"/>
      <c r="AS954" s="211"/>
      <c r="AT954" s="211"/>
      <c r="AU954" s="211"/>
      <c r="AV954" s="211"/>
      <c r="AW954" s="211"/>
      <c r="AX954" s="211"/>
      <c r="AY954" s="211"/>
      <c r="AZ954" s="211"/>
      <c r="BA954" s="211"/>
      <c r="BB954" s="211"/>
      <c r="BC954" s="211"/>
      <c r="BD954" s="333">
        <v>44209</v>
      </c>
      <c r="BE954" s="82">
        <f t="shared" si="126"/>
        <v>20692467</v>
      </c>
    </row>
    <row r="955" spans="2:57" ht="20.399999999999999" hidden="1" x14ac:dyDescent="0.3">
      <c r="B955" s="2" t="str">
        <f>+'Base de Datos'!E955</f>
        <v>200245-0-2020</v>
      </c>
      <c r="C955" s="2" t="str">
        <f>+'Base de Datos'!F955</f>
        <v>SOLUCIONES ICG S A S</v>
      </c>
      <c r="D955" s="2">
        <f>+'Base de Datos'!G955</f>
        <v>900891247</v>
      </c>
      <c r="E955" s="2" t="str">
        <f>+'Base de Datos'!H955</f>
        <v>Prestar los servicios de soporte y actualización del software antivirus para el Concejo de Bogotá</v>
      </c>
      <c r="F955" s="197">
        <f>+'Base de Datos'!I955</f>
        <v>73151134</v>
      </c>
      <c r="G955" s="196">
        <f>+'Base de Datos'!M955</f>
        <v>44056</v>
      </c>
      <c r="H955" s="196">
        <f>+'Base de Datos'!N955</f>
        <v>44420</v>
      </c>
      <c r="I955" s="196"/>
      <c r="J955" s="158"/>
      <c r="K955" s="333"/>
      <c r="L955" s="211"/>
      <c r="M955" s="336"/>
      <c r="N955" s="158"/>
      <c r="O955" s="333"/>
      <c r="P955" s="158"/>
      <c r="Q955" s="338"/>
      <c r="R955" s="81">
        <f t="shared" si="128"/>
        <v>0</v>
      </c>
      <c r="S955" s="258"/>
      <c r="T955" s="333"/>
      <c r="U955" s="158"/>
      <c r="V955" s="333"/>
      <c r="W955" s="158"/>
      <c r="X955" s="333"/>
      <c r="Y955" s="158"/>
      <c r="Z955" s="1002"/>
      <c r="AA955" s="1003"/>
      <c r="AB955" s="1004" t="str">
        <f t="shared" si="129"/>
        <v/>
      </c>
      <c r="AC955" s="1082" t="str">
        <f t="shared" si="130"/>
        <v/>
      </c>
      <c r="AD955" s="1004"/>
      <c r="AE955" s="1004"/>
      <c r="AF955" s="1084" t="str">
        <f t="shared" si="131"/>
        <v/>
      </c>
      <c r="AG955" s="1082" t="str">
        <f t="shared" si="132"/>
        <v/>
      </c>
      <c r="AH955" s="1092"/>
      <c r="AI955" s="1087"/>
      <c r="AJ955" s="1084" t="str">
        <f t="shared" si="133"/>
        <v/>
      </c>
      <c r="AK955" s="1083" t="str">
        <f t="shared" si="134"/>
        <v/>
      </c>
      <c r="AL955" s="211"/>
      <c r="AM955" s="211"/>
      <c r="AN955" s="211"/>
      <c r="AO955" s="211"/>
      <c r="AP955" s="211"/>
      <c r="AQ955" s="211"/>
      <c r="AR955" s="211"/>
      <c r="AS955" s="211"/>
      <c r="AT955" s="211"/>
      <c r="AU955" s="211"/>
      <c r="AV955" s="211"/>
      <c r="AW955" s="211"/>
      <c r="AX955" s="211"/>
      <c r="AY955" s="211"/>
      <c r="AZ955" s="211"/>
      <c r="BA955" s="211"/>
      <c r="BB955" s="211"/>
      <c r="BC955" s="211"/>
      <c r="BD955" s="333"/>
      <c r="BE955" s="82">
        <f t="shared" si="126"/>
        <v>0</v>
      </c>
    </row>
    <row r="956" spans="2:57" ht="40.799999999999997" hidden="1" x14ac:dyDescent="0.3">
      <c r="B956" s="2" t="str">
        <f>+'Base de Datos'!E956</f>
        <v>200244-0-2020</v>
      </c>
      <c r="C956" s="2" t="str">
        <f>+'Base de Datos'!F956</f>
        <v>KHAANKO NORBERTO RUIZ RODRIGUEZ</v>
      </c>
      <c r="D956" s="2">
        <f>+'Base de Datos'!G956</f>
        <v>79887061</v>
      </c>
      <c r="E956" s="2" t="str">
        <f>+'Base de Datos'!H956</f>
        <v>Prestar los servicios profesionales para apoyar a la Dirección Administrativa y el Proceso de Sistemas y Seguridad de la Información, en las actividades relacionadas con el Sistema de Seguridad de la Información del Concejo de Bogotá D.C.</v>
      </c>
      <c r="F956" s="197">
        <f>+'Base de Datos'!I956</f>
        <v>32920000</v>
      </c>
      <c r="G956" s="196">
        <f>+'Base de Datos'!M956</f>
        <v>44055</v>
      </c>
      <c r="H956" s="196">
        <f>+'Base de Datos'!N956</f>
        <v>44196</v>
      </c>
      <c r="I956" s="196"/>
      <c r="J956" s="158"/>
      <c r="K956" s="333"/>
      <c r="L956" s="211"/>
      <c r="M956" s="336"/>
      <c r="N956" s="158"/>
      <c r="O956" s="333"/>
      <c r="P956" s="158"/>
      <c r="Q956" s="338"/>
      <c r="R956" s="81">
        <f t="shared" si="128"/>
        <v>0</v>
      </c>
      <c r="S956" s="258"/>
      <c r="T956" s="333"/>
      <c r="U956" s="158"/>
      <c r="V956" s="333"/>
      <c r="W956" s="158"/>
      <c r="X956" s="333"/>
      <c r="Y956" s="158"/>
      <c r="Z956" s="1002"/>
      <c r="AA956" s="1003"/>
      <c r="AB956" s="1004" t="str">
        <f t="shared" si="129"/>
        <v/>
      </c>
      <c r="AC956" s="1082" t="str">
        <f t="shared" si="130"/>
        <v/>
      </c>
      <c r="AD956" s="1004"/>
      <c r="AE956" s="1004"/>
      <c r="AF956" s="1084" t="str">
        <f t="shared" si="131"/>
        <v/>
      </c>
      <c r="AG956" s="1082" t="str">
        <f t="shared" si="132"/>
        <v/>
      </c>
      <c r="AH956" s="1092"/>
      <c r="AI956" s="1087"/>
      <c r="AJ956" s="1084" t="str">
        <f t="shared" si="133"/>
        <v/>
      </c>
      <c r="AK956" s="1083" t="str">
        <f t="shared" si="134"/>
        <v/>
      </c>
      <c r="AL956" s="211">
        <v>4169867</v>
      </c>
      <c r="AM956" s="211">
        <v>6584000</v>
      </c>
      <c r="AN956" s="211">
        <v>6584000</v>
      </c>
      <c r="AO956" s="211">
        <v>6584000</v>
      </c>
      <c r="AP956" s="211">
        <v>6584000</v>
      </c>
      <c r="AQ956" s="211"/>
      <c r="AR956" s="211"/>
      <c r="AS956" s="211"/>
      <c r="AT956" s="211"/>
      <c r="AU956" s="211"/>
      <c r="AV956" s="211"/>
      <c r="AW956" s="211"/>
      <c r="AX956" s="211"/>
      <c r="AY956" s="211"/>
      <c r="AZ956" s="211"/>
      <c r="BA956" s="211"/>
      <c r="BB956" s="211"/>
      <c r="BC956" s="211"/>
      <c r="BD956" s="333">
        <v>44216</v>
      </c>
      <c r="BE956" s="82">
        <f t="shared" si="126"/>
        <v>30505867</v>
      </c>
    </row>
    <row r="957" spans="2:57" ht="30.6" hidden="1" x14ac:dyDescent="0.3">
      <c r="B957" s="2" t="str">
        <f>+'Base de Datos'!E957</f>
        <v>200258-0-2020</v>
      </c>
      <c r="C957" s="2" t="str">
        <f>+'Base de Datos'!F957</f>
        <v>GIOVANNA ELIZABETH PARRA CAHUEÑO</v>
      </c>
      <c r="D957" s="2">
        <f>+'Base de Datos'!G957</f>
        <v>52093179</v>
      </c>
      <c r="E957" s="2" t="str">
        <f>+'Base de Datos'!H957</f>
        <v>Prestación servicio profesional en la gestión documental del procedimiento de Fondo Cuenta y las liquidaciones de contratos de la Dirección Financiera del Concejo de Bogotá.</v>
      </c>
      <c r="F957" s="197">
        <f>+'Base de Datos'!I957</f>
        <v>18438000</v>
      </c>
      <c r="G957" s="196">
        <f>+'Base de Datos'!M957</f>
        <v>44064</v>
      </c>
      <c r="H957" s="196">
        <f>+'Base de Datos'!N957</f>
        <v>44196</v>
      </c>
      <c r="I957" s="196"/>
      <c r="J957" s="158"/>
      <c r="K957" s="333"/>
      <c r="L957" s="211"/>
      <c r="M957" s="336"/>
      <c r="N957" s="158"/>
      <c r="O957" s="333"/>
      <c r="P957" s="158"/>
      <c r="Q957" s="338"/>
      <c r="R957" s="81">
        <f t="shared" si="128"/>
        <v>0</v>
      </c>
      <c r="S957" s="258"/>
      <c r="T957" s="333"/>
      <c r="U957" s="158"/>
      <c r="V957" s="333"/>
      <c r="W957" s="158"/>
      <c r="X957" s="333"/>
      <c r="Y957" s="158"/>
      <c r="Z957" s="1002"/>
      <c r="AA957" s="1003"/>
      <c r="AB957" s="1004" t="str">
        <f t="shared" si="129"/>
        <v/>
      </c>
      <c r="AC957" s="1082" t="str">
        <f t="shared" si="130"/>
        <v/>
      </c>
      <c r="AD957" s="1004"/>
      <c r="AE957" s="1004"/>
      <c r="AF957" s="1084" t="str">
        <f t="shared" si="131"/>
        <v/>
      </c>
      <c r="AG957" s="1082" t="str">
        <f t="shared" si="132"/>
        <v/>
      </c>
      <c r="AH957" s="1092"/>
      <c r="AI957" s="1087"/>
      <c r="AJ957" s="1084" t="str">
        <f t="shared" si="133"/>
        <v/>
      </c>
      <c r="AK957" s="1083" t="str">
        <f t="shared" si="134"/>
        <v/>
      </c>
      <c r="AL957" s="211">
        <v>1024333</v>
      </c>
      <c r="AM957" s="211">
        <v>3073000</v>
      </c>
      <c r="AN957" s="211">
        <v>3073000</v>
      </c>
      <c r="AO957" s="211">
        <v>3073000</v>
      </c>
      <c r="AP957" s="211"/>
      <c r="AQ957" s="211"/>
      <c r="AR957" s="211"/>
      <c r="AS957" s="211"/>
      <c r="AT957" s="211"/>
      <c r="AU957" s="211"/>
      <c r="AV957" s="211"/>
      <c r="AW957" s="211"/>
      <c r="AX957" s="211"/>
      <c r="AY957" s="211"/>
      <c r="AZ957" s="211"/>
      <c r="BA957" s="211"/>
      <c r="BB957" s="211"/>
      <c r="BC957" s="211"/>
      <c r="BD957" s="333">
        <v>44180</v>
      </c>
      <c r="BE957" s="82">
        <f t="shared" si="126"/>
        <v>10243333</v>
      </c>
    </row>
    <row r="958" spans="2:57" ht="30.6" hidden="1" x14ac:dyDescent="0.3">
      <c r="B958" s="2" t="str">
        <f>+'Base de Datos'!E958</f>
        <v>200257-0-2020</v>
      </c>
      <c r="C958" s="2" t="str">
        <f>+'Base de Datos'!F958</f>
        <v>FACTOR VISUAL EAT</v>
      </c>
      <c r="D958" s="2">
        <f>+'Base de Datos'!G958</f>
        <v>830112518</v>
      </c>
      <c r="E958" s="2" t="str">
        <f>+'Base de Datos'!H958</f>
        <v>Prestar servicios de actualización, mantenimiento y soporte para las licencias del sitio WEB e intranet y de streaming del Concejo de Bogotá</v>
      </c>
      <c r="F958" s="197">
        <f>+'Base de Datos'!I958</f>
        <v>75855000</v>
      </c>
      <c r="G958" s="196">
        <f>+'Base de Datos'!M958</f>
        <v>44056</v>
      </c>
      <c r="H958" s="196">
        <f>+'Base de Datos'!N958</f>
        <v>44420</v>
      </c>
      <c r="I958" s="196"/>
      <c r="J958" s="158"/>
      <c r="K958" s="333"/>
      <c r="L958" s="211"/>
      <c r="M958" s="336"/>
      <c r="N958" s="158"/>
      <c r="O958" s="333"/>
      <c r="P958" s="158"/>
      <c r="Q958" s="338"/>
      <c r="R958" s="81">
        <f t="shared" si="128"/>
        <v>0</v>
      </c>
      <c r="S958" s="258"/>
      <c r="T958" s="333"/>
      <c r="U958" s="158"/>
      <c r="V958" s="333"/>
      <c r="W958" s="158"/>
      <c r="X958" s="333"/>
      <c r="Y958" s="158"/>
      <c r="Z958" s="1002"/>
      <c r="AA958" s="1003"/>
      <c r="AB958" s="1004" t="str">
        <f t="shared" si="129"/>
        <v/>
      </c>
      <c r="AC958" s="1082" t="str">
        <f t="shared" si="130"/>
        <v/>
      </c>
      <c r="AD958" s="1004"/>
      <c r="AE958" s="1004"/>
      <c r="AF958" s="1084" t="str">
        <f t="shared" si="131"/>
        <v/>
      </c>
      <c r="AG958" s="1082" t="str">
        <f t="shared" si="132"/>
        <v/>
      </c>
      <c r="AH958" s="1092"/>
      <c r="AI958" s="1087"/>
      <c r="AJ958" s="1084" t="str">
        <f t="shared" si="133"/>
        <v/>
      </c>
      <c r="AK958" s="1083" t="str">
        <f t="shared" si="134"/>
        <v/>
      </c>
      <c r="AL958" s="211"/>
      <c r="AM958" s="211"/>
      <c r="AN958" s="211"/>
      <c r="AO958" s="211"/>
      <c r="AP958" s="211"/>
      <c r="AQ958" s="211"/>
      <c r="AR958" s="211"/>
      <c r="AS958" s="211"/>
      <c r="AT958" s="211"/>
      <c r="AU958" s="211"/>
      <c r="AV958" s="211"/>
      <c r="AW958" s="211"/>
      <c r="AX958" s="211"/>
      <c r="AY958" s="211"/>
      <c r="AZ958" s="211"/>
      <c r="BA958" s="211"/>
      <c r="BB958" s="211"/>
      <c r="BC958" s="211"/>
      <c r="BD958" s="333"/>
      <c r="BE958" s="82">
        <f t="shared" si="126"/>
        <v>0</v>
      </c>
    </row>
    <row r="959" spans="2:57" ht="30.6" hidden="1" x14ac:dyDescent="0.3">
      <c r="B959" s="2" t="str">
        <f>+'Base de Datos'!E959</f>
        <v>200260-0-2020</v>
      </c>
      <c r="C959" s="2" t="str">
        <f>+'Base de Datos'!F959</f>
        <v>AUGUSTO CESAR MOSCARELLA RIASCOS</v>
      </c>
      <c r="D959" s="2">
        <f>+'Base de Datos'!G959</f>
        <v>85459440</v>
      </c>
      <c r="E959" s="2" t="str">
        <f>+'Base de Datos'!H959</f>
        <v>Prestación de servicios profesionales, en el marco de los procesos de gestión jurídica y judicial a cargo de la Dirección Jurídica del Concejo de Bogotá, D.C.</v>
      </c>
      <c r="F959" s="197">
        <f>+'Base de Datos'!I959</f>
        <v>26335000</v>
      </c>
      <c r="G959" s="196">
        <f>+'Base de Datos'!M959</f>
        <v>44067</v>
      </c>
      <c r="H959" s="196">
        <f>+'Base de Datos'!N959</f>
        <v>44196</v>
      </c>
      <c r="I959" s="196"/>
      <c r="J959" s="158"/>
      <c r="K959" s="333"/>
      <c r="L959" s="211"/>
      <c r="M959" s="336"/>
      <c r="N959" s="158"/>
      <c r="O959" s="333"/>
      <c r="P959" s="158"/>
      <c r="Q959" s="338"/>
      <c r="R959" s="81">
        <f t="shared" si="128"/>
        <v>0</v>
      </c>
      <c r="S959" s="258"/>
      <c r="T959" s="333"/>
      <c r="U959" s="158"/>
      <c r="V959" s="333"/>
      <c r="W959" s="158"/>
      <c r="X959" s="333"/>
      <c r="Y959" s="158"/>
      <c r="Z959" s="1002"/>
      <c r="AA959" s="1003"/>
      <c r="AB959" s="1004" t="str">
        <f t="shared" si="129"/>
        <v/>
      </c>
      <c r="AC959" s="1082" t="str">
        <f t="shared" si="130"/>
        <v/>
      </c>
      <c r="AD959" s="1004"/>
      <c r="AE959" s="1004"/>
      <c r="AF959" s="1084" t="str">
        <f t="shared" si="131"/>
        <v/>
      </c>
      <c r="AG959" s="1082" t="str">
        <f t="shared" si="132"/>
        <v/>
      </c>
      <c r="AH959" s="1092"/>
      <c r="AI959" s="1087"/>
      <c r="AJ959" s="1084" t="str">
        <f t="shared" si="133"/>
        <v/>
      </c>
      <c r="AK959" s="1083" t="str">
        <f t="shared" si="134"/>
        <v/>
      </c>
      <c r="AL959" s="211">
        <v>1228967</v>
      </c>
      <c r="AM959" s="211">
        <v>5267000</v>
      </c>
      <c r="AN959" s="211">
        <v>5267000</v>
      </c>
      <c r="AO959" s="211">
        <v>5267000</v>
      </c>
      <c r="AP959" s="211"/>
      <c r="AQ959" s="211"/>
      <c r="AR959" s="211"/>
      <c r="AS959" s="211"/>
      <c r="AT959" s="211"/>
      <c r="AU959" s="211"/>
      <c r="AV959" s="211"/>
      <c r="AW959" s="211"/>
      <c r="AX959" s="211"/>
      <c r="AY959" s="211"/>
      <c r="AZ959" s="211"/>
      <c r="BA959" s="211"/>
      <c r="BB959" s="211"/>
      <c r="BC959" s="211"/>
      <c r="BD959" s="333">
        <v>44176</v>
      </c>
      <c r="BE959" s="82">
        <f t="shared" si="126"/>
        <v>17029967</v>
      </c>
    </row>
    <row r="960" spans="2:57" ht="20.399999999999999" hidden="1" x14ac:dyDescent="0.3">
      <c r="B960" s="2" t="str">
        <f>+'Base de Datos'!E960</f>
        <v>200253-0-2020</v>
      </c>
      <c r="C960" s="2" t="str">
        <f>+'Base de Datos'!F960</f>
        <v>JAIRO ENRIQUE BELLO ARDILA</v>
      </c>
      <c r="D960" s="2">
        <f>+'Base de Datos'!G960</f>
        <v>80434419</v>
      </c>
      <c r="E960" s="2" t="str">
        <f>+'Base de Datos'!H960</f>
        <v>Prestar los servicios de apoyo operativo al proceso de Recursos Físicos de la Dirección Administrativa.</v>
      </c>
      <c r="F960" s="197">
        <f>+'Base de Datos'!I960</f>
        <v>13170000</v>
      </c>
      <c r="G960" s="196">
        <f>+'Base de Datos'!M960</f>
        <v>44056</v>
      </c>
      <c r="H960" s="196">
        <f>+'Base de Datos'!N960</f>
        <v>44196</v>
      </c>
      <c r="I960" s="196"/>
      <c r="J960" s="158"/>
      <c r="K960" s="333"/>
      <c r="L960" s="211"/>
      <c r="M960" s="336"/>
      <c r="N960" s="158"/>
      <c r="O960" s="333"/>
      <c r="P960" s="158"/>
      <c r="Q960" s="338"/>
      <c r="R960" s="81">
        <f t="shared" si="128"/>
        <v>0</v>
      </c>
      <c r="S960" s="258"/>
      <c r="T960" s="333"/>
      <c r="U960" s="158"/>
      <c r="V960" s="333"/>
      <c r="W960" s="158"/>
      <c r="X960" s="333"/>
      <c r="Y960" s="158"/>
      <c r="Z960" s="1002"/>
      <c r="AA960" s="1003"/>
      <c r="AB960" s="1004" t="str">
        <f t="shared" si="129"/>
        <v/>
      </c>
      <c r="AC960" s="1082" t="str">
        <f t="shared" si="130"/>
        <v/>
      </c>
      <c r="AD960" s="1004"/>
      <c r="AE960" s="1004"/>
      <c r="AF960" s="1084" t="str">
        <f t="shared" si="131"/>
        <v/>
      </c>
      <c r="AG960" s="1082" t="str">
        <f t="shared" si="132"/>
        <v/>
      </c>
      <c r="AH960" s="1092"/>
      <c r="AI960" s="1087"/>
      <c r="AJ960" s="1084" t="str">
        <f t="shared" si="133"/>
        <v/>
      </c>
      <c r="AK960" s="1083" t="str">
        <f t="shared" si="134"/>
        <v/>
      </c>
      <c r="AL960" s="211">
        <v>1317000</v>
      </c>
      <c r="AM960" s="211">
        <v>2195000</v>
      </c>
      <c r="AN960" s="211">
        <v>2195000</v>
      </c>
      <c r="AO960" s="211">
        <v>2195000</v>
      </c>
      <c r="AP960" s="211"/>
      <c r="AQ960" s="211"/>
      <c r="AR960" s="211"/>
      <c r="AS960" s="211"/>
      <c r="AT960" s="211"/>
      <c r="AU960" s="211"/>
      <c r="AV960" s="211"/>
      <c r="AW960" s="211"/>
      <c r="AX960" s="211"/>
      <c r="AY960" s="211"/>
      <c r="AZ960" s="211"/>
      <c r="BA960" s="211"/>
      <c r="BB960" s="211"/>
      <c r="BC960" s="211"/>
      <c r="BD960" s="333">
        <v>44174</v>
      </c>
      <c r="BE960" s="82">
        <f t="shared" si="126"/>
        <v>7902000</v>
      </c>
    </row>
    <row r="961" spans="2:57" ht="20.399999999999999" hidden="1" x14ac:dyDescent="0.3">
      <c r="B961" s="2" t="str">
        <f>+'Base de Datos'!E961</f>
        <v>200259-0-2020</v>
      </c>
      <c r="C961" s="2" t="str">
        <f>+'Base de Datos'!F961</f>
        <v>BUSINESSMIND COLOMBIA S.A. - BMIND COLOMBIA S.A</v>
      </c>
      <c r="D961" s="2">
        <f>+'Base de Datos'!G961</f>
        <v>900105979</v>
      </c>
      <c r="E961" s="2" t="str">
        <f>+'Base de Datos'!H961</f>
        <v>Prestar los servicios de administración y operación de la plataforma Oracle del Concejo de Bogotá</v>
      </c>
      <c r="F961" s="197">
        <f>+'Base de Datos'!I961</f>
        <v>120820000</v>
      </c>
      <c r="G961" s="196">
        <f>+'Base de Datos'!M961</f>
        <v>44068</v>
      </c>
      <c r="H961" s="196">
        <f>+'Base de Datos'!N961</f>
        <v>44340</v>
      </c>
      <c r="I961" s="196"/>
      <c r="J961" s="158"/>
      <c r="K961" s="333"/>
      <c r="L961" s="211"/>
      <c r="M961" s="336"/>
      <c r="N961" s="158"/>
      <c r="O961" s="333"/>
      <c r="P961" s="158"/>
      <c r="Q961" s="338"/>
      <c r="R961" s="81">
        <f t="shared" si="128"/>
        <v>0</v>
      </c>
      <c r="S961" s="258"/>
      <c r="T961" s="333"/>
      <c r="U961" s="158"/>
      <c r="V961" s="333"/>
      <c r="W961" s="158"/>
      <c r="X961" s="333"/>
      <c r="Y961" s="158"/>
      <c r="Z961" s="1002"/>
      <c r="AA961" s="1003"/>
      <c r="AB961" s="1004" t="str">
        <f t="shared" si="129"/>
        <v/>
      </c>
      <c r="AC961" s="1082" t="str">
        <f t="shared" si="130"/>
        <v/>
      </c>
      <c r="AD961" s="1004"/>
      <c r="AE961" s="1004"/>
      <c r="AF961" s="1084" t="str">
        <f t="shared" si="131"/>
        <v/>
      </c>
      <c r="AG961" s="1082" t="str">
        <f t="shared" si="132"/>
        <v/>
      </c>
      <c r="AH961" s="1092"/>
      <c r="AI961" s="1087"/>
      <c r="AJ961" s="1084" t="str">
        <f t="shared" si="133"/>
        <v/>
      </c>
      <c r="AK961" s="1083" t="str">
        <f t="shared" si="134"/>
        <v/>
      </c>
      <c r="AL961" s="211"/>
      <c r="AM961" s="211"/>
      <c r="AN961" s="211"/>
      <c r="AO961" s="211"/>
      <c r="AP961" s="211"/>
      <c r="AQ961" s="211"/>
      <c r="AR961" s="211"/>
      <c r="AS961" s="211"/>
      <c r="AT961" s="211"/>
      <c r="AU961" s="211"/>
      <c r="AV961" s="211"/>
      <c r="AW961" s="211"/>
      <c r="AX961" s="211"/>
      <c r="AY961" s="211"/>
      <c r="AZ961" s="211"/>
      <c r="BA961" s="211"/>
      <c r="BB961" s="211"/>
      <c r="BC961" s="211"/>
      <c r="BD961" s="333"/>
      <c r="BE961" s="82">
        <f t="shared" si="126"/>
        <v>0</v>
      </c>
    </row>
    <row r="962" spans="2:57" ht="71.400000000000006" hidden="1" x14ac:dyDescent="0.3">
      <c r="B962" s="2" t="str">
        <f>+'Base de Datos'!E962</f>
        <v>200251-0-2020</v>
      </c>
      <c r="C962" s="2" t="str">
        <f>+'Base de Datos'!F962</f>
        <v>PROTEVIS LIMITADA PROTECCION VIGILANCIA SEGURIDAD EN REORGANIZACION</v>
      </c>
      <c r="D962" s="2">
        <f>+'Base de Datos'!G962</f>
        <v>860526793</v>
      </c>
      <c r="E962" s="2" t="str">
        <f>+'Base de Datos'!H962</f>
        <v>Prestar los servicios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 la Licitación Pública No. SDH-LP-02-2020 y la propuesta presentada por el contratista.</v>
      </c>
      <c r="F962" s="197">
        <f>+'Base de Datos'!I962</f>
        <v>775204498</v>
      </c>
      <c r="G962" s="196">
        <f>+'Base de Datos'!M962</f>
        <v>44075</v>
      </c>
      <c r="H962" s="196">
        <f>+'Base de Datos'!N962</f>
        <v>44255</v>
      </c>
      <c r="I962" s="196"/>
      <c r="J962" s="158"/>
      <c r="K962" s="333"/>
      <c r="L962" s="211"/>
      <c r="M962" s="336"/>
      <c r="N962" s="158"/>
      <c r="O962" s="333"/>
      <c r="P962" s="158"/>
      <c r="Q962" s="338"/>
      <c r="R962" s="81">
        <f t="shared" si="128"/>
        <v>0</v>
      </c>
      <c r="S962" s="258"/>
      <c r="T962" s="333"/>
      <c r="U962" s="158"/>
      <c r="V962" s="333"/>
      <c r="W962" s="158"/>
      <c r="X962" s="333"/>
      <c r="Y962" s="158"/>
      <c r="Z962" s="1002"/>
      <c r="AA962" s="1003"/>
      <c r="AB962" s="1004" t="str">
        <f t="shared" si="129"/>
        <v/>
      </c>
      <c r="AC962" s="1082" t="str">
        <f t="shared" si="130"/>
        <v/>
      </c>
      <c r="AD962" s="1004"/>
      <c r="AE962" s="1004"/>
      <c r="AF962" s="1084" t="str">
        <f t="shared" si="131"/>
        <v/>
      </c>
      <c r="AG962" s="1082" t="str">
        <f t="shared" si="132"/>
        <v/>
      </c>
      <c r="AH962" s="1092"/>
      <c r="AI962" s="1087"/>
      <c r="AJ962" s="1084" t="str">
        <f t="shared" si="133"/>
        <v/>
      </c>
      <c r="AK962" s="1083" t="str">
        <f t="shared" si="134"/>
        <v/>
      </c>
      <c r="AL962" s="211">
        <v>101899245</v>
      </c>
      <c r="AM962" s="211"/>
      <c r="AN962" s="211"/>
      <c r="AO962" s="211"/>
      <c r="AP962" s="211"/>
      <c r="AQ962" s="211"/>
      <c r="AR962" s="211"/>
      <c r="AS962" s="211"/>
      <c r="AT962" s="211"/>
      <c r="AU962" s="211"/>
      <c r="AV962" s="211"/>
      <c r="AW962" s="211"/>
      <c r="AX962" s="211"/>
      <c r="AY962" s="211"/>
      <c r="AZ962" s="211"/>
      <c r="BA962" s="211"/>
      <c r="BB962" s="211"/>
      <c r="BC962" s="211"/>
      <c r="BD962" s="333">
        <v>44172</v>
      </c>
      <c r="BE962" s="82">
        <f t="shared" si="126"/>
        <v>101899245</v>
      </c>
    </row>
    <row r="963" spans="2:57" ht="61.2" hidden="1" x14ac:dyDescent="0.3">
      <c r="B963" s="2" t="str">
        <f>+'Base de Datos'!E963</f>
        <v>200267-0-2020</v>
      </c>
      <c r="C963" s="2" t="str">
        <f>+'Base de Datos'!F963</f>
        <v>ASEAR S.A. E.S.P.</v>
      </c>
      <c r="D963" s="2">
        <f>+'Base de Datos'!G963</f>
        <v>811044253</v>
      </c>
      <c r="E963" s="2" t="str">
        <f>+'Base de Datos'!H963</f>
        <v>Prestar los servicios integrales de aseo y cafetería y el servicio de fumigación para las instalaciones del Concejo de Bogotá, de conformidad con lo establecido en el pliego de condiciones del proceso de Selección Abreviada de Menor Cuantía No. SDH-SAMC-02-2020 y la propuesta presentada por el contratista.</v>
      </c>
      <c r="F963" s="197">
        <f>+'Base de Datos'!I963</f>
        <v>325608608</v>
      </c>
      <c r="G963" s="196">
        <f>+'Base de Datos'!M963</f>
        <v>44061</v>
      </c>
      <c r="H963" s="196">
        <f>+'Base de Datos'!N963</f>
        <v>44303</v>
      </c>
      <c r="I963" s="196"/>
      <c r="J963" s="158"/>
      <c r="K963" s="333"/>
      <c r="L963" s="211"/>
      <c r="M963" s="336"/>
      <c r="N963" s="158"/>
      <c r="O963" s="333"/>
      <c r="P963" s="158"/>
      <c r="Q963" s="338"/>
      <c r="R963" s="81">
        <f t="shared" si="128"/>
        <v>0</v>
      </c>
      <c r="S963" s="258"/>
      <c r="T963" s="333"/>
      <c r="U963" s="158"/>
      <c r="V963" s="333"/>
      <c r="W963" s="158"/>
      <c r="X963" s="333"/>
      <c r="Y963" s="158"/>
      <c r="Z963" s="1002"/>
      <c r="AA963" s="1003"/>
      <c r="AB963" s="1004" t="str">
        <f t="shared" si="129"/>
        <v/>
      </c>
      <c r="AC963" s="1082" t="str">
        <f t="shared" si="130"/>
        <v/>
      </c>
      <c r="AD963" s="1004"/>
      <c r="AE963" s="1004"/>
      <c r="AF963" s="1084" t="str">
        <f t="shared" si="131"/>
        <v/>
      </c>
      <c r="AG963" s="1082" t="str">
        <f t="shared" si="132"/>
        <v/>
      </c>
      <c r="AH963" s="1092"/>
      <c r="AI963" s="1087"/>
      <c r="AJ963" s="1084" t="str">
        <f t="shared" si="133"/>
        <v/>
      </c>
      <c r="AK963" s="1083" t="str">
        <f t="shared" si="134"/>
        <v/>
      </c>
      <c r="AL963" s="211">
        <f>828057+6958458</f>
        <v>7786515</v>
      </c>
      <c r="AM963" s="211"/>
      <c r="AN963" s="211"/>
      <c r="AO963" s="211"/>
      <c r="AP963" s="211"/>
      <c r="AQ963" s="211"/>
      <c r="AR963" s="211"/>
      <c r="AS963" s="211"/>
      <c r="AT963" s="211"/>
      <c r="AU963" s="211"/>
      <c r="AV963" s="211"/>
      <c r="AW963" s="211"/>
      <c r="AX963" s="211"/>
      <c r="AY963" s="211"/>
      <c r="AZ963" s="211"/>
      <c r="BA963" s="211"/>
      <c r="BB963" s="211"/>
      <c r="BC963" s="211"/>
      <c r="BD963" s="333">
        <v>44175</v>
      </c>
      <c r="BE963" s="82">
        <f t="shared" si="126"/>
        <v>7786515</v>
      </c>
    </row>
    <row r="964" spans="2:57" ht="61.2" hidden="1" x14ac:dyDescent="0.3">
      <c r="B964" s="2" t="str">
        <f>+'Base de Datos'!E964</f>
        <v>200269-0-2020</v>
      </c>
      <c r="C964" s="2" t="str">
        <f>+'Base de Datos'!F964</f>
        <v>CARLOS HUMBERTO PALACIOS DORADO</v>
      </c>
      <c r="D964" s="2">
        <f>+'Base de Datos'!G964</f>
        <v>19425959</v>
      </c>
      <c r="E964" s="2" t="str">
        <f>+'Base de Datos'!H964</f>
        <v>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964" s="197">
        <f>+'Base de Datos'!I964</f>
        <v>35728000</v>
      </c>
      <c r="G964" s="196">
        <f>+'Base de Datos'!M964</f>
        <v>44075</v>
      </c>
      <c r="H964" s="196">
        <f>+'Base de Datos'!N964</f>
        <v>44196</v>
      </c>
      <c r="I964" s="196"/>
      <c r="J964" s="158"/>
      <c r="K964" s="333"/>
      <c r="L964" s="211"/>
      <c r="M964" s="336"/>
      <c r="N964" s="158"/>
      <c r="O964" s="333"/>
      <c r="P964" s="158"/>
      <c r="Q964" s="338"/>
      <c r="R964" s="81">
        <f t="shared" si="128"/>
        <v>0</v>
      </c>
      <c r="S964" s="258"/>
      <c r="T964" s="333"/>
      <c r="U964" s="158"/>
      <c r="V964" s="333"/>
      <c r="W964" s="158"/>
      <c r="X964" s="333"/>
      <c r="Y964" s="158"/>
      <c r="Z964" s="1002"/>
      <c r="AA964" s="1003"/>
      <c r="AB964" s="1004" t="str">
        <f t="shared" si="129"/>
        <v/>
      </c>
      <c r="AC964" s="1082" t="str">
        <f t="shared" si="130"/>
        <v/>
      </c>
      <c r="AD964" s="1004"/>
      <c r="AE964" s="1004"/>
      <c r="AF964" s="1084" t="str">
        <f t="shared" si="131"/>
        <v/>
      </c>
      <c r="AG964" s="1082" t="str">
        <f t="shared" si="132"/>
        <v/>
      </c>
      <c r="AH964" s="1092"/>
      <c r="AI964" s="1087"/>
      <c r="AJ964" s="1084" t="str">
        <f t="shared" si="133"/>
        <v/>
      </c>
      <c r="AK964" s="1083" t="str">
        <f t="shared" si="134"/>
        <v/>
      </c>
      <c r="AL964" s="211">
        <v>4466000</v>
      </c>
      <c r="AM964" s="211">
        <v>4466000</v>
      </c>
      <c r="AN964" s="211">
        <v>4466000</v>
      </c>
      <c r="AO964" s="211">
        <v>4466000</v>
      </c>
      <c r="AP964" s="211"/>
      <c r="AQ964" s="211"/>
      <c r="AR964" s="211"/>
      <c r="AS964" s="211"/>
      <c r="AT964" s="211"/>
      <c r="AU964" s="211"/>
      <c r="AV964" s="211"/>
      <c r="AW964" s="211"/>
      <c r="AX964" s="211"/>
      <c r="AY964" s="211"/>
      <c r="AZ964" s="211"/>
      <c r="BA964" s="211"/>
      <c r="BB964" s="211"/>
      <c r="BC964" s="211"/>
      <c r="BD964" s="333">
        <v>44210</v>
      </c>
      <c r="BE964" s="82">
        <f t="shared" si="126"/>
        <v>17864000</v>
      </c>
    </row>
    <row r="965" spans="2:57" ht="61.2" hidden="1" x14ac:dyDescent="0.3">
      <c r="B965" s="2" t="str">
        <f>+'Base de Datos'!E965</f>
        <v>200271-0-2020</v>
      </c>
      <c r="C965" s="2" t="str">
        <f>+'Base de Datos'!F965</f>
        <v>REDJURISTA SAS</v>
      </c>
      <c r="D965" s="2">
        <f>+'Base de Datos'!G965</f>
        <v>900852009</v>
      </c>
      <c r="E965" s="2" t="str">
        <f>+'Base de Datos'!H965</f>
        <v>Suscripción al servicio de información jurídica a través de un boletín informativo por correo electrónico consulta web y biblioteca digital de legislación colombiana actualizada, de conformidad con lo establecido en la invitación pública del proceso citado en el asunto y la propuesta por ustedes presentada.</v>
      </c>
      <c r="F965" s="197">
        <f>+'Base de Datos'!I965</f>
        <v>1980000</v>
      </c>
      <c r="G965" s="196">
        <f>+'Base de Datos'!M965</f>
        <v>44067</v>
      </c>
      <c r="H965" s="196">
        <f>+'Base de Datos'!N965</f>
        <v>44431</v>
      </c>
      <c r="I965" s="196"/>
      <c r="J965" s="158"/>
      <c r="K965" s="333"/>
      <c r="L965" s="211"/>
      <c r="M965" s="336"/>
      <c r="N965" s="158"/>
      <c r="O965" s="333"/>
      <c r="P965" s="158"/>
      <c r="Q965" s="338"/>
      <c r="R965" s="81">
        <f t="shared" si="128"/>
        <v>0</v>
      </c>
      <c r="S965" s="258"/>
      <c r="T965" s="333"/>
      <c r="U965" s="158"/>
      <c r="V965" s="333"/>
      <c r="W965" s="158"/>
      <c r="X965" s="333"/>
      <c r="Y965" s="158"/>
      <c r="Z965" s="1002"/>
      <c r="AA965" s="1003"/>
      <c r="AB965" s="1004" t="str">
        <f t="shared" si="129"/>
        <v/>
      </c>
      <c r="AC965" s="1082" t="str">
        <f t="shared" si="130"/>
        <v/>
      </c>
      <c r="AD965" s="1004"/>
      <c r="AE965" s="1004"/>
      <c r="AF965" s="1084" t="str">
        <f t="shared" si="131"/>
        <v/>
      </c>
      <c r="AG965" s="1082" t="str">
        <f t="shared" si="132"/>
        <v/>
      </c>
      <c r="AH965" s="1092"/>
      <c r="AI965" s="1087"/>
      <c r="AJ965" s="1084" t="str">
        <f t="shared" si="133"/>
        <v/>
      </c>
      <c r="AK965" s="1083" t="str">
        <f t="shared" si="134"/>
        <v/>
      </c>
      <c r="AL965" s="211">
        <v>1980000</v>
      </c>
      <c r="AM965" s="211"/>
      <c r="AN965" s="211"/>
      <c r="AO965" s="211"/>
      <c r="AP965" s="211"/>
      <c r="AQ965" s="211"/>
      <c r="AR965" s="211"/>
      <c r="AS965" s="211"/>
      <c r="AT965" s="211"/>
      <c r="AU965" s="211"/>
      <c r="AV965" s="211"/>
      <c r="AW965" s="211"/>
      <c r="AX965" s="211"/>
      <c r="AY965" s="211"/>
      <c r="AZ965" s="211"/>
      <c r="BA965" s="211"/>
      <c r="BB965" s="211"/>
      <c r="BC965" s="211"/>
      <c r="BD965" s="333">
        <v>44138</v>
      </c>
      <c r="BE965" s="82">
        <f t="shared" si="126"/>
        <v>1980000</v>
      </c>
    </row>
    <row r="966" spans="2:57" ht="40.799999999999997" hidden="1" x14ac:dyDescent="0.3">
      <c r="B966" s="2" t="str">
        <f>+'Base de Datos'!E966</f>
        <v>200284-0-2020</v>
      </c>
      <c r="C966" s="2" t="str">
        <f>+'Base de Datos'!F966</f>
        <v>ANDRES FELIPE GONZALEZ LOPEZ</v>
      </c>
      <c r="D966" s="2">
        <f>+'Base de Datos'!G966</f>
        <v>1136888028</v>
      </c>
      <c r="E966" s="2" t="str">
        <f>+'Base de Datos'!H966</f>
        <v>Prestación de servicios técnicos en la Secretaría General, en el control del trámite de los derechos de petición, así como en el registro y suministro de información sobre participación ciudadana.</v>
      </c>
      <c r="F966" s="197">
        <f>+'Base de Datos'!I966</f>
        <v>15175000</v>
      </c>
      <c r="G966" s="196">
        <f>+'Base de Datos'!M966</f>
        <v>44068</v>
      </c>
      <c r="H966" s="196">
        <f>+'Base de Datos'!N966</f>
        <v>44196</v>
      </c>
      <c r="I966" s="196"/>
      <c r="J966" s="158"/>
      <c r="K966" s="333"/>
      <c r="L966" s="211"/>
      <c r="M966" s="336"/>
      <c r="N966" s="158"/>
      <c r="O966" s="333"/>
      <c r="P966" s="158"/>
      <c r="Q966" s="338"/>
      <c r="R966" s="81">
        <f t="shared" si="128"/>
        <v>0</v>
      </c>
      <c r="S966" s="258"/>
      <c r="T966" s="333"/>
      <c r="U966" s="158"/>
      <c r="V966" s="333"/>
      <c r="W966" s="158"/>
      <c r="X966" s="333"/>
      <c r="Y966" s="158"/>
      <c r="Z966" s="1002"/>
      <c r="AA966" s="1003"/>
      <c r="AB966" s="1004" t="str">
        <f t="shared" si="129"/>
        <v/>
      </c>
      <c r="AC966" s="1082" t="str">
        <f t="shared" si="130"/>
        <v/>
      </c>
      <c r="AD966" s="1004"/>
      <c r="AE966" s="1004"/>
      <c r="AF966" s="1084" t="str">
        <f t="shared" si="131"/>
        <v/>
      </c>
      <c r="AG966" s="1082" t="str">
        <f t="shared" si="132"/>
        <v/>
      </c>
      <c r="AH966" s="1092"/>
      <c r="AI966" s="1087"/>
      <c r="AJ966" s="1084" t="str">
        <f t="shared" si="133"/>
        <v/>
      </c>
      <c r="AK966" s="1083" t="str">
        <f t="shared" si="134"/>
        <v/>
      </c>
      <c r="AL966" s="211">
        <v>607000</v>
      </c>
      <c r="AM966" s="211">
        <v>3035000</v>
      </c>
      <c r="AN966" s="211">
        <v>3035000</v>
      </c>
      <c r="AO966" s="211">
        <v>3035000</v>
      </c>
      <c r="AP966" s="211"/>
      <c r="AQ966" s="211"/>
      <c r="AR966" s="211"/>
      <c r="AS966" s="211"/>
      <c r="AT966" s="211"/>
      <c r="AU966" s="211"/>
      <c r="AV966" s="211"/>
      <c r="AW966" s="211"/>
      <c r="AX966" s="211"/>
      <c r="AY966" s="211"/>
      <c r="AZ966" s="211"/>
      <c r="BA966" s="211"/>
      <c r="BB966" s="211"/>
      <c r="BC966" s="211"/>
      <c r="BD966" s="333">
        <v>44174</v>
      </c>
      <c r="BE966" s="82">
        <f t="shared" si="126"/>
        <v>9712000</v>
      </c>
    </row>
    <row r="967" spans="2:57" ht="30.6" hidden="1" x14ac:dyDescent="0.3">
      <c r="B967" s="2" t="str">
        <f>+'Base de Datos'!E967</f>
        <v>200272-0-2020</v>
      </c>
      <c r="C967" s="2" t="str">
        <f>+'Base de Datos'!F967</f>
        <v>E&amp;G COLOMBIA SERVICIOS DE MANTENIMIENTO S.A.S.</v>
      </c>
      <c r="D967" s="2" t="str">
        <f>+'Base de Datos'!G967</f>
        <v>901178631-0</v>
      </c>
      <c r="E967" s="2" t="str">
        <f>+'Base de Datos'!H967</f>
        <v>Prestar los servicios de mantenimiento preventivo, correctivo y traslado, incluyendo los repuestos y elementos que requieran los sistemas de archivos rodantes del Concejo de Bogotá D.C”</v>
      </c>
      <c r="F967" s="197">
        <f>+'Base de Datos'!I967</f>
        <v>5513949</v>
      </c>
      <c r="G967" s="196">
        <f>+'Base de Datos'!M967</f>
        <v>44069</v>
      </c>
      <c r="H967" s="196">
        <f>+'Base de Datos'!N967</f>
        <v>44252</v>
      </c>
      <c r="I967" s="196"/>
      <c r="J967" s="158"/>
      <c r="K967" s="333"/>
      <c r="L967" s="211"/>
      <c r="M967" s="336"/>
      <c r="N967" s="158"/>
      <c r="O967" s="333"/>
      <c r="P967" s="158"/>
      <c r="Q967" s="338"/>
      <c r="R967" s="81">
        <f t="shared" si="128"/>
        <v>0</v>
      </c>
      <c r="S967" s="258"/>
      <c r="T967" s="333"/>
      <c r="U967" s="158"/>
      <c r="V967" s="333"/>
      <c r="W967" s="158"/>
      <c r="X967" s="333"/>
      <c r="Y967" s="158"/>
      <c r="Z967" s="1002"/>
      <c r="AA967" s="1003"/>
      <c r="AB967" s="1004" t="str">
        <f t="shared" si="129"/>
        <v/>
      </c>
      <c r="AC967" s="1082" t="str">
        <f t="shared" si="130"/>
        <v/>
      </c>
      <c r="AD967" s="1004"/>
      <c r="AE967" s="1004"/>
      <c r="AF967" s="1084" t="str">
        <f t="shared" si="131"/>
        <v/>
      </c>
      <c r="AG967" s="1082" t="str">
        <f t="shared" si="132"/>
        <v/>
      </c>
      <c r="AH967" s="1092"/>
      <c r="AI967" s="1087"/>
      <c r="AJ967" s="1084" t="str">
        <f t="shared" si="133"/>
        <v/>
      </c>
      <c r="AK967" s="1083" t="str">
        <f t="shared" si="134"/>
        <v/>
      </c>
      <c r="AL967" s="211"/>
      <c r="AM967" s="211"/>
      <c r="AN967" s="211"/>
      <c r="AO967" s="211"/>
      <c r="AP967" s="211"/>
      <c r="AQ967" s="211"/>
      <c r="AR967" s="211"/>
      <c r="AS967" s="211"/>
      <c r="AT967" s="211"/>
      <c r="AU967" s="211"/>
      <c r="AV967" s="211"/>
      <c r="AW967" s="211"/>
      <c r="AX967" s="211"/>
      <c r="AY967" s="211"/>
      <c r="AZ967" s="211"/>
      <c r="BA967" s="211"/>
      <c r="BB967" s="211"/>
      <c r="BC967" s="211"/>
      <c r="BD967" s="333"/>
      <c r="BE967" s="82">
        <f t="shared" si="126"/>
        <v>0</v>
      </c>
    </row>
    <row r="968" spans="2:57" ht="40.799999999999997" hidden="1" x14ac:dyDescent="0.3">
      <c r="B968" s="2" t="str">
        <f>+'Base de Datos'!E968</f>
        <v>200240-0-2020</v>
      </c>
      <c r="C968" s="2" t="str">
        <f>+'Base de Datos'!F968</f>
        <v>CAMILO ANDRES BONILLA DIAZ</v>
      </c>
      <c r="D968" s="2">
        <f>+'Base de Datos'!G968</f>
        <v>80191080</v>
      </c>
      <c r="E968" s="2" t="str">
        <f>+'Base de Datos'!H968</f>
        <v>Prestar los servicios profesionales para apoyar a la Secretaría General y coordinar con las comisiones permanentes la gestión y seguimiento de los derechos de petición y la operatividad de los mecanismos de participación ciudadana.</v>
      </c>
      <c r="F968" s="197">
        <f>+'Base de Datos'!I968</f>
        <v>22330000</v>
      </c>
      <c r="G968" s="196">
        <f>+'Base de Datos'!M968</f>
        <v>44069</v>
      </c>
      <c r="H968" s="196">
        <f>+'Base de Datos'!N968</f>
        <v>44196</v>
      </c>
      <c r="I968" s="196"/>
      <c r="J968" s="158"/>
      <c r="K968" s="333"/>
      <c r="L968" s="211"/>
      <c r="M968" s="336"/>
      <c r="N968" s="158"/>
      <c r="O968" s="333"/>
      <c r="P968" s="158"/>
      <c r="Q968" s="338"/>
      <c r="R968" s="81">
        <f t="shared" si="128"/>
        <v>0</v>
      </c>
      <c r="S968" s="258"/>
      <c r="T968" s="333"/>
      <c r="U968" s="158"/>
      <c r="V968" s="333"/>
      <c r="W968" s="158"/>
      <c r="X968" s="333"/>
      <c r="Y968" s="158"/>
      <c r="Z968" s="1002"/>
      <c r="AA968" s="1003"/>
      <c r="AB968" s="1004" t="str">
        <f t="shared" si="129"/>
        <v/>
      </c>
      <c r="AC968" s="1082" t="str">
        <f t="shared" si="130"/>
        <v/>
      </c>
      <c r="AD968" s="1004"/>
      <c r="AE968" s="1004"/>
      <c r="AF968" s="1084" t="str">
        <f t="shared" si="131"/>
        <v/>
      </c>
      <c r="AG968" s="1082" t="str">
        <f t="shared" si="132"/>
        <v/>
      </c>
      <c r="AH968" s="1092"/>
      <c r="AI968" s="1087"/>
      <c r="AJ968" s="1084" t="str">
        <f t="shared" si="133"/>
        <v/>
      </c>
      <c r="AK968" s="1083" t="str">
        <f t="shared" si="134"/>
        <v/>
      </c>
      <c r="AL968" s="211">
        <v>744333</v>
      </c>
      <c r="AM968" s="211">
        <v>4466000</v>
      </c>
      <c r="AN968" s="211">
        <v>4466000</v>
      </c>
      <c r="AO968" s="211">
        <v>4466000</v>
      </c>
      <c r="AP968" s="211"/>
      <c r="AQ968" s="211"/>
      <c r="AR968" s="211"/>
      <c r="AS968" s="211"/>
      <c r="AT968" s="211"/>
      <c r="AU968" s="211"/>
      <c r="AV968" s="211"/>
      <c r="AW968" s="211"/>
      <c r="AX968" s="211"/>
      <c r="AY968" s="211"/>
      <c r="AZ968" s="211"/>
      <c r="BA968" s="211"/>
      <c r="BB968" s="211"/>
      <c r="BC968" s="211"/>
      <c r="BD968" s="333">
        <v>44173</v>
      </c>
      <c r="BE968" s="82">
        <f t="shared" si="126"/>
        <v>14142333</v>
      </c>
    </row>
    <row r="969" spans="2:57" ht="40.799999999999997" hidden="1" x14ac:dyDescent="0.3">
      <c r="B969" s="2" t="str">
        <f>+'Base de Datos'!E969</f>
        <v>200294-0-2020</v>
      </c>
      <c r="C969" s="2" t="str">
        <f>+'Base de Datos'!F969</f>
        <v>DAVID LEONARDO NUÑEZ AMORTEGUI</v>
      </c>
      <c r="D969" s="2">
        <f>+'Base de Datos'!G969</f>
        <v>1032389671</v>
      </c>
      <c r="E969" s="2" t="str">
        <f>+'Base de Datos'!H969</f>
        <v>Prestar los servicios profesionales para apoyar a la mesa directiva en la implementación y evaluación de metodologías y herramientas para la mejora de los procesos de gestión normativa y control político del Concejo de Bogotá D.C</v>
      </c>
      <c r="F969" s="197">
        <f>+'Base de Datos'!I969</f>
        <v>17560000</v>
      </c>
      <c r="G969" s="196">
        <f>+'Base de Datos'!M969</f>
        <v>44071</v>
      </c>
      <c r="H969" s="196">
        <f>+'Base de Datos'!N969</f>
        <v>44192</v>
      </c>
      <c r="I969" s="196"/>
      <c r="J969" s="158"/>
      <c r="K969" s="333"/>
      <c r="L969" s="211"/>
      <c r="M969" s="336"/>
      <c r="N969" s="158"/>
      <c r="O969" s="333"/>
      <c r="P969" s="158"/>
      <c r="Q969" s="338"/>
      <c r="R969" s="81">
        <f t="shared" si="128"/>
        <v>0</v>
      </c>
      <c r="S969" s="258"/>
      <c r="T969" s="333"/>
      <c r="U969" s="158"/>
      <c r="V969" s="333"/>
      <c r="W969" s="158"/>
      <c r="X969" s="333"/>
      <c r="Y969" s="158"/>
      <c r="Z969" s="1002"/>
      <c r="AA969" s="1003"/>
      <c r="AB969" s="1004" t="str">
        <f t="shared" si="129"/>
        <v/>
      </c>
      <c r="AC969" s="1082" t="str">
        <f t="shared" si="130"/>
        <v/>
      </c>
      <c r="AD969" s="1004"/>
      <c r="AE969" s="1004"/>
      <c r="AF969" s="1084" t="str">
        <f t="shared" si="131"/>
        <v/>
      </c>
      <c r="AG969" s="1082" t="str">
        <f t="shared" si="132"/>
        <v/>
      </c>
      <c r="AH969" s="1092"/>
      <c r="AI969" s="1087"/>
      <c r="AJ969" s="1084" t="str">
        <f t="shared" si="133"/>
        <v/>
      </c>
      <c r="AK969" s="1083" t="str">
        <f t="shared" si="134"/>
        <v/>
      </c>
      <c r="AL969" s="211">
        <v>439000</v>
      </c>
      <c r="AM969" s="211">
        <v>4390000</v>
      </c>
      <c r="AN969" s="211">
        <v>4390000</v>
      </c>
      <c r="AO969" s="211">
        <v>4390000</v>
      </c>
      <c r="AP969" s="211">
        <v>3950999</v>
      </c>
      <c r="AQ969" s="211"/>
      <c r="AR969" s="211"/>
      <c r="AS969" s="211"/>
      <c r="AT969" s="211"/>
      <c r="AU969" s="211"/>
      <c r="AV969" s="211"/>
      <c r="AW969" s="211"/>
      <c r="AX969" s="211"/>
      <c r="AY969" s="211"/>
      <c r="AZ969" s="211"/>
      <c r="BA969" s="211"/>
      <c r="BB969" s="211"/>
      <c r="BC969" s="211"/>
      <c r="BD969" s="333">
        <v>44195</v>
      </c>
      <c r="BE969" s="82">
        <f t="shared" si="126"/>
        <v>17559999</v>
      </c>
    </row>
    <row r="970" spans="2:57" ht="30.6" hidden="1" x14ac:dyDescent="0.3">
      <c r="B970" s="2" t="str">
        <f>+'Base de Datos'!E970</f>
        <v>200246-0-2020</v>
      </c>
      <c r="C970" s="2" t="str">
        <f>+'Base de Datos'!F970</f>
        <v>COLOMBIANA DE SOFTWARE Y HARDWARE COLSOF S A</v>
      </c>
      <c r="D970" s="2">
        <f>+'Base de Datos'!G970</f>
        <v>800015583</v>
      </c>
      <c r="E970" s="2" t="str">
        <f>+'Base de Datos'!H970</f>
        <v>Prestar los servicios de mantenimiento preventivo, correctivo y soporte técnico especializado para los servidores del Concejo de Bogotá y sus dispositivos</v>
      </c>
      <c r="F970" s="197">
        <f>+'Base de Datos'!I970</f>
        <v>417474392</v>
      </c>
      <c r="G970" s="196">
        <f>+'Base de Datos'!M970</f>
        <v>44075</v>
      </c>
      <c r="H970" s="196">
        <f>+'Base de Datos'!N970</f>
        <v>44439</v>
      </c>
      <c r="I970" s="196"/>
      <c r="J970" s="158"/>
      <c r="K970" s="333"/>
      <c r="L970" s="211"/>
      <c r="M970" s="336"/>
      <c r="N970" s="158"/>
      <c r="O970" s="333"/>
      <c r="P970" s="158"/>
      <c r="Q970" s="338"/>
      <c r="R970" s="81">
        <f t="shared" si="128"/>
        <v>0</v>
      </c>
      <c r="S970" s="258"/>
      <c r="T970" s="333"/>
      <c r="U970" s="158"/>
      <c r="V970" s="333"/>
      <c r="W970" s="158"/>
      <c r="X970" s="333"/>
      <c r="Y970" s="158"/>
      <c r="Z970" s="1002"/>
      <c r="AA970" s="1003"/>
      <c r="AB970" s="1004" t="str">
        <f t="shared" si="129"/>
        <v/>
      </c>
      <c r="AC970" s="1082" t="str">
        <f t="shared" si="130"/>
        <v/>
      </c>
      <c r="AD970" s="1004"/>
      <c r="AE970" s="1004"/>
      <c r="AF970" s="1084" t="str">
        <f t="shared" si="131"/>
        <v/>
      </c>
      <c r="AG970" s="1082" t="str">
        <f t="shared" si="132"/>
        <v/>
      </c>
      <c r="AH970" s="1092"/>
      <c r="AI970" s="1087"/>
      <c r="AJ970" s="1084" t="str">
        <f t="shared" si="133"/>
        <v/>
      </c>
      <c r="AK970" s="1083" t="str">
        <f t="shared" si="134"/>
        <v/>
      </c>
      <c r="AL970" s="211"/>
      <c r="AM970" s="211"/>
      <c r="AN970" s="211"/>
      <c r="AO970" s="211"/>
      <c r="AP970" s="211"/>
      <c r="AQ970" s="211"/>
      <c r="AR970" s="211"/>
      <c r="AS970" s="211"/>
      <c r="AT970" s="211"/>
      <c r="AU970" s="211"/>
      <c r="AV970" s="211"/>
      <c r="AW970" s="211"/>
      <c r="AX970" s="211"/>
      <c r="AY970" s="211"/>
      <c r="AZ970" s="211"/>
      <c r="BA970" s="211"/>
      <c r="BB970" s="211"/>
      <c r="BC970" s="211"/>
      <c r="BD970" s="333"/>
      <c r="BE970" s="82">
        <f t="shared" ref="BE970:BE1033" si="135">SUM(AL970:BC970)</f>
        <v>0</v>
      </c>
    </row>
    <row r="971" spans="2:57" ht="40.799999999999997" hidden="1" x14ac:dyDescent="0.3">
      <c r="B971" s="2" t="str">
        <f>+'Base de Datos'!E971</f>
        <v>200293-0-2020</v>
      </c>
      <c r="C971" s="2" t="str">
        <f>+'Base de Datos'!F971</f>
        <v>SANTIAGO AMADOR VILLANEDA</v>
      </c>
      <c r="D971" s="2">
        <f>+'Base de Datos'!G971</f>
        <v>79945403</v>
      </c>
      <c r="E971" s="2" t="str">
        <f>+'Base de Datos'!H971</f>
        <v>Prestar los servicios profesionales para apoyar a la mesa directiva en la implementación y evaluación de metodologías y herramientas para la mejora de los procesos de gestión normativa y control político del Concejo de Bogotá D.C.</v>
      </c>
      <c r="F971" s="197">
        <f>+'Base de Datos'!I971</f>
        <v>17560000</v>
      </c>
      <c r="G971" s="196">
        <f>+'Base de Datos'!M971</f>
        <v>44078</v>
      </c>
      <c r="H971" s="196">
        <f>+'Base de Datos'!N971</f>
        <v>44196</v>
      </c>
      <c r="I971" s="196"/>
      <c r="J971" s="158"/>
      <c r="K971" s="333"/>
      <c r="L971" s="211"/>
      <c r="M971" s="336"/>
      <c r="N971" s="158"/>
      <c r="O971" s="333"/>
      <c r="P971" s="158"/>
      <c r="Q971" s="338"/>
      <c r="R971" s="81">
        <f t="shared" si="128"/>
        <v>0</v>
      </c>
      <c r="S971" s="258"/>
      <c r="T971" s="333"/>
      <c r="U971" s="158"/>
      <c r="V971" s="333"/>
      <c r="W971" s="158"/>
      <c r="X971" s="333"/>
      <c r="Y971" s="158"/>
      <c r="Z971" s="1002"/>
      <c r="AA971" s="1003"/>
      <c r="AB971" s="1004" t="str">
        <f t="shared" si="129"/>
        <v/>
      </c>
      <c r="AC971" s="1082" t="str">
        <f t="shared" si="130"/>
        <v/>
      </c>
      <c r="AD971" s="1004"/>
      <c r="AE971" s="1004"/>
      <c r="AF971" s="1084" t="str">
        <f t="shared" si="131"/>
        <v/>
      </c>
      <c r="AG971" s="1082" t="str">
        <f t="shared" si="132"/>
        <v/>
      </c>
      <c r="AH971" s="1092"/>
      <c r="AI971" s="1087"/>
      <c r="AJ971" s="1084" t="str">
        <f t="shared" si="133"/>
        <v/>
      </c>
      <c r="AK971" s="1083" t="str">
        <f t="shared" si="134"/>
        <v/>
      </c>
      <c r="AL971" s="211">
        <v>3951000</v>
      </c>
      <c r="AM971" s="211">
        <v>4390000</v>
      </c>
      <c r="AN971" s="211">
        <v>4390000</v>
      </c>
      <c r="AO971" s="211">
        <v>4390000</v>
      </c>
      <c r="AP971" s="211"/>
      <c r="AQ971" s="211"/>
      <c r="AR971" s="211"/>
      <c r="AS971" s="211"/>
      <c r="AT971" s="211"/>
      <c r="AU971" s="211"/>
      <c r="AV971" s="211"/>
      <c r="AW971" s="211"/>
      <c r="AX971" s="211"/>
      <c r="AY971" s="211"/>
      <c r="AZ971" s="211"/>
      <c r="BA971" s="211"/>
      <c r="BB971" s="211"/>
      <c r="BC971" s="211"/>
      <c r="BD971" s="333">
        <v>44196</v>
      </c>
      <c r="BE971" s="82">
        <f t="shared" si="135"/>
        <v>17121000</v>
      </c>
    </row>
    <row r="972" spans="2:57" ht="40.799999999999997" hidden="1" x14ac:dyDescent="0.3">
      <c r="B972" s="2" t="str">
        <f>+'Base de Datos'!E972</f>
        <v>200295-0-2020</v>
      </c>
      <c r="C972" s="2" t="str">
        <f>+'Base de Datos'!F972</f>
        <v>HENRY ANDRES GUALDRON VELASCO</v>
      </c>
      <c r="D972" s="2">
        <f>+'Base de Datos'!G972</f>
        <v>1098710301</v>
      </c>
      <c r="E972" s="2" t="str">
        <f>+'Base de Datos'!H972</f>
        <v>Prestar los servicios profesionales para apoyar a la mesa directiva en la implementación y evaluación de metodologías y herramientas para la mejora de los procesos de gestión normativa y control político del Concejo de Bogotá D.C</v>
      </c>
      <c r="F972" s="197">
        <f>+'Base de Datos'!I972</f>
        <v>17560000</v>
      </c>
      <c r="G972" s="196">
        <f>+'Base de Datos'!M972</f>
        <v>44078</v>
      </c>
      <c r="H972" s="196">
        <f>+'Base de Datos'!N972</f>
        <v>44196</v>
      </c>
      <c r="I972" s="196"/>
      <c r="J972" s="158"/>
      <c r="K972" s="333"/>
      <c r="L972" s="211"/>
      <c r="M972" s="336"/>
      <c r="N972" s="158"/>
      <c r="O972" s="333"/>
      <c r="P972" s="158"/>
      <c r="Q972" s="338"/>
      <c r="R972" s="81">
        <f t="shared" si="128"/>
        <v>0</v>
      </c>
      <c r="S972" s="258"/>
      <c r="T972" s="333"/>
      <c r="U972" s="158"/>
      <c r="V972" s="333"/>
      <c r="W972" s="158"/>
      <c r="X972" s="333"/>
      <c r="Y972" s="158"/>
      <c r="Z972" s="1002"/>
      <c r="AA972" s="1003"/>
      <c r="AB972" s="1004" t="str">
        <f t="shared" si="129"/>
        <v/>
      </c>
      <c r="AC972" s="1082" t="str">
        <f t="shared" si="130"/>
        <v/>
      </c>
      <c r="AD972" s="1004"/>
      <c r="AE972" s="1004"/>
      <c r="AF972" s="1084" t="str">
        <f t="shared" si="131"/>
        <v/>
      </c>
      <c r="AG972" s="1082" t="str">
        <f t="shared" si="132"/>
        <v/>
      </c>
      <c r="AH972" s="1092"/>
      <c r="AI972" s="1087"/>
      <c r="AJ972" s="1084" t="str">
        <f t="shared" si="133"/>
        <v/>
      </c>
      <c r="AK972" s="1083" t="str">
        <f t="shared" si="134"/>
        <v/>
      </c>
      <c r="AL972" s="211">
        <v>3951000</v>
      </c>
      <c r="AM972" s="211">
        <v>4390000</v>
      </c>
      <c r="AN972" s="211">
        <v>4390000</v>
      </c>
      <c r="AO972" s="211">
        <v>4390000</v>
      </c>
      <c r="AP972" s="211"/>
      <c r="AQ972" s="211"/>
      <c r="AR972" s="211"/>
      <c r="AS972" s="211"/>
      <c r="AT972" s="211"/>
      <c r="AU972" s="211"/>
      <c r="AV972" s="211"/>
      <c r="AW972" s="211"/>
      <c r="AX972" s="211"/>
      <c r="AY972" s="211"/>
      <c r="AZ972" s="211"/>
      <c r="BA972" s="211"/>
      <c r="BB972" s="211"/>
      <c r="BC972" s="211"/>
      <c r="BD972" s="333">
        <v>44196</v>
      </c>
      <c r="BE972" s="82">
        <f t="shared" si="135"/>
        <v>17121000</v>
      </c>
    </row>
    <row r="973" spans="2:57" ht="40.799999999999997" hidden="1" x14ac:dyDescent="0.3">
      <c r="B973" s="2" t="str">
        <f>+'Base de Datos'!E973</f>
        <v>200290-0-2020</v>
      </c>
      <c r="C973" s="2" t="str">
        <f>+'Base de Datos'!F973</f>
        <v>INGEAL S.A.</v>
      </c>
      <c r="D973" s="2">
        <f>+'Base de Datos'!G973</f>
        <v>800039398</v>
      </c>
      <c r="E973" s="2" t="str">
        <f>+'Base de Datos'!H973</f>
        <v>Prestar los servicios de mantenimiento preventivo y correctivo de elementos que soportan la infraestructura tecnológica del Centro de cómputo y centros de cableado del Concejo de Bogotá</v>
      </c>
      <c r="F973" s="197">
        <f>+'Base de Datos'!I973</f>
        <v>192024000</v>
      </c>
      <c r="G973" s="196">
        <f>+'Base de Datos'!M973</f>
        <v>44078</v>
      </c>
      <c r="H973" s="196">
        <f>+'Base de Datos'!N973</f>
        <v>44442</v>
      </c>
      <c r="I973" s="196"/>
      <c r="J973" s="158"/>
      <c r="K973" s="333"/>
      <c r="L973" s="211"/>
      <c r="M973" s="336"/>
      <c r="N973" s="158"/>
      <c r="O973" s="333"/>
      <c r="P973" s="158"/>
      <c r="Q973" s="338"/>
      <c r="R973" s="81">
        <f t="shared" si="128"/>
        <v>0</v>
      </c>
      <c r="S973" s="258"/>
      <c r="T973" s="333"/>
      <c r="U973" s="158"/>
      <c r="V973" s="333"/>
      <c r="W973" s="158"/>
      <c r="X973" s="333"/>
      <c r="Y973" s="158"/>
      <c r="Z973" s="1002"/>
      <c r="AA973" s="1003"/>
      <c r="AB973" s="1004" t="str">
        <f t="shared" si="129"/>
        <v/>
      </c>
      <c r="AC973" s="1082" t="str">
        <f t="shared" si="130"/>
        <v/>
      </c>
      <c r="AD973" s="1004"/>
      <c r="AE973" s="1004"/>
      <c r="AF973" s="1084" t="str">
        <f t="shared" si="131"/>
        <v/>
      </c>
      <c r="AG973" s="1082" t="str">
        <f t="shared" si="132"/>
        <v/>
      </c>
      <c r="AH973" s="1092"/>
      <c r="AI973" s="1087"/>
      <c r="AJ973" s="1084" t="str">
        <f t="shared" si="133"/>
        <v/>
      </c>
      <c r="AK973" s="1083" t="str">
        <f t="shared" si="134"/>
        <v/>
      </c>
      <c r="AL973" s="211"/>
      <c r="AM973" s="211"/>
      <c r="AN973" s="211"/>
      <c r="AO973" s="211"/>
      <c r="AP973" s="211"/>
      <c r="AQ973" s="211"/>
      <c r="AR973" s="211"/>
      <c r="AS973" s="211"/>
      <c r="AT973" s="211"/>
      <c r="AU973" s="211"/>
      <c r="AV973" s="211"/>
      <c r="AW973" s="211"/>
      <c r="AX973" s="211"/>
      <c r="AY973" s="211"/>
      <c r="AZ973" s="211"/>
      <c r="BA973" s="211"/>
      <c r="BB973" s="211"/>
      <c r="BC973" s="211"/>
      <c r="BD973" s="333"/>
      <c r="BE973" s="82">
        <f t="shared" si="135"/>
        <v>0</v>
      </c>
    </row>
    <row r="974" spans="2:57" ht="30.6" hidden="1" x14ac:dyDescent="0.3">
      <c r="B974" s="2" t="str">
        <f>+'Base de Datos'!E974</f>
        <v>200325-0-2020</v>
      </c>
      <c r="C974" s="2" t="str">
        <f>+'Base de Datos'!F974</f>
        <v>MIACOM SAS</v>
      </c>
      <c r="D974" s="2">
        <f>+'Base de Datos'!G974</f>
        <v>900677188</v>
      </c>
      <c r="E974" s="2" t="str">
        <f>+'Base de Datos'!H974</f>
        <v>Prestar los servicios de diseño producción y ejecución de estrategias de divulgación en medios de comunicación de carácter masivo para el Concejo de Bogotá.</v>
      </c>
      <c r="F974" s="197">
        <f>+'Base de Datos'!I974</f>
        <v>542181000</v>
      </c>
      <c r="G974" s="196">
        <f>+'Base de Datos'!M974</f>
        <v>44088</v>
      </c>
      <c r="H974" s="196">
        <f>+'Base de Datos'!N974</f>
        <v>44299</v>
      </c>
      <c r="I974" s="196"/>
      <c r="J974" s="158"/>
      <c r="K974" s="333"/>
      <c r="L974" s="211"/>
      <c r="M974" s="336"/>
      <c r="N974" s="158"/>
      <c r="O974" s="333"/>
      <c r="P974" s="158"/>
      <c r="Q974" s="338"/>
      <c r="R974" s="81">
        <f t="shared" si="128"/>
        <v>0</v>
      </c>
      <c r="S974" s="258"/>
      <c r="T974" s="333"/>
      <c r="U974" s="158"/>
      <c r="V974" s="333"/>
      <c r="W974" s="158"/>
      <c r="X974" s="333"/>
      <c r="Y974" s="158"/>
      <c r="Z974" s="1002"/>
      <c r="AA974" s="1003"/>
      <c r="AB974" s="1004" t="str">
        <f t="shared" si="129"/>
        <v/>
      </c>
      <c r="AC974" s="1082" t="str">
        <f t="shared" si="130"/>
        <v/>
      </c>
      <c r="AD974" s="1004"/>
      <c r="AE974" s="1004"/>
      <c r="AF974" s="1084" t="str">
        <f t="shared" si="131"/>
        <v/>
      </c>
      <c r="AG974" s="1082" t="str">
        <f t="shared" si="132"/>
        <v/>
      </c>
      <c r="AH974" s="1092"/>
      <c r="AI974" s="1087"/>
      <c r="AJ974" s="1084" t="str">
        <f t="shared" si="133"/>
        <v/>
      </c>
      <c r="AK974" s="1083" t="str">
        <f t="shared" si="134"/>
        <v/>
      </c>
      <c r="AL974" s="211">
        <v>14529457</v>
      </c>
      <c r="AM974" s="211"/>
      <c r="AN974" s="211"/>
      <c r="AO974" s="211"/>
      <c r="AP974" s="211"/>
      <c r="AQ974" s="211"/>
      <c r="AR974" s="211"/>
      <c r="AS974" s="211"/>
      <c r="AT974" s="211"/>
      <c r="AU974" s="211"/>
      <c r="AV974" s="211"/>
      <c r="AW974" s="211"/>
      <c r="AX974" s="211"/>
      <c r="AY974" s="211"/>
      <c r="AZ974" s="211"/>
      <c r="BA974" s="211"/>
      <c r="BB974" s="211"/>
      <c r="BC974" s="211"/>
      <c r="BD974" s="333">
        <v>44172</v>
      </c>
      <c r="BE974" s="82">
        <f t="shared" si="135"/>
        <v>14529457</v>
      </c>
    </row>
    <row r="975" spans="2:57" ht="20.399999999999999" hidden="1" x14ac:dyDescent="0.3">
      <c r="B975" s="2" t="str">
        <f>+'Base de Datos'!E975</f>
        <v>200292-0-2020</v>
      </c>
      <c r="C975" s="2" t="str">
        <f>+'Base de Datos'!F975</f>
        <v>JOHN ALEJANDRO FRANCO OTERO</v>
      </c>
      <c r="D975" s="2" t="str">
        <f>+'Base de Datos'!G975</f>
        <v>79391917-2</v>
      </c>
      <c r="E975" s="2" t="str">
        <f>+'Base de Datos'!H975</f>
        <v>Proveer elementos ergonómicos para los puestos de trabajo de los servidores públicos del Concejo de Bogotá.</v>
      </c>
      <c r="F975" s="197">
        <f>+'Base de Datos'!I975</f>
        <v>7354200</v>
      </c>
      <c r="G975" s="196">
        <f>+'Base de Datos'!M975</f>
        <v>44091</v>
      </c>
      <c r="H975" s="196">
        <f>+'Base de Datos'!N975</f>
        <v>44181</v>
      </c>
      <c r="I975" s="196"/>
      <c r="J975" s="158"/>
      <c r="K975" s="333"/>
      <c r="L975" s="211"/>
      <c r="M975" s="336"/>
      <c r="N975" s="158"/>
      <c r="O975" s="333"/>
      <c r="P975" s="158"/>
      <c r="Q975" s="338"/>
      <c r="R975" s="81">
        <f t="shared" si="128"/>
        <v>0</v>
      </c>
      <c r="S975" s="258" t="s">
        <v>378</v>
      </c>
      <c r="T975" s="333">
        <v>44243</v>
      </c>
      <c r="U975" s="158"/>
      <c r="V975" s="333"/>
      <c r="W975" s="158"/>
      <c r="X975" s="333"/>
      <c r="Y975" s="158"/>
      <c r="Z975" s="1002"/>
      <c r="AA975" s="1003" t="s">
        <v>378</v>
      </c>
      <c r="AB975" s="1004">
        <f t="shared" si="129"/>
        <v>44243</v>
      </c>
      <c r="AC975" s="1082" t="str">
        <f t="shared" si="130"/>
        <v/>
      </c>
      <c r="AD975" s="1004"/>
      <c r="AE975" s="1004"/>
      <c r="AF975" s="1084" t="str">
        <f t="shared" si="131"/>
        <v/>
      </c>
      <c r="AG975" s="1082" t="str">
        <f t="shared" si="132"/>
        <v/>
      </c>
      <c r="AH975" s="1092"/>
      <c r="AI975" s="1087"/>
      <c r="AJ975" s="1084" t="str">
        <f t="shared" si="133"/>
        <v/>
      </c>
      <c r="AK975" s="1083" t="str">
        <f t="shared" si="134"/>
        <v/>
      </c>
      <c r="AL975" s="211"/>
      <c r="AM975" s="211"/>
      <c r="AN975" s="211"/>
      <c r="AO975" s="211"/>
      <c r="AP975" s="211"/>
      <c r="AQ975" s="211"/>
      <c r="AR975" s="211"/>
      <c r="AS975" s="211"/>
      <c r="AT975" s="211"/>
      <c r="AU975" s="211"/>
      <c r="AV975" s="211"/>
      <c r="AW975" s="211"/>
      <c r="AX975" s="211"/>
      <c r="AY975" s="211"/>
      <c r="AZ975" s="211"/>
      <c r="BA975" s="211"/>
      <c r="BB975" s="211"/>
      <c r="BC975" s="211"/>
      <c r="BD975" s="333"/>
      <c r="BE975" s="82">
        <f t="shared" si="135"/>
        <v>0</v>
      </c>
    </row>
    <row r="976" spans="2:57" ht="20.399999999999999" hidden="1" x14ac:dyDescent="0.3">
      <c r="B976" s="2" t="str">
        <f>+'Base de Datos'!E976</f>
        <v>200332-0-2020</v>
      </c>
      <c r="C976" s="2" t="str">
        <f>+'Base de Datos'!F976</f>
        <v>GRANADOS Y CONDECORACIONES S.A.S.</v>
      </c>
      <c r="D976" s="2" t="str">
        <f>+'Base de Datos'!G976</f>
        <v>830055827-1</v>
      </c>
      <c r="E976" s="2" t="str">
        <f>+'Base de Datos'!H976</f>
        <v>Suministro de elementos de promoción institucional y actos protocolarios del Concejo de Bogotá.</v>
      </c>
      <c r="F976" s="197">
        <f>+'Base de Datos'!I976</f>
        <v>42917000</v>
      </c>
      <c r="G976" s="196">
        <f>+'Base de Datos'!M976</f>
        <v>44118</v>
      </c>
      <c r="H976" s="196">
        <f>+'Base de Datos'!N976</f>
        <v>44360</v>
      </c>
      <c r="I976" s="196"/>
      <c r="J976" s="158"/>
      <c r="K976" s="333"/>
      <c r="L976" s="211"/>
      <c r="M976" s="336"/>
      <c r="N976" s="158"/>
      <c r="O976" s="333"/>
      <c r="P976" s="158"/>
      <c r="Q976" s="338"/>
      <c r="R976" s="81">
        <f t="shared" si="128"/>
        <v>0</v>
      </c>
      <c r="S976" s="258"/>
      <c r="T976" s="333"/>
      <c r="U976" s="158"/>
      <c r="V976" s="333"/>
      <c r="W976" s="158"/>
      <c r="X976" s="333"/>
      <c r="Y976" s="158"/>
      <c r="Z976" s="1002"/>
      <c r="AA976" s="1003"/>
      <c r="AB976" s="1004" t="str">
        <f t="shared" si="129"/>
        <v/>
      </c>
      <c r="AC976" s="1082" t="str">
        <f t="shared" si="130"/>
        <v/>
      </c>
      <c r="AD976" s="1004"/>
      <c r="AE976" s="1004"/>
      <c r="AF976" s="1084" t="str">
        <f t="shared" si="131"/>
        <v/>
      </c>
      <c r="AG976" s="1082" t="str">
        <f t="shared" si="132"/>
        <v/>
      </c>
      <c r="AH976" s="1092"/>
      <c r="AI976" s="1087"/>
      <c r="AJ976" s="1084" t="str">
        <f t="shared" si="133"/>
        <v/>
      </c>
      <c r="AK976" s="1083" t="str">
        <f t="shared" si="134"/>
        <v/>
      </c>
      <c r="AL976" s="211"/>
      <c r="AM976" s="211"/>
      <c r="AN976" s="211"/>
      <c r="AO976" s="211"/>
      <c r="AP976" s="211"/>
      <c r="AQ976" s="211"/>
      <c r="AR976" s="211"/>
      <c r="AS976" s="211"/>
      <c r="AT976" s="211"/>
      <c r="AU976" s="211"/>
      <c r="AV976" s="211"/>
      <c r="AW976" s="211"/>
      <c r="AX976" s="211"/>
      <c r="AY976" s="211"/>
      <c r="AZ976" s="211"/>
      <c r="BA976" s="211"/>
      <c r="BB976" s="211"/>
      <c r="BC976" s="211"/>
      <c r="BD976" s="333"/>
      <c r="BE976" s="82">
        <f t="shared" si="135"/>
        <v>0</v>
      </c>
    </row>
    <row r="977" spans="2:57" ht="30.6" hidden="1" x14ac:dyDescent="0.3">
      <c r="B977" s="2" t="str">
        <f>+'Base de Datos'!E977</f>
        <v>200310-0-2020</v>
      </c>
      <c r="C977" s="2" t="str">
        <f>+'Base de Datos'!F977</f>
        <v>ANITA LIEVANO TOLEDO</v>
      </c>
      <c r="D977" s="2">
        <f>+'Base de Datos'!G977</f>
        <v>41747050</v>
      </c>
      <c r="E977" s="2" t="str">
        <f>+'Base de Datos'!H977</f>
        <v>Prestar los servicios profesionales para apoyar la ejecución de las actividades contenidas en el Plan de Bienestar Social y de capacitación del Concejo de Bogotá</v>
      </c>
      <c r="F977" s="197">
        <f>+'Base de Datos'!I977</f>
        <v>22330000</v>
      </c>
      <c r="G977" s="196">
        <f>+'Base de Datos'!M977</f>
        <v>44098</v>
      </c>
      <c r="H977" s="196">
        <f>+'Base de Datos'!N977</f>
        <v>44196</v>
      </c>
      <c r="I977" s="196"/>
      <c r="J977" s="158"/>
      <c r="K977" s="333"/>
      <c r="L977" s="211"/>
      <c r="M977" s="336"/>
      <c r="N977" s="158"/>
      <c r="O977" s="333"/>
      <c r="P977" s="158"/>
      <c r="Q977" s="338"/>
      <c r="R977" s="81">
        <f t="shared" si="128"/>
        <v>0</v>
      </c>
      <c r="S977" s="258"/>
      <c r="T977" s="333"/>
      <c r="U977" s="158"/>
      <c r="V977" s="333"/>
      <c r="W977" s="158"/>
      <c r="X977" s="333"/>
      <c r="Y977" s="158"/>
      <c r="Z977" s="1002"/>
      <c r="AA977" s="1003"/>
      <c r="AB977" s="1004" t="str">
        <f t="shared" si="129"/>
        <v/>
      </c>
      <c r="AC977" s="1082" t="str">
        <f t="shared" si="130"/>
        <v/>
      </c>
      <c r="AD977" s="1004"/>
      <c r="AE977" s="1004"/>
      <c r="AF977" s="1084" t="str">
        <f t="shared" si="131"/>
        <v/>
      </c>
      <c r="AG977" s="1082" t="str">
        <f t="shared" si="132"/>
        <v/>
      </c>
      <c r="AH977" s="1092"/>
      <c r="AI977" s="1087"/>
      <c r="AJ977" s="1084" t="str">
        <f t="shared" si="133"/>
        <v/>
      </c>
      <c r="AK977" s="1083" t="str">
        <f t="shared" si="134"/>
        <v/>
      </c>
      <c r="AL977" s="211">
        <v>1042067</v>
      </c>
      <c r="AM977" s="211">
        <v>4466000</v>
      </c>
      <c r="AN977" s="211">
        <v>4466000</v>
      </c>
      <c r="AO977" s="211">
        <v>4466000</v>
      </c>
      <c r="AP977" s="211"/>
      <c r="AQ977" s="211"/>
      <c r="AR977" s="211"/>
      <c r="AS977" s="211"/>
      <c r="AT977" s="211"/>
      <c r="AU977" s="211"/>
      <c r="AV977" s="211"/>
      <c r="AW977" s="211"/>
      <c r="AX977" s="211"/>
      <c r="AY977" s="211"/>
      <c r="AZ977" s="211"/>
      <c r="BA977" s="211"/>
      <c r="BB977" s="211"/>
      <c r="BC977" s="211"/>
      <c r="BD977" s="333">
        <v>44195</v>
      </c>
      <c r="BE977" s="82">
        <f t="shared" si="135"/>
        <v>14440067</v>
      </c>
    </row>
    <row r="978" spans="2:57" hidden="1" x14ac:dyDescent="0.3">
      <c r="B978" s="2" t="str">
        <f>+'Base de Datos'!E978</f>
        <v>200336-0-2020</v>
      </c>
      <c r="C978" s="2" t="str">
        <f>+'Base de Datos'!F978</f>
        <v>PUBLICACIONES SEMANA S.A.</v>
      </c>
      <c r="D978" s="2" t="str">
        <f>+'Base de Datos'!G978</f>
        <v>860509265-1</v>
      </c>
      <c r="E978" s="2" t="str">
        <f>+'Base de Datos'!H978</f>
        <v>Suscripción a la Revista Semana para el Concejo de Bogotá</v>
      </c>
      <c r="F978" s="197">
        <f>+'Base de Datos'!I978</f>
        <v>1077000</v>
      </c>
      <c r="G978" s="196">
        <f>+'Base de Datos'!M978</f>
        <v>44140</v>
      </c>
      <c r="H978" s="196">
        <f>+'Base de Datos'!N978</f>
        <v>44504</v>
      </c>
      <c r="I978" s="196"/>
      <c r="J978" s="158"/>
      <c r="K978" s="333"/>
      <c r="L978" s="211"/>
      <c r="M978" s="336"/>
      <c r="N978" s="158"/>
      <c r="O978" s="333"/>
      <c r="P978" s="158"/>
      <c r="Q978" s="338"/>
      <c r="R978" s="81">
        <f t="shared" si="128"/>
        <v>0</v>
      </c>
      <c r="S978" s="258"/>
      <c r="T978" s="333"/>
      <c r="U978" s="158"/>
      <c r="V978" s="333"/>
      <c r="W978" s="158"/>
      <c r="X978" s="333"/>
      <c r="Y978" s="158"/>
      <c r="Z978" s="1002"/>
      <c r="AA978" s="1003"/>
      <c r="AB978" s="1004" t="str">
        <f t="shared" si="129"/>
        <v/>
      </c>
      <c r="AC978" s="1082" t="str">
        <f t="shared" si="130"/>
        <v/>
      </c>
      <c r="AD978" s="1004"/>
      <c r="AE978" s="1004"/>
      <c r="AF978" s="1084" t="str">
        <f t="shared" si="131"/>
        <v/>
      </c>
      <c r="AG978" s="1082" t="str">
        <f t="shared" si="132"/>
        <v/>
      </c>
      <c r="AH978" s="1092"/>
      <c r="AI978" s="1087"/>
      <c r="AJ978" s="1084" t="str">
        <f t="shared" si="133"/>
        <v/>
      </c>
      <c r="AK978" s="1083" t="str">
        <f t="shared" si="134"/>
        <v/>
      </c>
      <c r="AL978" s="211"/>
      <c r="AM978" s="211"/>
      <c r="AN978" s="211"/>
      <c r="AO978" s="211"/>
      <c r="AP978" s="211"/>
      <c r="AQ978" s="211"/>
      <c r="AR978" s="211"/>
      <c r="AS978" s="211"/>
      <c r="AT978" s="211"/>
      <c r="AU978" s="211"/>
      <c r="AV978" s="211"/>
      <c r="AW978" s="211"/>
      <c r="AX978" s="211"/>
      <c r="AY978" s="211"/>
      <c r="AZ978" s="211"/>
      <c r="BA978" s="211"/>
      <c r="BB978" s="211"/>
      <c r="BC978" s="211"/>
      <c r="BD978" s="333"/>
      <c r="BE978" s="82">
        <f t="shared" si="135"/>
        <v>0</v>
      </c>
    </row>
    <row r="979" spans="2:57" ht="30.6" x14ac:dyDescent="0.3">
      <c r="B979" s="2" t="str">
        <f>+'Base de Datos'!E979</f>
        <v>200348-0-2020</v>
      </c>
      <c r="C979" s="2" t="str">
        <f>+'Base de Datos'!F979</f>
        <v>P C MICROS SAS</v>
      </c>
      <c r="D979" s="2" t="str">
        <f>+'Base de Datos'!G979</f>
        <v>860403052-3</v>
      </c>
      <c r="E979" s="2" t="str">
        <f>+'Base de Datos'!H979</f>
        <v>Prestar el servicio integral de gestión de mesa de ayuda y gestión de impresión con suministro de repuestos para el Concejo de Bogotá</v>
      </c>
      <c r="F979" s="197">
        <f>+'Base de Datos'!I979</f>
        <v>341584615</v>
      </c>
      <c r="G979" s="196">
        <f>+'Base de Datos'!M979</f>
        <v>44103</v>
      </c>
      <c r="H979" s="196">
        <f>+'Base de Datos'!N979</f>
        <v>44283</v>
      </c>
      <c r="I979" s="196"/>
      <c r="J979" s="158"/>
      <c r="K979" s="333"/>
      <c r="L979" s="211"/>
      <c r="M979" s="336"/>
      <c r="N979" s="158"/>
      <c r="O979" s="333"/>
      <c r="P979" s="158"/>
      <c r="Q979" s="338"/>
      <c r="R979" s="81">
        <f t="shared" si="128"/>
        <v>0</v>
      </c>
      <c r="S979" s="258"/>
      <c r="T979" s="333"/>
      <c r="U979" s="158"/>
      <c r="V979" s="333"/>
      <c r="W979" s="158"/>
      <c r="X979" s="333"/>
      <c r="Y979" s="158"/>
      <c r="Z979" s="1002"/>
      <c r="AA979" s="1003"/>
      <c r="AB979" s="1004" t="str">
        <f t="shared" si="129"/>
        <v/>
      </c>
      <c r="AC979" s="1082" t="str">
        <f t="shared" si="130"/>
        <v/>
      </c>
      <c r="AD979" s="1004"/>
      <c r="AE979" s="1004"/>
      <c r="AF979" s="1084" t="str">
        <f t="shared" si="131"/>
        <v/>
      </c>
      <c r="AG979" s="1082" t="str">
        <f t="shared" si="132"/>
        <v/>
      </c>
      <c r="AH979" s="1092"/>
      <c r="AI979" s="1087"/>
      <c r="AJ979" s="1084" t="str">
        <f t="shared" si="133"/>
        <v/>
      </c>
      <c r="AK979" s="1083" t="str">
        <f t="shared" si="134"/>
        <v/>
      </c>
      <c r="AL979" s="211"/>
      <c r="AM979" s="211"/>
      <c r="AN979" s="211"/>
      <c r="AO979" s="211"/>
      <c r="AP979" s="211"/>
      <c r="AQ979" s="211"/>
      <c r="AR979" s="211"/>
      <c r="AS979" s="211"/>
      <c r="AT979" s="211"/>
      <c r="AU979" s="211"/>
      <c r="AV979" s="211"/>
      <c r="AW979" s="211"/>
      <c r="AX979" s="211"/>
      <c r="AY979" s="211"/>
      <c r="AZ979" s="211"/>
      <c r="BA979" s="211"/>
      <c r="BB979" s="211"/>
      <c r="BC979" s="211"/>
      <c r="BD979" s="333"/>
      <c r="BE979" s="82">
        <f t="shared" si="135"/>
        <v>0</v>
      </c>
    </row>
    <row r="980" spans="2:57" ht="40.799999999999997" hidden="1" x14ac:dyDescent="0.3">
      <c r="B980" s="2" t="str">
        <f>+'Base de Datos'!E980</f>
        <v>200296-0-2020</v>
      </c>
      <c r="C980" s="2" t="str">
        <f>+'Base de Datos'!F980</f>
        <v>LAURA GARZON VENGOECHEA</v>
      </c>
      <c r="D980" s="2">
        <f>+'Base de Datos'!G980</f>
        <v>1020729422</v>
      </c>
      <c r="E980" s="2" t="str">
        <f>+'Base de Datos'!H980</f>
        <v>Prestar los servicios profesionales para apoyar a la mesa directiva en la implementación y evaluación de metodologías y herramientas para la mejora de los procesos de gestión normativa y control político del Concejo de Bogotá D.C</v>
      </c>
      <c r="F980" s="197">
        <f>+'Base de Datos'!I980</f>
        <v>17560000</v>
      </c>
      <c r="G980" s="196">
        <f>+'Base de Datos'!M980</f>
        <v>44103</v>
      </c>
      <c r="H980" s="196">
        <f>+'Base de Datos'!N980</f>
        <v>44196</v>
      </c>
      <c r="I980" s="196"/>
      <c r="J980" s="158"/>
      <c r="K980" s="333"/>
      <c r="L980" s="211"/>
      <c r="M980" s="336"/>
      <c r="N980" s="158"/>
      <c r="O980" s="333"/>
      <c r="P980" s="158"/>
      <c r="Q980" s="338"/>
      <c r="R980" s="81">
        <f t="shared" si="128"/>
        <v>0</v>
      </c>
      <c r="S980" s="258"/>
      <c r="T980" s="333"/>
      <c r="U980" s="158"/>
      <c r="V980" s="333"/>
      <c r="W980" s="158"/>
      <c r="X980" s="333"/>
      <c r="Y980" s="158"/>
      <c r="Z980" s="1002"/>
      <c r="AA980" s="1003"/>
      <c r="AB980" s="1004" t="str">
        <f t="shared" si="129"/>
        <v/>
      </c>
      <c r="AC980" s="1082" t="str">
        <f t="shared" si="130"/>
        <v/>
      </c>
      <c r="AD980" s="1004"/>
      <c r="AE980" s="1004"/>
      <c r="AF980" s="1084" t="str">
        <f t="shared" si="131"/>
        <v/>
      </c>
      <c r="AG980" s="1082" t="str">
        <f t="shared" si="132"/>
        <v/>
      </c>
      <c r="AH980" s="1092"/>
      <c r="AI980" s="1087"/>
      <c r="AJ980" s="1084" t="str">
        <f t="shared" si="133"/>
        <v/>
      </c>
      <c r="AK980" s="1083" t="str">
        <f t="shared" si="134"/>
        <v/>
      </c>
      <c r="AL980" s="211">
        <v>292667</v>
      </c>
      <c r="AM980" s="211">
        <v>4390000</v>
      </c>
      <c r="AN980" s="211">
        <v>4390000</v>
      </c>
      <c r="AO980" s="211">
        <v>4390000</v>
      </c>
      <c r="AP980" s="211"/>
      <c r="AQ980" s="211"/>
      <c r="AR980" s="211"/>
      <c r="AS980" s="211"/>
      <c r="AT980" s="211"/>
      <c r="AU980" s="211"/>
      <c r="AV980" s="211"/>
      <c r="AW980" s="211"/>
      <c r="AX980" s="211"/>
      <c r="AY980" s="211"/>
      <c r="AZ980" s="211"/>
      <c r="BA980" s="211"/>
      <c r="BB980" s="211"/>
      <c r="BC980" s="211"/>
      <c r="BD980" s="333">
        <v>44196</v>
      </c>
      <c r="BE980" s="82">
        <f t="shared" si="135"/>
        <v>13462667</v>
      </c>
    </row>
    <row r="981" spans="2:57" ht="40.799999999999997" hidden="1" x14ac:dyDescent="0.3">
      <c r="B981" s="2" t="str">
        <f>+'Base de Datos'!E981</f>
        <v>200387-0-2020</v>
      </c>
      <c r="C981" s="2" t="str">
        <f>+'Base de Datos'!F981</f>
        <v>JULIO ANTONIO TORRES SANCHEZ</v>
      </c>
      <c r="D981" s="2">
        <f>+'Base de Datos'!G981</f>
        <v>19159054</v>
      </c>
      <c r="E981" s="2" t="str">
        <f>+'Base de Datos'!H981</f>
        <v>Prestar servicios profesionales al procedimiento de nómina de la Dirección Financiera del Concejo de Bogotá D.C. para el trámite de las incapacidades, certificados e información requerida por los funcionarios de la corporación</v>
      </c>
      <c r="F981" s="197">
        <f>+'Base de Datos'!I981</f>
        <v>12292000</v>
      </c>
      <c r="G981" s="196">
        <f>+'Base de Datos'!M981</f>
        <v>44105</v>
      </c>
      <c r="H981" s="196">
        <f>+'Base de Datos'!N981</f>
        <v>44196</v>
      </c>
      <c r="I981" s="196"/>
      <c r="J981" s="158"/>
      <c r="K981" s="333"/>
      <c r="L981" s="211"/>
      <c r="M981" s="336"/>
      <c r="N981" s="158"/>
      <c r="O981" s="333"/>
      <c r="P981" s="158"/>
      <c r="Q981" s="338"/>
      <c r="R981" s="81">
        <f t="shared" si="128"/>
        <v>0</v>
      </c>
      <c r="S981" s="258"/>
      <c r="T981" s="333"/>
      <c r="U981" s="158"/>
      <c r="V981" s="333"/>
      <c r="W981" s="158"/>
      <c r="X981" s="333"/>
      <c r="Y981" s="158"/>
      <c r="Z981" s="1002"/>
      <c r="AA981" s="1003"/>
      <c r="AB981" s="1004" t="str">
        <f t="shared" si="129"/>
        <v/>
      </c>
      <c r="AC981" s="1082" t="str">
        <f t="shared" si="130"/>
        <v/>
      </c>
      <c r="AD981" s="1004"/>
      <c r="AE981" s="1004"/>
      <c r="AF981" s="1084" t="str">
        <f t="shared" si="131"/>
        <v/>
      </c>
      <c r="AG981" s="1082" t="str">
        <f t="shared" si="132"/>
        <v/>
      </c>
      <c r="AH981" s="1092"/>
      <c r="AI981" s="1087"/>
      <c r="AJ981" s="1084" t="str">
        <f t="shared" si="133"/>
        <v/>
      </c>
      <c r="AK981" s="1083" t="str">
        <f t="shared" si="134"/>
        <v/>
      </c>
      <c r="AL981" s="211">
        <v>3073000</v>
      </c>
      <c r="AM981" s="211">
        <v>3073000</v>
      </c>
      <c r="AN981" s="211"/>
      <c r="AO981" s="211"/>
      <c r="AP981" s="211"/>
      <c r="AQ981" s="211"/>
      <c r="AR981" s="211"/>
      <c r="AS981" s="211"/>
      <c r="AT981" s="211"/>
      <c r="AU981" s="211"/>
      <c r="AV981" s="211"/>
      <c r="AW981" s="211"/>
      <c r="AX981" s="211"/>
      <c r="AY981" s="211"/>
      <c r="AZ981" s="211"/>
      <c r="BA981" s="211"/>
      <c r="BB981" s="211"/>
      <c r="BC981" s="211"/>
      <c r="BD981" s="333">
        <v>44174</v>
      </c>
      <c r="BE981" s="82">
        <f t="shared" si="135"/>
        <v>6146000</v>
      </c>
    </row>
    <row r="982" spans="2:57" ht="40.799999999999997" hidden="1" x14ac:dyDescent="0.3">
      <c r="B982" s="2" t="str">
        <f>+'Base de Datos'!E982</f>
        <v>200388-0-2020</v>
      </c>
      <c r="C982" s="2" t="str">
        <f>+'Base de Datos'!F982</f>
        <v>LADY YINETH RODRIGUEZ OCACION</v>
      </c>
      <c r="D982" s="2">
        <f>+'Base de Datos'!G982</f>
        <v>53065638</v>
      </c>
      <c r="E982" s="2" t="str">
        <f>+'Base de Datos'!H982</f>
        <v>Prestar servicios profesionales para apoyar al Concejo de Bogotá D.C. en la elaboración de piezas promocionales que coadyuven a la socialización e implementación de la Asamblea de Ciudadanos de Bogotá.</v>
      </c>
      <c r="F982" s="197">
        <f>+'Base de Datos'!I982</f>
        <v>18435000</v>
      </c>
      <c r="G982" s="196">
        <f>+'Base de Datos'!M982</f>
        <v>44105</v>
      </c>
      <c r="H982" s="196">
        <f>+'Base de Datos'!N982</f>
        <v>44196</v>
      </c>
      <c r="I982" s="196"/>
      <c r="J982" s="158"/>
      <c r="K982" s="333"/>
      <c r="L982" s="211"/>
      <c r="M982" s="336"/>
      <c r="N982" s="158"/>
      <c r="O982" s="333"/>
      <c r="P982" s="158"/>
      <c r="Q982" s="338"/>
      <c r="R982" s="81">
        <f t="shared" si="128"/>
        <v>0</v>
      </c>
      <c r="S982" s="258"/>
      <c r="T982" s="333"/>
      <c r="U982" s="158"/>
      <c r="V982" s="333"/>
      <c r="W982" s="158"/>
      <c r="X982" s="333"/>
      <c r="Y982" s="158"/>
      <c r="Z982" s="1002"/>
      <c r="AA982" s="1003"/>
      <c r="AB982" s="1004" t="str">
        <f t="shared" si="129"/>
        <v/>
      </c>
      <c r="AC982" s="1082" t="str">
        <f t="shared" si="130"/>
        <v/>
      </c>
      <c r="AD982" s="1004"/>
      <c r="AE982" s="1004"/>
      <c r="AF982" s="1084" t="str">
        <f t="shared" si="131"/>
        <v/>
      </c>
      <c r="AG982" s="1082" t="str">
        <f t="shared" si="132"/>
        <v/>
      </c>
      <c r="AH982" s="1092"/>
      <c r="AI982" s="1087"/>
      <c r="AJ982" s="1084" t="str">
        <f t="shared" si="133"/>
        <v/>
      </c>
      <c r="AK982" s="1083" t="str">
        <f t="shared" si="134"/>
        <v/>
      </c>
      <c r="AL982" s="211">
        <v>6145000</v>
      </c>
      <c r="AM982" s="211">
        <v>6145000</v>
      </c>
      <c r="AN982" s="211">
        <v>6145000</v>
      </c>
      <c r="AO982" s="211"/>
      <c r="AP982" s="211"/>
      <c r="AQ982" s="211"/>
      <c r="AR982" s="211"/>
      <c r="AS982" s="211"/>
      <c r="AT982" s="211"/>
      <c r="AU982" s="211"/>
      <c r="AV982" s="211"/>
      <c r="AW982" s="211"/>
      <c r="AX982" s="211"/>
      <c r="AY982" s="211"/>
      <c r="AZ982" s="211"/>
      <c r="BA982" s="211"/>
      <c r="BB982" s="211"/>
      <c r="BC982" s="211"/>
      <c r="BD982" s="333">
        <v>44196</v>
      </c>
      <c r="BE982" s="82">
        <f t="shared" si="135"/>
        <v>18435000</v>
      </c>
    </row>
    <row r="983" spans="2:57" ht="61.2" hidden="1" x14ac:dyDescent="0.3">
      <c r="B983" s="2" t="str">
        <f>+'Base de Datos'!E983</f>
        <v>200382-0-2020</v>
      </c>
      <c r="C983" s="2" t="str">
        <f>+'Base de Datos'!F983</f>
        <v>MARIA CAMILA ARIZA PRIETO</v>
      </c>
      <c r="D983" s="2">
        <f>+'Base de Datos'!G983</f>
        <v>1015431884</v>
      </c>
      <c r="E983" s="2" t="str">
        <f>+'Base de Datos'!H983</f>
        <v>Prestar servicios profesionales para apoyar al Concejo de Bogotá D.C. en la elaboración de una estrategia de comunicaciones Interna y Externa para la Asamblea de Ciudadanos, permitiendo su correcta divulgación y afianzamiento como estrategia de interacción con la ciudadanía.</v>
      </c>
      <c r="F983" s="197">
        <f>+'Base de Datos'!I983</f>
        <v>14427000</v>
      </c>
      <c r="G983" s="196">
        <f>+'Base de Datos'!M983</f>
        <v>44106</v>
      </c>
      <c r="H983" s="196">
        <f>+'Base de Datos'!N983</f>
        <v>44196</v>
      </c>
      <c r="I983" s="196"/>
      <c r="J983" s="158"/>
      <c r="K983" s="333"/>
      <c r="L983" s="211"/>
      <c r="M983" s="336"/>
      <c r="N983" s="158"/>
      <c r="O983" s="333"/>
      <c r="P983" s="158"/>
      <c r="Q983" s="338"/>
      <c r="R983" s="81">
        <f t="shared" si="128"/>
        <v>0</v>
      </c>
      <c r="S983" s="258"/>
      <c r="T983" s="333"/>
      <c r="U983" s="158"/>
      <c r="V983" s="333"/>
      <c r="W983" s="158"/>
      <c r="X983" s="333"/>
      <c r="Y983" s="158"/>
      <c r="Z983" s="1002"/>
      <c r="AA983" s="1003"/>
      <c r="AB983" s="1004" t="str">
        <f t="shared" si="129"/>
        <v/>
      </c>
      <c r="AC983" s="1082" t="str">
        <f t="shared" si="130"/>
        <v/>
      </c>
      <c r="AD983" s="1004"/>
      <c r="AE983" s="1004"/>
      <c r="AF983" s="1084" t="str">
        <f t="shared" si="131"/>
        <v/>
      </c>
      <c r="AG983" s="1082" t="str">
        <f t="shared" si="132"/>
        <v/>
      </c>
      <c r="AH983" s="1092"/>
      <c r="AI983" s="1087"/>
      <c r="AJ983" s="1084" t="str">
        <f t="shared" si="133"/>
        <v/>
      </c>
      <c r="AK983" s="1083" t="str">
        <f t="shared" si="134"/>
        <v/>
      </c>
      <c r="AL983" s="211">
        <v>4648700</v>
      </c>
      <c r="AM983" s="211">
        <v>4648700</v>
      </c>
      <c r="AN983" s="211">
        <v>4809000</v>
      </c>
      <c r="AO983" s="211"/>
      <c r="AP983" s="211"/>
      <c r="AQ983" s="211"/>
      <c r="AR983" s="211"/>
      <c r="AS983" s="211"/>
      <c r="AT983" s="211"/>
      <c r="AU983" s="211"/>
      <c r="AV983" s="211"/>
      <c r="AW983" s="211"/>
      <c r="AX983" s="211"/>
      <c r="AY983" s="211"/>
      <c r="AZ983" s="211"/>
      <c r="BA983" s="211"/>
      <c r="BB983" s="211"/>
      <c r="BC983" s="211"/>
      <c r="BD983" s="333">
        <v>44195</v>
      </c>
      <c r="BE983" s="82">
        <f t="shared" si="135"/>
        <v>14106400</v>
      </c>
    </row>
    <row r="984" spans="2:57" ht="40.799999999999997" hidden="1" x14ac:dyDescent="0.3">
      <c r="B984" s="2" t="str">
        <f>+'Base de Datos'!E984</f>
        <v>200385-0-2020</v>
      </c>
      <c r="C984" s="2" t="str">
        <f>+'Base de Datos'!F984</f>
        <v>NIXON FREYTHER ALEXANDER DIAZ CISNEROS</v>
      </c>
      <c r="D984" s="2">
        <f>+'Base de Datos'!G984</f>
        <v>1026257724</v>
      </c>
      <c r="E984" s="2" t="str">
        <f>+'Base de Datos'!H984</f>
        <v>Prestar servicios de apoyo para la atención de las medidas sanitarias del Covid - 19 en el Concejo de Bogotá, enmarcadas dentro de las actividades de medicina preventiva del trabajo.</v>
      </c>
      <c r="F984" s="197">
        <f>+'Base de Datos'!I984</f>
        <v>13170000</v>
      </c>
      <c r="G984" s="196">
        <f>+'Base de Datos'!M984</f>
        <v>44105</v>
      </c>
      <c r="H984" s="196">
        <f>+'Base de Datos'!N984</f>
        <v>44196</v>
      </c>
      <c r="I984" s="196"/>
      <c r="J984" s="158"/>
      <c r="K984" s="333"/>
      <c r="L984" s="211"/>
      <c r="M984" s="336"/>
      <c r="N984" s="158"/>
      <c r="O984" s="333"/>
      <c r="P984" s="158"/>
      <c r="Q984" s="338"/>
      <c r="R984" s="81">
        <f t="shared" si="128"/>
        <v>0</v>
      </c>
      <c r="S984" s="258"/>
      <c r="T984" s="333"/>
      <c r="U984" s="158"/>
      <c r="V984" s="333"/>
      <c r="W984" s="158"/>
      <c r="X984" s="333"/>
      <c r="Y984" s="158"/>
      <c r="Z984" s="1002"/>
      <c r="AA984" s="1003"/>
      <c r="AB984" s="1004" t="str">
        <f t="shared" si="129"/>
        <v/>
      </c>
      <c r="AC984" s="1082" t="str">
        <f t="shared" si="130"/>
        <v/>
      </c>
      <c r="AD984" s="1004"/>
      <c r="AE984" s="1004"/>
      <c r="AF984" s="1084" t="str">
        <f t="shared" si="131"/>
        <v/>
      </c>
      <c r="AG984" s="1082" t="str">
        <f t="shared" si="132"/>
        <v/>
      </c>
      <c r="AH984" s="1092"/>
      <c r="AI984" s="1087"/>
      <c r="AJ984" s="1084" t="str">
        <f t="shared" si="133"/>
        <v/>
      </c>
      <c r="AK984" s="1083" t="str">
        <f t="shared" si="134"/>
        <v/>
      </c>
      <c r="AL984" s="211">
        <v>2195000</v>
      </c>
      <c r="AM984" s="211">
        <v>2195000</v>
      </c>
      <c r="AN984" s="211">
        <v>2195000</v>
      </c>
      <c r="AO984" s="211"/>
      <c r="AP984" s="211"/>
      <c r="AQ984" s="211"/>
      <c r="AR984" s="211"/>
      <c r="AS984" s="211"/>
      <c r="AT984" s="211"/>
      <c r="AU984" s="211"/>
      <c r="AV984" s="211"/>
      <c r="AW984" s="211"/>
      <c r="AX984" s="211"/>
      <c r="AY984" s="211"/>
      <c r="AZ984" s="211"/>
      <c r="BA984" s="211"/>
      <c r="BB984" s="211"/>
      <c r="BC984" s="211"/>
      <c r="BD984" s="333">
        <v>44196</v>
      </c>
      <c r="BE984" s="82">
        <f t="shared" si="135"/>
        <v>6585000</v>
      </c>
    </row>
    <row r="985" spans="2:57" ht="51" hidden="1" x14ac:dyDescent="0.3">
      <c r="B985" s="2" t="str">
        <f>+'Base de Datos'!E985</f>
        <v>200349-0-2020</v>
      </c>
      <c r="C985" s="2" t="str">
        <f>+'Base de Datos'!F985</f>
        <v>CLAUDIA LUCIA SALDARRIAGA ARENAS</v>
      </c>
      <c r="D985" s="2">
        <f>+'Base de Datos'!G985</f>
        <v>39685269</v>
      </c>
      <c r="E985" s="2" t="str">
        <f>+'Base de Datos'!H985</f>
        <v>Prestar servicios profesionales para apoyar la supervisión técnica de los temas de infraestructura física asociados al desarrollo del Convenio Interadministrativo suscrito entre la Agencia Nacional Inmobiliaria y la Secretaria Distrital de Hacienda para el edificio nuevo del Concejo de Bogotá.</v>
      </c>
      <c r="F985" s="197">
        <f>+'Base de Datos'!I985</f>
        <v>24580000</v>
      </c>
      <c r="G985" s="196">
        <f>+'Base de Datos'!M985</f>
        <v>44105</v>
      </c>
      <c r="H985" s="196">
        <f>+'Base de Datos'!N985</f>
        <v>44196</v>
      </c>
      <c r="I985" s="196"/>
      <c r="J985" s="158"/>
      <c r="K985" s="333"/>
      <c r="L985" s="211"/>
      <c r="M985" s="336"/>
      <c r="N985" s="158"/>
      <c r="O985" s="333"/>
      <c r="P985" s="158"/>
      <c r="Q985" s="338"/>
      <c r="R985" s="81">
        <f t="shared" ref="R985:R1048" si="136">SUM(J985,L985,N985,P985)</f>
        <v>0</v>
      </c>
      <c r="S985" s="258"/>
      <c r="T985" s="333"/>
      <c r="U985" s="158"/>
      <c r="V985" s="333"/>
      <c r="W985" s="158"/>
      <c r="X985" s="333"/>
      <c r="Y985" s="158"/>
      <c r="Z985" s="1002"/>
      <c r="AA985" s="1003"/>
      <c r="AB985" s="1004" t="str">
        <f t="shared" ref="AB985:AB1048" si="137">IF(ISNUMBER(T985),MAX(T985,V985,X985,Z985),"")</f>
        <v/>
      </c>
      <c r="AC985" s="1082" t="str">
        <f t="shared" ref="AC985:AC1048" si="138">IF(ISNUMBER(AD985),ABS(AD985-AE985)+1,"")</f>
        <v/>
      </c>
      <c r="AD985" s="1004"/>
      <c r="AE985" s="1004"/>
      <c r="AF985" s="1084" t="str">
        <f t="shared" ref="AF985:AF1048" si="139">IFERROR(IF(MAX(H985,I985)&lt;AE985,MAX(H985,I985)-AE985+AC985+AE985,MAX(H985,I985)+AC985),"")</f>
        <v/>
      </c>
      <c r="AG985" s="1082" t="str">
        <f t="shared" ref="AG985:AG1048" si="140">IF(ISNUMBER(AH985),ABS(AH985-AI985)+1,"")</f>
        <v/>
      </c>
      <c r="AH985" s="1092"/>
      <c r="AI985" s="1087"/>
      <c r="AJ985" s="1084" t="str">
        <f t="shared" ref="AJ985:AJ1048" si="141">IFERROR(IF(AF985&lt;AI985,((AF985-AI985)+AG985)+(AI985),AF985+AG985),"")</f>
        <v/>
      </c>
      <c r="AK985" s="1083" t="str">
        <f t="shared" ref="AK985:AK1048" si="142">IF(ISNUMBER(AF985),MAX(AB985,AF985,AJ985),"")</f>
        <v/>
      </c>
      <c r="AL985" s="211">
        <v>6145000</v>
      </c>
      <c r="AM985" s="211">
        <v>6145000</v>
      </c>
      <c r="AN985" s="211">
        <v>6145000</v>
      </c>
      <c r="AO985" s="211"/>
      <c r="AP985" s="211"/>
      <c r="AQ985" s="211"/>
      <c r="AR985" s="211"/>
      <c r="AS985" s="211"/>
      <c r="AT985" s="211"/>
      <c r="AU985" s="211"/>
      <c r="AV985" s="211"/>
      <c r="AW985" s="211"/>
      <c r="AX985" s="211"/>
      <c r="AY985" s="211"/>
      <c r="AZ985" s="211"/>
      <c r="BA985" s="211"/>
      <c r="BB985" s="211"/>
      <c r="BC985" s="211"/>
      <c r="BD985" s="333">
        <v>44195</v>
      </c>
      <c r="BE985" s="82">
        <f t="shared" si="135"/>
        <v>18435000</v>
      </c>
    </row>
    <row r="986" spans="2:57" ht="30.6" hidden="1" x14ac:dyDescent="0.3">
      <c r="B986" s="2" t="str">
        <f>+'Base de Datos'!E986</f>
        <v>200410-0-2020</v>
      </c>
      <c r="C986" s="2" t="str">
        <f>+'Base de Datos'!F986</f>
        <v>UNIVERSIDAD SERGIO ARBOLEDA</v>
      </c>
      <c r="D986" s="2" t="str">
        <f>+'Base de Datos'!G986</f>
        <v>860.351.894-3</v>
      </c>
      <c r="E986" s="2" t="str">
        <f>+'Base de Datos'!H986</f>
        <v>Prestar los servicios para realizar las actividades de capacitación previstas en el Plan Institucional de Capacitación para los funcionarios del Concejo de Bogotá</v>
      </c>
      <c r="F986" s="197">
        <f>+'Base de Datos'!I986</f>
        <v>331896000</v>
      </c>
      <c r="G986" s="196">
        <f>+'Base de Datos'!M986</f>
        <v>44210</v>
      </c>
      <c r="H986" s="196">
        <f>+'Base de Datos'!N986</f>
        <v>44390</v>
      </c>
      <c r="I986" s="196"/>
      <c r="J986" s="158"/>
      <c r="K986" s="333"/>
      <c r="L986" s="211"/>
      <c r="M986" s="336"/>
      <c r="N986" s="158"/>
      <c r="O986" s="333"/>
      <c r="P986" s="158"/>
      <c r="Q986" s="338"/>
      <c r="R986" s="81">
        <f t="shared" si="136"/>
        <v>0</v>
      </c>
      <c r="S986" s="258"/>
      <c r="T986" s="333"/>
      <c r="U986" s="158"/>
      <c r="V986" s="333"/>
      <c r="W986" s="158"/>
      <c r="X986" s="333"/>
      <c r="Y986" s="158"/>
      <c r="Z986" s="1002"/>
      <c r="AA986" s="1003"/>
      <c r="AB986" s="1004" t="str">
        <f t="shared" si="137"/>
        <v/>
      </c>
      <c r="AC986" s="1082" t="str">
        <f t="shared" si="138"/>
        <v/>
      </c>
      <c r="AD986" s="1004"/>
      <c r="AE986" s="1004"/>
      <c r="AF986" s="1084" t="str">
        <f t="shared" si="139"/>
        <v/>
      </c>
      <c r="AG986" s="1082" t="str">
        <f t="shared" si="140"/>
        <v/>
      </c>
      <c r="AH986" s="1092"/>
      <c r="AI986" s="1087"/>
      <c r="AJ986" s="1084" t="str">
        <f t="shared" si="141"/>
        <v/>
      </c>
      <c r="AK986" s="1083" t="str">
        <f t="shared" si="142"/>
        <v/>
      </c>
      <c r="AL986" s="211"/>
      <c r="AM986" s="211"/>
      <c r="AN986" s="211"/>
      <c r="AO986" s="211"/>
      <c r="AP986" s="211"/>
      <c r="AQ986" s="211"/>
      <c r="AR986" s="211"/>
      <c r="AS986" s="211"/>
      <c r="AT986" s="211"/>
      <c r="AU986" s="211"/>
      <c r="AV986" s="211"/>
      <c r="AW986" s="211"/>
      <c r="AX986" s="211"/>
      <c r="AY986" s="211"/>
      <c r="AZ986" s="211"/>
      <c r="BA986" s="211"/>
      <c r="BB986" s="211"/>
      <c r="BC986" s="211"/>
      <c r="BD986" s="333"/>
      <c r="BE986" s="82">
        <f t="shared" si="135"/>
        <v>0</v>
      </c>
    </row>
    <row r="987" spans="2:57" ht="30.6" hidden="1" x14ac:dyDescent="0.3">
      <c r="B987" s="2" t="str">
        <f>+'Base de Datos'!E987</f>
        <v>200411-0-2020</v>
      </c>
      <c r="C987" s="2" t="str">
        <f>+'Base de Datos'!F987</f>
        <v>INSTITUCIÓN UNIVERSITARIA POLITÉCNICO GRACOLOMBIANO</v>
      </c>
      <c r="D987" s="2" t="str">
        <f>+'Base de Datos'!G987</f>
        <v>860.078.643-1</v>
      </c>
      <c r="E987" s="2" t="str">
        <f>+'Base de Datos'!H987</f>
        <v>Prestar los servicios para realizar las actividades de capacitación previstas en el Plan Institucional de Capacitación para los funcionarios del Concejo de Bogotá</v>
      </c>
      <c r="F987" s="197">
        <f>+'Base de Datos'!I987</f>
        <v>99481101</v>
      </c>
      <c r="G987" s="196">
        <f>+'Base de Datos'!M987</f>
        <v>44210</v>
      </c>
      <c r="H987" s="196">
        <f>+'Base de Datos'!N987</f>
        <v>44390</v>
      </c>
      <c r="I987" s="196"/>
      <c r="J987" s="158"/>
      <c r="K987" s="333"/>
      <c r="L987" s="211"/>
      <c r="M987" s="336"/>
      <c r="N987" s="158"/>
      <c r="O987" s="333"/>
      <c r="P987" s="158"/>
      <c r="Q987" s="338"/>
      <c r="R987" s="81">
        <f t="shared" si="136"/>
        <v>0</v>
      </c>
      <c r="S987" s="258"/>
      <c r="T987" s="333"/>
      <c r="U987" s="158"/>
      <c r="V987" s="333"/>
      <c r="W987" s="158"/>
      <c r="X987" s="333"/>
      <c r="Y987" s="158"/>
      <c r="Z987" s="1002"/>
      <c r="AA987" s="1003"/>
      <c r="AB987" s="1004" t="str">
        <f t="shared" si="137"/>
        <v/>
      </c>
      <c r="AC987" s="1082" t="str">
        <f t="shared" si="138"/>
        <v/>
      </c>
      <c r="AD987" s="1004"/>
      <c r="AE987" s="1004"/>
      <c r="AF987" s="1084" t="str">
        <f t="shared" si="139"/>
        <v/>
      </c>
      <c r="AG987" s="1082" t="str">
        <f t="shared" si="140"/>
        <v/>
      </c>
      <c r="AH987" s="1092"/>
      <c r="AI987" s="1087"/>
      <c r="AJ987" s="1084" t="str">
        <f t="shared" si="141"/>
        <v/>
      </c>
      <c r="AK987" s="1083" t="str">
        <f t="shared" si="142"/>
        <v/>
      </c>
      <c r="AL987" s="211"/>
      <c r="AM987" s="211"/>
      <c r="AN987" s="211"/>
      <c r="AO987" s="211"/>
      <c r="AP987" s="211"/>
      <c r="AQ987" s="211"/>
      <c r="AR987" s="211"/>
      <c r="AS987" s="211"/>
      <c r="AT987" s="211"/>
      <c r="AU987" s="211"/>
      <c r="AV987" s="211"/>
      <c r="AW987" s="211"/>
      <c r="AX987" s="211"/>
      <c r="AY987" s="211"/>
      <c r="AZ987" s="211"/>
      <c r="BA987" s="211"/>
      <c r="BB987" s="211"/>
      <c r="BC987" s="211"/>
      <c r="BD987" s="333"/>
      <c r="BE987" s="82">
        <f t="shared" si="135"/>
        <v>0</v>
      </c>
    </row>
    <row r="988" spans="2:57" ht="20.399999999999999" hidden="1" x14ac:dyDescent="0.3">
      <c r="B988" s="2" t="str">
        <f>+'Base de Datos'!E988</f>
        <v>200415-0-2020</v>
      </c>
      <c r="C988" s="2" t="str">
        <f>+'Base de Datos'!F988</f>
        <v>BGH COLOMBIA S.A.S</v>
      </c>
      <c r="D988" s="2" t="str">
        <f>+'Base de Datos'!G988</f>
        <v>900.322.971-3</v>
      </c>
      <c r="E988" s="2" t="str">
        <f>+'Base de Datos'!H988</f>
        <v>Proveer e implementar una plataforma de comunicaciones unificadas para el Concejo de Bogotá.</v>
      </c>
      <c r="F988" s="197">
        <f>+'Base de Datos'!I988</f>
        <v>1171760000</v>
      </c>
      <c r="G988" s="196">
        <f>+'Base de Datos'!M988</f>
        <v>0</v>
      </c>
      <c r="H988" s="196">
        <f>+'Base de Datos'!N988</f>
        <v>0</v>
      </c>
      <c r="I988" s="196"/>
      <c r="J988" s="158"/>
      <c r="K988" s="333"/>
      <c r="L988" s="211"/>
      <c r="M988" s="336"/>
      <c r="N988" s="158"/>
      <c r="O988" s="333"/>
      <c r="P988" s="158"/>
      <c r="Q988" s="338"/>
      <c r="R988" s="81">
        <f t="shared" si="136"/>
        <v>0</v>
      </c>
      <c r="S988" s="258"/>
      <c r="T988" s="333"/>
      <c r="U988" s="158"/>
      <c r="V988" s="333"/>
      <c r="W988" s="158"/>
      <c r="X988" s="333"/>
      <c r="Y988" s="158"/>
      <c r="Z988" s="1002"/>
      <c r="AA988" s="1003"/>
      <c r="AB988" s="1004" t="str">
        <f t="shared" si="137"/>
        <v/>
      </c>
      <c r="AC988" s="1082" t="str">
        <f t="shared" si="138"/>
        <v/>
      </c>
      <c r="AD988" s="1004"/>
      <c r="AE988" s="1004"/>
      <c r="AF988" s="1084" t="str">
        <f t="shared" si="139"/>
        <v/>
      </c>
      <c r="AG988" s="1082" t="str">
        <f t="shared" si="140"/>
        <v/>
      </c>
      <c r="AH988" s="1092"/>
      <c r="AI988" s="1087"/>
      <c r="AJ988" s="1084" t="str">
        <f t="shared" si="141"/>
        <v/>
      </c>
      <c r="AK988" s="1083" t="str">
        <f t="shared" si="142"/>
        <v/>
      </c>
      <c r="AL988" s="211"/>
      <c r="AM988" s="211"/>
      <c r="AN988" s="211"/>
      <c r="AO988" s="211"/>
      <c r="AP988" s="211"/>
      <c r="AQ988" s="211"/>
      <c r="AR988" s="211"/>
      <c r="AS988" s="211"/>
      <c r="AT988" s="211"/>
      <c r="AU988" s="211"/>
      <c r="AV988" s="211"/>
      <c r="AW988" s="211"/>
      <c r="AX988" s="211"/>
      <c r="AY988" s="211"/>
      <c r="AZ988" s="211"/>
      <c r="BA988" s="211"/>
      <c r="BB988" s="211"/>
      <c r="BC988" s="211"/>
      <c r="BD988" s="333"/>
      <c r="BE988" s="82">
        <f t="shared" si="135"/>
        <v>0</v>
      </c>
    </row>
    <row r="989" spans="2:57" hidden="1" x14ac:dyDescent="0.3">
      <c r="B989" s="2" t="str">
        <f>+'Base de Datos'!E989</f>
        <v>200379-0-2020</v>
      </c>
      <c r="C989" s="2" t="str">
        <f>+'Base de Datos'!F989</f>
        <v>COMUNICAN S.A</v>
      </c>
      <c r="D989" s="2" t="str">
        <f>+'Base de Datos'!G989</f>
        <v>860007590-6</v>
      </c>
      <c r="E989" s="2" t="str">
        <f>+'Base de Datos'!H989</f>
        <v>Suscripción al diario el Espectador para el Concejo de Bogotá.</v>
      </c>
      <c r="F989" s="197">
        <f>+'Base de Datos'!I989</f>
        <v>1305000</v>
      </c>
      <c r="G989" s="196">
        <f>+'Base de Datos'!M989</f>
        <v>44172</v>
      </c>
      <c r="H989" s="196">
        <f>+'Base de Datos'!N989</f>
        <v>44536</v>
      </c>
      <c r="I989" s="196"/>
      <c r="J989" s="158"/>
      <c r="K989" s="333"/>
      <c r="L989" s="211"/>
      <c r="M989" s="336"/>
      <c r="N989" s="158"/>
      <c r="O989" s="333"/>
      <c r="P989" s="158"/>
      <c r="Q989" s="338"/>
      <c r="R989" s="81">
        <f t="shared" si="136"/>
        <v>0</v>
      </c>
      <c r="S989" s="258"/>
      <c r="T989" s="333"/>
      <c r="U989" s="158"/>
      <c r="V989" s="333"/>
      <c r="W989" s="158"/>
      <c r="X989" s="333"/>
      <c r="Y989" s="158"/>
      <c r="Z989" s="1002"/>
      <c r="AA989" s="1003"/>
      <c r="AB989" s="1004" t="str">
        <f t="shared" si="137"/>
        <v/>
      </c>
      <c r="AC989" s="1082" t="str">
        <f t="shared" si="138"/>
        <v/>
      </c>
      <c r="AD989" s="1004"/>
      <c r="AE989" s="1004"/>
      <c r="AF989" s="1084" t="str">
        <f t="shared" si="139"/>
        <v/>
      </c>
      <c r="AG989" s="1082" t="str">
        <f t="shared" si="140"/>
        <v/>
      </c>
      <c r="AH989" s="1092"/>
      <c r="AI989" s="1087"/>
      <c r="AJ989" s="1084" t="str">
        <f t="shared" si="141"/>
        <v/>
      </c>
      <c r="AK989" s="1083" t="str">
        <f t="shared" si="142"/>
        <v/>
      </c>
      <c r="AL989" s="211"/>
      <c r="AM989" s="211"/>
      <c r="AN989" s="211"/>
      <c r="AO989" s="211"/>
      <c r="AP989" s="211"/>
      <c r="AQ989" s="211"/>
      <c r="AR989" s="211"/>
      <c r="AS989" s="211"/>
      <c r="AT989" s="211"/>
      <c r="AU989" s="211"/>
      <c r="AV989" s="211"/>
      <c r="AW989" s="211"/>
      <c r="AX989" s="211"/>
      <c r="AY989" s="211"/>
      <c r="AZ989" s="211"/>
      <c r="BA989" s="211"/>
      <c r="BB989" s="211"/>
      <c r="BC989" s="211"/>
      <c r="BD989" s="333"/>
      <c r="BE989" s="82">
        <f t="shared" si="135"/>
        <v>0</v>
      </c>
    </row>
    <row r="990" spans="2:57" hidden="1" x14ac:dyDescent="0.3">
      <c r="B990" s="2" t="str">
        <f>+'Base de Datos'!E990</f>
        <v>200386-0-2020</v>
      </c>
      <c r="C990" s="2" t="str">
        <f>+'Base de Datos'!F990</f>
        <v>EDITORIAL LA REPUBLICA SAS</v>
      </c>
      <c r="D990" s="2">
        <f>+'Base de Datos'!G990</f>
        <v>901017183</v>
      </c>
      <c r="E990" s="2" t="str">
        <f>+'Base de Datos'!H990</f>
        <v>Suscripción al diario La República para el Concejo de Bogotá</v>
      </c>
      <c r="F990" s="197">
        <f>+'Base de Datos'!I990</f>
        <v>960000</v>
      </c>
      <c r="G990" s="196">
        <f>+'Base de Datos'!M990</f>
        <v>0</v>
      </c>
      <c r="H990" s="196">
        <f>+'Base de Datos'!N990</f>
        <v>0</v>
      </c>
      <c r="I990" s="196"/>
      <c r="J990" s="158"/>
      <c r="K990" s="333"/>
      <c r="L990" s="211"/>
      <c r="M990" s="336"/>
      <c r="N990" s="158"/>
      <c r="O990" s="333"/>
      <c r="P990" s="158"/>
      <c r="Q990" s="338"/>
      <c r="R990" s="81">
        <f t="shared" si="136"/>
        <v>0</v>
      </c>
      <c r="S990" s="258"/>
      <c r="T990" s="333"/>
      <c r="U990" s="158"/>
      <c r="V990" s="333"/>
      <c r="W990" s="158"/>
      <c r="X990" s="333"/>
      <c r="Y990" s="158"/>
      <c r="Z990" s="1002"/>
      <c r="AA990" s="1003"/>
      <c r="AB990" s="1004" t="str">
        <f t="shared" si="137"/>
        <v/>
      </c>
      <c r="AC990" s="1082" t="str">
        <f t="shared" si="138"/>
        <v/>
      </c>
      <c r="AD990" s="1004"/>
      <c r="AE990" s="1004"/>
      <c r="AF990" s="1084" t="str">
        <f t="shared" si="139"/>
        <v/>
      </c>
      <c r="AG990" s="1082" t="str">
        <f t="shared" si="140"/>
        <v/>
      </c>
      <c r="AH990" s="1092"/>
      <c r="AI990" s="1087"/>
      <c r="AJ990" s="1084" t="str">
        <f t="shared" si="141"/>
        <v/>
      </c>
      <c r="AK990" s="1083" t="str">
        <f t="shared" si="142"/>
        <v/>
      </c>
      <c r="AL990" s="211"/>
      <c r="AM990" s="211"/>
      <c r="AN990" s="211"/>
      <c r="AO990" s="211"/>
      <c r="AP990" s="211"/>
      <c r="AQ990" s="211"/>
      <c r="AR990" s="211"/>
      <c r="AS990" s="211"/>
      <c r="AT990" s="211"/>
      <c r="AU990" s="211"/>
      <c r="AV990" s="211"/>
      <c r="AW990" s="211"/>
      <c r="AX990" s="211"/>
      <c r="AY990" s="211"/>
      <c r="AZ990" s="211"/>
      <c r="BA990" s="211"/>
      <c r="BB990" s="211"/>
      <c r="BC990" s="211"/>
      <c r="BD990" s="333"/>
      <c r="BE990" s="82">
        <f t="shared" si="135"/>
        <v>0</v>
      </c>
    </row>
    <row r="991" spans="2:57" ht="30.6" hidden="1" x14ac:dyDescent="0.3">
      <c r="B991" s="2" t="str">
        <f>+'Base de Datos'!E991</f>
        <v>200412-0-2020</v>
      </c>
      <c r="C991" s="2" t="str">
        <f>+'Base de Datos'!F991</f>
        <v>CENTRO NACIONAL DE CONSULTORIA LTDA</v>
      </c>
      <c r="D991" s="2">
        <f>+'Base de Datos'!G991</f>
        <v>800011951</v>
      </c>
      <c r="E991" s="2" t="str">
        <f>+'Base de Datos'!H991</f>
        <v>Prestar servicios de apoyo al Concejo de Bogotá para la selección de Ciudadanos que conformaran el cuerpo deliberatorio de la asamblea Ciudadana en Bogotá D.C.</v>
      </c>
      <c r="F991" s="197">
        <f>+'Base de Datos'!I991</f>
        <v>9133250</v>
      </c>
      <c r="G991" s="196">
        <f>+'Base de Datos'!M991</f>
        <v>44161</v>
      </c>
      <c r="H991" s="196">
        <f>+'Base de Datos'!N991</f>
        <v>44190</v>
      </c>
      <c r="I991" s="196"/>
      <c r="J991" s="158"/>
      <c r="K991" s="333"/>
      <c r="L991" s="211"/>
      <c r="M991" s="336"/>
      <c r="N991" s="158"/>
      <c r="O991" s="333"/>
      <c r="P991" s="158"/>
      <c r="Q991" s="338"/>
      <c r="R991" s="81">
        <f t="shared" si="136"/>
        <v>0</v>
      </c>
      <c r="S991" s="258"/>
      <c r="T991" s="333"/>
      <c r="U991" s="158"/>
      <c r="V991" s="333"/>
      <c r="W991" s="158"/>
      <c r="X991" s="333"/>
      <c r="Y991" s="158"/>
      <c r="Z991" s="1002"/>
      <c r="AA991" s="1003"/>
      <c r="AB991" s="1004" t="str">
        <f t="shared" si="137"/>
        <v/>
      </c>
      <c r="AC991" s="1082" t="str">
        <f t="shared" si="138"/>
        <v/>
      </c>
      <c r="AD991" s="1004"/>
      <c r="AE991" s="1004"/>
      <c r="AF991" s="1084" t="str">
        <f t="shared" si="139"/>
        <v/>
      </c>
      <c r="AG991" s="1082" t="str">
        <f t="shared" si="140"/>
        <v/>
      </c>
      <c r="AH991" s="1092"/>
      <c r="AI991" s="1087"/>
      <c r="AJ991" s="1084" t="str">
        <f t="shared" si="141"/>
        <v/>
      </c>
      <c r="AK991" s="1083" t="str">
        <f t="shared" si="142"/>
        <v/>
      </c>
      <c r="AL991" s="211">
        <v>4566625</v>
      </c>
      <c r="AM991" s="211">
        <v>4566625</v>
      </c>
      <c r="AN991" s="211"/>
      <c r="AO991" s="211"/>
      <c r="AP991" s="211"/>
      <c r="AQ991" s="211"/>
      <c r="AR991" s="211"/>
      <c r="AS991" s="211"/>
      <c r="AT991" s="211"/>
      <c r="AU991" s="211"/>
      <c r="AV991" s="211"/>
      <c r="AW991" s="211"/>
      <c r="AX991" s="211"/>
      <c r="AY991" s="211"/>
      <c r="AZ991" s="211"/>
      <c r="BA991" s="211"/>
      <c r="BB991" s="211"/>
      <c r="BC991" s="211"/>
      <c r="BD991" s="333">
        <v>44187</v>
      </c>
      <c r="BE991" s="82">
        <f t="shared" si="135"/>
        <v>9133250</v>
      </c>
    </row>
    <row r="992" spans="2:57" ht="91.8" hidden="1" x14ac:dyDescent="0.3">
      <c r="B992" s="2">
        <f>+'Base de Datos'!E992</f>
        <v>200418</v>
      </c>
      <c r="C992" s="2" t="str">
        <f>+'Base de Datos'!F992</f>
        <v>NANCY JANETH CORDERO NEIRA</v>
      </c>
      <c r="D992" s="2">
        <f>+'Base de Datos'!G992</f>
        <v>51672299</v>
      </c>
      <c r="E992" s="2" t="str">
        <f>+'Base de Datos'!H992</f>
        <v>Prestar los servicios profesionales a la Secretaría General del Concejo de Bogotá D.C. en la elaboración de un Plan de Trabajo con apoyo tecnológico que permita optimizar la revisión de las relatorías, el estado de gestión de las actas transcritas, solicitadas por concejales o autoridades competentes y actas sucintas de todas las sesiones plenarias y de las comisiones, que permita cumplir las respuestas en términos y conforme a la reglamentación vigente.</v>
      </c>
      <c r="F992" s="197">
        <f>+'Base de Datos'!I992</f>
        <v>13168000</v>
      </c>
      <c r="G992" s="196">
        <f>+'Base de Datos'!M992</f>
        <v>44167</v>
      </c>
      <c r="H992" s="196">
        <f>+'Base de Datos'!N992</f>
        <v>44196</v>
      </c>
      <c r="I992" s="196"/>
      <c r="J992" s="158"/>
      <c r="K992" s="333"/>
      <c r="L992" s="211"/>
      <c r="M992" s="336"/>
      <c r="N992" s="158"/>
      <c r="O992" s="333"/>
      <c r="P992" s="158"/>
      <c r="Q992" s="338"/>
      <c r="R992" s="81">
        <f t="shared" si="136"/>
        <v>0</v>
      </c>
      <c r="S992" s="258"/>
      <c r="T992" s="333"/>
      <c r="U992" s="158"/>
      <c r="V992" s="333"/>
      <c r="W992" s="158"/>
      <c r="X992" s="333"/>
      <c r="Y992" s="158"/>
      <c r="Z992" s="1002"/>
      <c r="AA992" s="1003"/>
      <c r="AB992" s="1004" t="str">
        <f t="shared" si="137"/>
        <v/>
      </c>
      <c r="AC992" s="1082" t="str">
        <f t="shared" si="138"/>
        <v/>
      </c>
      <c r="AD992" s="1004"/>
      <c r="AE992" s="1004"/>
      <c r="AF992" s="1084" t="str">
        <f t="shared" si="139"/>
        <v/>
      </c>
      <c r="AG992" s="1082" t="str">
        <f t="shared" si="140"/>
        <v/>
      </c>
      <c r="AH992" s="1092"/>
      <c r="AI992" s="1087"/>
      <c r="AJ992" s="1084" t="str">
        <f t="shared" si="141"/>
        <v/>
      </c>
      <c r="AK992" s="1083" t="str">
        <f t="shared" si="142"/>
        <v/>
      </c>
      <c r="AL992" s="211"/>
      <c r="AM992" s="211"/>
      <c r="AN992" s="211"/>
      <c r="AO992" s="211"/>
      <c r="AP992" s="211"/>
      <c r="AQ992" s="211"/>
      <c r="AR992" s="211"/>
      <c r="AS992" s="211"/>
      <c r="AT992" s="211"/>
      <c r="AU992" s="211"/>
      <c r="AV992" s="211"/>
      <c r="AW992" s="211"/>
      <c r="AX992" s="211"/>
      <c r="AY992" s="211"/>
      <c r="AZ992" s="211"/>
      <c r="BA992" s="211"/>
      <c r="BB992" s="211"/>
      <c r="BC992" s="211"/>
      <c r="BD992" s="333"/>
      <c r="BE992" s="82">
        <f t="shared" si="135"/>
        <v>0</v>
      </c>
    </row>
    <row r="993" spans="2:57" ht="51" hidden="1" x14ac:dyDescent="0.3">
      <c r="B993" s="2">
        <f>+'Base de Datos'!E993</f>
        <v>200416</v>
      </c>
      <c r="C993" s="2" t="str">
        <f>+'Base de Datos'!F993</f>
        <v>JOHN ANDREY BERMUDEZ HERRERA</v>
      </c>
      <c r="D993" s="2">
        <f>+'Base de Datos'!G993</f>
        <v>1024472306</v>
      </c>
      <c r="E993" s="2" t="str">
        <f>+'Base de Datos'!H993</f>
        <v>Prestación de servicios profesionales en la actualización y ajuste de instrumentos archivísticos, así como en los diferentes procedimientos y actividades de gestión documental que se desarrollan en la Corporación, conforme a la normatividad archivística vigente nacional y distrital.</v>
      </c>
      <c r="F993" s="197">
        <f>+'Base de Datos'!I993</f>
        <v>7024000</v>
      </c>
      <c r="G993" s="196">
        <f>+'Base de Datos'!M993</f>
        <v>44172</v>
      </c>
      <c r="H993" s="196">
        <f>+'Base de Datos'!N993</f>
        <v>44196</v>
      </c>
      <c r="I993" s="196"/>
      <c r="J993" s="158"/>
      <c r="K993" s="333"/>
      <c r="L993" s="211"/>
      <c r="M993" s="336"/>
      <c r="N993" s="158"/>
      <c r="O993" s="333"/>
      <c r="P993" s="158"/>
      <c r="Q993" s="338"/>
      <c r="R993" s="81">
        <f t="shared" si="136"/>
        <v>0</v>
      </c>
      <c r="S993" s="258"/>
      <c r="T993" s="333"/>
      <c r="U993" s="158"/>
      <c r="V993" s="333"/>
      <c r="W993" s="158"/>
      <c r="X993" s="333"/>
      <c r="Y993" s="158"/>
      <c r="Z993" s="1002"/>
      <c r="AA993" s="1003"/>
      <c r="AB993" s="1004" t="str">
        <f t="shared" si="137"/>
        <v/>
      </c>
      <c r="AC993" s="1082" t="str">
        <f t="shared" si="138"/>
        <v/>
      </c>
      <c r="AD993" s="1004"/>
      <c r="AE993" s="1004"/>
      <c r="AF993" s="1084" t="str">
        <f t="shared" si="139"/>
        <v/>
      </c>
      <c r="AG993" s="1082" t="str">
        <f t="shared" si="140"/>
        <v/>
      </c>
      <c r="AH993" s="1092"/>
      <c r="AI993" s="1087"/>
      <c r="AJ993" s="1084" t="str">
        <f t="shared" si="141"/>
        <v/>
      </c>
      <c r="AK993" s="1083" t="str">
        <f t="shared" si="142"/>
        <v/>
      </c>
      <c r="AL993" s="211"/>
      <c r="AM993" s="211"/>
      <c r="AN993" s="211"/>
      <c r="AO993" s="211"/>
      <c r="AP993" s="211"/>
      <c r="AQ993" s="211"/>
      <c r="AR993" s="211"/>
      <c r="AS993" s="211"/>
      <c r="AT993" s="211"/>
      <c r="AU993" s="211"/>
      <c r="AV993" s="211"/>
      <c r="AW993" s="211"/>
      <c r="AX993" s="211"/>
      <c r="AY993" s="211"/>
      <c r="AZ993" s="211"/>
      <c r="BA993" s="211"/>
      <c r="BB993" s="211"/>
      <c r="BC993" s="211"/>
      <c r="BD993" s="333"/>
      <c r="BE993" s="82">
        <f t="shared" si="135"/>
        <v>0</v>
      </c>
    </row>
    <row r="994" spans="2:57" ht="61.2" hidden="1" x14ac:dyDescent="0.3">
      <c r="B994" s="2">
        <f>+'Base de Datos'!E994</f>
        <v>200419</v>
      </c>
      <c r="C994" s="2" t="str">
        <f>+'Base de Datos'!F994</f>
        <v>MARIA ALEJANDRA BAQUERO CIMADEVILLA</v>
      </c>
      <c r="D994" s="2">
        <f>+'Base de Datos'!G994</f>
        <v>1020715729</v>
      </c>
      <c r="E994" s="2" t="str">
        <f>+'Base de Datos'!H994</f>
        <v>Prestar servicios profesionales a la Mesa Directiva del Concejo de Bogotá D.C. en el seguimiento y cumplimiento para el plan de acción, los programas, proyectos y estrategias de la corporación para la vigencia 2020, de acuerdo a la normatividad vigente y para el cumplimiento de los objetivos misionales</v>
      </c>
      <c r="F994" s="197">
        <f>+'Base de Datos'!I994</f>
        <v>18435000</v>
      </c>
      <c r="G994" s="196">
        <f>+'Base de Datos'!M994</f>
        <v>44172</v>
      </c>
      <c r="H994" s="196">
        <f>+'Base de Datos'!N994</f>
        <v>44196</v>
      </c>
      <c r="I994" s="196"/>
      <c r="J994" s="158"/>
      <c r="K994" s="333"/>
      <c r="L994" s="211"/>
      <c r="M994" s="336"/>
      <c r="N994" s="158"/>
      <c r="O994" s="333"/>
      <c r="P994" s="158"/>
      <c r="Q994" s="338"/>
      <c r="R994" s="81">
        <f t="shared" si="136"/>
        <v>0</v>
      </c>
      <c r="S994" s="258"/>
      <c r="T994" s="333"/>
      <c r="U994" s="158"/>
      <c r="V994" s="333"/>
      <c r="W994" s="158"/>
      <c r="X994" s="333"/>
      <c r="Y994" s="158"/>
      <c r="Z994" s="1002"/>
      <c r="AA994" s="1003"/>
      <c r="AB994" s="1004" t="str">
        <f t="shared" si="137"/>
        <v/>
      </c>
      <c r="AC994" s="1082" t="str">
        <f t="shared" si="138"/>
        <v/>
      </c>
      <c r="AD994" s="1004"/>
      <c r="AE994" s="1004"/>
      <c r="AF994" s="1084" t="str">
        <f t="shared" si="139"/>
        <v/>
      </c>
      <c r="AG994" s="1082" t="str">
        <f t="shared" si="140"/>
        <v/>
      </c>
      <c r="AH994" s="1092"/>
      <c r="AI994" s="1087"/>
      <c r="AJ994" s="1084" t="str">
        <f t="shared" si="141"/>
        <v/>
      </c>
      <c r="AK994" s="1083" t="str">
        <f t="shared" si="142"/>
        <v/>
      </c>
      <c r="AL994" s="211"/>
      <c r="AM994" s="211"/>
      <c r="AN994" s="211"/>
      <c r="AO994" s="211"/>
      <c r="AP994" s="211"/>
      <c r="AQ994" s="211"/>
      <c r="AR994" s="211"/>
      <c r="AS994" s="211"/>
      <c r="AT994" s="211"/>
      <c r="AU994" s="211"/>
      <c r="AV994" s="211"/>
      <c r="AW994" s="211"/>
      <c r="AX994" s="211"/>
      <c r="AY994" s="211"/>
      <c r="AZ994" s="211"/>
      <c r="BA994" s="211"/>
      <c r="BB994" s="211"/>
      <c r="BC994" s="211"/>
      <c r="BD994" s="333"/>
      <c r="BE994" s="82">
        <f t="shared" si="135"/>
        <v>0</v>
      </c>
    </row>
    <row r="995" spans="2:57" ht="40.799999999999997" hidden="1" x14ac:dyDescent="0.3">
      <c r="B995" s="2">
        <f>+'Base de Datos'!E995</f>
        <v>200420</v>
      </c>
      <c r="C995" s="2" t="str">
        <f>+'Base de Datos'!F995</f>
        <v>JHON JAIRO HERRERA ARIAS</v>
      </c>
      <c r="D995" s="2">
        <f>+'Base de Datos'!G995</f>
        <v>14590293</v>
      </c>
      <c r="E995" s="2" t="str">
        <f>+'Base de Datos'!H995</f>
        <v>Prestar servicio de apoyo a la Secretaría General del Concejo de Bogotá D.C., en las actividades del procedimiento de relatoría, para las actas de las sesiones plenaria y de comisiones de la Corporación.</v>
      </c>
      <c r="F995" s="197">
        <f>+'Base de Datos'!I995</f>
        <v>6146000</v>
      </c>
      <c r="G995" s="196">
        <f>+'Base de Datos'!M995</f>
        <v>44180</v>
      </c>
      <c r="H995" s="196">
        <f>+'Base de Datos'!N995</f>
        <v>44196</v>
      </c>
      <c r="I995" s="196"/>
      <c r="J995" s="158"/>
      <c r="K995" s="333"/>
      <c r="L995" s="211"/>
      <c r="M995" s="336"/>
      <c r="N995" s="158"/>
      <c r="O995" s="333"/>
      <c r="P995" s="158"/>
      <c r="Q995" s="338"/>
      <c r="R995" s="81">
        <f t="shared" si="136"/>
        <v>0</v>
      </c>
      <c r="S995" s="258"/>
      <c r="T995" s="333"/>
      <c r="U995" s="158"/>
      <c r="V995" s="333"/>
      <c r="W995" s="158"/>
      <c r="X995" s="333"/>
      <c r="Y995" s="158"/>
      <c r="Z995" s="1002"/>
      <c r="AA995" s="1003"/>
      <c r="AB995" s="1004" t="str">
        <f t="shared" si="137"/>
        <v/>
      </c>
      <c r="AC995" s="1082" t="str">
        <f t="shared" si="138"/>
        <v/>
      </c>
      <c r="AD995" s="1004"/>
      <c r="AE995" s="1004"/>
      <c r="AF995" s="1084" t="str">
        <f t="shared" si="139"/>
        <v/>
      </c>
      <c r="AG995" s="1082" t="str">
        <f t="shared" si="140"/>
        <v/>
      </c>
      <c r="AH995" s="1092"/>
      <c r="AI995" s="1087"/>
      <c r="AJ995" s="1084" t="str">
        <f t="shared" si="141"/>
        <v/>
      </c>
      <c r="AK995" s="1083" t="str">
        <f t="shared" si="142"/>
        <v/>
      </c>
      <c r="AL995" s="211"/>
      <c r="AM995" s="211"/>
      <c r="AN995" s="211"/>
      <c r="AO995" s="211"/>
      <c r="AP995" s="211"/>
      <c r="AQ995" s="211"/>
      <c r="AR995" s="211"/>
      <c r="AS995" s="211"/>
      <c r="AT995" s="211"/>
      <c r="AU995" s="211"/>
      <c r="AV995" s="211"/>
      <c r="AW995" s="211"/>
      <c r="AX995" s="211"/>
      <c r="AY995" s="211"/>
      <c r="AZ995" s="211"/>
      <c r="BA995" s="211"/>
      <c r="BB995" s="211"/>
      <c r="BC995" s="211"/>
      <c r="BD995" s="333"/>
      <c r="BE995" s="82">
        <f t="shared" si="135"/>
        <v>0</v>
      </c>
    </row>
    <row r="996" spans="2:57" ht="51" hidden="1" x14ac:dyDescent="0.3">
      <c r="B996" s="2">
        <f>+'Base de Datos'!E996</f>
        <v>200427</v>
      </c>
      <c r="C996" s="2" t="str">
        <f>+'Base de Datos'!F996</f>
        <v>CAJA DE COMPENSACION FAMILIAR COMPENSAR</v>
      </c>
      <c r="D996" s="2">
        <f>+'Base de Datos'!G996</f>
        <v>860066942</v>
      </c>
      <c r="E996" s="2" t="str">
        <f>+'Base de Datos'!H996</f>
        <v>Prestación de servicios de apoyo a la gestión para el desarrollo y apoyo logístico de las actividades contenidas dentro de los programas de bienestar, incentivos y mejoramiento de clima laboral para los servidores (as) del Concejo de Bogotá y sus familias</v>
      </c>
      <c r="F996" s="197">
        <f>+'Base de Datos'!I996</f>
        <v>479985919</v>
      </c>
      <c r="G996" s="196">
        <f>+'Base de Datos'!M996</f>
        <v>44181</v>
      </c>
      <c r="H996" s="196">
        <f>+'Base de Datos'!N996</f>
        <v>44301</v>
      </c>
      <c r="I996" s="196"/>
      <c r="J996" s="158"/>
      <c r="K996" s="333"/>
      <c r="L996" s="211"/>
      <c r="M996" s="336"/>
      <c r="N996" s="158"/>
      <c r="O996" s="333"/>
      <c r="P996" s="158"/>
      <c r="Q996" s="338"/>
      <c r="R996" s="81">
        <f t="shared" si="136"/>
        <v>0</v>
      </c>
      <c r="S996" s="258"/>
      <c r="T996" s="333"/>
      <c r="U996" s="158"/>
      <c r="V996" s="333"/>
      <c r="W996" s="158"/>
      <c r="X996" s="333"/>
      <c r="Y996" s="158"/>
      <c r="Z996" s="1002"/>
      <c r="AA996" s="1003"/>
      <c r="AB996" s="1004" t="str">
        <f t="shared" si="137"/>
        <v/>
      </c>
      <c r="AC996" s="1082" t="str">
        <f t="shared" si="138"/>
        <v/>
      </c>
      <c r="AD996" s="1004"/>
      <c r="AE996" s="1004"/>
      <c r="AF996" s="1084" t="str">
        <f t="shared" si="139"/>
        <v/>
      </c>
      <c r="AG996" s="1082" t="str">
        <f t="shared" si="140"/>
        <v/>
      </c>
      <c r="AH996" s="1092"/>
      <c r="AI996" s="1087"/>
      <c r="AJ996" s="1084" t="str">
        <f t="shared" si="141"/>
        <v/>
      </c>
      <c r="AK996" s="1083" t="str">
        <f t="shared" si="142"/>
        <v/>
      </c>
      <c r="AL996" s="211"/>
      <c r="AM996" s="211"/>
      <c r="AN996" s="211"/>
      <c r="AO996" s="211"/>
      <c r="AP996" s="211"/>
      <c r="AQ996" s="211"/>
      <c r="AR996" s="211"/>
      <c r="AS996" s="211"/>
      <c r="AT996" s="211"/>
      <c r="AU996" s="211"/>
      <c r="AV996" s="211"/>
      <c r="AW996" s="211"/>
      <c r="AX996" s="211"/>
      <c r="AY996" s="211"/>
      <c r="AZ996" s="211"/>
      <c r="BA996" s="211"/>
      <c r="BB996" s="211"/>
      <c r="BC996" s="211"/>
      <c r="BD996" s="333"/>
      <c r="BE996" s="82">
        <f t="shared" si="135"/>
        <v>0</v>
      </c>
    </row>
    <row r="997" spans="2:57" ht="20.399999999999999" hidden="1" x14ac:dyDescent="0.3">
      <c r="B997" s="2">
        <f>+'Base de Datos'!E997</f>
        <v>200448</v>
      </c>
      <c r="C997" s="2" t="str">
        <f>+'Base de Datos'!F997</f>
        <v>INFOTECH DE COLOMBIA SAS</v>
      </c>
      <c r="D997" s="2">
        <f>+'Base de Datos'!G997</f>
        <v>805019778</v>
      </c>
      <c r="E997" s="2" t="str">
        <f>+'Base de Datos'!H997</f>
        <v>Adquirir licencias de Visio Profesional para el Concejo de Bogotá.</v>
      </c>
      <c r="F997" s="197">
        <f>+'Base de Datos'!I997</f>
        <v>5886700</v>
      </c>
      <c r="G997" s="196">
        <f>+'Base de Datos'!M997</f>
        <v>0</v>
      </c>
      <c r="H997" s="196">
        <f>+'Base de Datos'!N997</f>
        <v>0</v>
      </c>
      <c r="I997" s="196"/>
      <c r="J997" s="158"/>
      <c r="K997" s="333"/>
      <c r="L997" s="211"/>
      <c r="M997" s="336"/>
      <c r="N997" s="158"/>
      <c r="O997" s="333"/>
      <c r="P997" s="158"/>
      <c r="Q997" s="338"/>
      <c r="R997" s="81">
        <f t="shared" si="136"/>
        <v>0</v>
      </c>
      <c r="S997" s="258"/>
      <c r="T997" s="333"/>
      <c r="U997" s="158"/>
      <c r="V997" s="333"/>
      <c r="W997" s="158"/>
      <c r="X997" s="333"/>
      <c r="Y997" s="158"/>
      <c r="Z997" s="1002"/>
      <c r="AA997" s="1003"/>
      <c r="AB997" s="1004" t="str">
        <f t="shared" si="137"/>
        <v/>
      </c>
      <c r="AC997" s="1082" t="str">
        <f t="shared" si="138"/>
        <v/>
      </c>
      <c r="AD997" s="1004"/>
      <c r="AE997" s="1004"/>
      <c r="AF997" s="1084" t="str">
        <f t="shared" si="139"/>
        <v/>
      </c>
      <c r="AG997" s="1082" t="str">
        <f t="shared" si="140"/>
        <v/>
      </c>
      <c r="AH997" s="1092"/>
      <c r="AI997" s="1087"/>
      <c r="AJ997" s="1084" t="str">
        <f t="shared" si="141"/>
        <v/>
      </c>
      <c r="AK997" s="1083" t="str">
        <f t="shared" si="142"/>
        <v/>
      </c>
      <c r="AL997" s="211"/>
      <c r="AM997" s="211"/>
      <c r="AN997" s="211"/>
      <c r="AO997" s="211"/>
      <c r="AP997" s="211"/>
      <c r="AQ997" s="211"/>
      <c r="AR997" s="211"/>
      <c r="AS997" s="211"/>
      <c r="AT997" s="211"/>
      <c r="AU997" s="211"/>
      <c r="AV997" s="211"/>
      <c r="AW997" s="211"/>
      <c r="AX997" s="211"/>
      <c r="AY997" s="211"/>
      <c r="AZ997" s="211"/>
      <c r="BA997" s="211"/>
      <c r="BB997" s="211"/>
      <c r="BC997" s="211"/>
      <c r="BD997" s="333"/>
      <c r="BE997" s="82">
        <f t="shared" si="135"/>
        <v>0</v>
      </c>
    </row>
    <row r="998" spans="2:57" ht="20.399999999999999" hidden="1" x14ac:dyDescent="0.3">
      <c r="B998" s="2">
        <f>+'Base de Datos'!E998</f>
        <v>200447</v>
      </c>
      <c r="C998" s="2" t="str">
        <f>+'Base de Datos'!F998</f>
        <v>CAJA COLOMBIANA DE SUBSIDIO FAMILIAR – COLSUBSIDIO</v>
      </c>
      <c r="D998" s="2" t="str">
        <f>+'Base de Datos'!G998</f>
        <v>860.007.336-1</v>
      </c>
      <c r="E998" s="2" t="str">
        <f>+'Base de Datos'!H998</f>
        <v>Proveer bonos navideños para los hijos de los funcionarios del Concejo de Bogotá</v>
      </c>
      <c r="F998" s="197">
        <f>+'Base de Datos'!I998</f>
        <v>48103714</v>
      </c>
      <c r="G998" s="196">
        <f>+'Base de Datos'!M998</f>
        <v>44200</v>
      </c>
      <c r="H998" s="196">
        <f>+'Base de Datos'!N998</f>
        <v>44319</v>
      </c>
      <c r="I998" s="196"/>
      <c r="J998" s="158"/>
      <c r="K998" s="333"/>
      <c r="L998" s="211"/>
      <c r="M998" s="336"/>
      <c r="N998" s="158"/>
      <c r="O998" s="333"/>
      <c r="P998" s="158"/>
      <c r="Q998" s="338"/>
      <c r="R998" s="81">
        <f t="shared" si="136"/>
        <v>0</v>
      </c>
      <c r="S998" s="258"/>
      <c r="T998" s="333"/>
      <c r="U998" s="158"/>
      <c r="V998" s="333"/>
      <c r="W998" s="158"/>
      <c r="X998" s="333"/>
      <c r="Y998" s="158"/>
      <c r="Z998" s="1002"/>
      <c r="AA998" s="1003"/>
      <c r="AB998" s="1004" t="str">
        <f t="shared" si="137"/>
        <v/>
      </c>
      <c r="AC998" s="1082" t="str">
        <f t="shared" si="138"/>
        <v/>
      </c>
      <c r="AD998" s="1004"/>
      <c r="AE998" s="1004"/>
      <c r="AF998" s="1084" t="str">
        <f t="shared" si="139"/>
        <v/>
      </c>
      <c r="AG998" s="1082" t="str">
        <f t="shared" si="140"/>
        <v/>
      </c>
      <c r="AH998" s="1092"/>
      <c r="AI998" s="1087"/>
      <c r="AJ998" s="1084" t="str">
        <f t="shared" si="141"/>
        <v/>
      </c>
      <c r="AK998" s="1083" t="str">
        <f t="shared" si="142"/>
        <v/>
      </c>
      <c r="AL998" s="211"/>
      <c r="AM998" s="211"/>
      <c r="AN998" s="211"/>
      <c r="AO998" s="211"/>
      <c r="AP998" s="211"/>
      <c r="AQ998" s="211"/>
      <c r="AR998" s="211"/>
      <c r="AS998" s="211"/>
      <c r="AT998" s="211"/>
      <c r="AU998" s="211"/>
      <c r="AV998" s="211"/>
      <c r="AW998" s="211"/>
      <c r="AX998" s="211"/>
      <c r="AY998" s="211"/>
      <c r="AZ998" s="211"/>
      <c r="BA998" s="211"/>
      <c r="BB998" s="211"/>
      <c r="BC998" s="211"/>
      <c r="BD998" s="333"/>
      <c r="BE998" s="82">
        <f t="shared" si="135"/>
        <v>0</v>
      </c>
    </row>
    <row r="999" spans="2:57" ht="20.399999999999999" hidden="1" x14ac:dyDescent="0.3">
      <c r="B999" s="2">
        <f>+'Base de Datos'!E999</f>
        <v>200461</v>
      </c>
      <c r="C999" s="2" t="str">
        <f>+'Base de Datos'!F999</f>
        <v>Organización Terpel S.A.</v>
      </c>
      <c r="D999" s="2">
        <f>+'Base de Datos'!G999</f>
        <v>830095213</v>
      </c>
      <c r="E999" s="2" t="str">
        <f>+'Base de Datos'!H999</f>
        <v>Suministro de combustible para el parque automotor asignado al Concejo de Bogotá D.C.</v>
      </c>
      <c r="F999" s="197">
        <f>+'Base de Datos'!I999</f>
        <v>1000000</v>
      </c>
      <c r="G999" s="196">
        <f>+'Base de Datos'!M999</f>
        <v>44194</v>
      </c>
      <c r="H999" s="196">
        <f>+'Base de Datos'!N999</f>
        <v>44240</v>
      </c>
      <c r="I999" s="196"/>
      <c r="J999" s="158"/>
      <c r="K999" s="333"/>
      <c r="L999" s="211"/>
      <c r="M999" s="336"/>
      <c r="N999" s="158"/>
      <c r="O999" s="333"/>
      <c r="P999" s="158"/>
      <c r="Q999" s="338"/>
      <c r="R999" s="81">
        <f t="shared" si="136"/>
        <v>0</v>
      </c>
      <c r="S999" s="258"/>
      <c r="T999" s="333"/>
      <c r="U999" s="158"/>
      <c r="V999" s="333"/>
      <c r="W999" s="158"/>
      <c r="X999" s="333"/>
      <c r="Y999" s="158"/>
      <c r="Z999" s="1002"/>
      <c r="AA999" s="1003"/>
      <c r="AB999" s="1004" t="str">
        <f t="shared" si="137"/>
        <v/>
      </c>
      <c r="AC999" s="1082" t="str">
        <f t="shared" si="138"/>
        <v/>
      </c>
      <c r="AD999" s="1004"/>
      <c r="AE999" s="1004"/>
      <c r="AF999" s="1084" t="str">
        <f t="shared" si="139"/>
        <v/>
      </c>
      <c r="AG999" s="1082" t="str">
        <f t="shared" si="140"/>
        <v/>
      </c>
      <c r="AH999" s="1092"/>
      <c r="AI999" s="1087"/>
      <c r="AJ999" s="1084" t="str">
        <f t="shared" si="141"/>
        <v/>
      </c>
      <c r="AK999" s="1083" t="str">
        <f t="shared" si="142"/>
        <v/>
      </c>
      <c r="AL999" s="211"/>
      <c r="AM999" s="211"/>
      <c r="AN999" s="211"/>
      <c r="AO999" s="211"/>
      <c r="AP999" s="211"/>
      <c r="AQ999" s="211"/>
      <c r="AR999" s="211"/>
      <c r="AS999" s="211"/>
      <c r="AT999" s="211"/>
      <c r="AU999" s="211"/>
      <c r="AV999" s="211"/>
      <c r="AW999" s="211"/>
      <c r="AX999" s="211"/>
      <c r="AY999" s="211"/>
      <c r="AZ999" s="211"/>
      <c r="BA999" s="211"/>
      <c r="BB999" s="211"/>
      <c r="BC999" s="211"/>
      <c r="BD999" s="333"/>
      <c r="BE999" s="82">
        <f t="shared" si="135"/>
        <v>0</v>
      </c>
    </row>
    <row r="1000" spans="2:57" ht="40.799999999999997" hidden="1" x14ac:dyDescent="0.3">
      <c r="B1000" s="2">
        <f>+'Base de Datos'!E1000</f>
        <v>200452</v>
      </c>
      <c r="C1000" s="2" t="str">
        <f>+'Base de Datos'!F1000</f>
        <v>MARCO ANTONIO FLORIAN MANTILLA</v>
      </c>
      <c r="D1000" s="2">
        <f>+'Base de Datos'!G1000</f>
        <v>79054381</v>
      </c>
      <c r="E1000" s="2" t="str">
        <f>+'Base de Datos'!H1000</f>
        <v>Prestar servicios de revisión, mantenimiento y recarga de extintores y gabinetes contra incendio, con suministro de repuestos y otros elementos de seguridad para el Concejo de Bogotá.</v>
      </c>
      <c r="F1000" s="197">
        <f>+'Base de Datos'!I1000</f>
        <v>10584000</v>
      </c>
      <c r="G1000" s="196">
        <f>+'Base de Datos'!M1000</f>
        <v>44200</v>
      </c>
      <c r="H1000" s="196">
        <f>+'Base de Datos'!N1000</f>
        <v>44289</v>
      </c>
      <c r="I1000" s="196"/>
      <c r="J1000" s="158"/>
      <c r="K1000" s="333"/>
      <c r="L1000" s="211"/>
      <c r="M1000" s="336"/>
      <c r="N1000" s="158"/>
      <c r="O1000" s="333"/>
      <c r="P1000" s="158"/>
      <c r="Q1000" s="338"/>
      <c r="R1000" s="81">
        <f t="shared" si="136"/>
        <v>0</v>
      </c>
      <c r="S1000" s="258"/>
      <c r="T1000" s="333"/>
      <c r="U1000" s="158"/>
      <c r="V1000" s="333"/>
      <c r="W1000" s="158"/>
      <c r="X1000" s="333"/>
      <c r="Y1000" s="158"/>
      <c r="Z1000" s="1002"/>
      <c r="AA1000" s="1003"/>
      <c r="AB1000" s="1004" t="str">
        <f t="shared" si="137"/>
        <v/>
      </c>
      <c r="AC1000" s="1082" t="str">
        <f t="shared" si="138"/>
        <v/>
      </c>
      <c r="AD1000" s="1004"/>
      <c r="AE1000" s="1004"/>
      <c r="AF1000" s="1084" t="str">
        <f t="shared" si="139"/>
        <v/>
      </c>
      <c r="AG1000" s="1082" t="str">
        <f t="shared" si="140"/>
        <v/>
      </c>
      <c r="AH1000" s="1092"/>
      <c r="AI1000" s="1087"/>
      <c r="AJ1000" s="1084" t="str">
        <f t="shared" si="141"/>
        <v/>
      </c>
      <c r="AK1000" s="1083" t="str">
        <f t="shared" si="142"/>
        <v/>
      </c>
      <c r="AL1000" s="211"/>
      <c r="AM1000" s="211"/>
      <c r="AN1000" s="211"/>
      <c r="AO1000" s="211"/>
      <c r="AP1000" s="211"/>
      <c r="AQ1000" s="211"/>
      <c r="AR1000" s="211"/>
      <c r="AS1000" s="211"/>
      <c r="AT1000" s="211"/>
      <c r="AU1000" s="211"/>
      <c r="AV1000" s="211"/>
      <c r="AW1000" s="211"/>
      <c r="AX1000" s="211"/>
      <c r="AY1000" s="211"/>
      <c r="AZ1000" s="211"/>
      <c r="BA1000" s="211"/>
      <c r="BB1000" s="211"/>
      <c r="BC1000" s="211"/>
      <c r="BD1000" s="333"/>
      <c r="BE1000" s="82">
        <f t="shared" si="135"/>
        <v>0</v>
      </c>
    </row>
    <row r="1001" spans="2:57" ht="30.6" hidden="1" x14ac:dyDescent="0.3">
      <c r="B1001" s="2">
        <f>+'Base de Datos'!E1001</f>
        <v>200372</v>
      </c>
      <c r="C1001" s="2" t="str">
        <f>+'Base de Datos'!F1001</f>
        <v>EDITORIAL LA UNIDAD S.A EN EJECUCIÓN DEL ACUERDO DE REESTRUCTURACIÓN,</v>
      </c>
      <c r="D1001" s="2">
        <f>+'Base de Datos'!G1001</f>
        <v>860536029</v>
      </c>
      <c r="E1001" s="2" t="str">
        <f>+'Base de Datos'!H1001</f>
        <v>Suscripción al diario El Nuevo Siglo para el Concejo de Bogotá</v>
      </c>
      <c r="F1001" s="197">
        <f>+'Base de Datos'!I1001</f>
        <v>1050000</v>
      </c>
      <c r="G1001" s="196">
        <f>+'Base de Datos'!M1001</f>
        <v>0</v>
      </c>
      <c r="H1001" s="196">
        <f>+'Base de Datos'!N1001</f>
        <v>0</v>
      </c>
      <c r="I1001" s="196"/>
      <c r="J1001" s="158"/>
      <c r="K1001" s="333"/>
      <c r="L1001" s="211"/>
      <c r="M1001" s="336"/>
      <c r="N1001" s="158"/>
      <c r="O1001" s="333"/>
      <c r="P1001" s="158"/>
      <c r="Q1001" s="338"/>
      <c r="R1001" s="81">
        <f t="shared" si="136"/>
        <v>0</v>
      </c>
      <c r="S1001" s="258"/>
      <c r="T1001" s="333"/>
      <c r="U1001" s="158"/>
      <c r="V1001" s="333"/>
      <c r="W1001" s="158"/>
      <c r="X1001" s="333"/>
      <c r="Y1001" s="158"/>
      <c r="Z1001" s="1002"/>
      <c r="AA1001" s="1003"/>
      <c r="AB1001" s="1004" t="str">
        <f t="shared" si="137"/>
        <v/>
      </c>
      <c r="AC1001" s="1082" t="str">
        <f t="shared" si="138"/>
        <v/>
      </c>
      <c r="AD1001" s="1004"/>
      <c r="AE1001" s="1004"/>
      <c r="AF1001" s="1084" t="str">
        <f t="shared" si="139"/>
        <v/>
      </c>
      <c r="AG1001" s="1082" t="str">
        <f t="shared" si="140"/>
        <v/>
      </c>
      <c r="AH1001" s="1092"/>
      <c r="AI1001" s="1087"/>
      <c r="AJ1001" s="1084" t="str">
        <f t="shared" si="141"/>
        <v/>
      </c>
      <c r="AK1001" s="1083" t="str">
        <f t="shared" si="142"/>
        <v/>
      </c>
      <c r="AL1001" s="211"/>
      <c r="AM1001" s="211"/>
      <c r="AN1001" s="211"/>
      <c r="AO1001" s="211"/>
      <c r="AP1001" s="211"/>
      <c r="AQ1001" s="211"/>
      <c r="AR1001" s="211"/>
      <c r="AS1001" s="211"/>
      <c r="AT1001" s="211"/>
      <c r="AU1001" s="211"/>
      <c r="AV1001" s="211"/>
      <c r="AW1001" s="211"/>
      <c r="AX1001" s="211"/>
      <c r="AY1001" s="211"/>
      <c r="AZ1001" s="211"/>
      <c r="BA1001" s="211"/>
      <c r="BB1001" s="211"/>
      <c r="BC1001" s="211"/>
      <c r="BD1001" s="333"/>
      <c r="BE1001" s="82">
        <f t="shared" si="135"/>
        <v>0</v>
      </c>
    </row>
    <row r="1002" spans="2:57" hidden="1" x14ac:dyDescent="0.3">
      <c r="B1002" s="2">
        <f>+'Base de Datos'!E1002</f>
        <v>0</v>
      </c>
      <c r="C1002" s="2">
        <f>+'Base de Datos'!F1002</f>
        <v>0</v>
      </c>
      <c r="D1002" s="2">
        <f>+'Base de Datos'!G1002</f>
        <v>0</v>
      </c>
      <c r="E1002" s="2">
        <f>+'Base de Datos'!H1002</f>
        <v>0</v>
      </c>
      <c r="F1002" s="197">
        <f>+'Base de Datos'!I1002</f>
        <v>0</v>
      </c>
      <c r="G1002" s="196">
        <f>+'Base de Datos'!M1002</f>
        <v>0</v>
      </c>
      <c r="H1002" s="196">
        <f>+'Base de Datos'!N1002</f>
        <v>0</v>
      </c>
      <c r="I1002" s="196"/>
      <c r="J1002" s="158"/>
      <c r="K1002" s="333"/>
      <c r="L1002" s="211"/>
      <c r="M1002" s="336"/>
      <c r="N1002" s="158"/>
      <c r="O1002" s="333"/>
      <c r="P1002" s="158"/>
      <c r="Q1002" s="338"/>
      <c r="R1002" s="81">
        <f t="shared" si="136"/>
        <v>0</v>
      </c>
      <c r="S1002" s="258"/>
      <c r="T1002" s="333"/>
      <c r="U1002" s="158"/>
      <c r="V1002" s="333"/>
      <c r="W1002" s="158"/>
      <c r="X1002" s="333"/>
      <c r="Y1002" s="158"/>
      <c r="Z1002" s="1002"/>
      <c r="AA1002" s="1003"/>
      <c r="AB1002" s="1004" t="str">
        <f t="shared" si="137"/>
        <v/>
      </c>
      <c r="AC1002" s="1082" t="str">
        <f t="shared" si="138"/>
        <v/>
      </c>
      <c r="AD1002" s="1004"/>
      <c r="AE1002" s="1004"/>
      <c r="AF1002" s="1084" t="str">
        <f t="shared" si="139"/>
        <v/>
      </c>
      <c r="AG1002" s="1082" t="str">
        <f t="shared" si="140"/>
        <v/>
      </c>
      <c r="AH1002" s="1092"/>
      <c r="AI1002" s="1087"/>
      <c r="AJ1002" s="1084" t="str">
        <f t="shared" si="141"/>
        <v/>
      </c>
      <c r="AK1002" s="1083" t="str">
        <f t="shared" si="142"/>
        <v/>
      </c>
      <c r="AL1002" s="211"/>
      <c r="AM1002" s="211"/>
      <c r="AN1002" s="211"/>
      <c r="AO1002" s="211"/>
      <c r="AP1002" s="211"/>
      <c r="AQ1002" s="211"/>
      <c r="AR1002" s="211"/>
      <c r="AS1002" s="211"/>
      <c r="AT1002" s="211"/>
      <c r="AU1002" s="211"/>
      <c r="AV1002" s="211"/>
      <c r="AW1002" s="211"/>
      <c r="AX1002" s="211"/>
      <c r="AY1002" s="211"/>
      <c r="AZ1002" s="211"/>
      <c r="BA1002" s="211"/>
      <c r="BB1002" s="211"/>
      <c r="BC1002" s="211"/>
      <c r="BD1002" s="333"/>
      <c r="BE1002" s="82">
        <f t="shared" si="135"/>
        <v>0</v>
      </c>
    </row>
    <row r="1003" spans="2:57" hidden="1" x14ac:dyDescent="0.3">
      <c r="B1003" s="2">
        <f>+'Base de Datos'!E1003</f>
        <v>0</v>
      </c>
      <c r="C1003" s="2">
        <f>+'Base de Datos'!F1003</f>
        <v>0</v>
      </c>
      <c r="D1003" s="2">
        <f>+'Base de Datos'!G1003</f>
        <v>0</v>
      </c>
      <c r="E1003" s="2">
        <f>+'Base de Datos'!H1003</f>
        <v>0</v>
      </c>
      <c r="F1003" s="197">
        <f>+'Base de Datos'!I1003</f>
        <v>0</v>
      </c>
      <c r="G1003" s="196">
        <f>+'Base de Datos'!M1003</f>
        <v>0</v>
      </c>
      <c r="H1003" s="196">
        <f>+'Base de Datos'!N1003</f>
        <v>0</v>
      </c>
      <c r="I1003" s="196"/>
      <c r="J1003" s="158"/>
      <c r="K1003" s="333"/>
      <c r="L1003" s="211"/>
      <c r="M1003" s="336"/>
      <c r="N1003" s="158"/>
      <c r="O1003" s="333"/>
      <c r="P1003" s="158"/>
      <c r="Q1003" s="338"/>
      <c r="R1003" s="81">
        <f t="shared" si="136"/>
        <v>0</v>
      </c>
      <c r="S1003" s="258"/>
      <c r="T1003" s="333"/>
      <c r="U1003" s="158"/>
      <c r="V1003" s="333"/>
      <c r="W1003" s="158"/>
      <c r="X1003" s="333"/>
      <c r="Y1003" s="158"/>
      <c r="Z1003" s="1002"/>
      <c r="AA1003" s="1003"/>
      <c r="AB1003" s="1004" t="str">
        <f t="shared" si="137"/>
        <v/>
      </c>
      <c r="AC1003" s="1082" t="str">
        <f t="shared" si="138"/>
        <v/>
      </c>
      <c r="AD1003" s="1004"/>
      <c r="AE1003" s="1004"/>
      <c r="AF1003" s="1084" t="str">
        <f t="shared" si="139"/>
        <v/>
      </c>
      <c r="AG1003" s="1082" t="str">
        <f t="shared" si="140"/>
        <v/>
      </c>
      <c r="AH1003" s="1092"/>
      <c r="AI1003" s="1087"/>
      <c r="AJ1003" s="1084" t="str">
        <f t="shared" si="141"/>
        <v/>
      </c>
      <c r="AK1003" s="1083" t="str">
        <f t="shared" si="142"/>
        <v/>
      </c>
      <c r="AL1003" s="211"/>
      <c r="AM1003" s="211"/>
      <c r="AN1003" s="211"/>
      <c r="AO1003" s="211"/>
      <c r="AP1003" s="211"/>
      <c r="AQ1003" s="211"/>
      <c r="AR1003" s="211"/>
      <c r="AS1003" s="211"/>
      <c r="AT1003" s="211"/>
      <c r="AU1003" s="211"/>
      <c r="AV1003" s="211"/>
      <c r="AW1003" s="211"/>
      <c r="AX1003" s="211"/>
      <c r="AY1003" s="211"/>
      <c r="AZ1003" s="211"/>
      <c r="BA1003" s="211"/>
      <c r="BB1003" s="211"/>
      <c r="BC1003" s="211"/>
      <c r="BD1003" s="333"/>
      <c r="BE1003" s="82">
        <f t="shared" si="135"/>
        <v>0</v>
      </c>
    </row>
    <row r="1004" spans="2:57" hidden="1" x14ac:dyDescent="0.3">
      <c r="B1004" s="2">
        <f>+'Base de Datos'!E1004</f>
        <v>0</v>
      </c>
      <c r="C1004" s="2">
        <f>+'Base de Datos'!F1004</f>
        <v>0</v>
      </c>
      <c r="D1004" s="2">
        <f>+'Base de Datos'!G1004</f>
        <v>0</v>
      </c>
      <c r="E1004" s="2">
        <f>+'Base de Datos'!H1004</f>
        <v>0</v>
      </c>
      <c r="F1004" s="197">
        <f>+'Base de Datos'!I1004</f>
        <v>0</v>
      </c>
      <c r="G1004" s="196">
        <f>+'Base de Datos'!M1004</f>
        <v>0</v>
      </c>
      <c r="H1004" s="196">
        <f>+'Base de Datos'!N1004</f>
        <v>0</v>
      </c>
      <c r="I1004" s="196"/>
      <c r="J1004" s="158"/>
      <c r="K1004" s="333"/>
      <c r="L1004" s="211"/>
      <c r="M1004" s="336"/>
      <c r="N1004" s="158"/>
      <c r="O1004" s="333"/>
      <c r="P1004" s="158"/>
      <c r="Q1004" s="338"/>
      <c r="R1004" s="81">
        <f t="shared" si="136"/>
        <v>0</v>
      </c>
      <c r="S1004" s="258"/>
      <c r="T1004" s="333"/>
      <c r="U1004" s="158"/>
      <c r="V1004" s="333"/>
      <c r="W1004" s="158"/>
      <c r="X1004" s="333"/>
      <c r="Y1004" s="158"/>
      <c r="Z1004" s="1002"/>
      <c r="AA1004" s="1003"/>
      <c r="AB1004" s="1004" t="str">
        <f t="shared" si="137"/>
        <v/>
      </c>
      <c r="AC1004" s="1082" t="str">
        <f t="shared" si="138"/>
        <v/>
      </c>
      <c r="AD1004" s="1004"/>
      <c r="AE1004" s="1004"/>
      <c r="AF1004" s="1084" t="str">
        <f t="shared" si="139"/>
        <v/>
      </c>
      <c r="AG1004" s="1082" t="str">
        <f t="shared" si="140"/>
        <v/>
      </c>
      <c r="AH1004" s="1092"/>
      <c r="AI1004" s="1087"/>
      <c r="AJ1004" s="1084" t="str">
        <f t="shared" si="141"/>
        <v/>
      </c>
      <c r="AK1004" s="1083" t="str">
        <f t="shared" si="142"/>
        <v/>
      </c>
      <c r="AL1004" s="211"/>
      <c r="AM1004" s="211"/>
      <c r="AN1004" s="211"/>
      <c r="AO1004" s="211"/>
      <c r="AP1004" s="211"/>
      <c r="AQ1004" s="211"/>
      <c r="AR1004" s="211"/>
      <c r="AS1004" s="211"/>
      <c r="AT1004" s="211"/>
      <c r="AU1004" s="211"/>
      <c r="AV1004" s="211"/>
      <c r="AW1004" s="211"/>
      <c r="AX1004" s="211"/>
      <c r="AY1004" s="211"/>
      <c r="AZ1004" s="211"/>
      <c r="BA1004" s="211"/>
      <c r="BB1004" s="211"/>
      <c r="BC1004" s="211"/>
      <c r="BD1004" s="333"/>
      <c r="BE1004" s="82">
        <f t="shared" si="135"/>
        <v>0</v>
      </c>
    </row>
    <row r="1005" spans="2:57" hidden="1" x14ac:dyDescent="0.3">
      <c r="B1005" s="2">
        <f>+'Base de Datos'!E1005</f>
        <v>0</v>
      </c>
      <c r="C1005" s="2">
        <f>+'Base de Datos'!F1005</f>
        <v>0</v>
      </c>
      <c r="D1005" s="2">
        <f>+'Base de Datos'!G1005</f>
        <v>0</v>
      </c>
      <c r="E1005" s="2">
        <f>+'Base de Datos'!H1005</f>
        <v>0</v>
      </c>
      <c r="F1005" s="197">
        <f>+'Base de Datos'!I1005</f>
        <v>0</v>
      </c>
      <c r="G1005" s="196">
        <f>+'Base de Datos'!M1005</f>
        <v>0</v>
      </c>
      <c r="H1005" s="196">
        <f>+'Base de Datos'!N1005</f>
        <v>0</v>
      </c>
      <c r="I1005" s="196"/>
      <c r="J1005" s="158"/>
      <c r="K1005" s="333"/>
      <c r="L1005" s="211"/>
      <c r="M1005" s="336"/>
      <c r="N1005" s="158"/>
      <c r="O1005" s="333"/>
      <c r="P1005" s="158"/>
      <c r="Q1005" s="338"/>
      <c r="R1005" s="81">
        <f t="shared" si="136"/>
        <v>0</v>
      </c>
      <c r="S1005" s="258"/>
      <c r="T1005" s="333"/>
      <c r="U1005" s="158"/>
      <c r="V1005" s="333"/>
      <c r="W1005" s="158"/>
      <c r="X1005" s="333"/>
      <c r="Y1005" s="158"/>
      <c r="Z1005" s="1002"/>
      <c r="AA1005" s="1003"/>
      <c r="AB1005" s="1004" t="str">
        <f t="shared" si="137"/>
        <v/>
      </c>
      <c r="AC1005" s="1082" t="str">
        <f t="shared" si="138"/>
        <v/>
      </c>
      <c r="AD1005" s="1004"/>
      <c r="AE1005" s="1004"/>
      <c r="AF1005" s="1084" t="str">
        <f t="shared" si="139"/>
        <v/>
      </c>
      <c r="AG1005" s="1082" t="str">
        <f t="shared" si="140"/>
        <v/>
      </c>
      <c r="AH1005" s="1092"/>
      <c r="AI1005" s="1087"/>
      <c r="AJ1005" s="1084" t="str">
        <f t="shared" si="141"/>
        <v/>
      </c>
      <c r="AK1005" s="1083" t="str">
        <f t="shared" si="142"/>
        <v/>
      </c>
      <c r="AL1005" s="211"/>
      <c r="AM1005" s="211"/>
      <c r="AN1005" s="211"/>
      <c r="AO1005" s="211"/>
      <c r="AP1005" s="211"/>
      <c r="AQ1005" s="211"/>
      <c r="AR1005" s="211"/>
      <c r="AS1005" s="211"/>
      <c r="AT1005" s="211"/>
      <c r="AU1005" s="211"/>
      <c r="AV1005" s="211"/>
      <c r="AW1005" s="211"/>
      <c r="AX1005" s="211"/>
      <c r="AY1005" s="211"/>
      <c r="AZ1005" s="211"/>
      <c r="BA1005" s="211"/>
      <c r="BB1005" s="211"/>
      <c r="BC1005" s="211"/>
      <c r="BD1005" s="333"/>
      <c r="BE1005" s="82">
        <f t="shared" si="135"/>
        <v>0</v>
      </c>
    </row>
    <row r="1006" spans="2:57" hidden="1" x14ac:dyDescent="0.3">
      <c r="B1006" s="2">
        <f>+'Base de Datos'!E1006</f>
        <v>0</v>
      </c>
      <c r="C1006" s="2">
        <f>+'Base de Datos'!F1006</f>
        <v>0</v>
      </c>
      <c r="D1006" s="2">
        <f>+'Base de Datos'!G1006</f>
        <v>0</v>
      </c>
      <c r="E1006" s="2">
        <f>+'Base de Datos'!H1006</f>
        <v>0</v>
      </c>
      <c r="F1006" s="197">
        <f>+'Base de Datos'!I1006</f>
        <v>0</v>
      </c>
      <c r="G1006" s="196">
        <f>+'Base de Datos'!M1006</f>
        <v>0</v>
      </c>
      <c r="H1006" s="196">
        <f>+'Base de Datos'!N1006</f>
        <v>0</v>
      </c>
      <c r="I1006" s="196"/>
      <c r="J1006" s="158"/>
      <c r="K1006" s="333"/>
      <c r="L1006" s="211"/>
      <c r="M1006" s="336"/>
      <c r="N1006" s="158"/>
      <c r="O1006" s="333"/>
      <c r="P1006" s="158"/>
      <c r="Q1006" s="338"/>
      <c r="R1006" s="81">
        <f t="shared" si="136"/>
        <v>0</v>
      </c>
      <c r="S1006" s="258"/>
      <c r="T1006" s="333"/>
      <c r="U1006" s="158"/>
      <c r="V1006" s="333"/>
      <c r="W1006" s="158"/>
      <c r="X1006" s="333"/>
      <c r="Y1006" s="158"/>
      <c r="Z1006" s="1002"/>
      <c r="AA1006" s="1003"/>
      <c r="AB1006" s="1004" t="str">
        <f t="shared" si="137"/>
        <v/>
      </c>
      <c r="AC1006" s="1082" t="str">
        <f t="shared" si="138"/>
        <v/>
      </c>
      <c r="AD1006" s="1004"/>
      <c r="AE1006" s="1004"/>
      <c r="AF1006" s="1084" t="str">
        <f t="shared" si="139"/>
        <v/>
      </c>
      <c r="AG1006" s="1082" t="str">
        <f t="shared" si="140"/>
        <v/>
      </c>
      <c r="AH1006" s="1092"/>
      <c r="AI1006" s="1087"/>
      <c r="AJ1006" s="1084" t="str">
        <f t="shared" si="141"/>
        <v/>
      </c>
      <c r="AK1006" s="1083" t="str">
        <f t="shared" si="142"/>
        <v/>
      </c>
      <c r="AL1006" s="211"/>
      <c r="AM1006" s="211"/>
      <c r="AN1006" s="211"/>
      <c r="AO1006" s="211"/>
      <c r="AP1006" s="211"/>
      <c r="AQ1006" s="211"/>
      <c r="AR1006" s="211"/>
      <c r="AS1006" s="211"/>
      <c r="AT1006" s="211"/>
      <c r="AU1006" s="211"/>
      <c r="AV1006" s="211"/>
      <c r="AW1006" s="211"/>
      <c r="AX1006" s="211"/>
      <c r="AY1006" s="211"/>
      <c r="AZ1006" s="211"/>
      <c r="BA1006" s="211"/>
      <c r="BB1006" s="211"/>
      <c r="BC1006" s="211"/>
      <c r="BD1006" s="333"/>
      <c r="BE1006" s="82">
        <f t="shared" si="135"/>
        <v>0</v>
      </c>
    </row>
    <row r="1007" spans="2:57" hidden="1" x14ac:dyDescent="0.3">
      <c r="B1007" s="2">
        <f>+'Base de Datos'!E1007</f>
        <v>0</v>
      </c>
      <c r="C1007" s="2">
        <f>+'Base de Datos'!F1007</f>
        <v>0</v>
      </c>
      <c r="D1007" s="2">
        <f>+'Base de Datos'!G1007</f>
        <v>0</v>
      </c>
      <c r="E1007" s="2">
        <f>+'Base de Datos'!H1007</f>
        <v>0</v>
      </c>
      <c r="F1007" s="197">
        <f>+'Base de Datos'!I1007</f>
        <v>0</v>
      </c>
      <c r="G1007" s="196">
        <f>+'Base de Datos'!M1007</f>
        <v>0</v>
      </c>
      <c r="H1007" s="196">
        <f>+'Base de Datos'!N1007</f>
        <v>0</v>
      </c>
      <c r="I1007" s="196"/>
      <c r="J1007" s="158"/>
      <c r="K1007" s="333"/>
      <c r="L1007" s="211"/>
      <c r="M1007" s="336"/>
      <c r="N1007" s="158"/>
      <c r="O1007" s="333"/>
      <c r="P1007" s="158"/>
      <c r="Q1007" s="338"/>
      <c r="R1007" s="81">
        <f t="shared" si="136"/>
        <v>0</v>
      </c>
      <c r="S1007" s="258"/>
      <c r="T1007" s="333"/>
      <c r="U1007" s="158"/>
      <c r="V1007" s="333"/>
      <c r="W1007" s="158"/>
      <c r="X1007" s="333"/>
      <c r="Y1007" s="158"/>
      <c r="Z1007" s="1002"/>
      <c r="AA1007" s="1003"/>
      <c r="AB1007" s="1004" t="str">
        <f t="shared" si="137"/>
        <v/>
      </c>
      <c r="AC1007" s="1082" t="str">
        <f t="shared" si="138"/>
        <v/>
      </c>
      <c r="AD1007" s="1004"/>
      <c r="AE1007" s="1004"/>
      <c r="AF1007" s="1084" t="str">
        <f t="shared" si="139"/>
        <v/>
      </c>
      <c r="AG1007" s="1082" t="str">
        <f t="shared" si="140"/>
        <v/>
      </c>
      <c r="AH1007" s="1092"/>
      <c r="AI1007" s="1087"/>
      <c r="AJ1007" s="1084" t="str">
        <f t="shared" si="141"/>
        <v/>
      </c>
      <c r="AK1007" s="1083" t="str">
        <f t="shared" si="142"/>
        <v/>
      </c>
      <c r="AL1007" s="211"/>
      <c r="AM1007" s="211"/>
      <c r="AN1007" s="211"/>
      <c r="AO1007" s="211"/>
      <c r="AP1007" s="211"/>
      <c r="AQ1007" s="211"/>
      <c r="AR1007" s="211"/>
      <c r="AS1007" s="211"/>
      <c r="AT1007" s="211"/>
      <c r="AU1007" s="211"/>
      <c r="AV1007" s="211"/>
      <c r="AW1007" s="211"/>
      <c r="AX1007" s="211"/>
      <c r="AY1007" s="211"/>
      <c r="AZ1007" s="211"/>
      <c r="BA1007" s="211"/>
      <c r="BB1007" s="211"/>
      <c r="BC1007" s="211"/>
      <c r="BD1007" s="333"/>
      <c r="BE1007" s="82">
        <f t="shared" si="135"/>
        <v>0</v>
      </c>
    </row>
    <row r="1008" spans="2:57" hidden="1" x14ac:dyDescent="0.3">
      <c r="B1008" s="2">
        <f>+'Base de Datos'!E1008</f>
        <v>0</v>
      </c>
      <c r="C1008" s="2">
        <f>+'Base de Datos'!F1008</f>
        <v>0</v>
      </c>
      <c r="D1008" s="2">
        <f>+'Base de Datos'!G1008</f>
        <v>0</v>
      </c>
      <c r="E1008" s="2">
        <f>+'Base de Datos'!H1008</f>
        <v>0</v>
      </c>
      <c r="F1008" s="197">
        <f>+'Base de Datos'!I1008</f>
        <v>0</v>
      </c>
      <c r="G1008" s="196">
        <f>+'Base de Datos'!M1008</f>
        <v>0</v>
      </c>
      <c r="H1008" s="196">
        <f>+'Base de Datos'!N1008</f>
        <v>0</v>
      </c>
      <c r="I1008" s="196"/>
      <c r="J1008" s="158"/>
      <c r="K1008" s="333"/>
      <c r="L1008" s="211"/>
      <c r="M1008" s="336"/>
      <c r="N1008" s="158"/>
      <c r="O1008" s="333"/>
      <c r="P1008" s="158"/>
      <c r="Q1008" s="338"/>
      <c r="R1008" s="81">
        <f t="shared" si="136"/>
        <v>0</v>
      </c>
      <c r="S1008" s="258"/>
      <c r="T1008" s="333"/>
      <c r="U1008" s="158"/>
      <c r="V1008" s="333"/>
      <c r="W1008" s="158"/>
      <c r="X1008" s="333"/>
      <c r="Y1008" s="158"/>
      <c r="Z1008" s="1002"/>
      <c r="AA1008" s="1003"/>
      <c r="AB1008" s="1004" t="str">
        <f t="shared" si="137"/>
        <v/>
      </c>
      <c r="AC1008" s="1082" t="str">
        <f t="shared" si="138"/>
        <v/>
      </c>
      <c r="AD1008" s="1004"/>
      <c r="AE1008" s="1004"/>
      <c r="AF1008" s="1084" t="str">
        <f t="shared" si="139"/>
        <v/>
      </c>
      <c r="AG1008" s="1082" t="str">
        <f t="shared" si="140"/>
        <v/>
      </c>
      <c r="AH1008" s="1092"/>
      <c r="AI1008" s="1087"/>
      <c r="AJ1008" s="1084" t="str">
        <f t="shared" si="141"/>
        <v/>
      </c>
      <c r="AK1008" s="1083" t="str">
        <f t="shared" si="142"/>
        <v/>
      </c>
      <c r="AL1008" s="211"/>
      <c r="AM1008" s="211"/>
      <c r="AN1008" s="211"/>
      <c r="AO1008" s="211"/>
      <c r="AP1008" s="211"/>
      <c r="AQ1008" s="211"/>
      <c r="AR1008" s="211"/>
      <c r="AS1008" s="211"/>
      <c r="AT1008" s="211"/>
      <c r="AU1008" s="211"/>
      <c r="AV1008" s="211"/>
      <c r="AW1008" s="211"/>
      <c r="AX1008" s="211"/>
      <c r="AY1008" s="211"/>
      <c r="AZ1008" s="211"/>
      <c r="BA1008" s="211"/>
      <c r="BB1008" s="211"/>
      <c r="BC1008" s="211"/>
      <c r="BD1008" s="333"/>
      <c r="BE1008" s="82">
        <f t="shared" si="135"/>
        <v>0</v>
      </c>
    </row>
    <row r="1009" spans="2:57" hidden="1" x14ac:dyDescent="0.3">
      <c r="B1009" s="2">
        <f>+'Base de Datos'!E1009</f>
        <v>0</v>
      </c>
      <c r="C1009" s="2">
        <f>+'Base de Datos'!F1009</f>
        <v>0</v>
      </c>
      <c r="D1009" s="2">
        <f>+'Base de Datos'!G1009</f>
        <v>0</v>
      </c>
      <c r="E1009" s="2">
        <f>+'Base de Datos'!H1009</f>
        <v>0</v>
      </c>
      <c r="F1009" s="197">
        <f>+'Base de Datos'!I1009</f>
        <v>0</v>
      </c>
      <c r="G1009" s="196">
        <f>+'Base de Datos'!M1009</f>
        <v>0</v>
      </c>
      <c r="H1009" s="196">
        <f>+'Base de Datos'!N1009</f>
        <v>0</v>
      </c>
      <c r="I1009" s="196"/>
      <c r="J1009" s="158"/>
      <c r="K1009" s="333"/>
      <c r="L1009" s="211"/>
      <c r="M1009" s="336"/>
      <c r="N1009" s="158"/>
      <c r="O1009" s="333"/>
      <c r="P1009" s="158"/>
      <c r="Q1009" s="338"/>
      <c r="R1009" s="81">
        <f t="shared" si="136"/>
        <v>0</v>
      </c>
      <c r="S1009" s="258"/>
      <c r="T1009" s="333"/>
      <c r="U1009" s="158"/>
      <c r="V1009" s="333"/>
      <c r="W1009" s="158"/>
      <c r="X1009" s="333"/>
      <c r="Y1009" s="158"/>
      <c r="Z1009" s="1002"/>
      <c r="AA1009" s="1003"/>
      <c r="AB1009" s="1004" t="str">
        <f t="shared" si="137"/>
        <v/>
      </c>
      <c r="AC1009" s="1082" t="str">
        <f t="shared" si="138"/>
        <v/>
      </c>
      <c r="AD1009" s="1004"/>
      <c r="AE1009" s="1004"/>
      <c r="AF1009" s="1084" t="str">
        <f t="shared" si="139"/>
        <v/>
      </c>
      <c r="AG1009" s="1082" t="str">
        <f t="shared" si="140"/>
        <v/>
      </c>
      <c r="AH1009" s="1092"/>
      <c r="AI1009" s="1087"/>
      <c r="AJ1009" s="1084" t="str">
        <f t="shared" si="141"/>
        <v/>
      </c>
      <c r="AK1009" s="1083" t="str">
        <f t="shared" si="142"/>
        <v/>
      </c>
      <c r="AL1009" s="211"/>
      <c r="AM1009" s="211"/>
      <c r="AN1009" s="211"/>
      <c r="AO1009" s="211"/>
      <c r="AP1009" s="211"/>
      <c r="AQ1009" s="211"/>
      <c r="AR1009" s="211"/>
      <c r="AS1009" s="211"/>
      <c r="AT1009" s="211"/>
      <c r="AU1009" s="211"/>
      <c r="AV1009" s="211"/>
      <c r="AW1009" s="211"/>
      <c r="AX1009" s="211"/>
      <c r="AY1009" s="211"/>
      <c r="AZ1009" s="211"/>
      <c r="BA1009" s="211"/>
      <c r="BB1009" s="211"/>
      <c r="BC1009" s="211"/>
      <c r="BD1009" s="333"/>
      <c r="BE1009" s="82">
        <f t="shared" si="135"/>
        <v>0</v>
      </c>
    </row>
    <row r="1010" spans="2:57" hidden="1" x14ac:dyDescent="0.3">
      <c r="B1010" s="2">
        <f>+'Base de Datos'!E1010</f>
        <v>0</v>
      </c>
      <c r="C1010" s="2">
        <f>+'Base de Datos'!F1010</f>
        <v>0</v>
      </c>
      <c r="D1010" s="2">
        <f>+'Base de Datos'!G1010</f>
        <v>0</v>
      </c>
      <c r="E1010" s="2">
        <f>+'Base de Datos'!H1010</f>
        <v>0</v>
      </c>
      <c r="F1010" s="197">
        <f>+'Base de Datos'!I1010</f>
        <v>0</v>
      </c>
      <c r="G1010" s="196">
        <f>+'Base de Datos'!M1010</f>
        <v>0</v>
      </c>
      <c r="H1010" s="196">
        <f>+'Base de Datos'!N1010</f>
        <v>0</v>
      </c>
      <c r="I1010" s="196"/>
      <c r="J1010" s="158"/>
      <c r="K1010" s="333"/>
      <c r="L1010" s="211"/>
      <c r="M1010" s="336"/>
      <c r="N1010" s="158"/>
      <c r="O1010" s="333"/>
      <c r="P1010" s="158"/>
      <c r="Q1010" s="338"/>
      <c r="R1010" s="81">
        <f t="shared" si="136"/>
        <v>0</v>
      </c>
      <c r="S1010" s="258"/>
      <c r="T1010" s="333"/>
      <c r="U1010" s="158"/>
      <c r="V1010" s="333"/>
      <c r="W1010" s="158"/>
      <c r="X1010" s="333"/>
      <c r="Y1010" s="158"/>
      <c r="Z1010" s="1002"/>
      <c r="AA1010" s="1003"/>
      <c r="AB1010" s="1004" t="str">
        <f t="shared" si="137"/>
        <v/>
      </c>
      <c r="AC1010" s="1082" t="str">
        <f t="shared" si="138"/>
        <v/>
      </c>
      <c r="AD1010" s="1004"/>
      <c r="AE1010" s="1004"/>
      <c r="AF1010" s="1084" t="str">
        <f t="shared" si="139"/>
        <v/>
      </c>
      <c r="AG1010" s="1082" t="str">
        <f t="shared" si="140"/>
        <v/>
      </c>
      <c r="AH1010" s="1092"/>
      <c r="AI1010" s="1087"/>
      <c r="AJ1010" s="1084" t="str">
        <f t="shared" si="141"/>
        <v/>
      </c>
      <c r="AK1010" s="1083" t="str">
        <f t="shared" si="142"/>
        <v/>
      </c>
      <c r="AL1010" s="211"/>
      <c r="AM1010" s="211"/>
      <c r="AN1010" s="211"/>
      <c r="AO1010" s="211"/>
      <c r="AP1010" s="211"/>
      <c r="AQ1010" s="211"/>
      <c r="AR1010" s="211"/>
      <c r="AS1010" s="211"/>
      <c r="AT1010" s="211"/>
      <c r="AU1010" s="211"/>
      <c r="AV1010" s="211"/>
      <c r="AW1010" s="211"/>
      <c r="AX1010" s="211"/>
      <c r="AY1010" s="211"/>
      <c r="AZ1010" s="211"/>
      <c r="BA1010" s="211"/>
      <c r="BB1010" s="211"/>
      <c r="BC1010" s="211"/>
      <c r="BD1010" s="333"/>
      <c r="BE1010" s="82">
        <f t="shared" si="135"/>
        <v>0</v>
      </c>
    </row>
    <row r="1011" spans="2:57" hidden="1" x14ac:dyDescent="0.3">
      <c r="B1011" s="2">
        <f>+'Base de Datos'!E1011</f>
        <v>0</v>
      </c>
      <c r="C1011" s="2">
        <f>+'Base de Datos'!F1011</f>
        <v>0</v>
      </c>
      <c r="D1011" s="2">
        <f>+'Base de Datos'!G1011</f>
        <v>0</v>
      </c>
      <c r="E1011" s="2">
        <f>+'Base de Datos'!H1011</f>
        <v>0</v>
      </c>
      <c r="F1011" s="197">
        <f>+'Base de Datos'!I1011</f>
        <v>0</v>
      </c>
      <c r="G1011" s="196">
        <f>+'Base de Datos'!M1011</f>
        <v>0</v>
      </c>
      <c r="H1011" s="196">
        <f>+'Base de Datos'!N1011</f>
        <v>0</v>
      </c>
      <c r="I1011" s="196"/>
      <c r="J1011" s="158"/>
      <c r="K1011" s="333"/>
      <c r="L1011" s="211"/>
      <c r="M1011" s="336"/>
      <c r="N1011" s="158"/>
      <c r="O1011" s="333"/>
      <c r="P1011" s="158"/>
      <c r="Q1011" s="338"/>
      <c r="R1011" s="81">
        <f t="shared" si="136"/>
        <v>0</v>
      </c>
      <c r="S1011" s="258"/>
      <c r="T1011" s="333"/>
      <c r="U1011" s="158"/>
      <c r="V1011" s="333"/>
      <c r="W1011" s="158"/>
      <c r="X1011" s="333"/>
      <c r="Y1011" s="158"/>
      <c r="Z1011" s="1002"/>
      <c r="AA1011" s="1003"/>
      <c r="AB1011" s="1004" t="str">
        <f t="shared" si="137"/>
        <v/>
      </c>
      <c r="AC1011" s="1082" t="str">
        <f t="shared" si="138"/>
        <v/>
      </c>
      <c r="AD1011" s="1004"/>
      <c r="AE1011" s="1004"/>
      <c r="AF1011" s="1084" t="str">
        <f t="shared" si="139"/>
        <v/>
      </c>
      <c r="AG1011" s="1082" t="str">
        <f t="shared" si="140"/>
        <v/>
      </c>
      <c r="AH1011" s="1092"/>
      <c r="AI1011" s="1087"/>
      <c r="AJ1011" s="1084" t="str">
        <f t="shared" si="141"/>
        <v/>
      </c>
      <c r="AK1011" s="1083" t="str">
        <f t="shared" si="142"/>
        <v/>
      </c>
      <c r="AL1011" s="211"/>
      <c r="AM1011" s="211"/>
      <c r="AN1011" s="211"/>
      <c r="AO1011" s="211"/>
      <c r="AP1011" s="211"/>
      <c r="AQ1011" s="211"/>
      <c r="AR1011" s="211"/>
      <c r="AS1011" s="211"/>
      <c r="AT1011" s="211"/>
      <c r="AU1011" s="211"/>
      <c r="AV1011" s="211"/>
      <c r="AW1011" s="211"/>
      <c r="AX1011" s="211"/>
      <c r="AY1011" s="211"/>
      <c r="AZ1011" s="211"/>
      <c r="BA1011" s="211"/>
      <c r="BB1011" s="211"/>
      <c r="BC1011" s="211"/>
      <c r="BD1011" s="333"/>
      <c r="BE1011" s="82">
        <f t="shared" si="135"/>
        <v>0</v>
      </c>
    </row>
    <row r="1012" spans="2:57" hidden="1" x14ac:dyDescent="0.3">
      <c r="B1012" s="2">
        <f>+'Base de Datos'!E1012</f>
        <v>0</v>
      </c>
      <c r="C1012" s="2">
        <f>+'Base de Datos'!F1012</f>
        <v>0</v>
      </c>
      <c r="D1012" s="2">
        <f>+'Base de Datos'!G1012</f>
        <v>0</v>
      </c>
      <c r="E1012" s="2">
        <f>+'Base de Datos'!H1012</f>
        <v>0</v>
      </c>
      <c r="F1012" s="197">
        <f>+'Base de Datos'!I1012</f>
        <v>0</v>
      </c>
      <c r="G1012" s="196">
        <f>+'Base de Datos'!M1012</f>
        <v>0</v>
      </c>
      <c r="H1012" s="196">
        <f>+'Base de Datos'!N1012</f>
        <v>0</v>
      </c>
      <c r="I1012" s="196"/>
      <c r="J1012" s="158"/>
      <c r="K1012" s="333"/>
      <c r="L1012" s="211"/>
      <c r="M1012" s="336"/>
      <c r="N1012" s="158"/>
      <c r="O1012" s="333"/>
      <c r="P1012" s="158"/>
      <c r="Q1012" s="338"/>
      <c r="R1012" s="81">
        <f t="shared" si="136"/>
        <v>0</v>
      </c>
      <c r="S1012" s="258"/>
      <c r="T1012" s="333"/>
      <c r="U1012" s="158"/>
      <c r="V1012" s="333"/>
      <c r="W1012" s="158"/>
      <c r="X1012" s="333"/>
      <c r="Y1012" s="158"/>
      <c r="Z1012" s="1002"/>
      <c r="AA1012" s="1003"/>
      <c r="AB1012" s="1004" t="str">
        <f t="shared" si="137"/>
        <v/>
      </c>
      <c r="AC1012" s="1082" t="str">
        <f t="shared" si="138"/>
        <v/>
      </c>
      <c r="AD1012" s="1004"/>
      <c r="AE1012" s="1004"/>
      <c r="AF1012" s="1084" t="str">
        <f t="shared" si="139"/>
        <v/>
      </c>
      <c r="AG1012" s="1082" t="str">
        <f t="shared" si="140"/>
        <v/>
      </c>
      <c r="AH1012" s="1092"/>
      <c r="AI1012" s="1087"/>
      <c r="AJ1012" s="1084" t="str">
        <f t="shared" si="141"/>
        <v/>
      </c>
      <c r="AK1012" s="1083" t="str">
        <f t="shared" si="142"/>
        <v/>
      </c>
      <c r="AL1012" s="211"/>
      <c r="AM1012" s="211"/>
      <c r="AN1012" s="211"/>
      <c r="AO1012" s="211"/>
      <c r="AP1012" s="211"/>
      <c r="AQ1012" s="211"/>
      <c r="AR1012" s="211"/>
      <c r="AS1012" s="211"/>
      <c r="AT1012" s="211"/>
      <c r="AU1012" s="211"/>
      <c r="AV1012" s="211"/>
      <c r="AW1012" s="211"/>
      <c r="AX1012" s="211"/>
      <c r="AY1012" s="211"/>
      <c r="AZ1012" s="211"/>
      <c r="BA1012" s="211"/>
      <c r="BB1012" s="211"/>
      <c r="BC1012" s="211"/>
      <c r="BD1012" s="333"/>
      <c r="BE1012" s="82">
        <f t="shared" si="135"/>
        <v>0</v>
      </c>
    </row>
    <row r="1013" spans="2:57" hidden="1" x14ac:dyDescent="0.3">
      <c r="B1013" s="2">
        <f>+'Base de Datos'!E1013</f>
        <v>0</v>
      </c>
      <c r="C1013" s="2">
        <f>+'Base de Datos'!F1013</f>
        <v>0</v>
      </c>
      <c r="D1013" s="2">
        <f>+'Base de Datos'!G1013</f>
        <v>0</v>
      </c>
      <c r="E1013" s="2">
        <f>+'Base de Datos'!H1013</f>
        <v>0</v>
      </c>
      <c r="F1013" s="197">
        <f>+'Base de Datos'!I1013</f>
        <v>0</v>
      </c>
      <c r="G1013" s="196">
        <f>+'Base de Datos'!M1013</f>
        <v>0</v>
      </c>
      <c r="H1013" s="196">
        <f>+'Base de Datos'!N1013</f>
        <v>0</v>
      </c>
      <c r="I1013" s="196"/>
      <c r="J1013" s="158"/>
      <c r="K1013" s="333"/>
      <c r="L1013" s="211"/>
      <c r="M1013" s="336"/>
      <c r="N1013" s="158"/>
      <c r="O1013" s="333"/>
      <c r="P1013" s="158"/>
      <c r="Q1013" s="338"/>
      <c r="R1013" s="81">
        <f t="shared" si="136"/>
        <v>0</v>
      </c>
      <c r="S1013" s="258"/>
      <c r="T1013" s="333"/>
      <c r="U1013" s="158"/>
      <c r="V1013" s="333"/>
      <c r="W1013" s="158"/>
      <c r="X1013" s="333"/>
      <c r="Y1013" s="158"/>
      <c r="Z1013" s="1002"/>
      <c r="AA1013" s="1003"/>
      <c r="AB1013" s="1004" t="str">
        <f t="shared" si="137"/>
        <v/>
      </c>
      <c r="AC1013" s="1082" t="str">
        <f t="shared" si="138"/>
        <v/>
      </c>
      <c r="AD1013" s="1004"/>
      <c r="AE1013" s="1004"/>
      <c r="AF1013" s="1084" t="str">
        <f t="shared" si="139"/>
        <v/>
      </c>
      <c r="AG1013" s="1082" t="str">
        <f t="shared" si="140"/>
        <v/>
      </c>
      <c r="AH1013" s="1092"/>
      <c r="AI1013" s="1087"/>
      <c r="AJ1013" s="1084" t="str">
        <f t="shared" si="141"/>
        <v/>
      </c>
      <c r="AK1013" s="1083" t="str">
        <f t="shared" si="142"/>
        <v/>
      </c>
      <c r="AL1013" s="211"/>
      <c r="AM1013" s="211"/>
      <c r="AN1013" s="211"/>
      <c r="AO1013" s="211"/>
      <c r="AP1013" s="211"/>
      <c r="AQ1013" s="211"/>
      <c r="AR1013" s="211"/>
      <c r="AS1013" s="211"/>
      <c r="AT1013" s="211"/>
      <c r="AU1013" s="211"/>
      <c r="AV1013" s="211"/>
      <c r="AW1013" s="211"/>
      <c r="AX1013" s="211"/>
      <c r="AY1013" s="211"/>
      <c r="AZ1013" s="211"/>
      <c r="BA1013" s="211"/>
      <c r="BB1013" s="211"/>
      <c r="BC1013" s="211"/>
      <c r="BD1013" s="333"/>
      <c r="BE1013" s="82">
        <f t="shared" si="135"/>
        <v>0</v>
      </c>
    </row>
    <row r="1014" spans="2:57" hidden="1" x14ac:dyDescent="0.3">
      <c r="B1014" s="2">
        <f>+'Base de Datos'!E1014</f>
        <v>0</v>
      </c>
      <c r="C1014" s="2">
        <f>+'Base de Datos'!F1014</f>
        <v>0</v>
      </c>
      <c r="D1014" s="2">
        <f>+'Base de Datos'!G1014</f>
        <v>0</v>
      </c>
      <c r="E1014" s="2">
        <f>+'Base de Datos'!H1014</f>
        <v>0</v>
      </c>
      <c r="F1014" s="197">
        <f>+'Base de Datos'!I1014</f>
        <v>0</v>
      </c>
      <c r="G1014" s="196">
        <f>+'Base de Datos'!M1014</f>
        <v>0</v>
      </c>
      <c r="H1014" s="196">
        <f>+'Base de Datos'!N1014</f>
        <v>0</v>
      </c>
      <c r="I1014" s="196"/>
      <c r="J1014" s="158"/>
      <c r="K1014" s="333"/>
      <c r="L1014" s="211"/>
      <c r="M1014" s="336"/>
      <c r="N1014" s="158"/>
      <c r="O1014" s="333"/>
      <c r="P1014" s="158"/>
      <c r="Q1014" s="338"/>
      <c r="R1014" s="81">
        <f t="shared" si="136"/>
        <v>0</v>
      </c>
      <c r="S1014" s="258"/>
      <c r="T1014" s="333"/>
      <c r="U1014" s="158"/>
      <c r="V1014" s="333"/>
      <c r="W1014" s="158"/>
      <c r="X1014" s="333"/>
      <c r="Y1014" s="158"/>
      <c r="Z1014" s="1002"/>
      <c r="AA1014" s="1003"/>
      <c r="AB1014" s="1004" t="str">
        <f t="shared" si="137"/>
        <v/>
      </c>
      <c r="AC1014" s="1082" t="str">
        <f t="shared" si="138"/>
        <v/>
      </c>
      <c r="AD1014" s="1004"/>
      <c r="AE1014" s="1004"/>
      <c r="AF1014" s="1084" t="str">
        <f t="shared" si="139"/>
        <v/>
      </c>
      <c r="AG1014" s="1082" t="str">
        <f t="shared" si="140"/>
        <v/>
      </c>
      <c r="AH1014" s="1092"/>
      <c r="AI1014" s="1087"/>
      <c r="AJ1014" s="1084" t="str">
        <f t="shared" si="141"/>
        <v/>
      </c>
      <c r="AK1014" s="1083" t="str">
        <f t="shared" si="142"/>
        <v/>
      </c>
      <c r="AL1014" s="211"/>
      <c r="AM1014" s="211"/>
      <c r="AN1014" s="211"/>
      <c r="AO1014" s="211"/>
      <c r="AP1014" s="211"/>
      <c r="AQ1014" s="211"/>
      <c r="AR1014" s="211"/>
      <c r="AS1014" s="211"/>
      <c r="AT1014" s="211"/>
      <c r="AU1014" s="211"/>
      <c r="AV1014" s="211"/>
      <c r="AW1014" s="211"/>
      <c r="AX1014" s="211"/>
      <c r="AY1014" s="211"/>
      <c r="AZ1014" s="211"/>
      <c r="BA1014" s="211"/>
      <c r="BB1014" s="211"/>
      <c r="BC1014" s="211"/>
      <c r="BD1014" s="333"/>
      <c r="BE1014" s="82">
        <f t="shared" si="135"/>
        <v>0</v>
      </c>
    </row>
    <row r="1015" spans="2:57" hidden="1" x14ac:dyDescent="0.3">
      <c r="B1015" s="2">
        <f>+'Base de Datos'!E1015</f>
        <v>0</v>
      </c>
      <c r="C1015" s="2">
        <f>+'Base de Datos'!F1015</f>
        <v>0</v>
      </c>
      <c r="D1015" s="2">
        <f>+'Base de Datos'!G1015</f>
        <v>0</v>
      </c>
      <c r="E1015" s="2">
        <f>+'Base de Datos'!H1015</f>
        <v>0</v>
      </c>
      <c r="F1015" s="197">
        <f>+'Base de Datos'!I1015</f>
        <v>0</v>
      </c>
      <c r="G1015" s="196">
        <f>+'Base de Datos'!M1015</f>
        <v>0</v>
      </c>
      <c r="H1015" s="196">
        <f>+'Base de Datos'!N1015</f>
        <v>0</v>
      </c>
      <c r="I1015" s="196"/>
      <c r="J1015" s="158"/>
      <c r="K1015" s="333"/>
      <c r="L1015" s="211"/>
      <c r="M1015" s="336"/>
      <c r="N1015" s="158"/>
      <c r="O1015" s="333"/>
      <c r="P1015" s="158"/>
      <c r="Q1015" s="338"/>
      <c r="R1015" s="81">
        <f t="shared" si="136"/>
        <v>0</v>
      </c>
      <c r="S1015" s="258"/>
      <c r="T1015" s="333"/>
      <c r="U1015" s="158"/>
      <c r="V1015" s="333"/>
      <c r="W1015" s="158"/>
      <c r="X1015" s="333"/>
      <c r="Y1015" s="158"/>
      <c r="Z1015" s="1002"/>
      <c r="AA1015" s="1003"/>
      <c r="AB1015" s="1004" t="str">
        <f t="shared" si="137"/>
        <v/>
      </c>
      <c r="AC1015" s="1082" t="str">
        <f t="shared" si="138"/>
        <v/>
      </c>
      <c r="AD1015" s="1004"/>
      <c r="AE1015" s="1004"/>
      <c r="AF1015" s="1084" t="str">
        <f t="shared" si="139"/>
        <v/>
      </c>
      <c r="AG1015" s="1082" t="str">
        <f t="shared" si="140"/>
        <v/>
      </c>
      <c r="AH1015" s="1092"/>
      <c r="AI1015" s="1087"/>
      <c r="AJ1015" s="1084" t="str">
        <f t="shared" si="141"/>
        <v/>
      </c>
      <c r="AK1015" s="1083" t="str">
        <f t="shared" si="142"/>
        <v/>
      </c>
      <c r="AL1015" s="211"/>
      <c r="AM1015" s="211"/>
      <c r="AN1015" s="211"/>
      <c r="AO1015" s="211"/>
      <c r="AP1015" s="211"/>
      <c r="AQ1015" s="211"/>
      <c r="AR1015" s="211"/>
      <c r="AS1015" s="211"/>
      <c r="AT1015" s="211"/>
      <c r="AU1015" s="211"/>
      <c r="AV1015" s="211"/>
      <c r="AW1015" s="211"/>
      <c r="AX1015" s="211"/>
      <c r="AY1015" s="211"/>
      <c r="AZ1015" s="211"/>
      <c r="BA1015" s="211"/>
      <c r="BB1015" s="211"/>
      <c r="BC1015" s="211"/>
      <c r="BD1015" s="333"/>
      <c r="BE1015" s="82">
        <f t="shared" si="135"/>
        <v>0</v>
      </c>
    </row>
    <row r="1016" spans="2:57" hidden="1" x14ac:dyDescent="0.3">
      <c r="B1016" s="2">
        <f>+'Base de Datos'!E1016</f>
        <v>0</v>
      </c>
      <c r="C1016" s="2">
        <f>+'Base de Datos'!F1016</f>
        <v>0</v>
      </c>
      <c r="D1016" s="2">
        <f>+'Base de Datos'!G1016</f>
        <v>0</v>
      </c>
      <c r="E1016" s="2">
        <f>+'Base de Datos'!H1016</f>
        <v>0</v>
      </c>
      <c r="F1016" s="197">
        <f>+'Base de Datos'!I1016</f>
        <v>0</v>
      </c>
      <c r="G1016" s="196">
        <f>+'Base de Datos'!M1016</f>
        <v>0</v>
      </c>
      <c r="H1016" s="196">
        <f>+'Base de Datos'!N1016</f>
        <v>0</v>
      </c>
      <c r="I1016" s="196"/>
      <c r="J1016" s="158"/>
      <c r="K1016" s="333"/>
      <c r="L1016" s="211"/>
      <c r="M1016" s="336"/>
      <c r="N1016" s="158"/>
      <c r="O1016" s="333"/>
      <c r="P1016" s="158"/>
      <c r="Q1016" s="338"/>
      <c r="R1016" s="81">
        <f t="shared" si="136"/>
        <v>0</v>
      </c>
      <c r="S1016" s="258"/>
      <c r="T1016" s="333"/>
      <c r="U1016" s="158"/>
      <c r="V1016" s="333"/>
      <c r="W1016" s="158"/>
      <c r="X1016" s="333"/>
      <c r="Y1016" s="158"/>
      <c r="Z1016" s="1002"/>
      <c r="AA1016" s="1003"/>
      <c r="AB1016" s="1004" t="str">
        <f t="shared" si="137"/>
        <v/>
      </c>
      <c r="AC1016" s="1082" t="str">
        <f t="shared" si="138"/>
        <v/>
      </c>
      <c r="AD1016" s="1004"/>
      <c r="AE1016" s="1004"/>
      <c r="AF1016" s="1084" t="str">
        <f t="shared" si="139"/>
        <v/>
      </c>
      <c r="AG1016" s="1082" t="str">
        <f t="shared" si="140"/>
        <v/>
      </c>
      <c r="AH1016" s="1092"/>
      <c r="AI1016" s="1087"/>
      <c r="AJ1016" s="1084" t="str">
        <f t="shared" si="141"/>
        <v/>
      </c>
      <c r="AK1016" s="1083" t="str">
        <f t="shared" si="142"/>
        <v/>
      </c>
      <c r="AL1016" s="211"/>
      <c r="AM1016" s="211"/>
      <c r="AN1016" s="211"/>
      <c r="AO1016" s="211"/>
      <c r="AP1016" s="211"/>
      <c r="AQ1016" s="211"/>
      <c r="AR1016" s="211"/>
      <c r="AS1016" s="211"/>
      <c r="AT1016" s="211"/>
      <c r="AU1016" s="211"/>
      <c r="AV1016" s="211"/>
      <c r="AW1016" s="211"/>
      <c r="AX1016" s="211"/>
      <c r="AY1016" s="211"/>
      <c r="AZ1016" s="211"/>
      <c r="BA1016" s="211"/>
      <c r="BB1016" s="211"/>
      <c r="BC1016" s="211"/>
      <c r="BD1016" s="333"/>
      <c r="BE1016" s="82">
        <f t="shared" si="135"/>
        <v>0</v>
      </c>
    </row>
    <row r="1017" spans="2:57" hidden="1" x14ac:dyDescent="0.3">
      <c r="B1017" s="2">
        <f>+'Base de Datos'!E1017</f>
        <v>0</v>
      </c>
      <c r="C1017" s="2">
        <f>+'Base de Datos'!F1017</f>
        <v>0</v>
      </c>
      <c r="D1017" s="2">
        <f>+'Base de Datos'!G1017</f>
        <v>0</v>
      </c>
      <c r="E1017" s="2">
        <f>+'Base de Datos'!H1017</f>
        <v>0</v>
      </c>
      <c r="F1017" s="197">
        <f>+'Base de Datos'!I1017</f>
        <v>0</v>
      </c>
      <c r="G1017" s="196">
        <f>+'Base de Datos'!M1017</f>
        <v>0</v>
      </c>
      <c r="H1017" s="196">
        <f>+'Base de Datos'!N1017</f>
        <v>0</v>
      </c>
      <c r="I1017" s="196"/>
      <c r="J1017" s="158"/>
      <c r="K1017" s="333"/>
      <c r="L1017" s="211"/>
      <c r="M1017" s="336"/>
      <c r="N1017" s="158"/>
      <c r="O1017" s="333"/>
      <c r="P1017" s="158"/>
      <c r="Q1017" s="338"/>
      <c r="R1017" s="81">
        <f t="shared" si="136"/>
        <v>0</v>
      </c>
      <c r="S1017" s="258"/>
      <c r="T1017" s="333"/>
      <c r="U1017" s="158"/>
      <c r="V1017" s="333"/>
      <c r="W1017" s="158"/>
      <c r="X1017" s="333"/>
      <c r="Y1017" s="158"/>
      <c r="Z1017" s="1002"/>
      <c r="AA1017" s="1003"/>
      <c r="AB1017" s="1004" t="str">
        <f t="shared" si="137"/>
        <v/>
      </c>
      <c r="AC1017" s="1082" t="str">
        <f t="shared" si="138"/>
        <v/>
      </c>
      <c r="AD1017" s="1004"/>
      <c r="AE1017" s="1004"/>
      <c r="AF1017" s="1084" t="str">
        <f t="shared" si="139"/>
        <v/>
      </c>
      <c r="AG1017" s="1082" t="str">
        <f t="shared" si="140"/>
        <v/>
      </c>
      <c r="AH1017" s="1092"/>
      <c r="AI1017" s="1087"/>
      <c r="AJ1017" s="1084" t="str">
        <f t="shared" si="141"/>
        <v/>
      </c>
      <c r="AK1017" s="1083" t="str">
        <f t="shared" si="142"/>
        <v/>
      </c>
      <c r="AL1017" s="211"/>
      <c r="AM1017" s="211"/>
      <c r="AN1017" s="211"/>
      <c r="AO1017" s="211"/>
      <c r="AP1017" s="211"/>
      <c r="AQ1017" s="211"/>
      <c r="AR1017" s="211"/>
      <c r="AS1017" s="211"/>
      <c r="AT1017" s="211"/>
      <c r="AU1017" s="211"/>
      <c r="AV1017" s="211"/>
      <c r="AW1017" s="211"/>
      <c r="AX1017" s="211"/>
      <c r="AY1017" s="211"/>
      <c r="AZ1017" s="211"/>
      <c r="BA1017" s="211"/>
      <c r="BB1017" s="211"/>
      <c r="BC1017" s="211"/>
      <c r="BD1017" s="333"/>
      <c r="BE1017" s="82">
        <f t="shared" si="135"/>
        <v>0</v>
      </c>
    </row>
    <row r="1018" spans="2:57" hidden="1" x14ac:dyDescent="0.3">
      <c r="B1018" s="2">
        <f>+'Base de Datos'!E1018</f>
        <v>0</v>
      </c>
      <c r="C1018" s="2">
        <f>+'Base de Datos'!F1018</f>
        <v>0</v>
      </c>
      <c r="D1018" s="2">
        <f>+'Base de Datos'!G1018</f>
        <v>0</v>
      </c>
      <c r="E1018" s="2">
        <f>+'Base de Datos'!H1018</f>
        <v>0</v>
      </c>
      <c r="F1018" s="197">
        <f>+'Base de Datos'!I1018</f>
        <v>0</v>
      </c>
      <c r="G1018" s="196">
        <f>+'Base de Datos'!M1018</f>
        <v>0</v>
      </c>
      <c r="H1018" s="196">
        <f>+'Base de Datos'!N1018</f>
        <v>0</v>
      </c>
      <c r="I1018" s="196"/>
      <c r="J1018" s="158"/>
      <c r="K1018" s="333"/>
      <c r="L1018" s="211"/>
      <c r="M1018" s="336"/>
      <c r="N1018" s="158"/>
      <c r="O1018" s="333"/>
      <c r="P1018" s="158"/>
      <c r="Q1018" s="338"/>
      <c r="R1018" s="81">
        <f t="shared" si="136"/>
        <v>0</v>
      </c>
      <c r="S1018" s="258"/>
      <c r="T1018" s="333"/>
      <c r="U1018" s="158"/>
      <c r="V1018" s="333"/>
      <c r="W1018" s="158"/>
      <c r="X1018" s="333"/>
      <c r="Y1018" s="158"/>
      <c r="Z1018" s="1002"/>
      <c r="AA1018" s="1003"/>
      <c r="AB1018" s="1004" t="str">
        <f t="shared" si="137"/>
        <v/>
      </c>
      <c r="AC1018" s="1082" t="str">
        <f t="shared" si="138"/>
        <v/>
      </c>
      <c r="AD1018" s="1004"/>
      <c r="AE1018" s="1004"/>
      <c r="AF1018" s="1084" t="str">
        <f t="shared" si="139"/>
        <v/>
      </c>
      <c r="AG1018" s="1082" t="str">
        <f t="shared" si="140"/>
        <v/>
      </c>
      <c r="AH1018" s="1092"/>
      <c r="AI1018" s="1087"/>
      <c r="AJ1018" s="1084" t="str">
        <f t="shared" si="141"/>
        <v/>
      </c>
      <c r="AK1018" s="1083" t="str">
        <f t="shared" si="142"/>
        <v/>
      </c>
      <c r="AL1018" s="211"/>
      <c r="AM1018" s="211"/>
      <c r="AN1018" s="211"/>
      <c r="AO1018" s="211"/>
      <c r="AP1018" s="211"/>
      <c r="AQ1018" s="211"/>
      <c r="AR1018" s="211"/>
      <c r="AS1018" s="211"/>
      <c r="AT1018" s="211"/>
      <c r="AU1018" s="211"/>
      <c r="AV1018" s="211"/>
      <c r="AW1018" s="211"/>
      <c r="AX1018" s="211"/>
      <c r="AY1018" s="211"/>
      <c r="AZ1018" s="211"/>
      <c r="BA1018" s="211"/>
      <c r="BB1018" s="211"/>
      <c r="BC1018" s="211"/>
      <c r="BD1018" s="333"/>
      <c r="BE1018" s="82">
        <f t="shared" si="135"/>
        <v>0</v>
      </c>
    </row>
    <row r="1019" spans="2:57" hidden="1" x14ac:dyDescent="0.3">
      <c r="B1019" s="2">
        <f>+'Base de Datos'!E1019</f>
        <v>0</v>
      </c>
      <c r="C1019" s="2">
        <f>+'Base de Datos'!F1019</f>
        <v>0</v>
      </c>
      <c r="D1019" s="2">
        <f>+'Base de Datos'!G1019</f>
        <v>0</v>
      </c>
      <c r="E1019" s="2">
        <f>+'Base de Datos'!H1019</f>
        <v>0</v>
      </c>
      <c r="F1019" s="197">
        <f>+'Base de Datos'!I1019</f>
        <v>0</v>
      </c>
      <c r="G1019" s="196">
        <f>+'Base de Datos'!M1019</f>
        <v>0</v>
      </c>
      <c r="H1019" s="196">
        <f>+'Base de Datos'!N1019</f>
        <v>0</v>
      </c>
      <c r="I1019" s="196"/>
      <c r="J1019" s="158"/>
      <c r="K1019" s="333"/>
      <c r="L1019" s="211"/>
      <c r="M1019" s="336"/>
      <c r="N1019" s="158"/>
      <c r="O1019" s="333"/>
      <c r="P1019" s="158"/>
      <c r="Q1019" s="338"/>
      <c r="R1019" s="81">
        <f t="shared" si="136"/>
        <v>0</v>
      </c>
      <c r="S1019" s="258"/>
      <c r="T1019" s="333"/>
      <c r="U1019" s="158"/>
      <c r="V1019" s="333"/>
      <c r="W1019" s="158"/>
      <c r="X1019" s="333"/>
      <c r="Y1019" s="158"/>
      <c r="Z1019" s="1002"/>
      <c r="AA1019" s="1003"/>
      <c r="AB1019" s="1004" t="str">
        <f t="shared" si="137"/>
        <v/>
      </c>
      <c r="AC1019" s="1082" t="str">
        <f t="shared" si="138"/>
        <v/>
      </c>
      <c r="AD1019" s="1004"/>
      <c r="AE1019" s="1004"/>
      <c r="AF1019" s="1084" t="str">
        <f t="shared" si="139"/>
        <v/>
      </c>
      <c r="AG1019" s="1082" t="str">
        <f t="shared" si="140"/>
        <v/>
      </c>
      <c r="AH1019" s="1092"/>
      <c r="AI1019" s="1087"/>
      <c r="AJ1019" s="1084" t="str">
        <f t="shared" si="141"/>
        <v/>
      </c>
      <c r="AK1019" s="1083" t="str">
        <f t="shared" si="142"/>
        <v/>
      </c>
      <c r="AL1019" s="211"/>
      <c r="AM1019" s="211"/>
      <c r="AN1019" s="211"/>
      <c r="AO1019" s="211"/>
      <c r="AP1019" s="211"/>
      <c r="AQ1019" s="211"/>
      <c r="AR1019" s="211"/>
      <c r="AS1019" s="211"/>
      <c r="AT1019" s="211"/>
      <c r="AU1019" s="211"/>
      <c r="AV1019" s="211"/>
      <c r="AW1019" s="211"/>
      <c r="AX1019" s="211"/>
      <c r="AY1019" s="211"/>
      <c r="AZ1019" s="211"/>
      <c r="BA1019" s="211"/>
      <c r="BB1019" s="211"/>
      <c r="BC1019" s="211"/>
      <c r="BD1019" s="333"/>
      <c r="BE1019" s="82">
        <f t="shared" si="135"/>
        <v>0</v>
      </c>
    </row>
    <row r="1020" spans="2:57" hidden="1" x14ac:dyDescent="0.3">
      <c r="B1020" s="2">
        <f>+'Base de Datos'!E1020</f>
        <v>0</v>
      </c>
      <c r="C1020" s="2">
        <f>+'Base de Datos'!F1020</f>
        <v>0</v>
      </c>
      <c r="D1020" s="2">
        <f>+'Base de Datos'!G1020</f>
        <v>0</v>
      </c>
      <c r="E1020" s="2">
        <f>+'Base de Datos'!H1020</f>
        <v>0</v>
      </c>
      <c r="F1020" s="197">
        <f>+'Base de Datos'!I1020</f>
        <v>0</v>
      </c>
      <c r="G1020" s="196">
        <f>+'Base de Datos'!M1020</f>
        <v>0</v>
      </c>
      <c r="H1020" s="196">
        <f>+'Base de Datos'!N1020</f>
        <v>0</v>
      </c>
      <c r="I1020" s="196"/>
      <c r="J1020" s="158"/>
      <c r="K1020" s="333"/>
      <c r="L1020" s="211"/>
      <c r="M1020" s="336"/>
      <c r="N1020" s="158"/>
      <c r="O1020" s="333"/>
      <c r="P1020" s="158"/>
      <c r="Q1020" s="338"/>
      <c r="R1020" s="81">
        <f t="shared" si="136"/>
        <v>0</v>
      </c>
      <c r="S1020" s="258"/>
      <c r="T1020" s="333"/>
      <c r="U1020" s="158"/>
      <c r="V1020" s="333"/>
      <c r="W1020" s="158"/>
      <c r="X1020" s="333"/>
      <c r="Y1020" s="158"/>
      <c r="Z1020" s="1002"/>
      <c r="AA1020" s="1003"/>
      <c r="AB1020" s="1004" t="str">
        <f t="shared" si="137"/>
        <v/>
      </c>
      <c r="AC1020" s="1082" t="str">
        <f t="shared" si="138"/>
        <v/>
      </c>
      <c r="AD1020" s="1004"/>
      <c r="AE1020" s="1004"/>
      <c r="AF1020" s="1084" t="str">
        <f t="shared" si="139"/>
        <v/>
      </c>
      <c r="AG1020" s="1082" t="str">
        <f t="shared" si="140"/>
        <v/>
      </c>
      <c r="AH1020" s="1092"/>
      <c r="AI1020" s="1087"/>
      <c r="AJ1020" s="1084" t="str">
        <f t="shared" si="141"/>
        <v/>
      </c>
      <c r="AK1020" s="1083" t="str">
        <f t="shared" si="142"/>
        <v/>
      </c>
      <c r="AL1020" s="211"/>
      <c r="AM1020" s="211"/>
      <c r="AN1020" s="211"/>
      <c r="AO1020" s="211"/>
      <c r="AP1020" s="211"/>
      <c r="AQ1020" s="211"/>
      <c r="AR1020" s="211"/>
      <c r="AS1020" s="211"/>
      <c r="AT1020" s="211"/>
      <c r="AU1020" s="211"/>
      <c r="AV1020" s="211"/>
      <c r="AW1020" s="211"/>
      <c r="AX1020" s="211"/>
      <c r="AY1020" s="211"/>
      <c r="AZ1020" s="211"/>
      <c r="BA1020" s="211"/>
      <c r="BB1020" s="211"/>
      <c r="BC1020" s="211"/>
      <c r="BD1020" s="333"/>
      <c r="BE1020" s="82">
        <f t="shared" si="135"/>
        <v>0</v>
      </c>
    </row>
    <row r="1021" spans="2:57" hidden="1" x14ac:dyDescent="0.3">
      <c r="B1021" s="2">
        <f>+'Base de Datos'!E1021</f>
        <v>0</v>
      </c>
      <c r="C1021" s="2">
        <f>+'Base de Datos'!F1021</f>
        <v>0</v>
      </c>
      <c r="D1021" s="2">
        <f>+'Base de Datos'!G1021</f>
        <v>0</v>
      </c>
      <c r="E1021" s="2">
        <f>+'Base de Datos'!H1021</f>
        <v>0</v>
      </c>
      <c r="F1021" s="197">
        <f>+'Base de Datos'!I1021</f>
        <v>0</v>
      </c>
      <c r="G1021" s="196">
        <f>+'Base de Datos'!M1021</f>
        <v>0</v>
      </c>
      <c r="H1021" s="196">
        <f>+'Base de Datos'!N1021</f>
        <v>0</v>
      </c>
      <c r="I1021" s="196"/>
      <c r="J1021" s="158"/>
      <c r="K1021" s="333"/>
      <c r="L1021" s="211"/>
      <c r="M1021" s="336"/>
      <c r="N1021" s="158"/>
      <c r="O1021" s="333"/>
      <c r="P1021" s="158"/>
      <c r="Q1021" s="338"/>
      <c r="R1021" s="81">
        <f t="shared" si="136"/>
        <v>0</v>
      </c>
      <c r="S1021" s="258"/>
      <c r="T1021" s="333"/>
      <c r="U1021" s="158"/>
      <c r="V1021" s="333"/>
      <c r="W1021" s="158"/>
      <c r="X1021" s="333"/>
      <c r="Y1021" s="158"/>
      <c r="Z1021" s="1002"/>
      <c r="AA1021" s="1003"/>
      <c r="AB1021" s="1004" t="str">
        <f t="shared" si="137"/>
        <v/>
      </c>
      <c r="AC1021" s="1082" t="str">
        <f t="shared" si="138"/>
        <v/>
      </c>
      <c r="AD1021" s="1004"/>
      <c r="AE1021" s="1004"/>
      <c r="AF1021" s="1084" t="str">
        <f t="shared" si="139"/>
        <v/>
      </c>
      <c r="AG1021" s="1082" t="str">
        <f t="shared" si="140"/>
        <v/>
      </c>
      <c r="AH1021" s="1092"/>
      <c r="AI1021" s="1087"/>
      <c r="AJ1021" s="1084" t="str">
        <f t="shared" si="141"/>
        <v/>
      </c>
      <c r="AK1021" s="1083" t="str">
        <f t="shared" si="142"/>
        <v/>
      </c>
      <c r="AL1021" s="211"/>
      <c r="AM1021" s="211"/>
      <c r="AN1021" s="211"/>
      <c r="AO1021" s="211"/>
      <c r="AP1021" s="211"/>
      <c r="AQ1021" s="211"/>
      <c r="AR1021" s="211"/>
      <c r="AS1021" s="211"/>
      <c r="AT1021" s="211"/>
      <c r="AU1021" s="211"/>
      <c r="AV1021" s="211"/>
      <c r="AW1021" s="211"/>
      <c r="AX1021" s="211"/>
      <c r="AY1021" s="211"/>
      <c r="AZ1021" s="211"/>
      <c r="BA1021" s="211"/>
      <c r="BB1021" s="211"/>
      <c r="BC1021" s="211"/>
      <c r="BD1021" s="333"/>
      <c r="BE1021" s="82">
        <f t="shared" si="135"/>
        <v>0</v>
      </c>
    </row>
    <row r="1022" spans="2:57" hidden="1" x14ac:dyDescent="0.3">
      <c r="B1022" s="2">
        <f>+'Base de Datos'!E1022</f>
        <v>0</v>
      </c>
      <c r="C1022" s="2">
        <f>+'Base de Datos'!F1022</f>
        <v>0</v>
      </c>
      <c r="D1022" s="2">
        <f>+'Base de Datos'!G1022</f>
        <v>0</v>
      </c>
      <c r="E1022" s="2">
        <f>+'Base de Datos'!H1022</f>
        <v>0</v>
      </c>
      <c r="F1022" s="197">
        <f>+'Base de Datos'!I1022</f>
        <v>0</v>
      </c>
      <c r="G1022" s="196">
        <f>+'Base de Datos'!M1022</f>
        <v>0</v>
      </c>
      <c r="H1022" s="196">
        <f>+'Base de Datos'!N1022</f>
        <v>0</v>
      </c>
      <c r="I1022" s="196"/>
      <c r="J1022" s="158"/>
      <c r="K1022" s="333"/>
      <c r="L1022" s="211"/>
      <c r="M1022" s="336"/>
      <c r="N1022" s="158"/>
      <c r="O1022" s="333"/>
      <c r="P1022" s="158"/>
      <c r="Q1022" s="338"/>
      <c r="R1022" s="81">
        <f t="shared" si="136"/>
        <v>0</v>
      </c>
      <c r="S1022" s="258"/>
      <c r="T1022" s="333"/>
      <c r="U1022" s="158"/>
      <c r="V1022" s="333"/>
      <c r="W1022" s="158"/>
      <c r="X1022" s="333"/>
      <c r="Y1022" s="158"/>
      <c r="Z1022" s="1002"/>
      <c r="AA1022" s="1003"/>
      <c r="AB1022" s="1004" t="str">
        <f t="shared" si="137"/>
        <v/>
      </c>
      <c r="AC1022" s="1082" t="str">
        <f t="shared" si="138"/>
        <v/>
      </c>
      <c r="AD1022" s="1004"/>
      <c r="AE1022" s="1004"/>
      <c r="AF1022" s="1084" t="str">
        <f t="shared" si="139"/>
        <v/>
      </c>
      <c r="AG1022" s="1082" t="str">
        <f t="shared" si="140"/>
        <v/>
      </c>
      <c r="AH1022" s="1092"/>
      <c r="AI1022" s="1087"/>
      <c r="AJ1022" s="1084" t="str">
        <f t="shared" si="141"/>
        <v/>
      </c>
      <c r="AK1022" s="1083" t="str">
        <f t="shared" si="142"/>
        <v/>
      </c>
      <c r="AL1022" s="211"/>
      <c r="AM1022" s="211"/>
      <c r="AN1022" s="211"/>
      <c r="AO1022" s="211"/>
      <c r="AP1022" s="211"/>
      <c r="AQ1022" s="211"/>
      <c r="AR1022" s="211"/>
      <c r="AS1022" s="211"/>
      <c r="AT1022" s="211"/>
      <c r="AU1022" s="211"/>
      <c r="AV1022" s="211"/>
      <c r="AW1022" s="211"/>
      <c r="AX1022" s="211"/>
      <c r="AY1022" s="211"/>
      <c r="AZ1022" s="211"/>
      <c r="BA1022" s="211"/>
      <c r="BB1022" s="211"/>
      <c r="BC1022" s="211"/>
      <c r="BD1022" s="333"/>
      <c r="BE1022" s="82">
        <f t="shared" si="135"/>
        <v>0</v>
      </c>
    </row>
    <row r="1023" spans="2:57" hidden="1" x14ac:dyDescent="0.3">
      <c r="B1023" s="2">
        <f>+'Base de Datos'!E1023</f>
        <v>0</v>
      </c>
      <c r="C1023" s="2">
        <f>+'Base de Datos'!F1023</f>
        <v>0</v>
      </c>
      <c r="D1023" s="2">
        <f>+'Base de Datos'!G1023</f>
        <v>0</v>
      </c>
      <c r="E1023" s="2">
        <f>+'Base de Datos'!H1023</f>
        <v>0</v>
      </c>
      <c r="F1023" s="197">
        <f>+'Base de Datos'!I1023</f>
        <v>0</v>
      </c>
      <c r="G1023" s="196">
        <f>+'Base de Datos'!M1023</f>
        <v>0</v>
      </c>
      <c r="H1023" s="196">
        <f>+'Base de Datos'!N1023</f>
        <v>0</v>
      </c>
      <c r="I1023" s="196"/>
      <c r="J1023" s="158"/>
      <c r="K1023" s="333"/>
      <c r="L1023" s="211"/>
      <c r="M1023" s="336"/>
      <c r="N1023" s="158"/>
      <c r="O1023" s="333"/>
      <c r="P1023" s="158"/>
      <c r="Q1023" s="338"/>
      <c r="R1023" s="81">
        <f t="shared" si="136"/>
        <v>0</v>
      </c>
      <c r="S1023" s="258"/>
      <c r="T1023" s="333"/>
      <c r="U1023" s="158"/>
      <c r="V1023" s="333"/>
      <c r="W1023" s="158"/>
      <c r="X1023" s="333"/>
      <c r="Y1023" s="158"/>
      <c r="Z1023" s="1002"/>
      <c r="AA1023" s="1003"/>
      <c r="AB1023" s="1004" t="str">
        <f t="shared" si="137"/>
        <v/>
      </c>
      <c r="AC1023" s="1082" t="str">
        <f t="shared" si="138"/>
        <v/>
      </c>
      <c r="AD1023" s="1004"/>
      <c r="AE1023" s="1004"/>
      <c r="AF1023" s="1084" t="str">
        <f t="shared" si="139"/>
        <v/>
      </c>
      <c r="AG1023" s="1082" t="str">
        <f t="shared" si="140"/>
        <v/>
      </c>
      <c r="AH1023" s="1092"/>
      <c r="AI1023" s="1087"/>
      <c r="AJ1023" s="1084" t="str">
        <f t="shared" si="141"/>
        <v/>
      </c>
      <c r="AK1023" s="1083" t="str">
        <f t="shared" si="142"/>
        <v/>
      </c>
      <c r="AL1023" s="211"/>
      <c r="AM1023" s="211"/>
      <c r="AN1023" s="211"/>
      <c r="AO1023" s="211"/>
      <c r="AP1023" s="211"/>
      <c r="AQ1023" s="211"/>
      <c r="AR1023" s="211"/>
      <c r="AS1023" s="211"/>
      <c r="AT1023" s="211"/>
      <c r="AU1023" s="211"/>
      <c r="AV1023" s="211"/>
      <c r="AW1023" s="211"/>
      <c r="AX1023" s="211"/>
      <c r="AY1023" s="211"/>
      <c r="AZ1023" s="211"/>
      <c r="BA1023" s="211"/>
      <c r="BB1023" s="211"/>
      <c r="BC1023" s="211"/>
      <c r="BD1023" s="333"/>
      <c r="BE1023" s="82">
        <f t="shared" si="135"/>
        <v>0</v>
      </c>
    </row>
    <row r="1024" spans="2:57" hidden="1" x14ac:dyDescent="0.3">
      <c r="B1024" s="2">
        <f>+'Base de Datos'!E1024</f>
        <v>0</v>
      </c>
      <c r="C1024" s="2">
        <f>+'Base de Datos'!F1024</f>
        <v>0</v>
      </c>
      <c r="D1024" s="2">
        <f>+'Base de Datos'!G1024</f>
        <v>0</v>
      </c>
      <c r="E1024" s="2">
        <f>+'Base de Datos'!H1024</f>
        <v>0</v>
      </c>
      <c r="F1024" s="197">
        <f>+'Base de Datos'!I1024</f>
        <v>0</v>
      </c>
      <c r="G1024" s="196">
        <f>+'Base de Datos'!M1024</f>
        <v>0</v>
      </c>
      <c r="H1024" s="196">
        <f>+'Base de Datos'!N1024</f>
        <v>0</v>
      </c>
      <c r="I1024" s="196"/>
      <c r="J1024" s="158"/>
      <c r="K1024" s="333"/>
      <c r="L1024" s="211"/>
      <c r="M1024" s="336"/>
      <c r="N1024" s="158"/>
      <c r="O1024" s="333"/>
      <c r="P1024" s="158"/>
      <c r="Q1024" s="338"/>
      <c r="R1024" s="81">
        <f t="shared" si="136"/>
        <v>0</v>
      </c>
      <c r="S1024" s="258"/>
      <c r="T1024" s="333"/>
      <c r="U1024" s="158"/>
      <c r="V1024" s="333"/>
      <c r="W1024" s="158"/>
      <c r="X1024" s="333"/>
      <c r="Y1024" s="158"/>
      <c r="Z1024" s="1002"/>
      <c r="AA1024" s="1003"/>
      <c r="AB1024" s="1004" t="str">
        <f t="shared" si="137"/>
        <v/>
      </c>
      <c r="AC1024" s="1082" t="str">
        <f t="shared" si="138"/>
        <v/>
      </c>
      <c r="AD1024" s="1004"/>
      <c r="AE1024" s="1004"/>
      <c r="AF1024" s="1084" t="str">
        <f t="shared" si="139"/>
        <v/>
      </c>
      <c r="AG1024" s="1082" t="str">
        <f t="shared" si="140"/>
        <v/>
      </c>
      <c r="AH1024" s="1092"/>
      <c r="AI1024" s="1087"/>
      <c r="AJ1024" s="1084" t="str">
        <f t="shared" si="141"/>
        <v/>
      </c>
      <c r="AK1024" s="1083" t="str">
        <f t="shared" si="142"/>
        <v/>
      </c>
      <c r="AL1024" s="211"/>
      <c r="AM1024" s="211"/>
      <c r="AN1024" s="211"/>
      <c r="AO1024" s="211"/>
      <c r="AP1024" s="211"/>
      <c r="AQ1024" s="211"/>
      <c r="AR1024" s="211"/>
      <c r="AS1024" s="211"/>
      <c r="AT1024" s="211"/>
      <c r="AU1024" s="211"/>
      <c r="AV1024" s="211"/>
      <c r="AW1024" s="211"/>
      <c r="AX1024" s="211"/>
      <c r="AY1024" s="211"/>
      <c r="AZ1024" s="211"/>
      <c r="BA1024" s="211"/>
      <c r="BB1024" s="211"/>
      <c r="BC1024" s="211"/>
      <c r="BD1024" s="333"/>
      <c r="BE1024" s="82">
        <f t="shared" si="135"/>
        <v>0</v>
      </c>
    </row>
    <row r="1025" spans="2:57" hidden="1" x14ac:dyDescent="0.3">
      <c r="B1025" s="2">
        <f>+'Base de Datos'!E1025</f>
        <v>0</v>
      </c>
      <c r="C1025" s="2">
        <f>+'Base de Datos'!F1025</f>
        <v>0</v>
      </c>
      <c r="D1025" s="2">
        <f>+'Base de Datos'!G1025</f>
        <v>0</v>
      </c>
      <c r="E1025" s="2">
        <f>+'Base de Datos'!H1025</f>
        <v>0</v>
      </c>
      <c r="F1025" s="197">
        <f>+'Base de Datos'!I1025</f>
        <v>0</v>
      </c>
      <c r="G1025" s="196">
        <f>+'Base de Datos'!M1025</f>
        <v>0</v>
      </c>
      <c r="H1025" s="196">
        <f>+'Base de Datos'!N1025</f>
        <v>0</v>
      </c>
      <c r="I1025" s="196"/>
      <c r="J1025" s="158"/>
      <c r="K1025" s="333"/>
      <c r="L1025" s="211"/>
      <c r="M1025" s="336"/>
      <c r="N1025" s="158"/>
      <c r="O1025" s="333"/>
      <c r="P1025" s="158"/>
      <c r="Q1025" s="338"/>
      <c r="R1025" s="81">
        <f t="shared" si="136"/>
        <v>0</v>
      </c>
      <c r="S1025" s="258"/>
      <c r="T1025" s="333"/>
      <c r="U1025" s="158"/>
      <c r="V1025" s="333"/>
      <c r="W1025" s="158"/>
      <c r="X1025" s="333"/>
      <c r="Y1025" s="158"/>
      <c r="Z1025" s="1002"/>
      <c r="AA1025" s="1003"/>
      <c r="AB1025" s="1004" t="str">
        <f t="shared" si="137"/>
        <v/>
      </c>
      <c r="AC1025" s="1082" t="str">
        <f t="shared" si="138"/>
        <v/>
      </c>
      <c r="AD1025" s="1004"/>
      <c r="AE1025" s="1004"/>
      <c r="AF1025" s="1084" t="str">
        <f t="shared" si="139"/>
        <v/>
      </c>
      <c r="AG1025" s="1082" t="str">
        <f t="shared" si="140"/>
        <v/>
      </c>
      <c r="AH1025" s="1092"/>
      <c r="AI1025" s="1087"/>
      <c r="AJ1025" s="1084" t="str">
        <f t="shared" si="141"/>
        <v/>
      </c>
      <c r="AK1025" s="1083" t="str">
        <f t="shared" si="142"/>
        <v/>
      </c>
      <c r="AL1025" s="211"/>
      <c r="AM1025" s="211"/>
      <c r="AN1025" s="211"/>
      <c r="AO1025" s="211"/>
      <c r="AP1025" s="211"/>
      <c r="AQ1025" s="211"/>
      <c r="AR1025" s="211"/>
      <c r="AS1025" s="211"/>
      <c r="AT1025" s="211"/>
      <c r="AU1025" s="211"/>
      <c r="AV1025" s="211"/>
      <c r="AW1025" s="211"/>
      <c r="AX1025" s="211"/>
      <c r="AY1025" s="211"/>
      <c r="AZ1025" s="211"/>
      <c r="BA1025" s="211"/>
      <c r="BB1025" s="211"/>
      <c r="BC1025" s="211"/>
      <c r="BD1025" s="333"/>
      <c r="BE1025" s="82">
        <f t="shared" si="135"/>
        <v>0</v>
      </c>
    </row>
    <row r="1026" spans="2:57" hidden="1" x14ac:dyDescent="0.3">
      <c r="B1026" s="2">
        <f>+'Base de Datos'!E1026</f>
        <v>0</v>
      </c>
      <c r="C1026" s="2">
        <f>+'Base de Datos'!F1026</f>
        <v>0</v>
      </c>
      <c r="D1026" s="2">
        <f>+'Base de Datos'!G1026</f>
        <v>0</v>
      </c>
      <c r="E1026" s="2">
        <f>+'Base de Datos'!H1026</f>
        <v>0</v>
      </c>
      <c r="F1026" s="197">
        <f>+'Base de Datos'!I1026</f>
        <v>0</v>
      </c>
      <c r="G1026" s="196">
        <f>+'Base de Datos'!M1026</f>
        <v>0</v>
      </c>
      <c r="H1026" s="196">
        <f>+'Base de Datos'!N1026</f>
        <v>0</v>
      </c>
      <c r="I1026" s="196"/>
      <c r="J1026" s="158"/>
      <c r="K1026" s="333"/>
      <c r="L1026" s="211"/>
      <c r="M1026" s="336"/>
      <c r="N1026" s="158"/>
      <c r="O1026" s="333"/>
      <c r="P1026" s="158"/>
      <c r="Q1026" s="338"/>
      <c r="R1026" s="81">
        <f t="shared" si="136"/>
        <v>0</v>
      </c>
      <c r="S1026" s="258"/>
      <c r="T1026" s="333"/>
      <c r="U1026" s="158"/>
      <c r="V1026" s="333"/>
      <c r="W1026" s="158"/>
      <c r="X1026" s="333"/>
      <c r="Y1026" s="158"/>
      <c r="Z1026" s="1002"/>
      <c r="AA1026" s="1003"/>
      <c r="AB1026" s="1004" t="str">
        <f t="shared" si="137"/>
        <v/>
      </c>
      <c r="AC1026" s="1082" t="str">
        <f t="shared" si="138"/>
        <v/>
      </c>
      <c r="AD1026" s="1004"/>
      <c r="AE1026" s="1004"/>
      <c r="AF1026" s="1084" t="str">
        <f t="shared" si="139"/>
        <v/>
      </c>
      <c r="AG1026" s="1082" t="str">
        <f t="shared" si="140"/>
        <v/>
      </c>
      <c r="AH1026" s="1092"/>
      <c r="AI1026" s="1087"/>
      <c r="AJ1026" s="1084" t="str">
        <f t="shared" si="141"/>
        <v/>
      </c>
      <c r="AK1026" s="1083" t="str">
        <f t="shared" si="142"/>
        <v/>
      </c>
      <c r="AL1026" s="211"/>
      <c r="AM1026" s="211"/>
      <c r="AN1026" s="211"/>
      <c r="AO1026" s="211"/>
      <c r="AP1026" s="211"/>
      <c r="AQ1026" s="211"/>
      <c r="AR1026" s="211"/>
      <c r="AS1026" s="211"/>
      <c r="AT1026" s="211"/>
      <c r="AU1026" s="211"/>
      <c r="AV1026" s="211"/>
      <c r="AW1026" s="211"/>
      <c r="AX1026" s="211"/>
      <c r="AY1026" s="211"/>
      <c r="AZ1026" s="211"/>
      <c r="BA1026" s="211"/>
      <c r="BB1026" s="211"/>
      <c r="BC1026" s="211"/>
      <c r="BD1026" s="333"/>
      <c r="BE1026" s="82">
        <f t="shared" si="135"/>
        <v>0</v>
      </c>
    </row>
    <row r="1027" spans="2:57" hidden="1" x14ac:dyDescent="0.3">
      <c r="B1027" s="2">
        <f>+'Base de Datos'!E1027</f>
        <v>0</v>
      </c>
      <c r="C1027" s="2">
        <f>+'Base de Datos'!F1027</f>
        <v>0</v>
      </c>
      <c r="D1027" s="2">
        <f>+'Base de Datos'!G1027</f>
        <v>0</v>
      </c>
      <c r="E1027" s="2">
        <f>+'Base de Datos'!H1027</f>
        <v>0</v>
      </c>
      <c r="F1027" s="197">
        <f>+'Base de Datos'!I1027</f>
        <v>0</v>
      </c>
      <c r="G1027" s="196">
        <f>+'Base de Datos'!M1027</f>
        <v>0</v>
      </c>
      <c r="H1027" s="196">
        <f>+'Base de Datos'!N1027</f>
        <v>0</v>
      </c>
      <c r="I1027" s="196"/>
      <c r="J1027" s="158"/>
      <c r="K1027" s="333"/>
      <c r="L1027" s="211"/>
      <c r="M1027" s="336"/>
      <c r="N1027" s="158"/>
      <c r="O1027" s="333"/>
      <c r="P1027" s="158"/>
      <c r="Q1027" s="338"/>
      <c r="R1027" s="81">
        <f t="shared" si="136"/>
        <v>0</v>
      </c>
      <c r="S1027" s="258"/>
      <c r="T1027" s="333"/>
      <c r="U1027" s="158"/>
      <c r="V1027" s="333"/>
      <c r="W1027" s="158"/>
      <c r="X1027" s="333"/>
      <c r="Y1027" s="158"/>
      <c r="Z1027" s="1002"/>
      <c r="AA1027" s="1003"/>
      <c r="AB1027" s="1004" t="str">
        <f t="shared" si="137"/>
        <v/>
      </c>
      <c r="AC1027" s="1082" t="str">
        <f t="shared" si="138"/>
        <v/>
      </c>
      <c r="AD1027" s="1004"/>
      <c r="AE1027" s="1004"/>
      <c r="AF1027" s="1084" t="str">
        <f t="shared" si="139"/>
        <v/>
      </c>
      <c r="AG1027" s="1082" t="str">
        <f t="shared" si="140"/>
        <v/>
      </c>
      <c r="AH1027" s="1092"/>
      <c r="AI1027" s="1087"/>
      <c r="AJ1027" s="1084" t="str">
        <f t="shared" si="141"/>
        <v/>
      </c>
      <c r="AK1027" s="1083" t="str">
        <f t="shared" si="142"/>
        <v/>
      </c>
      <c r="AL1027" s="211"/>
      <c r="AM1027" s="211"/>
      <c r="AN1027" s="211"/>
      <c r="AO1027" s="211"/>
      <c r="AP1027" s="211"/>
      <c r="AQ1027" s="211"/>
      <c r="AR1027" s="211"/>
      <c r="AS1027" s="211"/>
      <c r="AT1027" s="211"/>
      <c r="AU1027" s="211"/>
      <c r="AV1027" s="211"/>
      <c r="AW1027" s="211"/>
      <c r="AX1027" s="211"/>
      <c r="AY1027" s="211"/>
      <c r="AZ1027" s="211"/>
      <c r="BA1027" s="211"/>
      <c r="BB1027" s="211"/>
      <c r="BC1027" s="211"/>
      <c r="BD1027" s="333"/>
      <c r="BE1027" s="82">
        <f t="shared" si="135"/>
        <v>0</v>
      </c>
    </row>
    <row r="1028" spans="2:57" hidden="1" x14ac:dyDescent="0.3">
      <c r="B1028" s="2">
        <f>+'Base de Datos'!E1028</f>
        <v>0</v>
      </c>
      <c r="C1028" s="2">
        <f>+'Base de Datos'!F1028</f>
        <v>0</v>
      </c>
      <c r="D1028" s="2">
        <f>+'Base de Datos'!G1028</f>
        <v>0</v>
      </c>
      <c r="E1028" s="2">
        <f>+'Base de Datos'!H1028</f>
        <v>0</v>
      </c>
      <c r="F1028" s="197">
        <f>+'Base de Datos'!I1028</f>
        <v>0</v>
      </c>
      <c r="G1028" s="196">
        <f>+'Base de Datos'!M1028</f>
        <v>0</v>
      </c>
      <c r="H1028" s="196">
        <f>+'Base de Datos'!N1028</f>
        <v>0</v>
      </c>
      <c r="I1028" s="196"/>
      <c r="J1028" s="158"/>
      <c r="K1028" s="333"/>
      <c r="L1028" s="211"/>
      <c r="M1028" s="336"/>
      <c r="N1028" s="158"/>
      <c r="O1028" s="333"/>
      <c r="P1028" s="158"/>
      <c r="Q1028" s="338"/>
      <c r="R1028" s="81">
        <f t="shared" si="136"/>
        <v>0</v>
      </c>
      <c r="S1028" s="258"/>
      <c r="T1028" s="333"/>
      <c r="U1028" s="158"/>
      <c r="V1028" s="333"/>
      <c r="W1028" s="158"/>
      <c r="X1028" s="333"/>
      <c r="Y1028" s="158"/>
      <c r="Z1028" s="1002"/>
      <c r="AA1028" s="1003"/>
      <c r="AB1028" s="1004" t="str">
        <f t="shared" si="137"/>
        <v/>
      </c>
      <c r="AC1028" s="1082" t="str">
        <f t="shared" si="138"/>
        <v/>
      </c>
      <c r="AD1028" s="1004"/>
      <c r="AE1028" s="1004"/>
      <c r="AF1028" s="1084" t="str">
        <f t="shared" si="139"/>
        <v/>
      </c>
      <c r="AG1028" s="1082" t="str">
        <f t="shared" si="140"/>
        <v/>
      </c>
      <c r="AH1028" s="1092"/>
      <c r="AI1028" s="1087"/>
      <c r="AJ1028" s="1084" t="str">
        <f t="shared" si="141"/>
        <v/>
      </c>
      <c r="AK1028" s="1083" t="str">
        <f t="shared" si="142"/>
        <v/>
      </c>
      <c r="AL1028" s="211"/>
      <c r="AM1028" s="211"/>
      <c r="AN1028" s="211"/>
      <c r="AO1028" s="211"/>
      <c r="AP1028" s="211"/>
      <c r="AQ1028" s="211"/>
      <c r="AR1028" s="211"/>
      <c r="AS1028" s="211"/>
      <c r="AT1028" s="211"/>
      <c r="AU1028" s="211"/>
      <c r="AV1028" s="211"/>
      <c r="AW1028" s="211"/>
      <c r="AX1028" s="211"/>
      <c r="AY1028" s="211"/>
      <c r="AZ1028" s="211"/>
      <c r="BA1028" s="211"/>
      <c r="BB1028" s="211"/>
      <c r="BC1028" s="211"/>
      <c r="BD1028" s="333"/>
      <c r="BE1028" s="82">
        <f t="shared" si="135"/>
        <v>0</v>
      </c>
    </row>
    <row r="1029" spans="2:57" hidden="1" x14ac:dyDescent="0.3">
      <c r="B1029" s="2">
        <f>+'Base de Datos'!E1029</f>
        <v>0</v>
      </c>
      <c r="C1029" s="2">
        <f>+'Base de Datos'!F1029</f>
        <v>0</v>
      </c>
      <c r="D1029" s="2">
        <f>+'Base de Datos'!G1029</f>
        <v>0</v>
      </c>
      <c r="E1029" s="2">
        <f>+'Base de Datos'!H1029</f>
        <v>0</v>
      </c>
      <c r="F1029" s="197">
        <f>+'Base de Datos'!I1029</f>
        <v>0</v>
      </c>
      <c r="G1029" s="196">
        <f>+'Base de Datos'!M1029</f>
        <v>0</v>
      </c>
      <c r="H1029" s="196">
        <f>+'Base de Datos'!N1029</f>
        <v>0</v>
      </c>
      <c r="I1029" s="196"/>
      <c r="J1029" s="158"/>
      <c r="K1029" s="333"/>
      <c r="L1029" s="211"/>
      <c r="M1029" s="336"/>
      <c r="N1029" s="158"/>
      <c r="O1029" s="333"/>
      <c r="P1029" s="158"/>
      <c r="Q1029" s="338"/>
      <c r="R1029" s="81">
        <f t="shared" si="136"/>
        <v>0</v>
      </c>
      <c r="S1029" s="258"/>
      <c r="T1029" s="333"/>
      <c r="U1029" s="158"/>
      <c r="V1029" s="333"/>
      <c r="W1029" s="158"/>
      <c r="X1029" s="333"/>
      <c r="Y1029" s="158"/>
      <c r="Z1029" s="1002"/>
      <c r="AA1029" s="1003"/>
      <c r="AB1029" s="1004" t="str">
        <f t="shared" si="137"/>
        <v/>
      </c>
      <c r="AC1029" s="1082" t="str">
        <f t="shared" si="138"/>
        <v/>
      </c>
      <c r="AD1029" s="1004"/>
      <c r="AE1029" s="1004"/>
      <c r="AF1029" s="1084" t="str">
        <f t="shared" si="139"/>
        <v/>
      </c>
      <c r="AG1029" s="1082" t="str">
        <f t="shared" si="140"/>
        <v/>
      </c>
      <c r="AH1029" s="1092"/>
      <c r="AI1029" s="1087"/>
      <c r="AJ1029" s="1084" t="str">
        <f t="shared" si="141"/>
        <v/>
      </c>
      <c r="AK1029" s="1083" t="str">
        <f t="shared" si="142"/>
        <v/>
      </c>
      <c r="AL1029" s="211"/>
      <c r="AM1029" s="211"/>
      <c r="AN1029" s="211"/>
      <c r="AO1029" s="211"/>
      <c r="AP1029" s="211"/>
      <c r="AQ1029" s="211"/>
      <c r="AR1029" s="211"/>
      <c r="AS1029" s="211"/>
      <c r="AT1029" s="211"/>
      <c r="AU1029" s="211"/>
      <c r="AV1029" s="211"/>
      <c r="AW1029" s="211"/>
      <c r="AX1029" s="211"/>
      <c r="AY1029" s="211"/>
      <c r="AZ1029" s="211"/>
      <c r="BA1029" s="211"/>
      <c r="BB1029" s="211"/>
      <c r="BC1029" s="211"/>
      <c r="BD1029" s="333"/>
      <c r="BE1029" s="82">
        <f t="shared" si="135"/>
        <v>0</v>
      </c>
    </row>
    <row r="1030" spans="2:57" hidden="1" x14ac:dyDescent="0.3">
      <c r="B1030" s="2">
        <f>+'Base de Datos'!E1030</f>
        <v>0</v>
      </c>
      <c r="C1030" s="2">
        <f>+'Base de Datos'!F1030</f>
        <v>0</v>
      </c>
      <c r="D1030" s="2">
        <f>+'Base de Datos'!G1030</f>
        <v>0</v>
      </c>
      <c r="E1030" s="2">
        <f>+'Base de Datos'!H1030</f>
        <v>0</v>
      </c>
      <c r="F1030" s="197">
        <f>+'Base de Datos'!I1030</f>
        <v>0</v>
      </c>
      <c r="G1030" s="196">
        <f>+'Base de Datos'!M1030</f>
        <v>0</v>
      </c>
      <c r="H1030" s="196">
        <f>+'Base de Datos'!N1030</f>
        <v>0</v>
      </c>
      <c r="I1030" s="196"/>
      <c r="J1030" s="158"/>
      <c r="K1030" s="333"/>
      <c r="L1030" s="211"/>
      <c r="M1030" s="336"/>
      <c r="N1030" s="158"/>
      <c r="O1030" s="333"/>
      <c r="P1030" s="158"/>
      <c r="Q1030" s="338"/>
      <c r="R1030" s="81">
        <f t="shared" si="136"/>
        <v>0</v>
      </c>
      <c r="S1030" s="258"/>
      <c r="T1030" s="333"/>
      <c r="U1030" s="158"/>
      <c r="V1030" s="333"/>
      <c r="W1030" s="158"/>
      <c r="X1030" s="333"/>
      <c r="Y1030" s="158"/>
      <c r="Z1030" s="1002"/>
      <c r="AA1030" s="1003"/>
      <c r="AB1030" s="1004" t="str">
        <f t="shared" si="137"/>
        <v/>
      </c>
      <c r="AC1030" s="1082" t="str">
        <f t="shared" si="138"/>
        <v/>
      </c>
      <c r="AD1030" s="1004"/>
      <c r="AE1030" s="1004"/>
      <c r="AF1030" s="1084" t="str">
        <f t="shared" si="139"/>
        <v/>
      </c>
      <c r="AG1030" s="1082" t="str">
        <f t="shared" si="140"/>
        <v/>
      </c>
      <c r="AH1030" s="1092"/>
      <c r="AI1030" s="1087"/>
      <c r="AJ1030" s="1084" t="str">
        <f t="shared" si="141"/>
        <v/>
      </c>
      <c r="AK1030" s="1083" t="str">
        <f t="shared" si="142"/>
        <v/>
      </c>
      <c r="AL1030" s="211"/>
      <c r="AM1030" s="211"/>
      <c r="AN1030" s="211"/>
      <c r="AO1030" s="211"/>
      <c r="AP1030" s="211"/>
      <c r="AQ1030" s="211"/>
      <c r="AR1030" s="211"/>
      <c r="AS1030" s="211"/>
      <c r="AT1030" s="211"/>
      <c r="AU1030" s="211"/>
      <c r="AV1030" s="211"/>
      <c r="AW1030" s="211"/>
      <c r="AX1030" s="211"/>
      <c r="AY1030" s="211"/>
      <c r="AZ1030" s="211"/>
      <c r="BA1030" s="211"/>
      <c r="BB1030" s="211"/>
      <c r="BC1030" s="211"/>
      <c r="BD1030" s="333"/>
      <c r="BE1030" s="82">
        <f t="shared" si="135"/>
        <v>0</v>
      </c>
    </row>
    <row r="1031" spans="2:57" hidden="1" x14ac:dyDescent="0.3">
      <c r="B1031" s="2">
        <f>+'Base de Datos'!E1031</f>
        <v>0</v>
      </c>
      <c r="C1031" s="2">
        <f>+'Base de Datos'!F1031</f>
        <v>0</v>
      </c>
      <c r="D1031" s="2">
        <f>+'Base de Datos'!G1031</f>
        <v>0</v>
      </c>
      <c r="E1031" s="2">
        <f>+'Base de Datos'!H1031</f>
        <v>0</v>
      </c>
      <c r="F1031" s="197">
        <f>+'Base de Datos'!I1031</f>
        <v>0</v>
      </c>
      <c r="G1031" s="196">
        <f>+'Base de Datos'!M1031</f>
        <v>0</v>
      </c>
      <c r="H1031" s="196">
        <f>+'Base de Datos'!N1031</f>
        <v>0</v>
      </c>
      <c r="I1031" s="196"/>
      <c r="J1031" s="158"/>
      <c r="K1031" s="333"/>
      <c r="L1031" s="211"/>
      <c r="M1031" s="336"/>
      <c r="N1031" s="158"/>
      <c r="O1031" s="333"/>
      <c r="P1031" s="158"/>
      <c r="Q1031" s="338"/>
      <c r="R1031" s="81">
        <f t="shared" si="136"/>
        <v>0</v>
      </c>
      <c r="S1031" s="258"/>
      <c r="T1031" s="333"/>
      <c r="U1031" s="158"/>
      <c r="V1031" s="333"/>
      <c r="W1031" s="158"/>
      <c r="X1031" s="333"/>
      <c r="Y1031" s="158"/>
      <c r="Z1031" s="1002"/>
      <c r="AA1031" s="1003"/>
      <c r="AB1031" s="1004" t="str">
        <f t="shared" si="137"/>
        <v/>
      </c>
      <c r="AC1031" s="1082" t="str">
        <f t="shared" si="138"/>
        <v/>
      </c>
      <c r="AD1031" s="1004"/>
      <c r="AE1031" s="1004"/>
      <c r="AF1031" s="1084" t="str">
        <f t="shared" si="139"/>
        <v/>
      </c>
      <c r="AG1031" s="1082" t="str">
        <f t="shared" si="140"/>
        <v/>
      </c>
      <c r="AH1031" s="1092"/>
      <c r="AI1031" s="1087"/>
      <c r="AJ1031" s="1084" t="str">
        <f t="shared" si="141"/>
        <v/>
      </c>
      <c r="AK1031" s="1083" t="str">
        <f t="shared" si="142"/>
        <v/>
      </c>
      <c r="AL1031" s="211"/>
      <c r="AM1031" s="211"/>
      <c r="AN1031" s="211"/>
      <c r="AO1031" s="211"/>
      <c r="AP1031" s="211"/>
      <c r="AQ1031" s="211"/>
      <c r="AR1031" s="211"/>
      <c r="AS1031" s="211"/>
      <c r="AT1031" s="211"/>
      <c r="AU1031" s="211"/>
      <c r="AV1031" s="211"/>
      <c r="AW1031" s="211"/>
      <c r="AX1031" s="211"/>
      <c r="AY1031" s="211"/>
      <c r="AZ1031" s="211"/>
      <c r="BA1031" s="211"/>
      <c r="BB1031" s="211"/>
      <c r="BC1031" s="211"/>
      <c r="BD1031" s="333"/>
      <c r="BE1031" s="82">
        <f t="shared" si="135"/>
        <v>0</v>
      </c>
    </row>
    <row r="1032" spans="2:57" hidden="1" x14ac:dyDescent="0.3">
      <c r="B1032" s="2">
        <f>+'Base de Datos'!E1032</f>
        <v>0</v>
      </c>
      <c r="C1032" s="2">
        <f>+'Base de Datos'!F1032</f>
        <v>0</v>
      </c>
      <c r="D1032" s="2">
        <f>+'Base de Datos'!G1032</f>
        <v>0</v>
      </c>
      <c r="E1032" s="2">
        <f>+'Base de Datos'!H1032</f>
        <v>0</v>
      </c>
      <c r="F1032" s="197">
        <f>+'Base de Datos'!I1032</f>
        <v>0</v>
      </c>
      <c r="G1032" s="196">
        <f>+'Base de Datos'!M1032</f>
        <v>0</v>
      </c>
      <c r="H1032" s="196">
        <f>+'Base de Datos'!N1032</f>
        <v>0</v>
      </c>
      <c r="I1032" s="196"/>
      <c r="J1032" s="158"/>
      <c r="K1032" s="333"/>
      <c r="L1032" s="211"/>
      <c r="M1032" s="336"/>
      <c r="N1032" s="158"/>
      <c r="O1032" s="333"/>
      <c r="P1032" s="158"/>
      <c r="Q1032" s="338"/>
      <c r="R1032" s="81">
        <f t="shared" si="136"/>
        <v>0</v>
      </c>
      <c r="S1032" s="258"/>
      <c r="T1032" s="333"/>
      <c r="U1032" s="158"/>
      <c r="V1032" s="333"/>
      <c r="W1032" s="158"/>
      <c r="X1032" s="333"/>
      <c r="Y1032" s="158"/>
      <c r="Z1032" s="1002"/>
      <c r="AA1032" s="1003"/>
      <c r="AB1032" s="1004" t="str">
        <f t="shared" si="137"/>
        <v/>
      </c>
      <c r="AC1032" s="1082" t="str">
        <f t="shared" si="138"/>
        <v/>
      </c>
      <c r="AD1032" s="1004"/>
      <c r="AE1032" s="1004"/>
      <c r="AF1032" s="1084" t="str">
        <f t="shared" si="139"/>
        <v/>
      </c>
      <c r="AG1032" s="1082" t="str">
        <f t="shared" si="140"/>
        <v/>
      </c>
      <c r="AH1032" s="1092"/>
      <c r="AI1032" s="1087"/>
      <c r="AJ1032" s="1084" t="str">
        <f t="shared" si="141"/>
        <v/>
      </c>
      <c r="AK1032" s="1083" t="str">
        <f t="shared" si="142"/>
        <v/>
      </c>
      <c r="AL1032" s="211"/>
      <c r="AM1032" s="211"/>
      <c r="AN1032" s="211"/>
      <c r="AO1032" s="211"/>
      <c r="AP1032" s="211"/>
      <c r="AQ1032" s="211"/>
      <c r="AR1032" s="211"/>
      <c r="AS1032" s="211"/>
      <c r="AT1032" s="211"/>
      <c r="AU1032" s="211"/>
      <c r="AV1032" s="211"/>
      <c r="AW1032" s="211"/>
      <c r="AX1032" s="211"/>
      <c r="AY1032" s="211"/>
      <c r="AZ1032" s="211"/>
      <c r="BA1032" s="211"/>
      <c r="BB1032" s="211"/>
      <c r="BC1032" s="211"/>
      <c r="BD1032" s="333"/>
      <c r="BE1032" s="82">
        <f t="shared" si="135"/>
        <v>0</v>
      </c>
    </row>
    <row r="1033" spans="2:57" hidden="1" x14ac:dyDescent="0.3">
      <c r="B1033" s="2">
        <f>+'Base de Datos'!E1033</f>
        <v>0</v>
      </c>
      <c r="C1033" s="2">
        <f>+'Base de Datos'!F1033</f>
        <v>0</v>
      </c>
      <c r="D1033" s="2">
        <f>+'Base de Datos'!G1033</f>
        <v>0</v>
      </c>
      <c r="E1033" s="2">
        <f>+'Base de Datos'!H1033</f>
        <v>0</v>
      </c>
      <c r="F1033" s="197">
        <f>+'Base de Datos'!I1033</f>
        <v>0</v>
      </c>
      <c r="G1033" s="196">
        <f>+'Base de Datos'!M1033</f>
        <v>0</v>
      </c>
      <c r="H1033" s="196">
        <f>+'Base de Datos'!N1033</f>
        <v>0</v>
      </c>
      <c r="I1033" s="196"/>
      <c r="J1033" s="158"/>
      <c r="K1033" s="333"/>
      <c r="L1033" s="211"/>
      <c r="M1033" s="336"/>
      <c r="N1033" s="158"/>
      <c r="O1033" s="333"/>
      <c r="P1033" s="158"/>
      <c r="Q1033" s="338"/>
      <c r="R1033" s="81">
        <f t="shared" si="136"/>
        <v>0</v>
      </c>
      <c r="S1033" s="258"/>
      <c r="T1033" s="333"/>
      <c r="U1033" s="158"/>
      <c r="V1033" s="333"/>
      <c r="W1033" s="158"/>
      <c r="X1033" s="333"/>
      <c r="Y1033" s="158"/>
      <c r="Z1033" s="1002"/>
      <c r="AA1033" s="1003"/>
      <c r="AB1033" s="1004" t="str">
        <f t="shared" si="137"/>
        <v/>
      </c>
      <c r="AC1033" s="1082" t="str">
        <f t="shared" si="138"/>
        <v/>
      </c>
      <c r="AD1033" s="1004"/>
      <c r="AE1033" s="1004"/>
      <c r="AF1033" s="1084" t="str">
        <f t="shared" si="139"/>
        <v/>
      </c>
      <c r="AG1033" s="1082" t="str">
        <f t="shared" si="140"/>
        <v/>
      </c>
      <c r="AH1033" s="1092"/>
      <c r="AI1033" s="1087"/>
      <c r="AJ1033" s="1084" t="str">
        <f t="shared" si="141"/>
        <v/>
      </c>
      <c r="AK1033" s="1083" t="str">
        <f t="shared" si="142"/>
        <v/>
      </c>
      <c r="AL1033" s="211"/>
      <c r="AM1033" s="211"/>
      <c r="AN1033" s="211"/>
      <c r="AO1033" s="211"/>
      <c r="AP1033" s="211"/>
      <c r="AQ1033" s="211"/>
      <c r="AR1033" s="211"/>
      <c r="AS1033" s="211"/>
      <c r="AT1033" s="211"/>
      <c r="AU1033" s="211"/>
      <c r="AV1033" s="211"/>
      <c r="AW1033" s="211"/>
      <c r="AX1033" s="211"/>
      <c r="AY1033" s="211"/>
      <c r="AZ1033" s="211"/>
      <c r="BA1033" s="211"/>
      <c r="BB1033" s="211"/>
      <c r="BC1033" s="211"/>
      <c r="BD1033" s="333"/>
      <c r="BE1033" s="82">
        <f t="shared" si="135"/>
        <v>0</v>
      </c>
    </row>
    <row r="1034" spans="2:57" hidden="1" x14ac:dyDescent="0.3">
      <c r="B1034" s="2">
        <f>+'Base de Datos'!E1034</f>
        <v>0</v>
      </c>
      <c r="C1034" s="2">
        <f>+'Base de Datos'!F1034</f>
        <v>0</v>
      </c>
      <c r="D1034" s="2">
        <f>+'Base de Datos'!G1034</f>
        <v>0</v>
      </c>
      <c r="E1034" s="2">
        <f>+'Base de Datos'!H1034</f>
        <v>0</v>
      </c>
      <c r="F1034" s="197">
        <f>+'Base de Datos'!I1034</f>
        <v>0</v>
      </c>
      <c r="G1034" s="196">
        <f>+'Base de Datos'!M1034</f>
        <v>0</v>
      </c>
      <c r="H1034" s="196">
        <f>+'Base de Datos'!N1034</f>
        <v>0</v>
      </c>
      <c r="I1034" s="196"/>
      <c r="J1034" s="158"/>
      <c r="K1034" s="333"/>
      <c r="L1034" s="211"/>
      <c r="M1034" s="336"/>
      <c r="N1034" s="158"/>
      <c r="O1034" s="333"/>
      <c r="P1034" s="158"/>
      <c r="Q1034" s="338"/>
      <c r="R1034" s="81">
        <f t="shared" si="136"/>
        <v>0</v>
      </c>
      <c r="S1034" s="258"/>
      <c r="T1034" s="333"/>
      <c r="U1034" s="158"/>
      <c r="V1034" s="333"/>
      <c r="W1034" s="158"/>
      <c r="X1034" s="333"/>
      <c r="Y1034" s="158"/>
      <c r="Z1034" s="1002"/>
      <c r="AA1034" s="1003"/>
      <c r="AB1034" s="1004" t="str">
        <f t="shared" si="137"/>
        <v/>
      </c>
      <c r="AC1034" s="1082" t="str">
        <f t="shared" si="138"/>
        <v/>
      </c>
      <c r="AD1034" s="1004"/>
      <c r="AE1034" s="1004"/>
      <c r="AF1034" s="1084" t="str">
        <f t="shared" si="139"/>
        <v/>
      </c>
      <c r="AG1034" s="1082" t="str">
        <f t="shared" si="140"/>
        <v/>
      </c>
      <c r="AH1034" s="1092"/>
      <c r="AI1034" s="1087"/>
      <c r="AJ1034" s="1084" t="str">
        <f t="shared" si="141"/>
        <v/>
      </c>
      <c r="AK1034" s="1083" t="str">
        <f t="shared" si="142"/>
        <v/>
      </c>
      <c r="AL1034" s="211"/>
      <c r="AM1034" s="211"/>
      <c r="AN1034" s="211"/>
      <c r="AO1034" s="211"/>
      <c r="AP1034" s="211"/>
      <c r="AQ1034" s="211"/>
      <c r="AR1034" s="211"/>
      <c r="AS1034" s="211"/>
      <c r="AT1034" s="211"/>
      <c r="AU1034" s="211"/>
      <c r="AV1034" s="211"/>
      <c r="AW1034" s="211"/>
      <c r="AX1034" s="211"/>
      <c r="AY1034" s="211"/>
      <c r="AZ1034" s="211"/>
      <c r="BA1034" s="211"/>
      <c r="BB1034" s="211"/>
      <c r="BC1034" s="211"/>
      <c r="BD1034" s="333"/>
      <c r="BE1034" s="82">
        <f t="shared" ref="BE1034:BE1071" si="143">SUM(AL1034:BC1034)</f>
        <v>0</v>
      </c>
    </row>
    <row r="1035" spans="2:57" hidden="1" x14ac:dyDescent="0.3">
      <c r="B1035" s="2">
        <f>+'Base de Datos'!E1035</f>
        <v>0</v>
      </c>
      <c r="C1035" s="2">
        <f>+'Base de Datos'!F1035</f>
        <v>0</v>
      </c>
      <c r="D1035" s="2">
        <f>+'Base de Datos'!G1035</f>
        <v>0</v>
      </c>
      <c r="E1035" s="2">
        <f>+'Base de Datos'!H1035</f>
        <v>0</v>
      </c>
      <c r="F1035" s="197">
        <f>+'Base de Datos'!I1035</f>
        <v>0</v>
      </c>
      <c r="G1035" s="196">
        <f>+'Base de Datos'!M1035</f>
        <v>0</v>
      </c>
      <c r="H1035" s="196">
        <f>+'Base de Datos'!N1035</f>
        <v>0</v>
      </c>
      <c r="I1035" s="196"/>
      <c r="J1035" s="158"/>
      <c r="K1035" s="333"/>
      <c r="L1035" s="211"/>
      <c r="M1035" s="336"/>
      <c r="N1035" s="158"/>
      <c r="O1035" s="333"/>
      <c r="P1035" s="158"/>
      <c r="Q1035" s="338"/>
      <c r="R1035" s="81">
        <f t="shared" si="136"/>
        <v>0</v>
      </c>
      <c r="S1035" s="258"/>
      <c r="T1035" s="333"/>
      <c r="U1035" s="158"/>
      <c r="V1035" s="333"/>
      <c r="W1035" s="158"/>
      <c r="X1035" s="333"/>
      <c r="Y1035" s="158"/>
      <c r="Z1035" s="1002"/>
      <c r="AA1035" s="1003"/>
      <c r="AB1035" s="1004" t="str">
        <f t="shared" si="137"/>
        <v/>
      </c>
      <c r="AC1035" s="1082" t="str">
        <f t="shared" si="138"/>
        <v/>
      </c>
      <c r="AD1035" s="1004"/>
      <c r="AE1035" s="1004"/>
      <c r="AF1035" s="1084" t="str">
        <f t="shared" si="139"/>
        <v/>
      </c>
      <c r="AG1035" s="1082" t="str">
        <f t="shared" si="140"/>
        <v/>
      </c>
      <c r="AH1035" s="1092"/>
      <c r="AI1035" s="1087"/>
      <c r="AJ1035" s="1084" t="str">
        <f t="shared" si="141"/>
        <v/>
      </c>
      <c r="AK1035" s="1083" t="str">
        <f t="shared" si="142"/>
        <v/>
      </c>
      <c r="AL1035" s="211"/>
      <c r="AM1035" s="211"/>
      <c r="AN1035" s="211"/>
      <c r="AO1035" s="211"/>
      <c r="AP1035" s="211"/>
      <c r="AQ1035" s="211"/>
      <c r="AR1035" s="211"/>
      <c r="AS1035" s="211"/>
      <c r="AT1035" s="211"/>
      <c r="AU1035" s="211"/>
      <c r="AV1035" s="211"/>
      <c r="AW1035" s="211"/>
      <c r="AX1035" s="211"/>
      <c r="AY1035" s="211"/>
      <c r="AZ1035" s="211"/>
      <c r="BA1035" s="211"/>
      <c r="BB1035" s="211"/>
      <c r="BC1035" s="211"/>
      <c r="BD1035" s="333"/>
      <c r="BE1035" s="82">
        <f t="shared" si="143"/>
        <v>0</v>
      </c>
    </row>
    <row r="1036" spans="2:57" hidden="1" x14ac:dyDescent="0.3">
      <c r="B1036" s="2">
        <f>+'Base de Datos'!E1036</f>
        <v>0</v>
      </c>
      <c r="C1036" s="2">
        <f>+'Base de Datos'!F1036</f>
        <v>0</v>
      </c>
      <c r="D1036" s="2">
        <f>+'Base de Datos'!G1036</f>
        <v>0</v>
      </c>
      <c r="E1036" s="2">
        <f>+'Base de Datos'!H1036</f>
        <v>0</v>
      </c>
      <c r="F1036" s="197">
        <f>+'Base de Datos'!I1036</f>
        <v>0</v>
      </c>
      <c r="G1036" s="196">
        <f>+'Base de Datos'!M1036</f>
        <v>0</v>
      </c>
      <c r="H1036" s="196">
        <f>+'Base de Datos'!N1036</f>
        <v>0</v>
      </c>
      <c r="I1036" s="196"/>
      <c r="J1036" s="158"/>
      <c r="K1036" s="333"/>
      <c r="L1036" s="211"/>
      <c r="M1036" s="336"/>
      <c r="N1036" s="158"/>
      <c r="O1036" s="333"/>
      <c r="P1036" s="158"/>
      <c r="Q1036" s="338"/>
      <c r="R1036" s="81">
        <f t="shared" si="136"/>
        <v>0</v>
      </c>
      <c r="S1036" s="258"/>
      <c r="T1036" s="333"/>
      <c r="U1036" s="158"/>
      <c r="V1036" s="333"/>
      <c r="W1036" s="158"/>
      <c r="X1036" s="333"/>
      <c r="Y1036" s="158"/>
      <c r="Z1036" s="1002"/>
      <c r="AA1036" s="1003"/>
      <c r="AB1036" s="1004" t="str">
        <f t="shared" si="137"/>
        <v/>
      </c>
      <c r="AC1036" s="1082" t="str">
        <f t="shared" si="138"/>
        <v/>
      </c>
      <c r="AD1036" s="1004"/>
      <c r="AE1036" s="1004"/>
      <c r="AF1036" s="1084" t="str">
        <f t="shared" si="139"/>
        <v/>
      </c>
      <c r="AG1036" s="1082" t="str">
        <f t="shared" si="140"/>
        <v/>
      </c>
      <c r="AH1036" s="1092"/>
      <c r="AI1036" s="1087"/>
      <c r="AJ1036" s="1084" t="str">
        <f t="shared" si="141"/>
        <v/>
      </c>
      <c r="AK1036" s="1083" t="str">
        <f t="shared" si="142"/>
        <v/>
      </c>
      <c r="AL1036" s="211"/>
      <c r="AM1036" s="211"/>
      <c r="AN1036" s="211"/>
      <c r="AO1036" s="211"/>
      <c r="AP1036" s="211"/>
      <c r="AQ1036" s="211"/>
      <c r="AR1036" s="211"/>
      <c r="AS1036" s="211"/>
      <c r="AT1036" s="211"/>
      <c r="AU1036" s="211"/>
      <c r="AV1036" s="211"/>
      <c r="AW1036" s="211"/>
      <c r="AX1036" s="211"/>
      <c r="AY1036" s="211"/>
      <c r="AZ1036" s="211"/>
      <c r="BA1036" s="211"/>
      <c r="BB1036" s="211"/>
      <c r="BC1036" s="211"/>
      <c r="BD1036" s="333"/>
      <c r="BE1036" s="82">
        <f t="shared" si="143"/>
        <v>0</v>
      </c>
    </row>
    <row r="1037" spans="2:57" hidden="1" x14ac:dyDescent="0.3">
      <c r="B1037" s="2">
        <f>+'Base de Datos'!E1037</f>
        <v>0</v>
      </c>
      <c r="C1037" s="2">
        <f>+'Base de Datos'!F1037</f>
        <v>0</v>
      </c>
      <c r="D1037" s="2">
        <f>+'Base de Datos'!G1037</f>
        <v>0</v>
      </c>
      <c r="E1037" s="2">
        <f>+'Base de Datos'!H1037</f>
        <v>0</v>
      </c>
      <c r="F1037" s="197">
        <f>+'Base de Datos'!I1037</f>
        <v>0</v>
      </c>
      <c r="G1037" s="196">
        <f>+'Base de Datos'!M1037</f>
        <v>0</v>
      </c>
      <c r="H1037" s="196">
        <f>+'Base de Datos'!N1037</f>
        <v>0</v>
      </c>
      <c r="I1037" s="196"/>
      <c r="J1037" s="158"/>
      <c r="K1037" s="333"/>
      <c r="L1037" s="211"/>
      <c r="M1037" s="336"/>
      <c r="N1037" s="158"/>
      <c r="O1037" s="333"/>
      <c r="P1037" s="158"/>
      <c r="Q1037" s="338"/>
      <c r="R1037" s="81">
        <f t="shared" si="136"/>
        <v>0</v>
      </c>
      <c r="S1037" s="258"/>
      <c r="T1037" s="333"/>
      <c r="U1037" s="158"/>
      <c r="V1037" s="333"/>
      <c r="W1037" s="158"/>
      <c r="X1037" s="333"/>
      <c r="Y1037" s="158"/>
      <c r="Z1037" s="1002"/>
      <c r="AA1037" s="1003"/>
      <c r="AB1037" s="1004" t="str">
        <f t="shared" si="137"/>
        <v/>
      </c>
      <c r="AC1037" s="1082" t="str">
        <f t="shared" si="138"/>
        <v/>
      </c>
      <c r="AD1037" s="1004"/>
      <c r="AE1037" s="1004"/>
      <c r="AF1037" s="1084" t="str">
        <f t="shared" si="139"/>
        <v/>
      </c>
      <c r="AG1037" s="1082" t="str">
        <f t="shared" si="140"/>
        <v/>
      </c>
      <c r="AH1037" s="1092"/>
      <c r="AI1037" s="1087"/>
      <c r="AJ1037" s="1084" t="str">
        <f t="shared" si="141"/>
        <v/>
      </c>
      <c r="AK1037" s="1083" t="str">
        <f t="shared" si="142"/>
        <v/>
      </c>
      <c r="AL1037" s="211"/>
      <c r="AM1037" s="211"/>
      <c r="AN1037" s="211"/>
      <c r="AO1037" s="211"/>
      <c r="AP1037" s="211"/>
      <c r="AQ1037" s="211"/>
      <c r="AR1037" s="211"/>
      <c r="AS1037" s="211"/>
      <c r="AT1037" s="211"/>
      <c r="AU1037" s="211"/>
      <c r="AV1037" s="211"/>
      <c r="AW1037" s="211"/>
      <c r="AX1037" s="211"/>
      <c r="AY1037" s="211"/>
      <c r="AZ1037" s="211"/>
      <c r="BA1037" s="211"/>
      <c r="BB1037" s="211"/>
      <c r="BC1037" s="211"/>
      <c r="BD1037" s="333"/>
      <c r="BE1037" s="82">
        <f t="shared" si="143"/>
        <v>0</v>
      </c>
    </row>
    <row r="1038" spans="2:57" hidden="1" x14ac:dyDescent="0.3">
      <c r="B1038" s="2">
        <f>+'Base de Datos'!E1038</f>
        <v>0</v>
      </c>
      <c r="C1038" s="2">
        <f>+'Base de Datos'!F1038</f>
        <v>0</v>
      </c>
      <c r="D1038" s="2">
        <f>+'Base de Datos'!G1038</f>
        <v>0</v>
      </c>
      <c r="E1038" s="2">
        <f>+'Base de Datos'!H1038</f>
        <v>0</v>
      </c>
      <c r="F1038" s="197">
        <f>+'Base de Datos'!I1038</f>
        <v>0</v>
      </c>
      <c r="G1038" s="196">
        <f>+'Base de Datos'!M1038</f>
        <v>0</v>
      </c>
      <c r="H1038" s="196">
        <f>+'Base de Datos'!N1038</f>
        <v>0</v>
      </c>
      <c r="I1038" s="196"/>
      <c r="J1038" s="158"/>
      <c r="K1038" s="333"/>
      <c r="L1038" s="211"/>
      <c r="M1038" s="336"/>
      <c r="N1038" s="158"/>
      <c r="O1038" s="333"/>
      <c r="P1038" s="158"/>
      <c r="Q1038" s="338"/>
      <c r="R1038" s="81">
        <f t="shared" si="136"/>
        <v>0</v>
      </c>
      <c r="S1038" s="258"/>
      <c r="T1038" s="333"/>
      <c r="U1038" s="158"/>
      <c r="V1038" s="333"/>
      <c r="W1038" s="158"/>
      <c r="X1038" s="333"/>
      <c r="Y1038" s="158"/>
      <c r="Z1038" s="1002"/>
      <c r="AA1038" s="1003"/>
      <c r="AB1038" s="1004" t="str">
        <f t="shared" si="137"/>
        <v/>
      </c>
      <c r="AC1038" s="1082" t="str">
        <f t="shared" si="138"/>
        <v/>
      </c>
      <c r="AD1038" s="1004"/>
      <c r="AE1038" s="1004"/>
      <c r="AF1038" s="1084" t="str">
        <f t="shared" si="139"/>
        <v/>
      </c>
      <c r="AG1038" s="1082" t="str">
        <f t="shared" si="140"/>
        <v/>
      </c>
      <c r="AH1038" s="1092"/>
      <c r="AI1038" s="1087"/>
      <c r="AJ1038" s="1084" t="str">
        <f t="shared" si="141"/>
        <v/>
      </c>
      <c r="AK1038" s="1083" t="str">
        <f t="shared" si="142"/>
        <v/>
      </c>
      <c r="AL1038" s="211"/>
      <c r="AM1038" s="211"/>
      <c r="AN1038" s="211"/>
      <c r="AO1038" s="211"/>
      <c r="AP1038" s="211"/>
      <c r="AQ1038" s="211"/>
      <c r="AR1038" s="211"/>
      <c r="AS1038" s="211"/>
      <c r="AT1038" s="211"/>
      <c r="AU1038" s="211"/>
      <c r="AV1038" s="211"/>
      <c r="AW1038" s="211"/>
      <c r="AX1038" s="211"/>
      <c r="AY1038" s="211"/>
      <c r="AZ1038" s="211"/>
      <c r="BA1038" s="211"/>
      <c r="BB1038" s="211"/>
      <c r="BC1038" s="211"/>
      <c r="BD1038" s="333"/>
      <c r="BE1038" s="82">
        <f t="shared" si="143"/>
        <v>0</v>
      </c>
    </row>
    <row r="1039" spans="2:57" hidden="1" x14ac:dyDescent="0.3">
      <c r="B1039" s="2">
        <f>+'Base de Datos'!E1039</f>
        <v>0</v>
      </c>
      <c r="C1039" s="2">
        <f>+'Base de Datos'!F1039</f>
        <v>0</v>
      </c>
      <c r="D1039" s="2">
        <f>+'Base de Datos'!G1039</f>
        <v>0</v>
      </c>
      <c r="E1039" s="2">
        <f>+'Base de Datos'!H1039</f>
        <v>0</v>
      </c>
      <c r="F1039" s="197">
        <f>+'Base de Datos'!I1039</f>
        <v>0</v>
      </c>
      <c r="G1039" s="196">
        <f>+'Base de Datos'!M1039</f>
        <v>0</v>
      </c>
      <c r="H1039" s="196">
        <f>+'Base de Datos'!N1039</f>
        <v>0</v>
      </c>
      <c r="I1039" s="196"/>
      <c r="J1039" s="158"/>
      <c r="K1039" s="333"/>
      <c r="L1039" s="211"/>
      <c r="M1039" s="336"/>
      <c r="N1039" s="158"/>
      <c r="O1039" s="333"/>
      <c r="P1039" s="158"/>
      <c r="Q1039" s="338"/>
      <c r="R1039" s="81">
        <f t="shared" si="136"/>
        <v>0</v>
      </c>
      <c r="S1039" s="258"/>
      <c r="T1039" s="333"/>
      <c r="U1039" s="158"/>
      <c r="V1039" s="333"/>
      <c r="W1039" s="158"/>
      <c r="X1039" s="333"/>
      <c r="Y1039" s="158"/>
      <c r="Z1039" s="1002"/>
      <c r="AA1039" s="1003"/>
      <c r="AB1039" s="1004" t="str">
        <f t="shared" si="137"/>
        <v/>
      </c>
      <c r="AC1039" s="1082" t="str">
        <f t="shared" si="138"/>
        <v/>
      </c>
      <c r="AD1039" s="1004"/>
      <c r="AE1039" s="1004"/>
      <c r="AF1039" s="1084" t="str">
        <f t="shared" si="139"/>
        <v/>
      </c>
      <c r="AG1039" s="1082" t="str">
        <f t="shared" si="140"/>
        <v/>
      </c>
      <c r="AH1039" s="1092"/>
      <c r="AI1039" s="1087"/>
      <c r="AJ1039" s="1084" t="str">
        <f t="shared" si="141"/>
        <v/>
      </c>
      <c r="AK1039" s="1083" t="str">
        <f t="shared" si="142"/>
        <v/>
      </c>
      <c r="AL1039" s="211"/>
      <c r="AM1039" s="211"/>
      <c r="AN1039" s="211"/>
      <c r="AO1039" s="211"/>
      <c r="AP1039" s="211"/>
      <c r="AQ1039" s="211"/>
      <c r="AR1039" s="211"/>
      <c r="AS1039" s="211"/>
      <c r="AT1039" s="211"/>
      <c r="AU1039" s="211"/>
      <c r="AV1039" s="211"/>
      <c r="AW1039" s="211"/>
      <c r="AX1039" s="211"/>
      <c r="AY1039" s="211"/>
      <c r="AZ1039" s="211"/>
      <c r="BA1039" s="211"/>
      <c r="BB1039" s="211"/>
      <c r="BC1039" s="211"/>
      <c r="BD1039" s="333"/>
      <c r="BE1039" s="82">
        <f t="shared" si="143"/>
        <v>0</v>
      </c>
    </row>
    <row r="1040" spans="2:57" hidden="1" x14ac:dyDescent="0.3">
      <c r="B1040" s="2">
        <f>+'Base de Datos'!E1040</f>
        <v>0</v>
      </c>
      <c r="C1040" s="2">
        <f>+'Base de Datos'!F1040</f>
        <v>0</v>
      </c>
      <c r="D1040" s="2">
        <f>+'Base de Datos'!G1040</f>
        <v>0</v>
      </c>
      <c r="E1040" s="2">
        <f>+'Base de Datos'!H1040</f>
        <v>0</v>
      </c>
      <c r="F1040" s="197">
        <f>+'Base de Datos'!I1040</f>
        <v>0</v>
      </c>
      <c r="G1040" s="196">
        <f>+'Base de Datos'!M1040</f>
        <v>0</v>
      </c>
      <c r="H1040" s="196">
        <f>+'Base de Datos'!N1040</f>
        <v>0</v>
      </c>
      <c r="I1040" s="196"/>
      <c r="J1040" s="158"/>
      <c r="K1040" s="333"/>
      <c r="L1040" s="211"/>
      <c r="M1040" s="336"/>
      <c r="N1040" s="158"/>
      <c r="O1040" s="333"/>
      <c r="P1040" s="158"/>
      <c r="Q1040" s="338"/>
      <c r="R1040" s="81">
        <f t="shared" si="136"/>
        <v>0</v>
      </c>
      <c r="S1040" s="258"/>
      <c r="T1040" s="333"/>
      <c r="U1040" s="158"/>
      <c r="V1040" s="333"/>
      <c r="W1040" s="158"/>
      <c r="X1040" s="333"/>
      <c r="Y1040" s="158"/>
      <c r="Z1040" s="1002"/>
      <c r="AA1040" s="1003"/>
      <c r="AB1040" s="1004" t="str">
        <f t="shared" si="137"/>
        <v/>
      </c>
      <c r="AC1040" s="1082" t="str">
        <f t="shared" si="138"/>
        <v/>
      </c>
      <c r="AD1040" s="1004"/>
      <c r="AE1040" s="1004"/>
      <c r="AF1040" s="1084" t="str">
        <f t="shared" si="139"/>
        <v/>
      </c>
      <c r="AG1040" s="1082" t="str">
        <f t="shared" si="140"/>
        <v/>
      </c>
      <c r="AH1040" s="1092"/>
      <c r="AI1040" s="1087"/>
      <c r="AJ1040" s="1084" t="str">
        <f t="shared" si="141"/>
        <v/>
      </c>
      <c r="AK1040" s="1083" t="str">
        <f t="shared" si="142"/>
        <v/>
      </c>
      <c r="AL1040" s="211"/>
      <c r="AM1040" s="211"/>
      <c r="AN1040" s="211"/>
      <c r="AO1040" s="211"/>
      <c r="AP1040" s="211"/>
      <c r="AQ1040" s="211"/>
      <c r="AR1040" s="211"/>
      <c r="AS1040" s="211"/>
      <c r="AT1040" s="211"/>
      <c r="AU1040" s="211"/>
      <c r="AV1040" s="211"/>
      <c r="AW1040" s="211"/>
      <c r="AX1040" s="211"/>
      <c r="AY1040" s="211"/>
      <c r="AZ1040" s="211"/>
      <c r="BA1040" s="211"/>
      <c r="BB1040" s="211"/>
      <c r="BC1040" s="211"/>
      <c r="BD1040" s="333"/>
      <c r="BE1040" s="82">
        <f t="shared" si="143"/>
        <v>0</v>
      </c>
    </row>
    <row r="1041" spans="2:57" hidden="1" x14ac:dyDescent="0.3">
      <c r="B1041" s="2">
        <f>+'Base de Datos'!E1041</f>
        <v>0</v>
      </c>
      <c r="C1041" s="2">
        <f>+'Base de Datos'!F1041</f>
        <v>0</v>
      </c>
      <c r="D1041" s="2">
        <f>+'Base de Datos'!G1041</f>
        <v>0</v>
      </c>
      <c r="E1041" s="2">
        <f>+'Base de Datos'!H1041</f>
        <v>0</v>
      </c>
      <c r="F1041" s="197">
        <f>+'Base de Datos'!I1041</f>
        <v>0</v>
      </c>
      <c r="G1041" s="196">
        <f>+'Base de Datos'!M1041</f>
        <v>0</v>
      </c>
      <c r="H1041" s="196">
        <f>+'Base de Datos'!N1041</f>
        <v>0</v>
      </c>
      <c r="I1041" s="196"/>
      <c r="J1041" s="158"/>
      <c r="K1041" s="333"/>
      <c r="L1041" s="211"/>
      <c r="M1041" s="336"/>
      <c r="N1041" s="158"/>
      <c r="O1041" s="333"/>
      <c r="P1041" s="158"/>
      <c r="Q1041" s="338"/>
      <c r="R1041" s="81">
        <f t="shared" si="136"/>
        <v>0</v>
      </c>
      <c r="S1041" s="258"/>
      <c r="T1041" s="333"/>
      <c r="U1041" s="158"/>
      <c r="V1041" s="333"/>
      <c r="W1041" s="158"/>
      <c r="X1041" s="333"/>
      <c r="Y1041" s="158"/>
      <c r="Z1041" s="1002"/>
      <c r="AA1041" s="1003"/>
      <c r="AB1041" s="1004" t="str">
        <f t="shared" si="137"/>
        <v/>
      </c>
      <c r="AC1041" s="1082" t="str">
        <f t="shared" si="138"/>
        <v/>
      </c>
      <c r="AD1041" s="1004"/>
      <c r="AE1041" s="1004"/>
      <c r="AF1041" s="1084" t="str">
        <f t="shared" si="139"/>
        <v/>
      </c>
      <c r="AG1041" s="1082" t="str">
        <f t="shared" si="140"/>
        <v/>
      </c>
      <c r="AH1041" s="1092"/>
      <c r="AI1041" s="1087"/>
      <c r="AJ1041" s="1084" t="str">
        <f t="shared" si="141"/>
        <v/>
      </c>
      <c r="AK1041" s="1083" t="str">
        <f t="shared" si="142"/>
        <v/>
      </c>
      <c r="AL1041" s="211"/>
      <c r="AM1041" s="211"/>
      <c r="AN1041" s="211"/>
      <c r="AO1041" s="211"/>
      <c r="AP1041" s="211"/>
      <c r="AQ1041" s="211"/>
      <c r="AR1041" s="211"/>
      <c r="AS1041" s="211"/>
      <c r="AT1041" s="211"/>
      <c r="AU1041" s="211"/>
      <c r="AV1041" s="211"/>
      <c r="AW1041" s="211"/>
      <c r="AX1041" s="211"/>
      <c r="AY1041" s="211"/>
      <c r="AZ1041" s="211"/>
      <c r="BA1041" s="211"/>
      <c r="BB1041" s="211"/>
      <c r="BC1041" s="211"/>
      <c r="BD1041" s="333"/>
      <c r="BE1041" s="82">
        <f t="shared" si="143"/>
        <v>0</v>
      </c>
    </row>
    <row r="1042" spans="2:57" hidden="1" x14ac:dyDescent="0.3">
      <c r="B1042" s="2">
        <f>+'Base de Datos'!E1042</f>
        <v>0</v>
      </c>
      <c r="C1042" s="2">
        <f>+'Base de Datos'!F1042</f>
        <v>0</v>
      </c>
      <c r="D1042" s="2">
        <f>+'Base de Datos'!G1042</f>
        <v>0</v>
      </c>
      <c r="E1042" s="2">
        <f>+'Base de Datos'!H1042</f>
        <v>0</v>
      </c>
      <c r="F1042" s="197">
        <f>+'Base de Datos'!I1042</f>
        <v>0</v>
      </c>
      <c r="G1042" s="196">
        <f>+'Base de Datos'!M1042</f>
        <v>0</v>
      </c>
      <c r="H1042" s="196">
        <f>+'Base de Datos'!N1042</f>
        <v>0</v>
      </c>
      <c r="I1042" s="196"/>
      <c r="J1042" s="158"/>
      <c r="K1042" s="333"/>
      <c r="L1042" s="211"/>
      <c r="M1042" s="336"/>
      <c r="N1042" s="158"/>
      <c r="O1042" s="333"/>
      <c r="P1042" s="158"/>
      <c r="Q1042" s="338"/>
      <c r="R1042" s="81">
        <f t="shared" si="136"/>
        <v>0</v>
      </c>
      <c r="S1042" s="258"/>
      <c r="T1042" s="333"/>
      <c r="U1042" s="158"/>
      <c r="V1042" s="333"/>
      <c r="W1042" s="158"/>
      <c r="X1042" s="333"/>
      <c r="Y1042" s="158"/>
      <c r="Z1042" s="1002"/>
      <c r="AA1042" s="1003"/>
      <c r="AB1042" s="1004" t="str">
        <f t="shared" si="137"/>
        <v/>
      </c>
      <c r="AC1042" s="1082" t="str">
        <f t="shared" si="138"/>
        <v/>
      </c>
      <c r="AD1042" s="1004"/>
      <c r="AE1042" s="1004"/>
      <c r="AF1042" s="1084" t="str">
        <f t="shared" si="139"/>
        <v/>
      </c>
      <c r="AG1042" s="1082" t="str">
        <f t="shared" si="140"/>
        <v/>
      </c>
      <c r="AH1042" s="1092"/>
      <c r="AI1042" s="1087"/>
      <c r="AJ1042" s="1084" t="str">
        <f t="shared" si="141"/>
        <v/>
      </c>
      <c r="AK1042" s="1083" t="str">
        <f t="shared" si="142"/>
        <v/>
      </c>
      <c r="AL1042" s="211"/>
      <c r="AM1042" s="211"/>
      <c r="AN1042" s="211"/>
      <c r="AO1042" s="211"/>
      <c r="AP1042" s="211"/>
      <c r="AQ1042" s="211"/>
      <c r="AR1042" s="211"/>
      <c r="AS1042" s="211"/>
      <c r="AT1042" s="211"/>
      <c r="AU1042" s="211"/>
      <c r="AV1042" s="211"/>
      <c r="AW1042" s="211"/>
      <c r="AX1042" s="211"/>
      <c r="AY1042" s="211"/>
      <c r="AZ1042" s="211"/>
      <c r="BA1042" s="211"/>
      <c r="BB1042" s="211"/>
      <c r="BC1042" s="211"/>
      <c r="BD1042" s="333"/>
      <c r="BE1042" s="82">
        <f t="shared" si="143"/>
        <v>0</v>
      </c>
    </row>
    <row r="1043" spans="2:57" hidden="1" x14ac:dyDescent="0.3">
      <c r="B1043" s="2">
        <f>+'Base de Datos'!E1043</f>
        <v>0</v>
      </c>
      <c r="C1043" s="2">
        <f>+'Base de Datos'!F1043</f>
        <v>0</v>
      </c>
      <c r="D1043" s="2">
        <f>+'Base de Datos'!G1043</f>
        <v>0</v>
      </c>
      <c r="E1043" s="2">
        <f>+'Base de Datos'!H1043</f>
        <v>0</v>
      </c>
      <c r="F1043" s="197">
        <f>+'Base de Datos'!I1043</f>
        <v>0</v>
      </c>
      <c r="G1043" s="196">
        <f>+'Base de Datos'!M1043</f>
        <v>0</v>
      </c>
      <c r="H1043" s="196">
        <f>+'Base de Datos'!N1043</f>
        <v>0</v>
      </c>
      <c r="I1043" s="196"/>
      <c r="J1043" s="158"/>
      <c r="K1043" s="333"/>
      <c r="L1043" s="211"/>
      <c r="M1043" s="336"/>
      <c r="N1043" s="158"/>
      <c r="O1043" s="333"/>
      <c r="P1043" s="158"/>
      <c r="Q1043" s="338"/>
      <c r="R1043" s="81">
        <f t="shared" si="136"/>
        <v>0</v>
      </c>
      <c r="S1043" s="258"/>
      <c r="T1043" s="333"/>
      <c r="U1043" s="158"/>
      <c r="V1043" s="333"/>
      <c r="W1043" s="158"/>
      <c r="X1043" s="333"/>
      <c r="Y1043" s="158"/>
      <c r="Z1043" s="1002"/>
      <c r="AA1043" s="1003"/>
      <c r="AB1043" s="1004" t="str">
        <f t="shared" si="137"/>
        <v/>
      </c>
      <c r="AC1043" s="1082" t="str">
        <f t="shared" si="138"/>
        <v/>
      </c>
      <c r="AD1043" s="1004"/>
      <c r="AE1043" s="1004"/>
      <c r="AF1043" s="1084" t="str">
        <f t="shared" si="139"/>
        <v/>
      </c>
      <c r="AG1043" s="1082" t="str">
        <f t="shared" si="140"/>
        <v/>
      </c>
      <c r="AH1043" s="1092"/>
      <c r="AI1043" s="1087"/>
      <c r="AJ1043" s="1084" t="str">
        <f t="shared" si="141"/>
        <v/>
      </c>
      <c r="AK1043" s="1083" t="str">
        <f t="shared" si="142"/>
        <v/>
      </c>
      <c r="AL1043" s="211"/>
      <c r="AM1043" s="211"/>
      <c r="AN1043" s="211"/>
      <c r="AO1043" s="211"/>
      <c r="AP1043" s="211"/>
      <c r="AQ1043" s="211"/>
      <c r="AR1043" s="211"/>
      <c r="AS1043" s="211"/>
      <c r="AT1043" s="211"/>
      <c r="AU1043" s="211"/>
      <c r="AV1043" s="211"/>
      <c r="AW1043" s="211"/>
      <c r="AX1043" s="211"/>
      <c r="AY1043" s="211"/>
      <c r="AZ1043" s="211"/>
      <c r="BA1043" s="211"/>
      <c r="BB1043" s="211"/>
      <c r="BC1043" s="211"/>
      <c r="BD1043" s="333"/>
      <c r="BE1043" s="82">
        <f t="shared" si="143"/>
        <v>0</v>
      </c>
    </row>
    <row r="1044" spans="2:57" hidden="1" x14ac:dyDescent="0.3">
      <c r="B1044" s="2">
        <f>+'Base de Datos'!E1044</f>
        <v>0</v>
      </c>
      <c r="C1044" s="2">
        <f>+'Base de Datos'!F1044</f>
        <v>0</v>
      </c>
      <c r="D1044" s="2">
        <f>+'Base de Datos'!G1044</f>
        <v>0</v>
      </c>
      <c r="E1044" s="2">
        <f>+'Base de Datos'!H1044</f>
        <v>0</v>
      </c>
      <c r="F1044" s="197">
        <f>+'Base de Datos'!I1044</f>
        <v>0</v>
      </c>
      <c r="G1044" s="196">
        <f>+'Base de Datos'!M1044</f>
        <v>0</v>
      </c>
      <c r="H1044" s="196">
        <f>+'Base de Datos'!N1044</f>
        <v>0</v>
      </c>
      <c r="I1044" s="196"/>
      <c r="J1044" s="158"/>
      <c r="K1044" s="333"/>
      <c r="L1044" s="211"/>
      <c r="M1044" s="336"/>
      <c r="N1044" s="158"/>
      <c r="O1044" s="333"/>
      <c r="P1044" s="158"/>
      <c r="Q1044" s="338"/>
      <c r="R1044" s="81">
        <f t="shared" si="136"/>
        <v>0</v>
      </c>
      <c r="S1044" s="258"/>
      <c r="T1044" s="333"/>
      <c r="U1044" s="158"/>
      <c r="V1044" s="333"/>
      <c r="W1044" s="158"/>
      <c r="X1044" s="333"/>
      <c r="Y1044" s="158"/>
      <c r="Z1044" s="1002"/>
      <c r="AA1044" s="1003"/>
      <c r="AB1044" s="1004" t="str">
        <f t="shared" si="137"/>
        <v/>
      </c>
      <c r="AC1044" s="1082" t="str">
        <f t="shared" si="138"/>
        <v/>
      </c>
      <c r="AD1044" s="1004"/>
      <c r="AE1044" s="1004"/>
      <c r="AF1044" s="1084" t="str">
        <f t="shared" si="139"/>
        <v/>
      </c>
      <c r="AG1044" s="1082" t="str">
        <f t="shared" si="140"/>
        <v/>
      </c>
      <c r="AH1044" s="1092"/>
      <c r="AI1044" s="1087"/>
      <c r="AJ1044" s="1084" t="str">
        <f t="shared" si="141"/>
        <v/>
      </c>
      <c r="AK1044" s="1083" t="str">
        <f t="shared" si="142"/>
        <v/>
      </c>
      <c r="AL1044" s="211"/>
      <c r="AM1044" s="211"/>
      <c r="AN1044" s="211"/>
      <c r="AO1044" s="211"/>
      <c r="AP1044" s="211"/>
      <c r="AQ1044" s="211"/>
      <c r="AR1044" s="211"/>
      <c r="AS1044" s="211"/>
      <c r="AT1044" s="211"/>
      <c r="AU1044" s="211"/>
      <c r="AV1044" s="211"/>
      <c r="AW1044" s="211"/>
      <c r="AX1044" s="211"/>
      <c r="AY1044" s="211"/>
      <c r="AZ1044" s="211"/>
      <c r="BA1044" s="211"/>
      <c r="BB1044" s="211"/>
      <c r="BC1044" s="211"/>
      <c r="BD1044" s="333"/>
      <c r="BE1044" s="82">
        <f t="shared" si="143"/>
        <v>0</v>
      </c>
    </row>
    <row r="1045" spans="2:57" hidden="1" x14ac:dyDescent="0.3">
      <c r="B1045" s="2">
        <f>+'Base de Datos'!E1045</f>
        <v>0</v>
      </c>
      <c r="C1045" s="2">
        <f>+'Base de Datos'!F1045</f>
        <v>0</v>
      </c>
      <c r="D1045" s="2">
        <f>+'Base de Datos'!G1045</f>
        <v>0</v>
      </c>
      <c r="E1045" s="2">
        <f>+'Base de Datos'!H1045</f>
        <v>0</v>
      </c>
      <c r="F1045" s="197">
        <f>+'Base de Datos'!I1045</f>
        <v>0</v>
      </c>
      <c r="G1045" s="196">
        <f>+'Base de Datos'!M1045</f>
        <v>0</v>
      </c>
      <c r="H1045" s="196">
        <f>+'Base de Datos'!N1045</f>
        <v>0</v>
      </c>
      <c r="I1045" s="196"/>
      <c r="J1045" s="158"/>
      <c r="K1045" s="333"/>
      <c r="L1045" s="211"/>
      <c r="M1045" s="336"/>
      <c r="N1045" s="158"/>
      <c r="O1045" s="333"/>
      <c r="P1045" s="158"/>
      <c r="Q1045" s="338"/>
      <c r="R1045" s="81">
        <f t="shared" si="136"/>
        <v>0</v>
      </c>
      <c r="S1045" s="258"/>
      <c r="T1045" s="333"/>
      <c r="U1045" s="158"/>
      <c r="V1045" s="333"/>
      <c r="W1045" s="158"/>
      <c r="X1045" s="333"/>
      <c r="Y1045" s="158"/>
      <c r="Z1045" s="1002"/>
      <c r="AA1045" s="1003"/>
      <c r="AB1045" s="1004" t="str">
        <f t="shared" si="137"/>
        <v/>
      </c>
      <c r="AC1045" s="1082" t="str">
        <f t="shared" si="138"/>
        <v/>
      </c>
      <c r="AD1045" s="1004"/>
      <c r="AE1045" s="1004"/>
      <c r="AF1045" s="1084" t="str">
        <f t="shared" si="139"/>
        <v/>
      </c>
      <c r="AG1045" s="1082" t="str">
        <f t="shared" si="140"/>
        <v/>
      </c>
      <c r="AH1045" s="1092"/>
      <c r="AI1045" s="1087"/>
      <c r="AJ1045" s="1084" t="str">
        <f t="shared" si="141"/>
        <v/>
      </c>
      <c r="AK1045" s="1083" t="str">
        <f t="shared" si="142"/>
        <v/>
      </c>
      <c r="AL1045" s="211"/>
      <c r="AM1045" s="211"/>
      <c r="AN1045" s="211"/>
      <c r="AO1045" s="211"/>
      <c r="AP1045" s="211"/>
      <c r="AQ1045" s="211"/>
      <c r="AR1045" s="211"/>
      <c r="AS1045" s="211"/>
      <c r="AT1045" s="211"/>
      <c r="AU1045" s="211"/>
      <c r="AV1045" s="211"/>
      <c r="AW1045" s="211"/>
      <c r="AX1045" s="211"/>
      <c r="AY1045" s="211"/>
      <c r="AZ1045" s="211"/>
      <c r="BA1045" s="211"/>
      <c r="BB1045" s="211"/>
      <c r="BC1045" s="211"/>
      <c r="BD1045" s="333"/>
      <c r="BE1045" s="82">
        <f t="shared" si="143"/>
        <v>0</v>
      </c>
    </row>
    <row r="1046" spans="2:57" hidden="1" x14ac:dyDescent="0.3">
      <c r="B1046" s="2">
        <f>+'Base de Datos'!E1046</f>
        <v>0</v>
      </c>
      <c r="C1046" s="2">
        <f>+'Base de Datos'!F1046</f>
        <v>0</v>
      </c>
      <c r="D1046" s="2">
        <f>+'Base de Datos'!G1046</f>
        <v>0</v>
      </c>
      <c r="E1046" s="2">
        <f>+'Base de Datos'!H1046</f>
        <v>0</v>
      </c>
      <c r="F1046" s="197">
        <f>+'Base de Datos'!I1046</f>
        <v>0</v>
      </c>
      <c r="G1046" s="196">
        <f>+'Base de Datos'!M1046</f>
        <v>0</v>
      </c>
      <c r="H1046" s="196">
        <f>+'Base de Datos'!N1046</f>
        <v>0</v>
      </c>
      <c r="I1046" s="196"/>
      <c r="J1046" s="158"/>
      <c r="K1046" s="333"/>
      <c r="L1046" s="211"/>
      <c r="M1046" s="336"/>
      <c r="N1046" s="158"/>
      <c r="O1046" s="333"/>
      <c r="P1046" s="158"/>
      <c r="Q1046" s="338"/>
      <c r="R1046" s="81">
        <f t="shared" si="136"/>
        <v>0</v>
      </c>
      <c r="S1046" s="258"/>
      <c r="T1046" s="333"/>
      <c r="U1046" s="158"/>
      <c r="V1046" s="333"/>
      <c r="W1046" s="158"/>
      <c r="X1046" s="333"/>
      <c r="Y1046" s="158"/>
      <c r="Z1046" s="1002"/>
      <c r="AA1046" s="1003"/>
      <c r="AB1046" s="1004" t="str">
        <f t="shared" si="137"/>
        <v/>
      </c>
      <c r="AC1046" s="1082" t="str">
        <f t="shared" si="138"/>
        <v/>
      </c>
      <c r="AD1046" s="1004"/>
      <c r="AE1046" s="1004"/>
      <c r="AF1046" s="1084" t="str">
        <f t="shared" si="139"/>
        <v/>
      </c>
      <c r="AG1046" s="1082" t="str">
        <f t="shared" si="140"/>
        <v/>
      </c>
      <c r="AH1046" s="1092"/>
      <c r="AI1046" s="1087"/>
      <c r="AJ1046" s="1084" t="str">
        <f t="shared" si="141"/>
        <v/>
      </c>
      <c r="AK1046" s="1083" t="str">
        <f t="shared" si="142"/>
        <v/>
      </c>
      <c r="AL1046" s="211"/>
      <c r="AM1046" s="211"/>
      <c r="AN1046" s="211"/>
      <c r="AO1046" s="211"/>
      <c r="AP1046" s="211"/>
      <c r="AQ1046" s="211"/>
      <c r="AR1046" s="211"/>
      <c r="AS1046" s="211"/>
      <c r="AT1046" s="211"/>
      <c r="AU1046" s="211"/>
      <c r="AV1046" s="211"/>
      <c r="AW1046" s="211"/>
      <c r="AX1046" s="211"/>
      <c r="AY1046" s="211"/>
      <c r="AZ1046" s="211"/>
      <c r="BA1046" s="211"/>
      <c r="BB1046" s="211"/>
      <c r="BC1046" s="211"/>
      <c r="BD1046" s="333"/>
      <c r="BE1046" s="82">
        <f t="shared" si="143"/>
        <v>0</v>
      </c>
    </row>
    <row r="1047" spans="2:57" hidden="1" x14ac:dyDescent="0.3">
      <c r="B1047" s="2">
        <f>+'Base de Datos'!E1047</f>
        <v>0</v>
      </c>
      <c r="C1047" s="2">
        <f>+'Base de Datos'!F1047</f>
        <v>0</v>
      </c>
      <c r="D1047" s="2">
        <f>+'Base de Datos'!G1047</f>
        <v>0</v>
      </c>
      <c r="E1047" s="2">
        <f>+'Base de Datos'!H1047</f>
        <v>0</v>
      </c>
      <c r="F1047" s="197">
        <f>+'Base de Datos'!I1047</f>
        <v>0</v>
      </c>
      <c r="G1047" s="196">
        <f>+'Base de Datos'!M1047</f>
        <v>0</v>
      </c>
      <c r="H1047" s="196">
        <f>+'Base de Datos'!N1047</f>
        <v>0</v>
      </c>
      <c r="I1047" s="196"/>
      <c r="J1047" s="158"/>
      <c r="K1047" s="333"/>
      <c r="L1047" s="211"/>
      <c r="M1047" s="336"/>
      <c r="N1047" s="158"/>
      <c r="O1047" s="333"/>
      <c r="P1047" s="158"/>
      <c r="Q1047" s="338"/>
      <c r="R1047" s="81">
        <f t="shared" si="136"/>
        <v>0</v>
      </c>
      <c r="S1047" s="258"/>
      <c r="T1047" s="333"/>
      <c r="U1047" s="158"/>
      <c r="V1047" s="333"/>
      <c r="W1047" s="158"/>
      <c r="X1047" s="333"/>
      <c r="Y1047" s="158"/>
      <c r="Z1047" s="1002"/>
      <c r="AA1047" s="1003"/>
      <c r="AB1047" s="1004" t="str">
        <f t="shared" si="137"/>
        <v/>
      </c>
      <c r="AC1047" s="1082" t="str">
        <f t="shared" si="138"/>
        <v/>
      </c>
      <c r="AD1047" s="1004"/>
      <c r="AE1047" s="1004"/>
      <c r="AF1047" s="1084" t="str">
        <f t="shared" si="139"/>
        <v/>
      </c>
      <c r="AG1047" s="1082" t="str">
        <f t="shared" si="140"/>
        <v/>
      </c>
      <c r="AH1047" s="1092"/>
      <c r="AI1047" s="1087"/>
      <c r="AJ1047" s="1084" t="str">
        <f t="shared" si="141"/>
        <v/>
      </c>
      <c r="AK1047" s="1083" t="str">
        <f t="shared" si="142"/>
        <v/>
      </c>
      <c r="AL1047" s="211"/>
      <c r="AM1047" s="211"/>
      <c r="AN1047" s="211"/>
      <c r="AO1047" s="211"/>
      <c r="AP1047" s="211"/>
      <c r="AQ1047" s="211"/>
      <c r="AR1047" s="211"/>
      <c r="AS1047" s="211"/>
      <c r="AT1047" s="211"/>
      <c r="AU1047" s="211"/>
      <c r="AV1047" s="211"/>
      <c r="AW1047" s="211"/>
      <c r="AX1047" s="211"/>
      <c r="AY1047" s="211"/>
      <c r="AZ1047" s="211"/>
      <c r="BA1047" s="211"/>
      <c r="BB1047" s="211"/>
      <c r="BC1047" s="211"/>
      <c r="BD1047" s="333"/>
      <c r="BE1047" s="82">
        <f t="shared" si="143"/>
        <v>0</v>
      </c>
    </row>
    <row r="1048" spans="2:57" hidden="1" x14ac:dyDescent="0.3">
      <c r="B1048" s="2">
        <f>+'Base de Datos'!E1048</f>
        <v>0</v>
      </c>
      <c r="C1048" s="2">
        <f>+'Base de Datos'!F1048</f>
        <v>0</v>
      </c>
      <c r="D1048" s="2">
        <f>+'Base de Datos'!G1048</f>
        <v>0</v>
      </c>
      <c r="E1048" s="2">
        <f>+'Base de Datos'!H1048</f>
        <v>0</v>
      </c>
      <c r="F1048" s="197">
        <f>+'Base de Datos'!I1048</f>
        <v>0</v>
      </c>
      <c r="G1048" s="196">
        <f>+'Base de Datos'!M1048</f>
        <v>0</v>
      </c>
      <c r="H1048" s="196">
        <f>+'Base de Datos'!N1048</f>
        <v>0</v>
      </c>
      <c r="I1048" s="196"/>
      <c r="J1048" s="158"/>
      <c r="K1048" s="333"/>
      <c r="L1048" s="211"/>
      <c r="M1048" s="336"/>
      <c r="N1048" s="158"/>
      <c r="O1048" s="333"/>
      <c r="P1048" s="158"/>
      <c r="Q1048" s="338"/>
      <c r="R1048" s="81">
        <f t="shared" si="136"/>
        <v>0</v>
      </c>
      <c r="S1048" s="258"/>
      <c r="T1048" s="333"/>
      <c r="U1048" s="158"/>
      <c r="V1048" s="333"/>
      <c r="W1048" s="158"/>
      <c r="X1048" s="333"/>
      <c r="Y1048" s="158"/>
      <c r="Z1048" s="1002"/>
      <c r="AA1048" s="1003"/>
      <c r="AB1048" s="1004" t="str">
        <f t="shared" si="137"/>
        <v/>
      </c>
      <c r="AC1048" s="1082" t="str">
        <f t="shared" si="138"/>
        <v/>
      </c>
      <c r="AD1048" s="1004"/>
      <c r="AE1048" s="1004"/>
      <c r="AF1048" s="1084" t="str">
        <f t="shared" si="139"/>
        <v/>
      </c>
      <c r="AG1048" s="1082" t="str">
        <f t="shared" si="140"/>
        <v/>
      </c>
      <c r="AH1048" s="1092"/>
      <c r="AI1048" s="1087"/>
      <c r="AJ1048" s="1084" t="str">
        <f t="shared" si="141"/>
        <v/>
      </c>
      <c r="AK1048" s="1083" t="str">
        <f t="shared" si="142"/>
        <v/>
      </c>
      <c r="AL1048" s="211"/>
      <c r="AM1048" s="211"/>
      <c r="AN1048" s="211"/>
      <c r="AO1048" s="211"/>
      <c r="AP1048" s="211"/>
      <c r="AQ1048" s="211"/>
      <c r="AR1048" s="211"/>
      <c r="AS1048" s="211"/>
      <c r="AT1048" s="211"/>
      <c r="AU1048" s="211"/>
      <c r="AV1048" s="211"/>
      <c r="AW1048" s="211"/>
      <c r="AX1048" s="211"/>
      <c r="AY1048" s="211"/>
      <c r="AZ1048" s="211"/>
      <c r="BA1048" s="211"/>
      <c r="BB1048" s="211"/>
      <c r="BC1048" s="211"/>
      <c r="BD1048" s="333"/>
      <c r="BE1048" s="82">
        <f t="shared" si="143"/>
        <v>0</v>
      </c>
    </row>
    <row r="1049" spans="2:57" hidden="1" x14ac:dyDescent="0.3">
      <c r="B1049" s="2">
        <f>+'Base de Datos'!E1049</f>
        <v>0</v>
      </c>
      <c r="C1049" s="2">
        <f>+'Base de Datos'!F1049</f>
        <v>0</v>
      </c>
      <c r="D1049" s="2">
        <f>+'Base de Datos'!G1049</f>
        <v>0</v>
      </c>
      <c r="E1049" s="2">
        <f>+'Base de Datos'!H1049</f>
        <v>0</v>
      </c>
      <c r="F1049" s="197">
        <f>+'Base de Datos'!I1049</f>
        <v>0</v>
      </c>
      <c r="G1049" s="196">
        <f>+'Base de Datos'!M1049</f>
        <v>0</v>
      </c>
      <c r="H1049" s="196">
        <f>+'Base de Datos'!N1049</f>
        <v>0</v>
      </c>
      <c r="I1049" s="196"/>
      <c r="J1049" s="158"/>
      <c r="K1049" s="333"/>
      <c r="L1049" s="211"/>
      <c r="M1049" s="336"/>
      <c r="N1049" s="158"/>
      <c r="O1049" s="333"/>
      <c r="P1049" s="158"/>
      <c r="Q1049" s="338"/>
      <c r="R1049" s="81">
        <f t="shared" ref="R1049:R1071" si="144">SUM(J1049,L1049,N1049,P1049)</f>
        <v>0</v>
      </c>
      <c r="S1049" s="258"/>
      <c r="T1049" s="333"/>
      <c r="U1049" s="158"/>
      <c r="V1049" s="333"/>
      <c r="W1049" s="158"/>
      <c r="X1049" s="333"/>
      <c r="Y1049" s="158"/>
      <c r="Z1049" s="1002"/>
      <c r="AA1049" s="1003"/>
      <c r="AB1049" s="1004" t="str">
        <f t="shared" ref="AB1049:AB1071" si="145">IF(ISNUMBER(T1049),MAX(T1049,V1049,X1049,Z1049),"")</f>
        <v/>
      </c>
      <c r="AC1049" s="1082" t="str">
        <f t="shared" ref="AC1049:AC1071" si="146">IF(ISNUMBER(AD1049),ABS(AD1049-AE1049)+1,"")</f>
        <v/>
      </c>
      <c r="AD1049" s="1004"/>
      <c r="AE1049" s="1004"/>
      <c r="AF1049" s="1084" t="str">
        <f t="shared" ref="AF1049:AF1071" si="147">IFERROR(IF(MAX(H1049,I1049)&lt;AE1049,MAX(H1049,I1049)-AE1049+AC1049+AE1049,MAX(H1049,I1049)+AC1049),"")</f>
        <v/>
      </c>
      <c r="AG1049" s="1082" t="str">
        <f t="shared" ref="AG1049:AG1071" si="148">IF(ISNUMBER(AH1049),ABS(AH1049-AI1049)+1,"")</f>
        <v/>
      </c>
      <c r="AH1049" s="1092"/>
      <c r="AI1049" s="1087"/>
      <c r="AJ1049" s="1084" t="str">
        <f t="shared" ref="AJ1049:AJ1071" si="149">IFERROR(IF(AF1049&lt;AI1049,((AF1049-AI1049)+AG1049)+(AI1049),AF1049+AG1049),"")</f>
        <v/>
      </c>
      <c r="AK1049" s="1083" t="str">
        <f t="shared" ref="AK1049:AK1071" si="150">IF(ISNUMBER(AF1049),MAX(AB1049,AF1049,AJ1049),"")</f>
        <v/>
      </c>
      <c r="AL1049" s="211"/>
      <c r="AM1049" s="211"/>
      <c r="AN1049" s="211"/>
      <c r="AO1049" s="211"/>
      <c r="AP1049" s="211"/>
      <c r="AQ1049" s="211"/>
      <c r="AR1049" s="211"/>
      <c r="AS1049" s="211"/>
      <c r="AT1049" s="211"/>
      <c r="AU1049" s="211"/>
      <c r="AV1049" s="211"/>
      <c r="AW1049" s="211"/>
      <c r="AX1049" s="211"/>
      <c r="AY1049" s="211"/>
      <c r="AZ1049" s="211"/>
      <c r="BA1049" s="211"/>
      <c r="BB1049" s="211"/>
      <c r="BC1049" s="211"/>
      <c r="BD1049" s="333"/>
      <c r="BE1049" s="82">
        <f t="shared" si="143"/>
        <v>0</v>
      </c>
    </row>
    <row r="1050" spans="2:57" hidden="1" x14ac:dyDescent="0.3">
      <c r="B1050" s="2">
        <f>+'Base de Datos'!E1050</f>
        <v>0</v>
      </c>
      <c r="C1050" s="2">
        <f>+'Base de Datos'!F1050</f>
        <v>0</v>
      </c>
      <c r="D1050" s="2">
        <f>+'Base de Datos'!G1050</f>
        <v>0</v>
      </c>
      <c r="E1050" s="2">
        <f>+'Base de Datos'!H1050</f>
        <v>0</v>
      </c>
      <c r="F1050" s="197">
        <f>+'Base de Datos'!I1050</f>
        <v>0</v>
      </c>
      <c r="G1050" s="196">
        <f>+'Base de Datos'!M1050</f>
        <v>0</v>
      </c>
      <c r="H1050" s="196">
        <f>+'Base de Datos'!N1050</f>
        <v>0</v>
      </c>
      <c r="I1050" s="196"/>
      <c r="J1050" s="158"/>
      <c r="K1050" s="333"/>
      <c r="L1050" s="211"/>
      <c r="M1050" s="336"/>
      <c r="N1050" s="158"/>
      <c r="O1050" s="333"/>
      <c r="P1050" s="158"/>
      <c r="Q1050" s="338"/>
      <c r="R1050" s="81">
        <f t="shared" si="144"/>
        <v>0</v>
      </c>
      <c r="S1050" s="258"/>
      <c r="T1050" s="333"/>
      <c r="U1050" s="158"/>
      <c r="V1050" s="333"/>
      <c r="W1050" s="158"/>
      <c r="X1050" s="333"/>
      <c r="Y1050" s="158"/>
      <c r="Z1050" s="1002"/>
      <c r="AA1050" s="1003"/>
      <c r="AB1050" s="1004" t="str">
        <f t="shared" si="145"/>
        <v/>
      </c>
      <c r="AC1050" s="1082" t="str">
        <f t="shared" si="146"/>
        <v/>
      </c>
      <c r="AD1050" s="1004"/>
      <c r="AE1050" s="1004"/>
      <c r="AF1050" s="1084" t="str">
        <f t="shared" si="147"/>
        <v/>
      </c>
      <c r="AG1050" s="1082" t="str">
        <f t="shared" si="148"/>
        <v/>
      </c>
      <c r="AH1050" s="1092"/>
      <c r="AI1050" s="1087"/>
      <c r="AJ1050" s="1084" t="str">
        <f t="shared" si="149"/>
        <v/>
      </c>
      <c r="AK1050" s="1083" t="str">
        <f t="shared" si="150"/>
        <v/>
      </c>
      <c r="AL1050" s="211"/>
      <c r="AM1050" s="211"/>
      <c r="AN1050" s="211"/>
      <c r="AO1050" s="211"/>
      <c r="AP1050" s="211"/>
      <c r="AQ1050" s="211"/>
      <c r="AR1050" s="211"/>
      <c r="AS1050" s="211"/>
      <c r="AT1050" s="211"/>
      <c r="AU1050" s="211"/>
      <c r="AV1050" s="211"/>
      <c r="AW1050" s="211"/>
      <c r="AX1050" s="211"/>
      <c r="AY1050" s="211"/>
      <c r="AZ1050" s="211"/>
      <c r="BA1050" s="211"/>
      <c r="BB1050" s="211"/>
      <c r="BC1050" s="211"/>
      <c r="BD1050" s="333"/>
      <c r="BE1050" s="82">
        <f t="shared" si="143"/>
        <v>0</v>
      </c>
    </row>
    <row r="1051" spans="2:57" hidden="1" x14ac:dyDescent="0.3">
      <c r="B1051" s="2">
        <f>+'Base de Datos'!E1051</f>
        <v>0</v>
      </c>
      <c r="C1051" s="2">
        <f>+'Base de Datos'!F1051</f>
        <v>0</v>
      </c>
      <c r="D1051" s="2">
        <f>+'Base de Datos'!G1051</f>
        <v>0</v>
      </c>
      <c r="E1051" s="2">
        <f>+'Base de Datos'!H1051</f>
        <v>0</v>
      </c>
      <c r="F1051" s="197">
        <f>+'Base de Datos'!I1051</f>
        <v>0</v>
      </c>
      <c r="G1051" s="196">
        <f>+'Base de Datos'!M1051</f>
        <v>0</v>
      </c>
      <c r="H1051" s="196">
        <f>+'Base de Datos'!N1051</f>
        <v>0</v>
      </c>
      <c r="I1051" s="196"/>
      <c r="J1051" s="158"/>
      <c r="K1051" s="333"/>
      <c r="L1051" s="211"/>
      <c r="M1051" s="336"/>
      <c r="N1051" s="158"/>
      <c r="O1051" s="333"/>
      <c r="P1051" s="158"/>
      <c r="Q1051" s="338"/>
      <c r="R1051" s="81">
        <f t="shared" si="144"/>
        <v>0</v>
      </c>
      <c r="S1051" s="258"/>
      <c r="T1051" s="333"/>
      <c r="U1051" s="158"/>
      <c r="V1051" s="333"/>
      <c r="W1051" s="158"/>
      <c r="X1051" s="333"/>
      <c r="Y1051" s="158"/>
      <c r="Z1051" s="1002"/>
      <c r="AA1051" s="1003"/>
      <c r="AB1051" s="1004" t="str">
        <f t="shared" si="145"/>
        <v/>
      </c>
      <c r="AC1051" s="1082" t="str">
        <f t="shared" si="146"/>
        <v/>
      </c>
      <c r="AD1051" s="1004"/>
      <c r="AE1051" s="1004"/>
      <c r="AF1051" s="1084" t="str">
        <f t="shared" si="147"/>
        <v/>
      </c>
      <c r="AG1051" s="1082" t="str">
        <f t="shared" si="148"/>
        <v/>
      </c>
      <c r="AH1051" s="1092"/>
      <c r="AI1051" s="1087"/>
      <c r="AJ1051" s="1084" t="str">
        <f t="shared" si="149"/>
        <v/>
      </c>
      <c r="AK1051" s="1083" t="str">
        <f t="shared" si="150"/>
        <v/>
      </c>
      <c r="AL1051" s="211"/>
      <c r="AM1051" s="211"/>
      <c r="AN1051" s="211"/>
      <c r="AO1051" s="211"/>
      <c r="AP1051" s="211"/>
      <c r="AQ1051" s="211"/>
      <c r="AR1051" s="211"/>
      <c r="AS1051" s="211"/>
      <c r="AT1051" s="211"/>
      <c r="AU1051" s="211"/>
      <c r="AV1051" s="211"/>
      <c r="AW1051" s="211"/>
      <c r="AX1051" s="211"/>
      <c r="AY1051" s="211"/>
      <c r="AZ1051" s="211"/>
      <c r="BA1051" s="211"/>
      <c r="BB1051" s="211"/>
      <c r="BC1051" s="211"/>
      <c r="BD1051" s="333"/>
      <c r="BE1051" s="82">
        <f t="shared" si="143"/>
        <v>0</v>
      </c>
    </row>
    <row r="1052" spans="2:57" hidden="1" x14ac:dyDescent="0.3">
      <c r="B1052" s="2">
        <f>+'Base de Datos'!E1052</f>
        <v>0</v>
      </c>
      <c r="C1052" s="2">
        <f>+'Base de Datos'!F1052</f>
        <v>0</v>
      </c>
      <c r="D1052" s="2">
        <f>+'Base de Datos'!G1052</f>
        <v>0</v>
      </c>
      <c r="E1052" s="2">
        <f>+'Base de Datos'!H1052</f>
        <v>0</v>
      </c>
      <c r="F1052" s="197">
        <f>+'Base de Datos'!I1052</f>
        <v>0</v>
      </c>
      <c r="G1052" s="196">
        <f>+'Base de Datos'!M1052</f>
        <v>0</v>
      </c>
      <c r="H1052" s="196">
        <f>+'Base de Datos'!N1052</f>
        <v>0</v>
      </c>
      <c r="I1052" s="196"/>
      <c r="J1052" s="158"/>
      <c r="K1052" s="333"/>
      <c r="L1052" s="211"/>
      <c r="M1052" s="336"/>
      <c r="N1052" s="158"/>
      <c r="O1052" s="333"/>
      <c r="P1052" s="158"/>
      <c r="Q1052" s="338"/>
      <c r="R1052" s="81">
        <f t="shared" si="144"/>
        <v>0</v>
      </c>
      <c r="S1052" s="258"/>
      <c r="T1052" s="333"/>
      <c r="U1052" s="158"/>
      <c r="V1052" s="333"/>
      <c r="W1052" s="158"/>
      <c r="X1052" s="333"/>
      <c r="Y1052" s="158"/>
      <c r="Z1052" s="1002"/>
      <c r="AA1052" s="1003"/>
      <c r="AB1052" s="1004" t="str">
        <f t="shared" si="145"/>
        <v/>
      </c>
      <c r="AC1052" s="1082" t="str">
        <f t="shared" si="146"/>
        <v/>
      </c>
      <c r="AD1052" s="1004"/>
      <c r="AE1052" s="1004"/>
      <c r="AF1052" s="1084" t="str">
        <f t="shared" si="147"/>
        <v/>
      </c>
      <c r="AG1052" s="1082" t="str">
        <f t="shared" si="148"/>
        <v/>
      </c>
      <c r="AH1052" s="1092"/>
      <c r="AI1052" s="1087"/>
      <c r="AJ1052" s="1084" t="str">
        <f t="shared" si="149"/>
        <v/>
      </c>
      <c r="AK1052" s="1083" t="str">
        <f t="shared" si="150"/>
        <v/>
      </c>
      <c r="AL1052" s="211"/>
      <c r="AM1052" s="211"/>
      <c r="AN1052" s="211"/>
      <c r="AO1052" s="211"/>
      <c r="AP1052" s="211"/>
      <c r="AQ1052" s="211"/>
      <c r="AR1052" s="211"/>
      <c r="AS1052" s="211"/>
      <c r="AT1052" s="211"/>
      <c r="AU1052" s="211"/>
      <c r="AV1052" s="211"/>
      <c r="AW1052" s="211"/>
      <c r="AX1052" s="211"/>
      <c r="AY1052" s="211"/>
      <c r="AZ1052" s="211"/>
      <c r="BA1052" s="211"/>
      <c r="BB1052" s="211"/>
      <c r="BC1052" s="211"/>
      <c r="BD1052" s="333"/>
      <c r="BE1052" s="82">
        <f t="shared" si="143"/>
        <v>0</v>
      </c>
    </row>
    <row r="1053" spans="2:57" hidden="1" x14ac:dyDescent="0.3">
      <c r="B1053" s="2">
        <f>+'Base de Datos'!E1053</f>
        <v>0</v>
      </c>
      <c r="C1053" s="2">
        <f>+'Base de Datos'!F1053</f>
        <v>0</v>
      </c>
      <c r="D1053" s="2">
        <f>+'Base de Datos'!G1053</f>
        <v>0</v>
      </c>
      <c r="E1053" s="2">
        <f>+'Base de Datos'!H1053</f>
        <v>0</v>
      </c>
      <c r="F1053" s="197">
        <f>+'Base de Datos'!I1053</f>
        <v>0</v>
      </c>
      <c r="G1053" s="196">
        <f>+'Base de Datos'!M1053</f>
        <v>0</v>
      </c>
      <c r="H1053" s="196">
        <f>+'Base de Datos'!N1053</f>
        <v>0</v>
      </c>
      <c r="I1053" s="196"/>
      <c r="J1053" s="158"/>
      <c r="K1053" s="333"/>
      <c r="L1053" s="211"/>
      <c r="M1053" s="336"/>
      <c r="N1053" s="158"/>
      <c r="O1053" s="333"/>
      <c r="P1053" s="158"/>
      <c r="Q1053" s="338"/>
      <c r="R1053" s="81">
        <f t="shared" si="144"/>
        <v>0</v>
      </c>
      <c r="S1053" s="258"/>
      <c r="T1053" s="333"/>
      <c r="U1053" s="158"/>
      <c r="V1053" s="333"/>
      <c r="W1053" s="158"/>
      <c r="X1053" s="333"/>
      <c r="Y1053" s="158"/>
      <c r="Z1053" s="1002"/>
      <c r="AA1053" s="1003"/>
      <c r="AB1053" s="1004" t="str">
        <f t="shared" si="145"/>
        <v/>
      </c>
      <c r="AC1053" s="1082" t="str">
        <f t="shared" si="146"/>
        <v/>
      </c>
      <c r="AD1053" s="1004"/>
      <c r="AE1053" s="1004"/>
      <c r="AF1053" s="1084" t="str">
        <f t="shared" si="147"/>
        <v/>
      </c>
      <c r="AG1053" s="1082" t="str">
        <f t="shared" si="148"/>
        <v/>
      </c>
      <c r="AH1053" s="1092"/>
      <c r="AI1053" s="1087"/>
      <c r="AJ1053" s="1084" t="str">
        <f t="shared" si="149"/>
        <v/>
      </c>
      <c r="AK1053" s="1083" t="str">
        <f t="shared" si="150"/>
        <v/>
      </c>
      <c r="AL1053" s="211"/>
      <c r="AM1053" s="211"/>
      <c r="AN1053" s="211"/>
      <c r="AO1053" s="211"/>
      <c r="AP1053" s="211"/>
      <c r="AQ1053" s="211"/>
      <c r="AR1053" s="211"/>
      <c r="AS1053" s="211"/>
      <c r="AT1053" s="211"/>
      <c r="AU1053" s="211"/>
      <c r="AV1053" s="211"/>
      <c r="AW1053" s="211"/>
      <c r="AX1053" s="211"/>
      <c r="AY1053" s="211"/>
      <c r="AZ1053" s="211"/>
      <c r="BA1053" s="211"/>
      <c r="BB1053" s="211"/>
      <c r="BC1053" s="211"/>
      <c r="BD1053" s="333"/>
      <c r="BE1053" s="82">
        <f t="shared" si="143"/>
        <v>0</v>
      </c>
    </row>
    <row r="1054" spans="2:57" hidden="1" x14ac:dyDescent="0.3">
      <c r="B1054" s="2">
        <f>+'Base de Datos'!E1054</f>
        <v>0</v>
      </c>
      <c r="C1054" s="2">
        <f>+'Base de Datos'!F1054</f>
        <v>0</v>
      </c>
      <c r="D1054" s="2">
        <f>+'Base de Datos'!G1054</f>
        <v>0</v>
      </c>
      <c r="E1054" s="2">
        <f>+'Base de Datos'!H1054</f>
        <v>0</v>
      </c>
      <c r="F1054" s="197">
        <f>+'Base de Datos'!I1054</f>
        <v>0</v>
      </c>
      <c r="G1054" s="196">
        <f>+'Base de Datos'!M1054</f>
        <v>0</v>
      </c>
      <c r="H1054" s="196">
        <f>+'Base de Datos'!N1054</f>
        <v>0</v>
      </c>
      <c r="I1054" s="196"/>
      <c r="J1054" s="158"/>
      <c r="K1054" s="333"/>
      <c r="L1054" s="211"/>
      <c r="M1054" s="336"/>
      <c r="N1054" s="158"/>
      <c r="O1054" s="333"/>
      <c r="P1054" s="158"/>
      <c r="Q1054" s="338"/>
      <c r="R1054" s="81">
        <f t="shared" si="144"/>
        <v>0</v>
      </c>
      <c r="S1054" s="258"/>
      <c r="T1054" s="333"/>
      <c r="U1054" s="158"/>
      <c r="V1054" s="333"/>
      <c r="W1054" s="158"/>
      <c r="X1054" s="333"/>
      <c r="Y1054" s="158"/>
      <c r="Z1054" s="1002"/>
      <c r="AA1054" s="1003"/>
      <c r="AB1054" s="1004" t="str">
        <f t="shared" si="145"/>
        <v/>
      </c>
      <c r="AC1054" s="1082" t="str">
        <f t="shared" si="146"/>
        <v/>
      </c>
      <c r="AD1054" s="1004"/>
      <c r="AE1054" s="1004"/>
      <c r="AF1054" s="1084" t="str">
        <f t="shared" si="147"/>
        <v/>
      </c>
      <c r="AG1054" s="1082" t="str">
        <f t="shared" si="148"/>
        <v/>
      </c>
      <c r="AH1054" s="1092"/>
      <c r="AI1054" s="1087"/>
      <c r="AJ1054" s="1084" t="str">
        <f t="shared" si="149"/>
        <v/>
      </c>
      <c r="AK1054" s="1083" t="str">
        <f t="shared" si="150"/>
        <v/>
      </c>
      <c r="AL1054" s="211"/>
      <c r="AM1054" s="211"/>
      <c r="AN1054" s="211"/>
      <c r="AO1054" s="211"/>
      <c r="AP1054" s="211"/>
      <c r="AQ1054" s="211"/>
      <c r="AR1054" s="211"/>
      <c r="AS1054" s="211"/>
      <c r="AT1054" s="211"/>
      <c r="AU1054" s="211"/>
      <c r="AV1054" s="211"/>
      <c r="AW1054" s="211"/>
      <c r="AX1054" s="211"/>
      <c r="AY1054" s="211"/>
      <c r="AZ1054" s="211"/>
      <c r="BA1054" s="211"/>
      <c r="BB1054" s="211"/>
      <c r="BC1054" s="211"/>
      <c r="BD1054" s="333"/>
      <c r="BE1054" s="82">
        <f t="shared" si="143"/>
        <v>0</v>
      </c>
    </row>
    <row r="1055" spans="2:57" hidden="1" x14ac:dyDescent="0.3">
      <c r="B1055" s="2">
        <f>+'Base de Datos'!E1055</f>
        <v>0</v>
      </c>
      <c r="C1055" s="2">
        <f>+'Base de Datos'!F1055</f>
        <v>0</v>
      </c>
      <c r="D1055" s="2">
        <f>+'Base de Datos'!G1055</f>
        <v>0</v>
      </c>
      <c r="E1055" s="2">
        <f>+'Base de Datos'!H1055</f>
        <v>0</v>
      </c>
      <c r="F1055" s="197">
        <f>+'Base de Datos'!I1055</f>
        <v>0</v>
      </c>
      <c r="G1055" s="196">
        <f>+'Base de Datos'!M1055</f>
        <v>0</v>
      </c>
      <c r="H1055" s="196">
        <f>+'Base de Datos'!N1055</f>
        <v>0</v>
      </c>
      <c r="I1055" s="196"/>
      <c r="J1055" s="158"/>
      <c r="K1055" s="333"/>
      <c r="L1055" s="211"/>
      <c r="M1055" s="336"/>
      <c r="N1055" s="158"/>
      <c r="O1055" s="333"/>
      <c r="P1055" s="158"/>
      <c r="Q1055" s="338"/>
      <c r="R1055" s="81">
        <f t="shared" si="144"/>
        <v>0</v>
      </c>
      <c r="S1055" s="258"/>
      <c r="T1055" s="333"/>
      <c r="U1055" s="158"/>
      <c r="V1055" s="333"/>
      <c r="W1055" s="158"/>
      <c r="X1055" s="333"/>
      <c r="Y1055" s="158"/>
      <c r="Z1055" s="1002"/>
      <c r="AA1055" s="1003"/>
      <c r="AB1055" s="1004" t="str">
        <f t="shared" si="145"/>
        <v/>
      </c>
      <c r="AC1055" s="1082" t="str">
        <f t="shared" si="146"/>
        <v/>
      </c>
      <c r="AD1055" s="1004"/>
      <c r="AE1055" s="1004"/>
      <c r="AF1055" s="1084" t="str">
        <f t="shared" si="147"/>
        <v/>
      </c>
      <c r="AG1055" s="1082" t="str">
        <f t="shared" si="148"/>
        <v/>
      </c>
      <c r="AH1055" s="1092"/>
      <c r="AI1055" s="1087"/>
      <c r="AJ1055" s="1084" t="str">
        <f t="shared" si="149"/>
        <v/>
      </c>
      <c r="AK1055" s="1083" t="str">
        <f t="shared" si="150"/>
        <v/>
      </c>
      <c r="AL1055" s="211"/>
      <c r="AM1055" s="211"/>
      <c r="AN1055" s="211"/>
      <c r="AO1055" s="211"/>
      <c r="AP1055" s="211"/>
      <c r="AQ1055" s="211"/>
      <c r="AR1055" s="211"/>
      <c r="AS1055" s="211"/>
      <c r="AT1055" s="211"/>
      <c r="AU1055" s="211"/>
      <c r="AV1055" s="211"/>
      <c r="AW1055" s="211"/>
      <c r="AX1055" s="211"/>
      <c r="AY1055" s="211"/>
      <c r="AZ1055" s="211"/>
      <c r="BA1055" s="211"/>
      <c r="BB1055" s="211"/>
      <c r="BC1055" s="211"/>
      <c r="BD1055" s="333"/>
      <c r="BE1055" s="82">
        <f t="shared" si="143"/>
        <v>0</v>
      </c>
    </row>
    <row r="1056" spans="2:57" hidden="1" x14ac:dyDescent="0.3">
      <c r="B1056" s="2">
        <f>+'Base de Datos'!E1056</f>
        <v>0</v>
      </c>
      <c r="C1056" s="2">
        <f>+'Base de Datos'!F1056</f>
        <v>0</v>
      </c>
      <c r="D1056" s="2">
        <f>+'Base de Datos'!G1056</f>
        <v>0</v>
      </c>
      <c r="E1056" s="2">
        <f>+'Base de Datos'!H1056</f>
        <v>0</v>
      </c>
      <c r="F1056" s="197">
        <f>+'Base de Datos'!I1056</f>
        <v>0</v>
      </c>
      <c r="G1056" s="196">
        <f>+'Base de Datos'!M1056</f>
        <v>0</v>
      </c>
      <c r="H1056" s="196">
        <f>+'Base de Datos'!N1056</f>
        <v>0</v>
      </c>
      <c r="I1056" s="196"/>
      <c r="J1056" s="158"/>
      <c r="K1056" s="333"/>
      <c r="L1056" s="211"/>
      <c r="M1056" s="336"/>
      <c r="N1056" s="158"/>
      <c r="O1056" s="333"/>
      <c r="P1056" s="158"/>
      <c r="Q1056" s="338"/>
      <c r="R1056" s="81">
        <f t="shared" si="144"/>
        <v>0</v>
      </c>
      <c r="S1056" s="258"/>
      <c r="T1056" s="333"/>
      <c r="U1056" s="158"/>
      <c r="V1056" s="333"/>
      <c r="W1056" s="158"/>
      <c r="X1056" s="333"/>
      <c r="Y1056" s="158"/>
      <c r="Z1056" s="1002"/>
      <c r="AA1056" s="1003"/>
      <c r="AB1056" s="1004" t="str">
        <f t="shared" si="145"/>
        <v/>
      </c>
      <c r="AC1056" s="1082" t="str">
        <f t="shared" si="146"/>
        <v/>
      </c>
      <c r="AD1056" s="1004"/>
      <c r="AE1056" s="1004"/>
      <c r="AF1056" s="1084" t="str">
        <f t="shared" si="147"/>
        <v/>
      </c>
      <c r="AG1056" s="1082" t="str">
        <f t="shared" si="148"/>
        <v/>
      </c>
      <c r="AH1056" s="1092"/>
      <c r="AI1056" s="1087"/>
      <c r="AJ1056" s="1084" t="str">
        <f t="shared" si="149"/>
        <v/>
      </c>
      <c r="AK1056" s="1083" t="str">
        <f t="shared" si="150"/>
        <v/>
      </c>
      <c r="AL1056" s="211"/>
      <c r="AM1056" s="211"/>
      <c r="AN1056" s="211"/>
      <c r="AO1056" s="211"/>
      <c r="AP1056" s="211"/>
      <c r="AQ1056" s="211"/>
      <c r="AR1056" s="211"/>
      <c r="AS1056" s="211"/>
      <c r="AT1056" s="211"/>
      <c r="AU1056" s="211"/>
      <c r="AV1056" s="211"/>
      <c r="AW1056" s="211"/>
      <c r="AX1056" s="211"/>
      <c r="AY1056" s="211"/>
      <c r="AZ1056" s="211"/>
      <c r="BA1056" s="211"/>
      <c r="BB1056" s="211"/>
      <c r="BC1056" s="211"/>
      <c r="BD1056" s="333"/>
      <c r="BE1056" s="82">
        <f t="shared" si="143"/>
        <v>0</v>
      </c>
    </row>
    <row r="1057" spans="2:57" hidden="1" x14ac:dyDescent="0.3">
      <c r="B1057" s="2">
        <f>+'Base de Datos'!E1057</f>
        <v>0</v>
      </c>
      <c r="C1057" s="2">
        <f>+'Base de Datos'!F1057</f>
        <v>0</v>
      </c>
      <c r="D1057" s="2">
        <f>+'Base de Datos'!G1057</f>
        <v>0</v>
      </c>
      <c r="E1057" s="2">
        <f>+'Base de Datos'!H1057</f>
        <v>0</v>
      </c>
      <c r="F1057" s="197">
        <f>+'Base de Datos'!I1057</f>
        <v>0</v>
      </c>
      <c r="G1057" s="196">
        <f>+'Base de Datos'!M1057</f>
        <v>0</v>
      </c>
      <c r="H1057" s="196">
        <f>+'Base de Datos'!N1057</f>
        <v>0</v>
      </c>
      <c r="I1057" s="196"/>
      <c r="J1057" s="158"/>
      <c r="K1057" s="333"/>
      <c r="L1057" s="211"/>
      <c r="M1057" s="336"/>
      <c r="N1057" s="158"/>
      <c r="O1057" s="333"/>
      <c r="P1057" s="158"/>
      <c r="Q1057" s="338"/>
      <c r="R1057" s="81">
        <f t="shared" si="144"/>
        <v>0</v>
      </c>
      <c r="S1057" s="258"/>
      <c r="T1057" s="333"/>
      <c r="U1057" s="158"/>
      <c r="V1057" s="333"/>
      <c r="W1057" s="158"/>
      <c r="X1057" s="333"/>
      <c r="Y1057" s="158"/>
      <c r="Z1057" s="1002"/>
      <c r="AA1057" s="1003"/>
      <c r="AB1057" s="1004" t="str">
        <f t="shared" si="145"/>
        <v/>
      </c>
      <c r="AC1057" s="1082" t="str">
        <f t="shared" si="146"/>
        <v/>
      </c>
      <c r="AD1057" s="1004"/>
      <c r="AE1057" s="1004"/>
      <c r="AF1057" s="1084" t="str">
        <f t="shared" si="147"/>
        <v/>
      </c>
      <c r="AG1057" s="1082" t="str">
        <f t="shared" si="148"/>
        <v/>
      </c>
      <c r="AH1057" s="1092"/>
      <c r="AI1057" s="1087"/>
      <c r="AJ1057" s="1084" t="str">
        <f t="shared" si="149"/>
        <v/>
      </c>
      <c r="AK1057" s="1083" t="str">
        <f t="shared" si="150"/>
        <v/>
      </c>
      <c r="AL1057" s="211"/>
      <c r="AM1057" s="211"/>
      <c r="AN1057" s="211"/>
      <c r="AO1057" s="211"/>
      <c r="AP1057" s="211"/>
      <c r="AQ1057" s="211"/>
      <c r="AR1057" s="211"/>
      <c r="AS1057" s="211"/>
      <c r="AT1057" s="211"/>
      <c r="AU1057" s="211"/>
      <c r="AV1057" s="211"/>
      <c r="AW1057" s="211"/>
      <c r="AX1057" s="211"/>
      <c r="AY1057" s="211"/>
      <c r="AZ1057" s="211"/>
      <c r="BA1057" s="211"/>
      <c r="BB1057" s="211"/>
      <c r="BC1057" s="211"/>
      <c r="BD1057" s="333"/>
      <c r="BE1057" s="82">
        <f t="shared" si="143"/>
        <v>0</v>
      </c>
    </row>
    <row r="1058" spans="2:57" hidden="1" x14ac:dyDescent="0.3">
      <c r="B1058" s="2">
        <f>+'Base de Datos'!E1058</f>
        <v>0</v>
      </c>
      <c r="C1058" s="2">
        <f>+'Base de Datos'!F1058</f>
        <v>0</v>
      </c>
      <c r="D1058" s="2">
        <f>+'Base de Datos'!G1058</f>
        <v>0</v>
      </c>
      <c r="E1058" s="2">
        <f>+'Base de Datos'!H1058</f>
        <v>0</v>
      </c>
      <c r="F1058" s="197">
        <f>+'Base de Datos'!I1058</f>
        <v>0</v>
      </c>
      <c r="G1058" s="196">
        <f>+'Base de Datos'!M1058</f>
        <v>0</v>
      </c>
      <c r="H1058" s="196">
        <f>+'Base de Datos'!N1058</f>
        <v>0</v>
      </c>
      <c r="I1058" s="196"/>
      <c r="J1058" s="158"/>
      <c r="K1058" s="333"/>
      <c r="L1058" s="211"/>
      <c r="M1058" s="336"/>
      <c r="N1058" s="158"/>
      <c r="O1058" s="333"/>
      <c r="P1058" s="158"/>
      <c r="Q1058" s="338"/>
      <c r="R1058" s="81">
        <f t="shared" si="144"/>
        <v>0</v>
      </c>
      <c r="S1058" s="258"/>
      <c r="T1058" s="333"/>
      <c r="U1058" s="158"/>
      <c r="V1058" s="333"/>
      <c r="W1058" s="158"/>
      <c r="X1058" s="333"/>
      <c r="Y1058" s="158"/>
      <c r="Z1058" s="1002"/>
      <c r="AA1058" s="1003"/>
      <c r="AB1058" s="1004" t="str">
        <f t="shared" si="145"/>
        <v/>
      </c>
      <c r="AC1058" s="1082" t="str">
        <f t="shared" si="146"/>
        <v/>
      </c>
      <c r="AD1058" s="1004"/>
      <c r="AE1058" s="1004"/>
      <c r="AF1058" s="1084" t="str">
        <f t="shared" si="147"/>
        <v/>
      </c>
      <c r="AG1058" s="1082" t="str">
        <f t="shared" si="148"/>
        <v/>
      </c>
      <c r="AH1058" s="1092"/>
      <c r="AI1058" s="1087"/>
      <c r="AJ1058" s="1084" t="str">
        <f t="shared" si="149"/>
        <v/>
      </c>
      <c r="AK1058" s="1083" t="str">
        <f t="shared" si="150"/>
        <v/>
      </c>
      <c r="AL1058" s="211"/>
      <c r="AM1058" s="211"/>
      <c r="AN1058" s="211"/>
      <c r="AO1058" s="211"/>
      <c r="AP1058" s="211"/>
      <c r="AQ1058" s="211"/>
      <c r="AR1058" s="211"/>
      <c r="AS1058" s="211"/>
      <c r="AT1058" s="211"/>
      <c r="AU1058" s="211"/>
      <c r="AV1058" s="211"/>
      <c r="AW1058" s="211"/>
      <c r="AX1058" s="211"/>
      <c r="AY1058" s="211"/>
      <c r="AZ1058" s="211"/>
      <c r="BA1058" s="211"/>
      <c r="BB1058" s="211"/>
      <c r="BC1058" s="211"/>
      <c r="BD1058" s="333"/>
      <c r="BE1058" s="82">
        <f t="shared" si="143"/>
        <v>0</v>
      </c>
    </row>
    <row r="1059" spans="2:57" hidden="1" x14ac:dyDescent="0.3">
      <c r="B1059" s="2">
        <f>+'Base de Datos'!E1059</f>
        <v>0</v>
      </c>
      <c r="C1059" s="2">
        <f>+'Base de Datos'!F1059</f>
        <v>0</v>
      </c>
      <c r="D1059" s="2">
        <f>+'Base de Datos'!G1059</f>
        <v>0</v>
      </c>
      <c r="E1059" s="2">
        <f>+'Base de Datos'!H1059</f>
        <v>0</v>
      </c>
      <c r="F1059" s="197">
        <f>+'Base de Datos'!I1059</f>
        <v>0</v>
      </c>
      <c r="G1059" s="196">
        <f>+'Base de Datos'!M1059</f>
        <v>0</v>
      </c>
      <c r="H1059" s="196">
        <f>+'Base de Datos'!N1059</f>
        <v>0</v>
      </c>
      <c r="I1059" s="196"/>
      <c r="J1059" s="158"/>
      <c r="K1059" s="333"/>
      <c r="L1059" s="211"/>
      <c r="M1059" s="336"/>
      <c r="N1059" s="158"/>
      <c r="O1059" s="333"/>
      <c r="P1059" s="158"/>
      <c r="Q1059" s="338"/>
      <c r="R1059" s="81">
        <f t="shared" si="144"/>
        <v>0</v>
      </c>
      <c r="S1059" s="258"/>
      <c r="T1059" s="333"/>
      <c r="U1059" s="158"/>
      <c r="V1059" s="333"/>
      <c r="W1059" s="158"/>
      <c r="X1059" s="333"/>
      <c r="Y1059" s="158"/>
      <c r="Z1059" s="1002"/>
      <c r="AA1059" s="1003"/>
      <c r="AB1059" s="1004" t="str">
        <f t="shared" si="145"/>
        <v/>
      </c>
      <c r="AC1059" s="1082" t="str">
        <f t="shared" si="146"/>
        <v/>
      </c>
      <c r="AD1059" s="1004"/>
      <c r="AE1059" s="1004"/>
      <c r="AF1059" s="1084" t="str">
        <f t="shared" si="147"/>
        <v/>
      </c>
      <c r="AG1059" s="1082" t="str">
        <f t="shared" si="148"/>
        <v/>
      </c>
      <c r="AH1059" s="1092"/>
      <c r="AI1059" s="1087"/>
      <c r="AJ1059" s="1084" t="str">
        <f t="shared" si="149"/>
        <v/>
      </c>
      <c r="AK1059" s="1083" t="str">
        <f t="shared" si="150"/>
        <v/>
      </c>
      <c r="AL1059" s="211"/>
      <c r="AM1059" s="211"/>
      <c r="AN1059" s="211"/>
      <c r="AO1059" s="211"/>
      <c r="AP1059" s="211"/>
      <c r="AQ1059" s="211"/>
      <c r="AR1059" s="211"/>
      <c r="AS1059" s="211"/>
      <c r="AT1059" s="211"/>
      <c r="AU1059" s="211"/>
      <c r="AV1059" s="211"/>
      <c r="AW1059" s="211"/>
      <c r="AX1059" s="211"/>
      <c r="AY1059" s="211"/>
      <c r="AZ1059" s="211"/>
      <c r="BA1059" s="211"/>
      <c r="BB1059" s="211"/>
      <c r="BC1059" s="211"/>
      <c r="BD1059" s="333"/>
      <c r="BE1059" s="82">
        <f t="shared" si="143"/>
        <v>0</v>
      </c>
    </row>
    <row r="1060" spans="2:57" hidden="1" x14ac:dyDescent="0.3">
      <c r="B1060" s="2">
        <f>+'Base de Datos'!E1060</f>
        <v>0</v>
      </c>
      <c r="C1060" s="2">
        <f>+'Base de Datos'!F1060</f>
        <v>0</v>
      </c>
      <c r="D1060" s="2">
        <f>+'Base de Datos'!G1060</f>
        <v>0</v>
      </c>
      <c r="E1060" s="2">
        <f>+'Base de Datos'!H1060</f>
        <v>0</v>
      </c>
      <c r="F1060" s="197">
        <f>+'Base de Datos'!I1060</f>
        <v>0</v>
      </c>
      <c r="G1060" s="196">
        <f>+'Base de Datos'!M1060</f>
        <v>0</v>
      </c>
      <c r="H1060" s="196">
        <f>+'Base de Datos'!N1060</f>
        <v>0</v>
      </c>
      <c r="I1060" s="196"/>
      <c r="J1060" s="158"/>
      <c r="K1060" s="333"/>
      <c r="L1060" s="211"/>
      <c r="M1060" s="336"/>
      <c r="N1060" s="158"/>
      <c r="O1060" s="333"/>
      <c r="P1060" s="158"/>
      <c r="Q1060" s="338"/>
      <c r="R1060" s="81">
        <f t="shared" si="144"/>
        <v>0</v>
      </c>
      <c r="S1060" s="258"/>
      <c r="T1060" s="333"/>
      <c r="U1060" s="158"/>
      <c r="V1060" s="333"/>
      <c r="W1060" s="158"/>
      <c r="X1060" s="333"/>
      <c r="Y1060" s="158"/>
      <c r="Z1060" s="1002"/>
      <c r="AA1060" s="1003"/>
      <c r="AB1060" s="1004" t="str">
        <f t="shared" si="145"/>
        <v/>
      </c>
      <c r="AC1060" s="1082" t="str">
        <f t="shared" si="146"/>
        <v/>
      </c>
      <c r="AD1060" s="1004"/>
      <c r="AE1060" s="1004"/>
      <c r="AF1060" s="1084" t="str">
        <f t="shared" si="147"/>
        <v/>
      </c>
      <c r="AG1060" s="1082" t="str">
        <f t="shared" si="148"/>
        <v/>
      </c>
      <c r="AH1060" s="1092"/>
      <c r="AI1060" s="1087"/>
      <c r="AJ1060" s="1084" t="str">
        <f t="shared" si="149"/>
        <v/>
      </c>
      <c r="AK1060" s="1083" t="str">
        <f t="shared" si="150"/>
        <v/>
      </c>
      <c r="AL1060" s="211"/>
      <c r="AM1060" s="211"/>
      <c r="AN1060" s="211"/>
      <c r="AO1060" s="211"/>
      <c r="AP1060" s="211"/>
      <c r="AQ1060" s="211"/>
      <c r="AR1060" s="211"/>
      <c r="AS1060" s="211"/>
      <c r="AT1060" s="211"/>
      <c r="AU1060" s="211"/>
      <c r="AV1060" s="211"/>
      <c r="AW1060" s="211"/>
      <c r="AX1060" s="211"/>
      <c r="AY1060" s="211"/>
      <c r="AZ1060" s="211"/>
      <c r="BA1060" s="211"/>
      <c r="BB1060" s="211"/>
      <c r="BC1060" s="211"/>
      <c r="BD1060" s="333"/>
      <c r="BE1060" s="82">
        <f t="shared" si="143"/>
        <v>0</v>
      </c>
    </row>
    <row r="1061" spans="2:57" hidden="1" x14ac:dyDescent="0.3">
      <c r="B1061" s="2">
        <f>+'Base de Datos'!E1061</f>
        <v>0</v>
      </c>
      <c r="C1061" s="2">
        <f>+'Base de Datos'!F1061</f>
        <v>0</v>
      </c>
      <c r="D1061" s="2">
        <f>+'Base de Datos'!G1061</f>
        <v>0</v>
      </c>
      <c r="E1061" s="2">
        <f>+'Base de Datos'!H1061</f>
        <v>0</v>
      </c>
      <c r="F1061" s="197">
        <f>+'Base de Datos'!I1061</f>
        <v>0</v>
      </c>
      <c r="G1061" s="196">
        <f>+'Base de Datos'!M1061</f>
        <v>0</v>
      </c>
      <c r="H1061" s="196">
        <f>+'Base de Datos'!N1061</f>
        <v>0</v>
      </c>
      <c r="I1061" s="196"/>
      <c r="J1061" s="158"/>
      <c r="K1061" s="333"/>
      <c r="L1061" s="211"/>
      <c r="M1061" s="336"/>
      <c r="N1061" s="158"/>
      <c r="O1061" s="333"/>
      <c r="P1061" s="158"/>
      <c r="Q1061" s="338"/>
      <c r="R1061" s="81">
        <f t="shared" si="144"/>
        <v>0</v>
      </c>
      <c r="S1061" s="258"/>
      <c r="T1061" s="333"/>
      <c r="U1061" s="158"/>
      <c r="V1061" s="333"/>
      <c r="W1061" s="158"/>
      <c r="X1061" s="333"/>
      <c r="Y1061" s="158"/>
      <c r="Z1061" s="1002"/>
      <c r="AA1061" s="1003"/>
      <c r="AB1061" s="1004" t="str">
        <f t="shared" si="145"/>
        <v/>
      </c>
      <c r="AC1061" s="1082" t="str">
        <f t="shared" si="146"/>
        <v/>
      </c>
      <c r="AD1061" s="1004"/>
      <c r="AE1061" s="1004"/>
      <c r="AF1061" s="1084" t="str">
        <f t="shared" si="147"/>
        <v/>
      </c>
      <c r="AG1061" s="1082" t="str">
        <f t="shared" si="148"/>
        <v/>
      </c>
      <c r="AH1061" s="1092"/>
      <c r="AI1061" s="1087"/>
      <c r="AJ1061" s="1084" t="str">
        <f t="shared" si="149"/>
        <v/>
      </c>
      <c r="AK1061" s="1083" t="str">
        <f t="shared" si="150"/>
        <v/>
      </c>
      <c r="AL1061" s="211"/>
      <c r="AM1061" s="211"/>
      <c r="AN1061" s="211"/>
      <c r="AO1061" s="211"/>
      <c r="AP1061" s="211"/>
      <c r="AQ1061" s="211"/>
      <c r="AR1061" s="211"/>
      <c r="AS1061" s="211"/>
      <c r="AT1061" s="211"/>
      <c r="AU1061" s="211"/>
      <c r="AV1061" s="211"/>
      <c r="AW1061" s="211"/>
      <c r="AX1061" s="211"/>
      <c r="AY1061" s="211"/>
      <c r="AZ1061" s="211"/>
      <c r="BA1061" s="211"/>
      <c r="BB1061" s="211"/>
      <c r="BC1061" s="211"/>
      <c r="BD1061" s="333"/>
      <c r="BE1061" s="82">
        <f t="shared" si="143"/>
        <v>0</v>
      </c>
    </row>
    <row r="1062" spans="2:57" hidden="1" x14ac:dyDescent="0.3">
      <c r="B1062" s="2">
        <f>+'Base de Datos'!E1062</f>
        <v>0</v>
      </c>
      <c r="C1062" s="2">
        <f>+'Base de Datos'!F1062</f>
        <v>0</v>
      </c>
      <c r="D1062" s="2">
        <f>+'Base de Datos'!G1062</f>
        <v>0</v>
      </c>
      <c r="E1062" s="2">
        <f>+'Base de Datos'!H1062</f>
        <v>0</v>
      </c>
      <c r="F1062" s="197">
        <f>+'Base de Datos'!I1062</f>
        <v>0</v>
      </c>
      <c r="G1062" s="196">
        <f>+'Base de Datos'!M1062</f>
        <v>0</v>
      </c>
      <c r="H1062" s="196">
        <f>+'Base de Datos'!N1062</f>
        <v>0</v>
      </c>
      <c r="I1062" s="196"/>
      <c r="J1062" s="158"/>
      <c r="K1062" s="333"/>
      <c r="L1062" s="211"/>
      <c r="M1062" s="336"/>
      <c r="N1062" s="158"/>
      <c r="O1062" s="333"/>
      <c r="P1062" s="158"/>
      <c r="Q1062" s="338"/>
      <c r="R1062" s="81">
        <f t="shared" si="144"/>
        <v>0</v>
      </c>
      <c r="S1062" s="258"/>
      <c r="T1062" s="333"/>
      <c r="U1062" s="158"/>
      <c r="V1062" s="333"/>
      <c r="W1062" s="158"/>
      <c r="X1062" s="333"/>
      <c r="Y1062" s="158"/>
      <c r="Z1062" s="1002"/>
      <c r="AA1062" s="1003"/>
      <c r="AB1062" s="1004" t="str">
        <f t="shared" si="145"/>
        <v/>
      </c>
      <c r="AC1062" s="1082" t="str">
        <f t="shared" si="146"/>
        <v/>
      </c>
      <c r="AD1062" s="1004"/>
      <c r="AE1062" s="1004"/>
      <c r="AF1062" s="1084" t="str">
        <f t="shared" si="147"/>
        <v/>
      </c>
      <c r="AG1062" s="1082" t="str">
        <f t="shared" si="148"/>
        <v/>
      </c>
      <c r="AH1062" s="1092"/>
      <c r="AI1062" s="1087"/>
      <c r="AJ1062" s="1084" t="str">
        <f t="shared" si="149"/>
        <v/>
      </c>
      <c r="AK1062" s="1083" t="str">
        <f t="shared" si="150"/>
        <v/>
      </c>
      <c r="AL1062" s="211"/>
      <c r="AM1062" s="211"/>
      <c r="AN1062" s="211"/>
      <c r="AO1062" s="211"/>
      <c r="AP1062" s="211"/>
      <c r="AQ1062" s="211"/>
      <c r="AR1062" s="211"/>
      <c r="AS1062" s="211"/>
      <c r="AT1062" s="211"/>
      <c r="AU1062" s="211"/>
      <c r="AV1062" s="211"/>
      <c r="AW1062" s="211"/>
      <c r="AX1062" s="211"/>
      <c r="AY1062" s="211"/>
      <c r="AZ1062" s="211"/>
      <c r="BA1062" s="211"/>
      <c r="BB1062" s="211"/>
      <c r="BC1062" s="211"/>
      <c r="BD1062" s="333"/>
      <c r="BE1062" s="82">
        <f t="shared" si="143"/>
        <v>0</v>
      </c>
    </row>
    <row r="1063" spans="2:57" hidden="1" x14ac:dyDescent="0.3">
      <c r="B1063" s="2">
        <f>+'Base de Datos'!E1063</f>
        <v>0</v>
      </c>
      <c r="C1063" s="2">
        <f>+'Base de Datos'!F1063</f>
        <v>0</v>
      </c>
      <c r="D1063" s="2">
        <f>+'Base de Datos'!G1063</f>
        <v>0</v>
      </c>
      <c r="E1063" s="2">
        <f>+'Base de Datos'!H1063</f>
        <v>0</v>
      </c>
      <c r="F1063" s="197">
        <f>+'Base de Datos'!I1063</f>
        <v>0</v>
      </c>
      <c r="G1063" s="196">
        <f>+'Base de Datos'!M1063</f>
        <v>0</v>
      </c>
      <c r="H1063" s="196">
        <f>+'Base de Datos'!N1063</f>
        <v>0</v>
      </c>
      <c r="I1063" s="196"/>
      <c r="J1063" s="158"/>
      <c r="K1063" s="333"/>
      <c r="L1063" s="211"/>
      <c r="M1063" s="336"/>
      <c r="N1063" s="158"/>
      <c r="O1063" s="333"/>
      <c r="P1063" s="158"/>
      <c r="Q1063" s="338"/>
      <c r="R1063" s="81">
        <f t="shared" si="144"/>
        <v>0</v>
      </c>
      <c r="S1063" s="258"/>
      <c r="T1063" s="333"/>
      <c r="U1063" s="158"/>
      <c r="V1063" s="333"/>
      <c r="W1063" s="158"/>
      <c r="X1063" s="333"/>
      <c r="Y1063" s="158"/>
      <c r="Z1063" s="1002"/>
      <c r="AA1063" s="1003"/>
      <c r="AB1063" s="1004" t="str">
        <f t="shared" si="145"/>
        <v/>
      </c>
      <c r="AC1063" s="1082" t="str">
        <f t="shared" si="146"/>
        <v/>
      </c>
      <c r="AD1063" s="1004"/>
      <c r="AE1063" s="1004"/>
      <c r="AF1063" s="1084" t="str">
        <f t="shared" si="147"/>
        <v/>
      </c>
      <c r="AG1063" s="1082" t="str">
        <f t="shared" si="148"/>
        <v/>
      </c>
      <c r="AH1063" s="1092"/>
      <c r="AI1063" s="1087"/>
      <c r="AJ1063" s="1084" t="str">
        <f t="shared" si="149"/>
        <v/>
      </c>
      <c r="AK1063" s="1083" t="str">
        <f t="shared" si="150"/>
        <v/>
      </c>
      <c r="AL1063" s="211"/>
      <c r="AM1063" s="211"/>
      <c r="AN1063" s="211"/>
      <c r="AO1063" s="211"/>
      <c r="AP1063" s="211"/>
      <c r="AQ1063" s="211"/>
      <c r="AR1063" s="211"/>
      <c r="AS1063" s="211"/>
      <c r="AT1063" s="211"/>
      <c r="AU1063" s="211"/>
      <c r="AV1063" s="211"/>
      <c r="AW1063" s="211"/>
      <c r="AX1063" s="211"/>
      <c r="AY1063" s="211"/>
      <c r="AZ1063" s="211"/>
      <c r="BA1063" s="211"/>
      <c r="BB1063" s="211"/>
      <c r="BC1063" s="211"/>
      <c r="BD1063" s="333"/>
      <c r="BE1063" s="82">
        <f t="shared" si="143"/>
        <v>0</v>
      </c>
    </row>
    <row r="1064" spans="2:57" hidden="1" x14ac:dyDescent="0.3">
      <c r="B1064" s="2">
        <f>+'Base de Datos'!E1064</f>
        <v>0</v>
      </c>
      <c r="C1064" s="2">
        <f>+'Base de Datos'!F1064</f>
        <v>0</v>
      </c>
      <c r="D1064" s="2">
        <f>+'Base de Datos'!G1064</f>
        <v>0</v>
      </c>
      <c r="E1064" s="2">
        <f>+'Base de Datos'!H1064</f>
        <v>0</v>
      </c>
      <c r="F1064" s="197">
        <f>+'Base de Datos'!I1064</f>
        <v>0</v>
      </c>
      <c r="G1064" s="196">
        <f>+'Base de Datos'!M1064</f>
        <v>0</v>
      </c>
      <c r="H1064" s="196">
        <f>+'Base de Datos'!N1064</f>
        <v>0</v>
      </c>
      <c r="I1064" s="196"/>
      <c r="J1064" s="158"/>
      <c r="K1064" s="333"/>
      <c r="L1064" s="211"/>
      <c r="M1064" s="336"/>
      <c r="N1064" s="158"/>
      <c r="O1064" s="333"/>
      <c r="P1064" s="158"/>
      <c r="Q1064" s="338"/>
      <c r="R1064" s="81">
        <f t="shared" si="144"/>
        <v>0</v>
      </c>
      <c r="S1064" s="258"/>
      <c r="T1064" s="333"/>
      <c r="U1064" s="158"/>
      <c r="V1064" s="333"/>
      <c r="W1064" s="158"/>
      <c r="X1064" s="333"/>
      <c r="Y1064" s="158"/>
      <c r="Z1064" s="1002"/>
      <c r="AA1064" s="1003"/>
      <c r="AB1064" s="1004" t="str">
        <f t="shared" si="145"/>
        <v/>
      </c>
      <c r="AC1064" s="1082" t="str">
        <f t="shared" si="146"/>
        <v/>
      </c>
      <c r="AD1064" s="1004"/>
      <c r="AE1064" s="1004"/>
      <c r="AF1064" s="1084" t="str">
        <f t="shared" si="147"/>
        <v/>
      </c>
      <c r="AG1064" s="1082" t="str">
        <f t="shared" si="148"/>
        <v/>
      </c>
      <c r="AH1064" s="1092"/>
      <c r="AI1064" s="1087"/>
      <c r="AJ1064" s="1084" t="str">
        <f t="shared" si="149"/>
        <v/>
      </c>
      <c r="AK1064" s="1083" t="str">
        <f t="shared" si="150"/>
        <v/>
      </c>
      <c r="AL1064" s="211"/>
      <c r="AM1064" s="211"/>
      <c r="AN1064" s="211"/>
      <c r="AO1064" s="211"/>
      <c r="AP1064" s="211"/>
      <c r="AQ1064" s="211"/>
      <c r="AR1064" s="211"/>
      <c r="AS1064" s="211"/>
      <c r="AT1064" s="211"/>
      <c r="AU1064" s="211"/>
      <c r="AV1064" s="211"/>
      <c r="AW1064" s="211"/>
      <c r="AX1064" s="211"/>
      <c r="AY1064" s="211"/>
      <c r="AZ1064" s="211"/>
      <c r="BA1064" s="211"/>
      <c r="BB1064" s="211"/>
      <c r="BC1064" s="211"/>
      <c r="BD1064" s="333"/>
      <c r="BE1064" s="82">
        <f t="shared" si="143"/>
        <v>0</v>
      </c>
    </row>
    <row r="1065" spans="2:57" hidden="1" x14ac:dyDescent="0.3">
      <c r="B1065" s="2">
        <f>+'Base de Datos'!E1065</f>
        <v>0</v>
      </c>
      <c r="C1065" s="2">
        <f>+'Base de Datos'!F1065</f>
        <v>0</v>
      </c>
      <c r="D1065" s="2">
        <f>+'Base de Datos'!G1065</f>
        <v>0</v>
      </c>
      <c r="E1065" s="2">
        <f>+'Base de Datos'!H1065</f>
        <v>0</v>
      </c>
      <c r="F1065" s="197">
        <f>+'Base de Datos'!I1065</f>
        <v>0</v>
      </c>
      <c r="G1065" s="196">
        <f>+'Base de Datos'!M1065</f>
        <v>0</v>
      </c>
      <c r="H1065" s="196">
        <f>+'Base de Datos'!N1065</f>
        <v>0</v>
      </c>
      <c r="I1065" s="196"/>
      <c r="J1065" s="158"/>
      <c r="K1065" s="333"/>
      <c r="L1065" s="211"/>
      <c r="M1065" s="336"/>
      <c r="N1065" s="158"/>
      <c r="O1065" s="333"/>
      <c r="P1065" s="158"/>
      <c r="Q1065" s="338"/>
      <c r="R1065" s="81">
        <f t="shared" si="144"/>
        <v>0</v>
      </c>
      <c r="S1065" s="258"/>
      <c r="T1065" s="333"/>
      <c r="U1065" s="158"/>
      <c r="V1065" s="333"/>
      <c r="W1065" s="158"/>
      <c r="X1065" s="333"/>
      <c r="Y1065" s="158"/>
      <c r="Z1065" s="1002"/>
      <c r="AA1065" s="1003"/>
      <c r="AB1065" s="1004" t="str">
        <f t="shared" si="145"/>
        <v/>
      </c>
      <c r="AC1065" s="1082" t="str">
        <f t="shared" si="146"/>
        <v/>
      </c>
      <c r="AD1065" s="1004"/>
      <c r="AE1065" s="1004"/>
      <c r="AF1065" s="1084" t="str">
        <f t="shared" si="147"/>
        <v/>
      </c>
      <c r="AG1065" s="1082" t="str">
        <f t="shared" si="148"/>
        <v/>
      </c>
      <c r="AH1065" s="1092"/>
      <c r="AI1065" s="1087"/>
      <c r="AJ1065" s="1084" t="str">
        <f t="shared" si="149"/>
        <v/>
      </c>
      <c r="AK1065" s="1083" t="str">
        <f t="shared" si="150"/>
        <v/>
      </c>
      <c r="AL1065" s="211"/>
      <c r="AM1065" s="211"/>
      <c r="AN1065" s="211"/>
      <c r="AO1065" s="211"/>
      <c r="AP1065" s="211"/>
      <c r="AQ1065" s="211"/>
      <c r="AR1065" s="211"/>
      <c r="AS1065" s="211"/>
      <c r="AT1065" s="211"/>
      <c r="AU1065" s="211"/>
      <c r="AV1065" s="211"/>
      <c r="AW1065" s="211"/>
      <c r="AX1065" s="211"/>
      <c r="AY1065" s="211"/>
      <c r="AZ1065" s="211"/>
      <c r="BA1065" s="211"/>
      <c r="BB1065" s="211"/>
      <c r="BC1065" s="211"/>
      <c r="BD1065" s="333"/>
      <c r="BE1065" s="82">
        <f t="shared" si="143"/>
        <v>0</v>
      </c>
    </row>
    <row r="1066" spans="2:57" hidden="1" x14ac:dyDescent="0.3">
      <c r="B1066" s="2">
        <f>+'Base de Datos'!E1066</f>
        <v>0</v>
      </c>
      <c r="C1066" s="2">
        <f>+'Base de Datos'!F1066</f>
        <v>0</v>
      </c>
      <c r="D1066" s="2">
        <f>+'Base de Datos'!G1066</f>
        <v>0</v>
      </c>
      <c r="E1066" s="2">
        <f>+'Base de Datos'!H1066</f>
        <v>0</v>
      </c>
      <c r="F1066" s="197">
        <f>+'Base de Datos'!I1066</f>
        <v>0</v>
      </c>
      <c r="G1066" s="196">
        <f>+'Base de Datos'!M1066</f>
        <v>0</v>
      </c>
      <c r="H1066" s="196">
        <f>+'Base de Datos'!N1066</f>
        <v>0</v>
      </c>
      <c r="I1066" s="196"/>
      <c r="J1066" s="158"/>
      <c r="K1066" s="333"/>
      <c r="L1066" s="211"/>
      <c r="M1066" s="336"/>
      <c r="N1066" s="158"/>
      <c r="O1066" s="333"/>
      <c r="P1066" s="158"/>
      <c r="Q1066" s="338"/>
      <c r="R1066" s="81">
        <f t="shared" si="144"/>
        <v>0</v>
      </c>
      <c r="S1066" s="258"/>
      <c r="T1066" s="333"/>
      <c r="U1066" s="158"/>
      <c r="V1066" s="333"/>
      <c r="W1066" s="158"/>
      <c r="X1066" s="333"/>
      <c r="Y1066" s="158"/>
      <c r="Z1066" s="1002"/>
      <c r="AA1066" s="1003"/>
      <c r="AB1066" s="1004" t="str">
        <f t="shared" si="145"/>
        <v/>
      </c>
      <c r="AC1066" s="1082" t="str">
        <f t="shared" si="146"/>
        <v/>
      </c>
      <c r="AD1066" s="1004"/>
      <c r="AE1066" s="1004"/>
      <c r="AF1066" s="1084" t="str">
        <f t="shared" si="147"/>
        <v/>
      </c>
      <c r="AG1066" s="1082" t="str">
        <f t="shared" si="148"/>
        <v/>
      </c>
      <c r="AH1066" s="1092"/>
      <c r="AI1066" s="1087"/>
      <c r="AJ1066" s="1084" t="str">
        <f t="shared" si="149"/>
        <v/>
      </c>
      <c r="AK1066" s="1083" t="str">
        <f t="shared" si="150"/>
        <v/>
      </c>
      <c r="AL1066" s="211"/>
      <c r="AM1066" s="211"/>
      <c r="AN1066" s="211"/>
      <c r="AO1066" s="211"/>
      <c r="AP1066" s="211"/>
      <c r="AQ1066" s="211"/>
      <c r="AR1066" s="211"/>
      <c r="AS1066" s="211"/>
      <c r="AT1066" s="211"/>
      <c r="AU1066" s="211"/>
      <c r="AV1066" s="211"/>
      <c r="AW1066" s="211"/>
      <c r="AX1066" s="211"/>
      <c r="AY1066" s="211"/>
      <c r="AZ1066" s="211"/>
      <c r="BA1066" s="211"/>
      <c r="BB1066" s="211"/>
      <c r="BC1066" s="211"/>
      <c r="BD1066" s="333"/>
      <c r="BE1066" s="82">
        <f t="shared" si="143"/>
        <v>0</v>
      </c>
    </row>
    <row r="1067" spans="2:57" hidden="1" x14ac:dyDescent="0.3">
      <c r="B1067" s="2">
        <f>+'Base de Datos'!E1067</f>
        <v>0</v>
      </c>
      <c r="C1067" s="2">
        <f>+'Base de Datos'!F1067</f>
        <v>0</v>
      </c>
      <c r="D1067" s="2">
        <f>+'Base de Datos'!G1067</f>
        <v>0</v>
      </c>
      <c r="E1067" s="2">
        <f>+'Base de Datos'!H1067</f>
        <v>0</v>
      </c>
      <c r="F1067" s="197">
        <f>+'Base de Datos'!I1067</f>
        <v>0</v>
      </c>
      <c r="G1067" s="196">
        <f>+'Base de Datos'!M1067</f>
        <v>0</v>
      </c>
      <c r="H1067" s="196">
        <f>+'Base de Datos'!N1067</f>
        <v>0</v>
      </c>
      <c r="I1067" s="196"/>
      <c r="J1067" s="158"/>
      <c r="K1067" s="333"/>
      <c r="L1067" s="211"/>
      <c r="M1067" s="336"/>
      <c r="N1067" s="158"/>
      <c r="O1067" s="333"/>
      <c r="P1067" s="158"/>
      <c r="Q1067" s="338"/>
      <c r="R1067" s="81">
        <f t="shared" si="144"/>
        <v>0</v>
      </c>
      <c r="S1067" s="258"/>
      <c r="T1067" s="333"/>
      <c r="U1067" s="158"/>
      <c r="V1067" s="333"/>
      <c r="W1067" s="158"/>
      <c r="X1067" s="333"/>
      <c r="Y1067" s="158"/>
      <c r="Z1067" s="1002"/>
      <c r="AA1067" s="1003"/>
      <c r="AB1067" s="1004" t="str">
        <f t="shared" si="145"/>
        <v/>
      </c>
      <c r="AC1067" s="1082" t="str">
        <f t="shared" si="146"/>
        <v/>
      </c>
      <c r="AD1067" s="1004"/>
      <c r="AE1067" s="1004"/>
      <c r="AF1067" s="1084" t="str">
        <f t="shared" si="147"/>
        <v/>
      </c>
      <c r="AG1067" s="1082" t="str">
        <f t="shared" si="148"/>
        <v/>
      </c>
      <c r="AH1067" s="1092"/>
      <c r="AI1067" s="1087"/>
      <c r="AJ1067" s="1084" t="str">
        <f t="shared" si="149"/>
        <v/>
      </c>
      <c r="AK1067" s="1083" t="str">
        <f t="shared" si="150"/>
        <v/>
      </c>
      <c r="AL1067" s="211"/>
      <c r="AM1067" s="211"/>
      <c r="AN1067" s="211"/>
      <c r="AO1067" s="211"/>
      <c r="AP1067" s="211"/>
      <c r="AQ1067" s="211"/>
      <c r="AR1067" s="211"/>
      <c r="AS1067" s="211"/>
      <c r="AT1067" s="211"/>
      <c r="AU1067" s="211"/>
      <c r="AV1067" s="211"/>
      <c r="AW1067" s="211"/>
      <c r="AX1067" s="211"/>
      <c r="AY1067" s="211"/>
      <c r="AZ1067" s="211"/>
      <c r="BA1067" s="211"/>
      <c r="BB1067" s="211"/>
      <c r="BC1067" s="211"/>
      <c r="BD1067" s="333"/>
      <c r="BE1067" s="82">
        <f t="shared" si="143"/>
        <v>0</v>
      </c>
    </row>
    <row r="1068" spans="2:57" hidden="1" x14ac:dyDescent="0.3">
      <c r="B1068" s="2">
        <f>+'Base de Datos'!E1068</f>
        <v>0</v>
      </c>
      <c r="C1068" s="2">
        <f>+'Base de Datos'!F1068</f>
        <v>0</v>
      </c>
      <c r="D1068" s="2">
        <f>+'Base de Datos'!G1068</f>
        <v>0</v>
      </c>
      <c r="E1068" s="2">
        <f>+'Base de Datos'!H1068</f>
        <v>0</v>
      </c>
      <c r="F1068" s="197">
        <f>+'Base de Datos'!I1068</f>
        <v>0</v>
      </c>
      <c r="G1068" s="196">
        <f>+'Base de Datos'!M1068</f>
        <v>0</v>
      </c>
      <c r="H1068" s="196">
        <f>+'Base de Datos'!N1068</f>
        <v>0</v>
      </c>
      <c r="I1068" s="196"/>
      <c r="J1068" s="158"/>
      <c r="K1068" s="333"/>
      <c r="L1068" s="211"/>
      <c r="M1068" s="336"/>
      <c r="N1068" s="158"/>
      <c r="O1068" s="333"/>
      <c r="P1068" s="158"/>
      <c r="Q1068" s="338"/>
      <c r="R1068" s="81">
        <f t="shared" si="144"/>
        <v>0</v>
      </c>
      <c r="S1068" s="258"/>
      <c r="T1068" s="333"/>
      <c r="U1068" s="158"/>
      <c r="V1068" s="333"/>
      <c r="W1068" s="158"/>
      <c r="X1068" s="333"/>
      <c r="Y1068" s="158"/>
      <c r="Z1068" s="1002"/>
      <c r="AA1068" s="1003"/>
      <c r="AB1068" s="1004" t="str">
        <f t="shared" si="145"/>
        <v/>
      </c>
      <c r="AC1068" s="1082" t="str">
        <f t="shared" si="146"/>
        <v/>
      </c>
      <c r="AD1068" s="1004"/>
      <c r="AE1068" s="1004"/>
      <c r="AF1068" s="1084" t="str">
        <f t="shared" si="147"/>
        <v/>
      </c>
      <c r="AG1068" s="1082" t="str">
        <f t="shared" si="148"/>
        <v/>
      </c>
      <c r="AH1068" s="1092"/>
      <c r="AI1068" s="1087"/>
      <c r="AJ1068" s="1084" t="str">
        <f t="shared" si="149"/>
        <v/>
      </c>
      <c r="AK1068" s="1083" t="str">
        <f t="shared" si="150"/>
        <v/>
      </c>
      <c r="AL1068" s="211"/>
      <c r="AM1068" s="211"/>
      <c r="AN1068" s="211"/>
      <c r="AO1068" s="211"/>
      <c r="AP1068" s="211"/>
      <c r="AQ1068" s="211"/>
      <c r="AR1068" s="211"/>
      <c r="AS1068" s="211"/>
      <c r="AT1068" s="211"/>
      <c r="AU1068" s="211"/>
      <c r="AV1068" s="211"/>
      <c r="AW1068" s="211"/>
      <c r="AX1068" s="211"/>
      <c r="AY1068" s="211"/>
      <c r="AZ1068" s="211"/>
      <c r="BA1068" s="211"/>
      <c r="BB1068" s="211"/>
      <c r="BC1068" s="211"/>
      <c r="BD1068" s="333"/>
      <c r="BE1068" s="82">
        <f t="shared" si="143"/>
        <v>0</v>
      </c>
    </row>
    <row r="1069" spans="2:57" hidden="1" x14ac:dyDescent="0.3">
      <c r="B1069" s="2">
        <f>+'Base de Datos'!E1069</f>
        <v>0</v>
      </c>
      <c r="C1069" s="2">
        <f>+'Base de Datos'!F1069</f>
        <v>0</v>
      </c>
      <c r="D1069" s="2">
        <f>+'Base de Datos'!G1069</f>
        <v>0</v>
      </c>
      <c r="E1069" s="2">
        <f>+'Base de Datos'!H1069</f>
        <v>0</v>
      </c>
      <c r="F1069" s="197">
        <f>+'Base de Datos'!I1069</f>
        <v>0</v>
      </c>
      <c r="G1069" s="196">
        <f>+'Base de Datos'!M1069</f>
        <v>0</v>
      </c>
      <c r="H1069" s="196">
        <f>+'Base de Datos'!N1069</f>
        <v>0</v>
      </c>
      <c r="I1069" s="196"/>
      <c r="J1069" s="158"/>
      <c r="K1069" s="333"/>
      <c r="L1069" s="211"/>
      <c r="M1069" s="336"/>
      <c r="N1069" s="158"/>
      <c r="O1069" s="333"/>
      <c r="P1069" s="158"/>
      <c r="Q1069" s="338"/>
      <c r="R1069" s="81">
        <f t="shared" si="144"/>
        <v>0</v>
      </c>
      <c r="S1069" s="258"/>
      <c r="T1069" s="333"/>
      <c r="U1069" s="158"/>
      <c r="V1069" s="333"/>
      <c r="W1069" s="158"/>
      <c r="X1069" s="333"/>
      <c r="Y1069" s="158"/>
      <c r="Z1069" s="1002"/>
      <c r="AA1069" s="1003"/>
      <c r="AB1069" s="1004" t="str">
        <f t="shared" si="145"/>
        <v/>
      </c>
      <c r="AC1069" s="1082" t="str">
        <f t="shared" si="146"/>
        <v/>
      </c>
      <c r="AD1069" s="1004"/>
      <c r="AE1069" s="1004"/>
      <c r="AF1069" s="1084" t="str">
        <f t="shared" si="147"/>
        <v/>
      </c>
      <c r="AG1069" s="1082" t="str">
        <f t="shared" si="148"/>
        <v/>
      </c>
      <c r="AH1069" s="1092"/>
      <c r="AI1069" s="1087"/>
      <c r="AJ1069" s="1084" t="str">
        <f t="shared" si="149"/>
        <v/>
      </c>
      <c r="AK1069" s="1083" t="str">
        <f t="shared" si="150"/>
        <v/>
      </c>
      <c r="AL1069" s="211"/>
      <c r="AM1069" s="211"/>
      <c r="AN1069" s="211"/>
      <c r="AO1069" s="211"/>
      <c r="AP1069" s="211"/>
      <c r="AQ1069" s="211"/>
      <c r="AR1069" s="211"/>
      <c r="AS1069" s="211"/>
      <c r="AT1069" s="211"/>
      <c r="AU1069" s="211"/>
      <c r="AV1069" s="211"/>
      <c r="AW1069" s="211"/>
      <c r="AX1069" s="211"/>
      <c r="AY1069" s="211"/>
      <c r="AZ1069" s="211"/>
      <c r="BA1069" s="211"/>
      <c r="BB1069" s="211"/>
      <c r="BC1069" s="211"/>
      <c r="BD1069" s="333"/>
      <c r="BE1069" s="82">
        <f t="shared" si="143"/>
        <v>0</v>
      </c>
    </row>
    <row r="1070" spans="2:57" hidden="1" x14ac:dyDescent="0.3">
      <c r="B1070" s="2">
        <f>+'Base de Datos'!E1070</f>
        <v>0</v>
      </c>
      <c r="C1070" s="2">
        <f>+'Base de Datos'!F1070</f>
        <v>0</v>
      </c>
      <c r="D1070" s="2">
        <f>+'Base de Datos'!G1070</f>
        <v>0</v>
      </c>
      <c r="E1070" s="2">
        <f>+'Base de Datos'!H1070</f>
        <v>0</v>
      </c>
      <c r="F1070" s="197">
        <f>+'Base de Datos'!I1070</f>
        <v>0</v>
      </c>
      <c r="G1070" s="196">
        <f>+'Base de Datos'!M1070</f>
        <v>0</v>
      </c>
      <c r="H1070" s="196">
        <f>+'Base de Datos'!N1070</f>
        <v>0</v>
      </c>
      <c r="I1070" s="196"/>
      <c r="J1070" s="158"/>
      <c r="K1070" s="333"/>
      <c r="L1070" s="211"/>
      <c r="M1070" s="336"/>
      <c r="N1070" s="158"/>
      <c r="O1070" s="333"/>
      <c r="P1070" s="158"/>
      <c r="Q1070" s="338"/>
      <c r="R1070" s="81">
        <f t="shared" si="144"/>
        <v>0</v>
      </c>
      <c r="S1070" s="258"/>
      <c r="T1070" s="333"/>
      <c r="U1070" s="158"/>
      <c r="V1070" s="333"/>
      <c r="W1070" s="158"/>
      <c r="X1070" s="333"/>
      <c r="Y1070" s="158"/>
      <c r="Z1070" s="1002"/>
      <c r="AA1070" s="1003"/>
      <c r="AB1070" s="1004" t="str">
        <f t="shared" si="145"/>
        <v/>
      </c>
      <c r="AC1070" s="1082" t="str">
        <f t="shared" si="146"/>
        <v/>
      </c>
      <c r="AD1070" s="1004"/>
      <c r="AE1070" s="1004"/>
      <c r="AF1070" s="1084" t="str">
        <f t="shared" si="147"/>
        <v/>
      </c>
      <c r="AG1070" s="1082" t="str">
        <f t="shared" si="148"/>
        <v/>
      </c>
      <c r="AH1070" s="1092"/>
      <c r="AI1070" s="1087"/>
      <c r="AJ1070" s="1084" t="str">
        <f t="shared" si="149"/>
        <v/>
      </c>
      <c r="AK1070" s="1083" t="str">
        <f t="shared" si="150"/>
        <v/>
      </c>
      <c r="AL1070" s="211"/>
      <c r="AM1070" s="211"/>
      <c r="AN1070" s="211"/>
      <c r="AO1070" s="211"/>
      <c r="AP1070" s="211"/>
      <c r="AQ1070" s="211"/>
      <c r="AR1070" s="211"/>
      <c r="AS1070" s="211"/>
      <c r="AT1070" s="211"/>
      <c r="AU1070" s="211"/>
      <c r="AV1070" s="211"/>
      <c r="AW1070" s="211"/>
      <c r="AX1070" s="211"/>
      <c r="AY1070" s="211"/>
      <c r="AZ1070" s="211"/>
      <c r="BA1070" s="211"/>
      <c r="BB1070" s="211"/>
      <c r="BC1070" s="211"/>
      <c r="BD1070" s="333"/>
      <c r="BE1070" s="82">
        <f t="shared" si="143"/>
        <v>0</v>
      </c>
    </row>
    <row r="1071" spans="2:57" hidden="1" x14ac:dyDescent="0.3">
      <c r="B1071" s="2">
        <f>+'Base de Datos'!E1071</f>
        <v>0</v>
      </c>
      <c r="C1071" s="2">
        <f>+'Base de Datos'!F1071</f>
        <v>0</v>
      </c>
      <c r="D1071" s="2">
        <f>+'Base de Datos'!G1071</f>
        <v>0</v>
      </c>
      <c r="E1071" s="2">
        <f>+'Base de Datos'!H1071</f>
        <v>0</v>
      </c>
      <c r="F1071" s="197">
        <f>+'Base de Datos'!I1071</f>
        <v>0</v>
      </c>
      <c r="G1071" s="196">
        <f>+'Base de Datos'!M1071</f>
        <v>0</v>
      </c>
      <c r="H1071" s="196">
        <f>+'Base de Datos'!N1071</f>
        <v>0</v>
      </c>
      <c r="I1071" s="196"/>
      <c r="J1071" s="158"/>
      <c r="K1071" s="333"/>
      <c r="L1071" s="211"/>
      <c r="M1071" s="336"/>
      <c r="N1071" s="158"/>
      <c r="O1071" s="333"/>
      <c r="P1071" s="158"/>
      <c r="Q1071" s="338"/>
      <c r="R1071" s="81">
        <f t="shared" si="144"/>
        <v>0</v>
      </c>
      <c r="S1071" s="258"/>
      <c r="T1071" s="333"/>
      <c r="U1071" s="158"/>
      <c r="V1071" s="333"/>
      <c r="W1071" s="158"/>
      <c r="X1071" s="333"/>
      <c r="Y1071" s="158"/>
      <c r="Z1071" s="1002"/>
      <c r="AA1071" s="1003"/>
      <c r="AB1071" s="1004" t="str">
        <f t="shared" si="145"/>
        <v/>
      </c>
      <c r="AC1071" s="1082" t="str">
        <f t="shared" si="146"/>
        <v/>
      </c>
      <c r="AD1071" s="1004"/>
      <c r="AE1071" s="1004"/>
      <c r="AF1071" s="1084" t="str">
        <f t="shared" si="147"/>
        <v/>
      </c>
      <c r="AG1071" s="1082" t="str">
        <f t="shared" si="148"/>
        <v/>
      </c>
      <c r="AH1071" s="1092"/>
      <c r="AI1071" s="1087"/>
      <c r="AJ1071" s="1084" t="str">
        <f t="shared" si="149"/>
        <v/>
      </c>
      <c r="AK1071" s="1083" t="str">
        <f t="shared" si="150"/>
        <v/>
      </c>
      <c r="AL1071" s="211"/>
      <c r="AM1071" s="211"/>
      <c r="AN1071" s="211"/>
      <c r="AO1071" s="211"/>
      <c r="AP1071" s="211"/>
      <c r="AQ1071" s="211"/>
      <c r="AR1071" s="211"/>
      <c r="AS1071" s="211"/>
      <c r="AT1071" s="211"/>
      <c r="AU1071" s="211"/>
      <c r="AV1071" s="211"/>
      <c r="AW1071" s="211"/>
      <c r="AX1071" s="211"/>
      <c r="AY1071" s="211"/>
      <c r="AZ1071" s="211"/>
      <c r="BA1071" s="211"/>
      <c r="BB1071" s="211"/>
      <c r="BC1071" s="211"/>
      <c r="BD1071" s="333"/>
      <c r="BE1071" s="82">
        <f t="shared" si="143"/>
        <v>0</v>
      </c>
    </row>
    <row r="1072" spans="2:57" hidden="1" x14ac:dyDescent="0.3">
      <c r="BD1072" s="341" t="s">
        <v>1087</v>
      </c>
    </row>
    <row r="1077" spans="57:57" x14ac:dyDescent="0.3">
      <c r="BE1077" s="387"/>
    </row>
  </sheetData>
  <sheetProtection autoFilter="0" pivotTables="0"/>
  <autoFilter ref="A6:BG1072" xr:uid="{00000000-0009-0000-0000-000007000000}">
    <filterColumn colId="1">
      <filters>
        <filter val="200348-0-2020"/>
      </filters>
    </filterColumn>
  </autoFilter>
  <mergeCells count="15">
    <mergeCell ref="AC5:AF5"/>
    <mergeCell ref="AG5:AJ5"/>
    <mergeCell ref="E2:AL2"/>
    <mergeCell ref="AY2:BE3"/>
    <mergeCell ref="E3:AL3"/>
    <mergeCell ref="R5:R6"/>
    <mergeCell ref="BE5:BE6"/>
    <mergeCell ref="S5:T5"/>
    <mergeCell ref="U5:V5"/>
    <mergeCell ref="W5:X5"/>
    <mergeCell ref="Y5:Z5"/>
    <mergeCell ref="AA5:AB5"/>
    <mergeCell ref="BD5:BD6"/>
    <mergeCell ref="J5:Q5"/>
    <mergeCell ref="AL5:BC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C127"/>
  <sheetViews>
    <sheetView topLeftCell="A142" workbookViewId="0">
      <selection activeCell="AT677" sqref="AT677"/>
    </sheetView>
  </sheetViews>
  <sheetFormatPr baseColWidth="10" defaultColWidth="0" defaultRowHeight="14.4" x14ac:dyDescent="0.3"/>
  <cols>
    <col min="1" max="1" width="16.5546875" style="56" bestFit="1" customWidth="1"/>
    <col min="2" max="2" width="18.5546875" style="56" bestFit="1" customWidth="1"/>
    <col min="3" max="3" width="7.6640625" style="56" customWidth="1"/>
    <col min="4" max="4" width="6.44140625" style="56" customWidth="1"/>
    <col min="5" max="5" width="5" style="56" customWidth="1"/>
    <col min="6" max="6" width="5.88671875" style="56" customWidth="1"/>
    <col min="7" max="7" width="5.5546875" style="56" customWidth="1"/>
    <col min="8" max="8" width="5" style="56" customWidth="1"/>
    <col min="9" max="9" width="6.88671875" style="56" customWidth="1"/>
    <col min="10" max="10" width="11.33203125" style="56" customWidth="1"/>
    <col min="11" max="11" width="7.88671875" style="56" customWidth="1"/>
    <col min="12" max="12" width="10.6640625" style="56" customWidth="1"/>
    <col min="13" max="13" width="10" style="56" customWidth="1"/>
    <col min="14" max="14" width="5.5546875" style="56" customWidth="1"/>
    <col min="15" max="15" width="12.5546875" style="56" customWidth="1"/>
    <col min="16" max="16" width="5.88671875" style="56" customWidth="1"/>
    <col min="17" max="22" width="5.88671875" style="56" hidden="1"/>
    <col min="23" max="23" width="3.88671875" style="56" hidden="1"/>
    <col min="24" max="31" width="5.88671875" style="56" hidden="1"/>
    <col min="32" max="32" width="3.88671875" style="56" hidden="1"/>
    <col min="33" max="39" width="5.88671875" style="56" hidden="1"/>
    <col min="40" max="40" width="3.88671875" style="56" hidden="1"/>
    <col min="41" max="46" width="5.88671875" style="56" hidden="1"/>
    <col min="47" max="47" width="3.88671875" style="56" hidden="1"/>
    <col min="48" max="52" width="5.88671875" style="56" hidden="1"/>
    <col min="53" max="53" width="3.88671875" style="56" hidden="1"/>
    <col min="54" max="57" width="5.88671875" style="56" hidden="1"/>
    <col min="58" max="58" width="3.88671875" style="56" hidden="1"/>
    <col min="59" max="61" width="5.88671875" style="56" hidden="1"/>
    <col min="62" max="62" width="3.88671875" style="56" hidden="1"/>
    <col min="63" max="64" width="5.88671875" style="56" hidden="1"/>
    <col min="65" max="65" width="3.88671875" style="56" hidden="1"/>
    <col min="66" max="66" width="5.88671875" style="56" hidden="1"/>
    <col min="67" max="67" width="3.88671875" style="56" hidden="1"/>
    <col min="68" max="68" width="2" style="56" hidden="1"/>
    <col min="69" max="79" width="6.88671875" style="56" hidden="1"/>
    <col min="80" max="80" width="12.5546875" style="56" hidden="1"/>
    <col min="81" max="91" width="10.44140625" style="56" hidden="1"/>
    <col min="92" max="92" width="12.5546875" style="56" hidden="1"/>
    <col min="93" max="99" width="6.88671875" style="56" hidden="1"/>
    <col min="100" max="100" width="5.88671875" style="56" hidden="1"/>
    <col min="101" max="101" width="3.88671875" style="56" hidden="1"/>
    <col min="102" max="109" width="5.88671875" style="56" hidden="1"/>
    <col min="110" max="110" width="3.88671875" style="56" hidden="1"/>
    <col min="111" max="117" width="5.88671875" style="56" hidden="1"/>
    <col min="118" max="118" width="3.88671875" style="56" hidden="1"/>
    <col min="119" max="124" width="5.88671875" style="56" hidden="1"/>
    <col min="125" max="125" width="3.88671875" style="56" hidden="1"/>
    <col min="126" max="130" width="5.88671875" style="56" hidden="1"/>
    <col min="131" max="131" width="3.88671875" style="56" hidden="1"/>
    <col min="132" max="141" width="6.88671875" style="56" hidden="1"/>
    <col min="142" max="142" width="5.88671875" style="56" hidden="1"/>
    <col min="143" max="143" width="3.88671875" style="56" hidden="1"/>
    <col min="144" max="153" width="5.88671875" style="56" hidden="1"/>
    <col min="154" max="154" width="3.88671875" style="56" hidden="1"/>
    <col min="155" max="163" width="5.88671875" style="56" hidden="1"/>
    <col min="164" max="164" width="3.88671875" style="56" hidden="1"/>
    <col min="165" max="172" width="5.88671875" style="56" hidden="1"/>
    <col min="173" max="173" width="3.88671875" style="56" hidden="1"/>
    <col min="174" max="180" width="5.88671875" style="56" hidden="1"/>
    <col min="181" max="181" width="3.88671875" style="56" hidden="1"/>
    <col min="182" max="187" width="5.88671875" style="56" hidden="1"/>
    <col min="188" max="188" width="3.88671875" style="56" hidden="1"/>
    <col min="189" max="193" width="5.88671875" style="56" hidden="1"/>
    <col min="194" max="194" width="3.88671875" style="56" hidden="1"/>
    <col min="195" max="198" width="5.88671875" style="56" hidden="1"/>
    <col min="199" max="199" width="3.88671875" style="56" hidden="1"/>
    <col min="200" max="202" width="5.88671875" style="56" hidden="1"/>
    <col min="203" max="203" width="3.88671875" style="56" hidden="1"/>
    <col min="204" max="205" width="5.88671875" style="56" hidden="1"/>
    <col min="206" max="206" width="3.88671875" style="56" hidden="1"/>
    <col min="207" max="207" width="5.88671875" style="56" hidden="1"/>
    <col min="208" max="208" width="3.88671875" style="56" hidden="1"/>
    <col min="209" max="209" width="2" style="56" hidden="1"/>
    <col min="210" max="220" width="6.88671875" style="56" hidden="1"/>
    <col min="221" max="221" width="7.44140625" style="56" hidden="1"/>
    <col min="222" max="232" width="10.44140625" style="56" hidden="1"/>
    <col min="233" max="235" width="12.5546875" style="56" hidden="1"/>
    <col min="236" max="236" width="10.44140625" style="56" hidden="1"/>
    <col min="237" max="237" width="12.5546875" style="56" hidden="1"/>
    <col min="238" max="238" width="13.44140625" style="56" hidden="1"/>
    <col min="239" max="239" width="12.5546875" style="56" hidden="1"/>
    <col min="240" max="16383" width="11.44140625" style="56" hidden="1"/>
    <col min="16384" max="16384" width="10.33203125" style="56" hidden="1"/>
  </cols>
  <sheetData>
    <row r="1" spans="1:16" s="54" customFormat="1" x14ac:dyDescent="0.3">
      <c r="A1" s="56"/>
      <c r="B1" s="56"/>
      <c r="C1" s="56"/>
      <c r="D1" s="56"/>
      <c r="E1" s="56"/>
      <c r="F1" s="56"/>
      <c r="G1" s="56"/>
      <c r="H1" s="56"/>
      <c r="I1" s="56"/>
      <c r="J1" s="56"/>
      <c r="K1" s="56"/>
      <c r="L1" s="56"/>
      <c r="M1" s="56"/>
      <c r="N1" s="56"/>
      <c r="O1" s="56"/>
      <c r="P1" s="56"/>
    </row>
    <row r="2" spans="1:16" s="54" customFormat="1" ht="18" x14ac:dyDescent="0.35">
      <c r="A2" s="1214" t="s">
        <v>1254</v>
      </c>
      <c r="B2" s="1214"/>
      <c r="C2" s="1214"/>
      <c r="D2" s="1214"/>
      <c r="E2" s="1214"/>
      <c r="F2" s="1214"/>
      <c r="G2" s="1214"/>
      <c r="H2" s="1214"/>
      <c r="I2" s="1214"/>
      <c r="J2" s="1214"/>
      <c r="K2" s="1214"/>
      <c r="L2" s="1214"/>
      <c r="M2" s="1214"/>
      <c r="N2" s="1214"/>
      <c r="O2" s="1214"/>
      <c r="P2" s="56"/>
    </row>
    <row r="3" spans="1:16" s="54" customFormat="1" x14ac:dyDescent="0.3">
      <c r="A3" s="56"/>
      <c r="B3" s="56"/>
      <c r="C3" s="56"/>
      <c r="D3" s="56"/>
      <c r="E3" s="56"/>
      <c r="F3" s="56"/>
      <c r="G3" s="56"/>
      <c r="H3" s="56"/>
      <c r="I3" s="56"/>
      <c r="J3" s="56"/>
      <c r="K3" s="56"/>
      <c r="L3" s="56"/>
      <c r="M3" s="56"/>
      <c r="N3" s="56"/>
      <c r="O3" s="56"/>
      <c r="P3" s="56"/>
    </row>
    <row r="4" spans="1:16" customFormat="1" x14ac:dyDescent="0.3">
      <c r="A4" s="16" t="s">
        <v>1239</v>
      </c>
      <c r="B4" s="54" t="s">
        <v>392</v>
      </c>
      <c r="C4" s="56"/>
      <c r="D4" s="56"/>
      <c r="E4" s="56"/>
      <c r="F4" s="56"/>
      <c r="G4" s="56"/>
      <c r="H4" s="56"/>
      <c r="I4" s="56"/>
      <c r="J4" s="56"/>
      <c r="K4" s="56"/>
      <c r="L4" s="56"/>
      <c r="M4" s="56"/>
      <c r="N4" s="56"/>
      <c r="O4" s="56"/>
      <c r="P4" s="56"/>
    </row>
    <row r="5" spans="1:16" customFormat="1" x14ac:dyDescent="0.3">
      <c r="A5" s="56"/>
      <c r="B5" s="56"/>
      <c r="C5" s="56"/>
      <c r="D5" s="56"/>
      <c r="E5" s="56"/>
      <c r="F5" s="56"/>
      <c r="G5" s="56"/>
      <c r="H5" s="56"/>
      <c r="I5" s="56"/>
      <c r="J5" s="56"/>
      <c r="K5" s="56"/>
      <c r="L5" s="56"/>
      <c r="M5" s="56"/>
      <c r="N5" s="56"/>
      <c r="O5" s="56"/>
      <c r="P5" s="56"/>
    </row>
    <row r="6" spans="1:16" customFormat="1" x14ac:dyDescent="0.3">
      <c r="A6" s="16" t="s">
        <v>1153</v>
      </c>
      <c r="B6" s="16" t="s">
        <v>1151</v>
      </c>
      <c r="P6" s="56"/>
    </row>
    <row r="7" spans="1:16" customFormat="1" x14ac:dyDescent="0.3">
      <c r="A7" s="16" t="s">
        <v>393</v>
      </c>
      <c r="B7" s="54" t="s">
        <v>1241</v>
      </c>
      <c r="C7" s="54" t="s">
        <v>1242</v>
      </c>
      <c r="D7" s="54" t="s">
        <v>1243</v>
      </c>
      <c r="E7" s="54" t="s">
        <v>1244</v>
      </c>
      <c r="F7" s="54" t="s">
        <v>1245</v>
      </c>
      <c r="G7" s="54" t="s">
        <v>1246</v>
      </c>
      <c r="H7" s="54" t="s">
        <v>1247</v>
      </c>
      <c r="I7" s="54" t="s">
        <v>1248</v>
      </c>
      <c r="J7" s="54" t="s">
        <v>1249</v>
      </c>
      <c r="K7" s="54" t="s">
        <v>1250</v>
      </c>
      <c r="L7" s="54" t="s">
        <v>1251</v>
      </c>
      <c r="M7" s="54" t="s">
        <v>1252</v>
      </c>
      <c r="N7" s="54" t="s">
        <v>1454</v>
      </c>
      <c r="O7" s="54" t="s">
        <v>1152</v>
      </c>
      <c r="P7" s="56"/>
    </row>
    <row r="8" spans="1:16" customFormat="1" x14ac:dyDescent="0.3">
      <c r="A8" s="17">
        <v>2012</v>
      </c>
      <c r="B8" s="190">
        <v>1</v>
      </c>
      <c r="C8" s="190"/>
      <c r="D8" s="190"/>
      <c r="E8" s="190"/>
      <c r="F8" s="190"/>
      <c r="G8" s="190"/>
      <c r="H8" s="190">
        <v>2</v>
      </c>
      <c r="I8" s="190"/>
      <c r="J8" s="190"/>
      <c r="K8" s="190">
        <v>1</v>
      </c>
      <c r="L8" s="190"/>
      <c r="M8" s="190">
        <v>3</v>
      </c>
      <c r="N8" s="190"/>
      <c r="O8" s="190">
        <v>7</v>
      </c>
      <c r="P8" s="56"/>
    </row>
    <row r="9" spans="1:16" customFormat="1" x14ac:dyDescent="0.3">
      <c r="A9" s="17">
        <v>2013</v>
      </c>
      <c r="B9" s="190">
        <v>1</v>
      </c>
      <c r="C9" s="190">
        <v>10</v>
      </c>
      <c r="D9" s="190">
        <v>9</v>
      </c>
      <c r="E9" s="190">
        <v>5</v>
      </c>
      <c r="F9" s="190">
        <v>8</v>
      </c>
      <c r="G9" s="190">
        <v>9</v>
      </c>
      <c r="H9" s="190">
        <v>7</v>
      </c>
      <c r="I9" s="190">
        <v>4</v>
      </c>
      <c r="J9" s="190">
        <v>8</v>
      </c>
      <c r="K9" s="190">
        <v>5</v>
      </c>
      <c r="L9" s="190">
        <v>4</v>
      </c>
      <c r="M9" s="190">
        <v>5</v>
      </c>
      <c r="N9" s="190"/>
      <c r="O9" s="190">
        <v>75</v>
      </c>
      <c r="P9" s="56"/>
    </row>
    <row r="10" spans="1:16" customFormat="1" x14ac:dyDescent="0.3">
      <c r="A10" s="17">
        <v>2014</v>
      </c>
      <c r="B10" s="190">
        <v>16</v>
      </c>
      <c r="C10" s="190">
        <v>10</v>
      </c>
      <c r="D10" s="190">
        <v>10</v>
      </c>
      <c r="E10" s="190">
        <v>9</v>
      </c>
      <c r="F10" s="190">
        <v>5</v>
      </c>
      <c r="G10" s="190">
        <v>9</v>
      </c>
      <c r="H10" s="190">
        <v>3</v>
      </c>
      <c r="I10" s="190">
        <v>7</v>
      </c>
      <c r="J10" s="190">
        <v>9</v>
      </c>
      <c r="K10" s="190">
        <v>5</v>
      </c>
      <c r="L10" s="190">
        <v>5</v>
      </c>
      <c r="M10" s="190">
        <v>8</v>
      </c>
      <c r="N10" s="190"/>
      <c r="O10" s="190">
        <v>96</v>
      </c>
      <c r="P10" s="56"/>
    </row>
    <row r="11" spans="1:16" customFormat="1" x14ac:dyDescent="0.3">
      <c r="A11" s="17">
        <v>2015</v>
      </c>
      <c r="B11" s="190">
        <v>22</v>
      </c>
      <c r="C11" s="190">
        <v>6</v>
      </c>
      <c r="D11" s="190">
        <v>5</v>
      </c>
      <c r="E11" s="190">
        <v>10</v>
      </c>
      <c r="F11" s="190">
        <v>2</v>
      </c>
      <c r="G11" s="190">
        <v>1</v>
      </c>
      <c r="H11" s="190">
        <v>3</v>
      </c>
      <c r="I11" s="190"/>
      <c r="J11" s="190">
        <v>3</v>
      </c>
      <c r="K11" s="190">
        <v>3</v>
      </c>
      <c r="L11" s="190"/>
      <c r="M11" s="190"/>
      <c r="N11" s="190"/>
      <c r="O11" s="190">
        <v>55</v>
      </c>
      <c r="P11" s="56"/>
    </row>
    <row r="12" spans="1:16" customFormat="1" x14ac:dyDescent="0.3">
      <c r="A12" s="17">
        <v>2016</v>
      </c>
      <c r="B12" s="190"/>
      <c r="C12" s="190">
        <v>1</v>
      </c>
      <c r="D12" s="190"/>
      <c r="E12" s="190"/>
      <c r="F12" s="190"/>
      <c r="G12" s="190"/>
      <c r="H12" s="190"/>
      <c r="I12" s="190"/>
      <c r="J12" s="190"/>
      <c r="K12" s="190"/>
      <c r="L12" s="190"/>
      <c r="M12" s="190"/>
      <c r="N12" s="190"/>
      <c r="O12" s="190">
        <v>1</v>
      </c>
      <c r="P12" s="56"/>
    </row>
    <row r="13" spans="1:16" customFormat="1" x14ac:dyDescent="0.3">
      <c r="A13" s="17" t="s">
        <v>1454</v>
      </c>
      <c r="B13" s="190"/>
      <c r="C13" s="190"/>
      <c r="D13" s="190"/>
      <c r="E13" s="190"/>
      <c r="F13" s="190"/>
      <c r="G13" s="190"/>
      <c r="H13" s="190"/>
      <c r="I13" s="190"/>
      <c r="J13" s="190"/>
      <c r="K13" s="190"/>
      <c r="L13" s="190"/>
      <c r="M13" s="190"/>
      <c r="N13" s="190">
        <v>2</v>
      </c>
      <c r="O13" s="190">
        <v>2</v>
      </c>
      <c r="P13" s="56"/>
    </row>
    <row r="14" spans="1:16" customFormat="1" x14ac:dyDescent="0.3">
      <c r="A14" s="17" t="s">
        <v>1152</v>
      </c>
      <c r="B14" s="190">
        <v>40</v>
      </c>
      <c r="C14" s="190">
        <v>27</v>
      </c>
      <c r="D14" s="190">
        <v>24</v>
      </c>
      <c r="E14" s="190">
        <v>24</v>
      </c>
      <c r="F14" s="190">
        <v>15</v>
      </c>
      <c r="G14" s="190">
        <v>19</v>
      </c>
      <c r="H14" s="190">
        <v>15</v>
      </c>
      <c r="I14" s="190">
        <v>11</v>
      </c>
      <c r="J14" s="190">
        <v>20</v>
      </c>
      <c r="K14" s="190">
        <v>14</v>
      </c>
      <c r="L14" s="190">
        <v>9</v>
      </c>
      <c r="M14" s="190">
        <v>16</v>
      </c>
      <c r="N14" s="190">
        <v>2</v>
      </c>
      <c r="O14" s="190">
        <v>236</v>
      </c>
      <c r="P14" s="56"/>
    </row>
    <row r="15" spans="1:16" customFormat="1" x14ac:dyDescent="0.3">
      <c r="A15" s="56"/>
      <c r="B15" s="56"/>
      <c r="C15" s="56"/>
      <c r="D15" s="56"/>
      <c r="E15" s="56"/>
      <c r="F15" s="56"/>
      <c r="G15" s="56"/>
      <c r="H15" s="56"/>
      <c r="I15" s="56"/>
      <c r="J15" s="56"/>
      <c r="K15" s="56"/>
      <c r="L15" s="56"/>
      <c r="M15" s="56"/>
      <c r="N15" s="56"/>
      <c r="O15" s="56"/>
      <c r="P15" s="56"/>
    </row>
    <row r="16" spans="1:16" customFormat="1" x14ac:dyDescent="0.3">
      <c r="A16" s="56"/>
      <c r="B16" s="56"/>
      <c r="C16" s="56"/>
      <c r="D16" s="56"/>
      <c r="E16" s="56"/>
      <c r="F16" s="56"/>
      <c r="G16" s="56"/>
      <c r="H16" s="56"/>
      <c r="I16" s="56"/>
      <c r="J16" s="56"/>
      <c r="K16" s="56"/>
      <c r="L16" s="56"/>
      <c r="M16" s="56"/>
      <c r="N16" s="56"/>
      <c r="O16" s="56"/>
      <c r="P16" s="56"/>
    </row>
    <row r="17" spans="1:16" customFormat="1" x14ac:dyDescent="0.3">
      <c r="A17" s="56"/>
      <c r="B17" s="56"/>
      <c r="C17" s="56"/>
      <c r="D17" s="56"/>
      <c r="E17" s="56"/>
      <c r="F17" s="56"/>
      <c r="G17" s="56"/>
      <c r="H17" s="56"/>
      <c r="I17" s="56"/>
      <c r="J17" s="56"/>
      <c r="K17" s="56"/>
      <c r="L17" s="56"/>
      <c r="M17" s="56"/>
      <c r="N17" s="56"/>
      <c r="O17" s="56"/>
      <c r="P17" s="56"/>
    </row>
    <row r="18" spans="1:16" customFormat="1" x14ac:dyDescent="0.3">
      <c r="A18" s="56"/>
      <c r="B18" s="56"/>
      <c r="C18" s="56"/>
      <c r="D18" s="56"/>
      <c r="E18" s="56"/>
      <c r="F18" s="56"/>
      <c r="G18" s="56"/>
      <c r="H18" s="56"/>
      <c r="I18" s="56"/>
      <c r="J18" s="56"/>
      <c r="K18" s="56"/>
      <c r="L18" s="56"/>
      <c r="M18" s="56"/>
      <c r="N18" s="56"/>
      <c r="O18" s="56"/>
      <c r="P18" s="56"/>
    </row>
    <row r="19" spans="1:16" customFormat="1" x14ac:dyDescent="0.3">
      <c r="A19" s="56"/>
      <c r="B19" s="56"/>
      <c r="C19" s="56"/>
      <c r="D19" s="56"/>
      <c r="E19" s="56"/>
      <c r="F19" s="56"/>
      <c r="G19" s="56"/>
      <c r="H19" s="56"/>
      <c r="I19" s="56"/>
      <c r="J19" s="56"/>
      <c r="K19" s="56"/>
      <c r="L19" s="56"/>
      <c r="M19" s="56"/>
      <c r="N19" s="56"/>
      <c r="O19" s="56"/>
      <c r="P19" s="56"/>
    </row>
    <row r="20" spans="1:16" customFormat="1" x14ac:dyDescent="0.3">
      <c r="A20" s="56"/>
      <c r="B20" s="56"/>
      <c r="C20" s="56"/>
      <c r="D20" s="56"/>
      <c r="E20" s="56"/>
      <c r="F20" s="56"/>
      <c r="G20" s="56"/>
      <c r="H20" s="56"/>
      <c r="I20" s="56"/>
      <c r="J20" s="56"/>
      <c r="K20" s="56"/>
      <c r="L20" s="56"/>
      <c r="M20" s="56"/>
      <c r="N20" s="56"/>
      <c r="O20" s="56"/>
      <c r="P20" s="56"/>
    </row>
    <row r="21" spans="1:16" customFormat="1" x14ac:dyDescent="0.3">
      <c r="A21" s="56"/>
      <c r="B21" s="56"/>
      <c r="C21" s="56"/>
      <c r="D21" s="56"/>
      <c r="E21" s="56"/>
      <c r="F21" s="56"/>
      <c r="G21" s="56"/>
      <c r="H21" s="56"/>
      <c r="I21" s="56"/>
      <c r="J21" s="56"/>
      <c r="K21" s="56"/>
      <c r="L21" s="56"/>
      <c r="M21" s="56"/>
      <c r="N21" s="56"/>
      <c r="O21" s="56"/>
      <c r="P21" s="56"/>
    </row>
    <row r="22" spans="1:16" customFormat="1" x14ac:dyDescent="0.3">
      <c r="A22" s="56"/>
      <c r="B22" s="56"/>
      <c r="C22" s="56"/>
      <c r="D22" s="56"/>
      <c r="E22" s="56"/>
      <c r="F22" s="56"/>
      <c r="G22" s="56"/>
      <c r="H22" s="56"/>
      <c r="I22" s="56"/>
      <c r="J22" s="56"/>
      <c r="K22" s="56"/>
      <c r="L22" s="56"/>
      <c r="M22" s="56"/>
      <c r="N22" s="56"/>
      <c r="O22" s="56"/>
      <c r="P22" s="56"/>
    </row>
    <row r="23" spans="1:16" customFormat="1" x14ac:dyDescent="0.3">
      <c r="A23" s="56"/>
      <c r="B23" s="56"/>
      <c r="C23" s="56"/>
      <c r="D23" s="56"/>
      <c r="E23" s="56"/>
      <c r="F23" s="56"/>
      <c r="G23" s="56"/>
      <c r="H23" s="56"/>
      <c r="I23" s="56"/>
      <c r="J23" s="56"/>
      <c r="K23" s="56"/>
      <c r="L23" s="56"/>
      <c r="M23" s="56"/>
      <c r="N23" s="56"/>
      <c r="O23" s="56"/>
      <c r="P23" s="56"/>
    </row>
    <row r="24" spans="1:16" customFormat="1" x14ac:dyDescent="0.3">
      <c r="A24" s="56"/>
      <c r="B24" s="56"/>
      <c r="C24" s="56"/>
      <c r="D24" s="56"/>
      <c r="E24" s="56"/>
      <c r="F24" s="56"/>
      <c r="G24" s="56"/>
      <c r="H24" s="56"/>
      <c r="I24" s="56"/>
      <c r="J24" s="56"/>
      <c r="K24" s="56"/>
      <c r="L24" s="56"/>
      <c r="M24" s="56"/>
      <c r="N24" s="56"/>
      <c r="O24" s="56"/>
      <c r="P24" s="56"/>
    </row>
    <row r="25" spans="1:16" customFormat="1" x14ac:dyDescent="0.3">
      <c r="A25" s="56"/>
      <c r="B25" s="56"/>
      <c r="C25" s="56"/>
      <c r="D25" s="56"/>
      <c r="E25" s="56"/>
      <c r="F25" s="56"/>
      <c r="G25" s="56"/>
      <c r="H25" s="56"/>
      <c r="I25" s="56"/>
      <c r="J25" s="56"/>
      <c r="K25" s="56"/>
      <c r="L25" s="56"/>
      <c r="M25" s="56"/>
      <c r="N25" s="56"/>
      <c r="O25" s="56"/>
      <c r="P25" s="56"/>
    </row>
    <row r="26" spans="1:16" customFormat="1" x14ac:dyDescent="0.3">
      <c r="A26" s="56"/>
      <c r="B26" s="56"/>
      <c r="C26" s="56"/>
      <c r="D26" s="56"/>
      <c r="E26" s="56"/>
      <c r="F26" s="56"/>
      <c r="G26" s="56"/>
      <c r="H26" s="56"/>
      <c r="I26" s="56"/>
      <c r="J26" s="56"/>
      <c r="K26" s="56"/>
      <c r="L26" s="56"/>
      <c r="M26" s="56"/>
      <c r="N26" s="56"/>
      <c r="O26" s="56"/>
      <c r="P26" s="56"/>
    </row>
    <row r="27" spans="1:16" customFormat="1" x14ac:dyDescent="0.3">
      <c r="A27" s="56"/>
      <c r="B27" s="56"/>
      <c r="C27" s="56"/>
      <c r="D27" s="56"/>
      <c r="E27" s="56"/>
      <c r="F27" s="56"/>
      <c r="G27" s="56"/>
      <c r="H27" s="56"/>
      <c r="I27" s="56"/>
      <c r="J27" s="56"/>
      <c r="K27" s="56"/>
      <c r="L27" s="56"/>
      <c r="M27" s="56"/>
      <c r="N27" s="56"/>
      <c r="O27" s="56"/>
      <c r="P27" s="56"/>
    </row>
    <row r="28" spans="1:16" customFormat="1" x14ac:dyDescent="0.3">
      <c r="A28" s="56"/>
      <c r="B28" s="56"/>
      <c r="C28" s="56"/>
      <c r="D28" s="56"/>
      <c r="E28" s="56"/>
      <c r="F28" s="56"/>
      <c r="G28" s="56"/>
      <c r="H28" s="56"/>
      <c r="I28" s="56"/>
      <c r="J28" s="56"/>
      <c r="K28" s="56"/>
      <c r="L28" s="56"/>
      <c r="M28" s="56"/>
      <c r="N28" s="56"/>
      <c r="O28" s="56"/>
      <c r="P28" s="56"/>
    </row>
    <row r="29" spans="1:16" customFormat="1" x14ac:dyDescent="0.3">
      <c r="A29" s="56"/>
      <c r="B29" s="56"/>
      <c r="C29" s="56"/>
      <c r="D29" s="56"/>
      <c r="E29" s="56"/>
      <c r="F29" s="56"/>
      <c r="G29" s="56"/>
      <c r="H29" s="56"/>
      <c r="I29" s="56"/>
      <c r="J29" s="56"/>
      <c r="K29" s="56"/>
      <c r="L29" s="56"/>
      <c r="M29" s="56"/>
      <c r="N29" s="56"/>
      <c r="O29" s="56"/>
      <c r="P29" s="56"/>
    </row>
    <row r="30" spans="1:16" customFormat="1" x14ac:dyDescent="0.3">
      <c r="A30" s="56"/>
      <c r="B30" s="56"/>
      <c r="C30" s="56"/>
      <c r="D30" s="56"/>
      <c r="E30" s="56"/>
      <c r="F30" s="56"/>
      <c r="G30" s="56"/>
      <c r="H30" s="56"/>
      <c r="I30" s="56"/>
      <c r="J30" s="56"/>
      <c r="K30" s="56"/>
      <c r="L30" s="56"/>
      <c r="M30" s="56"/>
      <c r="N30" s="56"/>
      <c r="O30" s="56"/>
      <c r="P30" s="56"/>
    </row>
    <row r="31" spans="1:16" customFormat="1" x14ac:dyDescent="0.3">
      <c r="A31" s="56"/>
      <c r="B31" s="56"/>
      <c r="C31" s="56"/>
      <c r="D31" s="56"/>
      <c r="E31" s="56"/>
      <c r="F31" s="56"/>
      <c r="G31" s="56"/>
      <c r="H31" s="56"/>
      <c r="I31" s="56"/>
      <c r="J31" s="56"/>
      <c r="K31" s="56"/>
      <c r="L31" s="56"/>
      <c r="M31" s="56"/>
      <c r="N31" s="56"/>
      <c r="O31" s="56"/>
      <c r="P31" s="56"/>
    </row>
    <row r="32" spans="1:16" customFormat="1" x14ac:dyDescent="0.3">
      <c r="A32" s="56"/>
      <c r="B32" s="56"/>
      <c r="C32" s="56"/>
      <c r="D32" s="56"/>
      <c r="E32" s="56"/>
      <c r="F32" s="56"/>
      <c r="G32" s="56"/>
      <c r="H32" s="56"/>
      <c r="I32" s="56"/>
      <c r="J32" s="56"/>
      <c r="K32" s="56"/>
      <c r="L32" s="56"/>
      <c r="M32" s="56"/>
      <c r="N32" s="56"/>
      <c r="O32" s="56"/>
      <c r="P32" s="56"/>
    </row>
    <row r="33" spans="1:16" customFormat="1" x14ac:dyDescent="0.3">
      <c r="A33" s="56"/>
      <c r="B33" s="56"/>
      <c r="C33" s="56"/>
      <c r="D33" s="56"/>
      <c r="E33" s="56"/>
      <c r="F33" s="56"/>
      <c r="G33" s="56"/>
      <c r="H33" s="56"/>
      <c r="I33" s="56"/>
      <c r="J33" s="56"/>
      <c r="K33" s="56"/>
      <c r="L33" s="56"/>
      <c r="M33" s="56"/>
      <c r="N33" s="56"/>
      <c r="O33" s="56"/>
      <c r="P33" s="56"/>
    </row>
    <row r="34" spans="1:16" customFormat="1" x14ac:dyDescent="0.3">
      <c r="A34" s="56"/>
      <c r="B34" s="56"/>
      <c r="C34" s="56"/>
      <c r="D34" s="56"/>
      <c r="E34" s="56"/>
      <c r="F34" s="56"/>
      <c r="G34" s="56"/>
      <c r="H34" s="56"/>
      <c r="I34" s="56"/>
      <c r="J34" s="56"/>
      <c r="K34" s="56"/>
      <c r="L34" s="56"/>
      <c r="M34" s="56"/>
      <c r="N34" s="56"/>
      <c r="O34" s="56"/>
      <c r="P34" s="56"/>
    </row>
    <row r="35" spans="1:16" customFormat="1" x14ac:dyDescent="0.3">
      <c r="A35" s="56"/>
      <c r="B35" s="56"/>
      <c r="C35" s="56"/>
      <c r="D35" s="56"/>
      <c r="E35" s="56"/>
      <c r="F35" s="56"/>
      <c r="G35" s="56"/>
      <c r="H35" s="56"/>
      <c r="I35" s="56"/>
      <c r="J35" s="56"/>
      <c r="K35" s="56"/>
      <c r="L35" s="56"/>
      <c r="M35" s="56"/>
      <c r="N35" s="56"/>
      <c r="O35" s="56"/>
      <c r="P35" s="56"/>
    </row>
    <row r="36" spans="1:16" customFormat="1" x14ac:dyDescent="0.3">
      <c r="A36" s="56"/>
      <c r="B36" s="56"/>
      <c r="C36" s="56"/>
      <c r="D36" s="56"/>
      <c r="E36" s="56"/>
      <c r="F36" s="56"/>
      <c r="G36" s="56"/>
      <c r="H36" s="56"/>
      <c r="I36" s="56"/>
      <c r="J36" s="56"/>
      <c r="K36" s="56"/>
      <c r="L36" s="56"/>
      <c r="M36" s="56"/>
      <c r="N36" s="56"/>
      <c r="O36" s="56"/>
      <c r="P36" s="56"/>
    </row>
    <row r="37" spans="1:16" customFormat="1" x14ac:dyDescent="0.3">
      <c r="A37" s="56"/>
      <c r="B37" s="56"/>
      <c r="C37" s="56"/>
      <c r="D37" s="56"/>
      <c r="E37" s="56"/>
      <c r="F37" s="56"/>
      <c r="G37" s="56"/>
      <c r="H37" s="56"/>
      <c r="I37" s="56"/>
      <c r="J37" s="56"/>
      <c r="K37" s="56"/>
      <c r="L37" s="56"/>
      <c r="M37" s="56"/>
      <c r="N37" s="56"/>
      <c r="O37" s="56"/>
      <c r="P37" s="56"/>
    </row>
    <row r="38" spans="1:16" customFormat="1" x14ac:dyDescent="0.3">
      <c r="A38" s="56"/>
      <c r="B38" s="56"/>
      <c r="C38" s="56"/>
      <c r="D38" s="56"/>
      <c r="E38" s="56"/>
      <c r="F38" s="56"/>
      <c r="G38" s="56"/>
      <c r="H38" s="56"/>
      <c r="I38" s="56"/>
      <c r="J38" s="56"/>
      <c r="K38" s="56"/>
      <c r="L38" s="56"/>
      <c r="M38" s="56"/>
      <c r="N38" s="56"/>
      <c r="O38" s="56"/>
      <c r="P38" s="56"/>
    </row>
    <row r="39" spans="1:16" customFormat="1" x14ac:dyDescent="0.3">
      <c r="A39" s="56"/>
      <c r="B39" s="56"/>
      <c r="C39" s="56"/>
      <c r="D39" s="56"/>
      <c r="E39" s="56"/>
      <c r="F39" s="56"/>
      <c r="G39" s="56"/>
      <c r="H39" s="56"/>
      <c r="I39" s="56"/>
      <c r="J39" s="56"/>
      <c r="K39" s="56"/>
      <c r="L39" s="56"/>
      <c r="M39" s="56"/>
      <c r="N39" s="56"/>
      <c r="O39" s="56"/>
      <c r="P39" s="56"/>
    </row>
    <row r="40" spans="1:16" customFormat="1" x14ac:dyDescent="0.3">
      <c r="A40" s="56"/>
      <c r="B40" s="56"/>
      <c r="C40" s="56"/>
      <c r="D40" s="56"/>
      <c r="E40" s="56"/>
      <c r="F40" s="56"/>
      <c r="G40" s="56"/>
      <c r="H40" s="56"/>
      <c r="I40" s="56"/>
      <c r="J40" s="56"/>
      <c r="K40" s="56"/>
      <c r="L40" s="56"/>
      <c r="M40" s="56"/>
      <c r="N40" s="56"/>
      <c r="O40" s="56"/>
      <c r="P40" s="56"/>
    </row>
    <row r="41" spans="1:16" customFormat="1" ht="6" customHeight="1" x14ac:dyDescent="0.3">
      <c r="A41" s="244"/>
      <c r="B41" s="244"/>
      <c r="C41" s="244"/>
      <c r="D41" s="244"/>
      <c r="E41" s="244"/>
      <c r="F41" s="244"/>
      <c r="G41" s="244"/>
      <c r="H41" s="244"/>
      <c r="I41" s="244"/>
      <c r="J41" s="244"/>
      <c r="K41" s="244"/>
      <c r="L41" s="244"/>
      <c r="M41" s="244"/>
      <c r="N41" s="244"/>
      <c r="O41" s="244"/>
      <c r="P41" s="56"/>
    </row>
    <row r="42" spans="1:16" customFormat="1" x14ac:dyDescent="0.3">
      <c r="A42" s="56"/>
      <c r="B42" s="56"/>
      <c r="C42" s="56"/>
      <c r="D42" s="56"/>
      <c r="E42" s="56"/>
      <c r="F42" s="56"/>
      <c r="G42" s="56"/>
      <c r="H42" s="56"/>
      <c r="I42" s="56"/>
      <c r="J42" s="56"/>
      <c r="K42" s="56"/>
      <c r="L42" s="56"/>
      <c r="M42" s="56"/>
      <c r="N42" s="56"/>
      <c r="O42" s="56"/>
      <c r="P42" s="56"/>
    </row>
    <row r="43" spans="1:16" customFormat="1" x14ac:dyDescent="0.3">
      <c r="A43" s="56"/>
      <c r="B43" s="56"/>
      <c r="C43" s="56"/>
      <c r="D43" s="56"/>
      <c r="E43" s="56"/>
      <c r="F43" s="56"/>
      <c r="G43" s="56"/>
      <c r="H43" s="56"/>
      <c r="I43" s="56"/>
      <c r="J43" s="56"/>
      <c r="K43" s="56"/>
      <c r="L43" s="56"/>
      <c r="M43" s="56"/>
      <c r="N43" s="56"/>
      <c r="O43" s="56"/>
      <c r="P43" s="56"/>
    </row>
    <row r="44" spans="1:16" customFormat="1" ht="18" x14ac:dyDescent="0.35">
      <c r="A44" s="1214" t="s">
        <v>1457</v>
      </c>
      <c r="B44" s="1214"/>
      <c r="C44" s="1214"/>
      <c r="D44" s="1214"/>
      <c r="E44" s="1214"/>
      <c r="F44" s="1214"/>
      <c r="G44" s="1214"/>
      <c r="H44" s="1214"/>
      <c r="I44" s="1214"/>
      <c r="J44" s="1214"/>
      <c r="K44" s="1214"/>
      <c r="L44" s="1214"/>
      <c r="M44" s="1214"/>
      <c r="N44" s="1214"/>
      <c r="O44" s="1214"/>
      <c r="P44" s="56"/>
    </row>
    <row r="45" spans="1:16" customFormat="1" x14ac:dyDescent="0.3">
      <c r="A45" s="56"/>
      <c r="B45" s="56"/>
      <c r="C45" s="56"/>
      <c r="D45" s="56"/>
      <c r="E45" s="56"/>
      <c r="F45" s="56"/>
      <c r="G45" s="56"/>
      <c r="H45" s="56"/>
      <c r="I45" s="56"/>
      <c r="J45" s="56"/>
      <c r="K45" s="56"/>
      <c r="L45" s="56"/>
      <c r="M45" s="56"/>
      <c r="N45" s="56"/>
      <c r="O45" s="56"/>
      <c r="P45" s="56"/>
    </row>
    <row r="46" spans="1:16" customFormat="1" x14ac:dyDescent="0.3">
      <c r="A46" s="56"/>
      <c r="B46" s="56"/>
      <c r="C46" s="56"/>
      <c r="D46" s="56"/>
      <c r="E46" s="56"/>
      <c r="F46" s="56"/>
      <c r="G46" s="56"/>
      <c r="H46" s="56"/>
      <c r="I46" s="56"/>
      <c r="J46" s="56"/>
      <c r="K46" s="56"/>
      <c r="L46" s="56"/>
      <c r="M46" s="56"/>
      <c r="N46" s="56"/>
      <c r="O46" s="56"/>
      <c r="P46" s="56"/>
    </row>
    <row r="47" spans="1:16" customFormat="1" x14ac:dyDescent="0.3">
      <c r="A47" s="16" t="s">
        <v>393</v>
      </c>
      <c r="B47" t="s">
        <v>1272</v>
      </c>
      <c r="C47" s="56"/>
      <c r="D47" s="56"/>
      <c r="E47" s="56"/>
      <c r="F47" s="56"/>
      <c r="G47" s="56"/>
      <c r="H47" s="56"/>
      <c r="I47" s="56"/>
      <c r="J47" s="56"/>
      <c r="K47" s="56"/>
      <c r="L47" s="56"/>
      <c r="M47" s="56"/>
      <c r="N47" s="56"/>
      <c r="O47" s="56"/>
      <c r="P47" s="56"/>
    </row>
    <row r="48" spans="1:16" customFormat="1" x14ac:dyDescent="0.3">
      <c r="A48" s="17" t="s">
        <v>1257</v>
      </c>
      <c r="B48" s="190">
        <v>16</v>
      </c>
      <c r="C48" s="56"/>
      <c r="D48" s="56"/>
      <c r="E48" s="56"/>
      <c r="F48" s="56"/>
      <c r="G48" s="56"/>
      <c r="H48" s="56"/>
      <c r="I48" s="56"/>
      <c r="J48" s="56"/>
      <c r="K48" s="56"/>
      <c r="L48" s="56"/>
      <c r="M48" s="56"/>
      <c r="N48" s="56"/>
      <c r="O48" s="56"/>
      <c r="P48" s="56"/>
    </row>
    <row r="49" spans="1:16" customFormat="1" x14ac:dyDescent="0.3">
      <c r="A49" s="17" t="s">
        <v>1258</v>
      </c>
      <c r="B49" s="190">
        <v>10</v>
      </c>
      <c r="C49" s="56"/>
      <c r="D49" s="56"/>
      <c r="E49" s="56"/>
      <c r="F49" s="56"/>
      <c r="G49" s="56"/>
      <c r="H49" s="56"/>
      <c r="I49" s="56"/>
      <c r="J49" s="56"/>
      <c r="K49" s="56"/>
      <c r="L49" s="56"/>
      <c r="M49" s="56"/>
      <c r="N49" s="56"/>
      <c r="O49" s="56"/>
      <c r="P49" s="56"/>
    </row>
    <row r="50" spans="1:16" customFormat="1" x14ac:dyDescent="0.3">
      <c r="A50" s="17" t="s">
        <v>1259</v>
      </c>
      <c r="B50" s="190">
        <v>10</v>
      </c>
      <c r="C50" s="56"/>
      <c r="D50" s="56"/>
      <c r="E50" s="56"/>
      <c r="F50" s="56"/>
      <c r="G50" s="56"/>
      <c r="H50" s="56"/>
      <c r="I50" s="56"/>
      <c r="J50" s="56"/>
      <c r="K50" s="56"/>
      <c r="L50" s="56"/>
      <c r="M50" s="56"/>
      <c r="N50" s="56"/>
      <c r="O50" s="56"/>
      <c r="P50" s="56"/>
    </row>
    <row r="51" spans="1:16" customFormat="1" x14ac:dyDescent="0.3">
      <c r="A51" s="17" t="s">
        <v>1260</v>
      </c>
      <c r="B51" s="190">
        <v>9</v>
      </c>
      <c r="C51" s="56"/>
      <c r="D51" s="56"/>
      <c r="E51" s="56"/>
      <c r="F51" s="56"/>
      <c r="G51" s="56"/>
      <c r="H51" s="56"/>
      <c r="I51" s="56"/>
      <c r="J51" s="56"/>
      <c r="K51" s="56"/>
      <c r="L51" s="56"/>
      <c r="M51" s="56"/>
      <c r="N51" s="56"/>
      <c r="O51" s="56"/>
      <c r="P51" s="56"/>
    </row>
    <row r="52" spans="1:16" customFormat="1" x14ac:dyDescent="0.3">
      <c r="A52" s="17" t="s">
        <v>1261</v>
      </c>
      <c r="B52" s="190">
        <v>5</v>
      </c>
      <c r="C52" s="56"/>
      <c r="D52" s="56"/>
      <c r="E52" s="56"/>
      <c r="F52" s="56"/>
      <c r="G52" s="56"/>
      <c r="H52" s="56"/>
      <c r="I52" s="56"/>
      <c r="J52" s="56"/>
      <c r="K52" s="56"/>
      <c r="L52" s="56"/>
      <c r="M52" s="56"/>
      <c r="N52" s="56"/>
      <c r="O52" s="56"/>
      <c r="P52" s="56"/>
    </row>
    <row r="53" spans="1:16" customFormat="1" x14ac:dyDescent="0.3">
      <c r="A53" s="17" t="s">
        <v>1262</v>
      </c>
      <c r="B53" s="190">
        <v>9</v>
      </c>
      <c r="C53" s="56"/>
      <c r="D53" s="56"/>
      <c r="E53" s="56"/>
      <c r="F53" s="56"/>
      <c r="G53" s="56"/>
      <c r="H53" s="56"/>
      <c r="I53" s="56"/>
      <c r="J53" s="56"/>
      <c r="K53" s="56"/>
      <c r="L53" s="56"/>
      <c r="M53" s="56"/>
      <c r="N53" s="56"/>
      <c r="O53" s="56"/>
      <c r="P53" s="56"/>
    </row>
    <row r="54" spans="1:16" customFormat="1" x14ac:dyDescent="0.3">
      <c r="A54" s="17" t="s">
        <v>1263</v>
      </c>
      <c r="B54" s="190">
        <v>3</v>
      </c>
      <c r="C54" s="56"/>
      <c r="D54" s="56"/>
      <c r="E54" s="56"/>
      <c r="F54" s="56"/>
      <c r="G54" s="56"/>
      <c r="H54" s="56"/>
      <c r="I54" s="56"/>
      <c r="J54" s="56"/>
      <c r="K54" s="56"/>
      <c r="L54" s="56"/>
      <c r="M54" s="56"/>
      <c r="N54" s="56"/>
      <c r="O54" s="56"/>
      <c r="P54" s="56"/>
    </row>
    <row r="55" spans="1:16" customFormat="1" x14ac:dyDescent="0.3">
      <c r="A55" s="17" t="s">
        <v>1264</v>
      </c>
      <c r="B55" s="190">
        <v>7</v>
      </c>
      <c r="C55" s="56"/>
      <c r="D55" s="56"/>
      <c r="E55" s="56"/>
      <c r="F55" s="56"/>
      <c r="G55" s="56"/>
      <c r="H55" s="56"/>
      <c r="I55" s="56"/>
      <c r="J55" s="56"/>
      <c r="K55" s="56"/>
      <c r="L55" s="56"/>
      <c r="M55" s="56"/>
      <c r="N55" s="56"/>
      <c r="O55" s="56"/>
      <c r="P55" s="56"/>
    </row>
    <row r="56" spans="1:16" customFormat="1" x14ac:dyDescent="0.3">
      <c r="A56" s="17" t="s">
        <v>1265</v>
      </c>
      <c r="B56" s="190">
        <v>10</v>
      </c>
      <c r="C56" s="56"/>
      <c r="D56" s="56"/>
      <c r="E56" s="56"/>
      <c r="F56" s="56"/>
      <c r="G56" s="56"/>
      <c r="H56" s="56"/>
      <c r="I56" s="56"/>
      <c r="J56" s="56"/>
      <c r="K56" s="56"/>
      <c r="L56" s="56"/>
      <c r="M56" s="56"/>
      <c r="N56" s="56"/>
      <c r="O56" s="56"/>
      <c r="P56" s="56"/>
    </row>
    <row r="57" spans="1:16" customFormat="1" x14ac:dyDescent="0.3">
      <c r="A57" s="17" t="s">
        <v>1266</v>
      </c>
      <c r="B57" s="190">
        <v>5</v>
      </c>
      <c r="C57" s="56"/>
      <c r="D57" s="56"/>
      <c r="E57" s="56"/>
      <c r="F57" s="56"/>
      <c r="G57" s="56"/>
      <c r="H57" s="56"/>
      <c r="I57" s="56"/>
      <c r="J57" s="56"/>
      <c r="K57" s="56"/>
      <c r="L57" s="56"/>
      <c r="M57" s="56"/>
      <c r="N57" s="56"/>
      <c r="O57" s="56"/>
      <c r="P57" s="56"/>
    </row>
    <row r="58" spans="1:16" customFormat="1" x14ac:dyDescent="0.3">
      <c r="A58" s="17" t="s">
        <v>1267</v>
      </c>
      <c r="B58" s="190">
        <v>6</v>
      </c>
      <c r="C58" s="56"/>
      <c r="D58" s="56"/>
      <c r="E58" s="56"/>
      <c r="F58" s="56"/>
      <c r="G58" s="56"/>
      <c r="H58" s="56"/>
      <c r="I58" s="56"/>
      <c r="J58" s="56"/>
      <c r="K58" s="56"/>
      <c r="L58" s="56"/>
      <c r="M58" s="56"/>
      <c r="N58" s="56"/>
      <c r="O58" s="56"/>
      <c r="P58" s="56"/>
    </row>
    <row r="59" spans="1:16" customFormat="1" x14ac:dyDescent="0.3">
      <c r="A59" s="17" t="s">
        <v>1268</v>
      </c>
      <c r="B59" s="190">
        <v>5</v>
      </c>
      <c r="C59" s="56"/>
      <c r="D59" s="56"/>
      <c r="E59" s="56"/>
      <c r="F59" s="56"/>
      <c r="G59" s="56"/>
      <c r="H59" s="56"/>
      <c r="I59" s="56"/>
      <c r="J59" s="56"/>
      <c r="K59" s="56"/>
      <c r="L59" s="56"/>
      <c r="M59" s="56"/>
      <c r="N59" s="56"/>
      <c r="O59" s="56"/>
      <c r="P59" s="56"/>
    </row>
    <row r="60" spans="1:16" customFormat="1" x14ac:dyDescent="0.3">
      <c r="A60" s="17" t="s">
        <v>1152</v>
      </c>
      <c r="B60" s="190">
        <v>95</v>
      </c>
      <c r="C60" s="56"/>
      <c r="D60" s="56"/>
      <c r="E60" s="56"/>
      <c r="F60" s="56"/>
      <c r="G60" s="56"/>
      <c r="H60" s="56"/>
      <c r="I60" s="56"/>
      <c r="J60" s="56"/>
      <c r="K60" s="56"/>
      <c r="L60" s="56"/>
      <c r="M60" s="56"/>
      <c r="N60" s="56"/>
      <c r="O60" s="56"/>
      <c r="P60" s="56"/>
    </row>
    <row r="61" spans="1:16" customFormat="1" x14ac:dyDescent="0.3">
      <c r="A61" s="56"/>
      <c r="B61" s="56"/>
      <c r="C61" s="56"/>
      <c r="D61" s="56"/>
      <c r="E61" s="56"/>
      <c r="F61" s="56"/>
      <c r="G61" s="56"/>
      <c r="H61" s="56"/>
      <c r="I61" s="56"/>
      <c r="J61" s="56"/>
      <c r="K61" s="56"/>
      <c r="L61" s="56"/>
      <c r="M61" s="56"/>
      <c r="N61" s="56"/>
      <c r="O61" s="56"/>
      <c r="P61" s="56"/>
    </row>
    <row r="62" spans="1:16" customFormat="1" x14ac:dyDescent="0.3">
      <c r="A62" s="56"/>
      <c r="B62" s="56"/>
      <c r="C62" s="56"/>
      <c r="D62" s="56"/>
      <c r="E62" s="56"/>
      <c r="F62" s="56"/>
      <c r="G62" s="56"/>
      <c r="H62" s="56"/>
      <c r="I62" s="56"/>
      <c r="J62" s="56"/>
      <c r="K62" s="56"/>
      <c r="L62" s="56"/>
      <c r="M62" s="56"/>
      <c r="N62" s="56"/>
      <c r="O62" s="56"/>
      <c r="P62" s="56"/>
    </row>
    <row r="63" spans="1:16" customFormat="1" x14ac:dyDescent="0.3">
      <c r="A63" s="56"/>
      <c r="B63" s="56"/>
      <c r="C63" s="56"/>
      <c r="D63" s="56"/>
      <c r="E63" s="56"/>
      <c r="F63" s="56"/>
      <c r="G63" s="56"/>
      <c r="H63" s="56"/>
      <c r="I63" s="56"/>
      <c r="J63" s="56"/>
      <c r="K63" s="56"/>
      <c r="L63" s="56"/>
      <c r="M63" s="56"/>
      <c r="N63" s="56"/>
      <c r="O63" s="56"/>
      <c r="P63" s="56"/>
    </row>
    <row r="64" spans="1:16" customFormat="1" x14ac:dyDescent="0.3">
      <c r="A64" s="56"/>
      <c r="B64" s="56"/>
      <c r="C64" s="56"/>
      <c r="D64" s="56"/>
      <c r="E64" s="56"/>
      <c r="F64" s="56"/>
      <c r="G64" s="56"/>
      <c r="H64" s="56"/>
      <c r="I64" s="56"/>
      <c r="J64" s="56"/>
      <c r="K64" s="56"/>
      <c r="L64" s="56"/>
      <c r="M64" s="56"/>
      <c r="N64" s="56"/>
      <c r="O64" s="56"/>
      <c r="P64" s="56"/>
    </row>
    <row r="65" spans="1:16" customFormat="1" x14ac:dyDescent="0.3">
      <c r="A65" s="56"/>
      <c r="B65" s="56"/>
      <c r="C65" s="56"/>
      <c r="D65" s="56"/>
      <c r="E65" s="56"/>
      <c r="F65" s="56"/>
      <c r="G65" s="56"/>
      <c r="H65" s="56"/>
      <c r="I65" s="56"/>
      <c r="J65" s="56"/>
      <c r="K65" s="56"/>
      <c r="L65" s="56"/>
      <c r="M65" s="56"/>
      <c r="N65" s="56"/>
      <c r="O65" s="56"/>
      <c r="P65" s="56"/>
    </row>
    <row r="66" spans="1:16" customFormat="1" x14ac:dyDescent="0.3">
      <c r="A66" s="56"/>
      <c r="B66" s="56"/>
      <c r="C66" s="56"/>
      <c r="D66" s="56"/>
      <c r="E66" s="56"/>
      <c r="F66" s="56"/>
      <c r="G66" s="56"/>
      <c r="H66" s="56"/>
      <c r="I66" s="56"/>
      <c r="J66" s="56"/>
      <c r="K66" s="56"/>
      <c r="L66" s="56"/>
      <c r="M66" s="56"/>
      <c r="N66" s="56"/>
      <c r="O66" s="56"/>
      <c r="P66" s="56"/>
    </row>
    <row r="67" spans="1:16" customFormat="1" x14ac:dyDescent="0.3">
      <c r="A67" s="56"/>
      <c r="B67" s="56"/>
      <c r="C67" s="56"/>
      <c r="D67" s="56"/>
      <c r="E67" s="56"/>
      <c r="F67" s="56"/>
      <c r="G67" s="56"/>
      <c r="H67" s="56"/>
      <c r="I67" s="56"/>
      <c r="J67" s="56"/>
      <c r="K67" s="56"/>
      <c r="L67" s="56"/>
      <c r="M67" s="56"/>
      <c r="N67" s="56"/>
      <c r="O67" s="56"/>
      <c r="P67" s="56"/>
    </row>
    <row r="68" spans="1:16" customFormat="1" x14ac:dyDescent="0.3">
      <c r="A68" s="56"/>
      <c r="B68" s="56"/>
      <c r="C68" s="56"/>
      <c r="D68" s="56"/>
      <c r="E68" s="56"/>
      <c r="F68" s="56"/>
      <c r="G68" s="56"/>
      <c r="H68" s="56"/>
      <c r="I68" s="56"/>
      <c r="J68" s="56"/>
      <c r="K68" s="56"/>
      <c r="L68" s="56"/>
      <c r="M68" s="56"/>
      <c r="N68" s="56"/>
      <c r="O68" s="56"/>
      <c r="P68" s="56"/>
    </row>
    <row r="69" spans="1:16" customFormat="1" x14ac:dyDescent="0.3">
      <c r="A69" s="56"/>
      <c r="B69" s="56"/>
      <c r="C69" s="56"/>
      <c r="D69" s="56"/>
      <c r="E69" s="56"/>
      <c r="F69" s="56"/>
      <c r="G69" s="56"/>
      <c r="H69" s="56"/>
      <c r="I69" s="56"/>
      <c r="J69" s="56"/>
      <c r="K69" s="56"/>
      <c r="L69" s="56"/>
      <c r="M69" s="56"/>
      <c r="N69" s="56"/>
      <c r="O69" s="56"/>
      <c r="P69" s="56"/>
    </row>
    <row r="70" spans="1:16" customFormat="1" x14ac:dyDescent="0.3">
      <c r="A70" s="56"/>
      <c r="B70" s="56"/>
      <c r="C70" s="56"/>
      <c r="D70" s="56"/>
      <c r="E70" s="56"/>
      <c r="F70" s="56"/>
      <c r="G70" s="56"/>
      <c r="H70" s="56"/>
      <c r="I70" s="56"/>
      <c r="J70" s="56"/>
      <c r="K70" s="56"/>
      <c r="L70" s="56"/>
      <c r="M70" s="56"/>
      <c r="N70" s="56"/>
      <c r="O70" s="56"/>
      <c r="P70" s="56"/>
    </row>
    <row r="71" spans="1:16" customFormat="1" x14ac:dyDescent="0.3">
      <c r="A71" s="56"/>
      <c r="B71" s="56"/>
      <c r="C71" s="56"/>
      <c r="D71" s="56"/>
      <c r="E71" s="56"/>
      <c r="F71" s="56"/>
      <c r="G71" s="56"/>
      <c r="H71" s="56"/>
      <c r="I71" s="56"/>
      <c r="J71" s="56"/>
      <c r="K71" s="56"/>
      <c r="L71" s="56"/>
      <c r="M71" s="56"/>
      <c r="N71" s="56"/>
      <c r="O71" s="56"/>
      <c r="P71" s="56"/>
    </row>
    <row r="72" spans="1:16" customFormat="1" x14ac:dyDescent="0.3">
      <c r="A72" s="56"/>
      <c r="B72" s="56"/>
      <c r="C72" s="56"/>
      <c r="D72" s="56"/>
      <c r="E72" s="56"/>
      <c r="F72" s="56"/>
      <c r="G72" s="56"/>
      <c r="H72" s="56"/>
      <c r="I72" s="56"/>
      <c r="J72" s="56"/>
      <c r="K72" s="56"/>
      <c r="L72" s="56"/>
      <c r="M72" s="56"/>
      <c r="N72" s="56"/>
      <c r="O72" s="56"/>
      <c r="P72" s="56"/>
    </row>
    <row r="73" spans="1:16" customFormat="1" x14ac:dyDescent="0.3">
      <c r="A73" s="56"/>
      <c r="B73" s="56"/>
      <c r="C73" s="56"/>
      <c r="D73" s="56"/>
      <c r="E73" s="56"/>
      <c r="F73" s="56"/>
      <c r="G73" s="56"/>
      <c r="H73" s="56"/>
      <c r="I73" s="56"/>
      <c r="J73" s="56"/>
      <c r="K73" s="56"/>
      <c r="L73" s="56"/>
      <c r="M73" s="56"/>
      <c r="N73" s="56"/>
      <c r="O73" s="56"/>
      <c r="P73" s="56"/>
    </row>
    <row r="74" spans="1:16" customFormat="1" x14ac:dyDescent="0.3">
      <c r="A74" s="56"/>
      <c r="B74" s="56"/>
      <c r="C74" s="56"/>
      <c r="D74" s="56"/>
      <c r="E74" s="56"/>
      <c r="F74" s="56"/>
      <c r="G74" s="56"/>
      <c r="H74" s="56"/>
      <c r="I74" s="56"/>
      <c r="J74" s="56"/>
      <c r="K74" s="56"/>
      <c r="L74" s="56"/>
      <c r="M74" s="56"/>
      <c r="N74" s="56"/>
      <c r="O74" s="56"/>
      <c r="P74" s="56"/>
    </row>
    <row r="75" spans="1:16" customFormat="1" x14ac:dyDescent="0.3">
      <c r="A75" s="56"/>
      <c r="B75" s="56"/>
      <c r="C75" s="56"/>
      <c r="D75" s="56"/>
      <c r="E75" s="56"/>
      <c r="F75" s="56"/>
      <c r="G75" s="56"/>
      <c r="H75" s="56"/>
      <c r="I75" s="56"/>
      <c r="J75" s="56"/>
      <c r="K75" s="56"/>
      <c r="L75" s="56"/>
      <c r="M75" s="56"/>
      <c r="N75" s="56"/>
      <c r="O75" s="56"/>
      <c r="P75" s="56"/>
    </row>
    <row r="76" spans="1:16" customFormat="1" x14ac:dyDescent="0.3">
      <c r="A76" s="56"/>
      <c r="B76" s="56"/>
      <c r="C76" s="56"/>
      <c r="D76" s="56"/>
      <c r="E76" s="56"/>
      <c r="F76" s="56"/>
      <c r="G76" s="56"/>
      <c r="H76" s="56"/>
      <c r="I76" s="56"/>
      <c r="J76" s="56"/>
      <c r="K76" s="56"/>
      <c r="L76" s="56"/>
      <c r="M76" s="56"/>
      <c r="N76" s="56"/>
      <c r="O76" s="56"/>
      <c r="P76" s="56"/>
    </row>
    <row r="77" spans="1:16" customFormat="1" x14ac:dyDescent="0.3">
      <c r="A77" s="56"/>
      <c r="B77" s="56"/>
      <c r="C77" s="56"/>
      <c r="D77" s="56"/>
      <c r="E77" s="56"/>
      <c r="F77" s="56"/>
      <c r="G77" s="56"/>
      <c r="H77" s="56"/>
      <c r="I77" s="56"/>
      <c r="J77" s="56"/>
      <c r="K77" s="56"/>
      <c r="L77" s="56"/>
      <c r="M77" s="56"/>
      <c r="N77" s="56"/>
      <c r="O77" s="56"/>
      <c r="P77" s="56"/>
    </row>
    <row r="78" spans="1:16" customFormat="1" x14ac:dyDescent="0.3">
      <c r="A78" s="56"/>
      <c r="B78" s="56"/>
      <c r="C78" s="56"/>
      <c r="D78" s="56"/>
      <c r="E78" s="56"/>
      <c r="F78" s="56"/>
      <c r="G78" s="56"/>
      <c r="H78" s="56"/>
      <c r="I78" s="56"/>
      <c r="J78" s="56"/>
      <c r="K78" s="56"/>
      <c r="L78" s="56"/>
      <c r="M78" s="56"/>
      <c r="N78" s="56"/>
      <c r="O78" s="56"/>
      <c r="P78" s="56"/>
    </row>
    <row r="79" spans="1:16" customFormat="1" x14ac:dyDescent="0.3">
      <c r="A79" s="56"/>
      <c r="B79" s="56"/>
      <c r="C79" s="56"/>
      <c r="D79" s="56"/>
      <c r="E79" s="56"/>
      <c r="F79" s="56"/>
      <c r="G79" s="56"/>
      <c r="H79" s="56"/>
      <c r="I79" s="56"/>
      <c r="J79" s="56"/>
      <c r="K79" s="56"/>
      <c r="L79" s="56"/>
      <c r="M79" s="56"/>
      <c r="N79" s="56"/>
      <c r="O79" s="56"/>
      <c r="P79" s="56"/>
    </row>
    <row r="80" spans="1:16" customFormat="1" x14ac:dyDescent="0.3">
      <c r="A80" s="56"/>
      <c r="B80" s="56"/>
      <c r="C80" s="56"/>
      <c r="D80" s="56"/>
      <c r="E80" s="56"/>
      <c r="F80" s="56"/>
      <c r="G80" s="56"/>
      <c r="H80" s="56"/>
      <c r="I80" s="56"/>
      <c r="J80" s="56"/>
      <c r="K80" s="56"/>
      <c r="L80" s="56"/>
      <c r="M80" s="56"/>
      <c r="N80" s="56"/>
      <c r="O80" s="56"/>
      <c r="P80" s="56"/>
    </row>
    <row r="81" spans="1:16" customFormat="1" x14ac:dyDescent="0.3">
      <c r="A81" s="56"/>
      <c r="B81" s="56"/>
      <c r="C81" s="56"/>
      <c r="D81" s="56"/>
      <c r="E81" s="56"/>
      <c r="F81" s="56"/>
      <c r="G81" s="56"/>
      <c r="H81" s="56"/>
      <c r="I81" s="56"/>
      <c r="J81" s="56"/>
      <c r="K81" s="56"/>
      <c r="L81" s="56"/>
      <c r="M81" s="56"/>
      <c r="N81" s="56"/>
      <c r="O81" s="56"/>
      <c r="P81" s="56"/>
    </row>
    <row r="82" spans="1:16" customFormat="1" x14ac:dyDescent="0.3">
      <c r="A82" s="56"/>
      <c r="B82" s="56"/>
      <c r="C82" s="56"/>
      <c r="D82" s="56"/>
      <c r="E82" s="56"/>
      <c r="F82" s="56"/>
      <c r="G82" s="56"/>
      <c r="H82" s="56"/>
      <c r="I82" s="56"/>
      <c r="J82" s="56"/>
      <c r="K82" s="56"/>
      <c r="L82" s="56"/>
      <c r="M82" s="56"/>
      <c r="N82" s="56"/>
      <c r="O82" s="56"/>
      <c r="P82" s="56"/>
    </row>
    <row r="83" spans="1:16" ht="7.5" customHeight="1" x14ac:dyDescent="0.3">
      <c r="A83" s="244"/>
      <c r="B83" s="244"/>
      <c r="C83" s="244"/>
      <c r="D83" s="244"/>
      <c r="E83" s="244"/>
      <c r="F83" s="244"/>
      <c r="G83" s="244"/>
      <c r="H83" s="244"/>
      <c r="I83" s="244"/>
      <c r="J83" s="244"/>
      <c r="K83" s="244"/>
      <c r="L83" s="244"/>
      <c r="M83" s="244"/>
      <c r="N83" s="244"/>
      <c r="O83" s="244"/>
    </row>
    <row r="86" spans="1:16" ht="18" x14ac:dyDescent="0.35">
      <c r="A86" s="1214" t="s">
        <v>1458</v>
      </c>
      <c r="B86" s="1214"/>
      <c r="C86" s="1214"/>
      <c r="D86" s="1214"/>
      <c r="E86" s="1214"/>
      <c r="F86" s="1214"/>
      <c r="G86" s="1214"/>
      <c r="H86" s="1214"/>
      <c r="I86" s="1214"/>
      <c r="J86" s="1214"/>
      <c r="K86" s="1214"/>
      <c r="L86" s="1214"/>
      <c r="M86" s="1214"/>
      <c r="N86" s="1214"/>
      <c r="O86" s="1214"/>
    </row>
    <row r="88" spans="1:16" x14ac:dyDescent="0.3">
      <c r="A88"/>
      <c r="B88"/>
    </row>
    <row r="90" spans="1:16" x14ac:dyDescent="0.3">
      <c r="A90" s="16" t="s">
        <v>393</v>
      </c>
      <c r="B90" t="s">
        <v>1272</v>
      </c>
      <c r="G90"/>
      <c r="H90"/>
      <c r="I90"/>
      <c r="J90"/>
      <c r="K90"/>
      <c r="L90"/>
      <c r="M90"/>
      <c r="N90"/>
    </row>
    <row r="91" spans="1:16" x14ac:dyDescent="0.3">
      <c r="A91" s="17" t="s">
        <v>1257</v>
      </c>
      <c r="B91" s="190">
        <v>1</v>
      </c>
      <c r="G91"/>
      <c r="H91"/>
      <c r="I91"/>
      <c r="J91"/>
      <c r="K91"/>
      <c r="L91"/>
      <c r="M91"/>
      <c r="N91"/>
    </row>
    <row r="92" spans="1:16" x14ac:dyDescent="0.3">
      <c r="A92" s="17" t="s">
        <v>1258</v>
      </c>
      <c r="B92" s="190">
        <v>0</v>
      </c>
      <c r="G92"/>
      <c r="H92"/>
      <c r="I92"/>
      <c r="J92"/>
      <c r="K92"/>
      <c r="L92"/>
      <c r="M92"/>
      <c r="N92"/>
    </row>
    <row r="93" spans="1:16" x14ac:dyDescent="0.3">
      <c r="A93" s="17" t="s">
        <v>1259</v>
      </c>
      <c r="B93" s="190">
        <v>0</v>
      </c>
      <c r="G93"/>
      <c r="H93"/>
      <c r="I93"/>
      <c r="J93"/>
      <c r="K93"/>
      <c r="L93"/>
      <c r="M93"/>
      <c r="N93"/>
    </row>
    <row r="94" spans="1:16" x14ac:dyDescent="0.3">
      <c r="A94" s="17" t="s">
        <v>1260</v>
      </c>
      <c r="B94" s="190">
        <v>0</v>
      </c>
      <c r="G94"/>
      <c r="H94"/>
      <c r="I94"/>
      <c r="J94"/>
      <c r="K94"/>
      <c r="L94"/>
      <c r="M94"/>
      <c r="N94"/>
    </row>
    <row r="95" spans="1:16" x14ac:dyDescent="0.3">
      <c r="A95" s="17" t="s">
        <v>1261</v>
      </c>
      <c r="B95" s="190">
        <v>0</v>
      </c>
      <c r="G95"/>
      <c r="H95"/>
      <c r="I95"/>
      <c r="J95"/>
      <c r="K95"/>
      <c r="L95"/>
      <c r="M95"/>
      <c r="N95"/>
    </row>
    <row r="96" spans="1:16" x14ac:dyDescent="0.3">
      <c r="A96" s="17" t="s">
        <v>1262</v>
      </c>
      <c r="B96" s="190">
        <v>0</v>
      </c>
      <c r="G96"/>
      <c r="H96"/>
      <c r="I96"/>
      <c r="J96"/>
      <c r="K96"/>
      <c r="L96"/>
      <c r="M96"/>
      <c r="N96"/>
    </row>
    <row r="97" spans="1:15" x14ac:dyDescent="0.3">
      <c r="A97" s="17" t="s">
        <v>1263</v>
      </c>
      <c r="B97" s="190">
        <v>2</v>
      </c>
      <c r="G97"/>
      <c r="H97"/>
      <c r="I97"/>
      <c r="J97"/>
      <c r="K97"/>
      <c r="L97"/>
      <c r="M97"/>
      <c r="N97"/>
    </row>
    <row r="98" spans="1:15" x14ac:dyDescent="0.3">
      <c r="A98" s="17" t="s">
        <v>1264</v>
      </c>
      <c r="B98" s="190">
        <v>0</v>
      </c>
      <c r="G98"/>
      <c r="H98"/>
      <c r="I98"/>
      <c r="J98"/>
      <c r="K98"/>
      <c r="L98"/>
      <c r="M98"/>
      <c r="N98"/>
    </row>
    <row r="99" spans="1:15" x14ac:dyDescent="0.3">
      <c r="A99" s="17" t="s">
        <v>1265</v>
      </c>
      <c r="B99" s="190">
        <v>0</v>
      </c>
      <c r="G99"/>
      <c r="H99"/>
      <c r="I99"/>
      <c r="J99"/>
      <c r="K99"/>
      <c r="L99"/>
      <c r="M99"/>
      <c r="N99"/>
    </row>
    <row r="100" spans="1:15" x14ac:dyDescent="0.3">
      <c r="A100" s="17" t="s">
        <v>1266</v>
      </c>
      <c r="B100" s="190">
        <v>1</v>
      </c>
      <c r="G100"/>
      <c r="H100"/>
      <c r="I100"/>
      <c r="J100"/>
      <c r="K100"/>
      <c r="L100"/>
      <c r="M100"/>
      <c r="N100"/>
    </row>
    <row r="101" spans="1:15" x14ac:dyDescent="0.3">
      <c r="A101" s="17" t="s">
        <v>1267</v>
      </c>
      <c r="B101" s="190">
        <v>0</v>
      </c>
      <c r="G101"/>
      <c r="H101"/>
      <c r="I101"/>
      <c r="J101"/>
      <c r="K101"/>
      <c r="L101"/>
      <c r="M101"/>
      <c r="N101"/>
    </row>
    <row r="102" spans="1:15" x14ac:dyDescent="0.3">
      <c r="A102" s="17" t="s">
        <v>1268</v>
      </c>
      <c r="B102" s="190">
        <v>3</v>
      </c>
      <c r="G102"/>
      <c r="H102"/>
      <c r="I102"/>
      <c r="J102"/>
      <c r="K102"/>
      <c r="L102"/>
      <c r="M102"/>
      <c r="N102"/>
    </row>
    <row r="103" spans="1:15" x14ac:dyDescent="0.3">
      <c r="A103" s="17" t="s">
        <v>1152</v>
      </c>
      <c r="B103" s="190">
        <v>7</v>
      </c>
      <c r="G103"/>
      <c r="H103"/>
      <c r="I103"/>
      <c r="J103"/>
      <c r="K103"/>
      <c r="L103"/>
      <c r="M103"/>
      <c r="N103"/>
    </row>
    <row r="107" spans="1:15" ht="9.75" customHeight="1" x14ac:dyDescent="0.3">
      <c r="A107" s="244"/>
      <c r="B107" s="244"/>
      <c r="C107" s="244"/>
      <c r="D107" s="244"/>
      <c r="E107" s="244"/>
      <c r="F107" s="244"/>
      <c r="G107" s="244"/>
      <c r="H107" s="244"/>
      <c r="I107" s="244"/>
      <c r="J107" s="244"/>
      <c r="K107" s="244"/>
      <c r="L107" s="244"/>
      <c r="M107" s="244"/>
      <c r="N107" s="244"/>
      <c r="O107" s="244"/>
    </row>
    <row r="110" spans="1:15" ht="18" x14ac:dyDescent="0.35">
      <c r="A110" s="1214" t="s">
        <v>1459</v>
      </c>
      <c r="B110" s="1214"/>
      <c r="C110" s="1214"/>
      <c r="D110" s="1214"/>
      <c r="E110" s="1214"/>
      <c r="F110" s="1214"/>
      <c r="G110" s="1214"/>
      <c r="H110" s="1214"/>
      <c r="I110" s="1214"/>
      <c r="J110" s="1214"/>
      <c r="K110" s="1214"/>
      <c r="L110" s="1214"/>
      <c r="M110" s="1214"/>
      <c r="N110" s="1214"/>
      <c r="O110" s="1214"/>
    </row>
    <row r="114" spans="1:2" x14ac:dyDescent="0.3">
      <c r="A114" s="16" t="s">
        <v>393</v>
      </c>
      <c r="B114" t="s">
        <v>1272</v>
      </c>
    </row>
    <row r="115" spans="1:2" x14ac:dyDescent="0.3">
      <c r="A115" s="17" t="s">
        <v>1257</v>
      </c>
      <c r="B115" s="190">
        <v>1</v>
      </c>
    </row>
    <row r="116" spans="1:2" x14ac:dyDescent="0.3">
      <c r="A116" s="17" t="s">
        <v>1258</v>
      </c>
      <c r="B116" s="190">
        <v>10</v>
      </c>
    </row>
    <row r="117" spans="1:2" x14ac:dyDescent="0.3">
      <c r="A117" s="17" t="s">
        <v>1259</v>
      </c>
      <c r="B117" s="190">
        <v>9</v>
      </c>
    </row>
    <row r="118" spans="1:2" x14ac:dyDescent="0.3">
      <c r="A118" s="17" t="s">
        <v>1260</v>
      </c>
      <c r="B118" s="190">
        <v>5</v>
      </c>
    </row>
    <row r="119" spans="1:2" x14ac:dyDescent="0.3">
      <c r="A119" s="17" t="s">
        <v>1261</v>
      </c>
      <c r="B119" s="190">
        <v>8</v>
      </c>
    </row>
    <row r="120" spans="1:2" x14ac:dyDescent="0.3">
      <c r="A120" s="17" t="s">
        <v>1262</v>
      </c>
      <c r="B120" s="190">
        <v>10</v>
      </c>
    </row>
    <row r="121" spans="1:2" x14ac:dyDescent="0.3">
      <c r="A121" s="17" t="s">
        <v>1263</v>
      </c>
      <c r="B121" s="190">
        <v>7</v>
      </c>
    </row>
    <row r="122" spans="1:2" x14ac:dyDescent="0.3">
      <c r="A122" s="17" t="s">
        <v>1264</v>
      </c>
      <c r="B122" s="190">
        <v>4</v>
      </c>
    </row>
    <row r="123" spans="1:2" x14ac:dyDescent="0.3">
      <c r="A123" s="17" t="s">
        <v>1265</v>
      </c>
      <c r="B123" s="190">
        <v>8</v>
      </c>
    </row>
    <row r="124" spans="1:2" x14ac:dyDescent="0.3">
      <c r="A124" s="17" t="s">
        <v>1266</v>
      </c>
      <c r="B124" s="190">
        <v>6</v>
      </c>
    </row>
    <row r="125" spans="1:2" x14ac:dyDescent="0.3">
      <c r="A125" s="17" t="s">
        <v>1267</v>
      </c>
      <c r="B125" s="190">
        <v>4</v>
      </c>
    </row>
    <row r="126" spans="1:2" x14ac:dyDescent="0.3">
      <c r="A126" s="17" t="s">
        <v>1268</v>
      </c>
      <c r="B126" s="190">
        <v>5</v>
      </c>
    </row>
    <row r="127" spans="1:2" x14ac:dyDescent="0.3">
      <c r="A127" s="17" t="s">
        <v>1152</v>
      </c>
      <c r="B127" s="190">
        <v>77</v>
      </c>
    </row>
  </sheetData>
  <mergeCells count="4">
    <mergeCell ref="A2:O2"/>
    <mergeCell ref="A44:O44"/>
    <mergeCell ref="A86:O86"/>
    <mergeCell ref="A110:O110"/>
  </mergeCells>
  <pageMargins left="0.7" right="0.7" top="0.75" bottom="0.75" header="0.3" footer="0.3"/>
  <pageSetup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2</vt:i4>
      </vt:variant>
    </vt:vector>
  </HeadingPairs>
  <TitlesOfParts>
    <vt:vector size="22"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Hoja3</vt:lpstr>
      <vt:lpstr>'Base de Datos'!Área_de_impresión</vt:lpstr>
      <vt:lpstr>'Base de Datos'!Títulos_a_imprimir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MARCELA GARZON SERRATO</dc:creator>
  <cp:lastModifiedBy>Carolina Avila</cp:lastModifiedBy>
  <cp:lastPrinted>2020-11-27T12:13:34Z</cp:lastPrinted>
  <dcterms:created xsi:type="dcterms:W3CDTF">2019-08-16T15:55:42Z</dcterms:created>
  <dcterms:modified xsi:type="dcterms:W3CDTF">2021-02-01T19:43:51Z</dcterms:modified>
</cp:coreProperties>
</file>